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gdomstructural-my.sharepoint.com/personal/jbrusnahan_kingdomstructural_onmicrosoft_com/Documents/E_Design Ref/"/>
    </mc:Choice>
  </mc:AlternateContent>
  <xr:revisionPtr revIDLastSave="4044" documentId="13_ncr:1_{8995E784-DECE-4C7E-9FA8-C51723FC014B}" xr6:coauthVersionLast="47" xr6:coauthVersionMax="47" xr10:uidLastSave="{3048C06F-A60A-48B6-97CD-F55FDD99E173}"/>
  <bookViews>
    <workbookView xWindow="28680" yWindow="-120" windowWidth="29040" windowHeight="15720" activeTab="1" xr2:uid="{1A8367E5-B726-49B8-A091-9030D523A8AC}"/>
  </bookViews>
  <sheets>
    <sheet name="Sheet1" sheetId="1" r:id="rId1"/>
    <sheet name="Sheet2" sheetId="2" r:id="rId2"/>
    <sheet name="Sheet3" sheetId="3" r:id="rId3"/>
    <sheet name="Lateral" sheetId="7" r:id="rId4"/>
    <sheet name="Diaphragm" sheetId="6" r:id="rId5"/>
    <sheet name="Lists" sheetId="4" r:id="rId6"/>
    <sheet name="Terminology and Equations" sheetId="5" r:id="rId7"/>
  </sheets>
  <externalReferences>
    <externalReference r:id="rId8"/>
  </externalReferences>
  <definedNames>
    <definedName name="ab_condition">Lists!$AE$3:$AE$104</definedName>
    <definedName name="ab_dia_act">Lists!$AD$3:$AD$104</definedName>
    <definedName name="ab_dia_req">Lists!$T$3:$T$68</definedName>
    <definedName name="ab_F">Lists!$Y$3:$Y$104</definedName>
    <definedName name="ab_fc">Lists!$AG$3:$AG$104</definedName>
    <definedName name="ab_lede">Lists!$Z$3:$Z$104</definedName>
    <definedName name="ab_sdc">Lists!$AF$3:$AF$104</definedName>
    <definedName name="abt_corner">Lists!$AB$3:$AB$104</definedName>
    <definedName name="abt_end">Lists!$AC$3:$AC$104</definedName>
    <definedName name="abt_mid">Lists!$AA$3:$AA$104</definedName>
    <definedName name="anchor">Lists!$X$3:$X$104</definedName>
    <definedName name="ga_gyp">Lists!$AP$3:$AP$53</definedName>
    <definedName name="ga_osb">Lists!$AN$3:$AN$53</definedName>
    <definedName name="ga_ply">Lists!$AO$3:$AO$53</definedName>
    <definedName name="hd_ab">Sheet1!$W$41:$W$66</definedName>
    <definedName name="hd_cap">Sheet1!$E$41:$E$66</definedName>
    <definedName name="hd_holdown">Sheet1!$V$41:$V$66</definedName>
    <definedName name="hd_mark">Sheet1!$C$41:$C$66</definedName>
    <definedName name="hd_off">Sheet1!$L$41:$L$66</definedName>
    <definedName name="hdoffset">Lists!$V$3:$V$68</definedName>
    <definedName name="hdslip">Lists!$S$3:$S$68</definedName>
    <definedName name="hdt_dfsp">Lists!$N$3:$N$68</definedName>
    <definedName name="hdt_spfhf">Lists!$O$3:$O$68</definedName>
    <definedName name="holdown">Lists!$L$3:$L$68</definedName>
    <definedName name="num_gyp">Sheet1!$C$12:$C$20</definedName>
    <definedName name="num_osb">Sheet1!$C$30:$C$38</definedName>
    <definedName name="num_ply">Sheet1!$C$21:$C$29</definedName>
    <definedName name="post24">Lists!$P$3:$P$68</definedName>
    <definedName name="post26">Lists!$Q$3:$Q$68</definedName>
    <definedName name="_xlnm.Print_Area" localSheetId="4">Diaphragm!$A$1:$M$59</definedName>
    <definedName name="sheath_assembly">Sheet1!$K$12:$K$38</definedName>
    <definedName name="sheath_ecap_asd">Sheet1!$G$12:$G$38</definedName>
    <definedName name="sheath_ecap_lrfd">Sheet1!$I$12:$I$38</definedName>
    <definedName name="sheath_ga">Sheet1!$J$12:$J$38</definedName>
    <definedName name="sheath_mark">Sheet1!$C$12:$C$38</definedName>
    <definedName name="sheath_wcap_asd">Sheet1!$F$12:$F$38</definedName>
    <definedName name="sheath_wcap_lrfd">Sheet1!$H$12:$H$38</definedName>
    <definedName name="sheathing">Lists!$AQ$3:$AQ$53</definedName>
    <definedName name="sw0.5">Lists!$AM$3:$AM$53</definedName>
    <definedName name="sw0.8">Lists!$AL$3:$AL$53</definedName>
    <definedName name="sw0.92">Lists!$M$3:$M$68</definedName>
    <definedName name="sw1.0">Lists!$AI$3:$AI$53</definedName>
    <definedName name="sw2.0">Lists!$AJ$3:$AJ$53</definedName>
    <definedName name="sw2.8">Lists!$AK$3:$AK$53</definedName>
    <definedName name="w_global_wind">Sheet2!$H$20:$H$25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<sst xmlns="http://schemas.openxmlformats.org/spreadsheetml/2006/main" count="1535" uniqueCount="754">
  <si>
    <t>Shear Walls</t>
  </si>
  <si>
    <t>Sheathing</t>
  </si>
  <si>
    <t>Gypboard</t>
  </si>
  <si>
    <t>Plywood</t>
  </si>
  <si>
    <t>OSB</t>
  </si>
  <si>
    <t>Project Name</t>
  </si>
  <si>
    <t>Project Number</t>
  </si>
  <si>
    <t>Date</t>
  </si>
  <si>
    <t>Building Type</t>
  </si>
  <si>
    <t>Building Number</t>
  </si>
  <si>
    <t>Fire Rated Assembly</t>
  </si>
  <si>
    <t>Fire Retardant Treated Lumber</t>
  </si>
  <si>
    <t>None</t>
  </si>
  <si>
    <t>UL</t>
  </si>
  <si>
    <t>Name</t>
  </si>
  <si>
    <t>IBC Table 721.2(2) 12-1.1</t>
  </si>
  <si>
    <t>Max Stud Spacing [in o.c.]</t>
  </si>
  <si>
    <t>Interior</t>
  </si>
  <si>
    <t>Use Limit</t>
  </si>
  <si>
    <t>Limit "m" 78%F'c for Le/d &gt;= 33</t>
  </si>
  <si>
    <t>Stud Req'd</t>
  </si>
  <si>
    <t>2x4</t>
  </si>
  <si>
    <t>IBC Table 721.2(2) 12-1.2</t>
  </si>
  <si>
    <t>IBC Table 721.2(2) 12-1.3</t>
  </si>
  <si>
    <t>IBC Table 721.2(2) 12-1.4</t>
  </si>
  <si>
    <t>2x6</t>
  </si>
  <si>
    <t>IBC Table 721.2(2) 14-1.1</t>
  </si>
  <si>
    <t>IBC Table 721.2(2) 14-1.2</t>
  </si>
  <si>
    <t>IBC Table 721.2(2) 14-1.3</t>
  </si>
  <si>
    <t>IBC Table 721.2(2) 14-1.4</t>
  </si>
  <si>
    <t>IBC Table 721.2(2) 14-1.5</t>
  </si>
  <si>
    <t>IBC Table 721.2(2) 15-1.1</t>
  </si>
  <si>
    <t>IBC Table 721.2(2) 15-1.2</t>
  </si>
  <si>
    <t>IBC Table 721.2(2) 15-1.3</t>
  </si>
  <si>
    <t>IBC Table 721.2(2) 15-1.5</t>
  </si>
  <si>
    <t>IBC Table 721.2(2) 15-1.6</t>
  </si>
  <si>
    <t>IBC Table 721.2(2) 15-1.7</t>
  </si>
  <si>
    <t>IBC Table 721.2(2) 15-1.8</t>
  </si>
  <si>
    <t>IBC Table 721.2(2) 15-1.12</t>
  </si>
  <si>
    <t>IBC Table 721.2(2) 15-1.13</t>
  </si>
  <si>
    <t>IBC Table 721.2(2) 15-1.14</t>
  </si>
  <si>
    <t>IBC Table 721.2(2) 15-1.15</t>
  </si>
  <si>
    <t>IBC Table 721.2(2) 15-1.16</t>
  </si>
  <si>
    <t>Int / Ext</t>
  </si>
  <si>
    <t>Sheathing Limit</t>
  </si>
  <si>
    <t>Yes</t>
  </si>
  <si>
    <t>IBC Table 721.2(2) 16-1.1</t>
  </si>
  <si>
    <t>Exterior</t>
  </si>
  <si>
    <t>IBC Table 721.2(2) 16-1.2</t>
  </si>
  <si>
    <t>IBC Table 721.2(2) 16-1.3</t>
  </si>
  <si>
    <t>IBC Table 721.2(2) 16-1.4</t>
  </si>
  <si>
    <t>Mark</t>
  </si>
  <si>
    <t>Vn (plf)</t>
  </si>
  <si>
    <t>Ga (k/in)</t>
  </si>
  <si>
    <t>Vaw</t>
  </si>
  <si>
    <t>Vae</t>
  </si>
  <si>
    <t>Vuw</t>
  </si>
  <si>
    <t>Vue</t>
  </si>
  <si>
    <t>x0.92 wood sheath for offset holdown (note 12)</t>
  </si>
  <si>
    <t>1.0 Cap</t>
  </si>
  <si>
    <t>Cap / 2.0</t>
  </si>
  <si>
    <t>Cap / 2.8</t>
  </si>
  <si>
    <t>0.8 Cap</t>
  </si>
  <si>
    <t>0.5 Cap</t>
  </si>
  <si>
    <t>Ga OSB</t>
  </si>
  <si>
    <t>Ga PLY</t>
  </si>
  <si>
    <t>Ga Gyp</t>
  </si>
  <si>
    <t>DOUBLE 1/2" Gypsum Wallboard with No. 6 Type S or W drywall screws 1-1/4" long at 4"oc edge and 16"oc field</t>
  </si>
  <si>
    <t>3/8" Blocked Wood Structural Panel Sheathing with 8d at 6"oc edge and 12"oc field</t>
  </si>
  <si>
    <t>3/8" Blocked Wood Structural Panel Sheathing with 8d at 4"oc edge and 12"oc field</t>
  </si>
  <si>
    <t>YES</t>
  </si>
  <si>
    <t>SDPWS 2021 Table 4.3A</t>
  </si>
  <si>
    <t>Holdowns</t>
  </si>
  <si>
    <t>2x4 Post</t>
  </si>
  <si>
    <t>2x6 Post</t>
  </si>
  <si>
    <t>Slip</t>
  </si>
  <si>
    <t>DTT1Z</t>
  </si>
  <si>
    <t>DTT2Z</t>
  </si>
  <si>
    <t>2-2x4</t>
  </si>
  <si>
    <t>2-2x6</t>
  </si>
  <si>
    <t>DTT2Z-SDS2.5</t>
  </si>
  <si>
    <t>HDU4-SDS2.5</t>
  </si>
  <si>
    <t>4x8</t>
  </si>
  <si>
    <t>6x6</t>
  </si>
  <si>
    <t>HDQ8-SDS3</t>
  </si>
  <si>
    <t>HHDQ11-SDS2.5</t>
  </si>
  <si>
    <t>4x6</t>
  </si>
  <si>
    <t>HHDQ14-SDS2.5</t>
  </si>
  <si>
    <t>HD3B</t>
  </si>
  <si>
    <t>4x4</t>
  </si>
  <si>
    <t>6x4</t>
  </si>
  <si>
    <t>HD5B</t>
  </si>
  <si>
    <t>HD7B</t>
  </si>
  <si>
    <t>HD9B</t>
  </si>
  <si>
    <t>LTTI31</t>
  </si>
  <si>
    <t>LTTP2</t>
  </si>
  <si>
    <t>HTT4</t>
  </si>
  <si>
    <t>HTT5</t>
  </si>
  <si>
    <t>HTT5KT</t>
  </si>
  <si>
    <t>HTT5-3/4</t>
  </si>
  <si>
    <t>LSTHD8</t>
  </si>
  <si>
    <t>STHD10</t>
  </si>
  <si>
    <t>STHD14</t>
  </si>
  <si>
    <t>Cub</t>
  </si>
  <si>
    <t>TERMINOLOGY:</t>
  </si>
  <si>
    <t>EQUATIONS:</t>
  </si>
  <si>
    <t>δsw</t>
  </si>
  <si>
    <t xml:space="preserve"> = maximum shear wall deflection determined by elastic analysis [in]</t>
  </si>
  <si>
    <t>Shearwall Deflection:</t>
  </si>
  <si>
    <t>h</t>
  </si>
  <si>
    <t xml:space="preserve"> = shear wall height [ft]</t>
  </si>
  <si>
    <t>b</t>
  </si>
  <si>
    <t xml:space="preserve"> = shear wall length [ft]</t>
  </si>
  <si>
    <t>SW_ν</t>
  </si>
  <si>
    <t xml:space="preserve"> = induced unit shear at shear wall (ASD) [plf]</t>
  </si>
  <si>
    <t>SW_E</t>
  </si>
  <si>
    <t xml:space="preserve"> = modulus of elasticity of end posts [psi]</t>
  </si>
  <si>
    <t>SW_A</t>
  </si>
  <si>
    <t xml:space="preserve"> = area of end post cross-section [in2]</t>
  </si>
  <si>
    <t>Simple Span Diaphragm Deflection:</t>
  </si>
  <si>
    <t>SW_Ga</t>
  </si>
  <si>
    <t xml:space="preserve"> = shearwall stiffness coefficient from NDS sheathing tables [k/in]</t>
  </si>
  <si>
    <t>Δa</t>
  </si>
  <si>
    <t xml:space="preserve"> = total vertical elongation of wall anchorage system at "ν" [in]</t>
  </si>
  <si>
    <t xml:space="preserve"> = fastener slip + device elongation + rod elongation (+ other)</t>
  </si>
  <si>
    <t>δdia,s</t>
  </si>
  <si>
    <t xml:space="preserve"> = max mid-span diaphragm deflection determined by elastic analysis [in]</t>
  </si>
  <si>
    <t>L'</t>
  </si>
  <si>
    <t xml:space="preserve"> = diaphragm length, dimension perp. to direction of applied force [ft]</t>
  </si>
  <si>
    <t>W'</t>
  </si>
  <si>
    <t xml:space="preserve"> = diaphragm width, dimension parallel to direction of applied force [ft]</t>
  </si>
  <si>
    <t>D_ν</t>
  </si>
  <si>
    <r>
      <t xml:space="preserve"> = induced unit shear at diaphragm support from </t>
    </r>
    <r>
      <rPr>
        <i/>
        <sz val="10"/>
        <color theme="1"/>
        <rFont val="Arial"/>
        <family val="2"/>
      </rPr>
      <t>w</t>
    </r>
    <r>
      <rPr>
        <sz val="10"/>
        <color theme="1"/>
        <rFont val="Arial"/>
        <family val="2"/>
      </rPr>
      <t xml:space="preserve"> (ASD) [plf] =  </t>
    </r>
    <r>
      <rPr>
        <i/>
        <sz val="10"/>
        <color theme="1"/>
        <rFont val="Arial"/>
        <family val="2"/>
      </rPr>
      <t>w</t>
    </r>
    <r>
      <rPr>
        <sz val="10"/>
        <color theme="1"/>
        <rFont val="Arial"/>
        <family val="2"/>
      </rPr>
      <t xml:space="preserve"> L' / 2W'</t>
    </r>
  </si>
  <si>
    <t>Cantilevered Diaphragm Deflection:</t>
  </si>
  <si>
    <t>D_w</t>
  </si>
  <si>
    <t xml:space="preserve"> = uniform lateral load at diaphragm (ASD) [plf]</t>
  </si>
  <si>
    <t>D_E</t>
  </si>
  <si>
    <t xml:space="preserve"> = modulus of elasticity of diaphragm chords [psi]</t>
  </si>
  <si>
    <t>D_A</t>
  </si>
  <si>
    <t xml:space="preserve"> = area of chord cross-section [in2]</t>
  </si>
  <si>
    <t>D_Ga</t>
  </si>
  <si>
    <t xml:space="preserve"> = diaphragm stiffness coefficient from NDS sheathing tables [k/in]</t>
  </si>
  <si>
    <t>x</t>
  </si>
  <si>
    <t xml:space="preserve"> = distance from chord splice to nearest support [ft]</t>
  </si>
  <si>
    <t>Δc</t>
  </si>
  <si>
    <t xml:space="preserve"> = chord splice slip at "ν" = 2 x (chord force) / (γ n)</t>
  </si>
  <si>
    <t>γ</t>
  </si>
  <si>
    <t xml:space="preserve"> = load/slip modulus for a connection, [lbs/in]</t>
  </si>
  <si>
    <t>Longitudinal Diaphragm Rotation Deflection:</t>
  </si>
  <si>
    <t>n</t>
  </si>
  <si>
    <t xml:space="preserve"> = number of fasteners [no units]</t>
  </si>
  <si>
    <t>Σ</t>
  </si>
  <si>
    <t xml:space="preserve"> = number of chord splices (tyipcally, assume 2 tension and 2 compression = 4) [no unit]</t>
  </si>
  <si>
    <t>δdia,c</t>
  </si>
  <si>
    <t xml:space="preserve"> = max free-edge diaphragm deflection determined by elastic analysis [in]</t>
  </si>
  <si>
    <t>δr</t>
  </si>
  <si>
    <t xml:space="preserve"> = longintudinal deflection of diaphragm due to rotation [in]</t>
  </si>
  <si>
    <t>δi</t>
  </si>
  <si>
    <t xml:space="preserve"> = transverse shear wall deflection due to torsion (δa+δb+δc…) [in]</t>
  </si>
  <si>
    <t>C'</t>
  </si>
  <si>
    <t xml:space="preserve"> = corridor width, dimension perp. To direction of applied load [ft]</t>
  </si>
  <si>
    <r>
      <t>h</t>
    </r>
    <r>
      <rPr>
        <vertAlign val="subscript"/>
        <sz val="10"/>
        <color theme="1"/>
        <rFont val="Arial"/>
        <family val="2"/>
      </rPr>
      <t>max-fl</t>
    </r>
  </si>
  <si>
    <t xml:space="preserve"> = max floor-floor height [ft]</t>
  </si>
  <si>
    <r>
      <t>h</t>
    </r>
    <r>
      <rPr>
        <vertAlign val="subscript"/>
        <sz val="10"/>
        <color theme="1"/>
        <rFont val="Arial"/>
        <family val="2"/>
      </rPr>
      <t>mr</t>
    </r>
  </si>
  <si>
    <t xml:space="preserve"> = mean roof height [ft]</t>
  </si>
  <si>
    <r>
      <t>Δ</t>
    </r>
    <r>
      <rPr>
        <vertAlign val="subscript"/>
        <sz val="10"/>
        <color theme="1"/>
        <rFont val="Arial"/>
        <family val="2"/>
      </rPr>
      <t>max-fl</t>
    </r>
  </si>
  <si>
    <t xml:space="preserve"> = max allowable floor-floor drift, L / xxx [in]</t>
  </si>
  <si>
    <r>
      <t>Δ</t>
    </r>
    <r>
      <rPr>
        <vertAlign val="subscript"/>
        <sz val="10"/>
        <color theme="1"/>
        <rFont val="Arial"/>
        <family val="2"/>
      </rPr>
      <t>mr</t>
    </r>
  </si>
  <si>
    <t xml:space="preserve"> = max allowable total bldg drift, L / xxx [in]</t>
  </si>
  <si>
    <t>Ax</t>
  </si>
  <si>
    <r>
      <t xml:space="preserve"> = torsional amplification factor = (δ</t>
    </r>
    <r>
      <rPr>
        <vertAlign val="subscript"/>
        <sz val="10"/>
        <color theme="1"/>
        <rFont val="Arial"/>
        <family val="2"/>
      </rPr>
      <t>max</t>
    </r>
    <r>
      <rPr>
        <sz val="10"/>
        <color theme="1"/>
        <rFont val="Arial"/>
        <family val="2"/>
      </rPr>
      <t xml:space="preserve"> / 1.2δ</t>
    </r>
    <r>
      <rPr>
        <vertAlign val="subscript"/>
        <sz val="10"/>
        <color theme="1"/>
        <rFont val="Arial"/>
        <family val="2"/>
      </rPr>
      <t>avg</t>
    </r>
    <r>
      <rPr>
        <sz val="10"/>
        <color theme="1"/>
        <rFont val="Arial"/>
        <family val="2"/>
      </rPr>
      <t>)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&gt; 1 and &lt; 3</t>
    </r>
  </si>
  <si>
    <t>K</t>
  </si>
  <si>
    <r>
      <t xml:space="preserve"> = nominal stiffness coefficient [k/in] = force at shearwall over shearwall deflection = F/δ</t>
    </r>
    <r>
      <rPr>
        <vertAlign val="subscript"/>
        <sz val="10"/>
        <color theme="1"/>
        <rFont val="Arial"/>
        <family val="2"/>
      </rPr>
      <t>sw</t>
    </r>
  </si>
  <si>
    <t>MRI</t>
  </si>
  <si>
    <r>
      <t xml:space="preserve"> = </t>
    </r>
    <r>
      <rPr>
        <b/>
        <u/>
        <sz val="10"/>
        <color theme="1"/>
        <rFont val="Arial"/>
        <family val="2"/>
      </rPr>
      <t>M</t>
    </r>
    <r>
      <rPr>
        <sz val="10"/>
        <color theme="1"/>
        <rFont val="Arial"/>
        <family val="2"/>
      </rPr>
      <t xml:space="preserve">ean </t>
    </r>
    <r>
      <rPr>
        <b/>
        <u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 xml:space="preserve">eocurrence </t>
    </r>
    <r>
      <rPr>
        <b/>
        <u/>
        <sz val="10"/>
        <color theme="1"/>
        <rFont val="Arial"/>
        <family val="2"/>
      </rPr>
      <t>I</t>
    </r>
    <r>
      <rPr>
        <sz val="10"/>
        <color theme="1"/>
        <rFont val="Arial"/>
        <family val="2"/>
      </rPr>
      <t>nterval for wind event</t>
    </r>
  </si>
  <si>
    <t>δ,tsw</t>
  </si>
  <si>
    <t xml:space="preserve"> = maximum transverse shear wall deflection determined by elastic analysis [in]</t>
  </si>
  <si>
    <t>DIAPHRAGM SHEAR CAPACITY:</t>
  </si>
  <si>
    <t>Roof:</t>
  </si>
  <si>
    <t>E Factor</t>
  </si>
  <si>
    <t>Case1</t>
  </si>
  <si>
    <t>W Factor</t>
  </si>
  <si>
    <t>Case3</t>
  </si>
  <si>
    <t>https://www.woodworks.org/experttip/are-there-resources-for-obtaining-shear-capacities-for-wood-frame-shear-walls-and-diaphragms-that-utilize-sheathing-thicker-than-given-in-the-sdpws-capacity-tables/</t>
  </si>
  <si>
    <t>10d x 3"</t>
  </si>
  <si>
    <t>15/32</t>
  </si>
  <si>
    <t>2x</t>
  </si>
  <si>
    <t>NOMINAL</t>
  </si>
  <si>
    <t>ULT</t>
  </si>
  <si>
    <t>ASD</t>
  </si>
  <si>
    <t>DEMAND</t>
  </si>
  <si>
    <t>Floor:</t>
  </si>
  <si>
    <t>t =</t>
  </si>
  <si>
    <t>in</t>
  </si>
  <si>
    <t>Fvtv =</t>
  </si>
  <si>
    <t xml:space="preserve">#/in = </t>
  </si>
  <si>
    <t>plf</t>
  </si>
  <si>
    <t>APA D510 - Panel Shear Capacity</t>
  </si>
  <si>
    <t>Group 2 Factor =</t>
  </si>
  <si>
    <t>Cd =</t>
  </si>
  <si>
    <t>APA E315 - Tested Capacities</t>
  </si>
  <si>
    <t xml:space="preserve">Cm, Ct = </t>
  </si>
  <si>
    <t>Fvtv' =</t>
  </si>
  <si>
    <t>APA Q260 - Fastener Capacity</t>
  </si>
  <si>
    <t>Z =</t>
  </si>
  <si>
    <t>#</t>
  </si>
  <si>
    <t>(0.131"x2.5")</t>
  </si>
  <si>
    <t>NDS Table 12Q</t>
  </si>
  <si>
    <t>NDS</t>
  </si>
  <si>
    <t>Cdi =</t>
  </si>
  <si>
    <r>
      <t>Cm, Ct, Cg, C</t>
    </r>
    <r>
      <rPr>
        <sz val="11"/>
        <color theme="1"/>
        <rFont val="Calibri"/>
        <family val="2"/>
      </rPr>
      <t>Δ, Ceg, Ctn =</t>
    </r>
  </si>
  <si>
    <t>Stuc 1 Sheathing =</t>
  </si>
  <si>
    <t>0.9 for non-struc 1 / non-group 1, 1.0 struc 1 group 1</t>
  </si>
  <si>
    <t>3x Nom Framing =</t>
  </si>
  <si>
    <t>0.89 for 2x, 1.0 for 3x or greater</t>
  </si>
  <si>
    <t>Framing 24"oc =</t>
  </si>
  <si>
    <t>Reduce for framing greater than 24"oc</t>
  </si>
  <si>
    <t>Z' =</t>
  </si>
  <si>
    <t>Nails per foot =</t>
  </si>
  <si>
    <t>v' =</t>
  </si>
  <si>
    <t>Z' min =</t>
  </si>
  <si>
    <t>Z' max =</t>
  </si>
  <si>
    <t>WIND or SEISMIC</t>
  </si>
  <si>
    <t>COLLECTOR CAPACITY:</t>
  </si>
  <si>
    <t>Collector:</t>
  </si>
  <si>
    <t>Ta =</t>
  </si>
  <si>
    <t>lb</t>
  </si>
  <si>
    <t>Strap</t>
  </si>
  <si>
    <t>CMST12 =</t>
  </si>
  <si>
    <t>CHORD CAPACITY:</t>
  </si>
  <si>
    <t>Chord:</t>
  </si>
  <si>
    <t>A =</t>
  </si>
  <si>
    <t>in2</t>
  </si>
  <si>
    <t>ft =</t>
  </si>
  <si>
    <t>psi</t>
  </si>
  <si>
    <t>2x6 DF#2 Plate</t>
  </si>
  <si>
    <t>Splice Nails</t>
  </si>
  <si>
    <t>F't =</t>
  </si>
  <si>
    <t>F'z =</t>
  </si>
  <si>
    <t>CMSTC16</t>
  </si>
  <si>
    <t>Ft =</t>
  </si>
  <si>
    <t>n =</t>
  </si>
  <si>
    <t>16d nails</t>
  </si>
  <si>
    <t>x2 straps</t>
  </si>
  <si>
    <t>Fz =</t>
  </si>
  <si>
    <t>Cm =</t>
  </si>
  <si>
    <t>Ct =</t>
  </si>
  <si>
    <t>Cf =</t>
  </si>
  <si>
    <t>Ci =</t>
  </si>
  <si>
    <t>Cg =</t>
  </si>
  <si>
    <t>Cdel =</t>
  </si>
  <si>
    <t>Ceg =</t>
  </si>
  <si>
    <t>Ctn =</t>
  </si>
  <si>
    <t>LATERAL DESIGN:</t>
  </si>
  <si>
    <t>Holdown Schedule (Simpson 2024-2025)</t>
  </si>
  <si>
    <t>DFL #2</t>
  </si>
  <si>
    <t>Diaphragm Sheathing Schedule (SDPWS 2021)</t>
  </si>
  <si>
    <t>1.0 W</t>
  </si>
  <si>
    <t>1.0E</t>
  </si>
  <si>
    <t>1.0 E</t>
  </si>
  <si>
    <t>HD Mark</t>
  </si>
  <si>
    <t>Holdown</t>
  </si>
  <si>
    <t>Cap ASD</t>
  </si>
  <si>
    <t>Level</t>
  </si>
  <si>
    <t>C1E ASD</t>
  </si>
  <si>
    <t>C1W ASD</t>
  </si>
  <si>
    <t>C3E ASD</t>
  </si>
  <si>
    <t>C3W ASD</t>
  </si>
  <si>
    <t>w dia (EW1)</t>
  </si>
  <si>
    <t>D roof</t>
  </si>
  <si>
    <t>psf</t>
  </si>
  <si>
    <t>L roof-ns</t>
  </si>
  <si>
    <t>ft</t>
  </si>
  <si>
    <t>Cs</t>
  </si>
  <si>
    <t>A</t>
  </si>
  <si>
    <t>Roof</t>
  </si>
  <si>
    <t>w dia (NS1)</t>
  </si>
  <si>
    <t>D wall</t>
  </si>
  <si>
    <t>L roof-ew</t>
  </si>
  <si>
    <t>B</t>
  </si>
  <si>
    <t>w dia3</t>
  </si>
  <si>
    <t>Dpartition</t>
  </si>
  <si>
    <t>h wall+para</t>
  </si>
  <si>
    <t>C</t>
  </si>
  <si>
    <t>w dia4</t>
  </si>
  <si>
    <t>V</t>
  </si>
  <si>
    <t>lb (Cs W)</t>
  </si>
  <si>
    <t>D</t>
  </si>
  <si>
    <t>E</t>
  </si>
  <si>
    <t>Lines</t>
  </si>
  <si>
    <t>Trib</t>
  </si>
  <si>
    <t>Wind</t>
  </si>
  <si>
    <t>Seismic</t>
  </si>
  <si>
    <t>F</t>
  </si>
  <si>
    <t>EW-WL1</t>
  </si>
  <si>
    <t>Shearwall Sheathing Schedule (SDPWS 2021)</t>
  </si>
  <si>
    <t>EW-WL2</t>
  </si>
  <si>
    <t>SW Mark</t>
  </si>
  <si>
    <t>Cap ASD W</t>
  </si>
  <si>
    <t>Cap ASD E</t>
  </si>
  <si>
    <t>EW-WL3</t>
  </si>
  <si>
    <t>EW-WL4</t>
  </si>
  <si>
    <t>NS-WL1</t>
  </si>
  <si>
    <t>NS-WL2</t>
  </si>
  <si>
    <t>NS-WL3</t>
  </si>
  <si>
    <t>NS-WL4</t>
  </si>
  <si>
    <t>NS-WL5</t>
  </si>
  <si>
    <t>NS-WL6</t>
  </si>
  <si>
    <t>NS-WL7</t>
  </si>
  <si>
    <t>NS-WL8</t>
  </si>
  <si>
    <t>Shear Wall</t>
  </si>
  <si>
    <t>0.6D</t>
  </si>
  <si>
    <t>1.0W</t>
  </si>
  <si>
    <t>0.6W</t>
  </si>
  <si>
    <t>0.6D+0.6W</t>
  </si>
  <si>
    <t>0.7E</t>
  </si>
  <si>
    <t>0.6D+0.7E</t>
  </si>
  <si>
    <t>Quanity</t>
  </si>
  <si>
    <t>L ft</t>
  </si>
  <si>
    <t>h ft</t>
  </si>
  <si>
    <t>Mr #-ft</t>
  </si>
  <si>
    <t>V #</t>
  </si>
  <si>
    <t>Mot #-ft</t>
  </si>
  <si>
    <t>Mnet</t>
  </si>
  <si>
    <t>Thd #</t>
  </si>
  <si>
    <t>v plf</t>
  </si>
  <si>
    <t>Case</t>
  </si>
  <si>
    <t>EW-WL1.1</t>
  </si>
  <si>
    <t>EW-WL1.2</t>
  </si>
  <si>
    <t>EW-WL1.3</t>
  </si>
  <si>
    <t>EW-WL2.1</t>
  </si>
  <si>
    <t>EW-WL2.2</t>
  </si>
  <si>
    <t>EW-WL2.3</t>
  </si>
  <si>
    <t>EW-WL2.4</t>
  </si>
  <si>
    <t>EW-WL3.1</t>
  </si>
  <si>
    <t>EW-WL3.2</t>
  </si>
  <si>
    <t>EW-WL3.3</t>
  </si>
  <si>
    <t>EW-WL3.4</t>
  </si>
  <si>
    <t>EW-WL4.1</t>
  </si>
  <si>
    <t>EW-WL4.2</t>
  </si>
  <si>
    <t>EW-WL4.3</t>
  </si>
  <si>
    <t>NS-WL1.1</t>
  </si>
  <si>
    <t>NS-WL1.2</t>
  </si>
  <si>
    <t>NS-WL2.1</t>
  </si>
  <si>
    <t>NS-WL2.2</t>
  </si>
  <si>
    <t>NS-WL2.3</t>
  </si>
  <si>
    <t>NS-WL2.4</t>
  </si>
  <si>
    <t>NS-WL3.1</t>
  </si>
  <si>
    <t>NS-WL3.2</t>
  </si>
  <si>
    <t>NS-WL4.1</t>
  </si>
  <si>
    <t>NS-WL4.2</t>
  </si>
  <si>
    <t>NS-WL5.1</t>
  </si>
  <si>
    <t>NS-WL5.2</t>
  </si>
  <si>
    <t>NS-WL5.3</t>
  </si>
  <si>
    <t>NS-WL6.1</t>
  </si>
  <si>
    <t>NS-WL6.2</t>
  </si>
  <si>
    <t>NS-WL6.3</t>
  </si>
  <si>
    <t>NS-WL7.1</t>
  </si>
  <si>
    <t>NS-WL7.2</t>
  </si>
  <si>
    <t>NS-WL8.1</t>
  </si>
  <si>
    <t>NS-WL8.2</t>
  </si>
  <si>
    <t>Blocked 7/16" or 15/32" rated sheathing or OSB one side with #8 screws at 6"oc edge and 12"oc field to studs at 16"oc</t>
  </si>
  <si>
    <t>Table C2.1-1</t>
  </si>
  <si>
    <t>Rn/Ω</t>
  </si>
  <si>
    <t>va max</t>
  </si>
  <si>
    <t>Gyp</t>
  </si>
  <si>
    <t>DFL#2</t>
  </si>
  <si>
    <t>Shear wall Deflection Check:</t>
  </si>
  <si>
    <t>Diaphragm Deflection Check:</t>
  </si>
  <si>
    <t>Simple</t>
  </si>
  <si>
    <t>Story Drift Check:</t>
  </si>
  <si>
    <t>5/16" blocked WSP struc-1 with 6d at 6"oc edge and 12"oc field</t>
  </si>
  <si>
    <t>5/16" blocked WSP struc-1 with 6d at 4"oc edge and 12"oc field</t>
  </si>
  <si>
    <t>5/16" blocked WSP struc-1 with 6d at 3"oc edge and 12"oc field</t>
  </si>
  <si>
    <t>5/16" blocked WSP struc-1 with 6d at 2"oc edge and 12"oc field</t>
  </si>
  <si>
    <t>5/16" blocked WSP sheathing with 6d at 6"oc edge and 12"oc field</t>
  </si>
  <si>
    <t>5/16" blocked WSP sheathing with 6d at 4"oc edge and 12"oc field</t>
  </si>
  <si>
    <t>5/16" blocked WSP sheathing with 6d at 3"oc edge and 12"oc field</t>
  </si>
  <si>
    <t>5/16" blocked WSP sheathing with 6d at 2"oc edge and 12"oc field</t>
  </si>
  <si>
    <t>3/8" blocked WSP sheathing with 6d at 6"oc edge and 12"oc field</t>
  </si>
  <si>
    <t>3/8" blocked WSP sheathing with 6d at 4"oc edge and 12"oc field</t>
  </si>
  <si>
    <t>3/8" blocked WSP sheathing with 6d at 3"oc edge and 12"oc field</t>
  </si>
  <si>
    <t>3/8" blocked WSP sheathing with 6d at 2"oc edge and 12"oc field</t>
  </si>
  <si>
    <t>3/8" (7/16 or 15/32) blocked WSP sheathing with 8d at 6"oc edge and 12"oc field</t>
  </si>
  <si>
    <t>3/8" (7/16 or 15/32) blocked WSP sheathing with 8d at 4"oc edge and 12"oc field</t>
  </si>
  <si>
    <t>3/8" (7/16 or 15/32) blocked WSP sheathing with 8d at 3"oc edge and 12"oc field</t>
  </si>
  <si>
    <t>3/8" (7/16 or 15/32) blocked WSP sheathing with 8d at 2"oc edge and 12"oc field</t>
  </si>
  <si>
    <t>15/32" blocked WSP sheathing with 10d at 6"oc edge and 12"oc field</t>
  </si>
  <si>
    <t>15/32" blocked WSP sheathing with 10d at 4"oc edge and 12"oc field</t>
  </si>
  <si>
    <t>15/32" blocked WSP sheathing with 10d at 3"oc edge and 12"oc field</t>
  </si>
  <si>
    <t>15/32" blocked WSP sheathing with 10d at 2"oc edge and 12"oc field</t>
  </si>
  <si>
    <t>19/32" blocked WSP sheathing with 10d at 6"oc edge and 12"oc field</t>
  </si>
  <si>
    <t>19/32" blocked WSP sheathing with 10d at 4"oc edge and 12"oc field</t>
  </si>
  <si>
    <t>19/32" blocked WSP sheathing with 10d at 3"oc edge and 12"oc field</t>
  </si>
  <si>
    <t>19/32" blocked WSP sheathing with 10d at 2"oc edge and 12"oc field</t>
  </si>
  <si>
    <t>3/8" (7/16 or 15/32) blocked WSP struc-1 with 8d at 6"oc edge and 12"oc field</t>
  </si>
  <si>
    <t>3/8" (7/16 or 15/32) blocked WSP struc-1 with 8d at 4"oc edge and 12"oc field</t>
  </si>
  <si>
    <t>3/8" (7/16 or 15/32) blocked WSP struc-1 with 8d at 3"oc edge and 12"oc field</t>
  </si>
  <si>
    <t>3/8" (7/16 or 15/32) blocked WSP struc-1 with 8d at 2"oc edge and 12"oc field</t>
  </si>
  <si>
    <t>15/32" blocked WSP struc-1 with 10d at 6"oc edge and 12"oc field</t>
  </si>
  <si>
    <t>15/32" blocked WSP struc-1 with 10d at 4"oc edge and 12"oc field</t>
  </si>
  <si>
    <t>15/32" blocked WSP struc-1 with 10d at 3"oc edge and 12"oc field</t>
  </si>
  <si>
    <t>15/32" blocked WSP struc-1 with 10d at 2"oc edge and 12"oc field</t>
  </si>
  <si>
    <t>5/16" blocked plywood siding with 6d galv roofing nail at 6"oc edge and 12"oc field</t>
  </si>
  <si>
    <t>5/16" blocked plywood siding with 6d galv roofing nail at 4"oc edge and 12"oc field</t>
  </si>
  <si>
    <t>5/16" blocked plywood siding with 6d galv roofing nail at 3"oc edge and 12"oc field</t>
  </si>
  <si>
    <t>5/16" blocked plywood siding with 6d galv roofing nail at 2"oc edge and 12"oc field</t>
  </si>
  <si>
    <t>3/8" blocked plywood siding with 8d galv roofing nail at 6"oc edge and 12"oc field</t>
  </si>
  <si>
    <t>3/8" blocked plywood siding with 8d galv roofing nail at 4"oc edge and 12"oc field</t>
  </si>
  <si>
    <t>3/8" blocked plywood siding with 8d galv roofing nail at 3"oc edge and 12"oc field</t>
  </si>
  <si>
    <t>3/8" blocked plywood siding with 8d galv roofing nail at 2"oc edge and 12"oc field</t>
  </si>
  <si>
    <t>1/2" blocked gypsum wallboard with 5d cooler nail at 7"oc edge and 7"oc field</t>
  </si>
  <si>
    <t>1/2" blocked gypsum wallboard with 5d cooler nail at 4"oc edge and 4"oc field</t>
  </si>
  <si>
    <t>1/2" blocked gypsum wallboard with No. 6 Type S or W drywall screws 1-1/4" long at 4"oc edge and 16"oc field</t>
  </si>
  <si>
    <t>1/2" blocked gypsum wallboard with No. 6 Type S or W drywall screws 1-1/4" long at 8"oc edge and 12"oc field</t>
  </si>
  <si>
    <t>1/2" blocked gypsum wallboard with No. 6 Type S or W drywall screws 1-1/4" long at 6"oc edge and 12"oc field</t>
  </si>
  <si>
    <t>5/8" blocked gypsum wallboard with 6d cooler nail at 7"oc edge and 7"oc field</t>
  </si>
  <si>
    <t>5/8" blocked gypsum wallboard with 6d cooler nail at 4"oc edge and 4"oc field</t>
  </si>
  <si>
    <t>5/8" blocked gypsum wallboard with No. 6 Type S or W drywall screws 1-1/4" long at 8"oc edge and 12"oc field</t>
  </si>
  <si>
    <t>5/8" 2PLY blocked gypsum wallboard with 6d cooler nail at 9"oc edge and 9"oc field base ply &amp; 8d cooler nail at 7"oc edge and 7"oc field face ply</t>
  </si>
  <si>
    <t>1/2" blocked gypsum sheathing with 5d galv cooler nail at 4"oc edge and 4"oc field</t>
  </si>
  <si>
    <t>5/8" blocked gypsum sheathing with 6d galv cooler nail at 4"oc edge and 7"oc field</t>
  </si>
  <si>
    <t>HDUE3-SDS3</t>
  </si>
  <si>
    <t>SPF/HF</t>
  </si>
  <si>
    <t>DF/SP</t>
  </si>
  <si>
    <t>HDUE5-SDS3</t>
  </si>
  <si>
    <t>HDUE7-SDS3</t>
  </si>
  <si>
    <t>HDUE9-SDS3.5</t>
  </si>
  <si>
    <t>6x8</t>
  </si>
  <si>
    <t>NA</t>
  </si>
  <si>
    <t>AB Dia</t>
  </si>
  <si>
    <t>HTTH6.5</t>
  </si>
  <si>
    <t>end</t>
  </si>
  <si>
    <t>6" stem</t>
  </si>
  <si>
    <t>SDC</t>
  </si>
  <si>
    <t>corner</t>
  </si>
  <si>
    <t>milddle</t>
  </si>
  <si>
    <t>le / de</t>
  </si>
  <si>
    <t>AB dia</t>
  </si>
  <si>
    <t>condition</t>
  </si>
  <si>
    <t>12" turndown</t>
  </si>
  <si>
    <t>8" stem</t>
  </si>
  <si>
    <t>Anchor</t>
  </si>
  <si>
    <t>AB</t>
  </si>
  <si>
    <t>f'c</t>
  </si>
  <si>
    <t>CDEF</t>
  </si>
  <si>
    <t>86-0.148x2.5 @39</t>
  </si>
  <si>
    <t>98-0.148x2.5 @44</t>
  </si>
  <si>
    <t>Heights</t>
  </si>
  <si>
    <t>L1</t>
  </si>
  <si>
    <t>L2</t>
  </si>
  <si>
    <t>L3</t>
  </si>
  <si>
    <t>L4</t>
  </si>
  <si>
    <t>L5</t>
  </si>
  <si>
    <t>total</t>
  </si>
  <si>
    <t>EW Lines</t>
  </si>
  <si>
    <t>G</t>
  </si>
  <si>
    <t>H</t>
  </si>
  <si>
    <t>I</t>
  </si>
  <si>
    <t>J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</si>
  <si>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</si>
  <si>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</si>
  <si>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</si>
  <si>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</si>
  <si>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</si>
  <si>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</si>
  <si>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</si>
  <si>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</si>
  <si>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</si>
  <si>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</si>
  <si>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W</t>
  </si>
  <si>
    <t>X</t>
  </si>
  <si>
    <t>Y</t>
  </si>
  <si>
    <t>Z</t>
  </si>
  <si>
    <t>NS Lines</t>
  </si>
  <si>
    <t>MWFRS (1.0W)</t>
  </si>
  <si>
    <t>SFRS (1.0E)</t>
  </si>
  <si>
    <t>Wall 1</t>
  </si>
  <si>
    <t>Wall 2</t>
  </si>
  <si>
    <t>Wall</t>
  </si>
  <si>
    <t>w 1.0W</t>
  </si>
  <si>
    <t>w 0.6W</t>
  </si>
  <si>
    <t>left</t>
  </si>
  <si>
    <t>right</t>
  </si>
  <si>
    <t>w 1.0E</t>
  </si>
  <si>
    <t>w 0.7E</t>
  </si>
  <si>
    <t>V 1.0W</t>
  </si>
  <si>
    <t>V 0.6W</t>
  </si>
  <si>
    <t>V 1.0E</t>
  </si>
  <si>
    <t>V 0.7E</t>
  </si>
  <si>
    <t>cumm</t>
  </si>
  <si>
    <t>Length</t>
  </si>
  <si>
    <t>left ft</t>
  </si>
  <si>
    <t>right ft</t>
  </si>
  <si>
    <t>total ft</t>
  </si>
  <si>
    <t>line to line spacing</t>
  </si>
  <si>
    <t>Single or Double Bot Plate</t>
  </si>
  <si>
    <t>single</t>
  </si>
  <si>
    <t>Floor Framing Depth</t>
  </si>
  <si>
    <t>Floor Sheathing Thickness</t>
  </si>
  <si>
    <t>Roof Framing Sheathing</t>
  </si>
  <si>
    <t>stud</t>
  </si>
  <si>
    <t>user add</t>
  </si>
  <si>
    <t>low roof</t>
  </si>
  <si>
    <t>high roof</t>
  </si>
  <si>
    <t>avg (ft)</t>
  </si>
  <si>
    <t>ww</t>
  </si>
  <si>
    <t>Flr Trib</t>
  </si>
  <si>
    <t>Flr Spac</t>
  </si>
  <si>
    <t>Single Interior 2x4 Wall</t>
  </si>
  <si>
    <t>Double Interior 2x4 Wall</t>
  </si>
  <si>
    <t>Single Exterior 2x6 Wall</t>
  </si>
  <si>
    <t>Min Floor Dead Load</t>
  </si>
  <si>
    <t>DL</t>
  </si>
  <si>
    <t>Floor</t>
  </si>
  <si>
    <t>Wall 3</t>
  </si>
  <si>
    <t>Wall 4</t>
  </si>
  <si>
    <t>Wall 5</t>
  </si>
  <si>
    <t>Wall 6</t>
  </si>
  <si>
    <t>V %</t>
  </si>
  <si>
    <t>V0.6W</t>
  </si>
  <si>
    <t>v0.6W</t>
  </si>
  <si>
    <t>V0.7E</t>
  </si>
  <si>
    <t>v0.7E</t>
  </si>
  <si>
    <t>Line</t>
  </si>
  <si>
    <t>SW</t>
  </si>
  <si>
    <t>h (ft)</t>
  </si>
  <si>
    <t>Mot0.6W</t>
  </si>
  <si>
    <t>MnetW</t>
  </si>
  <si>
    <t>INDEX(ITEM PROPERTY,MATCH(ITEM SOURCE, ITEM LIST, 0),0)</t>
  </si>
  <si>
    <t>W Uplift</t>
  </si>
  <si>
    <t>E Uplift</t>
  </si>
  <si>
    <t>90% of Min Roof Dead Load</t>
  </si>
  <si>
    <t>Sds</t>
  </si>
  <si>
    <t>xD psf</t>
  </si>
  <si>
    <t>Rf Space</t>
  </si>
  <si>
    <t>Rf Trib</t>
  </si>
  <si>
    <t>Parapet</t>
  </si>
  <si>
    <t>Mr 0.6D+0.6W</t>
  </si>
  <si>
    <t>Mr 0.6D+0.7E</t>
  </si>
  <si>
    <t>MnetE</t>
  </si>
  <si>
    <t>Mot0.7E</t>
  </si>
  <si>
    <t>TCE</t>
  </si>
  <si>
    <t>TCW</t>
  </si>
  <si>
    <t>Post Offset</t>
  </si>
  <si>
    <t>Holdown Offset</t>
  </si>
  <si>
    <t>Total Offset</t>
  </si>
  <si>
    <t>Assembly</t>
  </si>
  <si>
    <t>Both Sides?</t>
  </si>
  <si>
    <t>0.92 sw</t>
  </si>
  <si>
    <t>NO</t>
  </si>
  <si>
    <t>Double?</t>
  </si>
  <si>
    <t>Blocked</t>
  </si>
  <si>
    <t>66-0.148x2.5 @30</t>
  </si>
  <si>
    <t>76-0.148x2.5 @34</t>
  </si>
  <si>
    <t>50-0.148x2.5 @20</t>
  </si>
  <si>
    <t>50-0.148x2.5 @25</t>
  </si>
  <si>
    <t>30-0.148x2.5 @16</t>
  </si>
  <si>
    <t>36-0.148x2.5 @19</t>
  </si>
  <si>
    <t>22-0.148x2.5 @13</t>
  </si>
  <si>
    <t>26-0.148x2.5 @15</t>
  </si>
  <si>
    <t>18-0.148x2.5 @11</t>
  </si>
  <si>
    <t>22-0.148x2.5 @12</t>
  </si>
  <si>
    <t>14-0.148x2.5 @9</t>
  </si>
  <si>
    <t>16-0.148x2.5 @9</t>
  </si>
  <si>
    <t>12-0.148x2.5 @7</t>
  </si>
  <si>
    <t>14-0.148x2.5 @8</t>
  </si>
  <si>
    <t>100% of Min Roof Dead Load</t>
  </si>
  <si>
    <t>heal (in)</t>
  </si>
  <si>
    <t>Mean Roof Framing Depth</t>
  </si>
  <si>
    <t>P 1.0D</t>
  </si>
  <si>
    <t>P 1.0E</t>
  </si>
  <si>
    <t>P 1.0W</t>
  </si>
  <si>
    <t>Concrete Strength at Anchors</t>
  </si>
  <si>
    <t>Max Shear Wall Stud Spacing</t>
  </si>
  <si>
    <t>Edge Nailing (in o.c.)</t>
  </si>
  <si>
    <t>Wood Post</t>
  </si>
  <si>
    <t>4x10</t>
  </si>
  <si>
    <t>6x10</t>
  </si>
  <si>
    <t>A (in2)</t>
  </si>
  <si>
    <t>Lumber Grade</t>
  </si>
  <si>
    <t>DFL SS</t>
  </si>
  <si>
    <t>DFL #1</t>
  </si>
  <si>
    <t>DFL #3</t>
  </si>
  <si>
    <t>HF SS</t>
  </si>
  <si>
    <t>HF #1</t>
  </si>
  <si>
    <t>HF #2</t>
  </si>
  <si>
    <t>HF #3</t>
  </si>
  <si>
    <t>SP SS</t>
  </si>
  <si>
    <t>SP #1</t>
  </si>
  <si>
    <t>SP #2</t>
  </si>
  <si>
    <t>SP #3</t>
  </si>
  <si>
    <t>SPF SS</t>
  </si>
  <si>
    <t>SPF #1</t>
  </si>
  <si>
    <t>SPF #2</t>
  </si>
  <si>
    <t>SPF #3</t>
  </si>
  <si>
    <t>Fb</t>
  </si>
  <si>
    <t>Ft</t>
  </si>
  <si>
    <t>Fv</t>
  </si>
  <si>
    <t>Fcperp</t>
  </si>
  <si>
    <t>Fc</t>
  </si>
  <si>
    <t>Emin</t>
  </si>
  <si>
    <t>footing</t>
  </si>
  <si>
    <t>Req AB Dia</t>
  </si>
  <si>
    <t>(or OSB)</t>
  </si>
  <si>
    <t>AB f'c</t>
  </si>
  <si>
    <t>HDUE13-SDS3.5 (a)</t>
  </si>
  <si>
    <t>HDUE13-SDS3.5 (b)</t>
  </si>
  <si>
    <t>HDUE13-SDS3.5 (c)</t>
  </si>
  <si>
    <t>HDUE17-SDS4.5 (a)</t>
  </si>
  <si>
    <t>HDUE17-SDS4.5 (b)</t>
  </si>
  <si>
    <t>HD12 (a)</t>
  </si>
  <si>
    <t>HD12 (b)</t>
  </si>
  <si>
    <t>HD19 (a)</t>
  </si>
  <si>
    <t>HD19 (b)</t>
  </si>
  <si>
    <t>CMST12 (a)</t>
  </si>
  <si>
    <t>CMST12 (b)</t>
  </si>
  <si>
    <t>CMST14 (a)</t>
  </si>
  <si>
    <t>CMST14 (b)</t>
  </si>
  <si>
    <t>CMSTC16 (a)</t>
  </si>
  <si>
    <t>CMSTC16 (b)</t>
  </si>
  <si>
    <t>CS14 (a)</t>
  </si>
  <si>
    <t>CS14 (b)</t>
  </si>
  <si>
    <t>CS16 (a)</t>
  </si>
  <si>
    <t>CS16 (b)</t>
  </si>
  <si>
    <t>CS18 (a)</t>
  </si>
  <si>
    <t>CS18 (b)</t>
  </si>
  <si>
    <t>CS20 (a)</t>
  </si>
  <si>
    <t>CS20 (b)</t>
  </si>
  <si>
    <t>CS22 (a)</t>
  </si>
  <si>
    <t>CS22 (b)</t>
  </si>
  <si>
    <t>SABR5/8x24 (a)</t>
  </si>
  <si>
    <t>SABR5/8x24 (b)</t>
  </si>
  <si>
    <t>SABR5/8x24 (c)</t>
  </si>
  <si>
    <t>SABR5/8x24 (d)</t>
  </si>
  <si>
    <t>SABR3/4x26 (a)</t>
  </si>
  <si>
    <t>SABR3/4x26 (b)</t>
  </si>
  <si>
    <t>SABR7/8x28 (a)</t>
  </si>
  <si>
    <t>SABR7/8x28 (b)</t>
  </si>
  <si>
    <t>SABR7/8x28 (c)</t>
  </si>
  <si>
    <t>SABR7/8x28 (d)</t>
  </si>
  <si>
    <t>SABR1x30 (a)</t>
  </si>
  <si>
    <t>SABR1x30 (b)</t>
  </si>
  <si>
    <t>SABR1x30 (c)</t>
  </si>
  <si>
    <t>SABR1x30 (d)</t>
  </si>
  <si>
    <t>SABR114x32 (a)</t>
  </si>
  <si>
    <t>SABR114x32 (b)</t>
  </si>
  <si>
    <t>SABR114x32 (c)</t>
  </si>
  <si>
    <t>SABR114x32 (d)</t>
  </si>
  <si>
    <t>SSTB16 (a)</t>
  </si>
  <si>
    <t>SSTB16 (b)</t>
  </si>
  <si>
    <t>SSTB20 (a)</t>
  </si>
  <si>
    <t>SSTB20 (b)</t>
  </si>
  <si>
    <t>SSTB24 (a)</t>
  </si>
  <si>
    <t>SSTB24 (b)</t>
  </si>
  <si>
    <t>SSTB28 (a)</t>
  </si>
  <si>
    <t>SSTB28 (b)</t>
  </si>
  <si>
    <t>SSTB34 (a)</t>
  </si>
  <si>
    <t>SSTB34 (b)</t>
  </si>
  <si>
    <t>PAB4 (a)</t>
  </si>
  <si>
    <t>PAB4 (b)</t>
  </si>
  <si>
    <t>PAB4 (c)</t>
  </si>
  <si>
    <t>PAB4 (d)</t>
  </si>
  <si>
    <t>PAB5 (a)</t>
  </si>
  <si>
    <t>PAB5 (b)</t>
  </si>
  <si>
    <t>PAB5 (c)</t>
  </si>
  <si>
    <t>PAB5 (d)</t>
  </si>
  <si>
    <t>PAB5 (e)</t>
  </si>
  <si>
    <t>PAB5 (f)</t>
  </si>
  <si>
    <t>PAB5H (a)</t>
  </si>
  <si>
    <t>PAB5H (b)</t>
  </si>
  <si>
    <t>PAB5H (c)</t>
  </si>
  <si>
    <t>PAB5H (d)</t>
  </si>
  <si>
    <t>PAB5H (e)</t>
  </si>
  <si>
    <t>PAB5H (f)</t>
  </si>
  <si>
    <t>PAB5H (g)</t>
  </si>
  <si>
    <t>PAB5H (h)</t>
  </si>
  <si>
    <t>PAB6 (a)</t>
  </si>
  <si>
    <t>PAB6 (b)</t>
  </si>
  <si>
    <t>PAB6 (c)</t>
  </si>
  <si>
    <t>PAB6 (d)</t>
  </si>
  <si>
    <t>PAB6 (e)</t>
  </si>
  <si>
    <t>PAB6 (f)</t>
  </si>
  <si>
    <t>PAB6 (g)</t>
  </si>
  <si>
    <t>PAB6 (h)</t>
  </si>
  <si>
    <t>PAB7 (a)</t>
  </si>
  <si>
    <t>PAB7 (b)</t>
  </si>
  <si>
    <t>PAB7 (c)</t>
  </si>
  <si>
    <t>PAB7 (d)</t>
  </si>
  <si>
    <t>PAB7 (e)</t>
  </si>
  <si>
    <t>PAB7 (f)</t>
  </si>
  <si>
    <t>PAB7 (g)</t>
  </si>
  <si>
    <t>PAB7 (h)</t>
  </si>
  <si>
    <t>PAB7H (a)</t>
  </si>
  <si>
    <t>PAB7H (b)</t>
  </si>
  <si>
    <t>PAB7H (c)</t>
  </si>
  <si>
    <t>PAB7H (d)</t>
  </si>
  <si>
    <t>PAB7H (e)</t>
  </si>
  <si>
    <t>PAB7H (f)</t>
  </si>
  <si>
    <t>PAB7H (g)</t>
  </si>
  <si>
    <t>PAB7H (h)</t>
  </si>
  <si>
    <t>PAB8 (a)</t>
  </si>
  <si>
    <t>PAB8 (b)</t>
  </si>
  <si>
    <t>PAB8 (c)</t>
  </si>
  <si>
    <t>PAB8 (d)</t>
  </si>
  <si>
    <t>PAB8 (e)</t>
  </si>
  <si>
    <t>PAB8 (f)</t>
  </si>
  <si>
    <t>PAB8 (g)</t>
  </si>
  <si>
    <t>PAB8 (h)</t>
  </si>
  <si>
    <t>PAB8H (a)</t>
  </si>
  <si>
    <t>PAB8H (b)</t>
  </si>
  <si>
    <t>PAB8H (c)</t>
  </si>
  <si>
    <t>PAB8H (d)</t>
  </si>
  <si>
    <t>PAB8H (e)</t>
  </si>
  <si>
    <t>PAB8H (f)</t>
  </si>
  <si>
    <t>PAB8H (g)</t>
  </si>
  <si>
    <t>PAB8H (h)</t>
  </si>
  <si>
    <t>PAB9 (a)</t>
  </si>
  <si>
    <t>PAB9 (b)</t>
  </si>
  <si>
    <t>PAB9 (c)</t>
  </si>
  <si>
    <t>PAB9 (d)</t>
  </si>
  <si>
    <t>PAB9 (e)</t>
  </si>
  <si>
    <t>PAB9 (f)</t>
  </si>
  <si>
    <t>PAB9 (g)</t>
  </si>
  <si>
    <t>PAB9 (h)</t>
  </si>
  <si>
    <t>PAB10 (a)</t>
  </si>
  <si>
    <t>PAB10 (b)</t>
  </si>
  <si>
    <t>PAB10 (d)</t>
  </si>
  <si>
    <t>PAB10 (e)</t>
  </si>
  <si>
    <t>PAB10 (c)</t>
  </si>
  <si>
    <t>PAB10 (f)</t>
  </si>
  <si>
    <t>HD Cap</t>
  </si>
  <si>
    <t>AB F</t>
  </si>
  <si>
    <t>AB le/de</t>
  </si>
  <si>
    <t>AB Mid</t>
  </si>
  <si>
    <t>AB Corner</t>
  </si>
  <si>
    <t>AB End</t>
  </si>
  <si>
    <t>AB SDC</t>
  </si>
  <si>
    <t>Condition</t>
  </si>
  <si>
    <t>1.0-(0.5-Ga) =</t>
  </si>
  <si>
    <r>
      <rPr>
        <sz val="11"/>
        <color theme="1"/>
        <rFont val="Aptos Narrow"/>
        <family val="2"/>
      </rPr>
      <t>Ω</t>
    </r>
    <r>
      <rPr>
        <sz val="7.7"/>
        <color theme="1"/>
        <rFont val="Aptos Narrow"/>
        <family val="2"/>
      </rPr>
      <t>=2.0</t>
    </r>
  </si>
  <si>
    <r>
      <t>Ω</t>
    </r>
    <r>
      <rPr>
        <sz val="7.7"/>
        <color theme="1"/>
        <rFont val="Aptos Narrow"/>
        <family val="2"/>
      </rPr>
      <t>=2.8</t>
    </r>
  </si>
  <si>
    <r>
      <rPr>
        <sz val="11"/>
        <color theme="1"/>
        <rFont val="Aptos Narrow"/>
        <family val="2"/>
      </rPr>
      <t>φ</t>
    </r>
    <r>
      <rPr>
        <sz val="7.7"/>
        <color theme="1"/>
        <rFont val="Aptos Narrow"/>
        <family val="2"/>
      </rPr>
      <t>=0.8</t>
    </r>
  </si>
  <si>
    <r>
      <t>φ</t>
    </r>
    <r>
      <rPr>
        <sz val="7.7"/>
        <color theme="1"/>
        <rFont val="Aptos Narrow"/>
        <family val="2"/>
      </rPr>
      <t>=0.5</t>
    </r>
  </si>
  <si>
    <t>AR</t>
  </si>
  <si>
    <t>Car</t>
  </si>
  <si>
    <t>marks</t>
  </si>
  <si>
    <t>sheath</t>
  </si>
  <si>
    <t>holdown</t>
  </si>
  <si>
    <t>va E</t>
  </si>
  <si>
    <t>va W</t>
  </si>
  <si>
    <t>hd</t>
  </si>
  <si>
    <t>user override stud height if required each level</t>
  </si>
  <si>
    <t>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</si>
</sst>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\ &quot;plf&quot;"/>
    <numFmt numFmtId="166" formatCode="0\ &quot;#&quot;"/>
  </numFmts>
  <fonts count="2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i/>
      <sz val="11"/>
      <color theme="1"/>
      <name val="Aptos Narrow"/>
      <family val="2"/>
      <scheme val="minor"/>
    </font>
    <font>
      <i/>
      <sz val="10"/>
      <color theme="1"/>
      <name val="Arial"/>
      <family val="2"/>
    </font>
    <font>
      <sz val="10"/>
      <color theme="1"/>
      <name val="Calibri"/>
      <family val="2"/>
    </font>
    <font>
      <vertAlign val="sub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Aptos Narrow"/>
      <family val="2"/>
      <scheme val="minor"/>
    </font>
    <font>
      <b/>
      <i/>
      <u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sz val="7.7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quotePrefix="1" applyFont="1"/>
    <xf numFmtId="0" fontId="7" fillId="0" borderId="0" xfId="0" applyFont="1"/>
    <xf numFmtId="0" fontId="6" fillId="0" borderId="0" xfId="0" quotePrefix="1" applyFont="1" applyAlignment="1">
      <alignment vertical="top"/>
    </xf>
    <xf numFmtId="0" fontId="6" fillId="0" borderId="0" xfId="0" quotePrefix="1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0" xfId="0" quotePrefix="1"/>
    <xf numFmtId="0" fontId="13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5" fillId="0" borderId="0" xfId="0" applyFont="1"/>
    <xf numFmtId="0" fontId="0" fillId="2" borderId="0" xfId="0" applyFill="1"/>
    <xf numFmtId="0" fontId="14" fillId="0" borderId="0" xfId="0" applyFont="1" applyAlignment="1">
      <alignment horizontal="right"/>
    </xf>
    <xf numFmtId="0" fontId="16" fillId="0" borderId="0" xfId="0" applyFont="1"/>
    <xf numFmtId="0" fontId="17" fillId="0" borderId="0" xfId="0" applyFont="1"/>
    <xf numFmtId="0" fontId="17" fillId="0" borderId="1" xfId="0" applyFont="1" applyBorder="1"/>
    <xf numFmtId="0" fontId="17" fillId="0" borderId="2" xfId="0" applyFont="1" applyBorder="1"/>
    <xf numFmtId="0" fontId="17" fillId="0" borderId="3" xfId="0" applyFont="1" applyBorder="1" applyAlignment="1">
      <alignment horizontal="right"/>
    </xf>
    <xf numFmtId="0" fontId="17" fillId="0" borderId="3" xfId="0" applyFont="1" applyBorder="1"/>
    <xf numFmtId="0" fontId="17" fillId="0" borderId="0" xfId="0" applyFont="1" applyAlignment="1">
      <alignment horizontal="right"/>
    </xf>
    <xf numFmtId="0" fontId="17" fillId="0" borderId="4" xfId="0" applyFont="1" applyBorder="1"/>
    <xf numFmtId="0" fontId="17" fillId="0" borderId="0" xfId="0" applyFont="1" applyAlignment="1">
      <alignment horizontal="left"/>
    </xf>
    <xf numFmtId="0" fontId="17" fillId="0" borderId="5" xfId="0" applyFont="1" applyBorder="1" applyAlignment="1">
      <alignment horizontal="right"/>
    </xf>
    <xf numFmtId="0" fontId="17" fillId="0" borderId="4" xfId="0" applyFont="1" applyBorder="1" applyAlignment="1">
      <alignment horizontal="left"/>
    </xf>
    <xf numFmtId="0" fontId="17" fillId="2" borderId="0" xfId="0" applyFont="1" applyFill="1"/>
    <xf numFmtId="165" fontId="17" fillId="2" borderId="0" xfId="0" applyNumberFormat="1" applyFont="1" applyFill="1"/>
    <xf numFmtId="166" fontId="17" fillId="0" borderId="0" xfId="0" applyNumberFormat="1" applyFont="1" applyAlignment="1">
      <alignment horizontal="right"/>
    </xf>
    <xf numFmtId="0" fontId="17" fillId="0" borderId="6" xfId="0" applyFont="1" applyBorder="1" applyAlignment="1">
      <alignment horizontal="left"/>
    </xf>
    <xf numFmtId="165" fontId="17" fillId="0" borderId="7" xfId="0" applyNumberFormat="1" applyFont="1" applyBorder="1"/>
    <xf numFmtId="165" fontId="17" fillId="0" borderId="8" xfId="0" applyNumberFormat="1" applyFont="1" applyBorder="1"/>
    <xf numFmtId="0" fontId="17" fillId="0" borderId="6" xfId="0" applyFont="1" applyBorder="1"/>
    <xf numFmtId="0" fontId="17" fillId="2" borderId="7" xfId="0" applyFont="1" applyFill="1" applyBorder="1"/>
    <xf numFmtId="166" fontId="17" fillId="0" borderId="7" xfId="0" applyNumberFormat="1" applyFont="1" applyBorder="1" applyAlignment="1">
      <alignment horizontal="right"/>
    </xf>
    <xf numFmtId="0" fontId="17" fillId="0" borderId="7" xfId="0" applyFont="1" applyBorder="1" applyAlignment="1">
      <alignment horizontal="right"/>
    </xf>
    <xf numFmtId="0" fontId="17" fillId="0" borderId="8" xfId="0" applyFont="1" applyBorder="1" applyAlignment="1">
      <alignment horizontal="right"/>
    </xf>
    <xf numFmtId="164" fontId="17" fillId="0" borderId="0" xfId="0" applyNumberFormat="1" applyFont="1"/>
    <xf numFmtId="0" fontId="17" fillId="0" borderId="5" xfId="0" applyFont="1" applyBorder="1"/>
    <xf numFmtId="165" fontId="17" fillId="0" borderId="0" xfId="0" applyNumberFormat="1" applyFont="1"/>
    <xf numFmtId="0" fontId="17" fillId="0" borderId="7" xfId="0" applyFont="1" applyBorder="1"/>
    <xf numFmtId="0" fontId="17" fillId="0" borderId="8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0" xfId="0" applyFont="1"/>
    <xf numFmtId="0" fontId="18" fillId="0" borderId="13" xfId="0" applyFont="1" applyBorder="1"/>
    <xf numFmtId="1" fontId="17" fillId="0" borderId="0" xfId="0" applyNumberFormat="1" applyFont="1"/>
    <xf numFmtId="1" fontId="17" fillId="0" borderId="0" xfId="0" applyNumberFormat="1" applyFont="1" applyAlignment="1">
      <alignment horizontal="right"/>
    </xf>
    <xf numFmtId="1" fontId="18" fillId="0" borderId="0" xfId="0" applyNumberFormat="1" applyFont="1"/>
    <xf numFmtId="0" fontId="18" fillId="0" borderId="14" xfId="0" applyFont="1" applyBorder="1"/>
    <xf numFmtId="0" fontId="18" fillId="0" borderId="15" xfId="0" applyFont="1" applyBorder="1"/>
    <xf numFmtId="1" fontId="18" fillId="0" borderId="15" xfId="0" applyNumberFormat="1" applyFont="1" applyBorder="1"/>
    <xf numFmtId="0" fontId="18" fillId="0" borderId="16" xfId="0" applyFont="1" applyBorder="1"/>
    <xf numFmtId="0" fontId="19" fillId="0" borderId="0" xfId="0" applyFont="1"/>
    <xf numFmtId="0" fontId="20" fillId="0" borderId="0" xfId="0" applyFont="1"/>
    <xf numFmtId="0" fontId="19" fillId="2" borderId="0" xfId="0" applyFont="1" applyFill="1"/>
    <xf numFmtId="0" fontId="21" fillId="0" borderId="0" xfId="0" applyFont="1"/>
    <xf numFmtId="0" fontId="0" fillId="2" borderId="0" xfId="0" applyFill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0" fillId="3" borderId="0" xfId="0" applyFill="1"/>
    <xf numFmtId="0" fontId="2" fillId="0" borderId="0" xfId="0" applyFont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/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6" borderId="0" xfId="0" applyFill="1" applyAlignment="1">
      <alignment horizontal="right"/>
    </xf>
    <xf numFmtId="0" fontId="0" fillId="6" borderId="0" xfId="0" applyFill="1"/>
    <xf numFmtId="0" fontId="0" fillId="7" borderId="0" xfId="0" applyFill="1" applyAlignment="1">
      <alignment horizontal="right"/>
    </xf>
    <xf numFmtId="0" fontId="0" fillId="7" borderId="0" xfId="0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1" xfId="0" applyBorder="1"/>
    <xf numFmtId="0" fontId="0" fillId="0" borderId="2" xfId="0" applyBorder="1"/>
    <xf numFmtId="0" fontId="3" fillId="2" borderId="2" xfId="0" applyFont="1" applyFill="1" applyBorder="1"/>
    <xf numFmtId="1" fontId="0" fillId="0" borderId="2" xfId="0" applyNumberForma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3" fillId="2" borderId="7" xfId="0" applyFont="1" applyFill="1" applyBorder="1"/>
    <xf numFmtId="1" fontId="0" fillId="0" borderId="7" xfId="0" applyNumberFormat="1" applyBorder="1"/>
    <xf numFmtId="0" fontId="0" fillId="2" borderId="2" xfId="0" applyFill="1" applyBorder="1"/>
    <xf numFmtId="0" fontId="0" fillId="0" borderId="3" xfId="0" applyBorder="1"/>
    <xf numFmtId="0" fontId="0" fillId="0" borderId="5" xfId="0" applyBorder="1"/>
    <xf numFmtId="0" fontId="0" fillId="2" borderId="7" xfId="0" applyFill="1" applyBorder="1"/>
    <xf numFmtId="0" fontId="0" fillId="0" borderId="8" xfId="0" applyBorder="1"/>
    <xf numFmtId="0" fontId="0" fillId="0" borderId="7" xfId="0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2" borderId="2" xfId="0" applyFill="1" applyBorder="1" applyAlignment="1">
      <alignment horizontal="right"/>
    </xf>
    <xf numFmtId="0" fontId="22" fillId="0" borderId="0" xfId="0" applyFont="1"/>
    <xf numFmtId="10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5" xfId="0" applyFill="1" applyBorder="1"/>
    <xf numFmtId="1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center"/>
    </xf>
    <xf numFmtId="2" fontId="0" fillId="0" borderId="0" xfId="0" applyNumberFormat="1" applyFill="1"/>
    <xf numFmtId="10" fontId="0" fillId="0" borderId="0" xfId="0" applyNumberFormat="1" applyFill="1"/>
    <xf numFmtId="2" fontId="0" fillId="0" borderId="0" xfId="0" applyNumberFormat="1" applyFill="1" applyAlignment="1">
      <alignment horizontal="left"/>
    </xf>
    <xf numFmtId="1" fontId="0" fillId="0" borderId="0" xfId="0" applyNumberFormat="1" applyFill="1" applyAlignment="1">
      <alignment horizontal="left"/>
    </xf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</cellXfs>
  <cellStyles count="1">
    <cellStyle name="Normal" xfId="0" builtinId="0"/>
  </cellStyles>
  <dxfs count="47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657224</xdr:colOff>
      <xdr:row>73</xdr:row>
      <xdr:rowOff>19050</xdr:rowOff>
    </xdr:from>
    <xdr:ext cx="5915025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E429E51-B37D-45E8-AA33-460C4B47FD54}"/>
                </a:ext>
              </a:extLst>
            </xdr:cNvPr>
            <xdr:cNvSpPr txBox="1"/>
          </xdr:nvSpPr>
          <xdr:spPr>
            <a:xfrm>
              <a:off x="6515099" y="11858625"/>
              <a:ext cx="5915025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δ</m:t>
                        </m:r>
                      </m:e>
                      <m:sub>
                        <m:r>
                          <a:rPr lang="en-US" sz="1100" b="0" i="1">
                            <a:latin typeface="Cambria Math"/>
                          </a:rPr>
                          <m:t>𝑆𝑊</m:t>
                        </m:r>
                      </m:sub>
                    </m:sSub>
                    <m:r>
                      <a:rPr lang="en-US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8(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𝑆𝑊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h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𝑆𝑊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100" b="0" i="1">
                            <a:latin typeface="Cambria Math"/>
                          </a:rPr>
                          <m:t>𝐸</m:t>
                        </m:r>
                        <m:r>
                          <a:rPr lang="en-US" sz="1100" b="0" i="1">
                            <a:latin typeface="Cambria Math"/>
                          </a:rPr>
                          <m:t>)(</m:t>
                        </m:r>
                        <m:r>
                          <a:rPr lang="en-US" sz="1100" b="0" i="1">
                            <a:latin typeface="Cambria Math"/>
                          </a:rPr>
                          <m:t>𝑆𝑊</m:t>
                        </m:r>
                        <m:r>
                          <a:rPr lang="en-US" sz="1100" b="0" i="1">
                            <a:latin typeface="Cambria Math"/>
                          </a:rPr>
                          <m:t>_</m:t>
                        </m:r>
                        <m:r>
                          <a:rPr lang="en-US" sz="1100" b="0" i="1">
                            <a:latin typeface="Cambria Math"/>
                          </a:rPr>
                          <m:t>𝐴</m:t>
                        </m:r>
                        <m:r>
                          <a:rPr lang="en-US" sz="1100" b="0" i="1">
                            <a:latin typeface="Cambria Math"/>
                          </a:rPr>
                          <m:t>)</m:t>
                        </m:r>
                        <m:r>
                          <a:rPr lang="en-US" sz="1100" b="0" i="1">
                            <a:latin typeface="Cambria Math"/>
                          </a:rPr>
                          <m:t>𝑏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𝑆𝑊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h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1000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𝑆𝑊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𝐺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h</m:t>
                            </m:r>
                            <m:r>
                              <m:rPr>
                                <m:sty m:val="p"/>
                              </m:r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𝑏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𝑏𝑒𝑛𝑑𝑖𝑛𝑔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𝑠h𝑒𝑎𝑟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𝑤𝑎𝑙𝑙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𝑎𝑛𝑐h𝑜𝑟𝑎𝑔𝑒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E429E51-B37D-45E8-AA33-460C4B47FD54}"/>
                </a:ext>
              </a:extLst>
            </xdr:cNvPr>
            <xdr:cNvSpPr txBox="1"/>
          </xdr:nvSpPr>
          <xdr:spPr>
            <a:xfrm>
              <a:off x="6515099" y="11858625"/>
              <a:ext cx="5915025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latin typeface="Cambria Math"/>
                </a:rPr>
                <a:t>𝑆𝑊=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8(𝑆𝑊_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(𝑆𝑊_</a:t>
              </a:r>
              <a:r>
                <a:rPr lang="en-US" sz="1100" b="0" i="0">
                  <a:latin typeface="Cambria Math"/>
                </a:rPr>
                <a:t>𝐸)(𝑆𝑊_𝐴)𝑏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(𝑆𝑊_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1000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(𝑆𝑊_𝐺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𝑎)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ℎ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𝑏=𝑏𝑒𝑛𝑑𝑖𝑛𝑔+𝑠ℎ𝑒𝑎𝑟+𝑤𝑎𝑙𝑙 𝑎𝑛𝑐ℎ𝑜𝑟𝑎𝑔𝑒 𝑠𝑙𝑖𝑝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78</xdr:row>
      <xdr:rowOff>9525</xdr:rowOff>
    </xdr:from>
    <xdr:ext cx="7059706" cy="9869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5936244-4D7E-41CA-9CF5-B84A7DD0CD15}"/>
                </a:ext>
              </a:extLst>
            </xdr:cNvPr>
            <xdr:cNvSpPr txBox="1"/>
          </xdr:nvSpPr>
          <xdr:spPr>
            <a:xfrm>
              <a:off x="6515100" y="12658725"/>
              <a:ext cx="7059706" cy="9869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δ</m:t>
                        </m:r>
                      </m:e>
                      <m:sub>
                        <m:r>
                          <a:rPr lang="en-US" sz="1100" b="0" i="1">
                            <a:latin typeface="Cambria Math"/>
                          </a:rPr>
                          <m:t>𝑑𝑖𝑎</m:t>
                        </m:r>
                      </m:sub>
                    </m:sSub>
                    <m:r>
                      <a:rPr lang="en-US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5(</m:t>
                        </m:r>
                        <m:r>
                          <a:rPr lang="en-US" sz="1100" b="0" i="1">
                            <a:latin typeface="Cambria Math"/>
                          </a:rPr>
                          <m:t>𝐷</m:t>
                        </m:r>
                        <m:r>
                          <a:rPr lang="en-US" sz="1100" b="0" i="1">
                            <a:latin typeface="Cambria Math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′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/>
                          </a:rPr>
                          <m:t>8(</m:t>
                        </m:r>
                        <m:r>
                          <a:rPr lang="en-US" sz="1100" b="0" i="1">
                            <a:latin typeface="Cambria Math"/>
                          </a:rPr>
                          <m:t>𝐷</m:t>
                        </m:r>
                        <m:r>
                          <a:rPr lang="en-US" sz="1100" b="0" i="1">
                            <a:latin typeface="Cambria Math"/>
                          </a:rPr>
                          <m:t>_</m:t>
                        </m:r>
                        <m:r>
                          <a:rPr lang="en-US" sz="1100" b="0" i="1">
                            <a:latin typeface="Cambria Math"/>
                          </a:rPr>
                          <m:t>𝐸</m:t>
                        </m:r>
                        <m:r>
                          <a:rPr lang="en-US" sz="1100" b="0" i="1">
                            <a:latin typeface="Cambria Math"/>
                          </a:rPr>
                          <m:t>)(</m:t>
                        </m:r>
                        <m:r>
                          <a:rPr lang="en-US" sz="1100" b="0" i="1">
                            <a:latin typeface="Cambria Math"/>
                          </a:rPr>
                          <m:t>𝐷</m:t>
                        </m:r>
                        <m:r>
                          <a:rPr lang="en-US" sz="1100" b="0" i="1">
                            <a:latin typeface="Cambria Math"/>
                          </a:rPr>
                          <m:t>_</m:t>
                        </m:r>
                        <m:r>
                          <a:rPr lang="en-US" sz="1100" b="0" i="1">
                            <a:latin typeface="Cambria Math"/>
                          </a:rPr>
                          <m:t>𝐴</m:t>
                        </m:r>
                        <m:r>
                          <a:rPr lang="en-US" sz="1100" b="0" i="1">
                            <a:latin typeface="Cambria Math"/>
                          </a:rPr>
                          <m:t>)</m:t>
                        </m:r>
                        <m:r>
                          <a:rPr lang="en-US" sz="1100" b="0" i="1">
                            <a:latin typeface="Cambria Math"/>
                          </a:rPr>
                          <m:t>𝑊</m:t>
                        </m:r>
                        <m:r>
                          <a:rPr lang="en-US" sz="1100" b="0" i="1">
                            <a:latin typeface="Cambria Math"/>
                          </a:rPr>
                          <m:t>′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0.25(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𝐷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𝐿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′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1000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𝐷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𝐺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Σ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m:rPr>
                                <m:sty m:val="p"/>
                              </m:r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𝑐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𝑊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′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𝑏𝑒𝑛𝑑𝑖𝑛𝑔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𝑐h𝑜𝑟𝑑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𝑑𝑒𝑓𝑜𝑟𝑚𝑎𝑡𝑖𝑜𝑛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𝑒𝑥𝑐𝑙𝑢𝑑𝑖𝑛𝑔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𝑠h𝑒𝑎𝑟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𝑝𝑎𝑛𝑒𝑙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𝑠h𝑒𝑎𝑟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𝑎𝑛𝑑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𝑛𝑎𝑖𝑙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𝑏𝑒𝑛𝑑𝑖𝑛𝑔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𝑐h𝑜𝑟𝑑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𝑠𝑙𝑝𝑙𝑖𝑐𝑒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5936244-4D7E-41CA-9CF5-B84A7DD0CD15}"/>
                </a:ext>
              </a:extLst>
            </xdr:cNvPr>
            <xdr:cNvSpPr txBox="1"/>
          </xdr:nvSpPr>
          <xdr:spPr>
            <a:xfrm>
              <a:off x="6515100" y="12658725"/>
              <a:ext cx="7059706" cy="9869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latin typeface="Cambria Math"/>
                </a:rPr>
                <a:t>𝑑𝑖𝑎=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/>
                </a:rPr>
                <a:t>5(𝐷_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𝐿′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latin typeface="Cambria Math"/>
                </a:rPr>
                <a:t>8(𝐷_𝐸)(𝐷_𝐴)𝑊′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0.25(𝐷_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)𝐿′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1000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(𝐷_𝐺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𝑎)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Σ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(𝑥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𝑐)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2𝑊′  =𝑏𝑒𝑛𝑑𝑖𝑛𝑔, 𝑐ℎ𝑜𝑟𝑑 𝑑𝑒𝑓𝑜𝑟𝑚𝑎𝑡𝑖𝑜𝑛 𝑒𝑥𝑐𝑙𝑢𝑑𝑖𝑛𝑔 𝑠𝑙𝑖𝑝+𝑠ℎ𝑒𝑎𝑟, 𝑝𝑎𝑛𝑒𝑙 𝑠ℎ𝑒𝑎𝑟 𝑎𝑛𝑑 𝑛𝑎𝑖𝑙 𝑠𝑙𝑖𝑝 +𝑏𝑒𝑛𝑑𝑖𝑛𝑔, 𝑐ℎ𝑜𝑟𝑑 𝑠𝑙𝑝𝑙𝑖𝑐𝑒 𝑠𝑙𝑖𝑝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84</xdr:row>
      <xdr:rowOff>180975</xdr:rowOff>
    </xdr:from>
    <xdr:ext cx="7059705" cy="10382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DBAB20C-B125-438D-9022-D99A59FECF5D}"/>
                </a:ext>
              </a:extLst>
            </xdr:cNvPr>
            <xdr:cNvSpPr txBox="1"/>
          </xdr:nvSpPr>
          <xdr:spPr>
            <a:xfrm>
              <a:off x="6515100" y="13782675"/>
              <a:ext cx="7059705" cy="10382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δ</m:t>
                        </m:r>
                      </m:e>
                      <m:sub>
                        <m:r>
                          <a:rPr lang="en-US" sz="1100" b="0" i="1">
                            <a:latin typeface="Cambria Math"/>
                          </a:rPr>
                          <m:t>𝑑𝑖𝑎</m:t>
                        </m:r>
                      </m:sub>
                    </m:sSub>
                    <m:r>
                      <a:rPr lang="en-US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3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𝐷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′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𝐷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𝐸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𝐷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𝐴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n-US" sz="1100" b="0" i="1">
                            <a:latin typeface="Cambria Math"/>
                          </a:rPr>
                          <m:t>𝑊</m:t>
                        </m:r>
                        <m:r>
                          <a:rPr lang="en-US" sz="1100" b="0" i="1">
                            <a:latin typeface="Cambria Math"/>
                          </a:rPr>
                          <m:t>′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0.5(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𝐷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𝐿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′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1000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𝐷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𝐺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Σ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m:rPr>
                                <m:sty m:val="p"/>
                              </m:r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𝑐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𝑊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′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𝑏𝑒𝑛𝑑𝑖𝑛𝑔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𝑐h𝑜𝑟𝑑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𝑑𝑒𝑓𝑜𝑟𝑚𝑎𝑡𝑖𝑜𝑛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𝑒𝑥𝑐𝑙𝑢𝑑𝑖𝑛𝑔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𝑠h𝑒𝑎𝑟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𝑝𝑎𝑛𝑒𝑙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𝑠h𝑒𝑎𝑟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𝑎𝑛𝑑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𝑛𝑎𝑖𝑙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𝑏𝑒𝑛𝑑𝑖𝑛𝑔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𝑐h𝑜𝑟𝑑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𝑠𝑙𝑝𝑙𝑖𝑐𝑒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DBAB20C-B125-438D-9022-D99A59FECF5D}"/>
                </a:ext>
              </a:extLst>
            </xdr:cNvPr>
            <xdr:cNvSpPr txBox="1"/>
          </xdr:nvSpPr>
          <xdr:spPr>
            <a:xfrm>
              <a:off x="6515100" y="13782675"/>
              <a:ext cx="7059705" cy="10382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latin typeface="Cambria Math"/>
                </a:rPr>
                <a:t>𝑑𝑖𝑎=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(𝐷_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𝐿′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(𝐷_𝐸)(𝐷_𝐴)</a:t>
              </a:r>
              <a:r>
                <a:rPr lang="en-US" sz="1100" b="0" i="0">
                  <a:latin typeface="Cambria Math"/>
                </a:rPr>
                <a:t>𝑊′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0.5(𝐷_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)𝐿′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1000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(𝐷_𝐺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𝑎)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Σ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(𝑥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𝑐)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𝑊′  =𝑏𝑒𝑛𝑑𝑖𝑛𝑔, 𝑐ℎ𝑜𝑟𝑑 𝑑𝑒𝑓𝑜𝑟𝑚𝑎𝑡𝑖𝑜𝑛 𝑒𝑥𝑐𝑙𝑢𝑑𝑖𝑛𝑔 𝑠𝑙𝑖𝑝+𝑠ℎ𝑒𝑎𝑟, 𝑝𝑎𝑛𝑒𝑙 𝑠ℎ𝑒𝑎𝑟 𝑎𝑛𝑑 𝑛𝑎𝑖𝑙 𝑠𝑙𝑖𝑝 +𝑏𝑒𝑛𝑑𝑖𝑛𝑔, 𝑐ℎ𝑜𝑟𝑑 𝑠𝑙𝑝𝑙𝑖𝑐𝑒 𝑠𝑙𝑖𝑝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92</xdr:row>
      <xdr:rowOff>0</xdr:rowOff>
    </xdr:from>
    <xdr:ext cx="2305050" cy="4762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7039C8A-8A93-4C34-807B-B933D71A0064}"/>
                </a:ext>
              </a:extLst>
            </xdr:cNvPr>
            <xdr:cNvSpPr txBox="1"/>
          </xdr:nvSpPr>
          <xdr:spPr>
            <a:xfrm>
              <a:off x="6515100" y="14916150"/>
              <a:ext cx="2305050" cy="4762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δ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𝑟</m:t>
                        </m:r>
                      </m:sub>
                    </m:sSub>
                    <m:r>
                      <a:rPr lang="en-US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100" b="0" i="1">
                            <a:latin typeface="Cambria Math"/>
                          </a:rPr>
                          <m:t>Σ</m:t>
                        </m:r>
                        <m:sSub>
                          <m:sSubPr>
                            <m:ctrl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𝑎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𝑏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𝑐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…)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𝑊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den>
                    </m:f>
                    <m:r>
                      <a:rPr lang="en-US" sz="1100" b="0" i="1">
                        <a:latin typeface="Cambria Math"/>
                      </a:rPr>
                      <m:t>(</m:t>
                    </m:r>
                    <m:r>
                      <a:rPr lang="en-US" sz="1100" b="0" i="1">
                        <a:latin typeface="Cambria Math"/>
                      </a:rPr>
                      <m:t>𝐿</m:t>
                    </m:r>
                    <m:r>
                      <a:rPr lang="en-US" sz="1100" b="0" i="1">
                        <a:latin typeface="Cambria Math"/>
                      </a:rPr>
                      <m:t>′+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/>
                          </a:rPr>
                          <m:t>𝐶</m:t>
                        </m:r>
                      </m:e>
                      <m:sup>
                        <m:r>
                          <a:rPr lang="en-US" sz="1100" b="0" i="1">
                            <a:latin typeface="Cambria Math"/>
                          </a:rPr>
                          <m:t>′</m:t>
                        </m:r>
                      </m:sup>
                    </m:sSup>
                    <m:r>
                      <a:rPr lang="en-US" sz="1100" b="0" i="1">
                        <a:latin typeface="Cambria Math"/>
                      </a:rPr>
                      <m:t>/2)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7039C8A-8A93-4C34-807B-B933D71A0064}"/>
                </a:ext>
              </a:extLst>
            </xdr:cNvPr>
            <xdr:cNvSpPr txBox="1"/>
          </xdr:nvSpPr>
          <xdr:spPr>
            <a:xfrm>
              <a:off x="6515100" y="14916150"/>
              <a:ext cx="2305050" cy="4762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𝑟</a:t>
              </a:r>
              <a:r>
                <a:rPr lang="en-US" sz="1100" b="0" i="0">
                  <a:latin typeface="Cambria Math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l-GR" sz="1100" b="0" i="0">
                  <a:latin typeface="Cambria Math"/>
                </a:rPr>
                <a:t>Σ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𝑖 (𝑎+𝑏+𝑐…)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𝑊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latin typeface="Cambria Math"/>
                </a:rPr>
                <a:t>(𝐿′+𝐶</a:t>
              </a:r>
              <a:r>
                <a:rPr lang="en-US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/>
                </a:rPr>
                <a:t>′/2)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152083</xdr:colOff>
      <xdr:row>44</xdr:row>
      <xdr:rowOff>187998</xdr:rowOff>
    </xdr:from>
    <xdr:to>
      <xdr:col>28</xdr:col>
      <xdr:colOff>496072</xdr:colOff>
      <xdr:row>54</xdr:row>
      <xdr:rowOff>143321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894E5D-3499-49B2-9D2D-6ED115DDD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72158" y="8569998"/>
          <a:ext cx="8878389" cy="1860323"/>
        </a:xfrm>
        <a:prstGeom prst="rect">
          <a:avLst/>
        </a:prstGeom>
      </xdr:spPr>
    </xdr:pic>
    <xdr:clientData/>
  </xdr:twoCellAnchor>
  <xdr:twoCellAnchor editAs="oneCell">
    <xdr:from>
      <xdr:col>14</xdr:col>
      <xdr:colOff>108857</xdr:colOff>
      <xdr:row>16</xdr:row>
      <xdr:rowOff>0</xdr:rowOff>
    </xdr:from>
    <xdr:to>
      <xdr:col>35</xdr:col>
      <xdr:colOff>591862</xdr:colOff>
      <xdr:row>20</xdr:row>
      <xdr:rowOff>28476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EA31D4-B2ED-4BA2-A879-62CA11FAB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28932" y="3048000"/>
          <a:ext cx="13284605" cy="790476"/>
        </a:xfrm>
        <a:prstGeom prst="rect">
          <a:avLst/>
        </a:prstGeom>
      </xdr:spPr>
    </xdr:pic>
    <xdr:clientData/>
  </xdr:twoCellAnchor>
  <xdr:twoCellAnchor editAs="oneCell">
    <xdr:from>
      <xdr:col>14</xdr:col>
      <xdr:colOff>108857</xdr:colOff>
      <xdr:row>23</xdr:row>
      <xdr:rowOff>78444</xdr:rowOff>
    </xdr:from>
    <xdr:to>
      <xdr:col>35</xdr:col>
      <xdr:colOff>591862</xdr:colOff>
      <xdr:row>30</xdr:row>
      <xdr:rowOff>173515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922A23-B0C3-4235-B12D-713FE68D4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28932" y="4459944"/>
          <a:ext cx="13284605" cy="1428571"/>
        </a:xfrm>
        <a:prstGeom prst="rect">
          <a:avLst/>
        </a:prstGeom>
      </xdr:spPr>
    </xdr:pic>
    <xdr:clientData/>
  </xdr:twoCellAnchor>
  <xdr:twoCellAnchor editAs="oneCell">
    <xdr:from>
      <xdr:col>14</xdr:col>
      <xdr:colOff>108857</xdr:colOff>
      <xdr:row>19</xdr:row>
      <xdr:rowOff>89644</xdr:rowOff>
    </xdr:from>
    <xdr:to>
      <xdr:col>35</xdr:col>
      <xdr:colOff>496624</xdr:colOff>
      <xdr:row>23</xdr:row>
      <xdr:rowOff>137168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F090C5-205A-48AB-9CFB-6911DE4E5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28932" y="3709144"/>
          <a:ext cx="13189367" cy="809524"/>
        </a:xfrm>
        <a:prstGeom prst="rect">
          <a:avLst/>
        </a:prstGeom>
      </xdr:spPr>
    </xdr:pic>
    <xdr:clientData/>
  </xdr:twoCellAnchor>
  <xdr:twoCellAnchor editAs="oneCell">
    <xdr:from>
      <xdr:col>14</xdr:col>
      <xdr:colOff>108857</xdr:colOff>
      <xdr:row>30</xdr:row>
      <xdr:rowOff>78441</xdr:rowOff>
    </xdr:from>
    <xdr:to>
      <xdr:col>35</xdr:col>
      <xdr:colOff>534719</xdr:colOff>
      <xdr:row>44</xdr:row>
      <xdr:rowOff>144774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1763F27-50C1-4D58-AEE6-7003BEFC7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8932" y="5793441"/>
          <a:ext cx="13227462" cy="2733333"/>
        </a:xfrm>
        <a:prstGeom prst="rect">
          <a:avLst/>
        </a:prstGeom>
      </xdr:spPr>
    </xdr:pic>
    <xdr:clientData/>
  </xdr:twoCellAnchor>
  <xdr:twoCellAnchor editAs="oneCell">
    <xdr:from>
      <xdr:col>14</xdr:col>
      <xdr:colOff>136072</xdr:colOff>
      <xdr:row>81</xdr:row>
      <xdr:rowOff>9603</xdr:rowOff>
    </xdr:from>
    <xdr:to>
      <xdr:col>35</xdr:col>
      <xdr:colOff>552410</xdr:colOff>
      <xdr:row>88</xdr:row>
      <xdr:rowOff>76103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07F720F-00B1-48EF-8E95-2270EB6AE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56147" y="15440103"/>
          <a:ext cx="13217938" cy="14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528278</xdr:colOff>
      <xdr:row>82</xdr:row>
      <xdr:rowOff>65635</xdr:rowOff>
    </xdr:from>
    <xdr:to>
      <xdr:col>16</xdr:col>
      <xdr:colOff>432046</xdr:colOff>
      <xdr:row>87</xdr:row>
      <xdr:rowOff>54807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496697C-C134-46AA-99A3-9034F4141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48353" y="15686635"/>
          <a:ext cx="1122968" cy="941672"/>
        </a:xfrm>
        <a:prstGeom prst="rect">
          <a:avLst/>
        </a:prstGeom>
      </xdr:spPr>
    </xdr:pic>
    <xdr:clientData/>
  </xdr:twoCellAnchor>
  <xdr:twoCellAnchor editAs="oneCell">
    <xdr:from>
      <xdr:col>14</xdr:col>
      <xdr:colOff>147279</xdr:colOff>
      <xdr:row>56</xdr:row>
      <xdr:rowOff>132870</xdr:rowOff>
    </xdr:from>
    <xdr:to>
      <xdr:col>35</xdr:col>
      <xdr:colOff>573141</xdr:colOff>
      <xdr:row>81</xdr:row>
      <xdr:rowOff>170370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D330D67-CEB7-4CE7-BF26-0CA85FB01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367354" y="10800870"/>
          <a:ext cx="13227462" cy="48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136072</xdr:colOff>
      <xdr:row>88</xdr:row>
      <xdr:rowOff>76839</xdr:rowOff>
    </xdr:from>
    <xdr:to>
      <xdr:col>36</xdr:col>
      <xdr:colOff>233006</xdr:colOff>
      <xdr:row>111</xdr:row>
      <xdr:rowOff>142958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0FD6754-08AB-4A72-AE6C-E2180BCBB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356147" y="16840839"/>
          <a:ext cx="13508134" cy="44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657224</xdr:colOff>
      <xdr:row>4</xdr:row>
      <xdr:rowOff>19050</xdr:rowOff>
    </xdr:from>
    <xdr:ext cx="5915025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BE1E300-C381-471C-B9F8-BA5E59253BB0}"/>
                </a:ext>
              </a:extLst>
            </xdr:cNvPr>
            <xdr:cNvSpPr txBox="1"/>
          </xdr:nvSpPr>
          <xdr:spPr>
            <a:xfrm>
              <a:off x="5991224" y="781050"/>
              <a:ext cx="5915025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δ</m:t>
                        </m:r>
                      </m:e>
                      <m:sub>
                        <m:r>
                          <a:rPr lang="en-US" sz="1100" b="0" i="1">
                            <a:latin typeface="Cambria Math"/>
                          </a:rPr>
                          <m:t>𝑆𝑊</m:t>
                        </m:r>
                      </m:sub>
                    </m:sSub>
                    <m:r>
                      <a:rPr lang="en-US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8(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𝑆𝑊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h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𝑆𝑊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100" b="0" i="1">
                            <a:latin typeface="Cambria Math"/>
                          </a:rPr>
                          <m:t>𝐸</m:t>
                        </m:r>
                        <m:r>
                          <a:rPr lang="en-US" sz="1100" b="0" i="1">
                            <a:latin typeface="Cambria Math"/>
                          </a:rPr>
                          <m:t>)(</m:t>
                        </m:r>
                        <m:r>
                          <a:rPr lang="en-US" sz="1100" b="0" i="1">
                            <a:latin typeface="Cambria Math"/>
                          </a:rPr>
                          <m:t>𝑆𝑊</m:t>
                        </m:r>
                        <m:r>
                          <a:rPr lang="en-US" sz="1100" b="0" i="1">
                            <a:latin typeface="Cambria Math"/>
                          </a:rPr>
                          <m:t>_</m:t>
                        </m:r>
                        <m:r>
                          <a:rPr lang="en-US" sz="1100" b="0" i="1">
                            <a:latin typeface="Cambria Math"/>
                          </a:rPr>
                          <m:t>𝐴</m:t>
                        </m:r>
                        <m:r>
                          <a:rPr lang="en-US" sz="1100" b="0" i="1">
                            <a:latin typeface="Cambria Math"/>
                          </a:rPr>
                          <m:t>)</m:t>
                        </m:r>
                        <m:r>
                          <a:rPr lang="en-US" sz="1100" b="0" i="1">
                            <a:latin typeface="Cambria Math"/>
                          </a:rPr>
                          <m:t>𝑏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𝑆𝑊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h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1000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𝑆𝑊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𝐺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h</m:t>
                            </m:r>
                            <m:r>
                              <m:rPr>
                                <m:sty m:val="p"/>
                              </m:r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𝑏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𝑏𝑒𝑛𝑑𝑖𝑛𝑔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𝑠h𝑒𝑎𝑟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𝑤𝑎𝑙𝑙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𝑎𝑛𝑐h𝑜𝑟𝑎𝑔𝑒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BE1E300-C381-471C-B9F8-BA5E59253BB0}"/>
                </a:ext>
              </a:extLst>
            </xdr:cNvPr>
            <xdr:cNvSpPr txBox="1"/>
          </xdr:nvSpPr>
          <xdr:spPr>
            <a:xfrm>
              <a:off x="5991224" y="781050"/>
              <a:ext cx="5915025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latin typeface="Cambria Math"/>
                </a:rPr>
                <a:t>𝑆𝑊=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8(𝑆𝑊_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(𝑆𝑊_</a:t>
              </a:r>
              <a:r>
                <a:rPr lang="en-US" sz="1100" b="0" i="0">
                  <a:latin typeface="Cambria Math"/>
                </a:rPr>
                <a:t>𝐸)(𝑆𝑊_𝐴)𝑏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(𝑆𝑊_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1000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(𝑆𝑊_𝐺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𝑎)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ℎ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𝑏=𝑏𝑒𝑛𝑑𝑖𝑛𝑔+𝑠ℎ𝑒𝑎𝑟+𝑤𝑎𝑙𝑙 𝑎𝑛𝑐ℎ𝑜𝑟𝑎𝑔𝑒 𝑠𝑙𝑖𝑝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0</xdr:colOff>
      <xdr:row>9</xdr:row>
      <xdr:rowOff>9525</xdr:rowOff>
    </xdr:from>
    <xdr:ext cx="4276727" cy="9869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DEBFB62-B210-4986-BF82-9097D745FE59}"/>
                </a:ext>
              </a:extLst>
            </xdr:cNvPr>
            <xdr:cNvSpPr txBox="1"/>
          </xdr:nvSpPr>
          <xdr:spPr>
            <a:xfrm>
              <a:off x="6000750" y="1724025"/>
              <a:ext cx="4276727" cy="9869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δ</m:t>
                        </m:r>
                      </m:e>
                      <m:sub>
                        <m:r>
                          <a:rPr lang="en-US" sz="1100" b="0" i="1">
                            <a:latin typeface="Cambria Math"/>
                          </a:rPr>
                          <m:t>𝑑𝑖𝑎</m:t>
                        </m:r>
                      </m:sub>
                    </m:sSub>
                    <m:r>
                      <a:rPr lang="en-US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5(</m:t>
                        </m:r>
                        <m:r>
                          <a:rPr lang="en-US" sz="1100" b="0" i="1">
                            <a:latin typeface="Cambria Math"/>
                          </a:rPr>
                          <m:t>𝐷</m:t>
                        </m:r>
                        <m:r>
                          <a:rPr lang="en-US" sz="1100" b="0" i="1">
                            <a:latin typeface="Cambria Math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′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/>
                          </a:rPr>
                          <m:t>8(</m:t>
                        </m:r>
                        <m:r>
                          <a:rPr lang="en-US" sz="1100" b="0" i="1">
                            <a:latin typeface="Cambria Math"/>
                          </a:rPr>
                          <m:t>𝐷</m:t>
                        </m:r>
                        <m:r>
                          <a:rPr lang="en-US" sz="1100" b="0" i="1">
                            <a:latin typeface="Cambria Math"/>
                          </a:rPr>
                          <m:t>_</m:t>
                        </m:r>
                        <m:r>
                          <a:rPr lang="en-US" sz="1100" b="0" i="1">
                            <a:latin typeface="Cambria Math"/>
                          </a:rPr>
                          <m:t>𝐸</m:t>
                        </m:r>
                        <m:r>
                          <a:rPr lang="en-US" sz="1100" b="0" i="1">
                            <a:latin typeface="Cambria Math"/>
                          </a:rPr>
                          <m:t>)(</m:t>
                        </m:r>
                        <m:r>
                          <a:rPr lang="en-US" sz="1100" b="0" i="1">
                            <a:latin typeface="Cambria Math"/>
                          </a:rPr>
                          <m:t>𝐷</m:t>
                        </m:r>
                        <m:r>
                          <a:rPr lang="en-US" sz="1100" b="0" i="1">
                            <a:latin typeface="Cambria Math"/>
                          </a:rPr>
                          <m:t>_</m:t>
                        </m:r>
                        <m:r>
                          <a:rPr lang="en-US" sz="1100" b="0" i="1">
                            <a:latin typeface="Cambria Math"/>
                          </a:rPr>
                          <m:t>𝐴</m:t>
                        </m:r>
                        <m:r>
                          <a:rPr lang="en-US" sz="1100" b="0" i="1">
                            <a:latin typeface="Cambria Math"/>
                          </a:rPr>
                          <m:t>)</m:t>
                        </m:r>
                        <m:r>
                          <a:rPr lang="en-US" sz="1100" b="0" i="1">
                            <a:latin typeface="Cambria Math"/>
                          </a:rPr>
                          <m:t>𝑊</m:t>
                        </m:r>
                        <m:r>
                          <a:rPr lang="en-US" sz="1100" b="0" i="1">
                            <a:latin typeface="Cambria Math"/>
                          </a:rPr>
                          <m:t>′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0.25(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𝐷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𝐿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′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1000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𝐷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𝐺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Σ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m:rPr>
                                <m:sty m:val="p"/>
                              </m:r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𝑐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𝑊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′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𝑏𝑒𝑛𝑑𝑖𝑛𝑔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𝑐h𝑜𝑟𝑑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𝑑𝑒𝑓𝑜𝑟𝑚𝑎𝑡𝑖𝑜𝑛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𝑒𝑥𝑐𝑙𝑢𝑑𝑖𝑛𝑔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𝑠h𝑒𝑎𝑟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𝑝𝑎𝑛𝑒𝑙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𝑠h𝑒𝑎𝑟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𝑎𝑛𝑑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𝑛𝑎𝑖𝑙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𝑏𝑒𝑛𝑑𝑖𝑛𝑔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𝑐h𝑜𝑟𝑑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𝑠𝑙𝑝𝑙𝑖𝑐𝑒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DEBFB62-B210-4986-BF82-9097D745FE59}"/>
                </a:ext>
              </a:extLst>
            </xdr:cNvPr>
            <xdr:cNvSpPr txBox="1"/>
          </xdr:nvSpPr>
          <xdr:spPr>
            <a:xfrm>
              <a:off x="6000750" y="1724025"/>
              <a:ext cx="4276727" cy="9869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latin typeface="Cambria Math"/>
                </a:rPr>
                <a:t>𝑑𝑖𝑎=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/>
                </a:rPr>
                <a:t>5(𝐷_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𝐿′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latin typeface="Cambria Math"/>
                </a:rPr>
                <a:t>8(𝐷_𝐸)(𝐷_𝐴)𝑊′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0.25(𝐷_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)𝐿′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1000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(𝐷_𝐺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𝑎)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Σ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(𝑥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𝑐)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2𝑊′  =𝑏𝑒𝑛𝑑𝑖𝑛𝑔, 𝑐ℎ𝑜𝑟𝑑 𝑑𝑒𝑓𝑜𝑟𝑚𝑎𝑡𝑖𝑜𝑛 𝑒𝑥𝑐𝑙𝑢𝑑𝑖𝑛𝑔 𝑠𝑙𝑖𝑝+𝑠ℎ𝑒𝑎𝑟, 𝑝𝑎𝑛𝑒𝑙 𝑠ℎ𝑒𝑎𝑟 𝑎𝑛𝑑 𝑛𝑎𝑖𝑙 𝑠𝑙𝑖𝑝 +𝑏𝑒𝑛𝑑𝑖𝑛𝑔, 𝑐ℎ𝑜𝑟𝑑 𝑠𝑙𝑝𝑙𝑖𝑐𝑒 𝑠𝑙𝑖𝑝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1</xdr:colOff>
      <xdr:row>15</xdr:row>
      <xdr:rowOff>180975</xdr:rowOff>
    </xdr:from>
    <xdr:ext cx="4495800" cy="10382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A30B3CC-5EAF-400B-B4A0-82679097E98B}"/>
                </a:ext>
              </a:extLst>
            </xdr:cNvPr>
            <xdr:cNvSpPr txBox="1"/>
          </xdr:nvSpPr>
          <xdr:spPr>
            <a:xfrm>
              <a:off x="6000751" y="3038475"/>
              <a:ext cx="4495800" cy="10382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δ</m:t>
                        </m:r>
                      </m:e>
                      <m:sub>
                        <m:r>
                          <a:rPr lang="en-US" sz="1100" b="0" i="1">
                            <a:latin typeface="Cambria Math"/>
                          </a:rPr>
                          <m:t>𝑑𝑖𝑎</m:t>
                        </m:r>
                      </m:sub>
                    </m:sSub>
                    <m:r>
                      <a:rPr lang="en-US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3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𝐷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′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𝐷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𝐸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𝐷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𝐴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n-US" sz="1100" b="0" i="1">
                            <a:latin typeface="Cambria Math"/>
                          </a:rPr>
                          <m:t>𝑊</m:t>
                        </m:r>
                        <m:r>
                          <a:rPr lang="en-US" sz="1100" b="0" i="1">
                            <a:latin typeface="Cambria Math"/>
                          </a:rPr>
                          <m:t>′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0.5(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𝐷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𝐿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′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1000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𝐷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𝐺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Σ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m:rPr>
                                <m:sty m:val="p"/>
                              </m:r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𝑐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𝑊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′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𝑏𝑒𝑛𝑑𝑖𝑛𝑔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𝑐h𝑜𝑟𝑑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𝑑𝑒𝑓𝑜𝑟𝑚𝑎𝑡𝑖𝑜𝑛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𝑒𝑥𝑐𝑙𝑢𝑑𝑖𝑛𝑔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𝑠h𝑒𝑎𝑟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𝑝𝑎𝑛𝑒𝑙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𝑠h𝑒𝑎𝑟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𝑎𝑛𝑑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𝑛𝑎𝑖𝑙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𝑏𝑒𝑛𝑑𝑖𝑛𝑔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𝑐h𝑜𝑟𝑑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𝑠𝑙𝑝𝑙𝑖𝑐𝑒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A30B3CC-5EAF-400B-B4A0-82679097E98B}"/>
                </a:ext>
              </a:extLst>
            </xdr:cNvPr>
            <xdr:cNvSpPr txBox="1"/>
          </xdr:nvSpPr>
          <xdr:spPr>
            <a:xfrm>
              <a:off x="6000751" y="3038475"/>
              <a:ext cx="4495800" cy="10382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latin typeface="Cambria Math"/>
                </a:rPr>
                <a:t>𝑑𝑖𝑎=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(𝐷_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𝐿′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(𝐷_𝐸)(𝐷_𝐴)</a:t>
              </a:r>
              <a:r>
                <a:rPr lang="en-US" sz="1100" b="0" i="0">
                  <a:latin typeface="Cambria Math"/>
                </a:rPr>
                <a:t>𝑊′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0.5(𝐷_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)𝐿′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1000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(𝐷_𝐺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𝑎)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Σ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(𝑥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𝑐)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𝑊′  =𝑏𝑒𝑛𝑑𝑖𝑛𝑔, 𝑐ℎ𝑜𝑟𝑑 𝑑𝑒𝑓𝑜𝑟𝑚𝑎𝑡𝑖𝑜𝑛 𝑒𝑥𝑐𝑙𝑢𝑑𝑖𝑛𝑔 𝑠𝑙𝑖𝑝+𝑠ℎ𝑒𝑎𝑟, 𝑝𝑎𝑛𝑒𝑙 𝑠ℎ𝑒𝑎𝑟 𝑎𝑛𝑑 𝑛𝑎𝑖𝑙 𝑠𝑙𝑖𝑝 +𝑏𝑒𝑛𝑑𝑖𝑛𝑔, 𝑐ℎ𝑜𝑟𝑑 𝑠𝑙𝑝𝑙𝑖𝑐𝑒 𝑠𝑙𝑖𝑝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0</xdr:colOff>
      <xdr:row>23</xdr:row>
      <xdr:rowOff>0</xdr:rowOff>
    </xdr:from>
    <xdr:ext cx="2305050" cy="4762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28CA463-1D83-4A0E-A73E-7C92F5EBA9C4}"/>
                </a:ext>
              </a:extLst>
            </xdr:cNvPr>
            <xdr:cNvSpPr txBox="1"/>
          </xdr:nvSpPr>
          <xdr:spPr>
            <a:xfrm>
              <a:off x="6000750" y="4381500"/>
              <a:ext cx="2305050" cy="4762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δ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𝑟</m:t>
                        </m:r>
                      </m:sub>
                    </m:sSub>
                    <m:r>
                      <a:rPr lang="en-US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100" b="0" i="1">
                            <a:latin typeface="Cambria Math"/>
                          </a:rPr>
                          <m:t>Σ</m:t>
                        </m:r>
                        <m:sSub>
                          <m:sSubPr>
                            <m:ctrl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𝑎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𝑏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𝑐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…)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𝑊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den>
                    </m:f>
                    <m:r>
                      <a:rPr lang="en-US" sz="1100" b="0" i="1">
                        <a:latin typeface="Cambria Math"/>
                      </a:rPr>
                      <m:t>(</m:t>
                    </m:r>
                    <m:r>
                      <a:rPr lang="en-US" sz="1100" b="0" i="1">
                        <a:latin typeface="Cambria Math"/>
                      </a:rPr>
                      <m:t>𝐿</m:t>
                    </m:r>
                    <m:r>
                      <a:rPr lang="en-US" sz="1100" b="0" i="1">
                        <a:latin typeface="Cambria Math"/>
                      </a:rPr>
                      <m:t>′+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/>
                          </a:rPr>
                          <m:t>𝐶</m:t>
                        </m:r>
                      </m:e>
                      <m:sup>
                        <m:r>
                          <a:rPr lang="en-US" sz="1100" b="0" i="1">
                            <a:latin typeface="Cambria Math"/>
                          </a:rPr>
                          <m:t>′</m:t>
                        </m:r>
                      </m:sup>
                    </m:sSup>
                    <m:r>
                      <a:rPr lang="en-US" sz="1100" b="0" i="1">
                        <a:latin typeface="Cambria Math"/>
                      </a:rPr>
                      <m:t>/2)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28CA463-1D83-4A0E-A73E-7C92F5EBA9C4}"/>
                </a:ext>
              </a:extLst>
            </xdr:cNvPr>
            <xdr:cNvSpPr txBox="1"/>
          </xdr:nvSpPr>
          <xdr:spPr>
            <a:xfrm>
              <a:off x="6000750" y="4381500"/>
              <a:ext cx="2305050" cy="4762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𝑟</a:t>
              </a:r>
              <a:r>
                <a:rPr lang="en-US" sz="1100" b="0" i="0">
                  <a:latin typeface="Cambria Math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l-GR" sz="1100" b="0" i="0">
                  <a:latin typeface="Cambria Math"/>
                </a:rPr>
                <a:t>Σ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𝑖 (𝑎+𝑏+𝑐…)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𝑊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latin typeface="Cambria Math"/>
                </a:rPr>
                <a:t>(𝐿′+𝐶</a:t>
              </a:r>
              <a:r>
                <a:rPr lang="en-US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/>
                </a:rPr>
                <a:t>′/2)</a:t>
              </a:r>
              <a:endParaRPr lang="en-US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ingdomstructural-my.sharepoint.com/personal/jbrusnahan_kingdomstructural_onmicrosoft_com/Documents/E_Design%20Ref/JB%20-%20Single%20Story%20Wood%20Lateral%20Design%2025.03.03.xlsx" TargetMode="External"/><Relationship Id="rId1" Type="http://schemas.openxmlformats.org/officeDocument/2006/relationships/externalLinkPath" Target="JB%20-%20Single%20Story%20Wood%20Lateral%20Design%2025.03.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teral"/>
      <sheetName val="Diaphragm"/>
      <sheetName val="Lists"/>
      <sheetName val="Terminology and Equations"/>
    </sheetNames>
    <sheetDataSet>
      <sheetData sheetId="0"/>
      <sheetData sheetId="1">
        <row r="5">
          <cell r="G5">
            <v>255</v>
          </cell>
          <cell r="I5">
            <v>357</v>
          </cell>
          <cell r="K5">
            <v>189</v>
          </cell>
          <cell r="M5">
            <v>265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B2D8-E43D-4F72-9F11-E8065B04882C}">
  <dimension ref="B2:Y66"/>
  <sheetViews>
    <sheetView zoomScale="70" zoomScaleNormal="70" workbookViewId="0">
      <selection activeCell="F2" sqref="F2"/>
    </sheetView>
  </sheetViews>
  <sheetFormatPr defaultRowHeight="15" x14ac:dyDescent="0.25"/>
  <cols>
    <col min="4" max="4" width="10.140625" bestFit="1" customWidth="1"/>
    <col min="6" max="6" width="10.28515625" customWidth="1"/>
    <col min="7" max="7" width="10.7109375" bestFit="1" customWidth="1"/>
  </cols>
  <sheetData>
    <row r="2" spans="2:25" x14ac:dyDescent="0.25">
      <c r="B2" t="s">
        <v>0</v>
      </c>
      <c r="F2" t="s">
        <v>529</v>
      </c>
    </row>
    <row r="4" spans="2:25" x14ac:dyDescent="0.25">
      <c r="B4" s="19" t="s">
        <v>443</v>
      </c>
      <c r="C4" t="s">
        <v>434</v>
      </c>
      <c r="E4" s="4"/>
    </row>
    <row r="5" spans="2:25" x14ac:dyDescent="0.25">
      <c r="B5" s="86" t="s">
        <v>70</v>
      </c>
      <c r="C5" t="s">
        <v>552</v>
      </c>
      <c r="E5" s="4"/>
    </row>
    <row r="6" spans="2:25" x14ac:dyDescent="0.25">
      <c r="B6" s="87">
        <v>12</v>
      </c>
      <c r="C6" t="s">
        <v>575</v>
      </c>
      <c r="E6" s="4"/>
    </row>
    <row r="7" spans="2:25" x14ac:dyDescent="0.25">
      <c r="B7" s="87">
        <v>16</v>
      </c>
      <c r="C7" t="s">
        <v>574</v>
      </c>
      <c r="E7" s="4"/>
    </row>
    <row r="8" spans="2:25" x14ac:dyDescent="0.25">
      <c r="B8" s="88">
        <f>IF(B5="YES",1,IF(B6=6,IF(B7=12,1,IF(B7=16,0.8,IF(B7=19.2,0.6,0.5))),IF(B7=12,0.8,IF(B7=16,0.6,IF(B7=19.2,0.5,0.4)))))</f>
        <v>1</v>
      </c>
      <c r="C8" t="s">
        <v>103</v>
      </c>
      <c r="E8" s="4"/>
    </row>
    <row r="9" spans="2:25" x14ac:dyDescent="0.25">
      <c r="B9" s="87">
        <v>2500</v>
      </c>
      <c r="C9" t="s">
        <v>573</v>
      </c>
      <c r="E9" s="4"/>
    </row>
    <row r="10" spans="2:25" x14ac:dyDescent="0.25">
      <c r="F10" s="107" t="s">
        <v>740</v>
      </c>
      <c r="G10" s="107" t="s">
        <v>741</v>
      </c>
      <c r="H10" s="107" t="s">
        <v>742</v>
      </c>
      <c r="I10" s="107" t="s">
        <v>743</v>
      </c>
    </row>
    <row r="11" spans="2:25" x14ac:dyDescent="0.25">
      <c r="B11" t="s">
        <v>1</v>
      </c>
      <c r="C11" t="s">
        <v>51</v>
      </c>
      <c r="D11" t="s">
        <v>548</v>
      </c>
      <c r="E11" t="s">
        <v>52</v>
      </c>
      <c r="F11" t="s">
        <v>54</v>
      </c>
      <c r="G11" t="s">
        <v>55</v>
      </c>
      <c r="H11" t="s">
        <v>56</v>
      </c>
      <c r="I11" t="s">
        <v>57</v>
      </c>
      <c r="J11" t="s">
        <v>53</v>
      </c>
      <c r="K11" t="s">
        <v>547</v>
      </c>
    </row>
    <row r="12" spans="2:25" x14ac:dyDescent="0.25">
      <c r="B12" s="89" t="s">
        <v>2</v>
      </c>
      <c r="C12" s="90">
        <v>11</v>
      </c>
      <c r="D12" s="91" t="s">
        <v>550</v>
      </c>
      <c r="E12" s="90" cm="1">
        <f t="array" ref="E12">IF(K12=0,0,INDEX(sw1.0,MATCH(K12,sheathing,0),0)*IF(D12="yes",2,1))</f>
        <v>290</v>
      </c>
      <c r="F12" s="92" cm="1">
        <f t="array" ref="F12">IF(K12=0,0,INDEX(sw2.0,MATCH(K12,sheathing,0),0)*IF(D12="yes",2,1))</f>
        <v>133.4</v>
      </c>
      <c r="G12" s="92" cm="1">
        <f t="array" ref="G12">IF(K12=0,0,INDEX(sw2.8,MATCH(K12,sheathing,0),0)*IF(D12="yes",2,1))</f>
        <v>95.285714285714306</v>
      </c>
      <c r="H12" s="92" cm="1">
        <f t="array" ref="H12">IF(K12=0,0,INDEX(sw0.8,MATCH(K12,sheathing,0),0)*IF(D12="yes",2,1))</f>
        <v>213.44</v>
      </c>
      <c r="I12" s="92" cm="1">
        <f t="array" ref="I12">IF(K12=0,0,INDEX(sw0.5,MATCH(K12,sheathing,0),0)*IF(D12="yes",2,1))</f>
        <v>133.4</v>
      </c>
      <c r="J12" s="90" cm="1">
        <f t="array" ref="J12">IF(K12=0,0,INDEX(ga_gyp,MATCH(K12,sheathing,0),0)*IF(D12="yes",2,1))</f>
        <v>7.5</v>
      </c>
      <c r="K12" s="98" t="s">
        <v>416</v>
      </c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9"/>
    </row>
    <row r="13" spans="2:25" x14ac:dyDescent="0.25">
      <c r="B13" s="93"/>
      <c r="C13">
        <v>12</v>
      </c>
      <c r="D13" s="86" t="s">
        <v>550</v>
      </c>
      <c r="E13" cm="1">
        <f t="array" ref="E13">IF(K13=0,0,INDEX(sw1.0,MATCH(K13,sheathing,0),0)*IF(D13="yes",2,1))</f>
        <v>350</v>
      </c>
      <c r="F13" s="17" cm="1">
        <f t="array" ref="F13">IF(K13=0,0,INDEX(sw2.0,MATCH(K13,sheathing,0),0)*IF(D13="yes",2,1))</f>
        <v>161</v>
      </c>
      <c r="G13" s="17" cm="1">
        <f t="array" ref="G13">IF(K13=0,0,INDEX(sw2.8,MATCH(K13,sheathing,0),0)*IF(D13="yes",2,1))</f>
        <v>115.00000000000001</v>
      </c>
      <c r="H13" s="17" cm="1">
        <f t="array" ref="H13">IF(K13=0,0,INDEX(sw0.8,MATCH(K13,sheathing,0),0)*IF(D13="yes",2,1))</f>
        <v>257.60000000000002</v>
      </c>
      <c r="I13" s="17" cm="1">
        <f t="array" ref="I13">IF(K13=0,0,INDEX(sw0.5,MATCH(K13,sheathing,0),0)*IF(D13="yes",2,1))</f>
        <v>161</v>
      </c>
      <c r="J13" cm="1">
        <f t="array" ref="J13">IF(K13=0,0,INDEX(ga_gyp,MATCH(K13,sheathing,0),0)*IF(D13="yes",2,1))</f>
        <v>8.5</v>
      </c>
      <c r="K13" s="19" t="s">
        <v>417</v>
      </c>
      <c r="Y13" s="100"/>
    </row>
    <row r="14" spans="2:25" x14ac:dyDescent="0.25">
      <c r="B14" s="93"/>
      <c r="C14">
        <v>13</v>
      </c>
      <c r="D14" s="86" t="s">
        <v>550</v>
      </c>
      <c r="E14" cm="1">
        <f t="array" ref="E14">IF(K14=0,0,INDEX(sw1.0,MATCH(K14,sheathing,0),0)*IF(D14="yes",2,1))</f>
        <v>350</v>
      </c>
      <c r="F14" s="17" cm="1">
        <f t="array" ref="F14">IF(K14=0,0,INDEX(sw2.0,MATCH(K14,sheathing,0),0)*IF(D14="yes",2,1))</f>
        <v>161</v>
      </c>
      <c r="G14" s="17" cm="1">
        <f t="array" ref="G14">IF(K14=0,0,INDEX(sw2.8,MATCH(K14,sheathing,0),0)*IF(D14="yes",2,1))</f>
        <v>115.00000000000001</v>
      </c>
      <c r="H14" s="17" cm="1">
        <f t="array" ref="H14">IF(K14=0,0,INDEX(sw0.8,MATCH(K14,sheathing,0),0)*IF(D14="yes",2,1))</f>
        <v>257.60000000000002</v>
      </c>
      <c r="I14" s="17" cm="1">
        <f t="array" ref="I14">IF(K14=0,0,INDEX(sw0.5,MATCH(K14,sheathing,0),0)*IF(D14="yes",2,1))</f>
        <v>161</v>
      </c>
      <c r="J14" cm="1">
        <f t="array" ref="J14">IF(K14=0,0,INDEX(ga_gyp,MATCH(K14,sheathing,0),0)*IF(D14="yes",2,1))</f>
        <v>8.5</v>
      </c>
      <c r="K14" s="19" t="s">
        <v>417</v>
      </c>
      <c r="Y14" s="100"/>
    </row>
    <row r="15" spans="2:25" x14ac:dyDescent="0.25">
      <c r="B15" s="93"/>
      <c r="C15">
        <v>14</v>
      </c>
      <c r="D15" s="86" t="s">
        <v>550</v>
      </c>
      <c r="E15" cm="1">
        <f t="array" ref="E15">IF(K15=0,0,INDEX(sw1.0,MATCH(K15,sheathing,0),0)*IF(D15="yes",2,1))</f>
        <v>0</v>
      </c>
      <c r="F15" s="17" cm="1">
        <f t="array" ref="F15">IF(K15=0,0,INDEX(sw2.0,MATCH(K15,sheathing,0),0)*IF(D15="yes",2,1))</f>
        <v>0</v>
      </c>
      <c r="G15" s="17" cm="1">
        <f t="array" ref="G15">IF(K15=0,0,INDEX(sw2.8,MATCH(K15,sheathing,0),0)*IF(D15="yes",2,1))</f>
        <v>0</v>
      </c>
      <c r="H15" s="17" cm="1">
        <f t="array" ref="H15">IF(K15=0,0,INDEX(sw0.8,MATCH(K15,sheathing,0),0)*IF(D15="yes",2,1))</f>
        <v>0</v>
      </c>
      <c r="I15" s="17" cm="1">
        <f t="array" ref="I15">IF(K15=0,0,INDEX(sw0.5,MATCH(K15,sheathing,0),0)*IF(D15="yes",2,1))</f>
        <v>0</v>
      </c>
      <c r="J15" cm="1">
        <f t="array" ref="J15">IF(K15=0,0,INDEX(ga_gyp,MATCH(K15,sheathing,0),0)*IF(D15="yes",2,1))</f>
        <v>0</v>
      </c>
      <c r="K15" s="19"/>
      <c r="Y15" s="100"/>
    </row>
    <row r="16" spans="2:25" x14ac:dyDescent="0.25">
      <c r="B16" s="93"/>
      <c r="C16">
        <v>15</v>
      </c>
      <c r="D16" s="86" t="s">
        <v>550</v>
      </c>
      <c r="E16" cm="1">
        <f t="array" ref="E16">IF(K16=0,0,INDEX(sw1.0,MATCH(K16,sheathing,0),0)*IF(D16="yes",2,1))</f>
        <v>0</v>
      </c>
      <c r="F16" s="17" cm="1">
        <f t="array" ref="F16">IF(K16=0,0,INDEX(sw2.0,MATCH(K16,sheathing,0),0)*IF(D16="yes",2,1))</f>
        <v>0</v>
      </c>
      <c r="G16" s="17" cm="1">
        <f t="array" ref="G16">IF(K16=0,0,INDEX(sw2.8,MATCH(K16,sheathing,0),0)*IF(D16="yes",2,1))</f>
        <v>0</v>
      </c>
      <c r="H16" s="17" cm="1">
        <f t="array" ref="H16">IF(K16=0,0,INDEX(sw0.8,MATCH(K16,sheathing,0),0)*IF(D16="yes",2,1))</f>
        <v>0</v>
      </c>
      <c r="I16" s="17" cm="1">
        <f t="array" ref="I16">IF(K16=0,0,INDEX(sw0.5,MATCH(K16,sheathing,0),0)*IF(D16="yes",2,1))</f>
        <v>0</v>
      </c>
      <c r="J16" cm="1">
        <f t="array" ref="J16">IF(K16=0,0,INDEX(ga_gyp,MATCH(K16,sheathing,0),0)*IF(D16="yes",2,1))</f>
        <v>0</v>
      </c>
      <c r="K16" s="19"/>
      <c r="Y16" s="100"/>
    </row>
    <row r="17" spans="2:25" x14ac:dyDescent="0.25">
      <c r="B17" s="93"/>
      <c r="C17">
        <v>16</v>
      </c>
      <c r="D17" s="86" t="s">
        <v>550</v>
      </c>
      <c r="E17" cm="1">
        <f t="array" ref="E17">IF(K17=0,0,INDEX(sw1.0,MATCH(K17,sheathing,0),0)*IF(D17="yes",2,1))</f>
        <v>0</v>
      </c>
      <c r="F17" s="17" cm="1">
        <f t="array" ref="F17">IF(K17=0,0,INDEX(sw2.0,MATCH(K17,sheathing,0),0)*IF(D17="yes",2,1))</f>
        <v>0</v>
      </c>
      <c r="G17" s="17" cm="1">
        <f t="array" ref="G17">IF(K17=0,0,INDEX(sw2.8,MATCH(K17,sheathing,0),0)*IF(D17="yes",2,1))</f>
        <v>0</v>
      </c>
      <c r="H17" s="17" cm="1">
        <f t="array" ref="H17">IF(K17=0,0,INDEX(sw0.8,MATCH(K17,sheathing,0),0)*IF(D17="yes",2,1))</f>
        <v>0</v>
      </c>
      <c r="I17" s="17" cm="1">
        <f t="array" ref="I17">IF(K17=0,0,INDEX(sw0.5,MATCH(K17,sheathing,0),0)*IF(D17="yes",2,1))</f>
        <v>0</v>
      </c>
      <c r="J17" cm="1">
        <f t="array" ref="J17">IF(K17=0,0,INDEX(ga_gyp,MATCH(K17,sheathing,0),0)*IF(D17="yes",2,1))</f>
        <v>0</v>
      </c>
      <c r="K17" s="19"/>
      <c r="Y17" s="100"/>
    </row>
    <row r="18" spans="2:25" x14ac:dyDescent="0.25">
      <c r="B18" s="93"/>
      <c r="C18">
        <v>17</v>
      </c>
      <c r="D18" s="86" t="s">
        <v>550</v>
      </c>
      <c r="E18" cm="1">
        <f t="array" ref="E18">IF(K18=0,0,INDEX(sw1.0,MATCH(K18,sheathing,0),0)*IF(D18="yes",2,1))</f>
        <v>0</v>
      </c>
      <c r="F18" s="17" cm="1">
        <f t="array" ref="F18">IF(K18=0,0,INDEX(sw2.0,MATCH(K18,sheathing,0),0)*IF(D18="yes",2,1))</f>
        <v>0</v>
      </c>
      <c r="G18" s="17" cm="1">
        <f t="array" ref="G18">IF(K18=0,0,INDEX(sw2.8,MATCH(K18,sheathing,0),0)*IF(D18="yes",2,1))</f>
        <v>0</v>
      </c>
      <c r="H18" s="17" cm="1">
        <f t="array" ref="H18">IF(K18=0,0,INDEX(sw0.8,MATCH(K18,sheathing,0),0)*IF(D18="yes",2,1))</f>
        <v>0</v>
      </c>
      <c r="I18" s="17" cm="1">
        <f t="array" ref="I18">IF(K18=0,0,INDEX(sw0.5,MATCH(K18,sheathing,0),0)*IF(D18="yes",2,1))</f>
        <v>0</v>
      </c>
      <c r="J18" cm="1">
        <f t="array" ref="J18">IF(K18=0,0,INDEX(ga_gyp,MATCH(K18,sheathing,0),0)*IF(D18="yes",2,1))</f>
        <v>0</v>
      </c>
      <c r="K18" s="19"/>
      <c r="Y18" s="100"/>
    </row>
    <row r="19" spans="2:25" x14ac:dyDescent="0.25">
      <c r="B19" s="93"/>
      <c r="C19">
        <v>18</v>
      </c>
      <c r="D19" s="86" t="s">
        <v>550</v>
      </c>
      <c r="E19" cm="1">
        <f t="array" ref="E19">IF(K19=0,0,INDEX(sw1.0,MATCH(K19,sheathing,0),0)*IF(D19="yes",2,1))</f>
        <v>0</v>
      </c>
      <c r="F19" s="17" cm="1">
        <f t="array" ref="F19">IF(K19=0,0,INDEX(sw2.0,MATCH(K19,sheathing,0),0)*IF(D19="yes",2,1))</f>
        <v>0</v>
      </c>
      <c r="G19" s="17" cm="1">
        <f t="array" ref="G19">IF(K19=0,0,INDEX(sw2.8,MATCH(K19,sheathing,0),0)*IF(D19="yes",2,1))</f>
        <v>0</v>
      </c>
      <c r="H19" s="17" cm="1">
        <f t="array" ref="H19">IF(K19=0,0,INDEX(sw0.8,MATCH(K19,sheathing,0),0)*IF(D19="yes",2,1))</f>
        <v>0</v>
      </c>
      <c r="I19" s="17" cm="1">
        <f t="array" ref="I19">IF(K19=0,0,INDEX(sw0.5,MATCH(K19,sheathing,0),0)*IF(D19="yes",2,1))</f>
        <v>0</v>
      </c>
      <c r="J19" cm="1">
        <f t="array" ref="J19">IF(K19=0,0,INDEX(ga_gyp,MATCH(K19,sheathing,0),0)*IF(D19="yes",2,1))</f>
        <v>0</v>
      </c>
      <c r="K19" s="19"/>
      <c r="Y19" s="100"/>
    </row>
    <row r="20" spans="2:25" x14ac:dyDescent="0.25">
      <c r="B20" s="94"/>
      <c r="C20" s="95">
        <v>19</v>
      </c>
      <c r="D20" s="96" t="s">
        <v>550</v>
      </c>
      <c r="E20" s="95" cm="1">
        <f t="array" ref="E20">IF(K20=0,0,INDEX(sw1.0,MATCH(K20,sheathing,0),0)*IF(D20="yes",2,1))</f>
        <v>0</v>
      </c>
      <c r="F20" s="97" cm="1">
        <f t="array" ref="F20">IF(K20=0,0,INDEX(sw2.0,MATCH(K20,sheathing,0),0)*IF(D20="yes",2,1))</f>
        <v>0</v>
      </c>
      <c r="G20" s="97" cm="1">
        <f t="array" ref="G20">IF(K20=0,0,INDEX(sw2.8,MATCH(K20,sheathing,0),0)*IF(D20="yes",2,1))</f>
        <v>0</v>
      </c>
      <c r="H20" s="97" cm="1">
        <f t="array" ref="H20">IF(K20=0,0,INDEX(sw0.8,MATCH(K20,sheathing,0),0)*IF(D20="yes",2,1))</f>
        <v>0</v>
      </c>
      <c r="I20" s="97" cm="1">
        <f t="array" ref="I20">IF(K20=0,0,INDEX(sw0.5,MATCH(K20,sheathing,0),0)*IF(D20="yes",2,1))</f>
        <v>0</v>
      </c>
      <c r="J20" s="95" cm="1">
        <f t="array" ref="J20">IF(K20=0,0,INDEX(ga_gyp,MATCH(K20,sheathing,0),0)*IF(D20="yes",2,1))</f>
        <v>0</v>
      </c>
      <c r="K20" s="101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102"/>
    </row>
    <row r="21" spans="2:25" x14ac:dyDescent="0.25">
      <c r="B21" s="89" t="s">
        <v>3</v>
      </c>
      <c r="C21" s="90">
        <v>21</v>
      </c>
      <c r="D21" s="91" t="s">
        <v>550</v>
      </c>
      <c r="E21" s="90" cm="1">
        <f t="array" ref="E21">IF(K21=0,0,INDEX(sw1.0,MATCH(K21,sheathing,0),0)*IF(D21="yes",2,1))</f>
        <v>730</v>
      </c>
      <c r="F21" s="92" cm="1">
        <f t="array" ref="F21">IF(K21=0,0,INDEX(sw2.0,MATCH(K21,sheathing,0),0)*IF(D21="yes",2,1))</f>
        <v>335.8</v>
      </c>
      <c r="G21" s="92" cm="1">
        <f t="array" ref="G21">IF(K21=0,0,INDEX(sw2.8,MATCH(K21,sheathing,0),0)*IF(D21="yes",2,1))</f>
        <v>239.85714285714286</v>
      </c>
      <c r="H21" s="92" cm="1">
        <f t="array" ref="H21">IF(K21=0,0,INDEX(sw0.8,MATCH(K21,sheathing,0),0)*IF(D21="yes",2,1))</f>
        <v>537.28</v>
      </c>
      <c r="I21" s="92" cm="1">
        <f t="array" ref="I21">IF(K21=0,0,INDEX(sw0.5,MATCH(K21,sheathing,0),0)*IF(D21="yes",2,1))</f>
        <v>335.8</v>
      </c>
      <c r="J21" s="90" cm="1">
        <f t="array" ref="J21">IF(K21=0,0,INDEX(ga_ply,MATCH(K21,sheathing,0),0)*IF(D21="yes",2,1))</f>
        <v>10</v>
      </c>
      <c r="K21" s="98" t="s">
        <v>383</v>
      </c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9"/>
    </row>
    <row r="22" spans="2:25" x14ac:dyDescent="0.25">
      <c r="B22" s="93" t="s">
        <v>604</v>
      </c>
      <c r="C22">
        <v>22</v>
      </c>
      <c r="D22" s="86" t="s">
        <v>550</v>
      </c>
      <c r="E22" cm="1">
        <f t="array" ref="E22">IF(K22=0,0,INDEX(sw1.0,MATCH(K22,sheathing,0),0)*IF(D22="yes",2,1))</f>
        <v>1065</v>
      </c>
      <c r="F22" s="17" cm="1">
        <f t="array" ref="F22">IF(K22=0,0,INDEX(sw2.0,MATCH(K22,sheathing,0),0)*IF(D22="yes",2,1))</f>
        <v>489.90000000000003</v>
      </c>
      <c r="G22" s="17" cm="1">
        <f t="array" ref="G22">IF(K22=0,0,INDEX(sw2.8,MATCH(K22,sheathing,0),0)*IF(D22="yes",2,1))</f>
        <v>349.9285714285715</v>
      </c>
      <c r="H22" s="17" cm="1">
        <f t="array" ref="H22">IF(K22=0,0,INDEX(sw0.8,MATCH(K22,sheathing,0),0)*IF(D22="yes",2,1))</f>
        <v>783.84</v>
      </c>
      <c r="I22" s="17" cm="1">
        <f t="array" ref="I22">IF(K22=0,0,INDEX(sw0.5,MATCH(K22,sheathing,0),0)*IF(D22="yes",2,1))</f>
        <v>489.90000000000003</v>
      </c>
      <c r="J22" cm="1">
        <f t="array" ref="J22">IF(K22=0,0,INDEX(ga_ply,MATCH(K22,sheathing,0),0)*IF(D22="yes",2,1))</f>
        <v>13</v>
      </c>
      <c r="K22" s="19" t="s">
        <v>384</v>
      </c>
      <c r="Y22" s="100"/>
    </row>
    <row r="23" spans="2:25" x14ac:dyDescent="0.25">
      <c r="B23" s="93"/>
      <c r="C23">
        <v>23</v>
      </c>
      <c r="D23" s="86" t="s">
        <v>550</v>
      </c>
      <c r="E23" cm="1">
        <f t="array" ref="E23">IF(K23=0,0,INDEX(sw1.0,MATCH(K23,sheathing,0),0)*IF(D23="yes",2,1))</f>
        <v>1370</v>
      </c>
      <c r="F23" s="17" cm="1">
        <f t="array" ref="F23">IF(K23=0,0,INDEX(sw2.0,MATCH(K23,sheathing,0),0)*IF(D23="yes",2,1))</f>
        <v>630.20000000000005</v>
      </c>
      <c r="G23" s="17" cm="1">
        <f t="array" ref="G23">IF(K23=0,0,INDEX(sw2.8,MATCH(K23,sheathing,0),0)*IF(D23="yes",2,1))</f>
        <v>450.14285714285722</v>
      </c>
      <c r="H23" s="17" cm="1">
        <f t="array" ref="H23">IF(K23=0,0,INDEX(sw0.8,MATCH(K23,sheathing,0),0)*IF(D23="yes",2,1))</f>
        <v>1008.32</v>
      </c>
      <c r="I23" s="17" cm="1">
        <f t="array" ref="I23">IF(K23=0,0,INDEX(sw0.5,MATCH(K23,sheathing,0),0)*IF(D23="yes",2,1))</f>
        <v>630.20000000000005</v>
      </c>
      <c r="J23" cm="1">
        <f t="array" ref="J23">IF(K23=0,0,INDEX(ga_ply,MATCH(K23,sheathing,0),0)*IF(D23="yes",2,1))</f>
        <v>15</v>
      </c>
      <c r="K23" s="19" t="s">
        <v>385</v>
      </c>
      <c r="Y23" s="100"/>
    </row>
    <row r="24" spans="2:25" x14ac:dyDescent="0.25">
      <c r="B24" s="93"/>
      <c r="C24">
        <v>24</v>
      </c>
      <c r="D24" s="86" t="s">
        <v>550</v>
      </c>
      <c r="E24" cm="1">
        <f t="array" ref="E24">IF(K24=0,0,INDEX(sw1.0,MATCH(K24,sheathing,0),0)*IF(D24="yes",2,1))</f>
        <v>1790</v>
      </c>
      <c r="F24" s="17" cm="1">
        <f t="array" ref="F24">IF(K24=0,0,INDEX(sw2.0,MATCH(K24,sheathing,0),0)*IF(D24="yes",2,1))</f>
        <v>823.40000000000009</v>
      </c>
      <c r="G24" s="17" cm="1">
        <f t="array" ref="G24">IF(K24=0,0,INDEX(sw2.8,MATCH(K24,sheathing,0),0)*IF(D24="yes",2,1))</f>
        <v>588.14285714285722</v>
      </c>
      <c r="H24" s="17" cm="1">
        <f t="array" ref="H24">IF(K24=0,0,INDEX(sw0.8,MATCH(K24,sheathing,0),0)*IF(D24="yes",2,1))</f>
        <v>1317.44</v>
      </c>
      <c r="I24" s="17" cm="1">
        <f t="array" ref="I24">IF(K24=0,0,INDEX(sw0.5,MATCH(K24,sheathing,0),0)*IF(D24="yes",2,1))</f>
        <v>823.40000000000009</v>
      </c>
      <c r="J24" cm="1">
        <f t="array" ref="J24">IF(K24=0,0,INDEX(ga_ply,MATCH(K24,sheathing,0),0)*IF(D24="yes",2,1))</f>
        <v>20</v>
      </c>
      <c r="K24" s="19" t="s">
        <v>386</v>
      </c>
      <c r="Y24" s="100"/>
    </row>
    <row r="25" spans="2:25" x14ac:dyDescent="0.25">
      <c r="B25" s="93"/>
      <c r="C25">
        <v>25</v>
      </c>
      <c r="D25" s="86" t="s">
        <v>550</v>
      </c>
      <c r="E25" cm="1">
        <f t="array" ref="E25">IF(K25=0,0,INDEX(sw1.0,MATCH(K25,sheathing,0),0)*IF(D25="yes",2,1))</f>
        <v>0</v>
      </c>
      <c r="F25" s="17" cm="1">
        <f t="array" ref="F25">IF(K25=0,0,INDEX(sw2.0,MATCH(K25,sheathing,0),0)*IF(D25="yes",2,1))</f>
        <v>0</v>
      </c>
      <c r="G25" s="17" cm="1">
        <f t="array" ref="G25">IF(K25=0,0,INDEX(sw2.8,MATCH(K25,sheathing,0),0)*IF(D25="yes",2,1))</f>
        <v>0</v>
      </c>
      <c r="H25" s="17" cm="1">
        <f t="array" ref="H25">IF(K25=0,0,INDEX(sw0.8,MATCH(K25,sheathing,0),0)*IF(D25="yes",2,1))</f>
        <v>0</v>
      </c>
      <c r="I25" s="17" cm="1">
        <f t="array" ref="I25">IF(K25=0,0,INDEX(sw0.5,MATCH(K25,sheathing,0),0)*IF(D25="yes",2,1))</f>
        <v>0</v>
      </c>
      <c r="J25" cm="1">
        <f t="array" ref="J25">IF(K25=0,0,INDEX(ga_ply,MATCH(K25,sheathing,0),0)*IF(D25="yes",2,1))</f>
        <v>0</v>
      </c>
      <c r="K25" s="19"/>
      <c r="Y25" s="100"/>
    </row>
    <row r="26" spans="2:25" x14ac:dyDescent="0.25">
      <c r="B26" s="93"/>
      <c r="C26">
        <v>26</v>
      </c>
      <c r="D26" s="86" t="s">
        <v>550</v>
      </c>
      <c r="E26" cm="1">
        <f t="array" ref="E26">IF(K26=0,0,INDEX(sw1.0,MATCH(K26,sheathing,0),0)*IF(D26="yes",2,1))</f>
        <v>0</v>
      </c>
      <c r="F26" s="17" cm="1">
        <f t="array" ref="F26">IF(K26=0,0,INDEX(sw2.0,MATCH(K26,sheathing,0),0)*IF(D26="yes",2,1))</f>
        <v>0</v>
      </c>
      <c r="G26" s="17" cm="1">
        <f t="array" ref="G26">IF(K26=0,0,INDEX(sw2.8,MATCH(K26,sheathing,0),0)*IF(D26="yes",2,1))</f>
        <v>0</v>
      </c>
      <c r="H26" s="17" cm="1">
        <f t="array" ref="H26">IF(K26=0,0,INDEX(sw0.8,MATCH(K26,sheathing,0),0)*IF(D26="yes",2,1))</f>
        <v>0</v>
      </c>
      <c r="I26" s="17" cm="1">
        <f t="array" ref="I26">IF(K26=0,0,INDEX(sw0.5,MATCH(K26,sheathing,0),0)*IF(D26="yes",2,1))</f>
        <v>0</v>
      </c>
      <c r="J26" cm="1">
        <f t="array" ref="J26">IF(K26=0,0,INDEX(ga_ply,MATCH(K26,sheathing,0),0)*IF(D26="yes",2,1))</f>
        <v>0</v>
      </c>
      <c r="K26" s="19"/>
      <c r="Y26" s="100"/>
    </row>
    <row r="27" spans="2:25" x14ac:dyDescent="0.25">
      <c r="B27" s="93"/>
      <c r="C27">
        <v>27</v>
      </c>
      <c r="D27" s="86" t="s">
        <v>550</v>
      </c>
      <c r="E27" cm="1">
        <f t="array" ref="E27">IF(K27=0,0,INDEX(sw1.0,MATCH(K27,sheathing,0),0)*IF(D27="yes",2,1))</f>
        <v>0</v>
      </c>
      <c r="F27" s="17" cm="1">
        <f t="array" ref="F27">IF(K27=0,0,INDEX(sw2.0,MATCH(K27,sheathing,0),0)*IF(D27="yes",2,1))</f>
        <v>0</v>
      </c>
      <c r="G27" s="17" cm="1">
        <f t="array" ref="G27">IF(K27=0,0,INDEX(sw2.8,MATCH(K27,sheathing,0),0)*IF(D27="yes",2,1))</f>
        <v>0</v>
      </c>
      <c r="H27" s="17" cm="1">
        <f t="array" ref="H27">IF(K27=0,0,INDEX(sw0.8,MATCH(K27,sheathing,0),0)*IF(D27="yes",2,1))</f>
        <v>0</v>
      </c>
      <c r="I27" s="17" cm="1">
        <f t="array" ref="I27">IF(K27=0,0,INDEX(sw0.5,MATCH(K27,sheathing,0),0)*IF(D27="yes",2,1))</f>
        <v>0</v>
      </c>
      <c r="J27" cm="1">
        <f t="array" ref="J27">IF(K27=0,0,INDEX(ga_ply,MATCH(K27,sheathing,0),0)*IF(D27="yes",2,1))</f>
        <v>0</v>
      </c>
      <c r="K27" s="19"/>
      <c r="Y27" s="100"/>
    </row>
    <row r="28" spans="2:25" x14ac:dyDescent="0.25">
      <c r="B28" s="93"/>
      <c r="C28">
        <v>28</v>
      </c>
      <c r="D28" s="86" t="s">
        <v>550</v>
      </c>
      <c r="E28" cm="1">
        <f t="array" ref="E28">IF(K28=0,0,INDEX(sw1.0,MATCH(K28,sheathing,0),0)*IF(D28="yes",2,1))</f>
        <v>0</v>
      </c>
      <c r="F28" s="17" cm="1">
        <f t="array" ref="F28">IF(K28=0,0,INDEX(sw2.0,MATCH(K28,sheathing,0),0)*IF(D28="yes",2,1))</f>
        <v>0</v>
      </c>
      <c r="G28" s="17" cm="1">
        <f t="array" ref="G28">IF(K28=0,0,INDEX(sw2.8,MATCH(K28,sheathing,0),0)*IF(D28="yes",2,1))</f>
        <v>0</v>
      </c>
      <c r="H28" s="17" cm="1">
        <f t="array" ref="H28">IF(K28=0,0,INDEX(sw0.8,MATCH(K28,sheathing,0),0)*IF(D28="yes",2,1))</f>
        <v>0</v>
      </c>
      <c r="I28" s="17" cm="1">
        <f t="array" ref="I28">IF(K28=0,0,INDEX(sw0.5,MATCH(K28,sheathing,0),0)*IF(D28="yes",2,1))</f>
        <v>0</v>
      </c>
      <c r="J28" cm="1">
        <f t="array" ref="J28">IF(K28=0,0,INDEX(ga_ply,MATCH(K28,sheathing,0),0)*IF(D28="yes",2,1))</f>
        <v>0</v>
      </c>
      <c r="K28" s="19"/>
      <c r="Y28" s="100"/>
    </row>
    <row r="29" spans="2:25" x14ac:dyDescent="0.25">
      <c r="B29" s="94"/>
      <c r="C29" s="95">
        <v>29</v>
      </c>
      <c r="D29" s="96" t="s">
        <v>550</v>
      </c>
      <c r="E29" s="95" cm="1">
        <f t="array" ref="E29">IF(K29=0,0,INDEX(sw1.0,MATCH(K29,sheathing,0),0)*IF(D29="yes",2,1))</f>
        <v>0</v>
      </c>
      <c r="F29" s="97" cm="1">
        <f t="array" ref="F29">IF(K29=0,0,INDEX(sw2.0,MATCH(K29,sheathing,0),0)*IF(D29="yes",2,1))</f>
        <v>0</v>
      </c>
      <c r="G29" s="97" cm="1">
        <f t="array" ref="G29">IF(K29=0,0,INDEX(sw2.8,MATCH(K29,sheathing,0),0)*IF(D29="yes",2,1))</f>
        <v>0</v>
      </c>
      <c r="H29" s="97" cm="1">
        <f t="array" ref="H29">IF(K29=0,0,INDEX(sw0.8,MATCH(K29,sheathing,0),0)*IF(D29="yes",2,1))</f>
        <v>0</v>
      </c>
      <c r="I29" s="97" cm="1">
        <f t="array" ref="I29">IF(K29=0,0,INDEX(sw0.5,MATCH(K29,sheathing,0),0)*IF(D29="yes",2,1))</f>
        <v>0</v>
      </c>
      <c r="J29" s="95" cm="1">
        <f t="array" ref="J29">IF(K29=0,0,INDEX(ga_ply,MATCH(K29,sheathing,0),0)*IF(D29="yes",2,1))</f>
        <v>0</v>
      </c>
      <c r="K29" s="101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102"/>
    </row>
    <row r="30" spans="2:25" x14ac:dyDescent="0.25">
      <c r="B30" s="89" t="s">
        <v>4</v>
      </c>
      <c r="C30" s="90">
        <v>31</v>
      </c>
      <c r="D30" s="91" t="s">
        <v>550</v>
      </c>
      <c r="E30" s="90" cm="1">
        <f t="array" ref="E30">IF(K30=0,0,INDEX(sw1.0,MATCH(K30,sheathing,0),0)*IF(D30="yes",2,1))</f>
        <v>730</v>
      </c>
      <c r="F30" s="92" cm="1">
        <f t="array" ref="F30">IF(K30=0,0,INDEX(sw2.0,MATCH(K30,sheathing,0),0)*IF(D30="yes",2,1))</f>
        <v>335.8</v>
      </c>
      <c r="G30" s="92" cm="1">
        <f t="array" ref="G30">IF(K30=0,0,INDEX(sw2.8,MATCH(K30,sheathing,0),0)*IF(D30="yes",2,1))</f>
        <v>239.85714285714286</v>
      </c>
      <c r="H30" s="92" cm="1">
        <f t="array" ref="H30">IF(K30=0,0,INDEX(sw0.8,MATCH(K30,sheathing,0),0)*IF(D30="yes",2,1))</f>
        <v>537.28</v>
      </c>
      <c r="I30" s="92" cm="1">
        <f t="array" ref="I30">IF(K30=0,0,INDEX(sw0.5,MATCH(K30,sheathing,0),0)*IF(D30="yes",2,1))</f>
        <v>335.8</v>
      </c>
      <c r="J30" s="90" cm="1">
        <f t="array" ref="J30">IF(K30=0,0,INDEX(ga_osb,MATCH(K30,sheathing,0),0)*IF(D30="yes",2,1))</f>
        <v>13</v>
      </c>
      <c r="K30" s="98" t="s">
        <v>383</v>
      </c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9"/>
    </row>
    <row r="31" spans="2:25" x14ac:dyDescent="0.25">
      <c r="B31" s="93"/>
      <c r="C31">
        <v>32</v>
      </c>
      <c r="D31" s="86" t="s">
        <v>550</v>
      </c>
      <c r="E31" cm="1">
        <f t="array" ref="E31">IF(K31=0,0,INDEX(sw1.0,MATCH(K31,sheathing,0),0)*IF(D31="yes",2,1))</f>
        <v>1065</v>
      </c>
      <c r="F31" s="17" cm="1">
        <f t="array" ref="F31">IF(K31=0,0,INDEX(sw2.0,MATCH(K31,sheathing,0),0)*IF(D31="yes",2,1))</f>
        <v>489.90000000000003</v>
      </c>
      <c r="G31" s="17" cm="1">
        <f t="array" ref="G31">IF(K31=0,0,INDEX(sw2.8,MATCH(K31,sheathing,0),0)*IF(D31="yes",2,1))</f>
        <v>349.9285714285715</v>
      </c>
      <c r="H31" s="17" cm="1">
        <f t="array" ref="H31">IF(K31=0,0,INDEX(sw0.8,MATCH(K31,sheathing,0),0)*IF(D31="yes",2,1))</f>
        <v>783.84</v>
      </c>
      <c r="I31" s="17" cm="1">
        <f t="array" ref="I31">IF(K31=0,0,INDEX(sw0.5,MATCH(K31,sheathing,0),0)*IF(D31="yes",2,1))</f>
        <v>489.90000000000003</v>
      </c>
      <c r="J31" cm="1">
        <f t="array" ref="J31">IF(K31=0,0,INDEX(ga_osb,MATCH(K31,sheathing,0),0)*IF(D31="yes",2,1))</f>
        <v>19</v>
      </c>
      <c r="K31" s="19" t="s">
        <v>384</v>
      </c>
      <c r="Y31" s="100"/>
    </row>
    <row r="32" spans="2:25" x14ac:dyDescent="0.25">
      <c r="B32" s="93"/>
      <c r="C32">
        <v>33</v>
      </c>
      <c r="D32" s="86" t="s">
        <v>550</v>
      </c>
      <c r="E32" cm="1">
        <f t="array" ref="E32">IF(K32=0,0,INDEX(sw1.0,MATCH(K32,sheathing,0),0)*IF(D32="yes",2,1))</f>
        <v>1370</v>
      </c>
      <c r="F32" s="17" cm="1">
        <f t="array" ref="F32">IF(K32=0,0,INDEX(sw2.0,MATCH(K32,sheathing,0),0)*IF(D32="yes",2,1))</f>
        <v>630.20000000000005</v>
      </c>
      <c r="G32" s="17" cm="1">
        <f t="array" ref="G32">IF(K32=0,0,INDEX(sw2.8,MATCH(K32,sheathing,0),0)*IF(D32="yes",2,1))</f>
        <v>450.14285714285722</v>
      </c>
      <c r="H32" s="17" cm="1">
        <f t="array" ref="H32">IF(K32=0,0,INDEX(sw0.8,MATCH(K32,sheathing,0),0)*IF(D32="yes",2,1))</f>
        <v>1008.32</v>
      </c>
      <c r="I32" s="17" cm="1">
        <f t="array" ref="I32">IF(K32=0,0,INDEX(sw0.5,MATCH(K32,sheathing,0),0)*IF(D32="yes",2,1))</f>
        <v>630.20000000000005</v>
      </c>
      <c r="J32" cm="1">
        <f t="array" ref="J32">IF(K32=0,0,INDEX(ga_osb,MATCH(K32,sheathing,0),0)*IF(D32="yes",2,1))</f>
        <v>25</v>
      </c>
      <c r="K32" s="19" t="s">
        <v>385</v>
      </c>
      <c r="Y32" s="100"/>
    </row>
    <row r="33" spans="2:25" x14ac:dyDescent="0.25">
      <c r="B33" s="93"/>
      <c r="C33">
        <v>34</v>
      </c>
      <c r="D33" s="86" t="s">
        <v>550</v>
      </c>
      <c r="E33" cm="1">
        <f t="array" ref="E33">IF(K33=0,0,INDEX(sw1.0,MATCH(K33,sheathing,0),0)*IF(D33="yes",2,1))</f>
        <v>1790</v>
      </c>
      <c r="F33" s="17" cm="1">
        <f t="array" ref="F33">IF(K33=0,0,INDEX(sw2.0,MATCH(K33,sheathing,0),0)*IF(D33="yes",2,1))</f>
        <v>823.40000000000009</v>
      </c>
      <c r="G33" s="17" cm="1">
        <f t="array" ref="G33">IF(K33=0,0,INDEX(sw2.8,MATCH(K33,sheathing,0),0)*IF(D33="yes",2,1))</f>
        <v>588.14285714285722</v>
      </c>
      <c r="H33" s="17" cm="1">
        <f t="array" ref="H33">IF(K33=0,0,INDEX(sw0.8,MATCH(K33,sheathing,0),0)*IF(D33="yes",2,1))</f>
        <v>1317.44</v>
      </c>
      <c r="I33" s="17" cm="1">
        <f t="array" ref="I33">IF(K33=0,0,INDEX(sw0.5,MATCH(K33,sheathing,0),0)*IF(D33="yes",2,1))</f>
        <v>823.40000000000009</v>
      </c>
      <c r="J33" cm="1">
        <f t="array" ref="J33">IF(K33=0,0,INDEX(ga_osb,MATCH(K33,sheathing,0),0)*IF(D33="yes",2,1))</f>
        <v>39</v>
      </c>
      <c r="K33" s="19" t="s">
        <v>386</v>
      </c>
      <c r="Y33" s="100"/>
    </row>
    <row r="34" spans="2:25" x14ac:dyDescent="0.25">
      <c r="B34" s="93"/>
      <c r="C34">
        <v>35</v>
      </c>
      <c r="D34" s="86" t="s">
        <v>550</v>
      </c>
      <c r="E34" cm="1">
        <f t="array" ref="E34">IF(K34=0,0,INDEX(sw1.0,MATCH(K34,sheathing,0),0)*IF(D34="yes",2,1))</f>
        <v>0</v>
      </c>
      <c r="F34" s="17" cm="1">
        <f t="array" ref="F34">IF(K34=0,0,INDEX(sw2.0,MATCH(K34,sheathing,0),0)*IF(D34="yes",2,1))</f>
        <v>0</v>
      </c>
      <c r="G34" s="17" cm="1">
        <f t="array" ref="G34">IF(K34=0,0,INDEX(sw2.8,MATCH(K34,sheathing,0),0)*IF(D34="yes",2,1))</f>
        <v>0</v>
      </c>
      <c r="H34" s="17" cm="1">
        <f t="array" ref="H34">IF(K34=0,0,INDEX(sw0.8,MATCH(K34,sheathing,0),0)*IF(D34="yes",2,1))</f>
        <v>0</v>
      </c>
      <c r="I34" s="17" cm="1">
        <f t="array" ref="I34">IF(K34=0,0,INDEX(sw0.5,MATCH(K34,sheathing,0),0)*IF(D34="yes",2,1))</f>
        <v>0</v>
      </c>
      <c r="J34" cm="1">
        <f t="array" ref="J34">IF(K34=0,0,INDEX(ga_osb,MATCH(K34,sheathing,0),0)*IF(D34="yes",2,1))</f>
        <v>0</v>
      </c>
      <c r="K34" s="19"/>
      <c r="Y34" s="100"/>
    </row>
    <row r="35" spans="2:25" x14ac:dyDescent="0.25">
      <c r="B35" s="93"/>
      <c r="C35">
        <v>36</v>
      </c>
      <c r="D35" s="86" t="s">
        <v>550</v>
      </c>
      <c r="E35" cm="1">
        <f t="array" ref="E35">IF(K35=0,0,INDEX(sw1.0,MATCH(K35,sheathing,0),0)*IF(D35="yes",2,1))</f>
        <v>0</v>
      </c>
      <c r="F35" s="17" cm="1">
        <f t="array" ref="F35">IF(K35=0,0,INDEX(sw2.0,MATCH(K35,sheathing,0),0)*IF(D35="yes",2,1))</f>
        <v>0</v>
      </c>
      <c r="G35" s="17" cm="1">
        <f t="array" ref="G35">IF(K35=0,0,INDEX(sw2.8,MATCH(K35,sheathing,0),0)*IF(D35="yes",2,1))</f>
        <v>0</v>
      </c>
      <c r="H35" s="17" cm="1">
        <f t="array" ref="H35">IF(K35=0,0,INDEX(sw0.8,MATCH(K35,sheathing,0),0)*IF(D35="yes",2,1))</f>
        <v>0</v>
      </c>
      <c r="I35" s="17" cm="1">
        <f t="array" ref="I35">IF(K35=0,0,INDEX(sw0.5,MATCH(K35,sheathing,0),0)*IF(D35="yes",2,1))</f>
        <v>0</v>
      </c>
      <c r="J35" cm="1">
        <f t="array" ref="J35">IF(K35=0,0,INDEX(ga_osb,MATCH(K35,sheathing,0),0)*IF(D35="yes",2,1))</f>
        <v>0</v>
      </c>
      <c r="K35" s="19"/>
      <c r="Y35" s="100"/>
    </row>
    <row r="36" spans="2:25" x14ac:dyDescent="0.25">
      <c r="B36" s="93"/>
      <c r="C36">
        <v>37</v>
      </c>
      <c r="D36" s="86" t="s">
        <v>550</v>
      </c>
      <c r="E36" cm="1">
        <f t="array" ref="E36">IF(K36=0,0,INDEX(sw1.0,MATCH(K36,sheathing,0),0)*IF(D36="yes",2,1))</f>
        <v>0</v>
      </c>
      <c r="F36" s="17" cm="1">
        <f t="array" ref="F36">IF(K36=0,0,INDEX(sw2.0,MATCH(K36,sheathing,0),0)*IF(D36="yes",2,1))</f>
        <v>0</v>
      </c>
      <c r="G36" s="17" cm="1">
        <f t="array" ref="G36">IF(K36=0,0,INDEX(sw2.8,MATCH(K36,sheathing,0),0)*IF(D36="yes",2,1))</f>
        <v>0</v>
      </c>
      <c r="H36" s="17" cm="1">
        <f t="array" ref="H36">IF(K36=0,0,INDEX(sw0.8,MATCH(K36,sheathing,0),0)*IF(D36="yes",2,1))</f>
        <v>0</v>
      </c>
      <c r="I36" s="17" cm="1">
        <f t="array" ref="I36">IF(K36=0,0,INDEX(sw0.5,MATCH(K36,sheathing,0),0)*IF(D36="yes",2,1))</f>
        <v>0</v>
      </c>
      <c r="J36" cm="1">
        <f t="array" ref="J36">IF(K36=0,0,INDEX(ga_osb,MATCH(K36,sheathing,0),0)*IF(D36="yes",2,1))</f>
        <v>0</v>
      </c>
      <c r="K36" s="19"/>
      <c r="Y36" s="100"/>
    </row>
    <row r="37" spans="2:25" x14ac:dyDescent="0.25">
      <c r="B37" s="93"/>
      <c r="C37">
        <v>38</v>
      </c>
      <c r="D37" s="86" t="s">
        <v>550</v>
      </c>
      <c r="E37" cm="1">
        <f t="array" ref="E37">IF(K37=0,0,INDEX(sw1.0,MATCH(K37,sheathing,0),0)*IF(D37="yes",2,1))</f>
        <v>0</v>
      </c>
      <c r="F37" s="17" cm="1">
        <f t="array" ref="F37">IF(K37=0,0,INDEX(sw2.0,MATCH(K37,sheathing,0),0)*IF(D37="yes",2,1))</f>
        <v>0</v>
      </c>
      <c r="G37" s="17" cm="1">
        <f t="array" ref="G37">IF(K37=0,0,INDEX(sw2.8,MATCH(K37,sheathing,0),0)*IF(D37="yes",2,1))</f>
        <v>0</v>
      </c>
      <c r="H37" s="17" cm="1">
        <f t="array" ref="H37">IF(K37=0,0,INDEX(sw0.8,MATCH(K37,sheathing,0),0)*IF(D37="yes",2,1))</f>
        <v>0</v>
      </c>
      <c r="I37" s="17" cm="1">
        <f t="array" ref="I37">IF(K37=0,0,INDEX(sw0.5,MATCH(K37,sheathing,0),0)*IF(D37="yes",2,1))</f>
        <v>0</v>
      </c>
      <c r="J37" cm="1">
        <f t="array" ref="J37">IF(K37=0,0,INDEX(ga_osb,MATCH(K37,sheathing,0),0)*IF(D37="yes",2,1))</f>
        <v>0</v>
      </c>
      <c r="K37" s="19"/>
      <c r="Y37" s="100"/>
    </row>
    <row r="38" spans="2:25" x14ac:dyDescent="0.25">
      <c r="B38" s="94"/>
      <c r="C38" s="95">
        <v>39</v>
      </c>
      <c r="D38" s="96" t="s">
        <v>550</v>
      </c>
      <c r="E38" s="95" cm="1">
        <f t="array" ref="E38">IF(K38=0,0,INDEX(sw1.0,MATCH(K38,sheathing,0),0)*IF(D38="yes",2,1))</f>
        <v>0</v>
      </c>
      <c r="F38" s="97" cm="1">
        <f t="array" ref="F38">IF(K38=0,0,INDEX(sw2.0,MATCH(K38,sheathing,0),0)*IF(D38="yes",2,1))</f>
        <v>0</v>
      </c>
      <c r="G38" s="97" cm="1">
        <f t="array" ref="G38">IF(K38=0,0,INDEX(sw2.8,MATCH(K38,sheathing,0),0)*IF(D38="yes",2,1))</f>
        <v>0</v>
      </c>
      <c r="H38" s="97" cm="1">
        <f t="array" ref="H38">IF(K38=0,0,INDEX(sw0.8,MATCH(K38,sheathing,0),0)*IF(D38="yes",2,1))</f>
        <v>0</v>
      </c>
      <c r="I38" s="97" cm="1">
        <f t="array" ref="I38">IF(K38=0,0,INDEX(sw0.5,MATCH(K38,sheathing,0),0)*IF(D38="yes",2,1))</f>
        <v>0</v>
      </c>
      <c r="J38" s="95" cm="1">
        <f t="array" ref="J38">IF(K38=0,0,INDEX(ga_osb,MATCH(K38,sheathing,0),0)*IF(D38="yes",2,1))</f>
        <v>0</v>
      </c>
      <c r="K38" s="101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102"/>
    </row>
    <row r="40" spans="2:25" x14ac:dyDescent="0.25">
      <c r="B40" t="s">
        <v>261</v>
      </c>
      <c r="C40" t="s">
        <v>51</v>
      </c>
      <c r="D40" t="s">
        <v>551</v>
      </c>
      <c r="E40" t="s">
        <v>731</v>
      </c>
      <c r="F40" t="s">
        <v>734</v>
      </c>
      <c r="G40" t="s">
        <v>735</v>
      </c>
      <c r="H40" t="s">
        <v>736</v>
      </c>
      <c r="I40" t="s">
        <v>73</v>
      </c>
      <c r="J40" t="s">
        <v>74</v>
      </c>
      <c r="K40" t="s">
        <v>75</v>
      </c>
      <c r="L40" t="s">
        <v>546</v>
      </c>
      <c r="M40" t="s">
        <v>603</v>
      </c>
      <c r="N40" t="s">
        <v>430</v>
      </c>
      <c r="O40" t="s">
        <v>605</v>
      </c>
      <c r="P40" t="s">
        <v>732</v>
      </c>
      <c r="Q40" t="s">
        <v>733</v>
      </c>
      <c r="R40" t="s">
        <v>737</v>
      </c>
      <c r="S40" t="s">
        <v>738</v>
      </c>
      <c r="T40" t="s">
        <v>549</v>
      </c>
      <c r="V40" t="s">
        <v>261</v>
      </c>
      <c r="W40" t="s">
        <v>442</v>
      </c>
    </row>
    <row r="41" spans="2:25" x14ac:dyDescent="0.25">
      <c r="B41" s="89"/>
      <c r="C41" s="105" t="s">
        <v>274</v>
      </c>
      <c r="D41" s="91" t="s">
        <v>550</v>
      </c>
      <c r="E41" s="90" cm="1">
        <f t="array" ref="E41">IF(V41=0,0,IF(D41="YES",2,1)*INDEX(IF(OR(Sheet2!$C$12=Lists!$B$25,Sheet2!$C$12=Lists!$B$26,Sheet2!$C$12=Lists!$B$27,Sheet2!$C$12=Lists!$B$28,Sheet2!$C$12=Lists!$B$33,Sheet2!$C$12=Lists!$B$34,Sheet2!$C$12=Lists!$B$35,Sheet2!$C$12=Lists!$B$36),hdt_dfsp,hdt_spfhf),MATCH(V41,holdown,0),0))</f>
        <v>2145</v>
      </c>
      <c r="F41" s="90" cm="1">
        <f t="array" ref="F41">IF(W41=0,0,INDEX(abt_mid,MATCH(W41,anchor,0),0))</f>
        <v>4270</v>
      </c>
      <c r="G41" s="90" cm="1">
        <f t="array" ref="G41">IF(W41=0,0,INDEX(abt_corner,MATCH(W41,anchor,0),0))</f>
        <v>0</v>
      </c>
      <c r="H41" s="90" cm="1">
        <f t="array" ref="H41">IF(W41=0,0,INDEX(abt_end,MATCH(W41,anchor,0),0))</f>
        <v>0</v>
      </c>
      <c r="I41" s="90" t="str" cm="1">
        <f t="array" ref="I41">IF(V41=0,0,INDEX(post24,MATCH(V41,holdown,0),0))</f>
        <v>2-2x4</v>
      </c>
      <c r="J41" s="90" t="str" cm="1">
        <f t="array" ref="J41">IF(V41=0,0,INDEX(post26,MATCH(V41,holdown,0),0))</f>
        <v>2-2x6</v>
      </c>
      <c r="K41" s="90" cm="1">
        <f t="array" ref="K41">IF(V41=0,0,INDEX(hdslip,MATCH(V41,holdown,0),0))</f>
        <v>0.128</v>
      </c>
      <c r="L41" s="90" cm="1">
        <f t="array" ref="L41">IF(V41=0,0,INDEX(hdoffset,MATCH(V41,holdown,0),0))</f>
        <v>3.8125</v>
      </c>
      <c r="M41" s="90" cm="1">
        <f t="array" ref="M41">IF(V41=0,0,INDEX(ab_dia_req,MATCH(V41,holdown,0),0))</f>
        <v>0.5</v>
      </c>
      <c r="N41" s="90" cm="1">
        <f t="array" ref="N41">IF(W41=0,0,INDEX(ab_dia_act,MATCH(W41,anchor,0),0))</f>
        <v>0.5</v>
      </c>
      <c r="O41" s="90" cm="1">
        <f t="array" ref="O41">IF(W41=0,0,INDEX(ab_fc,MATCH(W41,anchor,0),0))</f>
        <v>2500</v>
      </c>
      <c r="P41" s="90" cm="1">
        <f t="array" ref="P41">IF(W41=0,0,INDEX(ab_F,MATCH(W41,anchor,0),0))</f>
        <v>8</v>
      </c>
      <c r="Q41" s="90" cm="1">
        <f t="array" ref="Q41">IF(W41=0,0,INDEX(ab_lede,MATCH(W41,anchor,0),0))</f>
        <v>4.5</v>
      </c>
      <c r="R41" s="90" t="str" cm="1">
        <f t="array" ref="R41">IF(W41=0,0,INDEX(ab_sdc,MATCH(W41,anchor,0),0))</f>
        <v>AB</v>
      </c>
      <c r="S41" s="90" t="str" cm="1">
        <f t="array" ref="S41">IF(W41=0,0,INDEX(ab_condition,MATCH(W41,anchor,0),0))</f>
        <v>footing</v>
      </c>
      <c r="T41" s="90" t="str" cm="1">
        <f t="array" ref="T41">IF(V41=0,0,INDEX(sw0.92,MATCH(V41,holdown,0),0))</f>
        <v>YES</v>
      </c>
      <c r="U41" s="90"/>
      <c r="V41" s="106" t="s">
        <v>80</v>
      </c>
      <c r="W41" s="98" t="s">
        <v>659</v>
      </c>
      <c r="X41" s="90"/>
      <c r="Y41" s="99" t="str">
        <f>IF(V41=0,"",IF(AND(OR(R41=$B$4,R41=0),OR(O41=$B$9,O41=0),OR(N41=M41,N41=0),OR(F41=0,F41&gt;E41,G41&gt;E41,H41&gt;E41)),"OK!","REVISE HD+AB"))</f>
        <v>OK!</v>
      </c>
    </row>
    <row r="42" spans="2:25" x14ac:dyDescent="0.25">
      <c r="B42" s="93"/>
      <c r="C42" s="1" t="s">
        <v>279</v>
      </c>
      <c r="D42" s="19" t="s">
        <v>550</v>
      </c>
      <c r="E42" cm="1">
        <f t="array" ref="E42">IF(V42=0,0,IF(D42="YES",2,1)*INDEX(IF(OR(Sheet2!$C$12=Lists!$B$25,Sheet2!$C$12=Lists!$B$26,Sheet2!$C$12=Lists!$B$27,Sheet2!$C$12=Lists!$B$28,Sheet2!$C$12=Lists!$B$33,Sheet2!$C$12=Lists!$B$34,Sheet2!$C$12=Lists!$B$35,Sheet2!$C$12=Lists!$B$36),hdt_dfsp,hdt_spfhf),MATCH(V42,holdown,0),0))</f>
        <v>3790</v>
      </c>
      <c r="F42" cm="1">
        <f t="array" ref="F42">IF(W42=0,0,INDEX(abt_mid,MATCH(W42,anchor,0),0))</f>
        <v>5535</v>
      </c>
      <c r="G42" cm="1">
        <f t="array" ref="G42">IF(W42=0,0,INDEX(abt_corner,MATCH(W42,anchor,0),0))</f>
        <v>0</v>
      </c>
      <c r="H42" cm="1">
        <f t="array" ref="H42">IF(W42=0,0,INDEX(abt_end,MATCH(W42,anchor,0),0))</f>
        <v>0</v>
      </c>
      <c r="I42" t="str" cm="1">
        <f t="array" ref="I42">IF(V42=0,0,INDEX(post24,MATCH(V42,holdown,0),0))</f>
        <v>2-2x4</v>
      </c>
      <c r="J42" t="str" cm="1">
        <f t="array" ref="J42">IF(V42=0,0,INDEX(post26,MATCH(V42,holdown,0),0))</f>
        <v>2-2x6</v>
      </c>
      <c r="K42" cm="1">
        <f t="array" ref="K42">IF(V42=0,0,INDEX(hdslip,MATCH(V42,holdown,0),0))</f>
        <v>0.127</v>
      </c>
      <c r="L42" cm="1">
        <f t="array" ref="L42">IF(V42=0,0,INDEX(hdoffset,MATCH(V42,holdown,0),0))</f>
        <v>4.375</v>
      </c>
      <c r="M42" cm="1">
        <f t="array" ref="M42">IF(V42=0,0,INDEX(ab_dia_req,MATCH(V42,holdown,0),0))</f>
        <v>0.625</v>
      </c>
      <c r="N42" cm="1">
        <f t="array" ref="N42">IF(W42=0,0,INDEX(ab_dia_act,MATCH(W42,anchor,0),0))</f>
        <v>0.625</v>
      </c>
      <c r="O42" cm="1">
        <f t="array" ref="O42">IF(W42=0,0,INDEX(ab_fc,MATCH(W42,anchor,0),0))</f>
        <v>2500</v>
      </c>
      <c r="P42" cm="1">
        <f t="array" ref="P42">IF(W42=0,0,INDEX(ab_F,MATCH(W42,anchor,0),0))</f>
        <v>4</v>
      </c>
      <c r="Q42" cm="1">
        <f t="array" ref="Q42">IF(W42=0,0,INDEX(ab_lede,MATCH(W42,anchor,0),0))</f>
        <v>7.5</v>
      </c>
      <c r="R42" t="str" cm="1">
        <f t="array" ref="R42">IF(W42=0,0,INDEX(ab_sdc,MATCH(W42,anchor,0),0))</f>
        <v>AB</v>
      </c>
      <c r="S42" t="str" cm="1">
        <f t="array" ref="S42">IF(W42=0,0,INDEX(ab_condition,MATCH(W42,anchor,0),0))</f>
        <v>footing</v>
      </c>
      <c r="T42" t="str" cm="1">
        <f t="array" ref="T42">IF(V42=0,0,INDEX(sw0.92,MATCH(V42,holdown,0),0))</f>
        <v>YES</v>
      </c>
      <c r="V42" s="65" t="s">
        <v>422</v>
      </c>
      <c r="W42" s="19" t="s">
        <v>663</v>
      </c>
      <c r="Y42" s="100" t="str">
        <f t="shared" ref="Y42:Y66" si="0">IF(V42=0,"",IF(AND(OR(R42=$B$4,R42=0),OR(O42=$B$9,O42=0),OR(N42=M42,N42=0),OR(F42=0,F42&gt;E42,G42&gt;E42,H42&gt;E42)),"OK!","REVISE HD+AB"))</f>
        <v>OK!</v>
      </c>
    </row>
    <row r="43" spans="2:25" x14ac:dyDescent="0.25">
      <c r="B43" s="93"/>
      <c r="C43" s="1" t="s">
        <v>283</v>
      </c>
      <c r="D43" s="19" t="s">
        <v>550</v>
      </c>
      <c r="E43" cm="1">
        <f t="array" ref="E43">IF(V43=0,0,IF(D43="YES",2,1)*INDEX(IF(OR(Sheet2!$C$12=Lists!$B$25,Sheet2!$C$12=Lists!$B$26,Sheet2!$C$12=Lists!$B$27,Sheet2!$C$12=Lists!$B$28,Sheet2!$C$12=Lists!$B$33,Sheet2!$C$12=Lists!$B$34,Sheet2!$C$12=Lists!$B$35,Sheet2!$C$12=Lists!$B$36),hdt_dfsp,hdt_spfhf),MATCH(V43,holdown,0),0))</f>
        <v>5375</v>
      </c>
      <c r="F43" cm="1">
        <f t="array" ref="F43">IF(W43=0,0,INDEX(abt_mid,MATCH(W43,anchor,0),0))</f>
        <v>5535</v>
      </c>
      <c r="G43" cm="1">
        <f t="array" ref="G43">IF(W43=0,0,INDEX(abt_corner,MATCH(W43,anchor,0),0))</f>
        <v>0</v>
      </c>
      <c r="H43" cm="1">
        <f t="array" ref="H43">IF(W43=0,0,INDEX(abt_end,MATCH(W43,anchor,0),0))</f>
        <v>0</v>
      </c>
      <c r="I43" t="str" cm="1">
        <f t="array" ref="I43">IF(V43=0,0,INDEX(post24,MATCH(V43,holdown,0),0))</f>
        <v>2-2x4</v>
      </c>
      <c r="J43" t="str" cm="1">
        <f t="array" ref="J43">IF(V43=0,0,INDEX(post26,MATCH(V43,holdown,0),0))</f>
        <v>2-2x6</v>
      </c>
      <c r="K43" cm="1">
        <f t="array" ref="K43">IF(V43=0,0,INDEX(hdslip,MATCH(V43,holdown,0),0))</f>
        <v>0.14599999999999999</v>
      </c>
      <c r="L43" cm="1">
        <f t="array" ref="L43">IF(V43=0,0,INDEX(hdoffset,MATCH(V43,holdown,0),0))</f>
        <v>4.375</v>
      </c>
      <c r="M43" cm="1">
        <f t="array" ref="M43">IF(V43=0,0,INDEX(ab_dia_req,MATCH(V43,holdown,0),0))</f>
        <v>0.625</v>
      </c>
      <c r="N43" cm="1">
        <f t="array" ref="N43">IF(W43=0,0,INDEX(ab_dia_act,MATCH(W43,anchor,0),0))</f>
        <v>0.625</v>
      </c>
      <c r="O43" cm="1">
        <f t="array" ref="O43">IF(W43=0,0,INDEX(ab_fc,MATCH(W43,anchor,0),0))</f>
        <v>2500</v>
      </c>
      <c r="P43" cm="1">
        <f t="array" ref="P43">IF(W43=0,0,INDEX(ab_F,MATCH(W43,anchor,0),0))</f>
        <v>4</v>
      </c>
      <c r="Q43" cm="1">
        <f t="array" ref="Q43">IF(W43=0,0,INDEX(ab_lede,MATCH(W43,anchor,0),0))</f>
        <v>7.5</v>
      </c>
      <c r="R43" t="str" cm="1">
        <f t="array" ref="R43">IF(W43=0,0,INDEX(ab_sdc,MATCH(W43,anchor,0),0))</f>
        <v>AB</v>
      </c>
      <c r="S43" t="str" cm="1">
        <f t="array" ref="S43">IF(W43=0,0,INDEX(ab_condition,MATCH(W43,anchor,0),0))</f>
        <v>footing</v>
      </c>
      <c r="T43" t="str" cm="1">
        <f t="array" ref="T43">IF(V43=0,0,INDEX(sw0.92,MATCH(V43,holdown,0),0))</f>
        <v>YES</v>
      </c>
      <c r="V43" s="65" t="s">
        <v>425</v>
      </c>
      <c r="W43" s="19" t="s">
        <v>663</v>
      </c>
      <c r="Y43" s="100" t="str">
        <f t="shared" si="0"/>
        <v>OK!</v>
      </c>
    </row>
    <row r="44" spans="2:25" x14ac:dyDescent="0.25">
      <c r="B44" s="93"/>
      <c r="C44" s="1" t="s">
        <v>287</v>
      </c>
      <c r="D44" s="19" t="s">
        <v>550</v>
      </c>
      <c r="E44" cm="1">
        <f t="array" ref="E44">IF(V44=0,0,IF(D44="YES",2,1)*INDEX(IF(OR(Sheet2!$C$12=Lists!$B$25,Sheet2!$C$12=Lists!$B$26,Sheet2!$C$12=Lists!$B$27,Sheet2!$C$12=Lists!$B$28,Sheet2!$C$12=Lists!$B$33,Sheet2!$C$12=Lists!$B$34,Sheet2!$C$12=Lists!$B$35,Sheet2!$C$12=Lists!$B$36),hdt_dfsp,hdt_spfhf),MATCH(V44,holdown,0),0))</f>
        <v>1030</v>
      </c>
      <c r="F44" cm="1">
        <f t="array" ref="F44">IF(W44=0,0,INDEX(abt_mid,MATCH(W44,anchor,0),0))</f>
        <v>0</v>
      </c>
      <c r="G44" cm="1">
        <f t="array" ref="G44">IF(W44=0,0,INDEX(abt_corner,MATCH(W44,anchor,0),0))</f>
        <v>0</v>
      </c>
      <c r="H44" cm="1">
        <f t="array" ref="H44">IF(W44=0,0,INDEX(abt_end,MATCH(W44,anchor,0),0))</f>
        <v>0</v>
      </c>
      <c r="I44" t="str" cm="1">
        <f t="array" ref="I44">IF(V44=0,0,INDEX(post24,MATCH(V44,holdown,0),0))</f>
        <v>2x4</v>
      </c>
      <c r="J44" t="str" cm="1">
        <f t="array" ref="J44">IF(V44=0,0,INDEX(post26,MATCH(V44,holdown,0),0))</f>
        <v>2x6</v>
      </c>
      <c r="K44" cm="1">
        <f t="array" ref="K44">IF(V44=0,0,INDEX(hdslip,MATCH(V44,holdown,0),0))</f>
        <v>0</v>
      </c>
      <c r="L44" cm="1">
        <f t="array" ref="L44">IF(V44=0,0,INDEX(hdoffset,MATCH(V44,holdown,0),0))</f>
        <v>0.75</v>
      </c>
      <c r="M44" t="str" cm="1">
        <f t="array" ref="M44">IF(V44=0,0,INDEX(ab_dia_req,MATCH(V44,holdown,0),0))</f>
        <v>14-0.148x2.5 @9</v>
      </c>
      <c r="N44" cm="1">
        <f t="array" ref="N44">IF(W44=0,0,INDEX(ab_dia_act,MATCH(W44,anchor,0),0))</f>
        <v>0</v>
      </c>
      <c r="O44" cm="1">
        <f t="array" ref="O44">IF(W44=0,0,INDEX(ab_fc,MATCH(W44,anchor,0),0))</f>
        <v>0</v>
      </c>
      <c r="P44" cm="1">
        <f t="array" ref="P44">IF(W44=0,0,INDEX(ab_F,MATCH(W44,anchor,0),0))</f>
        <v>0</v>
      </c>
      <c r="Q44" cm="1">
        <f t="array" ref="Q44">IF(W44=0,0,INDEX(ab_lede,MATCH(W44,anchor,0),0))</f>
        <v>0</v>
      </c>
      <c r="R44" cm="1">
        <f t="array" ref="R44">IF(W44=0,0,INDEX(ab_sdc,MATCH(W44,anchor,0),0))</f>
        <v>0</v>
      </c>
      <c r="S44" cm="1">
        <f t="array" ref="S44">IF(W44=0,0,INDEX(ab_condition,MATCH(W44,anchor,0),0))</f>
        <v>0</v>
      </c>
      <c r="T44" t="str" cm="1">
        <f t="array" ref="T44">IF(V44=0,0,INDEX(sw0.92,MATCH(V44,holdown,0),0))</f>
        <v>NO</v>
      </c>
      <c r="V44" s="65" t="s">
        <v>627</v>
      </c>
      <c r="W44" s="19"/>
      <c r="Y44" s="100" t="str">
        <f t="shared" si="0"/>
        <v>OK!</v>
      </c>
    </row>
    <row r="45" spans="2:25" x14ac:dyDescent="0.25">
      <c r="B45" s="93"/>
      <c r="C45" s="1" t="s">
        <v>288</v>
      </c>
      <c r="D45" s="19" t="s">
        <v>550</v>
      </c>
      <c r="E45" cm="1">
        <f t="array" ref="E45">IF(V45=0,0,IF(D45="YES",2,1)*INDEX(IF(OR(Sheet2!$C$12=Lists!$B$25,Sheet2!$C$12=Lists!$B$26,Sheet2!$C$12=Lists!$B$27,Sheet2!$C$12=Lists!$B$28,Sheet2!$C$12=Lists!$B$33,Sheet2!$C$12=Lists!$B$34,Sheet2!$C$12=Lists!$B$35,Sheet2!$C$12=Lists!$B$36),hdt_dfsp,hdt_spfhf),MATCH(V45,holdown,0),0))</f>
        <v>0</v>
      </c>
      <c r="F45" cm="1">
        <f t="array" ref="F45">IF(W45=0,0,INDEX(abt_mid,MATCH(W45,anchor,0),0))</f>
        <v>0</v>
      </c>
      <c r="G45" cm="1">
        <f t="array" ref="G45">IF(W45=0,0,INDEX(abt_corner,MATCH(W45,anchor,0),0))</f>
        <v>0</v>
      </c>
      <c r="H45" cm="1">
        <f t="array" ref="H45">IF(W45=0,0,INDEX(abt_end,MATCH(W45,anchor,0),0))</f>
        <v>0</v>
      </c>
      <c r="I45" cm="1">
        <f t="array" ref="I45">IF(V45=0,0,INDEX(post24,MATCH(V45,holdown,0),0))</f>
        <v>0</v>
      </c>
      <c r="J45" cm="1">
        <f t="array" ref="J45">IF(V45=0,0,INDEX(post26,MATCH(V45,holdown,0),0))</f>
        <v>0</v>
      </c>
      <c r="K45" cm="1">
        <f t="array" ref="K45">IF(V45=0,0,INDEX(hdslip,MATCH(V45,holdown,0),0))</f>
        <v>0</v>
      </c>
      <c r="L45" cm="1">
        <f t="array" ref="L45">IF(V45=0,0,INDEX(hdoffset,MATCH(V45,holdown,0),0))</f>
        <v>0</v>
      </c>
      <c r="M45" cm="1">
        <f t="array" ref="M45">IF(V45=0,0,INDEX(ab_dia_req,MATCH(V45,holdown,0),0))</f>
        <v>0</v>
      </c>
      <c r="N45" cm="1">
        <f t="array" ref="N45">IF(W45=0,0,INDEX(ab_dia_act,MATCH(W45,anchor,0),0))</f>
        <v>0</v>
      </c>
      <c r="O45" cm="1">
        <f t="array" ref="O45">IF(W45=0,0,INDEX(ab_fc,MATCH(W45,anchor,0),0))</f>
        <v>0</v>
      </c>
      <c r="P45" cm="1">
        <f t="array" ref="P45">IF(W45=0,0,INDEX(ab_F,MATCH(W45,anchor,0),0))</f>
        <v>0</v>
      </c>
      <c r="Q45" cm="1">
        <f t="array" ref="Q45">IF(W45=0,0,INDEX(ab_lede,MATCH(W45,anchor,0),0))</f>
        <v>0</v>
      </c>
      <c r="R45" cm="1">
        <f t="array" ref="R45">IF(W45=0,0,INDEX(ab_sdc,MATCH(W45,anchor,0),0))</f>
        <v>0</v>
      </c>
      <c r="S45" cm="1">
        <f t="array" ref="S45">IF(W45=0,0,INDEX(ab_condition,MATCH(W45,anchor,0),0))</f>
        <v>0</v>
      </c>
      <c r="T45" cm="1">
        <f t="array" ref="T45">IF(V45=0,0,INDEX(sw0.92,MATCH(V45,holdown,0),0))</f>
        <v>0</v>
      </c>
      <c r="V45" s="65"/>
      <c r="W45" s="19"/>
      <c r="Y45" s="100" t="str">
        <f t="shared" si="0"/>
        <v/>
      </c>
    </row>
    <row r="46" spans="2:25" x14ac:dyDescent="0.25">
      <c r="B46" s="93"/>
      <c r="C46" s="1" t="s">
        <v>293</v>
      </c>
      <c r="D46" s="19" t="s">
        <v>550</v>
      </c>
      <c r="E46" cm="1">
        <f t="array" ref="E46">IF(V46=0,0,IF(D46="YES",2,1)*INDEX(IF(OR(Sheet2!$C$12=Lists!$B$25,Sheet2!$C$12=Lists!$B$26,Sheet2!$C$12=Lists!$B$27,Sheet2!$C$12=Lists!$B$28,Sheet2!$C$12=Lists!$B$33,Sheet2!$C$12=Lists!$B$34,Sheet2!$C$12=Lists!$B$35,Sheet2!$C$12=Lists!$B$36),hdt_dfsp,hdt_spfhf),MATCH(V46,holdown,0),0))</f>
        <v>0</v>
      </c>
      <c r="F46" cm="1">
        <f t="array" ref="F46">IF(W46=0,0,INDEX(abt_mid,MATCH(W46,anchor,0),0))</f>
        <v>0</v>
      </c>
      <c r="G46" cm="1">
        <f t="array" ref="G46">IF(W46=0,0,INDEX(abt_corner,MATCH(W46,anchor,0),0))</f>
        <v>0</v>
      </c>
      <c r="H46" cm="1">
        <f t="array" ref="H46">IF(W46=0,0,INDEX(abt_end,MATCH(W46,anchor,0),0))</f>
        <v>0</v>
      </c>
      <c r="I46" cm="1">
        <f t="array" ref="I46">IF(V46=0,0,INDEX(post24,MATCH(V46,holdown,0),0))</f>
        <v>0</v>
      </c>
      <c r="J46" cm="1">
        <f t="array" ref="J46">IF(V46=0,0,INDEX(post26,MATCH(V46,holdown,0),0))</f>
        <v>0</v>
      </c>
      <c r="K46" cm="1">
        <f t="array" ref="K46">IF(V46=0,0,INDEX(hdslip,MATCH(V46,holdown,0),0))</f>
        <v>0</v>
      </c>
      <c r="L46" cm="1">
        <f t="array" ref="L46">IF(V46=0,0,INDEX(hdoffset,MATCH(V46,holdown,0),0))</f>
        <v>0</v>
      </c>
      <c r="M46" cm="1">
        <f t="array" ref="M46">IF(V46=0,0,INDEX(ab_dia_req,MATCH(V46,holdown,0),0))</f>
        <v>0</v>
      </c>
      <c r="N46" cm="1">
        <f t="array" ref="N46">IF(W46=0,0,INDEX(ab_dia_act,MATCH(W46,anchor,0),0))</f>
        <v>0</v>
      </c>
      <c r="O46" cm="1">
        <f t="array" ref="O46">IF(W46=0,0,INDEX(ab_fc,MATCH(W46,anchor,0),0))</f>
        <v>0</v>
      </c>
      <c r="P46" cm="1">
        <f t="array" ref="P46">IF(W46=0,0,INDEX(ab_F,MATCH(W46,anchor,0),0))</f>
        <v>0</v>
      </c>
      <c r="Q46" cm="1">
        <f t="array" ref="Q46">IF(W46=0,0,INDEX(ab_lede,MATCH(W46,anchor,0),0))</f>
        <v>0</v>
      </c>
      <c r="R46" cm="1">
        <f t="array" ref="R46">IF(W46=0,0,INDEX(ab_sdc,MATCH(W46,anchor,0),0))</f>
        <v>0</v>
      </c>
      <c r="S46" cm="1">
        <f t="array" ref="S46">IF(W46=0,0,INDEX(ab_condition,MATCH(W46,anchor,0),0))</f>
        <v>0</v>
      </c>
      <c r="T46" cm="1">
        <f t="array" ref="T46">IF(V46=0,0,INDEX(sw0.92,MATCH(V46,holdown,0),0))</f>
        <v>0</v>
      </c>
      <c r="V46" s="65"/>
      <c r="W46" s="19"/>
      <c r="Y46" s="100" t="str">
        <f t="shared" si="0"/>
        <v/>
      </c>
    </row>
    <row r="47" spans="2:25" x14ac:dyDescent="0.25">
      <c r="B47" s="93"/>
      <c r="C47" s="1" t="s">
        <v>456</v>
      </c>
      <c r="D47" s="19" t="s">
        <v>550</v>
      </c>
      <c r="E47" cm="1">
        <f t="array" ref="E47">IF(V47=0,0,IF(D47="YES",2,1)*INDEX(IF(OR(Sheet2!$C$12=Lists!$B$25,Sheet2!$C$12=Lists!$B$26,Sheet2!$C$12=Lists!$B$27,Sheet2!$C$12=Lists!$B$28,Sheet2!$C$12=Lists!$B$33,Sheet2!$C$12=Lists!$B$34,Sheet2!$C$12=Lists!$B$35,Sheet2!$C$12=Lists!$B$36),hdt_dfsp,hdt_spfhf),MATCH(V47,holdown,0),0))</f>
        <v>0</v>
      </c>
      <c r="F47" cm="1">
        <f t="array" ref="F47">IF(W47=0,0,INDEX(abt_mid,MATCH(W47,anchor,0),0))</f>
        <v>0</v>
      </c>
      <c r="G47" cm="1">
        <f t="array" ref="G47">IF(W47=0,0,INDEX(abt_corner,MATCH(W47,anchor,0),0))</f>
        <v>0</v>
      </c>
      <c r="H47" cm="1">
        <f t="array" ref="H47">IF(W47=0,0,INDEX(abt_end,MATCH(W47,anchor,0),0))</f>
        <v>0</v>
      </c>
      <c r="I47" cm="1">
        <f t="array" ref="I47">IF(V47=0,0,INDEX(post24,MATCH(V47,holdown,0),0))</f>
        <v>0</v>
      </c>
      <c r="J47" cm="1">
        <f t="array" ref="J47">IF(V47=0,0,INDEX(post26,MATCH(V47,holdown,0),0))</f>
        <v>0</v>
      </c>
      <c r="K47" cm="1">
        <f t="array" ref="K47">IF(V47=0,0,INDEX(hdslip,MATCH(V47,holdown,0),0))</f>
        <v>0</v>
      </c>
      <c r="L47" cm="1">
        <f t="array" ref="L47">IF(V47=0,0,INDEX(hdoffset,MATCH(V47,holdown,0),0))</f>
        <v>0</v>
      </c>
      <c r="M47" cm="1">
        <f t="array" ref="M47">IF(V47=0,0,INDEX(ab_dia_req,MATCH(V47,holdown,0),0))</f>
        <v>0</v>
      </c>
      <c r="N47" cm="1">
        <f t="array" ref="N47">IF(W47=0,0,INDEX(ab_dia_act,MATCH(W47,anchor,0),0))</f>
        <v>0</v>
      </c>
      <c r="O47" cm="1">
        <f t="array" ref="O47">IF(W47=0,0,INDEX(ab_fc,MATCH(W47,anchor,0),0))</f>
        <v>0</v>
      </c>
      <c r="P47" cm="1">
        <f t="array" ref="P47">IF(W47=0,0,INDEX(ab_F,MATCH(W47,anchor,0),0))</f>
        <v>0</v>
      </c>
      <c r="Q47" cm="1">
        <f t="array" ref="Q47">IF(W47=0,0,INDEX(ab_lede,MATCH(W47,anchor,0),0))</f>
        <v>0</v>
      </c>
      <c r="R47" cm="1">
        <f t="array" ref="R47">IF(W47=0,0,INDEX(ab_sdc,MATCH(W47,anchor,0),0))</f>
        <v>0</v>
      </c>
      <c r="S47" cm="1">
        <f t="array" ref="S47">IF(W47=0,0,INDEX(ab_condition,MATCH(W47,anchor,0),0))</f>
        <v>0</v>
      </c>
      <c r="T47" cm="1">
        <f t="array" ref="T47">IF(V47=0,0,INDEX(sw0.92,MATCH(V47,holdown,0),0))</f>
        <v>0</v>
      </c>
      <c r="V47" s="65"/>
      <c r="W47" s="19"/>
      <c r="Y47" s="100" t="str">
        <f t="shared" si="0"/>
        <v/>
      </c>
    </row>
    <row r="48" spans="2:25" x14ac:dyDescent="0.25">
      <c r="B48" s="93"/>
      <c r="C48" s="1" t="s">
        <v>457</v>
      </c>
      <c r="D48" s="19" t="s">
        <v>550</v>
      </c>
      <c r="E48" cm="1">
        <f t="array" ref="E48">IF(V48=0,0,IF(D48="YES",2,1)*INDEX(IF(OR(Sheet2!$C$12=Lists!$B$25,Sheet2!$C$12=Lists!$B$26,Sheet2!$C$12=Lists!$B$27,Sheet2!$C$12=Lists!$B$28,Sheet2!$C$12=Lists!$B$33,Sheet2!$C$12=Lists!$B$34,Sheet2!$C$12=Lists!$B$35,Sheet2!$C$12=Lists!$B$36),hdt_dfsp,hdt_spfhf),MATCH(V48,holdown,0),0))</f>
        <v>0</v>
      </c>
      <c r="F48" cm="1">
        <f t="array" ref="F48">IF(W48=0,0,INDEX(abt_mid,MATCH(W48,anchor,0),0))</f>
        <v>0</v>
      </c>
      <c r="G48" cm="1">
        <f t="array" ref="G48">IF(W48=0,0,INDEX(abt_corner,MATCH(W48,anchor,0),0))</f>
        <v>0</v>
      </c>
      <c r="H48" cm="1">
        <f t="array" ref="H48">IF(W48=0,0,INDEX(abt_end,MATCH(W48,anchor,0),0))</f>
        <v>0</v>
      </c>
      <c r="I48" cm="1">
        <f t="array" ref="I48">IF(V48=0,0,INDEX(post24,MATCH(V48,holdown,0),0))</f>
        <v>0</v>
      </c>
      <c r="J48" cm="1">
        <f t="array" ref="J48">IF(V48=0,0,INDEX(post26,MATCH(V48,holdown,0),0))</f>
        <v>0</v>
      </c>
      <c r="K48" cm="1">
        <f t="array" ref="K48">IF(V48=0,0,INDEX(hdslip,MATCH(V48,holdown,0),0))</f>
        <v>0</v>
      </c>
      <c r="L48" cm="1">
        <f t="array" ref="L48">IF(V48=0,0,INDEX(hdoffset,MATCH(V48,holdown,0),0))</f>
        <v>0</v>
      </c>
      <c r="M48" cm="1">
        <f t="array" ref="M48">IF(V48=0,0,INDEX(ab_dia_req,MATCH(V48,holdown,0),0))</f>
        <v>0</v>
      </c>
      <c r="N48" cm="1">
        <f t="array" ref="N48">IF(W48=0,0,INDEX(ab_dia_act,MATCH(W48,anchor,0),0))</f>
        <v>0</v>
      </c>
      <c r="O48" cm="1">
        <f t="array" ref="O48">IF(W48=0,0,INDEX(ab_fc,MATCH(W48,anchor,0),0))</f>
        <v>0</v>
      </c>
      <c r="P48" cm="1">
        <f t="array" ref="P48">IF(W48=0,0,INDEX(ab_F,MATCH(W48,anchor,0),0))</f>
        <v>0</v>
      </c>
      <c r="Q48" cm="1">
        <f t="array" ref="Q48">IF(W48=0,0,INDEX(ab_lede,MATCH(W48,anchor,0),0))</f>
        <v>0</v>
      </c>
      <c r="R48" cm="1">
        <f t="array" ref="R48">IF(W48=0,0,INDEX(ab_sdc,MATCH(W48,anchor,0),0))</f>
        <v>0</v>
      </c>
      <c r="S48" cm="1">
        <f t="array" ref="S48">IF(W48=0,0,INDEX(ab_condition,MATCH(W48,anchor,0),0))</f>
        <v>0</v>
      </c>
      <c r="T48" cm="1">
        <f t="array" ref="T48">IF(V48=0,0,INDEX(sw0.92,MATCH(V48,holdown,0),0))</f>
        <v>0</v>
      </c>
      <c r="V48" s="65"/>
      <c r="W48" s="19"/>
      <c r="Y48" s="100" t="str">
        <f t="shared" si="0"/>
        <v/>
      </c>
    </row>
    <row r="49" spans="2:25" x14ac:dyDescent="0.25">
      <c r="B49" s="93"/>
      <c r="C49" s="1" t="s">
        <v>458</v>
      </c>
      <c r="D49" s="19" t="s">
        <v>550</v>
      </c>
      <c r="E49" cm="1">
        <f t="array" ref="E49">IF(V49=0,0,IF(D49="YES",2,1)*INDEX(IF(OR(Sheet2!$C$12=Lists!$B$25,Sheet2!$C$12=Lists!$B$26,Sheet2!$C$12=Lists!$B$27,Sheet2!$C$12=Lists!$B$28,Sheet2!$C$12=Lists!$B$33,Sheet2!$C$12=Lists!$B$34,Sheet2!$C$12=Lists!$B$35,Sheet2!$C$12=Lists!$B$36),hdt_dfsp,hdt_spfhf),MATCH(V49,holdown,0),0))</f>
        <v>0</v>
      </c>
      <c r="F49" cm="1">
        <f t="array" ref="F49">IF(W49=0,0,INDEX(abt_mid,MATCH(W49,anchor,0),0))</f>
        <v>0</v>
      </c>
      <c r="G49" cm="1">
        <f t="array" ref="G49">IF(W49=0,0,INDEX(abt_corner,MATCH(W49,anchor,0),0))</f>
        <v>0</v>
      </c>
      <c r="H49" cm="1">
        <f t="array" ref="H49">IF(W49=0,0,INDEX(abt_end,MATCH(W49,anchor,0),0))</f>
        <v>0</v>
      </c>
      <c r="I49" cm="1">
        <f t="array" ref="I49">IF(V49=0,0,INDEX(post24,MATCH(V49,holdown,0),0))</f>
        <v>0</v>
      </c>
      <c r="J49" cm="1">
        <f t="array" ref="J49">IF(V49=0,0,INDEX(post26,MATCH(V49,holdown,0),0))</f>
        <v>0</v>
      </c>
      <c r="K49" cm="1">
        <f t="array" ref="K49">IF(V49=0,0,INDEX(hdslip,MATCH(V49,holdown,0),0))</f>
        <v>0</v>
      </c>
      <c r="L49" cm="1">
        <f t="array" ref="L49">IF(V49=0,0,INDEX(hdoffset,MATCH(V49,holdown,0),0))</f>
        <v>0</v>
      </c>
      <c r="M49" cm="1">
        <f t="array" ref="M49">IF(V49=0,0,INDEX(ab_dia_req,MATCH(V49,holdown,0),0))</f>
        <v>0</v>
      </c>
      <c r="N49" cm="1">
        <f t="array" ref="N49">IF(W49=0,0,INDEX(ab_dia_act,MATCH(W49,anchor,0),0))</f>
        <v>0</v>
      </c>
      <c r="O49" cm="1">
        <f t="array" ref="O49">IF(W49=0,0,INDEX(ab_fc,MATCH(W49,anchor,0),0))</f>
        <v>0</v>
      </c>
      <c r="P49" cm="1">
        <f t="array" ref="P49">IF(W49=0,0,INDEX(ab_F,MATCH(W49,anchor,0),0))</f>
        <v>0</v>
      </c>
      <c r="Q49" cm="1">
        <f t="array" ref="Q49">IF(W49=0,0,INDEX(ab_lede,MATCH(W49,anchor,0),0))</f>
        <v>0</v>
      </c>
      <c r="R49" cm="1">
        <f t="array" ref="R49">IF(W49=0,0,INDEX(ab_sdc,MATCH(W49,anchor,0),0))</f>
        <v>0</v>
      </c>
      <c r="S49" cm="1">
        <f t="array" ref="S49">IF(W49=0,0,INDEX(ab_condition,MATCH(W49,anchor,0),0))</f>
        <v>0</v>
      </c>
      <c r="T49" cm="1">
        <f t="array" ref="T49">IF(V49=0,0,INDEX(sw0.92,MATCH(V49,holdown,0),0))</f>
        <v>0</v>
      </c>
      <c r="V49" s="65"/>
      <c r="W49" s="19"/>
      <c r="Y49" s="100" t="str">
        <f t="shared" si="0"/>
        <v/>
      </c>
    </row>
    <row r="50" spans="2:25" x14ac:dyDescent="0.25">
      <c r="B50" s="93"/>
      <c r="C50" s="1" t="s">
        <v>459</v>
      </c>
      <c r="D50" s="19" t="s">
        <v>550</v>
      </c>
      <c r="E50" cm="1">
        <f t="array" ref="E50">IF(V50=0,0,IF(D50="YES",2,1)*INDEX(IF(OR(Sheet2!$C$12=Lists!$B$25,Sheet2!$C$12=Lists!$B$26,Sheet2!$C$12=Lists!$B$27,Sheet2!$C$12=Lists!$B$28,Sheet2!$C$12=Lists!$B$33,Sheet2!$C$12=Lists!$B$34,Sheet2!$C$12=Lists!$B$35,Sheet2!$C$12=Lists!$B$36),hdt_dfsp,hdt_spfhf),MATCH(V50,holdown,0),0))</f>
        <v>0</v>
      </c>
      <c r="F50" cm="1">
        <f t="array" ref="F50">IF(W50=0,0,INDEX(abt_mid,MATCH(W50,anchor,0),0))</f>
        <v>0</v>
      </c>
      <c r="G50" cm="1">
        <f t="array" ref="G50">IF(W50=0,0,INDEX(abt_corner,MATCH(W50,anchor,0),0))</f>
        <v>0</v>
      </c>
      <c r="H50" cm="1">
        <f t="array" ref="H50">IF(W50=0,0,INDEX(abt_end,MATCH(W50,anchor,0),0))</f>
        <v>0</v>
      </c>
      <c r="I50" cm="1">
        <f t="array" ref="I50">IF(V50=0,0,INDEX(post24,MATCH(V50,holdown,0),0))</f>
        <v>0</v>
      </c>
      <c r="J50" cm="1">
        <f t="array" ref="J50">IF(V50=0,0,INDEX(post26,MATCH(V50,holdown,0),0))</f>
        <v>0</v>
      </c>
      <c r="K50" cm="1">
        <f t="array" ref="K50">IF(V50=0,0,INDEX(hdslip,MATCH(V50,holdown,0),0))</f>
        <v>0</v>
      </c>
      <c r="L50" cm="1">
        <f t="array" ref="L50">IF(V50=0,0,INDEX(hdoffset,MATCH(V50,holdown,0),0))</f>
        <v>0</v>
      </c>
      <c r="M50" cm="1">
        <f t="array" ref="M50">IF(V50=0,0,INDEX(ab_dia_req,MATCH(V50,holdown,0),0))</f>
        <v>0</v>
      </c>
      <c r="N50" cm="1">
        <f t="array" ref="N50">IF(W50=0,0,INDEX(ab_dia_act,MATCH(W50,anchor,0),0))</f>
        <v>0</v>
      </c>
      <c r="O50" cm="1">
        <f t="array" ref="O50">IF(W50=0,0,INDEX(ab_fc,MATCH(W50,anchor,0),0))</f>
        <v>0</v>
      </c>
      <c r="P50" cm="1">
        <f t="array" ref="P50">IF(W50=0,0,INDEX(ab_F,MATCH(W50,anchor,0),0))</f>
        <v>0</v>
      </c>
      <c r="Q50" cm="1">
        <f t="array" ref="Q50">IF(W50=0,0,INDEX(ab_lede,MATCH(W50,anchor,0),0))</f>
        <v>0</v>
      </c>
      <c r="R50" cm="1">
        <f t="array" ref="R50">IF(W50=0,0,INDEX(ab_sdc,MATCH(W50,anchor,0),0))</f>
        <v>0</v>
      </c>
      <c r="S50" cm="1">
        <f t="array" ref="S50">IF(W50=0,0,INDEX(ab_condition,MATCH(W50,anchor,0),0))</f>
        <v>0</v>
      </c>
      <c r="T50" cm="1">
        <f t="array" ref="T50">IF(V50=0,0,INDEX(sw0.92,MATCH(V50,holdown,0),0))</f>
        <v>0</v>
      </c>
      <c r="V50" s="65"/>
      <c r="W50" s="19"/>
      <c r="Y50" s="100" t="str">
        <f t="shared" si="0"/>
        <v/>
      </c>
    </row>
    <row r="51" spans="2:25" x14ac:dyDescent="0.25">
      <c r="B51" s="93"/>
      <c r="C51" s="1" t="s">
        <v>171</v>
      </c>
      <c r="D51" s="19" t="s">
        <v>550</v>
      </c>
      <c r="E51" cm="1">
        <f t="array" ref="E51">IF(V51=0,0,IF(D51="YES",2,1)*INDEX(IF(OR(Sheet2!$C$12=Lists!$B$25,Sheet2!$C$12=Lists!$B$26,Sheet2!$C$12=Lists!$B$27,Sheet2!$C$12=Lists!$B$28,Sheet2!$C$12=Lists!$B$33,Sheet2!$C$12=Lists!$B$34,Sheet2!$C$12=Lists!$B$35,Sheet2!$C$12=Lists!$B$36),hdt_dfsp,hdt_spfhf),MATCH(V51,holdown,0),0))</f>
        <v>0</v>
      </c>
      <c r="F51" cm="1">
        <f t="array" ref="F51">IF(W51=0,0,INDEX(abt_mid,MATCH(W51,anchor,0),0))</f>
        <v>0</v>
      </c>
      <c r="G51" cm="1">
        <f t="array" ref="G51">IF(W51=0,0,INDEX(abt_corner,MATCH(W51,anchor,0),0))</f>
        <v>0</v>
      </c>
      <c r="H51" cm="1">
        <f t="array" ref="H51">IF(W51=0,0,INDEX(abt_end,MATCH(W51,anchor,0),0))</f>
        <v>0</v>
      </c>
      <c r="I51" cm="1">
        <f t="array" ref="I51">IF(V51=0,0,INDEX(post24,MATCH(V51,holdown,0),0))</f>
        <v>0</v>
      </c>
      <c r="J51" cm="1">
        <f t="array" ref="J51">IF(V51=0,0,INDEX(post26,MATCH(V51,holdown,0),0))</f>
        <v>0</v>
      </c>
      <c r="K51" cm="1">
        <f t="array" ref="K51">IF(V51=0,0,INDEX(hdslip,MATCH(V51,holdown,0),0))</f>
        <v>0</v>
      </c>
      <c r="L51" cm="1">
        <f t="array" ref="L51">IF(V51=0,0,INDEX(hdoffset,MATCH(V51,holdown,0),0))</f>
        <v>0</v>
      </c>
      <c r="M51" cm="1">
        <f t="array" ref="M51">IF(V51=0,0,INDEX(ab_dia_req,MATCH(V51,holdown,0),0))</f>
        <v>0</v>
      </c>
      <c r="N51" cm="1">
        <f t="array" ref="N51">IF(W51=0,0,INDEX(ab_dia_act,MATCH(W51,anchor,0),0))</f>
        <v>0</v>
      </c>
      <c r="O51" cm="1">
        <f t="array" ref="O51">IF(W51=0,0,INDEX(ab_fc,MATCH(W51,anchor,0),0))</f>
        <v>0</v>
      </c>
      <c r="P51" cm="1">
        <f t="array" ref="P51">IF(W51=0,0,INDEX(ab_F,MATCH(W51,anchor,0),0))</f>
        <v>0</v>
      </c>
      <c r="Q51" cm="1">
        <f t="array" ref="Q51">IF(W51=0,0,INDEX(ab_lede,MATCH(W51,anchor,0),0))</f>
        <v>0</v>
      </c>
      <c r="R51" cm="1">
        <f t="array" ref="R51">IF(W51=0,0,INDEX(ab_sdc,MATCH(W51,anchor,0),0))</f>
        <v>0</v>
      </c>
      <c r="S51" cm="1">
        <f t="array" ref="S51">IF(W51=0,0,INDEX(ab_condition,MATCH(W51,anchor,0),0))</f>
        <v>0</v>
      </c>
      <c r="T51" cm="1">
        <f t="array" ref="T51">IF(V51=0,0,INDEX(sw0.92,MATCH(V51,holdown,0),0))</f>
        <v>0</v>
      </c>
      <c r="V51" s="65"/>
      <c r="W51" s="19"/>
      <c r="Y51" s="100" t="str">
        <f t="shared" si="0"/>
        <v/>
      </c>
    </row>
    <row r="52" spans="2:25" x14ac:dyDescent="0.25">
      <c r="B52" s="93"/>
      <c r="C52" s="1" t="s">
        <v>460</v>
      </c>
      <c r="D52" s="19" t="s">
        <v>550</v>
      </c>
      <c r="E52" cm="1">
        <f t="array" ref="E52">IF(V52=0,0,IF(D52="YES",2,1)*INDEX(IF(OR(Sheet2!$C$12=Lists!$B$25,Sheet2!$C$12=Lists!$B$26,Sheet2!$C$12=Lists!$B$27,Sheet2!$C$12=Lists!$B$28,Sheet2!$C$12=Lists!$B$33,Sheet2!$C$12=Lists!$B$34,Sheet2!$C$12=Lists!$B$35,Sheet2!$C$12=Lists!$B$36),hdt_dfsp,hdt_spfhf),MATCH(V52,holdown,0),0))</f>
        <v>0</v>
      </c>
      <c r="F52" cm="1">
        <f t="array" ref="F52">IF(W52=0,0,INDEX(abt_mid,MATCH(W52,anchor,0),0))</f>
        <v>0</v>
      </c>
      <c r="G52" cm="1">
        <f t="array" ref="G52">IF(W52=0,0,INDEX(abt_corner,MATCH(W52,anchor,0),0))</f>
        <v>0</v>
      </c>
      <c r="H52" cm="1">
        <f t="array" ref="H52">IF(W52=0,0,INDEX(abt_end,MATCH(W52,anchor,0),0))</f>
        <v>0</v>
      </c>
      <c r="I52" cm="1">
        <f t="array" ref="I52">IF(V52=0,0,INDEX(post24,MATCH(V52,holdown,0),0))</f>
        <v>0</v>
      </c>
      <c r="J52" cm="1">
        <f t="array" ref="J52">IF(V52=0,0,INDEX(post26,MATCH(V52,holdown,0),0))</f>
        <v>0</v>
      </c>
      <c r="K52" cm="1">
        <f t="array" ref="K52">IF(V52=0,0,INDEX(hdslip,MATCH(V52,holdown,0),0))</f>
        <v>0</v>
      </c>
      <c r="L52" cm="1">
        <f t="array" ref="L52">IF(V52=0,0,INDEX(hdoffset,MATCH(V52,holdown,0),0))</f>
        <v>0</v>
      </c>
      <c r="M52" cm="1">
        <f t="array" ref="M52">IF(V52=0,0,INDEX(ab_dia_req,MATCH(V52,holdown,0),0))</f>
        <v>0</v>
      </c>
      <c r="N52" cm="1">
        <f t="array" ref="N52">IF(W52=0,0,INDEX(ab_dia_act,MATCH(W52,anchor,0),0))</f>
        <v>0</v>
      </c>
      <c r="O52" cm="1">
        <f t="array" ref="O52">IF(W52=0,0,INDEX(ab_fc,MATCH(W52,anchor,0),0))</f>
        <v>0</v>
      </c>
      <c r="P52" cm="1">
        <f t="array" ref="P52">IF(W52=0,0,INDEX(ab_F,MATCH(W52,anchor,0),0))</f>
        <v>0</v>
      </c>
      <c r="Q52" cm="1">
        <f t="array" ref="Q52">IF(W52=0,0,INDEX(ab_lede,MATCH(W52,anchor,0),0))</f>
        <v>0</v>
      </c>
      <c r="R52" cm="1">
        <f t="array" ref="R52">IF(W52=0,0,INDEX(ab_sdc,MATCH(W52,anchor,0),0))</f>
        <v>0</v>
      </c>
      <c r="S52" cm="1">
        <f t="array" ref="S52">IF(W52=0,0,INDEX(ab_condition,MATCH(W52,anchor,0),0))</f>
        <v>0</v>
      </c>
      <c r="T52" cm="1">
        <f t="array" ref="T52">IF(V52=0,0,INDEX(sw0.92,MATCH(V52,holdown,0),0))</f>
        <v>0</v>
      </c>
      <c r="V52" s="65"/>
      <c r="W52" s="19"/>
      <c r="Y52" s="100" t="str">
        <f t="shared" si="0"/>
        <v/>
      </c>
    </row>
    <row r="53" spans="2:25" x14ac:dyDescent="0.25">
      <c r="B53" s="93"/>
      <c r="C53" s="1" t="s">
        <v>461</v>
      </c>
      <c r="D53" s="19" t="s">
        <v>550</v>
      </c>
      <c r="E53" cm="1">
        <f t="array" ref="E53">IF(V53=0,0,IF(D53="YES",2,1)*INDEX(IF(OR(Sheet2!$C$12=Lists!$B$25,Sheet2!$C$12=Lists!$B$26,Sheet2!$C$12=Lists!$B$27,Sheet2!$C$12=Lists!$B$28,Sheet2!$C$12=Lists!$B$33,Sheet2!$C$12=Lists!$B$34,Sheet2!$C$12=Lists!$B$35,Sheet2!$C$12=Lists!$B$36),hdt_dfsp,hdt_spfhf),MATCH(V53,holdown,0),0))</f>
        <v>0</v>
      </c>
      <c r="F53" cm="1">
        <f t="array" ref="F53">IF(W53=0,0,INDEX(abt_mid,MATCH(W53,anchor,0),0))</f>
        <v>0</v>
      </c>
      <c r="G53" cm="1">
        <f t="array" ref="G53">IF(W53=0,0,INDEX(abt_corner,MATCH(W53,anchor,0),0))</f>
        <v>0</v>
      </c>
      <c r="H53" cm="1">
        <f t="array" ref="H53">IF(W53=0,0,INDEX(abt_end,MATCH(W53,anchor,0),0))</f>
        <v>0</v>
      </c>
      <c r="I53" cm="1">
        <f t="array" ref="I53">IF(V53=0,0,INDEX(post24,MATCH(V53,holdown,0),0))</f>
        <v>0</v>
      </c>
      <c r="J53" cm="1">
        <f t="array" ref="J53">IF(V53=0,0,INDEX(post26,MATCH(V53,holdown,0),0))</f>
        <v>0</v>
      </c>
      <c r="K53" cm="1">
        <f t="array" ref="K53">IF(V53=0,0,INDEX(hdslip,MATCH(V53,holdown,0),0))</f>
        <v>0</v>
      </c>
      <c r="L53" cm="1">
        <f t="array" ref="L53">IF(V53=0,0,INDEX(hdoffset,MATCH(V53,holdown,0),0))</f>
        <v>0</v>
      </c>
      <c r="M53" cm="1">
        <f t="array" ref="M53">IF(V53=0,0,INDEX(ab_dia_req,MATCH(V53,holdown,0),0))</f>
        <v>0</v>
      </c>
      <c r="N53" cm="1">
        <f t="array" ref="N53">IF(W53=0,0,INDEX(ab_dia_act,MATCH(W53,anchor,0),0))</f>
        <v>0</v>
      </c>
      <c r="O53" cm="1">
        <f t="array" ref="O53">IF(W53=0,0,INDEX(ab_fc,MATCH(W53,anchor,0),0))</f>
        <v>0</v>
      </c>
      <c r="P53" cm="1">
        <f t="array" ref="P53">IF(W53=0,0,INDEX(ab_F,MATCH(W53,anchor,0),0))</f>
        <v>0</v>
      </c>
      <c r="Q53" cm="1">
        <f t="array" ref="Q53">IF(W53=0,0,INDEX(ab_lede,MATCH(W53,anchor,0),0))</f>
        <v>0</v>
      </c>
      <c r="R53" cm="1">
        <f t="array" ref="R53">IF(W53=0,0,INDEX(ab_sdc,MATCH(W53,anchor,0),0))</f>
        <v>0</v>
      </c>
      <c r="S53" cm="1">
        <f t="array" ref="S53">IF(W53=0,0,INDEX(ab_condition,MATCH(W53,anchor,0),0))</f>
        <v>0</v>
      </c>
      <c r="T53" cm="1">
        <f t="array" ref="T53">IF(V53=0,0,INDEX(sw0.92,MATCH(V53,holdown,0),0))</f>
        <v>0</v>
      </c>
      <c r="V53" s="65"/>
      <c r="W53" s="19"/>
      <c r="Y53" s="100" t="str">
        <f t="shared" si="0"/>
        <v/>
      </c>
    </row>
    <row r="54" spans="2:25" x14ac:dyDescent="0.25">
      <c r="B54" s="93"/>
      <c r="C54" s="1" t="s">
        <v>462</v>
      </c>
      <c r="D54" s="19" t="s">
        <v>550</v>
      </c>
      <c r="E54" cm="1">
        <f t="array" ref="E54">IF(V54=0,0,IF(D54="YES",2,1)*INDEX(IF(OR(Sheet2!$C$12=Lists!$B$25,Sheet2!$C$12=Lists!$B$26,Sheet2!$C$12=Lists!$B$27,Sheet2!$C$12=Lists!$B$28,Sheet2!$C$12=Lists!$B$33,Sheet2!$C$12=Lists!$B$34,Sheet2!$C$12=Lists!$B$35,Sheet2!$C$12=Lists!$B$36),hdt_dfsp,hdt_spfhf),MATCH(V54,holdown,0),0))</f>
        <v>0</v>
      </c>
      <c r="F54" cm="1">
        <f t="array" ref="F54">IF(W54=0,0,INDEX(abt_mid,MATCH(W54,anchor,0),0))</f>
        <v>0</v>
      </c>
      <c r="G54" cm="1">
        <f t="array" ref="G54">IF(W54=0,0,INDEX(abt_corner,MATCH(W54,anchor,0),0))</f>
        <v>0</v>
      </c>
      <c r="H54" cm="1">
        <f t="array" ref="H54">IF(W54=0,0,INDEX(abt_end,MATCH(W54,anchor,0),0))</f>
        <v>0</v>
      </c>
      <c r="I54" cm="1">
        <f t="array" ref="I54">IF(V54=0,0,INDEX(post24,MATCH(V54,holdown,0),0))</f>
        <v>0</v>
      </c>
      <c r="J54" cm="1">
        <f t="array" ref="J54">IF(V54=0,0,INDEX(post26,MATCH(V54,holdown,0),0))</f>
        <v>0</v>
      </c>
      <c r="K54" cm="1">
        <f t="array" ref="K54">IF(V54=0,0,INDEX(hdslip,MATCH(V54,holdown,0),0))</f>
        <v>0</v>
      </c>
      <c r="L54" cm="1">
        <f t="array" ref="L54">IF(V54=0,0,INDEX(hdoffset,MATCH(V54,holdown,0),0))</f>
        <v>0</v>
      </c>
      <c r="M54" cm="1">
        <f t="array" ref="M54">IF(V54=0,0,INDEX(ab_dia_req,MATCH(V54,holdown,0),0))</f>
        <v>0</v>
      </c>
      <c r="N54" cm="1">
        <f t="array" ref="N54">IF(W54=0,0,INDEX(ab_dia_act,MATCH(W54,anchor,0),0))</f>
        <v>0</v>
      </c>
      <c r="O54" cm="1">
        <f t="array" ref="O54">IF(W54=0,0,INDEX(ab_fc,MATCH(W54,anchor,0),0))</f>
        <v>0</v>
      </c>
      <c r="P54" cm="1">
        <f t="array" ref="P54">IF(W54=0,0,INDEX(ab_F,MATCH(W54,anchor,0),0))</f>
        <v>0</v>
      </c>
      <c r="Q54" cm="1">
        <f t="array" ref="Q54">IF(W54=0,0,INDEX(ab_lede,MATCH(W54,anchor,0),0))</f>
        <v>0</v>
      </c>
      <c r="R54" cm="1">
        <f t="array" ref="R54">IF(W54=0,0,INDEX(ab_sdc,MATCH(W54,anchor,0),0))</f>
        <v>0</v>
      </c>
      <c r="S54" cm="1">
        <f t="array" ref="S54">IF(W54=0,0,INDEX(ab_condition,MATCH(W54,anchor,0),0))</f>
        <v>0</v>
      </c>
      <c r="T54" cm="1">
        <f t="array" ref="T54">IF(V54=0,0,INDEX(sw0.92,MATCH(V54,holdown,0),0))</f>
        <v>0</v>
      </c>
      <c r="V54" s="65"/>
      <c r="W54" s="19"/>
      <c r="Y54" s="100" t="str">
        <f t="shared" si="0"/>
        <v/>
      </c>
    </row>
    <row r="55" spans="2:25" x14ac:dyDescent="0.25">
      <c r="B55" s="93"/>
      <c r="C55" s="1" t="s">
        <v>463</v>
      </c>
      <c r="D55" s="19" t="s">
        <v>550</v>
      </c>
      <c r="E55" cm="1">
        <f t="array" ref="E55">IF(V55=0,0,IF(D55="YES",2,1)*INDEX(IF(OR(Sheet2!$C$12=Lists!$B$25,Sheet2!$C$12=Lists!$B$26,Sheet2!$C$12=Lists!$B$27,Sheet2!$C$12=Lists!$B$28,Sheet2!$C$12=Lists!$B$33,Sheet2!$C$12=Lists!$B$34,Sheet2!$C$12=Lists!$B$35,Sheet2!$C$12=Lists!$B$36),hdt_dfsp,hdt_spfhf),MATCH(V55,holdown,0),0))</f>
        <v>0</v>
      </c>
      <c r="F55" cm="1">
        <f t="array" ref="F55">IF(W55=0,0,INDEX(abt_mid,MATCH(W55,anchor,0),0))</f>
        <v>0</v>
      </c>
      <c r="G55" cm="1">
        <f t="array" ref="G55">IF(W55=0,0,INDEX(abt_corner,MATCH(W55,anchor,0),0))</f>
        <v>0</v>
      </c>
      <c r="H55" cm="1">
        <f t="array" ref="H55">IF(W55=0,0,INDEX(abt_end,MATCH(W55,anchor,0),0))</f>
        <v>0</v>
      </c>
      <c r="I55" cm="1">
        <f t="array" ref="I55">IF(V55=0,0,INDEX(post24,MATCH(V55,holdown,0),0))</f>
        <v>0</v>
      </c>
      <c r="J55" cm="1">
        <f t="array" ref="J55">IF(V55=0,0,INDEX(post26,MATCH(V55,holdown,0),0))</f>
        <v>0</v>
      </c>
      <c r="K55" cm="1">
        <f t="array" ref="K55">IF(V55=0,0,INDEX(hdslip,MATCH(V55,holdown,0),0))</f>
        <v>0</v>
      </c>
      <c r="L55" cm="1">
        <f t="array" ref="L55">IF(V55=0,0,INDEX(hdoffset,MATCH(V55,holdown,0),0))</f>
        <v>0</v>
      </c>
      <c r="M55" cm="1">
        <f t="array" ref="M55">IF(V55=0,0,INDEX(ab_dia_req,MATCH(V55,holdown,0),0))</f>
        <v>0</v>
      </c>
      <c r="N55" cm="1">
        <f t="array" ref="N55">IF(W55=0,0,INDEX(ab_dia_act,MATCH(W55,anchor,0),0))</f>
        <v>0</v>
      </c>
      <c r="O55" cm="1">
        <f t="array" ref="O55">IF(W55=0,0,INDEX(ab_fc,MATCH(W55,anchor,0),0))</f>
        <v>0</v>
      </c>
      <c r="P55" cm="1">
        <f t="array" ref="P55">IF(W55=0,0,INDEX(ab_F,MATCH(W55,anchor,0),0))</f>
        <v>0</v>
      </c>
      <c r="Q55" cm="1">
        <f t="array" ref="Q55">IF(W55=0,0,INDEX(ab_lede,MATCH(W55,anchor,0),0))</f>
        <v>0</v>
      </c>
      <c r="R55" cm="1">
        <f t="array" ref="R55">IF(W55=0,0,INDEX(ab_sdc,MATCH(W55,anchor,0),0))</f>
        <v>0</v>
      </c>
      <c r="S55" cm="1">
        <f t="array" ref="S55">IF(W55=0,0,INDEX(ab_condition,MATCH(W55,anchor,0),0))</f>
        <v>0</v>
      </c>
      <c r="T55" cm="1">
        <f t="array" ref="T55">IF(V55=0,0,INDEX(sw0.92,MATCH(V55,holdown,0),0))</f>
        <v>0</v>
      </c>
      <c r="V55" s="65"/>
      <c r="W55" s="19"/>
      <c r="Y55" s="100" t="str">
        <f t="shared" si="0"/>
        <v/>
      </c>
    </row>
    <row r="56" spans="2:25" x14ac:dyDescent="0.25">
      <c r="B56" s="93"/>
      <c r="C56" s="1" t="s">
        <v>464</v>
      </c>
      <c r="D56" s="19" t="s">
        <v>550</v>
      </c>
      <c r="E56" cm="1">
        <f t="array" ref="E56">IF(V56=0,0,IF(D56="YES",2,1)*INDEX(IF(OR(Sheet2!$C$12=Lists!$B$25,Sheet2!$C$12=Lists!$B$26,Sheet2!$C$12=Lists!$B$27,Sheet2!$C$12=Lists!$B$28,Sheet2!$C$12=Lists!$B$33,Sheet2!$C$12=Lists!$B$34,Sheet2!$C$12=Lists!$B$35,Sheet2!$C$12=Lists!$B$36),hdt_dfsp,hdt_spfhf),MATCH(V56,holdown,0),0))</f>
        <v>0</v>
      </c>
      <c r="F56" cm="1">
        <f t="array" ref="F56">IF(W56=0,0,INDEX(abt_mid,MATCH(W56,anchor,0),0))</f>
        <v>0</v>
      </c>
      <c r="G56" cm="1">
        <f t="array" ref="G56">IF(W56=0,0,INDEX(abt_corner,MATCH(W56,anchor,0),0))</f>
        <v>0</v>
      </c>
      <c r="H56" cm="1">
        <f t="array" ref="H56">IF(W56=0,0,INDEX(abt_end,MATCH(W56,anchor,0),0))</f>
        <v>0</v>
      </c>
      <c r="I56" cm="1">
        <f t="array" ref="I56">IF(V56=0,0,INDEX(post24,MATCH(V56,holdown,0),0))</f>
        <v>0</v>
      </c>
      <c r="J56" cm="1">
        <f t="array" ref="J56">IF(V56=0,0,INDEX(post26,MATCH(V56,holdown,0),0))</f>
        <v>0</v>
      </c>
      <c r="K56" cm="1">
        <f t="array" ref="K56">IF(V56=0,0,INDEX(hdslip,MATCH(V56,holdown,0),0))</f>
        <v>0</v>
      </c>
      <c r="L56" cm="1">
        <f t="array" ref="L56">IF(V56=0,0,INDEX(hdoffset,MATCH(V56,holdown,0),0))</f>
        <v>0</v>
      </c>
      <c r="M56" cm="1">
        <f t="array" ref="M56">IF(V56=0,0,INDEX(ab_dia_req,MATCH(V56,holdown,0),0))</f>
        <v>0</v>
      </c>
      <c r="N56" cm="1">
        <f t="array" ref="N56">IF(W56=0,0,INDEX(ab_dia_act,MATCH(W56,anchor,0),0))</f>
        <v>0</v>
      </c>
      <c r="O56" cm="1">
        <f t="array" ref="O56">IF(W56=0,0,INDEX(ab_fc,MATCH(W56,anchor,0),0))</f>
        <v>0</v>
      </c>
      <c r="P56" cm="1">
        <f t="array" ref="P56">IF(W56=0,0,INDEX(ab_F,MATCH(W56,anchor,0),0))</f>
        <v>0</v>
      </c>
      <c r="Q56" cm="1">
        <f t="array" ref="Q56">IF(W56=0,0,INDEX(ab_lede,MATCH(W56,anchor,0),0))</f>
        <v>0</v>
      </c>
      <c r="R56" cm="1">
        <f t="array" ref="R56">IF(W56=0,0,INDEX(ab_sdc,MATCH(W56,anchor,0),0))</f>
        <v>0</v>
      </c>
      <c r="S56" cm="1">
        <f t="array" ref="S56">IF(W56=0,0,INDEX(ab_condition,MATCH(W56,anchor,0),0))</f>
        <v>0</v>
      </c>
      <c r="T56" cm="1">
        <f t="array" ref="T56">IF(V56=0,0,INDEX(sw0.92,MATCH(V56,holdown,0),0))</f>
        <v>0</v>
      </c>
      <c r="V56" s="65"/>
      <c r="W56" s="19"/>
      <c r="Y56" s="100" t="str">
        <f t="shared" si="0"/>
        <v/>
      </c>
    </row>
    <row r="57" spans="2:25" x14ac:dyDescent="0.25">
      <c r="B57" s="93"/>
      <c r="C57" s="1" t="s">
        <v>465</v>
      </c>
      <c r="D57" s="19" t="s">
        <v>550</v>
      </c>
      <c r="E57" cm="1">
        <f t="array" ref="E57">IF(V57=0,0,IF(D57="YES",2,1)*INDEX(IF(OR(Sheet2!$C$12=Lists!$B$25,Sheet2!$C$12=Lists!$B$26,Sheet2!$C$12=Lists!$B$27,Sheet2!$C$12=Lists!$B$28,Sheet2!$C$12=Lists!$B$33,Sheet2!$C$12=Lists!$B$34,Sheet2!$C$12=Lists!$B$35,Sheet2!$C$12=Lists!$B$36),hdt_dfsp,hdt_spfhf),MATCH(V57,holdown,0),0))</f>
        <v>0</v>
      </c>
      <c r="F57" cm="1">
        <f t="array" ref="F57">IF(W57=0,0,INDEX(abt_mid,MATCH(W57,anchor,0),0))</f>
        <v>0</v>
      </c>
      <c r="G57" cm="1">
        <f t="array" ref="G57">IF(W57=0,0,INDEX(abt_corner,MATCH(W57,anchor,0),0))</f>
        <v>0</v>
      </c>
      <c r="H57" cm="1">
        <f t="array" ref="H57">IF(W57=0,0,INDEX(abt_end,MATCH(W57,anchor,0),0))</f>
        <v>0</v>
      </c>
      <c r="I57" cm="1">
        <f t="array" ref="I57">IF(V57=0,0,INDEX(post24,MATCH(V57,holdown,0),0))</f>
        <v>0</v>
      </c>
      <c r="J57" cm="1">
        <f t="array" ref="J57">IF(V57=0,0,INDEX(post26,MATCH(V57,holdown,0),0))</f>
        <v>0</v>
      </c>
      <c r="K57" cm="1">
        <f t="array" ref="K57">IF(V57=0,0,INDEX(hdslip,MATCH(V57,holdown,0),0))</f>
        <v>0</v>
      </c>
      <c r="L57" cm="1">
        <f t="array" ref="L57">IF(V57=0,0,INDEX(hdoffset,MATCH(V57,holdown,0),0))</f>
        <v>0</v>
      </c>
      <c r="M57" cm="1">
        <f t="array" ref="M57">IF(V57=0,0,INDEX(ab_dia_req,MATCH(V57,holdown,0),0))</f>
        <v>0</v>
      </c>
      <c r="N57" cm="1">
        <f t="array" ref="N57">IF(W57=0,0,INDEX(ab_dia_act,MATCH(W57,anchor,0),0))</f>
        <v>0</v>
      </c>
      <c r="O57" cm="1">
        <f t="array" ref="O57">IF(W57=0,0,INDEX(ab_fc,MATCH(W57,anchor,0),0))</f>
        <v>0</v>
      </c>
      <c r="P57" cm="1">
        <f t="array" ref="P57">IF(W57=0,0,INDEX(ab_F,MATCH(W57,anchor,0),0))</f>
        <v>0</v>
      </c>
      <c r="Q57" cm="1">
        <f t="array" ref="Q57">IF(W57=0,0,INDEX(ab_lede,MATCH(W57,anchor,0),0))</f>
        <v>0</v>
      </c>
      <c r="R57" cm="1">
        <f t="array" ref="R57">IF(W57=0,0,INDEX(ab_sdc,MATCH(W57,anchor,0),0))</f>
        <v>0</v>
      </c>
      <c r="S57" cm="1">
        <f t="array" ref="S57">IF(W57=0,0,INDEX(ab_condition,MATCH(W57,anchor,0),0))</f>
        <v>0</v>
      </c>
      <c r="T57" cm="1">
        <f t="array" ref="T57">IF(V57=0,0,INDEX(sw0.92,MATCH(V57,holdown,0),0))</f>
        <v>0</v>
      </c>
      <c r="V57" s="65"/>
      <c r="W57" s="19"/>
      <c r="Y57" s="100" t="str">
        <f t="shared" si="0"/>
        <v/>
      </c>
    </row>
    <row r="58" spans="2:25" x14ac:dyDescent="0.25">
      <c r="B58" s="93"/>
      <c r="C58" s="1" t="s">
        <v>466</v>
      </c>
      <c r="D58" s="19" t="s">
        <v>550</v>
      </c>
      <c r="E58" cm="1">
        <f t="array" ref="E58">IF(V58=0,0,IF(D58="YES",2,1)*INDEX(IF(OR(Sheet2!$C$12=Lists!$B$25,Sheet2!$C$12=Lists!$B$26,Sheet2!$C$12=Lists!$B$27,Sheet2!$C$12=Lists!$B$28,Sheet2!$C$12=Lists!$B$33,Sheet2!$C$12=Lists!$B$34,Sheet2!$C$12=Lists!$B$35,Sheet2!$C$12=Lists!$B$36),hdt_dfsp,hdt_spfhf),MATCH(V58,holdown,0),0))</f>
        <v>0</v>
      </c>
      <c r="F58" cm="1">
        <f t="array" ref="F58">IF(W58=0,0,INDEX(abt_mid,MATCH(W58,anchor,0),0))</f>
        <v>0</v>
      </c>
      <c r="G58" cm="1">
        <f t="array" ref="G58">IF(W58=0,0,INDEX(abt_corner,MATCH(W58,anchor,0),0))</f>
        <v>0</v>
      </c>
      <c r="H58" cm="1">
        <f t="array" ref="H58">IF(W58=0,0,INDEX(abt_end,MATCH(W58,anchor,0),0))</f>
        <v>0</v>
      </c>
      <c r="I58" cm="1">
        <f t="array" ref="I58">IF(V58=0,0,INDEX(post24,MATCH(V58,holdown,0),0))</f>
        <v>0</v>
      </c>
      <c r="J58" cm="1">
        <f t="array" ref="J58">IF(V58=0,0,INDEX(post26,MATCH(V58,holdown,0),0))</f>
        <v>0</v>
      </c>
      <c r="K58" cm="1">
        <f t="array" ref="K58">IF(V58=0,0,INDEX(hdslip,MATCH(V58,holdown,0),0))</f>
        <v>0</v>
      </c>
      <c r="L58" cm="1">
        <f t="array" ref="L58">IF(V58=0,0,INDEX(hdoffset,MATCH(V58,holdown,0),0))</f>
        <v>0</v>
      </c>
      <c r="M58" cm="1">
        <f t="array" ref="M58">IF(V58=0,0,INDEX(ab_dia_req,MATCH(V58,holdown,0),0))</f>
        <v>0</v>
      </c>
      <c r="N58" cm="1">
        <f t="array" ref="N58">IF(W58=0,0,INDEX(ab_dia_act,MATCH(W58,anchor,0),0))</f>
        <v>0</v>
      </c>
      <c r="O58" cm="1">
        <f t="array" ref="O58">IF(W58=0,0,INDEX(ab_fc,MATCH(W58,anchor,0),0))</f>
        <v>0</v>
      </c>
      <c r="P58" cm="1">
        <f t="array" ref="P58">IF(W58=0,0,INDEX(ab_F,MATCH(W58,anchor,0),0))</f>
        <v>0</v>
      </c>
      <c r="Q58" cm="1">
        <f t="array" ref="Q58">IF(W58=0,0,INDEX(ab_lede,MATCH(W58,anchor,0),0))</f>
        <v>0</v>
      </c>
      <c r="R58" cm="1">
        <f t="array" ref="R58">IF(W58=0,0,INDEX(ab_sdc,MATCH(W58,anchor,0),0))</f>
        <v>0</v>
      </c>
      <c r="S58" cm="1">
        <f t="array" ref="S58">IF(W58=0,0,INDEX(ab_condition,MATCH(W58,anchor,0),0))</f>
        <v>0</v>
      </c>
      <c r="T58" cm="1">
        <f t="array" ref="T58">IF(V58=0,0,INDEX(sw0.92,MATCH(V58,holdown,0),0))</f>
        <v>0</v>
      </c>
      <c r="V58" s="65"/>
      <c r="W58" s="19"/>
      <c r="Y58" s="100" t="str">
        <f t="shared" si="0"/>
        <v/>
      </c>
    </row>
    <row r="59" spans="2:25" x14ac:dyDescent="0.25">
      <c r="B59" s="93"/>
      <c r="C59" s="1" t="s">
        <v>467</v>
      </c>
      <c r="D59" s="19" t="s">
        <v>550</v>
      </c>
      <c r="E59" cm="1">
        <f t="array" ref="E59">IF(V59=0,0,IF(D59="YES",2,1)*INDEX(IF(OR(Sheet2!$C$12=Lists!$B$25,Sheet2!$C$12=Lists!$B$26,Sheet2!$C$12=Lists!$B$27,Sheet2!$C$12=Lists!$B$28,Sheet2!$C$12=Lists!$B$33,Sheet2!$C$12=Lists!$B$34,Sheet2!$C$12=Lists!$B$35,Sheet2!$C$12=Lists!$B$36),hdt_dfsp,hdt_spfhf),MATCH(V59,holdown,0),0))</f>
        <v>0</v>
      </c>
      <c r="F59" cm="1">
        <f t="array" ref="F59">IF(W59=0,0,INDEX(abt_mid,MATCH(W59,anchor,0),0))</f>
        <v>0</v>
      </c>
      <c r="G59" cm="1">
        <f t="array" ref="G59">IF(W59=0,0,INDEX(abt_corner,MATCH(W59,anchor,0),0))</f>
        <v>0</v>
      </c>
      <c r="H59" cm="1">
        <f t="array" ref="H59">IF(W59=0,0,INDEX(abt_end,MATCH(W59,anchor,0),0))</f>
        <v>0</v>
      </c>
      <c r="I59" cm="1">
        <f t="array" ref="I59">IF(V59=0,0,INDEX(post24,MATCH(V59,holdown,0),0))</f>
        <v>0</v>
      </c>
      <c r="J59" cm="1">
        <f t="array" ref="J59">IF(V59=0,0,INDEX(post26,MATCH(V59,holdown,0),0))</f>
        <v>0</v>
      </c>
      <c r="K59" cm="1">
        <f t="array" ref="K59">IF(V59=0,0,INDEX(hdslip,MATCH(V59,holdown,0),0))</f>
        <v>0</v>
      </c>
      <c r="L59" cm="1">
        <f t="array" ref="L59">IF(V59=0,0,INDEX(hdoffset,MATCH(V59,holdown,0),0))</f>
        <v>0</v>
      </c>
      <c r="M59" cm="1">
        <f t="array" ref="M59">IF(V59=0,0,INDEX(ab_dia_req,MATCH(V59,holdown,0),0))</f>
        <v>0</v>
      </c>
      <c r="N59" cm="1">
        <f t="array" ref="N59">IF(W59=0,0,INDEX(ab_dia_act,MATCH(W59,anchor,0),0))</f>
        <v>0</v>
      </c>
      <c r="O59" cm="1">
        <f t="array" ref="O59">IF(W59=0,0,INDEX(ab_fc,MATCH(W59,anchor,0),0))</f>
        <v>0</v>
      </c>
      <c r="P59" cm="1">
        <f t="array" ref="P59">IF(W59=0,0,INDEX(ab_F,MATCH(W59,anchor,0),0))</f>
        <v>0</v>
      </c>
      <c r="Q59" cm="1">
        <f t="array" ref="Q59">IF(W59=0,0,INDEX(ab_lede,MATCH(W59,anchor,0),0))</f>
        <v>0</v>
      </c>
      <c r="R59" cm="1">
        <f t="array" ref="R59">IF(W59=0,0,INDEX(ab_sdc,MATCH(W59,anchor,0),0))</f>
        <v>0</v>
      </c>
      <c r="S59" cm="1">
        <f t="array" ref="S59">IF(W59=0,0,INDEX(ab_condition,MATCH(W59,anchor,0),0))</f>
        <v>0</v>
      </c>
      <c r="T59" cm="1">
        <f t="array" ref="T59">IF(V59=0,0,INDEX(sw0.92,MATCH(V59,holdown,0),0))</f>
        <v>0</v>
      </c>
      <c r="V59" s="65"/>
      <c r="W59" s="19"/>
      <c r="Y59" s="100" t="str">
        <f t="shared" si="0"/>
        <v/>
      </c>
    </row>
    <row r="60" spans="2:25" x14ac:dyDescent="0.25">
      <c r="B60" s="93"/>
      <c r="C60" s="1" t="s">
        <v>468</v>
      </c>
      <c r="D60" s="19" t="s">
        <v>550</v>
      </c>
      <c r="E60" cm="1">
        <f t="array" ref="E60">IF(V60=0,0,IF(D60="YES",2,1)*INDEX(IF(OR(Sheet2!$C$12=Lists!$B$25,Sheet2!$C$12=Lists!$B$26,Sheet2!$C$12=Lists!$B$27,Sheet2!$C$12=Lists!$B$28,Sheet2!$C$12=Lists!$B$33,Sheet2!$C$12=Lists!$B$34,Sheet2!$C$12=Lists!$B$35,Sheet2!$C$12=Lists!$B$36),hdt_dfsp,hdt_spfhf),MATCH(V60,holdown,0),0))</f>
        <v>0</v>
      </c>
      <c r="F60" cm="1">
        <f t="array" ref="F60">IF(W60=0,0,INDEX(abt_mid,MATCH(W60,anchor,0),0))</f>
        <v>0</v>
      </c>
      <c r="G60" cm="1">
        <f t="array" ref="G60">IF(W60=0,0,INDEX(abt_corner,MATCH(W60,anchor,0),0))</f>
        <v>0</v>
      </c>
      <c r="H60" cm="1">
        <f t="array" ref="H60">IF(W60=0,0,INDEX(abt_end,MATCH(W60,anchor,0),0))</f>
        <v>0</v>
      </c>
      <c r="I60" cm="1">
        <f t="array" ref="I60">IF(V60=0,0,INDEX(post24,MATCH(V60,holdown,0),0))</f>
        <v>0</v>
      </c>
      <c r="J60" cm="1">
        <f t="array" ref="J60">IF(V60=0,0,INDEX(post26,MATCH(V60,holdown,0),0))</f>
        <v>0</v>
      </c>
      <c r="K60" cm="1">
        <f t="array" ref="K60">IF(V60=0,0,INDEX(hdslip,MATCH(V60,holdown,0),0))</f>
        <v>0</v>
      </c>
      <c r="L60" cm="1">
        <f t="array" ref="L60">IF(V60=0,0,INDEX(hdoffset,MATCH(V60,holdown,0),0))</f>
        <v>0</v>
      </c>
      <c r="M60" cm="1">
        <f t="array" ref="M60">IF(V60=0,0,INDEX(ab_dia_req,MATCH(V60,holdown,0),0))</f>
        <v>0</v>
      </c>
      <c r="N60" cm="1">
        <f t="array" ref="N60">IF(W60=0,0,INDEX(ab_dia_act,MATCH(W60,anchor,0),0))</f>
        <v>0</v>
      </c>
      <c r="O60" cm="1">
        <f t="array" ref="O60">IF(W60=0,0,INDEX(ab_fc,MATCH(W60,anchor,0),0))</f>
        <v>0</v>
      </c>
      <c r="P60" cm="1">
        <f t="array" ref="P60">IF(W60=0,0,INDEX(ab_F,MATCH(W60,anchor,0),0))</f>
        <v>0</v>
      </c>
      <c r="Q60" cm="1">
        <f t="array" ref="Q60">IF(W60=0,0,INDEX(ab_lede,MATCH(W60,anchor,0),0))</f>
        <v>0</v>
      </c>
      <c r="R60" cm="1">
        <f t="array" ref="R60">IF(W60=0,0,INDEX(ab_sdc,MATCH(W60,anchor,0),0))</f>
        <v>0</v>
      </c>
      <c r="S60" cm="1">
        <f t="array" ref="S60">IF(W60=0,0,INDEX(ab_condition,MATCH(W60,anchor,0),0))</f>
        <v>0</v>
      </c>
      <c r="T60" cm="1">
        <f t="array" ref="T60">IF(V60=0,0,INDEX(sw0.92,MATCH(V60,holdown,0),0))</f>
        <v>0</v>
      </c>
      <c r="V60" s="65"/>
      <c r="W60" s="19"/>
      <c r="Y60" s="100" t="str">
        <f t="shared" si="0"/>
        <v/>
      </c>
    </row>
    <row r="61" spans="2:25" x14ac:dyDescent="0.25">
      <c r="B61" s="93"/>
      <c r="C61" s="1" t="s">
        <v>469</v>
      </c>
      <c r="D61" s="19" t="s">
        <v>550</v>
      </c>
      <c r="E61" cm="1">
        <f t="array" ref="E61">IF(V61=0,0,IF(D61="YES",2,1)*INDEX(IF(OR(Sheet2!$C$12=Lists!$B$25,Sheet2!$C$12=Lists!$B$26,Sheet2!$C$12=Lists!$B$27,Sheet2!$C$12=Lists!$B$28,Sheet2!$C$12=Lists!$B$33,Sheet2!$C$12=Lists!$B$34,Sheet2!$C$12=Lists!$B$35,Sheet2!$C$12=Lists!$B$36),hdt_dfsp,hdt_spfhf),MATCH(V61,holdown,0),0))</f>
        <v>0</v>
      </c>
      <c r="F61" cm="1">
        <f t="array" ref="F61">IF(W61=0,0,INDEX(abt_mid,MATCH(W61,anchor,0),0))</f>
        <v>0</v>
      </c>
      <c r="G61" cm="1">
        <f t="array" ref="G61">IF(W61=0,0,INDEX(abt_corner,MATCH(W61,anchor,0),0))</f>
        <v>0</v>
      </c>
      <c r="H61" cm="1">
        <f t="array" ref="H61">IF(W61=0,0,INDEX(abt_end,MATCH(W61,anchor,0),0))</f>
        <v>0</v>
      </c>
      <c r="I61" cm="1">
        <f t="array" ref="I61">IF(V61=0,0,INDEX(post24,MATCH(V61,holdown,0),0))</f>
        <v>0</v>
      </c>
      <c r="J61" cm="1">
        <f t="array" ref="J61">IF(V61=0,0,INDEX(post26,MATCH(V61,holdown,0),0))</f>
        <v>0</v>
      </c>
      <c r="K61" cm="1">
        <f t="array" ref="K61">IF(V61=0,0,INDEX(hdslip,MATCH(V61,holdown,0),0))</f>
        <v>0</v>
      </c>
      <c r="L61" cm="1">
        <f t="array" ref="L61">IF(V61=0,0,INDEX(hdoffset,MATCH(V61,holdown,0),0))</f>
        <v>0</v>
      </c>
      <c r="M61" cm="1">
        <f t="array" ref="M61">IF(V61=0,0,INDEX(ab_dia_req,MATCH(V61,holdown,0),0))</f>
        <v>0</v>
      </c>
      <c r="N61" cm="1">
        <f t="array" ref="N61">IF(W61=0,0,INDEX(ab_dia_act,MATCH(W61,anchor,0),0))</f>
        <v>0</v>
      </c>
      <c r="O61" cm="1">
        <f t="array" ref="O61">IF(W61=0,0,INDEX(ab_fc,MATCH(W61,anchor,0),0))</f>
        <v>0</v>
      </c>
      <c r="P61" cm="1">
        <f t="array" ref="P61">IF(W61=0,0,INDEX(ab_F,MATCH(W61,anchor,0),0))</f>
        <v>0</v>
      </c>
      <c r="Q61" cm="1">
        <f t="array" ref="Q61">IF(W61=0,0,INDEX(ab_lede,MATCH(W61,anchor,0),0))</f>
        <v>0</v>
      </c>
      <c r="R61" cm="1">
        <f t="array" ref="R61">IF(W61=0,0,INDEX(ab_sdc,MATCH(W61,anchor,0),0))</f>
        <v>0</v>
      </c>
      <c r="S61" cm="1">
        <f t="array" ref="S61">IF(W61=0,0,INDEX(ab_condition,MATCH(W61,anchor,0),0))</f>
        <v>0</v>
      </c>
      <c r="T61" cm="1">
        <f t="array" ref="T61">IF(V61=0,0,INDEX(sw0.92,MATCH(V61,holdown,0),0))</f>
        <v>0</v>
      </c>
      <c r="V61" s="65"/>
      <c r="W61" s="19"/>
      <c r="Y61" s="100" t="str">
        <f t="shared" si="0"/>
        <v/>
      </c>
    </row>
    <row r="62" spans="2:25" x14ac:dyDescent="0.25">
      <c r="B62" s="93"/>
      <c r="C62" s="1" t="s">
        <v>285</v>
      </c>
      <c r="D62" s="19" t="s">
        <v>550</v>
      </c>
      <c r="E62" cm="1">
        <f t="array" ref="E62">IF(V62=0,0,IF(D62="YES",2,1)*INDEX(IF(OR(Sheet2!$C$12=Lists!$B$25,Sheet2!$C$12=Lists!$B$26,Sheet2!$C$12=Lists!$B$27,Sheet2!$C$12=Lists!$B$28,Sheet2!$C$12=Lists!$B$33,Sheet2!$C$12=Lists!$B$34,Sheet2!$C$12=Lists!$B$35,Sheet2!$C$12=Lists!$B$36),hdt_dfsp,hdt_spfhf),MATCH(V62,holdown,0),0))</f>
        <v>0</v>
      </c>
      <c r="F62" cm="1">
        <f t="array" ref="F62">IF(W62=0,0,INDEX(abt_mid,MATCH(W62,anchor,0),0))</f>
        <v>0</v>
      </c>
      <c r="G62" cm="1">
        <f t="array" ref="G62">IF(W62=0,0,INDEX(abt_corner,MATCH(W62,anchor,0),0))</f>
        <v>0</v>
      </c>
      <c r="H62" cm="1">
        <f t="array" ref="H62">IF(W62=0,0,INDEX(abt_end,MATCH(W62,anchor,0),0))</f>
        <v>0</v>
      </c>
      <c r="I62" cm="1">
        <f t="array" ref="I62">IF(V62=0,0,INDEX(post24,MATCH(V62,holdown,0),0))</f>
        <v>0</v>
      </c>
      <c r="J62" cm="1">
        <f t="array" ref="J62">IF(V62=0,0,INDEX(post26,MATCH(V62,holdown,0),0))</f>
        <v>0</v>
      </c>
      <c r="K62" cm="1">
        <f t="array" ref="K62">IF(V62=0,0,INDEX(hdslip,MATCH(V62,holdown,0),0))</f>
        <v>0</v>
      </c>
      <c r="L62" cm="1">
        <f t="array" ref="L62">IF(V62=0,0,INDEX(hdoffset,MATCH(V62,holdown,0),0))</f>
        <v>0</v>
      </c>
      <c r="M62" cm="1">
        <f t="array" ref="M62">IF(V62=0,0,INDEX(ab_dia_req,MATCH(V62,holdown,0),0))</f>
        <v>0</v>
      </c>
      <c r="N62" cm="1">
        <f t="array" ref="N62">IF(W62=0,0,INDEX(ab_dia_act,MATCH(W62,anchor,0),0))</f>
        <v>0</v>
      </c>
      <c r="O62" cm="1">
        <f t="array" ref="O62">IF(W62=0,0,INDEX(ab_fc,MATCH(W62,anchor,0),0))</f>
        <v>0</v>
      </c>
      <c r="P62" cm="1">
        <f t="array" ref="P62">IF(W62=0,0,INDEX(ab_F,MATCH(W62,anchor,0),0))</f>
        <v>0</v>
      </c>
      <c r="Q62" cm="1">
        <f t="array" ref="Q62">IF(W62=0,0,INDEX(ab_lede,MATCH(W62,anchor,0),0))</f>
        <v>0</v>
      </c>
      <c r="R62" cm="1">
        <f t="array" ref="R62">IF(W62=0,0,INDEX(ab_sdc,MATCH(W62,anchor,0),0))</f>
        <v>0</v>
      </c>
      <c r="S62" cm="1">
        <f t="array" ref="S62">IF(W62=0,0,INDEX(ab_condition,MATCH(W62,anchor,0),0))</f>
        <v>0</v>
      </c>
      <c r="T62" cm="1">
        <f t="array" ref="T62">IF(V62=0,0,INDEX(sw0.92,MATCH(V62,holdown,0),0))</f>
        <v>0</v>
      </c>
      <c r="V62" s="65"/>
      <c r="W62" s="19"/>
      <c r="Y62" s="100" t="str">
        <f t="shared" si="0"/>
        <v/>
      </c>
    </row>
    <row r="63" spans="2:25" x14ac:dyDescent="0.25">
      <c r="B63" s="93"/>
      <c r="C63" s="1" t="s">
        <v>470</v>
      </c>
      <c r="D63" s="19" t="s">
        <v>550</v>
      </c>
      <c r="E63" cm="1">
        <f t="array" ref="E63">IF(V63=0,0,IF(D63="YES",2,1)*INDEX(IF(OR(Sheet2!$C$12=Lists!$B$25,Sheet2!$C$12=Lists!$B$26,Sheet2!$C$12=Lists!$B$27,Sheet2!$C$12=Lists!$B$28,Sheet2!$C$12=Lists!$B$33,Sheet2!$C$12=Lists!$B$34,Sheet2!$C$12=Lists!$B$35,Sheet2!$C$12=Lists!$B$36),hdt_dfsp,hdt_spfhf),MATCH(V63,holdown,0),0))</f>
        <v>0</v>
      </c>
      <c r="F63" cm="1">
        <f t="array" ref="F63">IF(W63=0,0,INDEX(abt_mid,MATCH(W63,anchor,0),0))</f>
        <v>0</v>
      </c>
      <c r="G63" cm="1">
        <f t="array" ref="G63">IF(W63=0,0,INDEX(abt_corner,MATCH(W63,anchor,0),0))</f>
        <v>0</v>
      </c>
      <c r="H63" cm="1">
        <f t="array" ref="H63">IF(W63=0,0,INDEX(abt_end,MATCH(W63,anchor,0),0))</f>
        <v>0</v>
      </c>
      <c r="I63" cm="1">
        <f t="array" ref="I63">IF(V63=0,0,INDEX(post24,MATCH(V63,holdown,0),0))</f>
        <v>0</v>
      </c>
      <c r="J63" cm="1">
        <f t="array" ref="J63">IF(V63=0,0,INDEX(post26,MATCH(V63,holdown,0),0))</f>
        <v>0</v>
      </c>
      <c r="K63" cm="1">
        <f t="array" ref="K63">IF(V63=0,0,INDEX(hdslip,MATCH(V63,holdown,0),0))</f>
        <v>0</v>
      </c>
      <c r="L63" cm="1">
        <f t="array" ref="L63">IF(V63=0,0,INDEX(hdoffset,MATCH(V63,holdown,0),0))</f>
        <v>0</v>
      </c>
      <c r="M63" cm="1">
        <f t="array" ref="M63">IF(V63=0,0,INDEX(ab_dia_req,MATCH(V63,holdown,0),0))</f>
        <v>0</v>
      </c>
      <c r="N63" cm="1">
        <f t="array" ref="N63">IF(W63=0,0,INDEX(ab_dia_act,MATCH(W63,anchor,0),0))</f>
        <v>0</v>
      </c>
      <c r="O63" cm="1">
        <f t="array" ref="O63">IF(W63=0,0,INDEX(ab_fc,MATCH(W63,anchor,0),0))</f>
        <v>0</v>
      </c>
      <c r="P63" cm="1">
        <f t="array" ref="P63">IF(W63=0,0,INDEX(ab_F,MATCH(W63,anchor,0),0))</f>
        <v>0</v>
      </c>
      <c r="Q63" cm="1">
        <f t="array" ref="Q63">IF(W63=0,0,INDEX(ab_lede,MATCH(W63,anchor,0),0))</f>
        <v>0</v>
      </c>
      <c r="R63" cm="1">
        <f t="array" ref="R63">IF(W63=0,0,INDEX(ab_sdc,MATCH(W63,anchor,0),0))</f>
        <v>0</v>
      </c>
      <c r="S63" cm="1">
        <f t="array" ref="S63">IF(W63=0,0,INDEX(ab_condition,MATCH(W63,anchor,0),0))</f>
        <v>0</v>
      </c>
      <c r="T63" cm="1">
        <f t="array" ref="T63">IF(V63=0,0,INDEX(sw0.92,MATCH(V63,holdown,0),0))</f>
        <v>0</v>
      </c>
      <c r="V63" s="65"/>
      <c r="W63" s="19"/>
      <c r="Y63" s="100" t="str">
        <f t="shared" si="0"/>
        <v/>
      </c>
    </row>
    <row r="64" spans="2:25" x14ac:dyDescent="0.25">
      <c r="B64" s="93"/>
      <c r="C64" s="1" t="s">
        <v>471</v>
      </c>
      <c r="D64" s="19" t="s">
        <v>550</v>
      </c>
      <c r="E64" cm="1">
        <f t="array" ref="E64">IF(V64=0,0,IF(D64="YES",2,1)*INDEX(IF(OR(Sheet2!$C$12=Lists!$B$25,Sheet2!$C$12=Lists!$B$26,Sheet2!$C$12=Lists!$B$27,Sheet2!$C$12=Lists!$B$28,Sheet2!$C$12=Lists!$B$33,Sheet2!$C$12=Lists!$B$34,Sheet2!$C$12=Lists!$B$35,Sheet2!$C$12=Lists!$B$36),hdt_dfsp,hdt_spfhf),MATCH(V64,holdown,0),0))</f>
        <v>0</v>
      </c>
      <c r="F64" cm="1">
        <f t="array" ref="F64">IF(W64=0,0,INDEX(abt_mid,MATCH(W64,anchor,0),0))</f>
        <v>0</v>
      </c>
      <c r="G64" cm="1">
        <f t="array" ref="G64">IF(W64=0,0,INDEX(abt_corner,MATCH(W64,anchor,0),0))</f>
        <v>0</v>
      </c>
      <c r="H64" cm="1">
        <f t="array" ref="H64">IF(W64=0,0,INDEX(abt_end,MATCH(W64,anchor,0),0))</f>
        <v>0</v>
      </c>
      <c r="I64" cm="1">
        <f t="array" ref="I64">IF(V64=0,0,INDEX(post24,MATCH(V64,holdown,0),0))</f>
        <v>0</v>
      </c>
      <c r="J64" cm="1">
        <f t="array" ref="J64">IF(V64=0,0,INDEX(post26,MATCH(V64,holdown,0),0))</f>
        <v>0</v>
      </c>
      <c r="K64" cm="1">
        <f t="array" ref="K64">IF(V64=0,0,INDEX(hdslip,MATCH(V64,holdown,0),0))</f>
        <v>0</v>
      </c>
      <c r="L64" cm="1">
        <f t="array" ref="L64">IF(V64=0,0,INDEX(hdoffset,MATCH(V64,holdown,0),0))</f>
        <v>0</v>
      </c>
      <c r="M64" cm="1">
        <f t="array" ref="M64">IF(V64=0,0,INDEX(ab_dia_req,MATCH(V64,holdown,0),0))</f>
        <v>0</v>
      </c>
      <c r="N64" cm="1">
        <f t="array" ref="N64">IF(W64=0,0,INDEX(ab_dia_act,MATCH(W64,anchor,0),0))</f>
        <v>0</v>
      </c>
      <c r="O64" cm="1">
        <f t="array" ref="O64">IF(W64=0,0,INDEX(ab_fc,MATCH(W64,anchor,0),0))</f>
        <v>0</v>
      </c>
      <c r="P64" cm="1">
        <f t="array" ref="P64">IF(W64=0,0,INDEX(ab_F,MATCH(W64,anchor,0),0))</f>
        <v>0</v>
      </c>
      <c r="Q64" cm="1">
        <f t="array" ref="Q64">IF(W64=0,0,INDEX(ab_lede,MATCH(W64,anchor,0),0))</f>
        <v>0</v>
      </c>
      <c r="R64" cm="1">
        <f t="array" ref="R64">IF(W64=0,0,INDEX(ab_sdc,MATCH(W64,anchor,0),0))</f>
        <v>0</v>
      </c>
      <c r="S64" cm="1">
        <f t="array" ref="S64">IF(W64=0,0,INDEX(ab_condition,MATCH(W64,anchor,0),0))</f>
        <v>0</v>
      </c>
      <c r="T64" cm="1">
        <f t="array" ref="T64">IF(V64=0,0,INDEX(sw0.92,MATCH(V64,holdown,0),0))</f>
        <v>0</v>
      </c>
      <c r="V64" s="65"/>
      <c r="W64" s="19"/>
      <c r="Y64" s="100" t="str">
        <f t="shared" si="0"/>
        <v/>
      </c>
    </row>
    <row r="65" spans="2:25" x14ac:dyDescent="0.25">
      <c r="B65" s="93"/>
      <c r="C65" s="1" t="s">
        <v>472</v>
      </c>
      <c r="D65" s="19" t="s">
        <v>550</v>
      </c>
      <c r="E65" cm="1">
        <f t="array" ref="E65">IF(V65=0,0,IF(D65="YES",2,1)*INDEX(IF(OR(Sheet2!$C$12=Lists!$B$25,Sheet2!$C$12=Lists!$B$26,Sheet2!$C$12=Lists!$B$27,Sheet2!$C$12=Lists!$B$28,Sheet2!$C$12=Lists!$B$33,Sheet2!$C$12=Lists!$B$34,Sheet2!$C$12=Lists!$B$35,Sheet2!$C$12=Lists!$B$36),hdt_dfsp,hdt_spfhf),MATCH(V65,holdown,0),0))</f>
        <v>0</v>
      </c>
      <c r="F65" cm="1">
        <f t="array" ref="F65">IF(W65=0,0,INDEX(abt_mid,MATCH(W65,anchor,0),0))</f>
        <v>0</v>
      </c>
      <c r="G65" cm="1">
        <f t="array" ref="G65">IF(W65=0,0,INDEX(abt_corner,MATCH(W65,anchor,0),0))</f>
        <v>0</v>
      </c>
      <c r="H65" cm="1">
        <f t="array" ref="H65">IF(W65=0,0,INDEX(abt_end,MATCH(W65,anchor,0),0))</f>
        <v>0</v>
      </c>
      <c r="I65" cm="1">
        <f t="array" ref="I65">IF(V65=0,0,INDEX(post24,MATCH(V65,holdown,0),0))</f>
        <v>0</v>
      </c>
      <c r="J65" cm="1">
        <f t="array" ref="J65">IF(V65=0,0,INDEX(post26,MATCH(V65,holdown,0),0))</f>
        <v>0</v>
      </c>
      <c r="K65" cm="1">
        <f t="array" ref="K65">IF(V65=0,0,INDEX(hdslip,MATCH(V65,holdown,0),0))</f>
        <v>0</v>
      </c>
      <c r="L65" cm="1">
        <f t="array" ref="L65">IF(V65=0,0,INDEX(hdoffset,MATCH(V65,holdown,0),0))</f>
        <v>0</v>
      </c>
      <c r="M65" cm="1">
        <f t="array" ref="M65">IF(V65=0,0,INDEX(ab_dia_req,MATCH(V65,holdown,0),0))</f>
        <v>0</v>
      </c>
      <c r="N65" cm="1">
        <f t="array" ref="N65">IF(W65=0,0,INDEX(ab_dia_act,MATCH(W65,anchor,0),0))</f>
        <v>0</v>
      </c>
      <c r="O65" cm="1">
        <f t="array" ref="O65">IF(W65=0,0,INDEX(ab_fc,MATCH(W65,anchor,0),0))</f>
        <v>0</v>
      </c>
      <c r="P65" cm="1">
        <f t="array" ref="P65">IF(W65=0,0,INDEX(ab_F,MATCH(W65,anchor,0),0))</f>
        <v>0</v>
      </c>
      <c r="Q65" cm="1">
        <f t="array" ref="Q65">IF(W65=0,0,INDEX(ab_lede,MATCH(W65,anchor,0),0))</f>
        <v>0</v>
      </c>
      <c r="R65" cm="1">
        <f t="array" ref="R65">IF(W65=0,0,INDEX(ab_sdc,MATCH(W65,anchor,0),0))</f>
        <v>0</v>
      </c>
      <c r="S65" cm="1">
        <f t="array" ref="S65">IF(W65=0,0,INDEX(ab_condition,MATCH(W65,anchor,0),0))</f>
        <v>0</v>
      </c>
      <c r="T65" cm="1">
        <f t="array" ref="T65">IF(V65=0,0,INDEX(sw0.92,MATCH(V65,holdown,0),0))</f>
        <v>0</v>
      </c>
      <c r="V65" s="65"/>
      <c r="W65" s="19"/>
      <c r="Y65" s="100" t="str">
        <f t="shared" si="0"/>
        <v/>
      </c>
    </row>
    <row r="66" spans="2:25" x14ac:dyDescent="0.25">
      <c r="B66" s="94"/>
      <c r="C66" s="103" t="s">
        <v>473</v>
      </c>
      <c r="D66" s="101" t="s">
        <v>550</v>
      </c>
      <c r="E66" s="95" cm="1">
        <f t="array" ref="E66">IF(V66=0,0,IF(D66="YES",2,1)*INDEX(IF(OR(Sheet2!$C$12=Lists!$B$25,Sheet2!$C$12=Lists!$B$26,Sheet2!$C$12=Lists!$B$27,Sheet2!$C$12=Lists!$B$28,Sheet2!$C$12=Lists!$B$33,Sheet2!$C$12=Lists!$B$34,Sheet2!$C$12=Lists!$B$35,Sheet2!$C$12=Lists!$B$36),hdt_dfsp,hdt_spfhf),MATCH(V66,holdown,0),0))</f>
        <v>0</v>
      </c>
      <c r="F66" s="95" cm="1">
        <f t="array" ref="F66">IF(W66=0,0,INDEX(abt_mid,MATCH(W66,anchor,0),0))</f>
        <v>0</v>
      </c>
      <c r="G66" s="95" cm="1">
        <f t="array" ref="G66">IF(W66=0,0,INDEX(abt_corner,MATCH(W66,anchor,0),0))</f>
        <v>0</v>
      </c>
      <c r="H66" s="95" cm="1">
        <f t="array" ref="H66">IF(W66=0,0,INDEX(abt_end,MATCH(W66,anchor,0),0))</f>
        <v>0</v>
      </c>
      <c r="I66" s="95" cm="1">
        <f t="array" ref="I66">IF(V66=0,0,INDEX(post24,MATCH(V66,holdown,0),0))</f>
        <v>0</v>
      </c>
      <c r="J66" s="95" cm="1">
        <f t="array" ref="J66">IF(V66=0,0,INDEX(post26,MATCH(V66,holdown,0),0))</f>
        <v>0</v>
      </c>
      <c r="K66" s="95" cm="1">
        <f t="array" ref="K66">IF(V66=0,0,INDEX(hdslip,MATCH(V66,holdown,0),0))</f>
        <v>0</v>
      </c>
      <c r="L66" s="95" cm="1">
        <f t="array" ref="L66">IF(V66=0,0,INDEX(hdoffset,MATCH(V66,holdown,0),0))</f>
        <v>0</v>
      </c>
      <c r="M66" s="95" cm="1">
        <f t="array" ref="M66">IF(V66=0,0,INDEX(ab_dia_req,MATCH(V66,holdown,0),0))</f>
        <v>0</v>
      </c>
      <c r="N66" s="95" cm="1">
        <f t="array" ref="N66">IF(W66=0,0,INDEX(ab_dia_act,MATCH(W66,anchor,0),0))</f>
        <v>0</v>
      </c>
      <c r="O66" s="95" cm="1">
        <f t="array" ref="O66">IF(W66=0,0,INDEX(ab_fc,MATCH(W66,anchor,0),0))</f>
        <v>0</v>
      </c>
      <c r="P66" s="95" cm="1">
        <f t="array" ref="P66">IF(W66=0,0,INDEX(ab_F,MATCH(W66,anchor,0),0))</f>
        <v>0</v>
      </c>
      <c r="Q66" s="95" cm="1">
        <f t="array" ref="Q66">IF(W66=0,0,INDEX(ab_lede,MATCH(W66,anchor,0),0))</f>
        <v>0</v>
      </c>
      <c r="R66" s="95" cm="1">
        <f t="array" ref="R66">IF(W66=0,0,INDEX(ab_sdc,MATCH(W66,anchor,0),0))</f>
        <v>0</v>
      </c>
      <c r="S66" s="95" cm="1">
        <f t="array" ref="S66">IF(W66=0,0,INDEX(ab_condition,MATCH(W66,anchor,0),0))</f>
        <v>0</v>
      </c>
      <c r="T66" s="95" cm="1">
        <f t="array" ref="T66">IF(V66=0,0,INDEX(sw0.92,MATCH(V66,holdown,0),0))</f>
        <v>0</v>
      </c>
      <c r="U66" s="95"/>
      <c r="V66" s="104"/>
      <c r="W66" s="101"/>
      <c r="X66" s="95"/>
      <c r="Y66" s="102" t="str">
        <f t="shared" si="0"/>
        <v/>
      </c>
    </row>
  </sheetData>
  <phoneticPr fontId="1" type="noConversion"/>
  <conditionalFormatting sqref="F41:F66">
    <cfRule type="cellIs" dxfId="473" priority="8" operator="lessThan">
      <formula>E41</formula>
    </cfRule>
    <cfRule type="cellIs" dxfId="472" priority="11" operator="greaterThan">
      <formula>E41</formula>
    </cfRule>
  </conditionalFormatting>
  <conditionalFormatting sqref="G41:G66">
    <cfRule type="cellIs" dxfId="471" priority="7" operator="lessThan">
      <formula>E41</formula>
    </cfRule>
    <cfRule type="cellIs" dxfId="470" priority="10" operator="greaterThan">
      <formula>E41</formula>
    </cfRule>
  </conditionalFormatting>
  <conditionalFormatting sqref="H41:H66">
    <cfRule type="cellIs" dxfId="469" priority="6" operator="lessThan">
      <formula>E41</formula>
    </cfRule>
    <cfRule type="cellIs" dxfId="468" priority="9" operator="greaterThan">
      <formula>E41</formula>
    </cfRule>
  </conditionalFormatting>
  <conditionalFormatting sqref="N41:N66">
    <cfRule type="cellIs" dxfId="467" priority="17" operator="lessThan">
      <formula>M41</formula>
    </cfRule>
    <cfRule type="cellIs" dxfId="466" priority="18" operator="greaterThan">
      <formula>M41</formula>
    </cfRule>
    <cfRule type="cellIs" dxfId="465" priority="19" operator="equal">
      <formula>M41</formula>
    </cfRule>
  </conditionalFormatting>
  <conditionalFormatting sqref="O41:O66">
    <cfRule type="cellIs" dxfId="464" priority="12" operator="equal">
      <formula>0</formula>
    </cfRule>
    <cfRule type="cellIs" dxfId="463" priority="13" operator="greaterThan">
      <formula>$B$9</formula>
    </cfRule>
    <cfRule type="cellIs" dxfId="462" priority="14" operator="lessThan">
      <formula>$B$9</formula>
    </cfRule>
    <cfRule type="cellIs" dxfId="461" priority="16" operator="equal">
      <formula>$B$9</formula>
    </cfRule>
  </conditionalFormatting>
  <conditionalFormatting sqref="R41:R66">
    <cfRule type="cellIs" dxfId="460" priority="3" operator="lessThan">
      <formula>$B$4</formula>
    </cfRule>
    <cfRule type="cellIs" dxfId="459" priority="4" operator="greaterThan">
      <formula>$B$4</formula>
    </cfRule>
    <cfRule type="cellIs" dxfId="458" priority="5" operator="equal">
      <formula>$B$4</formula>
    </cfRule>
  </conditionalFormatting>
  <conditionalFormatting sqref="Y41:Y66">
    <cfRule type="cellIs" dxfId="457" priority="1" operator="equal">
      <formula>"REVISE HD+AB"</formula>
    </cfRule>
    <cfRule type="cellIs" dxfId="456" priority="2" operator="equal">
      <formula>"OK!"</formula>
    </cfRule>
  </conditionalFormatting>
  <dataValidations count="8">
    <dataValidation type="list" allowBlank="1" showInputMessage="1" showErrorMessage="1" sqref="D41 B5 D12:D38" xr:uid="{E3CBE32C-E193-42C0-BC2D-EE0D48BB6436}">
      <formula1>"YES,NO"</formula1>
    </dataValidation>
    <dataValidation type="list" allowBlank="1" showInputMessage="1" showErrorMessage="1" sqref="K12:K38" xr:uid="{6B39AACD-47D9-48E6-A8B9-25B649A7A546}">
      <formula1>sheathing</formula1>
    </dataValidation>
    <dataValidation type="list" allowBlank="1" showInputMessage="1" showErrorMessage="1" sqref="B6" xr:uid="{45FA7EEF-18AA-4DE5-88EC-59B8F0DC2A6A}">
      <formula1>"6,12"</formula1>
    </dataValidation>
    <dataValidation type="list" allowBlank="1" showInputMessage="1" showErrorMessage="1" sqref="B4" xr:uid="{32829272-FC8A-430C-9390-5F48EADAA8B4}">
      <formula1>"AB,CDEF"</formula1>
    </dataValidation>
    <dataValidation type="list" allowBlank="1" showInputMessage="1" showErrorMessage="1" sqref="B9" xr:uid="{A79543B4-EA7E-40FA-959F-6FC0FC780C90}">
      <formula1>"2500,3000"</formula1>
    </dataValidation>
    <dataValidation type="list" allowBlank="1" showInputMessage="1" showErrorMessage="1" sqref="B7" xr:uid="{79F50E98-AF7B-4500-AE36-20BA49A709FB}">
      <formula1>"12,16,19.2,24"</formula1>
    </dataValidation>
    <dataValidation type="list" allowBlank="1" showInputMessage="1" showErrorMessage="1" sqref="V41:V66" xr:uid="{FFC12D25-52B0-4346-8347-4FB21F786459}">
      <formula1>holdown</formula1>
    </dataValidation>
    <dataValidation type="list" allowBlank="1" showInputMessage="1" showErrorMessage="1" sqref="W41:W66" xr:uid="{FF72DFDD-A745-4106-8F26-B092807C132D}">
      <formula1>anchor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05E1A-8E7C-4084-8F33-BB63A3672F21}">
  <dimension ref="A1:BU3343"/>
  <sheetViews>
    <sheetView tabSelected="1" zoomScale="55" zoomScaleNormal="55" workbookViewId="0">
      <selection activeCell="K136" sqref="K136"/>
    </sheetView>
  </sheetViews>
  <sheetFormatPr defaultRowHeight="15" x14ac:dyDescent="0.25"/>
  <cols>
    <col min="1" max="1" width="20.28515625" customWidth="1"/>
    <col min="29" max="29" width="12.140625" bestFit="1" customWidth="1"/>
    <col min="35" max="35" width="12.140625" bestFit="1" customWidth="1"/>
  </cols>
  <sheetData>
    <row r="2" spans="2:73" x14ac:dyDescent="0.25">
      <c r="B2" s="1" t="s">
        <v>5</v>
      </c>
      <c r="C2" s="19"/>
    </row>
    <row r="3" spans="2:73" x14ac:dyDescent="0.25">
      <c r="B3" s="1" t="s">
        <v>6</v>
      </c>
      <c r="C3" s="19"/>
    </row>
    <row r="4" spans="2:73" x14ac:dyDescent="0.25">
      <c r="B4" s="1" t="s">
        <v>7</v>
      </c>
      <c r="C4" s="19"/>
    </row>
    <row r="6" spans="2:73" x14ac:dyDescent="0.25">
      <c r="B6" s="1" t="s">
        <v>8</v>
      </c>
      <c r="C6" s="19"/>
    </row>
    <row r="7" spans="2:73" x14ac:dyDescent="0.25">
      <c r="B7" s="1" t="s">
        <v>9</v>
      </c>
      <c r="C7" s="19"/>
    </row>
    <row r="9" spans="2:73" x14ac:dyDescent="0.25">
      <c r="B9" s="1" t="s">
        <v>10</v>
      </c>
      <c r="C9" s="19"/>
    </row>
    <row r="10" spans="2:73" x14ac:dyDescent="0.25">
      <c r="B10" s="1" t="s">
        <v>11</v>
      </c>
      <c r="C10" s="19"/>
    </row>
    <row r="11" spans="2:73" x14ac:dyDescent="0.25">
      <c r="B11" s="1"/>
    </row>
    <row r="12" spans="2:73" x14ac:dyDescent="0.25">
      <c r="B12" s="1" t="s">
        <v>580</v>
      </c>
      <c r="C12" s="65" t="s">
        <v>255</v>
      </c>
      <c r="F12" s="1" t="s">
        <v>739</v>
      </c>
      <c r="G12" t="e">
        <f>1-(0.5-Sheet1!#REF!)</f>
        <v>#REF!</v>
      </c>
    </row>
    <row r="13" spans="2:73" x14ac:dyDescent="0.25">
      <c r="B13" s="1" t="s">
        <v>496</v>
      </c>
      <c r="C13" s="65" t="s">
        <v>497</v>
      </c>
      <c r="P13" t="s">
        <v>529</v>
      </c>
    </row>
    <row r="14" spans="2:73" x14ac:dyDescent="0.25">
      <c r="B14" s="1" t="s">
        <v>498</v>
      </c>
      <c r="C14" s="19">
        <v>18</v>
      </c>
    </row>
    <row r="15" spans="2:73" x14ac:dyDescent="0.25">
      <c r="B15" s="1" t="s">
        <v>499</v>
      </c>
      <c r="C15" s="19">
        <v>0.75</v>
      </c>
      <c r="E15" t="s">
        <v>568</v>
      </c>
      <c r="F15" t="s">
        <v>503</v>
      </c>
      <c r="G15" t="s">
        <v>504</v>
      </c>
      <c r="H15" t="s">
        <v>505</v>
      </c>
      <c r="P15" s="89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9"/>
      <c r="AS15" s="89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  <c r="BK15" s="90"/>
      <c r="BL15" s="90"/>
      <c r="BM15" s="90"/>
      <c r="BN15" s="90"/>
      <c r="BO15" s="90"/>
      <c r="BP15" s="90"/>
      <c r="BQ15" s="90"/>
      <c r="BR15" s="90"/>
      <c r="BS15" s="90"/>
      <c r="BT15" s="90"/>
      <c r="BU15" s="99"/>
    </row>
    <row r="16" spans="2:73" x14ac:dyDescent="0.25">
      <c r="B16" s="1" t="s">
        <v>569</v>
      </c>
      <c r="C16">
        <f>E16+H16*12</f>
        <v>32.4375</v>
      </c>
      <c r="E16" s="19">
        <v>24</v>
      </c>
      <c r="F16" s="19">
        <f>32+5.625/12</f>
        <v>32.46875</v>
      </c>
      <c r="G16" s="19">
        <f>33+10.5/12</f>
        <v>33.875</v>
      </c>
      <c r="H16">
        <f>(G16-F16)/2</f>
        <v>0.703125</v>
      </c>
      <c r="P16" s="93"/>
      <c r="Q16" t="s">
        <v>524</v>
      </c>
      <c r="R16" s="2" t="str">
        <f>$B$42</f>
        <v>A</v>
      </c>
      <c r="AR16" s="100"/>
      <c r="AS16" s="93"/>
      <c r="AT16" t="s">
        <v>524</v>
      </c>
      <c r="AU16" s="2">
        <f>H42</f>
        <v>1</v>
      </c>
      <c r="BU16" s="100"/>
    </row>
    <row r="17" spans="2:73" x14ac:dyDescent="0.25">
      <c r="B17" s="1" t="s">
        <v>500</v>
      </c>
      <c r="C17" s="19">
        <v>0.5</v>
      </c>
      <c r="P17" s="93"/>
      <c r="AR17" s="100"/>
      <c r="AS17" s="93"/>
      <c r="BU17" s="100"/>
    </row>
    <row r="18" spans="2:73" x14ac:dyDescent="0.25">
      <c r="P18" s="93"/>
      <c r="R18" t="s">
        <v>482</v>
      </c>
      <c r="Z18" t="s">
        <v>483</v>
      </c>
      <c r="AH18" t="s">
        <v>502</v>
      </c>
      <c r="AJ18" t="s">
        <v>454</v>
      </c>
      <c r="AR18" s="100"/>
      <c r="AS18" s="93"/>
      <c r="AU18" t="s">
        <v>482</v>
      </c>
      <c r="BC18" t="s">
        <v>483</v>
      </c>
      <c r="BK18" t="s">
        <v>502</v>
      </c>
      <c r="BM18" t="s">
        <v>454</v>
      </c>
      <c r="BU18" s="100"/>
    </row>
    <row r="19" spans="2:73" x14ac:dyDescent="0.25">
      <c r="B19" t="s">
        <v>448</v>
      </c>
      <c r="C19" t="s">
        <v>272</v>
      </c>
      <c r="D19" t="s">
        <v>193</v>
      </c>
      <c r="E19" s="70" t="s">
        <v>454</v>
      </c>
      <c r="F19" s="71" t="s">
        <v>501</v>
      </c>
      <c r="H19" t="s">
        <v>475</v>
      </c>
      <c r="J19" t="s">
        <v>476</v>
      </c>
      <c r="P19" s="93"/>
      <c r="R19" t="s">
        <v>480</v>
      </c>
      <c r="S19" t="s">
        <v>481</v>
      </c>
      <c r="T19" t="s">
        <v>486</v>
      </c>
      <c r="U19" t="s">
        <v>487</v>
      </c>
      <c r="V19" t="s">
        <v>484</v>
      </c>
      <c r="W19" t="s">
        <v>485</v>
      </c>
      <c r="X19" t="s">
        <v>488</v>
      </c>
      <c r="Y19" t="s">
        <v>489</v>
      </c>
      <c r="Z19" t="s">
        <v>480</v>
      </c>
      <c r="AA19" t="s">
        <v>481</v>
      </c>
      <c r="AB19" t="s">
        <v>486</v>
      </c>
      <c r="AC19" t="s">
        <v>487</v>
      </c>
      <c r="AD19" t="s">
        <v>484</v>
      </c>
      <c r="AE19" t="s">
        <v>485</v>
      </c>
      <c r="AF19" t="s">
        <v>488</v>
      </c>
      <c r="AG19" t="s">
        <v>489</v>
      </c>
      <c r="AH19" t="s">
        <v>312</v>
      </c>
      <c r="AI19" t="s">
        <v>258</v>
      </c>
      <c r="AJ19" t="s">
        <v>486</v>
      </c>
      <c r="AK19" t="s">
        <v>490</v>
      </c>
      <c r="AL19" t="s">
        <v>487</v>
      </c>
      <c r="AM19" t="s">
        <v>490</v>
      </c>
      <c r="AN19" t="s">
        <v>488</v>
      </c>
      <c r="AO19" t="s">
        <v>490</v>
      </c>
      <c r="AP19" t="s">
        <v>489</v>
      </c>
      <c r="AQ19" t="s">
        <v>490</v>
      </c>
      <c r="AR19" s="100"/>
      <c r="AS19" s="93"/>
      <c r="AU19" t="s">
        <v>480</v>
      </c>
      <c r="AV19" t="s">
        <v>481</v>
      </c>
      <c r="AW19" t="s">
        <v>486</v>
      </c>
      <c r="AX19" t="s">
        <v>487</v>
      </c>
      <c r="AY19" t="s">
        <v>484</v>
      </c>
      <c r="AZ19" t="s">
        <v>485</v>
      </c>
      <c r="BA19" t="s">
        <v>488</v>
      </c>
      <c r="BB19" t="s">
        <v>489</v>
      </c>
      <c r="BC19" t="s">
        <v>480</v>
      </c>
      <c r="BD19" t="s">
        <v>481</v>
      </c>
      <c r="BE19" t="s">
        <v>486</v>
      </c>
      <c r="BF19" t="s">
        <v>487</v>
      </c>
      <c r="BG19" t="s">
        <v>484</v>
      </c>
      <c r="BH19" t="s">
        <v>485</v>
      </c>
      <c r="BI19" t="s">
        <v>488</v>
      </c>
      <c r="BJ19" t="s">
        <v>489</v>
      </c>
      <c r="BK19" t="s">
        <v>312</v>
      </c>
      <c r="BL19" t="s">
        <v>258</v>
      </c>
      <c r="BM19" t="s">
        <v>486</v>
      </c>
      <c r="BN19" t="s">
        <v>490</v>
      </c>
      <c r="BO19" t="s">
        <v>487</v>
      </c>
      <c r="BP19" t="s">
        <v>490</v>
      </c>
      <c r="BQ19" t="s">
        <v>488</v>
      </c>
      <c r="BR19" t="s">
        <v>490</v>
      </c>
      <c r="BS19" t="s">
        <v>489</v>
      </c>
      <c r="BT19" t="s">
        <v>490</v>
      </c>
      <c r="BU19" s="100"/>
    </row>
    <row r="20" spans="2:73" x14ac:dyDescent="0.25">
      <c r="B20" t="s">
        <v>449</v>
      </c>
      <c r="C20" s="19">
        <v>0</v>
      </c>
      <c r="D20" s="19">
        <v>0</v>
      </c>
      <c r="E20" s="66">
        <f>C20+D20/12</f>
        <v>0</v>
      </c>
      <c r="F20" s="67">
        <v>0</v>
      </c>
      <c r="H20" s="19">
        <v>0</v>
      </c>
      <c r="I20" s="64" t="s">
        <v>196</v>
      </c>
      <c r="J20" s="19">
        <v>0</v>
      </c>
      <c r="K20" s="19">
        <v>0</v>
      </c>
      <c r="L20" s="19">
        <v>0</v>
      </c>
      <c r="M20" s="19">
        <v>0</v>
      </c>
      <c r="P20" s="93"/>
      <c r="Q20" t="s">
        <v>449</v>
      </c>
      <c r="R20" s="19">
        <f>$H$20</f>
        <v>0</v>
      </c>
      <c r="S20">
        <f>R20*0.6</f>
        <v>0</v>
      </c>
      <c r="T20">
        <f>$C$42/2*R20</f>
        <v>0</v>
      </c>
      <c r="U20">
        <f>T20*0.6</f>
        <v>0</v>
      </c>
      <c r="V20" s="19">
        <v>0</v>
      </c>
      <c r="W20">
        <f>V20*0.7</f>
        <v>0</v>
      </c>
      <c r="X20">
        <f>$C$42/2*V20</f>
        <v>0</v>
      </c>
      <c r="Y20">
        <f>X20*0.7</f>
        <v>0</v>
      </c>
      <c r="Z20" s="19">
        <f>$H$20</f>
        <v>0</v>
      </c>
      <c r="AA20">
        <f>Z20*0.6</f>
        <v>0</v>
      </c>
      <c r="AB20">
        <f>$D$42/2*Z20</f>
        <v>0</v>
      </c>
      <c r="AC20">
        <f t="shared" ref="AC20:AC26" si="0">0.6*AB20</f>
        <v>0</v>
      </c>
      <c r="AD20" s="19">
        <v>0</v>
      </c>
      <c r="AE20">
        <f>AD20*0.7</f>
        <v>0</v>
      </c>
      <c r="AF20">
        <f>$D$42/2*AD20</f>
        <v>0</v>
      </c>
      <c r="AG20">
        <f>AF20*0.7</f>
        <v>0</v>
      </c>
      <c r="AH20" s="19">
        <v>0</v>
      </c>
      <c r="AI20" s="19">
        <v>0</v>
      </c>
      <c r="AJ20" s="17">
        <f>T20+AB20+AH20</f>
        <v>0</v>
      </c>
      <c r="AK20" s="17">
        <f>AK21+AJ20</f>
        <v>13166</v>
      </c>
      <c r="AL20" s="17">
        <f>AJ20*0.6</f>
        <v>0</v>
      </c>
      <c r="AM20" s="17">
        <f>AM21+AL20</f>
        <v>7899.5999999999995</v>
      </c>
      <c r="AN20" s="17">
        <f>X20+AF20+AI20</f>
        <v>0</v>
      </c>
      <c r="AO20" s="17">
        <f t="shared" ref="AO20:AQ23" si="1">AN20+AO21</f>
        <v>1302.0999999999999</v>
      </c>
      <c r="AP20" s="17">
        <f>AN20*0.7</f>
        <v>0</v>
      </c>
      <c r="AQ20" s="17">
        <f>AP20+AQ21</f>
        <v>911.46999999999991</v>
      </c>
      <c r="AR20" s="100"/>
      <c r="AS20" s="93"/>
      <c r="AT20" t="s">
        <v>449</v>
      </c>
      <c r="AU20" s="19">
        <f>$H$20</f>
        <v>0</v>
      </c>
      <c r="AV20">
        <f>AU20*0.6</f>
        <v>0</v>
      </c>
      <c r="AW20">
        <f t="shared" ref="AW20:AW26" si="2">$I$42/2*AU20</f>
        <v>0</v>
      </c>
      <c r="AX20">
        <f>AW20*0.6</f>
        <v>0</v>
      </c>
      <c r="AY20" s="19">
        <v>0</v>
      </c>
      <c r="AZ20">
        <f>AY20*0.7</f>
        <v>0</v>
      </c>
      <c r="BA20">
        <f t="shared" ref="BA20:BA25" si="3">$I$42/2*AY20</f>
        <v>0</v>
      </c>
      <c r="BB20">
        <f>BA20*0.7</f>
        <v>0</v>
      </c>
      <c r="BC20" s="19">
        <f>$H$20</f>
        <v>0</v>
      </c>
      <c r="BD20">
        <f>BC20*0.6</f>
        <v>0</v>
      </c>
      <c r="BE20">
        <f t="shared" ref="BE20:BE26" si="4">$J$42/2*BC20</f>
        <v>0</v>
      </c>
      <c r="BF20">
        <f t="shared" ref="BF20:BF26" si="5">0.6*BE20</f>
        <v>0</v>
      </c>
      <c r="BG20" s="19">
        <v>0</v>
      </c>
      <c r="BH20">
        <f>BG20*0.7</f>
        <v>0</v>
      </c>
      <c r="BI20">
        <f t="shared" ref="BI20:BI25" si="6">$J$42/2*BG20</f>
        <v>0</v>
      </c>
      <c r="BJ20">
        <f>BI20*0.7</f>
        <v>0</v>
      </c>
      <c r="BK20" s="19">
        <v>0</v>
      </c>
      <c r="BL20" s="19">
        <v>0</v>
      </c>
      <c r="BM20" s="17">
        <f>AW20+BE20+BK20</f>
        <v>0</v>
      </c>
      <c r="BN20" s="17">
        <f>BN21+BM20</f>
        <v>12258</v>
      </c>
      <c r="BO20" s="17">
        <f>BM20*0.6</f>
        <v>0</v>
      </c>
      <c r="BP20" s="17">
        <f>BP21+BO20</f>
        <v>7354.7999999999993</v>
      </c>
      <c r="BQ20" s="17">
        <f>BA20+BI20+BL20</f>
        <v>0</v>
      </c>
      <c r="BR20" s="17">
        <f t="shared" ref="BR20:BR23" si="7">BQ20+BR21</f>
        <v>1212.3</v>
      </c>
      <c r="BS20" s="17">
        <f>BQ20*0.7</f>
        <v>0</v>
      </c>
      <c r="BT20" s="17">
        <f>BS20+BT21</f>
        <v>848.6099999999999</v>
      </c>
      <c r="BU20" s="100"/>
    </row>
    <row r="21" spans="2:73" x14ac:dyDescent="0.25">
      <c r="B21" t="s">
        <v>450</v>
      </c>
      <c r="C21" s="19">
        <v>10</v>
      </c>
      <c r="D21" s="19">
        <v>8.25</v>
      </c>
      <c r="E21" s="66">
        <f>C21+D21/12</f>
        <v>10.6875</v>
      </c>
      <c r="F21" s="67">
        <f>IF(E21&gt;0,E21-(C15+C14+2*1.5+IF(C13="single",1.5,3))/12-_xlfn.XLOOKUP(E21,E20,E20,,-1),0)</f>
        <v>8.75</v>
      </c>
      <c r="H21" s="19">
        <v>236</v>
      </c>
      <c r="I21" s="64" t="s">
        <v>196</v>
      </c>
      <c r="J21" s="19">
        <v>33.799999999999997</v>
      </c>
      <c r="K21" s="19">
        <v>65.599999999999994</v>
      </c>
      <c r="L21" s="19">
        <v>19.3</v>
      </c>
      <c r="M21" s="19">
        <v>119.6</v>
      </c>
      <c r="P21" s="93"/>
      <c r="Q21" t="s">
        <v>450</v>
      </c>
      <c r="R21" s="19">
        <f>$H$21</f>
        <v>236</v>
      </c>
      <c r="S21">
        <f t="shared" ref="S21:S26" si="8">R21*0.6</f>
        <v>141.6</v>
      </c>
      <c r="T21">
        <f t="shared" ref="T21:T25" si="9">$C$42/2*R21</f>
        <v>0</v>
      </c>
      <c r="U21">
        <f>T21*0.6</f>
        <v>0</v>
      </c>
      <c r="V21" s="19">
        <v>33.799999999999997</v>
      </c>
      <c r="W21">
        <f t="shared" ref="W21:W25" si="10">V21*0.7</f>
        <v>23.659999999999997</v>
      </c>
      <c r="X21">
        <f t="shared" ref="X21:X25" si="11">$C$42/2*V21</f>
        <v>0</v>
      </c>
      <c r="Y21">
        <f t="shared" ref="Y21:Y25" si="12">X21*0.7</f>
        <v>0</v>
      </c>
      <c r="Z21" s="19">
        <f>$H$21</f>
        <v>236</v>
      </c>
      <c r="AA21">
        <f t="shared" ref="AA21:AA25" si="13">Z21*0.6</f>
        <v>141.6</v>
      </c>
      <c r="AB21">
        <f t="shared" ref="AB21:AB25" si="14">$D$42/2*Z21</f>
        <v>3422</v>
      </c>
      <c r="AC21">
        <f t="shared" si="0"/>
        <v>2053.1999999999998</v>
      </c>
      <c r="AD21" s="19">
        <v>33.799999999999997</v>
      </c>
      <c r="AE21">
        <f t="shared" ref="AE21:AE25" si="15">AD21*0.7</f>
        <v>23.659999999999997</v>
      </c>
      <c r="AF21">
        <f t="shared" ref="AF21:AF25" si="16">$D$42/2*AD21</f>
        <v>490.09999999999997</v>
      </c>
      <c r="AG21">
        <f t="shared" ref="AG21:AG25" si="17">AF21*0.7</f>
        <v>343.06999999999994</v>
      </c>
      <c r="AH21" s="19">
        <v>0</v>
      </c>
      <c r="AI21" s="19">
        <v>0</v>
      </c>
      <c r="AJ21" s="17">
        <f>T21+AB21+AH21</f>
        <v>3422</v>
      </c>
      <c r="AK21" s="17">
        <f>AK22+AJ21</f>
        <v>13166</v>
      </c>
      <c r="AL21" s="17">
        <f t="shared" ref="AL21:AL25" si="18">AJ21*0.6</f>
        <v>2053.1999999999998</v>
      </c>
      <c r="AM21" s="17">
        <f t="shared" ref="AM21:AM23" si="19">AM22+AL21</f>
        <v>7899.5999999999995</v>
      </c>
      <c r="AN21" s="17">
        <f t="shared" ref="AN21:AN24" si="20">X21+AF21+AI21</f>
        <v>490.09999999999997</v>
      </c>
      <c r="AO21" s="17">
        <f t="shared" si="1"/>
        <v>1302.0999999999999</v>
      </c>
      <c r="AP21" s="17">
        <f t="shared" ref="AP21:AP24" si="21">AN21*0.7</f>
        <v>343.06999999999994</v>
      </c>
      <c r="AQ21" s="17">
        <f t="shared" si="1"/>
        <v>911.46999999999991</v>
      </c>
      <c r="AR21" s="100"/>
      <c r="AS21" s="93"/>
      <c r="AT21" t="s">
        <v>450</v>
      </c>
      <c r="AU21" s="19">
        <f>$H$21</f>
        <v>236</v>
      </c>
      <c r="AV21">
        <f t="shared" ref="AV21:AV26" si="22">AU21*0.6</f>
        <v>141.6</v>
      </c>
      <c r="AW21">
        <f t="shared" si="2"/>
        <v>0</v>
      </c>
      <c r="AX21">
        <f>AW21*0.6</f>
        <v>0</v>
      </c>
      <c r="AY21" s="19">
        <v>33.799999999999997</v>
      </c>
      <c r="AZ21">
        <f t="shared" ref="AZ21:AZ25" si="23">AY21*0.7</f>
        <v>23.659999999999997</v>
      </c>
      <c r="BA21">
        <f t="shared" si="3"/>
        <v>0</v>
      </c>
      <c r="BB21">
        <f t="shared" ref="BB21:BB25" si="24">BA21*0.7</f>
        <v>0</v>
      </c>
      <c r="BC21" s="19">
        <f>$H$21</f>
        <v>236</v>
      </c>
      <c r="BD21">
        <f t="shared" ref="BD21:BD25" si="25">BC21*0.6</f>
        <v>141.6</v>
      </c>
      <c r="BE21">
        <f t="shared" si="4"/>
        <v>3186</v>
      </c>
      <c r="BF21">
        <f t="shared" si="5"/>
        <v>1911.6</v>
      </c>
      <c r="BG21" s="19">
        <v>33.799999999999997</v>
      </c>
      <c r="BH21">
        <f t="shared" ref="BH21:BH25" si="26">BG21*0.7</f>
        <v>23.659999999999997</v>
      </c>
      <c r="BI21">
        <f t="shared" si="6"/>
        <v>456.29999999999995</v>
      </c>
      <c r="BJ21">
        <f t="shared" ref="BJ21:BJ25" si="27">BI21*0.7</f>
        <v>319.40999999999997</v>
      </c>
      <c r="BK21" s="19">
        <v>0</v>
      </c>
      <c r="BL21" s="19">
        <v>0</v>
      </c>
      <c r="BM21" s="17">
        <f>AW21+BE21+BK21</f>
        <v>3186</v>
      </c>
      <c r="BN21" s="17">
        <f>BN22+BM21</f>
        <v>12258</v>
      </c>
      <c r="BO21" s="17">
        <f t="shared" ref="BO21" si="28">BM21*0.6</f>
        <v>1911.6</v>
      </c>
      <c r="BP21" s="17">
        <f t="shared" ref="BP21:BP23" si="29">BP22+BO21</f>
        <v>7354.7999999999993</v>
      </c>
      <c r="BQ21" s="17">
        <f t="shared" ref="BQ21:BQ24" si="30">BA21+BI21+BL21</f>
        <v>456.29999999999995</v>
      </c>
      <c r="BR21" s="17">
        <f t="shared" si="7"/>
        <v>1212.3</v>
      </c>
      <c r="BS21" s="17">
        <f t="shared" ref="BS21:BS24" si="31">BQ21*0.7</f>
        <v>319.40999999999997</v>
      </c>
      <c r="BT21" s="17">
        <f t="shared" ref="BT21:BT23" si="32">BS21+BT22</f>
        <v>848.6099999999999</v>
      </c>
      <c r="BU21" s="100"/>
    </row>
    <row r="22" spans="2:73" x14ac:dyDescent="0.25">
      <c r="B22" t="s">
        <v>451</v>
      </c>
      <c r="C22" s="19">
        <v>21</v>
      </c>
      <c r="D22" s="19">
        <v>4.5</v>
      </c>
      <c r="E22" s="66">
        <f t="shared" ref="E22:E25" si="33">C22+D22/12</f>
        <v>21.375</v>
      </c>
      <c r="F22" s="67">
        <f>IF(E22&gt;0,E22-(C15+C14+2*1.5+IF(C13="single",1.5,3))/12-_xlfn.XLOOKUP(E22,E20:E21,E20:E21,,-1),0)</f>
        <v>8.75</v>
      </c>
      <c r="H22" s="19">
        <v>229</v>
      </c>
      <c r="I22" s="64" t="s">
        <v>196</v>
      </c>
      <c r="J22" s="19">
        <v>37.1</v>
      </c>
      <c r="K22" s="19">
        <v>71.8</v>
      </c>
      <c r="L22" s="19">
        <v>21.1</v>
      </c>
      <c r="M22" s="19">
        <v>131.1</v>
      </c>
      <c r="P22" s="93"/>
      <c r="Q22" t="s">
        <v>451</v>
      </c>
      <c r="R22" s="19">
        <f>$H$22</f>
        <v>229</v>
      </c>
      <c r="S22">
        <f t="shared" si="8"/>
        <v>137.4</v>
      </c>
      <c r="T22">
        <f t="shared" si="9"/>
        <v>0</v>
      </c>
      <c r="U22">
        <f t="shared" ref="U22:U26" si="34">T22*0.6</f>
        <v>0</v>
      </c>
      <c r="V22" s="19">
        <v>37.1</v>
      </c>
      <c r="W22">
        <f t="shared" si="10"/>
        <v>25.97</v>
      </c>
      <c r="X22">
        <f>$C$42/2*V22</f>
        <v>0</v>
      </c>
      <c r="Y22">
        <f t="shared" si="12"/>
        <v>0</v>
      </c>
      <c r="Z22" s="19">
        <f>$H$22</f>
        <v>229</v>
      </c>
      <c r="AA22">
        <f t="shared" si="13"/>
        <v>137.4</v>
      </c>
      <c r="AB22">
        <f t="shared" si="14"/>
        <v>3320.5</v>
      </c>
      <c r="AC22">
        <f t="shared" si="0"/>
        <v>1992.3</v>
      </c>
      <c r="AD22" s="19">
        <v>37.1</v>
      </c>
      <c r="AE22">
        <f t="shared" si="15"/>
        <v>25.97</v>
      </c>
      <c r="AF22">
        <f t="shared" si="16"/>
        <v>537.95000000000005</v>
      </c>
      <c r="AG22">
        <f t="shared" si="17"/>
        <v>376.565</v>
      </c>
      <c r="AH22" s="19">
        <v>0</v>
      </c>
      <c r="AI22" s="19">
        <v>0</v>
      </c>
      <c r="AJ22" s="17">
        <f t="shared" ref="AJ22:AJ24" si="35">T22+AB22+AH22</f>
        <v>3320.5</v>
      </c>
      <c r="AK22" s="17">
        <f>AK23+AJ22</f>
        <v>9744</v>
      </c>
      <c r="AL22" s="17">
        <f>AJ22*0.6</f>
        <v>1992.3</v>
      </c>
      <c r="AM22" s="17">
        <f t="shared" si="19"/>
        <v>5846.4</v>
      </c>
      <c r="AN22" s="17">
        <f t="shared" si="20"/>
        <v>537.95000000000005</v>
      </c>
      <c r="AO22" s="17">
        <f t="shared" si="1"/>
        <v>812</v>
      </c>
      <c r="AP22" s="17">
        <f t="shared" si="21"/>
        <v>376.565</v>
      </c>
      <c r="AQ22" s="17">
        <f t="shared" si="1"/>
        <v>568.4</v>
      </c>
      <c r="AR22" s="100"/>
      <c r="AS22" s="93"/>
      <c r="AT22" t="s">
        <v>451</v>
      </c>
      <c r="AU22" s="19">
        <f>$H$22</f>
        <v>229</v>
      </c>
      <c r="AV22">
        <f t="shared" si="22"/>
        <v>137.4</v>
      </c>
      <c r="AW22">
        <f t="shared" si="2"/>
        <v>0</v>
      </c>
      <c r="AX22">
        <f t="shared" ref="AX22:AX26" si="36">AW22*0.6</f>
        <v>0</v>
      </c>
      <c r="AY22" s="19">
        <v>37.1</v>
      </c>
      <c r="AZ22">
        <f t="shared" si="23"/>
        <v>25.97</v>
      </c>
      <c r="BA22">
        <f t="shared" si="3"/>
        <v>0</v>
      </c>
      <c r="BB22">
        <f t="shared" si="24"/>
        <v>0</v>
      </c>
      <c r="BC22" s="19">
        <f>$H$22</f>
        <v>229</v>
      </c>
      <c r="BD22">
        <f t="shared" si="25"/>
        <v>137.4</v>
      </c>
      <c r="BE22">
        <f t="shared" si="4"/>
        <v>3091.5</v>
      </c>
      <c r="BF22">
        <f t="shared" si="5"/>
        <v>1854.8999999999999</v>
      </c>
      <c r="BG22" s="19">
        <v>37.1</v>
      </c>
      <c r="BH22">
        <f t="shared" si="26"/>
        <v>25.97</v>
      </c>
      <c r="BI22">
        <f t="shared" si="6"/>
        <v>500.85</v>
      </c>
      <c r="BJ22">
        <f t="shared" si="27"/>
        <v>350.59499999999997</v>
      </c>
      <c r="BK22" s="19">
        <v>0</v>
      </c>
      <c r="BL22" s="19">
        <v>0</v>
      </c>
      <c r="BM22" s="17">
        <f t="shared" ref="BM22:BM24" si="37">AW22+BE22+BK22</f>
        <v>3091.5</v>
      </c>
      <c r="BN22" s="17">
        <f>BN23+BM22</f>
        <v>9072</v>
      </c>
      <c r="BO22" s="17">
        <f>BM22*0.6</f>
        <v>1854.8999999999999</v>
      </c>
      <c r="BP22" s="17">
        <f t="shared" si="29"/>
        <v>5443.2</v>
      </c>
      <c r="BQ22" s="17">
        <f t="shared" si="30"/>
        <v>500.85</v>
      </c>
      <c r="BR22" s="17">
        <f t="shared" si="7"/>
        <v>756</v>
      </c>
      <c r="BS22" s="17">
        <f t="shared" si="31"/>
        <v>350.59499999999997</v>
      </c>
      <c r="BT22" s="17">
        <f t="shared" si="32"/>
        <v>529.19999999999993</v>
      </c>
      <c r="BU22" s="100"/>
    </row>
    <row r="23" spans="2:73" x14ac:dyDescent="0.25">
      <c r="B23" t="s">
        <v>452</v>
      </c>
      <c r="C23" s="19">
        <v>0</v>
      </c>
      <c r="D23" s="19">
        <v>0</v>
      </c>
      <c r="E23" s="66">
        <f t="shared" si="33"/>
        <v>0</v>
      </c>
      <c r="F23" s="67">
        <f>IF(E23&gt;0,E23-(C15+C14+2*1.5+IF(C13="single",1.5,3))/12-_xlfn.XLOOKUP(E23,E20:E22,E20:E22,,-1),0)</f>
        <v>0</v>
      </c>
      <c r="H23" s="19">
        <v>0</v>
      </c>
      <c r="I23" s="64" t="s">
        <v>196</v>
      </c>
      <c r="J23" s="19">
        <v>0</v>
      </c>
      <c r="K23" s="19">
        <v>0</v>
      </c>
      <c r="L23" s="19">
        <v>0</v>
      </c>
      <c r="M23" s="19">
        <v>0</v>
      </c>
      <c r="P23" s="93"/>
      <c r="Q23" t="s">
        <v>452</v>
      </c>
      <c r="R23" s="19">
        <f>$H$23</f>
        <v>0</v>
      </c>
      <c r="S23">
        <f t="shared" si="8"/>
        <v>0</v>
      </c>
      <c r="T23">
        <f t="shared" si="9"/>
        <v>0</v>
      </c>
      <c r="U23">
        <f t="shared" si="34"/>
        <v>0</v>
      </c>
      <c r="V23" s="19">
        <v>0</v>
      </c>
      <c r="W23">
        <f t="shared" si="10"/>
        <v>0</v>
      </c>
      <c r="X23">
        <f t="shared" si="11"/>
        <v>0</v>
      </c>
      <c r="Y23">
        <f t="shared" si="12"/>
        <v>0</v>
      </c>
      <c r="Z23" s="19">
        <f>$H$23</f>
        <v>0</v>
      </c>
      <c r="AA23">
        <f t="shared" si="13"/>
        <v>0</v>
      </c>
      <c r="AB23">
        <f t="shared" si="14"/>
        <v>0</v>
      </c>
      <c r="AC23">
        <f t="shared" si="0"/>
        <v>0</v>
      </c>
      <c r="AD23" s="19">
        <v>0</v>
      </c>
      <c r="AE23">
        <f t="shared" si="15"/>
        <v>0</v>
      </c>
      <c r="AF23">
        <f t="shared" si="16"/>
        <v>0</v>
      </c>
      <c r="AG23">
        <f t="shared" si="17"/>
        <v>0</v>
      </c>
      <c r="AH23" s="19">
        <v>0</v>
      </c>
      <c r="AI23" s="19">
        <v>0</v>
      </c>
      <c r="AJ23" s="17">
        <f t="shared" si="35"/>
        <v>0</v>
      </c>
      <c r="AK23" s="17">
        <f>AK24+AJ23</f>
        <v>6423.5</v>
      </c>
      <c r="AL23" s="17">
        <f>AJ23*0.6</f>
        <v>0</v>
      </c>
      <c r="AM23" s="17">
        <f t="shared" si="19"/>
        <v>3854.1</v>
      </c>
      <c r="AN23" s="17">
        <f t="shared" si="20"/>
        <v>0</v>
      </c>
      <c r="AO23" s="17">
        <f t="shared" si="1"/>
        <v>274.04999999999995</v>
      </c>
      <c r="AP23" s="17">
        <f t="shared" si="21"/>
        <v>0</v>
      </c>
      <c r="AQ23" s="17">
        <f t="shared" si="1"/>
        <v>191.83499999999995</v>
      </c>
      <c r="AR23" s="100"/>
      <c r="AS23" s="93"/>
      <c r="AT23" t="s">
        <v>452</v>
      </c>
      <c r="AU23" s="19">
        <f>$H$23</f>
        <v>0</v>
      </c>
      <c r="AV23">
        <f t="shared" si="22"/>
        <v>0</v>
      </c>
      <c r="AW23">
        <f t="shared" si="2"/>
        <v>0</v>
      </c>
      <c r="AX23">
        <f t="shared" si="36"/>
        <v>0</v>
      </c>
      <c r="AY23" s="19">
        <v>0</v>
      </c>
      <c r="AZ23">
        <f t="shared" si="23"/>
        <v>0</v>
      </c>
      <c r="BA23">
        <f t="shared" si="3"/>
        <v>0</v>
      </c>
      <c r="BB23">
        <f t="shared" si="24"/>
        <v>0</v>
      </c>
      <c r="BC23" s="19">
        <f>$H$23</f>
        <v>0</v>
      </c>
      <c r="BD23">
        <f t="shared" si="25"/>
        <v>0</v>
      </c>
      <c r="BE23">
        <f t="shared" si="4"/>
        <v>0</v>
      </c>
      <c r="BF23">
        <f t="shared" si="5"/>
        <v>0</v>
      </c>
      <c r="BG23" s="19">
        <v>0</v>
      </c>
      <c r="BH23">
        <f t="shared" si="26"/>
        <v>0</v>
      </c>
      <c r="BI23">
        <f t="shared" si="6"/>
        <v>0</v>
      </c>
      <c r="BJ23">
        <f t="shared" si="27"/>
        <v>0</v>
      </c>
      <c r="BK23" s="19">
        <v>0</v>
      </c>
      <c r="BL23" s="19">
        <v>0</v>
      </c>
      <c r="BM23" s="17">
        <f t="shared" si="37"/>
        <v>0</v>
      </c>
      <c r="BN23" s="17">
        <f>BN24+BM23</f>
        <v>5980.5</v>
      </c>
      <c r="BO23" s="17">
        <f>BM23*0.6</f>
        <v>0</v>
      </c>
      <c r="BP23" s="17">
        <f t="shared" si="29"/>
        <v>3588.2999999999997</v>
      </c>
      <c r="BQ23" s="17">
        <f t="shared" si="30"/>
        <v>0</v>
      </c>
      <c r="BR23" s="17">
        <f t="shared" si="7"/>
        <v>255.14999999999998</v>
      </c>
      <c r="BS23" s="17">
        <f t="shared" si="31"/>
        <v>0</v>
      </c>
      <c r="BT23" s="17">
        <f t="shared" si="32"/>
        <v>178.60499999999996</v>
      </c>
      <c r="BU23" s="100"/>
    </row>
    <row r="24" spans="2:73" x14ac:dyDescent="0.25">
      <c r="B24" t="s">
        <v>453</v>
      </c>
      <c r="C24" s="19">
        <v>0</v>
      </c>
      <c r="D24" s="19">
        <v>0</v>
      </c>
      <c r="E24" s="66">
        <f t="shared" si="33"/>
        <v>0</v>
      </c>
      <c r="F24" s="67">
        <f>IF(E24&gt;0,E24-(C15+C14+2*1.5+IF(C13="single",1.5,3))/12-_xlfn.XLOOKUP(E24,E20:E23,E20:E23,,-1),0)</f>
        <v>0</v>
      </c>
      <c r="H24" s="19">
        <v>0</v>
      </c>
      <c r="I24" s="64" t="s">
        <v>196</v>
      </c>
      <c r="J24" s="19">
        <v>0</v>
      </c>
      <c r="K24" s="19">
        <v>0</v>
      </c>
      <c r="L24" s="19">
        <v>0</v>
      </c>
      <c r="M24" s="19">
        <v>0</v>
      </c>
      <c r="P24" s="93"/>
      <c r="Q24" t="s">
        <v>453</v>
      </c>
      <c r="R24" s="19">
        <f>$H$24</f>
        <v>0</v>
      </c>
      <c r="S24">
        <f t="shared" si="8"/>
        <v>0</v>
      </c>
      <c r="T24">
        <f t="shared" si="9"/>
        <v>0</v>
      </c>
      <c r="U24">
        <f t="shared" si="34"/>
        <v>0</v>
      </c>
      <c r="V24" s="19">
        <v>0</v>
      </c>
      <c r="W24">
        <f t="shared" si="10"/>
        <v>0</v>
      </c>
      <c r="X24">
        <f t="shared" si="11"/>
        <v>0</v>
      </c>
      <c r="Y24">
        <f t="shared" si="12"/>
        <v>0</v>
      </c>
      <c r="Z24" s="19">
        <f>$H$24</f>
        <v>0</v>
      </c>
      <c r="AA24">
        <f t="shared" si="13"/>
        <v>0</v>
      </c>
      <c r="AB24">
        <f t="shared" si="14"/>
        <v>0</v>
      </c>
      <c r="AC24">
        <f t="shared" si="0"/>
        <v>0</v>
      </c>
      <c r="AD24" s="19">
        <v>0</v>
      </c>
      <c r="AE24">
        <f t="shared" si="15"/>
        <v>0</v>
      </c>
      <c r="AF24">
        <f t="shared" si="16"/>
        <v>0</v>
      </c>
      <c r="AG24">
        <f t="shared" si="17"/>
        <v>0</v>
      </c>
      <c r="AH24" s="19">
        <v>0</v>
      </c>
      <c r="AI24" s="19">
        <v>0</v>
      </c>
      <c r="AJ24" s="17">
        <f t="shared" si="35"/>
        <v>0</v>
      </c>
      <c r="AK24" s="17">
        <f>AK25+IF(AJ24=0,0,AJ24)</f>
        <v>6423.5</v>
      </c>
      <c r="AL24" s="17">
        <f t="shared" si="18"/>
        <v>0</v>
      </c>
      <c r="AM24" s="17">
        <f>AM25+AL24</f>
        <v>3854.1</v>
      </c>
      <c r="AN24" s="17">
        <f t="shared" si="20"/>
        <v>0</v>
      </c>
      <c r="AO24" s="17">
        <f>AN24+AO25</f>
        <v>274.04999999999995</v>
      </c>
      <c r="AP24" s="17">
        <f t="shared" si="21"/>
        <v>0</v>
      </c>
      <c r="AQ24" s="17">
        <f>AP24+AQ25</f>
        <v>191.83499999999995</v>
      </c>
      <c r="AR24" s="100"/>
      <c r="AS24" s="93"/>
      <c r="AT24" t="s">
        <v>453</v>
      </c>
      <c r="AU24" s="19">
        <f>$H$24</f>
        <v>0</v>
      </c>
      <c r="AV24">
        <f t="shared" si="22"/>
        <v>0</v>
      </c>
      <c r="AW24">
        <f t="shared" si="2"/>
        <v>0</v>
      </c>
      <c r="AX24">
        <f t="shared" si="36"/>
        <v>0</v>
      </c>
      <c r="AY24" s="19">
        <v>0</v>
      </c>
      <c r="AZ24">
        <f t="shared" si="23"/>
        <v>0</v>
      </c>
      <c r="BA24">
        <f t="shared" si="3"/>
        <v>0</v>
      </c>
      <c r="BB24">
        <f t="shared" si="24"/>
        <v>0</v>
      </c>
      <c r="BC24" s="19">
        <f>$H$24</f>
        <v>0</v>
      </c>
      <c r="BD24">
        <f t="shared" si="25"/>
        <v>0</v>
      </c>
      <c r="BE24">
        <f t="shared" si="4"/>
        <v>0</v>
      </c>
      <c r="BF24">
        <f t="shared" si="5"/>
        <v>0</v>
      </c>
      <c r="BG24" s="19">
        <v>0</v>
      </c>
      <c r="BH24">
        <f t="shared" si="26"/>
        <v>0</v>
      </c>
      <c r="BI24">
        <f t="shared" si="6"/>
        <v>0</v>
      </c>
      <c r="BJ24">
        <f t="shared" si="27"/>
        <v>0</v>
      </c>
      <c r="BK24" s="19">
        <v>0</v>
      </c>
      <c r="BL24" s="19">
        <v>0</v>
      </c>
      <c r="BM24" s="17">
        <f t="shared" si="37"/>
        <v>0</v>
      </c>
      <c r="BN24" s="17">
        <f>BN25+IF(BM24=0,0,BM24)</f>
        <v>5980.5</v>
      </c>
      <c r="BO24" s="17">
        <f t="shared" ref="BO24:BO25" si="38">BM24*0.6</f>
        <v>0</v>
      </c>
      <c r="BP24" s="17">
        <f>BP25+BO24</f>
        <v>3588.2999999999997</v>
      </c>
      <c r="BQ24" s="17">
        <f t="shared" si="30"/>
        <v>0</v>
      </c>
      <c r="BR24" s="17">
        <f>BQ24+BR25</f>
        <v>255.14999999999998</v>
      </c>
      <c r="BS24" s="17">
        <f t="shared" si="31"/>
        <v>0</v>
      </c>
      <c r="BT24" s="17">
        <f>BS24+BT25</f>
        <v>178.60499999999996</v>
      </c>
      <c r="BU24" s="100"/>
    </row>
    <row r="25" spans="2:73" x14ac:dyDescent="0.25">
      <c r="B25" t="s">
        <v>275</v>
      </c>
      <c r="C25" s="19">
        <f>(33+32)/2</f>
        <v>32.5</v>
      </c>
      <c r="D25" s="19">
        <f>(10.5+5.625)/2</f>
        <v>8.0625</v>
      </c>
      <c r="E25" s="68">
        <f t="shared" si="33"/>
        <v>33.171875</v>
      </c>
      <c r="F25" s="69">
        <f>E25-(C17+C16+2*1.5+IF(C13="single",1.5,3))/12-_xlfn.XLOOKUP(E25,E20:E24,E20:E24,,-1)</f>
        <v>8.6770833333333321</v>
      </c>
      <c r="H25" s="19">
        <v>443</v>
      </c>
      <c r="I25" s="64" t="s">
        <v>196</v>
      </c>
      <c r="J25" s="19">
        <v>18.899999999999999</v>
      </c>
      <c r="K25" s="19">
        <v>36.6</v>
      </c>
      <c r="L25" s="19">
        <v>10.8</v>
      </c>
      <c r="M25" s="19">
        <v>66.7</v>
      </c>
      <c r="P25" s="93"/>
      <c r="Q25" t="s">
        <v>275</v>
      </c>
      <c r="R25" s="19">
        <f>$H$25</f>
        <v>443</v>
      </c>
      <c r="S25">
        <f t="shared" si="8"/>
        <v>265.8</v>
      </c>
      <c r="T25">
        <f t="shared" si="9"/>
        <v>0</v>
      </c>
      <c r="U25">
        <f t="shared" si="34"/>
        <v>0</v>
      </c>
      <c r="V25" s="19">
        <v>18.899999999999999</v>
      </c>
      <c r="W25">
        <f t="shared" si="10"/>
        <v>13.229999999999999</v>
      </c>
      <c r="X25">
        <f t="shared" si="11"/>
        <v>0</v>
      </c>
      <c r="Y25">
        <f t="shared" si="12"/>
        <v>0</v>
      </c>
      <c r="Z25" s="19">
        <f>$H$25</f>
        <v>443</v>
      </c>
      <c r="AA25">
        <f t="shared" si="13"/>
        <v>265.8</v>
      </c>
      <c r="AB25">
        <f t="shared" si="14"/>
        <v>6423.5</v>
      </c>
      <c r="AC25">
        <f t="shared" si="0"/>
        <v>3854.1</v>
      </c>
      <c r="AD25" s="19">
        <v>18.899999999999999</v>
      </c>
      <c r="AE25">
        <f t="shared" si="15"/>
        <v>13.229999999999999</v>
      </c>
      <c r="AF25">
        <f t="shared" si="16"/>
        <v>274.04999999999995</v>
      </c>
      <c r="AG25">
        <f t="shared" si="17"/>
        <v>191.83499999999995</v>
      </c>
      <c r="AH25" s="19">
        <v>0</v>
      </c>
      <c r="AI25" s="19">
        <v>0</v>
      </c>
      <c r="AJ25" s="17">
        <f>T25+AB25+AH25</f>
        <v>6423.5</v>
      </c>
      <c r="AK25" s="17">
        <f>AJ25</f>
        <v>6423.5</v>
      </c>
      <c r="AL25" s="17">
        <f t="shared" si="18"/>
        <v>3854.1</v>
      </c>
      <c r="AM25" s="17">
        <f>AL25</f>
        <v>3854.1</v>
      </c>
      <c r="AN25" s="17">
        <f>X25+AF25+AI25</f>
        <v>274.04999999999995</v>
      </c>
      <c r="AO25" s="17">
        <f>AN25</f>
        <v>274.04999999999995</v>
      </c>
      <c r="AP25" s="17">
        <f>AN25*0.7</f>
        <v>191.83499999999995</v>
      </c>
      <c r="AQ25" s="17">
        <f>AP25</f>
        <v>191.83499999999995</v>
      </c>
      <c r="AR25" s="100"/>
      <c r="AS25" s="93"/>
      <c r="AT25" t="s">
        <v>275</v>
      </c>
      <c r="AU25" s="19">
        <f>$H$25</f>
        <v>443</v>
      </c>
      <c r="AV25">
        <f t="shared" si="22"/>
        <v>265.8</v>
      </c>
      <c r="AW25">
        <f t="shared" si="2"/>
        <v>0</v>
      </c>
      <c r="AX25">
        <f t="shared" si="36"/>
        <v>0</v>
      </c>
      <c r="AY25" s="19">
        <v>18.899999999999999</v>
      </c>
      <c r="AZ25">
        <f t="shared" si="23"/>
        <v>13.229999999999999</v>
      </c>
      <c r="BA25">
        <f t="shared" si="3"/>
        <v>0</v>
      </c>
      <c r="BB25">
        <f t="shared" si="24"/>
        <v>0</v>
      </c>
      <c r="BC25" s="19">
        <f>$H$25</f>
        <v>443</v>
      </c>
      <c r="BD25">
        <f t="shared" si="25"/>
        <v>265.8</v>
      </c>
      <c r="BE25">
        <f t="shared" si="4"/>
        <v>5980.5</v>
      </c>
      <c r="BF25">
        <f t="shared" si="5"/>
        <v>3588.2999999999997</v>
      </c>
      <c r="BG25" s="19">
        <v>18.899999999999999</v>
      </c>
      <c r="BH25">
        <f t="shared" si="26"/>
        <v>13.229999999999999</v>
      </c>
      <c r="BI25">
        <f t="shared" si="6"/>
        <v>255.14999999999998</v>
      </c>
      <c r="BJ25">
        <f t="shared" si="27"/>
        <v>178.60499999999996</v>
      </c>
      <c r="BK25" s="19">
        <v>0</v>
      </c>
      <c r="BL25" s="19">
        <v>0</v>
      </c>
      <c r="BM25" s="17">
        <f>AW25+BE25+BK25</f>
        <v>5980.5</v>
      </c>
      <c r="BN25" s="17">
        <f>BM25</f>
        <v>5980.5</v>
      </c>
      <c r="BO25" s="17">
        <f t="shared" si="38"/>
        <v>3588.2999999999997</v>
      </c>
      <c r="BP25" s="17">
        <f>BO25</f>
        <v>3588.2999999999997</v>
      </c>
      <c r="BQ25" s="17">
        <f>BA25+BI25+BL25</f>
        <v>255.14999999999998</v>
      </c>
      <c r="BR25" s="17">
        <f>BQ25</f>
        <v>255.14999999999998</v>
      </c>
      <c r="BS25" s="17">
        <f>BQ25*0.7</f>
        <v>178.60499999999996</v>
      </c>
      <c r="BT25" s="17">
        <f>BS25</f>
        <v>178.60499999999996</v>
      </c>
      <c r="BU25" s="100"/>
    </row>
    <row r="26" spans="2:73" x14ac:dyDescent="0.25">
      <c r="B26" t="s">
        <v>530</v>
      </c>
      <c r="E26" s="73"/>
      <c r="F26" s="73"/>
      <c r="H26" s="19">
        <v>-22.9</v>
      </c>
      <c r="I26" s="64" t="s">
        <v>270</v>
      </c>
      <c r="P26" s="93"/>
      <c r="R26" s="19">
        <f>$H$26</f>
        <v>-22.9</v>
      </c>
      <c r="S26">
        <f t="shared" si="8"/>
        <v>-13.739999999999998</v>
      </c>
      <c r="T26">
        <f>$I$42/2*R26</f>
        <v>0</v>
      </c>
      <c r="U26">
        <f t="shared" si="34"/>
        <v>0</v>
      </c>
      <c r="Z26" s="19">
        <f>$H$26</f>
        <v>-22.9</v>
      </c>
      <c r="AA26">
        <f>Z26*0.6</f>
        <v>-13.739999999999998</v>
      </c>
      <c r="AB26">
        <f>$J$42/2*Z26</f>
        <v>-309.14999999999998</v>
      </c>
      <c r="AC26">
        <f t="shared" si="0"/>
        <v>-185.48999999999998</v>
      </c>
      <c r="AR26" s="100"/>
      <c r="AS26" s="93"/>
      <c r="AU26" s="19">
        <f>$H$26</f>
        <v>-22.9</v>
      </c>
      <c r="AV26">
        <f t="shared" si="22"/>
        <v>-13.739999999999998</v>
      </c>
      <c r="AW26">
        <f t="shared" si="2"/>
        <v>0</v>
      </c>
      <c r="AX26">
        <f t="shared" si="36"/>
        <v>0</v>
      </c>
      <c r="BC26" s="19">
        <f>$H$26</f>
        <v>-22.9</v>
      </c>
      <c r="BD26">
        <f>BC26*0.6</f>
        <v>-13.739999999999998</v>
      </c>
      <c r="BE26">
        <f t="shared" si="4"/>
        <v>-309.14999999999998</v>
      </c>
      <c r="BF26">
        <f t="shared" si="5"/>
        <v>-185.48999999999998</v>
      </c>
      <c r="BU26" s="100"/>
    </row>
    <row r="27" spans="2:73" x14ac:dyDescent="0.25">
      <c r="B27" t="s">
        <v>531</v>
      </c>
      <c r="C27" s="1" t="s">
        <v>533</v>
      </c>
      <c r="D27" s="19">
        <v>0.18</v>
      </c>
      <c r="E27" s="73"/>
      <c r="F27" s="73"/>
      <c r="H27">
        <f>0.2*D27</f>
        <v>3.5999999999999997E-2</v>
      </c>
      <c r="I27" s="64" t="s">
        <v>534</v>
      </c>
      <c r="P27" s="93"/>
      <c r="Q27" s="1"/>
      <c r="AR27" s="100"/>
      <c r="AS27" s="93"/>
      <c r="AT27" s="1"/>
      <c r="BU27" s="100"/>
    </row>
    <row r="28" spans="2:73" x14ac:dyDescent="0.25">
      <c r="P28" s="93"/>
      <c r="Y28" s="112" t="s">
        <v>752</v>
      </c>
      <c r="Z28" s="112"/>
      <c r="AA28" s="112"/>
      <c r="AB28" s="112"/>
      <c r="AC28" s="112"/>
      <c r="AR28" s="100"/>
      <c r="AS28" s="93"/>
      <c r="BB28" s="112" t="s">
        <v>752</v>
      </c>
      <c r="BC28" s="112"/>
      <c r="BD28" s="112"/>
      <c r="BE28" s="112"/>
      <c r="BF28" s="112"/>
      <c r="BU28" s="100"/>
    </row>
    <row r="29" spans="2:73" x14ac:dyDescent="0.25">
      <c r="B29" t="s">
        <v>513</v>
      </c>
      <c r="P29" s="93"/>
      <c r="Q29" t="s">
        <v>479</v>
      </c>
      <c r="R29" t="s">
        <v>491</v>
      </c>
      <c r="S29" t="s">
        <v>508</v>
      </c>
      <c r="T29" t="s">
        <v>507</v>
      </c>
      <c r="U29" t="s">
        <v>535</v>
      </c>
      <c r="V29" t="s">
        <v>536</v>
      </c>
      <c r="W29" t="s">
        <v>479</v>
      </c>
      <c r="X29" t="s">
        <v>537</v>
      </c>
      <c r="Y29" t="s">
        <v>450</v>
      </c>
      <c r="Z29" t="s">
        <v>451</v>
      </c>
      <c r="AA29" t="s">
        <v>452</v>
      </c>
      <c r="AB29" t="s">
        <v>453</v>
      </c>
      <c r="AC29" t="s">
        <v>753</v>
      </c>
      <c r="AD29" t="s">
        <v>519</v>
      </c>
      <c r="AR29" s="100"/>
      <c r="AS29" s="93"/>
      <c r="AT29" t="s">
        <v>479</v>
      </c>
      <c r="AU29" t="s">
        <v>491</v>
      </c>
      <c r="AV29" t="s">
        <v>508</v>
      </c>
      <c r="AW29" t="s">
        <v>507</v>
      </c>
      <c r="AX29" t="s">
        <v>535</v>
      </c>
      <c r="AY29" t="s">
        <v>536</v>
      </c>
      <c r="AZ29" t="s">
        <v>479</v>
      </c>
      <c r="BA29" t="s">
        <v>537</v>
      </c>
      <c r="BB29" t="s">
        <v>450</v>
      </c>
      <c r="BC29" t="s">
        <v>451</v>
      </c>
      <c r="BD29" t="s">
        <v>452</v>
      </c>
      <c r="BE29" t="s">
        <v>453</v>
      </c>
      <c r="BF29" t="s">
        <v>753</v>
      </c>
      <c r="BG29" t="s">
        <v>519</v>
      </c>
      <c r="BU29" s="100"/>
    </row>
    <row r="30" spans="2:73" x14ac:dyDescent="0.25">
      <c r="B30" s="1" t="s">
        <v>275</v>
      </c>
      <c r="C30" s="19">
        <v>20</v>
      </c>
      <c r="D30" t="s">
        <v>567</v>
      </c>
      <c r="P30" s="93"/>
      <c r="Q30" s="109" t="str">
        <f>R16&amp;".01"</f>
        <v>A.01</v>
      </c>
      <c r="R30" s="19">
        <v>29</v>
      </c>
      <c r="S30" s="19">
        <v>12</v>
      </c>
      <c r="T30">
        <f>S30/2</f>
        <v>6</v>
      </c>
      <c r="U30" s="19">
        <v>4</v>
      </c>
      <c r="V30">
        <f>U30/2</f>
        <v>2</v>
      </c>
      <c r="W30" s="19" t="s">
        <v>515</v>
      </c>
      <c r="X30" s="19">
        <v>6</v>
      </c>
      <c r="Y30" s="19"/>
      <c r="Z30" s="19"/>
      <c r="AA30" s="19"/>
      <c r="AB30" s="19"/>
      <c r="AC30" s="19"/>
      <c r="AD30" s="108">
        <f>R30/R46</f>
        <v>1</v>
      </c>
      <c r="AR30" s="100"/>
      <c r="AS30" s="93"/>
      <c r="AT30" s="109" t="str">
        <f>AU$16&amp;".01"</f>
        <v>1.01</v>
      </c>
      <c r="AU30" s="19">
        <v>29</v>
      </c>
      <c r="AV30" s="19">
        <v>12</v>
      </c>
      <c r="AW30">
        <f>AV30/2</f>
        <v>6</v>
      </c>
      <c r="AX30" s="19">
        <v>4</v>
      </c>
      <c r="AY30">
        <f>AX30/2</f>
        <v>2</v>
      </c>
      <c r="AZ30" s="19" t="s">
        <v>515</v>
      </c>
      <c r="BA30" s="19">
        <v>6</v>
      </c>
      <c r="BB30" s="19"/>
      <c r="BC30" s="19"/>
      <c r="BD30" s="19"/>
      <c r="BE30" s="19"/>
      <c r="BF30" s="19"/>
      <c r="BG30" s="108">
        <f>AU30/AU46</f>
        <v>1</v>
      </c>
      <c r="BU30" s="100"/>
    </row>
    <row r="31" spans="2:73" x14ac:dyDescent="0.25">
      <c r="B31" s="1"/>
      <c r="C31">
        <f>0.9*C30</f>
        <v>18</v>
      </c>
      <c r="D31" t="s">
        <v>532</v>
      </c>
      <c r="P31" s="93"/>
      <c r="Q31" s="109" t="str">
        <f>R16&amp;".02"</f>
        <v>A.02</v>
      </c>
      <c r="R31" s="19"/>
      <c r="S31" s="19"/>
      <c r="T31">
        <f t="shared" ref="T31:T45" si="39">S31/2</f>
        <v>0</v>
      </c>
      <c r="U31" s="19"/>
      <c r="V31">
        <f t="shared" ref="V31:V45" si="40">U31/2</f>
        <v>0</v>
      </c>
      <c r="W31" s="19"/>
      <c r="X31" s="19"/>
      <c r="Y31" s="19"/>
      <c r="Z31" s="19"/>
      <c r="AA31" s="19"/>
      <c r="AB31" s="19"/>
      <c r="AC31" s="19"/>
      <c r="AR31" s="100"/>
      <c r="AS31" s="93"/>
      <c r="AT31" s="109" t="str">
        <f>AU$16&amp;".02"</f>
        <v>1.02</v>
      </c>
      <c r="AU31" s="19"/>
      <c r="AV31" s="19"/>
      <c r="AW31">
        <f t="shared" ref="AW31:AW45" si="41">AV31/2</f>
        <v>0</v>
      </c>
      <c r="AX31" s="19"/>
      <c r="AY31">
        <f t="shared" ref="AY31:AY45" si="42">AX31/2</f>
        <v>0</v>
      </c>
      <c r="AZ31" s="19"/>
      <c r="BA31" s="19"/>
      <c r="BB31" s="19"/>
      <c r="BC31" s="19"/>
      <c r="BD31" s="19"/>
      <c r="BE31" s="19"/>
      <c r="BF31" s="19"/>
      <c r="BU31" s="100"/>
    </row>
    <row r="32" spans="2:73" x14ac:dyDescent="0.25">
      <c r="B32" s="1" t="s">
        <v>514</v>
      </c>
      <c r="C32" s="19">
        <v>26</v>
      </c>
      <c r="D32" t="s">
        <v>512</v>
      </c>
      <c r="P32" s="93"/>
      <c r="Q32" s="109" t="str">
        <f>R16&amp;".03"</f>
        <v>A.03</v>
      </c>
      <c r="R32" s="19"/>
      <c r="S32" s="19"/>
      <c r="T32">
        <f t="shared" si="39"/>
        <v>0</v>
      </c>
      <c r="U32" s="19"/>
      <c r="V32">
        <f t="shared" si="40"/>
        <v>0</v>
      </c>
      <c r="W32" s="19"/>
      <c r="X32" s="19"/>
      <c r="Y32" s="19"/>
      <c r="Z32" s="19"/>
      <c r="AA32" s="19"/>
      <c r="AB32" s="19"/>
      <c r="AC32" s="19"/>
      <c r="AR32" s="100"/>
      <c r="AS32" s="93"/>
      <c r="AT32" s="109" t="str">
        <f>AU$16&amp;".03"</f>
        <v>1.03</v>
      </c>
      <c r="AU32" s="19"/>
      <c r="AV32" s="19"/>
      <c r="AW32">
        <f t="shared" si="41"/>
        <v>0</v>
      </c>
      <c r="AX32" s="19"/>
      <c r="AY32">
        <f t="shared" si="42"/>
        <v>0</v>
      </c>
      <c r="AZ32" s="19"/>
      <c r="BA32" s="19"/>
      <c r="BB32" s="19"/>
      <c r="BC32" s="19"/>
      <c r="BD32" s="19"/>
      <c r="BE32" s="19"/>
      <c r="BF32" s="19"/>
      <c r="BU32" s="100"/>
    </row>
    <row r="33" spans="2:73" x14ac:dyDescent="0.25">
      <c r="B33" s="1" t="s">
        <v>477</v>
      </c>
      <c r="C33" s="19">
        <v>11</v>
      </c>
      <c r="D33" t="s">
        <v>509</v>
      </c>
      <c r="P33" s="93"/>
      <c r="Q33" s="109" t="str">
        <f>R16&amp;".04"</f>
        <v>A.04</v>
      </c>
      <c r="R33" s="19"/>
      <c r="S33" s="19"/>
      <c r="T33">
        <f t="shared" si="39"/>
        <v>0</v>
      </c>
      <c r="U33" s="19"/>
      <c r="V33">
        <f t="shared" si="40"/>
        <v>0</v>
      </c>
      <c r="W33" s="19"/>
      <c r="X33" s="19"/>
      <c r="Y33" s="19"/>
      <c r="Z33" s="19"/>
      <c r="AA33" s="19"/>
      <c r="AB33" s="19"/>
      <c r="AC33" s="19"/>
      <c r="AR33" s="100"/>
      <c r="AS33" s="93"/>
      <c r="AT33" s="109" t="str">
        <f>AU$16&amp;".04"</f>
        <v>1.04</v>
      </c>
      <c r="AU33" s="19"/>
      <c r="AV33" s="19"/>
      <c r="AW33">
        <f t="shared" si="41"/>
        <v>0</v>
      </c>
      <c r="AX33" s="19"/>
      <c r="AY33">
        <f t="shared" si="42"/>
        <v>0</v>
      </c>
      <c r="AZ33" s="19"/>
      <c r="BA33" s="19"/>
      <c r="BB33" s="19"/>
      <c r="BC33" s="19"/>
      <c r="BD33" s="19"/>
      <c r="BE33" s="19"/>
      <c r="BF33" s="19"/>
      <c r="BU33" s="100"/>
    </row>
    <row r="34" spans="2:73" x14ac:dyDescent="0.25">
      <c r="B34" s="1" t="s">
        <v>478</v>
      </c>
      <c r="C34" s="19">
        <v>13</v>
      </c>
      <c r="D34" t="s">
        <v>510</v>
      </c>
      <c r="P34" s="93"/>
      <c r="Q34" s="109" t="str">
        <f>R16&amp;".05"</f>
        <v>A.05</v>
      </c>
      <c r="R34" s="19"/>
      <c r="S34" s="19"/>
      <c r="T34">
        <f t="shared" si="39"/>
        <v>0</v>
      </c>
      <c r="U34" s="19"/>
      <c r="V34">
        <f t="shared" si="40"/>
        <v>0</v>
      </c>
      <c r="W34" s="19"/>
      <c r="X34" s="19"/>
      <c r="Y34" s="19"/>
      <c r="Z34" s="19"/>
      <c r="AA34" s="19"/>
      <c r="AB34" s="19"/>
      <c r="AC34" s="19"/>
      <c r="AR34" s="100"/>
      <c r="AS34" s="93"/>
      <c r="AT34" s="109" t="str">
        <f>AU$16&amp;".05"</f>
        <v>1.05</v>
      </c>
      <c r="AU34" s="19"/>
      <c r="AV34" s="19"/>
      <c r="AW34">
        <f t="shared" si="41"/>
        <v>0</v>
      </c>
      <c r="AX34" s="19"/>
      <c r="AY34">
        <f t="shared" si="42"/>
        <v>0</v>
      </c>
      <c r="AZ34" s="19"/>
      <c r="BA34" s="19"/>
      <c r="BB34" s="19"/>
      <c r="BC34" s="19"/>
      <c r="BD34" s="19"/>
      <c r="BE34" s="19"/>
      <c r="BF34" s="19"/>
      <c r="BU34" s="100"/>
    </row>
    <row r="35" spans="2:73" x14ac:dyDescent="0.25">
      <c r="B35" s="1" t="s">
        <v>515</v>
      </c>
      <c r="C35" s="19">
        <v>18</v>
      </c>
      <c r="D35" t="s">
        <v>511</v>
      </c>
      <c r="P35" s="93"/>
      <c r="Q35" s="109" t="str">
        <f>R16&amp;".06"</f>
        <v>A.06</v>
      </c>
      <c r="R35" s="19"/>
      <c r="S35" s="19"/>
      <c r="T35">
        <f t="shared" si="39"/>
        <v>0</v>
      </c>
      <c r="U35" s="19"/>
      <c r="V35">
        <f t="shared" si="40"/>
        <v>0</v>
      </c>
      <c r="W35" s="19"/>
      <c r="X35" s="19"/>
      <c r="Y35" s="19"/>
      <c r="Z35" s="19"/>
      <c r="AA35" s="19"/>
      <c r="AB35" s="19"/>
      <c r="AC35" s="19"/>
      <c r="AR35" s="100"/>
      <c r="AS35" s="93"/>
      <c r="AT35" s="109" t="str">
        <f>AU$16&amp;".06"</f>
        <v>1.06</v>
      </c>
      <c r="AU35" s="19"/>
      <c r="AV35" s="19"/>
      <c r="AW35">
        <f t="shared" si="41"/>
        <v>0</v>
      </c>
      <c r="AX35" s="19"/>
      <c r="AY35">
        <f t="shared" si="42"/>
        <v>0</v>
      </c>
      <c r="AZ35" s="19"/>
      <c r="BA35" s="19"/>
      <c r="BB35" s="19"/>
      <c r="BC35" s="19"/>
      <c r="BD35" s="19"/>
      <c r="BE35" s="19"/>
      <c r="BF35" s="19"/>
      <c r="BU35" s="100"/>
    </row>
    <row r="36" spans="2:73" x14ac:dyDescent="0.25">
      <c r="B36" s="1" t="s">
        <v>516</v>
      </c>
      <c r="P36" s="93"/>
      <c r="Q36" s="109" t="str">
        <f>R16&amp;".07"</f>
        <v>A.07</v>
      </c>
      <c r="R36" s="19"/>
      <c r="S36" s="19"/>
      <c r="T36">
        <f t="shared" si="39"/>
        <v>0</v>
      </c>
      <c r="U36" s="19"/>
      <c r="V36">
        <f t="shared" si="40"/>
        <v>0</v>
      </c>
      <c r="W36" s="19"/>
      <c r="X36" s="19"/>
      <c r="Y36" s="19"/>
      <c r="Z36" s="19"/>
      <c r="AA36" s="19"/>
      <c r="AB36" s="19"/>
      <c r="AC36" s="19"/>
      <c r="AF36" s="109"/>
      <c r="AR36" s="100"/>
      <c r="AS36" s="93"/>
      <c r="AT36" s="109" t="str">
        <f>AU$16&amp;".07"</f>
        <v>1.07</v>
      </c>
      <c r="AU36" s="19"/>
      <c r="AV36" s="19"/>
      <c r="AW36">
        <f t="shared" si="41"/>
        <v>0</v>
      </c>
      <c r="AX36" s="19"/>
      <c r="AY36">
        <f t="shared" si="42"/>
        <v>0</v>
      </c>
      <c r="AZ36" s="19"/>
      <c r="BA36" s="19"/>
      <c r="BB36" s="19"/>
      <c r="BC36" s="19"/>
      <c r="BD36" s="19"/>
      <c r="BE36" s="19"/>
      <c r="BF36" s="19"/>
      <c r="BI36" s="109"/>
      <c r="BU36" s="100"/>
    </row>
    <row r="37" spans="2:73" x14ac:dyDescent="0.25">
      <c r="B37" s="1" t="s">
        <v>517</v>
      </c>
      <c r="P37" s="93"/>
      <c r="Q37" s="109" t="str">
        <f>R16&amp;".08"</f>
        <v>A.08</v>
      </c>
      <c r="R37" s="19"/>
      <c r="S37" s="19"/>
      <c r="T37">
        <f t="shared" si="39"/>
        <v>0</v>
      </c>
      <c r="U37" s="19"/>
      <c r="V37">
        <f t="shared" si="40"/>
        <v>0</v>
      </c>
      <c r="W37" s="19"/>
      <c r="X37" s="19"/>
      <c r="Y37" s="19"/>
      <c r="Z37" s="19"/>
      <c r="AA37" s="19"/>
      <c r="AB37" s="19"/>
      <c r="AC37" s="19"/>
      <c r="AF37" s="109"/>
      <c r="AR37" s="100"/>
      <c r="AS37" s="93"/>
      <c r="AT37" s="109" t="str">
        <f>AU$16&amp;".08"</f>
        <v>1.08</v>
      </c>
      <c r="AU37" s="19"/>
      <c r="AV37" s="19"/>
      <c r="AW37">
        <f t="shared" si="41"/>
        <v>0</v>
      </c>
      <c r="AX37" s="19"/>
      <c r="AY37">
        <f t="shared" si="42"/>
        <v>0</v>
      </c>
      <c r="AZ37" s="19"/>
      <c r="BA37" s="19"/>
      <c r="BB37" s="19"/>
      <c r="BC37" s="19"/>
      <c r="BD37" s="19"/>
      <c r="BE37" s="19"/>
      <c r="BF37" s="19"/>
      <c r="BI37" s="109"/>
      <c r="BU37" s="100"/>
    </row>
    <row r="38" spans="2:73" x14ac:dyDescent="0.25">
      <c r="B38" s="1" t="s">
        <v>518</v>
      </c>
      <c r="P38" s="93"/>
      <c r="Q38" s="109" t="str">
        <f>R16&amp;".09"</f>
        <v>A.09</v>
      </c>
      <c r="R38" s="19"/>
      <c r="S38" s="19"/>
      <c r="T38">
        <f t="shared" si="39"/>
        <v>0</v>
      </c>
      <c r="U38" s="19"/>
      <c r="V38">
        <f t="shared" si="40"/>
        <v>0</v>
      </c>
      <c r="W38" s="19"/>
      <c r="X38" s="19"/>
      <c r="Y38" s="19"/>
      <c r="Z38" s="19"/>
      <c r="AA38" s="19"/>
      <c r="AB38" s="19"/>
      <c r="AC38" s="19"/>
      <c r="AF38" s="109"/>
      <c r="AR38" s="100"/>
      <c r="AS38" s="93"/>
      <c r="AT38" s="109" t="str">
        <f>AU$16&amp;".09"</f>
        <v>1.09</v>
      </c>
      <c r="AU38" s="19"/>
      <c r="AV38" s="19"/>
      <c r="AW38">
        <f t="shared" si="41"/>
        <v>0</v>
      </c>
      <c r="AX38" s="19"/>
      <c r="AY38">
        <f t="shared" si="42"/>
        <v>0</v>
      </c>
      <c r="AZ38" s="19"/>
      <c r="BA38" s="19"/>
      <c r="BB38" s="19"/>
      <c r="BC38" s="19"/>
      <c r="BD38" s="19"/>
      <c r="BE38" s="19"/>
      <c r="BF38" s="19"/>
      <c r="BI38" s="109"/>
      <c r="BU38" s="100"/>
    </row>
    <row r="39" spans="2:73" x14ac:dyDescent="0.25">
      <c r="P39" s="93"/>
      <c r="Q39" s="109" t="str">
        <f>R16&amp;".10"</f>
        <v>A.10</v>
      </c>
      <c r="R39" s="19"/>
      <c r="S39" s="19"/>
      <c r="T39">
        <f t="shared" si="39"/>
        <v>0</v>
      </c>
      <c r="U39" s="19"/>
      <c r="V39">
        <f t="shared" si="40"/>
        <v>0</v>
      </c>
      <c r="W39" s="19"/>
      <c r="X39" s="19"/>
      <c r="Y39" s="19"/>
      <c r="Z39" s="19"/>
      <c r="AA39" s="19"/>
      <c r="AB39" s="19"/>
      <c r="AC39" s="19"/>
      <c r="AF39" s="109"/>
      <c r="AR39" s="100"/>
      <c r="AS39" s="93"/>
      <c r="AT39" s="109" t="str">
        <f>AU$16&amp;".10"</f>
        <v>1.10</v>
      </c>
      <c r="AU39" s="19"/>
      <c r="AV39" s="19"/>
      <c r="AW39">
        <f t="shared" si="41"/>
        <v>0</v>
      </c>
      <c r="AX39" s="19"/>
      <c r="AY39">
        <f t="shared" si="42"/>
        <v>0</v>
      </c>
      <c r="AZ39" s="19"/>
      <c r="BA39" s="19"/>
      <c r="BB39" s="19"/>
      <c r="BC39" s="19"/>
      <c r="BD39" s="19"/>
      <c r="BE39" s="19"/>
      <c r="BF39" s="19"/>
      <c r="BI39" s="109"/>
      <c r="BU39" s="100"/>
    </row>
    <row r="40" spans="2:73" x14ac:dyDescent="0.25">
      <c r="C40" s="112" t="s">
        <v>495</v>
      </c>
      <c r="D40" s="112"/>
      <c r="E40" s="112"/>
      <c r="I40" s="112" t="s">
        <v>495</v>
      </c>
      <c r="J40" s="112"/>
      <c r="K40" s="112"/>
      <c r="P40" s="93"/>
      <c r="Q40" s="109" t="str">
        <f>R16&amp;".11"</f>
        <v>A.11</v>
      </c>
      <c r="R40" s="19"/>
      <c r="S40" s="19"/>
      <c r="T40">
        <f t="shared" si="39"/>
        <v>0</v>
      </c>
      <c r="U40" s="19"/>
      <c r="V40">
        <f t="shared" si="40"/>
        <v>0</v>
      </c>
      <c r="W40" s="19"/>
      <c r="X40" s="19"/>
      <c r="Y40" s="19"/>
      <c r="Z40" s="19"/>
      <c r="AA40" s="19"/>
      <c r="AB40" s="19"/>
      <c r="AC40" s="19"/>
      <c r="AF40" s="109"/>
      <c r="AR40" s="100"/>
      <c r="AS40" s="93"/>
      <c r="AT40" s="109" t="str">
        <f>AU$16&amp;".11"</f>
        <v>1.11</v>
      </c>
      <c r="AU40" s="19"/>
      <c r="AV40" s="19"/>
      <c r="AW40">
        <f t="shared" si="41"/>
        <v>0</v>
      </c>
      <c r="AX40" s="19"/>
      <c r="AY40">
        <f t="shared" si="42"/>
        <v>0</v>
      </c>
      <c r="AZ40" s="19"/>
      <c r="BA40" s="19"/>
      <c r="BB40" s="19"/>
      <c r="BC40" s="19"/>
      <c r="BD40" s="19"/>
      <c r="BE40" s="19"/>
      <c r="BF40" s="19"/>
      <c r="BI40" s="109"/>
      <c r="BU40" s="100"/>
    </row>
    <row r="41" spans="2:73" x14ac:dyDescent="0.25">
      <c r="B41" t="s">
        <v>474</v>
      </c>
      <c r="C41" t="s">
        <v>492</v>
      </c>
      <c r="D41" t="s">
        <v>493</v>
      </c>
      <c r="E41" t="s">
        <v>494</v>
      </c>
      <c r="H41" t="s">
        <v>455</v>
      </c>
      <c r="I41" t="s">
        <v>492</v>
      </c>
      <c r="J41" t="s">
        <v>493</v>
      </c>
      <c r="K41" t="s">
        <v>494</v>
      </c>
      <c r="P41" s="93"/>
      <c r="Q41" s="109" t="str">
        <f>R16&amp;".12"</f>
        <v>A.12</v>
      </c>
      <c r="R41" s="19"/>
      <c r="S41" s="19"/>
      <c r="T41">
        <f t="shared" si="39"/>
        <v>0</v>
      </c>
      <c r="U41" s="19"/>
      <c r="V41">
        <f t="shared" si="40"/>
        <v>0</v>
      </c>
      <c r="W41" s="19"/>
      <c r="X41" s="19"/>
      <c r="Y41" s="19"/>
      <c r="Z41" s="19"/>
      <c r="AA41" s="19"/>
      <c r="AB41" s="19"/>
      <c r="AC41" s="19"/>
      <c r="AF41" s="109"/>
      <c r="AR41" s="100"/>
      <c r="AS41" s="93"/>
      <c r="AT41" s="109" t="str">
        <f>AU$16&amp;".12"</f>
        <v>1.12</v>
      </c>
      <c r="AU41" s="19"/>
      <c r="AV41" s="19"/>
      <c r="AW41">
        <f t="shared" si="41"/>
        <v>0</v>
      </c>
      <c r="AX41" s="19"/>
      <c r="AY41">
        <f t="shared" si="42"/>
        <v>0</v>
      </c>
      <c r="AZ41" s="19"/>
      <c r="BA41" s="19"/>
      <c r="BB41" s="19"/>
      <c r="BC41" s="19"/>
      <c r="BD41" s="19"/>
      <c r="BE41" s="19"/>
      <c r="BF41" s="19"/>
      <c r="BI41" s="109"/>
      <c r="BU41" s="100"/>
    </row>
    <row r="42" spans="2:73" x14ac:dyDescent="0.25">
      <c r="B42" t="s">
        <v>274</v>
      </c>
      <c r="C42" s="19">
        <v>0</v>
      </c>
      <c r="D42" s="19">
        <v>29</v>
      </c>
      <c r="E42">
        <f>C42+D42</f>
        <v>29</v>
      </c>
      <c r="H42">
        <v>1</v>
      </c>
      <c r="I42" s="19">
        <v>0</v>
      </c>
      <c r="J42" s="19">
        <v>27</v>
      </c>
      <c r="K42">
        <f>I42+J42</f>
        <v>27</v>
      </c>
      <c r="P42" s="93"/>
      <c r="Q42" s="109" t="str">
        <f>R16&amp;".13"</f>
        <v>A.13</v>
      </c>
      <c r="R42" s="19"/>
      <c r="S42" s="19"/>
      <c r="T42">
        <f t="shared" si="39"/>
        <v>0</v>
      </c>
      <c r="U42" s="19"/>
      <c r="V42">
        <f t="shared" si="40"/>
        <v>0</v>
      </c>
      <c r="W42" s="19"/>
      <c r="X42" s="19"/>
      <c r="Y42" s="19"/>
      <c r="Z42" s="19"/>
      <c r="AA42" s="19"/>
      <c r="AB42" s="19"/>
      <c r="AC42" s="19"/>
      <c r="AF42" s="109"/>
      <c r="AR42" s="100"/>
      <c r="AS42" s="93"/>
      <c r="AT42" s="109" t="str">
        <f>AU$16&amp;".13"</f>
        <v>1.13</v>
      </c>
      <c r="AU42" s="19"/>
      <c r="AV42" s="19"/>
      <c r="AW42">
        <f t="shared" si="41"/>
        <v>0</v>
      </c>
      <c r="AX42" s="19"/>
      <c r="AY42">
        <f t="shared" si="42"/>
        <v>0</v>
      </c>
      <c r="AZ42" s="19"/>
      <c r="BA42" s="19"/>
      <c r="BB42" s="19"/>
      <c r="BC42" s="19"/>
      <c r="BD42" s="19"/>
      <c r="BE42" s="19"/>
      <c r="BF42" s="19"/>
      <c r="BI42" s="109"/>
      <c r="BU42" s="100"/>
    </row>
    <row r="43" spans="2:73" x14ac:dyDescent="0.25">
      <c r="B43" t="s">
        <v>279</v>
      </c>
      <c r="C43" s="19">
        <v>29</v>
      </c>
      <c r="D43" s="19">
        <v>6</v>
      </c>
      <c r="E43">
        <f t="shared" ref="E43:E67" si="43">C43+D43</f>
        <v>35</v>
      </c>
      <c r="H43">
        <v>2</v>
      </c>
      <c r="I43" s="19">
        <v>27</v>
      </c>
      <c r="J43" s="19">
        <v>14</v>
      </c>
      <c r="K43">
        <f t="shared" ref="K43:K67" si="44">I43+J43</f>
        <v>41</v>
      </c>
      <c r="P43" s="93"/>
      <c r="Q43" s="109" t="str">
        <f>R16&amp;".14"</f>
        <v>A.14</v>
      </c>
      <c r="R43" s="19"/>
      <c r="S43" s="19"/>
      <c r="T43">
        <f t="shared" si="39"/>
        <v>0</v>
      </c>
      <c r="U43" s="19"/>
      <c r="V43">
        <f t="shared" si="40"/>
        <v>0</v>
      </c>
      <c r="W43" s="19"/>
      <c r="X43" s="19"/>
      <c r="Y43" s="19"/>
      <c r="Z43" s="19"/>
      <c r="AA43" s="19"/>
      <c r="AB43" s="19"/>
      <c r="AC43" s="19"/>
      <c r="AF43" s="109"/>
      <c r="AR43" s="100"/>
      <c r="AS43" s="93"/>
      <c r="AT43" s="109" t="str">
        <f>AU$16&amp;".14"</f>
        <v>1.14</v>
      </c>
      <c r="AU43" s="19"/>
      <c r="AV43" s="19"/>
      <c r="AW43">
        <f t="shared" si="41"/>
        <v>0</v>
      </c>
      <c r="AX43" s="19"/>
      <c r="AY43">
        <f t="shared" si="42"/>
        <v>0</v>
      </c>
      <c r="AZ43" s="19"/>
      <c r="BA43" s="19"/>
      <c r="BB43" s="19"/>
      <c r="BC43" s="19"/>
      <c r="BD43" s="19"/>
      <c r="BE43" s="19"/>
      <c r="BF43" s="19"/>
      <c r="BI43" s="109"/>
      <c r="BU43" s="100"/>
    </row>
    <row r="44" spans="2:73" x14ac:dyDescent="0.25">
      <c r="B44" t="s">
        <v>283</v>
      </c>
      <c r="C44" s="19">
        <v>6</v>
      </c>
      <c r="D44" s="19">
        <v>29</v>
      </c>
      <c r="E44">
        <f t="shared" si="43"/>
        <v>35</v>
      </c>
      <c r="H44">
        <v>3</v>
      </c>
      <c r="I44" s="19">
        <v>14</v>
      </c>
      <c r="J44" s="19">
        <v>13</v>
      </c>
      <c r="K44">
        <f t="shared" si="44"/>
        <v>27</v>
      </c>
      <c r="P44" s="93"/>
      <c r="Q44" s="109" t="str">
        <f>R16&amp;".15"</f>
        <v>A.15</v>
      </c>
      <c r="R44" s="19"/>
      <c r="S44" s="19"/>
      <c r="T44">
        <f t="shared" si="39"/>
        <v>0</v>
      </c>
      <c r="U44" s="19"/>
      <c r="V44">
        <f t="shared" si="40"/>
        <v>0</v>
      </c>
      <c r="W44" s="19"/>
      <c r="X44" s="19"/>
      <c r="Y44" s="19"/>
      <c r="Z44" s="19"/>
      <c r="AA44" s="19"/>
      <c r="AB44" s="19"/>
      <c r="AC44" s="19"/>
      <c r="AF44" s="109"/>
      <c r="AR44" s="100"/>
      <c r="AS44" s="93"/>
      <c r="AT44" s="109" t="str">
        <f>AU$16&amp;".15"</f>
        <v>1.15</v>
      </c>
      <c r="AU44" s="19"/>
      <c r="AV44" s="19"/>
      <c r="AW44">
        <f t="shared" si="41"/>
        <v>0</v>
      </c>
      <c r="AX44" s="19"/>
      <c r="AY44">
        <f t="shared" si="42"/>
        <v>0</v>
      </c>
      <c r="AZ44" s="19"/>
      <c r="BA44" s="19"/>
      <c r="BB44" s="19"/>
      <c r="BC44" s="19"/>
      <c r="BD44" s="19"/>
      <c r="BE44" s="19"/>
      <c r="BF44" s="19"/>
      <c r="BI44" s="109"/>
      <c r="BU44" s="100"/>
    </row>
    <row r="45" spans="2:73" x14ac:dyDescent="0.25">
      <c r="B45" t="s">
        <v>287</v>
      </c>
      <c r="C45" s="19">
        <v>26</v>
      </c>
      <c r="D45" s="19">
        <v>26</v>
      </c>
      <c r="E45">
        <f t="shared" si="43"/>
        <v>52</v>
      </c>
      <c r="F45" t="s">
        <v>506</v>
      </c>
      <c r="H45">
        <v>4</v>
      </c>
      <c r="I45" s="19">
        <v>13</v>
      </c>
      <c r="J45" s="19">
        <v>27</v>
      </c>
      <c r="K45">
        <f t="shared" si="44"/>
        <v>40</v>
      </c>
      <c r="P45" s="93"/>
      <c r="Q45" s="109" t="str">
        <f>R16&amp;".16"</f>
        <v>A.16</v>
      </c>
      <c r="R45" s="19"/>
      <c r="S45" s="19"/>
      <c r="T45">
        <f t="shared" si="39"/>
        <v>0</v>
      </c>
      <c r="U45" s="19"/>
      <c r="V45">
        <f t="shared" si="40"/>
        <v>0</v>
      </c>
      <c r="W45" s="19"/>
      <c r="X45" s="19"/>
      <c r="Y45" s="19"/>
      <c r="Z45" s="19"/>
      <c r="AA45" s="19"/>
      <c r="AB45" s="19"/>
      <c r="AC45" s="19"/>
      <c r="AF45" s="109"/>
      <c r="AR45" s="100"/>
      <c r="AS45" s="93"/>
      <c r="AT45" s="109" t="str">
        <f>AU$16&amp;".16"</f>
        <v>1.16</v>
      </c>
      <c r="AU45" s="19"/>
      <c r="AV45" s="19"/>
      <c r="AW45">
        <f t="shared" si="41"/>
        <v>0</v>
      </c>
      <c r="AX45" s="19"/>
      <c r="AY45">
        <f t="shared" si="42"/>
        <v>0</v>
      </c>
      <c r="AZ45" s="19"/>
      <c r="BA45" s="19"/>
      <c r="BB45" s="19"/>
      <c r="BC45" s="19"/>
      <c r="BD45" s="19"/>
      <c r="BE45" s="19"/>
      <c r="BF45" s="19"/>
      <c r="BI45" s="109"/>
      <c r="BU45" s="100"/>
    </row>
    <row r="46" spans="2:73" x14ac:dyDescent="0.25">
      <c r="B46" t="s">
        <v>288</v>
      </c>
      <c r="C46" s="19">
        <v>29</v>
      </c>
      <c r="D46" s="19">
        <v>0</v>
      </c>
      <c r="E46">
        <f t="shared" si="43"/>
        <v>29</v>
      </c>
      <c r="H46">
        <v>5</v>
      </c>
      <c r="I46" s="19">
        <v>27</v>
      </c>
      <c r="J46" s="19">
        <v>11</v>
      </c>
      <c r="K46">
        <f t="shared" si="44"/>
        <v>38</v>
      </c>
      <c r="P46" s="93"/>
      <c r="R46">
        <f>SUM(R30:R45)</f>
        <v>29</v>
      </c>
      <c r="AR46" s="100"/>
      <c r="AS46" s="93"/>
      <c r="AU46">
        <f>SUM(AU30:AU45)</f>
        <v>29</v>
      </c>
      <c r="BU46" s="100"/>
    </row>
    <row r="47" spans="2:73" x14ac:dyDescent="0.25">
      <c r="B47" t="s">
        <v>293</v>
      </c>
      <c r="C47" s="19">
        <v>17</v>
      </c>
      <c r="D47" s="19">
        <v>27</v>
      </c>
      <c r="E47">
        <f t="shared" si="43"/>
        <v>44</v>
      </c>
      <c r="H47">
        <v>6</v>
      </c>
      <c r="I47" s="19">
        <v>11</v>
      </c>
      <c r="J47" s="19">
        <v>6</v>
      </c>
      <c r="K47">
        <f t="shared" si="44"/>
        <v>17</v>
      </c>
      <c r="P47" s="93"/>
      <c r="AP47" t="s">
        <v>746</v>
      </c>
      <c r="AR47" s="100"/>
      <c r="AS47" s="93"/>
      <c r="BS47" t="s">
        <v>746</v>
      </c>
      <c r="BU47" s="100"/>
    </row>
    <row r="48" spans="2:73" x14ac:dyDescent="0.25">
      <c r="B48" t="s">
        <v>456</v>
      </c>
      <c r="C48" s="19">
        <v>27</v>
      </c>
      <c r="D48" s="19">
        <v>27</v>
      </c>
      <c r="E48">
        <f t="shared" si="43"/>
        <v>54</v>
      </c>
      <c r="H48">
        <v>7</v>
      </c>
      <c r="I48" s="19">
        <v>6</v>
      </c>
      <c r="J48" s="19">
        <v>11</v>
      </c>
      <c r="K48">
        <f t="shared" si="44"/>
        <v>17</v>
      </c>
      <c r="P48" s="93"/>
      <c r="Q48" t="s">
        <v>525</v>
      </c>
      <c r="R48" t="s">
        <v>263</v>
      </c>
      <c r="S48" t="s">
        <v>526</v>
      </c>
      <c r="T48" t="s">
        <v>570</v>
      </c>
      <c r="U48" t="s">
        <v>571</v>
      </c>
      <c r="V48" t="s">
        <v>572</v>
      </c>
      <c r="W48" t="s">
        <v>539</v>
      </c>
      <c r="X48" t="s">
        <v>538</v>
      </c>
      <c r="Z48" t="s">
        <v>522</v>
      </c>
      <c r="AA48" t="s">
        <v>523</v>
      </c>
      <c r="AB48" t="s">
        <v>541</v>
      </c>
      <c r="AC48" t="s">
        <v>540</v>
      </c>
      <c r="AD48" t="s">
        <v>542</v>
      </c>
      <c r="AE48" t="s">
        <v>520</v>
      </c>
      <c r="AF48" t="s">
        <v>521</v>
      </c>
      <c r="AG48" t="s">
        <v>527</v>
      </c>
      <c r="AH48" t="s">
        <v>528</v>
      </c>
      <c r="AI48" t="s">
        <v>543</v>
      </c>
      <c r="AJ48" t="s">
        <v>744</v>
      </c>
      <c r="AK48" t="s">
        <v>745</v>
      </c>
      <c r="AL48" t="s">
        <v>749</v>
      </c>
      <c r="AM48" t="s">
        <v>750</v>
      </c>
      <c r="AN48" t="s">
        <v>751</v>
      </c>
      <c r="AP48" t="s">
        <v>747</v>
      </c>
      <c r="AQ48" t="s">
        <v>748</v>
      </c>
      <c r="AR48" s="100"/>
      <c r="AS48" s="93"/>
      <c r="AT48" t="s">
        <v>525</v>
      </c>
      <c r="AU48" t="s">
        <v>263</v>
      </c>
      <c r="AV48" t="s">
        <v>526</v>
      </c>
      <c r="AW48" t="s">
        <v>570</v>
      </c>
      <c r="AX48" t="s">
        <v>571</v>
      </c>
      <c r="AY48" t="s">
        <v>572</v>
      </c>
      <c r="AZ48" t="s">
        <v>539</v>
      </c>
      <c r="BA48" t="s">
        <v>538</v>
      </c>
      <c r="BC48" t="s">
        <v>522</v>
      </c>
      <c r="BD48" t="s">
        <v>523</v>
      </c>
      <c r="BE48" t="s">
        <v>541</v>
      </c>
      <c r="BF48" t="s">
        <v>540</v>
      </c>
      <c r="BG48" t="s">
        <v>542</v>
      </c>
      <c r="BH48" t="s">
        <v>520</v>
      </c>
      <c r="BI48" t="s">
        <v>521</v>
      </c>
      <c r="BJ48" t="s">
        <v>527</v>
      </c>
      <c r="BK48" t="s">
        <v>528</v>
      </c>
      <c r="BL48" t="s">
        <v>543</v>
      </c>
      <c r="BM48" t="s">
        <v>744</v>
      </c>
      <c r="BN48" t="s">
        <v>745</v>
      </c>
      <c r="BO48" t="s">
        <v>749</v>
      </c>
      <c r="BP48" t="s">
        <v>750</v>
      </c>
      <c r="BQ48" t="s">
        <v>751</v>
      </c>
      <c r="BS48" t="s">
        <v>747</v>
      </c>
      <c r="BT48" t="s">
        <v>748</v>
      </c>
      <c r="BU48" s="100"/>
    </row>
    <row r="49" spans="2:73" x14ac:dyDescent="0.25">
      <c r="B49" t="s">
        <v>457</v>
      </c>
      <c r="C49" s="19">
        <v>27</v>
      </c>
      <c r="D49" s="19">
        <v>27</v>
      </c>
      <c r="E49">
        <f t="shared" si="43"/>
        <v>54</v>
      </c>
      <c r="H49">
        <v>8</v>
      </c>
      <c r="I49" s="19">
        <v>20</v>
      </c>
      <c r="J49" s="19">
        <v>0</v>
      </c>
      <c r="K49">
        <f t="shared" si="44"/>
        <v>20</v>
      </c>
      <c r="L49" t="s">
        <v>506</v>
      </c>
      <c r="P49" s="93"/>
      <c r="Q49" s="110" t="str">
        <f>$Q$30</f>
        <v>A.01</v>
      </c>
      <c r="R49" t="str">
        <f>$Q$21</f>
        <v>L2</v>
      </c>
      <c r="S49">
        <f>$E$21</f>
        <v>10.6875</v>
      </c>
      <c r="T49" cm="1">
        <f t="array" ref="T49">IFERROR(IF(S49=0,0,(INDEX($C$33:$C$38,MATCH($W$30,$B$33:$B$38,0),0)*(S53+$X$30)+$T$30*COUNTIF(S49:S52,"&gt;0")*$C$32+$V$30*$C$31)*$R$30),0)</f>
        <v>30539.71875</v>
      </c>
      <c r="U49">
        <f>IF(S49=0,0,-(COUNTIF(S49:S52,"&gt;0")*$T$30*$C$32+$V$30*$C$31)*$H$27*$R$30)</f>
        <v>-363.31199999999995</v>
      </c>
      <c r="V49">
        <f>IF(S49=0,0,$V$30*$H$26*$R$30)</f>
        <v>-1328.1999999999998</v>
      </c>
      <c r="W49">
        <f>(0.6*T49+0.7*U49)*$R$30/2</f>
        <v>262007.93632499999</v>
      </c>
      <c r="X49">
        <f>(0.6*T49+0.6*V49)*$R$30/2</f>
        <v>254140.21312500001</v>
      </c>
      <c r="Z49">
        <f>IF(S49=0,0,$AD$30*$AP$21)</f>
        <v>343.06999999999994</v>
      </c>
      <c r="AA49">
        <f>IFERROR(Z49/$R$30,0)</f>
        <v>11.829999999999998</v>
      </c>
      <c r="AB49">
        <f>Z49*($F$21+IF($F$21=0,0,($C$14+$C$15+IF($C$13="single",1.5,3)+3)/12))</f>
        <v>3666.5606249999992</v>
      </c>
      <c r="AC49">
        <f>AB49-W49</f>
        <v>-258341.37569999998</v>
      </c>
      <c r="AD49" cm="1">
        <f t="array" ref="AD49">IFERROR(IF(AC49&lt;0,0,AC49/($R$30-INDEX(hd_off,MATCH(AQ49,hd_mark,0),0)/12)),0)</f>
        <v>0</v>
      </c>
      <c r="AE49">
        <f>IF(S49=0,0,$AD$30*$AM$21)</f>
        <v>7899.5999999999995</v>
      </c>
      <c r="AF49">
        <f>IFERROR(AE49/$R$30,0)</f>
        <v>272.39999999999998</v>
      </c>
      <c r="AG49">
        <f>AE49*($F$21+IF($F$21=0,0,($C$14+$C$15+IF($C$13="single",1.5,3)+3)/12))</f>
        <v>84426.974999999991</v>
      </c>
      <c r="AH49">
        <f>AG49-X49</f>
        <v>-169713.23812500003</v>
      </c>
      <c r="AI49" cm="1">
        <f t="array" ref="AI49">IFERROR(IF(AH49&lt;0,0,AH49/($R$30-INDEX(hd_off,MATCH(AQ49,hd_mark,0),0)/12)),0)</f>
        <v>0</v>
      </c>
      <c r="AJ49">
        <f>MAX($F$21,$Y$30)/$Q$52</f>
        <v>0.30172413793103448</v>
      </c>
      <c r="AK49">
        <f>IF(AJ49=0,0,IF(AJ49&gt;2,1.25-0.125*AJ49,1))</f>
        <v>1</v>
      </c>
      <c r="AL49" cm="1">
        <f t="array" ref="AL49">IFERROR(INDEX(sheath_ecap_asd,MATCH(AP49,sheath_mark,0),0)*AK49,0)</f>
        <v>239.85714285714286</v>
      </c>
      <c r="AM49" cm="1">
        <f t="array" ref="AM49">IFERROR(INDEX(sheath_wcap_asd,MATCH(AP49,sheath_mark,0),0)*AK49,0)</f>
        <v>335.8</v>
      </c>
      <c r="AN49" cm="1">
        <f t="array" ref="AN49">IFERROR(INDEX(hd_cap,MATCH(AQ49,hd_mark,0),0),0)</f>
        <v>0</v>
      </c>
      <c r="AP49" s="19">
        <v>21</v>
      </c>
      <c r="AQ49" s="19"/>
      <c r="AR49" s="100"/>
      <c r="AS49" s="93"/>
      <c r="AT49" s="110" t="str">
        <f>$AT$30</f>
        <v>1.01</v>
      </c>
      <c r="AU49" t="str">
        <f>$Q$21</f>
        <v>L2</v>
      </c>
      <c r="AV49">
        <f>$E$21</f>
        <v>10.6875</v>
      </c>
      <c r="AW49" cm="1">
        <f t="array" ref="AW49">IFERROR(IF(AV49=0,0,(INDEX($C$33:$C$38,MATCH($AZ$30,$B$33:$B$38,0),0)*(AV53+$BA$30)+$AW$30*COUNTIF(AV49:AV52,"&gt;0")*$C$32+$AY$30*$C$31)*$AU$30),0)</f>
        <v>30539.71875</v>
      </c>
      <c r="AX49">
        <f>IF(AV49=0,0,-(COUNTIF(AV49:AV52,"&gt;0")*$AW$30*$C$32+$AY$30*$C$31)*$H$27*$AU$30)</f>
        <v>-363.31199999999995</v>
      </c>
      <c r="AY49">
        <f>IF(AV49=0,0,$AY$30*$H$26*$AU$30)</f>
        <v>-1328.1999999999998</v>
      </c>
      <c r="AZ49">
        <f>(0.6*AW49+0.7*AX49)*$AU$30/2</f>
        <v>262007.93632499999</v>
      </c>
      <c r="BA49">
        <f>(0.6*AW49+0.6*AY49)*$AU$30/2</f>
        <v>254140.21312500001</v>
      </c>
      <c r="BC49">
        <f>IF(AV49=0,0,$BG$30*$AP$21)</f>
        <v>343.06999999999994</v>
      </c>
      <c r="BD49">
        <f>IFERROR(BC49/$AU$30,0)</f>
        <v>11.829999999999998</v>
      </c>
      <c r="BE49">
        <f>BC49*($F$21+IF($F$21=0,0,($C$14+$C$15+IF($C$13="single",1.5,3)+3)/12))</f>
        <v>3666.5606249999992</v>
      </c>
      <c r="BF49">
        <f>BE49-AZ49</f>
        <v>-258341.37569999998</v>
      </c>
      <c r="BG49" cm="1">
        <f t="array" ref="BG49">IFERROR(IF(BF49&lt;0,0,BF49/($AU$30-INDEX(hd_off,MATCH(BT49,hd_mark,0),0)/12)),0)</f>
        <v>0</v>
      </c>
      <c r="BH49">
        <f>IF(AV49=0,0,$BG$30*$AM$21)</f>
        <v>7899.5999999999995</v>
      </c>
      <c r="BI49">
        <f>IFERROR(BH49/$AU$30,0)</f>
        <v>272.39999999999998</v>
      </c>
      <c r="BJ49">
        <f>BH49*($F$21+IF($F$21=0,0,($C$14+$C$15+IF($C$13="single",1.5,3)+3)/12))</f>
        <v>84426.974999999991</v>
      </c>
      <c r="BK49">
        <f>BJ49-BA49</f>
        <v>-169713.23812500003</v>
      </c>
      <c r="BL49" cm="1">
        <f t="array" ref="BL49">IFERROR(IF(BK49&lt;0,0,BK49/($AU$30-INDEX(hd_off,MATCH(BT49,hd_mark,0),0)/12)),0)</f>
        <v>0</v>
      </c>
      <c r="BM49">
        <f>MAX($F$21,$BB$30)/$Q$52</f>
        <v>0.30172413793103448</v>
      </c>
      <c r="BN49">
        <f>IF(BM49=0,0,IF(BM49&gt;2,1.25-0.125*BM49,1))</f>
        <v>1</v>
      </c>
      <c r="BO49" cm="1">
        <f t="array" ref="BO49">IFERROR(INDEX(sheath_ecap_asd,MATCH(BS49,sheath_mark,0),0)*BN49,0)</f>
        <v>239.85714285714286</v>
      </c>
      <c r="BP49" cm="1">
        <f t="array" ref="BP49">IFERROR(INDEX(sheath_wcap_asd,MATCH(BS49,sheath_mark,0),0)*BN49,0)</f>
        <v>335.8</v>
      </c>
      <c r="BQ49" cm="1">
        <f t="array" ref="BQ49">IFERROR(INDEX(hd_cap,MATCH(BT49,hd_mark,0),0),0)</f>
        <v>0</v>
      </c>
      <c r="BS49" s="19">
        <v>21</v>
      </c>
      <c r="BT49" s="19"/>
      <c r="BU49" s="100"/>
    </row>
    <row r="50" spans="2:73" x14ac:dyDescent="0.25">
      <c r="B50" t="s">
        <v>458</v>
      </c>
      <c r="C50" s="19">
        <v>27</v>
      </c>
      <c r="D50" s="19">
        <v>27</v>
      </c>
      <c r="E50">
        <f t="shared" si="43"/>
        <v>54</v>
      </c>
      <c r="H50">
        <v>9</v>
      </c>
      <c r="I50" s="19">
        <v>30</v>
      </c>
      <c r="J50" s="19">
        <v>0</v>
      </c>
      <c r="K50">
        <f t="shared" si="44"/>
        <v>30</v>
      </c>
      <c r="P50" s="93"/>
      <c r="Q50" s="109"/>
      <c r="R50" t="str">
        <f>$Q$22</f>
        <v>L3</v>
      </c>
      <c r="S50">
        <f>$E$22</f>
        <v>21.375</v>
      </c>
      <c r="T50" cm="1">
        <f t="array" ref="T50">IFERROR(IF(S50=0,0,(INDEX($C$33:$C$38,MATCH($W$30,$B$33:$B$38,0),0)*(S53+$X$30)+$T$30*COUNTIF(S50:S52,"&gt;0")*$C$32+$V$30*$C$31)*$R$30),0)</f>
        <v>26015.71875</v>
      </c>
      <c r="U50">
        <f>IF(S50=0,0,-(COUNTIF(S50:S52,"&gt;0")*$T$30*$C$32+$V$30*$C$31)*$H$27*$R$30)</f>
        <v>-200.44799999999998</v>
      </c>
      <c r="V50">
        <f>IF(S50=0,0,$V$30*$H$26*$R$30)</f>
        <v>-1328.1999999999998</v>
      </c>
      <c r="W50">
        <f t="shared" ref="W50:W52" si="45">(0.6*T50+0.7*U50)*$R$30/2</f>
        <v>224302.20592500002</v>
      </c>
      <c r="X50">
        <f>T50*$R$30/2</f>
        <v>377227.921875</v>
      </c>
      <c r="Z50">
        <f>IF(S50=0,0,$AD$30*$AP$22)</f>
        <v>376.565</v>
      </c>
      <c r="AA50">
        <f>IFERROR(Z50/$R$30,0)</f>
        <v>12.984999999999999</v>
      </c>
      <c r="AB50">
        <f>Z50*($F$22+IF($F$22=0,0,($C$14+$C$15+IF($C$13="single",1.5,3)+3)/12))</f>
        <v>4024.5384374999999</v>
      </c>
      <c r="AC50">
        <f>AB50-W50</f>
        <v>-220277.6674875</v>
      </c>
      <c r="AD50" cm="1">
        <f t="array" ref="AD50">IFERROR(IF(AC50&lt;0,0,AC50/($R$30-INDEX(hd_off,MATCH(AQ50,hd_mark,0),0)/12)),0)</f>
        <v>0</v>
      </c>
      <c r="AE50">
        <f>IF(S50=0,0,$AD$30*$AM$22)</f>
        <v>5846.4</v>
      </c>
      <c r="AF50">
        <f>IFERROR(AE50/$R$30,0)</f>
        <v>201.6</v>
      </c>
      <c r="AG50">
        <f>AE50*($F$22+IF($F$22=0,0,($C$14+$C$15+IF($C$13="single",1.5,3)+3)/12))</f>
        <v>62483.399999999994</v>
      </c>
      <c r="AH50">
        <f>AG50-X50</f>
        <v>-314744.52187499998</v>
      </c>
      <c r="AI50" cm="1">
        <f t="array" ref="AI50">IFERROR(IF(AH50&lt;0,0,AH50/($R$30-INDEX(hd_off,MATCH(AQ50,hd_mark,0),0)/12)),0)</f>
        <v>0</v>
      </c>
      <c r="AJ50">
        <f>MAX($F$22,$Z$30)/$Q$52</f>
        <v>0.30172413793103448</v>
      </c>
      <c r="AK50">
        <f t="shared" ref="AK50:AK53" si="46">IF(AJ50=0,0,IF(AJ50&gt;2,1.25-0.125*AJ50,1))</f>
        <v>1</v>
      </c>
      <c r="AL50" cm="1">
        <f t="array" ref="AL50">IFERROR(INDEX(sheath_ecap_asd,MATCH(AP50,sheath_mark,0),0)*AK50,0)</f>
        <v>239.85714285714286</v>
      </c>
      <c r="AM50" cm="1">
        <f t="array" ref="AM50">IFERROR(INDEX(sheath_wcap_asd,MATCH(AP50,sheath_mark,0),0)*AK50,0)</f>
        <v>335.8</v>
      </c>
      <c r="AN50" cm="1">
        <f t="array" ref="AN50">IFERROR(INDEX(hd_cap,MATCH(AQ50,hd_mark,0),0),0)</f>
        <v>0</v>
      </c>
      <c r="AP50" s="19">
        <v>21</v>
      </c>
      <c r="AQ50" s="19"/>
      <c r="AR50" s="100"/>
      <c r="AS50" s="93"/>
      <c r="AT50" s="109"/>
      <c r="AU50" t="str">
        <f>$Q$22</f>
        <v>L3</v>
      </c>
      <c r="AV50">
        <f>$E$22</f>
        <v>21.375</v>
      </c>
      <c r="AW50" cm="1">
        <f t="array" ref="AW50">IFERROR(IF(AV50=0,0,(INDEX($C$33:$C$38,MATCH($AZ$30,$B$33:$B$38,0),0)*(AV53+$BA$30)+$AW$30*COUNTIF(AV50:AV52,"&gt;0")*$C$32+$AY$30*$C$31)*$AU$30),0)</f>
        <v>26015.71875</v>
      </c>
      <c r="AX50">
        <f>IF(AV50=0,0,-(COUNTIF(AV50:AV52,"&gt;0")*$AW$30*$C$32+$AY$30*$C$31)*$H$27*$AU$30)</f>
        <v>-200.44799999999998</v>
      </c>
      <c r="AY50">
        <f>IF(AV50=0,0,$AY$30*$H$26*$AU$30)</f>
        <v>-1328.1999999999998</v>
      </c>
      <c r="AZ50">
        <f>(0.6*AW50+0.7*AX50)*$AU$30/2</f>
        <v>224302.20592500002</v>
      </c>
      <c r="BA50">
        <f>AW50*$AU$30/2</f>
        <v>377227.921875</v>
      </c>
      <c r="BC50">
        <f>IF(AV50=0,0,$BG$30*$AP$22)</f>
        <v>376.565</v>
      </c>
      <c r="BD50">
        <f>IFERROR(BC50/$AU$30,0)</f>
        <v>12.984999999999999</v>
      </c>
      <c r="BE50">
        <f>BC50*($F$22+IF($F$22=0,0,($C$14+$C$15+IF($C$13="single",1.5,3)+3)/12))</f>
        <v>4024.5384374999999</v>
      </c>
      <c r="BF50">
        <f>BE50-AZ50</f>
        <v>-220277.6674875</v>
      </c>
      <c r="BG50" cm="1">
        <f t="array" ref="BG50">IFERROR(IF(BF50&lt;0,0,BF50/($AU$30-INDEX(hd_off,MATCH(BT50,hd_mark,0),0)/12)),0)</f>
        <v>0</v>
      </c>
      <c r="BH50">
        <f>IF(AV50=0,0,$BG$30*$AM$22)</f>
        <v>5846.4</v>
      </c>
      <c r="BI50">
        <f>IFERROR(BH50/$AU$30,0)</f>
        <v>201.6</v>
      </c>
      <c r="BJ50">
        <f>BH50*($F$22+IF($F$22=0,0,($C$14+$C$15+IF($C$13="single",1.5,3)+3)/12))</f>
        <v>62483.399999999994</v>
      </c>
      <c r="BK50">
        <f>BJ50-BA50</f>
        <v>-314744.52187499998</v>
      </c>
      <c r="BL50" cm="1">
        <f t="array" ref="BL50">IFERROR(IF(BK50&lt;0,0,BK50/($AU$30-INDEX(hd_off,MATCH(BT50,hd_mark,0),0)/12)),0)</f>
        <v>0</v>
      </c>
      <c r="BM50">
        <f>MAX($F$22,$BC$30)/$Q$52</f>
        <v>0.30172413793103448</v>
      </c>
      <c r="BN50">
        <f t="shared" ref="BN50:BN53" si="47">IF(BM50=0,0,IF(BM50&gt;2,1.25-0.125*BM50,1))</f>
        <v>1</v>
      </c>
      <c r="BO50" cm="1">
        <f t="array" ref="BO50">IFERROR(INDEX(sheath_ecap_asd,MATCH(BS50,sheath_mark,0),0)*BN50,0)</f>
        <v>239.85714285714286</v>
      </c>
      <c r="BP50" cm="1">
        <f t="array" ref="BP50">IFERROR(INDEX(sheath_wcap_asd,MATCH(BS50,sheath_mark,0),0)*BN50,0)</f>
        <v>335.8</v>
      </c>
      <c r="BQ50" cm="1">
        <f t="array" ref="BQ50">IFERROR(INDEX(hd_cap,MATCH(BT50,hd_mark,0),0),0)</f>
        <v>0</v>
      </c>
      <c r="BS50" s="19">
        <v>21</v>
      </c>
      <c r="BT50" s="19"/>
      <c r="BU50" s="100"/>
    </row>
    <row r="51" spans="2:73" x14ac:dyDescent="0.25">
      <c r="B51" t="s">
        <v>459</v>
      </c>
      <c r="C51" s="19">
        <v>27</v>
      </c>
      <c r="D51" s="19">
        <v>41</v>
      </c>
      <c r="E51">
        <f t="shared" si="43"/>
        <v>68</v>
      </c>
      <c r="F51" t="s">
        <v>506</v>
      </c>
      <c r="H51">
        <v>10</v>
      </c>
      <c r="I51" s="19">
        <v>30</v>
      </c>
      <c r="J51" s="19">
        <v>0</v>
      </c>
      <c r="K51">
        <f t="shared" si="44"/>
        <v>30</v>
      </c>
      <c r="P51" s="93"/>
      <c r="Q51" s="109" t="s">
        <v>491</v>
      </c>
      <c r="R51" t="str">
        <f>$Q$23</f>
        <v>L4</v>
      </c>
      <c r="S51">
        <f>$E$23</f>
        <v>0</v>
      </c>
      <c r="T51" cm="1">
        <f t="array" ref="T51">IFERROR(IF(S51=0,0,(INDEX($C$33:$C$38,MATCH($W$30,$B$33:$B$38,0),0)*(S53+$X$30)+$T$30*COUNTIF(S51:S52,"&gt;0")*$C$32+$V$30*$C$31)*$R$30),0)</f>
        <v>0</v>
      </c>
      <c r="U51">
        <f>IF(S51=0,0,-(COUNTIF(S51:S52,"&gt;0")*$T$30*$C$32+$V$30*$C$31)*$H$27*$R$30)</f>
        <v>0</v>
      </c>
      <c r="V51">
        <f>IF(S51=0,0,$V$30*$H$26*$R$30)</f>
        <v>0</v>
      </c>
      <c r="W51">
        <f t="shared" si="45"/>
        <v>0</v>
      </c>
      <c r="X51">
        <f>T51*$R$30/2</f>
        <v>0</v>
      </c>
      <c r="Z51">
        <f>IF(S51=0,0,$AD$30*$AP$23)</f>
        <v>0</v>
      </c>
      <c r="AA51">
        <f>IFERROR(Z51/$R$30,0)</f>
        <v>0</v>
      </c>
      <c r="AB51">
        <f>Z51*($F$23+IF($F$23=0,0,($C$14+$C$15+IF($C$13="single",1.5,3)+3)/12))</f>
        <v>0</v>
      </c>
      <c r="AC51">
        <f>AB51-W51</f>
        <v>0</v>
      </c>
      <c r="AD51" cm="1">
        <f t="array" ref="AD51">IFERROR(IF(AC51&lt;0,0,AC51/($R$30-INDEX(hd_off,MATCH(AQ51,hd_mark,0),0)/12)),0)</f>
        <v>0</v>
      </c>
      <c r="AE51">
        <f>IF(S51=0,0,$AD$30*$AM$23)</f>
        <v>0</v>
      </c>
      <c r="AF51">
        <f>IFERROR(AE51/$R$30,0)</f>
        <v>0</v>
      </c>
      <c r="AG51">
        <f>AE51*($F$23+IF($F$23=0,0,($C$14+$C$15+IF($C$13="single",1.5,3)+3)/12))</f>
        <v>0</v>
      </c>
      <c r="AH51">
        <f>AG51-X51</f>
        <v>0</v>
      </c>
      <c r="AI51" cm="1">
        <f t="array" ref="AI51">IFERROR(IF(AH51&lt;0,0,AH51/($R$30-INDEX(hd_off,MATCH(AQ51,hd_mark,0),0)/12)),0)</f>
        <v>0</v>
      </c>
      <c r="AJ51">
        <f>MAX($F$23,$AA$30)/$Q$52</f>
        <v>0</v>
      </c>
      <c r="AK51">
        <f t="shared" si="46"/>
        <v>0</v>
      </c>
      <c r="AL51" cm="1">
        <f t="array" ref="AL51">IFERROR(INDEX(sheath_ecap_asd,MATCH(AP51,sheath_mark,0),0)*AK51,0)</f>
        <v>0</v>
      </c>
      <c r="AM51" cm="1">
        <f t="array" ref="AM51">IFERROR(INDEX(sheath_wcap_asd,MATCH(AP51,sheath_mark,0),0)*AK51,0)</f>
        <v>0</v>
      </c>
      <c r="AN51" cm="1">
        <f t="array" ref="AN51">IFERROR(INDEX(hd_cap,MATCH(AQ51,hd_mark,0),0),0)</f>
        <v>0</v>
      </c>
      <c r="AP51" s="19"/>
      <c r="AQ51" s="19"/>
      <c r="AR51" s="100"/>
      <c r="AS51" s="93"/>
      <c r="AT51" s="109" t="s">
        <v>491</v>
      </c>
      <c r="AU51" t="str">
        <f>$Q$23</f>
        <v>L4</v>
      </c>
      <c r="AV51">
        <f>$E$23</f>
        <v>0</v>
      </c>
      <c r="AW51" cm="1">
        <f t="array" ref="AW51">IFERROR(IF(AV51=0,0,(INDEX($C$33:$C$38,MATCH($AZ$30,$B$33:$B$38,0),0)*(AV53+$BA$30)+$AW$30*COUNTIF(AV51:AV52,"&gt;0")*$C$32+$AY$30*$C$31)*$AU$30),0)</f>
        <v>0</v>
      </c>
      <c r="AX51">
        <f>IF(AV51=0,0,-(COUNTIF(AV51:AV52,"&gt;0")*$AW$30*$C$32+$AY$30*$C$31)*$H$27*$AU$30)</f>
        <v>0</v>
      </c>
      <c r="AY51">
        <f>IF(AV51=0,0,$AY$30*$H$26*$AU$30)</f>
        <v>0</v>
      </c>
      <c r="AZ51">
        <f>(0.6*AW51+0.7*AX51)*$AU$30/2</f>
        <v>0</v>
      </c>
      <c r="BA51">
        <f>AW51*$AU$30/2</f>
        <v>0</v>
      </c>
      <c r="BC51">
        <f>IF(AV51=0,0,$BG$30*$AP$23)</f>
        <v>0</v>
      </c>
      <c r="BD51">
        <f>IFERROR(BC51/$AU$30,0)</f>
        <v>0</v>
      </c>
      <c r="BE51">
        <f>BC51*($F$23+IF($F$23=0,0,($C$14+$C$15+IF($C$13="single",1.5,3)+3)/12))</f>
        <v>0</v>
      </c>
      <c r="BF51">
        <f>BE51-AZ51</f>
        <v>0</v>
      </c>
      <c r="BG51" cm="1">
        <f t="array" ref="BG51">IFERROR(IF(BF51&lt;0,0,BF51/($AU$30-INDEX(hd_off,MATCH(BT51,hd_mark,0),0)/12)),0)</f>
        <v>0</v>
      </c>
      <c r="BH51">
        <f>IF(AV51=0,0,$BG$30*$AM$23)</f>
        <v>0</v>
      </c>
      <c r="BI51">
        <f>IFERROR(BH51/$AU$30,0)</f>
        <v>0</v>
      </c>
      <c r="BJ51">
        <f>BH51*($F$23+IF($F$23=0,0,($C$14+$C$15+IF($C$13="single",1.5,3)+3)/12))</f>
        <v>0</v>
      </c>
      <c r="BK51">
        <f>BJ51-BA51</f>
        <v>0</v>
      </c>
      <c r="BL51" cm="1">
        <f t="array" ref="BL51">IFERROR(IF(BK51&lt;0,0,BK51/($AU$30-INDEX(hd_off,MATCH(BT51,hd_mark,0),0)/12)),0)</f>
        <v>0</v>
      </c>
      <c r="BM51">
        <f>MAX($F$23,$BD$30)/$Q$52</f>
        <v>0</v>
      </c>
      <c r="BN51">
        <f t="shared" si="47"/>
        <v>0</v>
      </c>
      <c r="BO51" cm="1">
        <f t="array" ref="BO51">IFERROR(INDEX(sheath_ecap_asd,MATCH(BS51,sheath_mark,0),0)*BN51,0)</f>
        <v>0</v>
      </c>
      <c r="BP51" cm="1">
        <f t="array" ref="BP51">IFERROR(INDEX(sheath_wcap_asd,MATCH(BS51,sheath_mark,0),0)*BN51,0)</f>
        <v>0</v>
      </c>
      <c r="BQ51" cm="1">
        <f t="array" ref="BQ51">IFERROR(INDEX(hd_cap,MATCH(BT51,hd_mark,0),0),0)</f>
        <v>0</v>
      </c>
      <c r="BS51" s="19"/>
      <c r="BT51" s="19"/>
      <c r="BU51" s="100"/>
    </row>
    <row r="52" spans="2:73" x14ac:dyDescent="0.25">
      <c r="B52" t="s">
        <v>171</v>
      </c>
      <c r="C52" s="19">
        <v>0</v>
      </c>
      <c r="D52" s="19">
        <v>29</v>
      </c>
      <c r="E52">
        <f t="shared" si="43"/>
        <v>29</v>
      </c>
      <c r="H52">
        <v>11</v>
      </c>
      <c r="I52" s="19">
        <v>0</v>
      </c>
      <c r="J52" s="19">
        <v>27</v>
      </c>
      <c r="K52">
        <f t="shared" si="44"/>
        <v>27</v>
      </c>
      <c r="P52" s="93"/>
      <c r="Q52" s="111">
        <f>$R$30</f>
        <v>29</v>
      </c>
      <c r="R52" t="str">
        <f>$Q$24</f>
        <v>L5</v>
      </c>
      <c r="S52">
        <f>$E$24</f>
        <v>0</v>
      </c>
      <c r="T52" cm="1">
        <f t="array" ref="T52">IFERROR(IF(S52=0,0,(INDEX($C$33:$C$38,MATCH($W$30,$B$33:$B$38,0),0)*(S53+$X$30)+$T$30*COUNTIF(S52:S52,"&gt;0")*$C$32+$V$30*$C$31)*$R$30),0)</f>
        <v>0</v>
      </c>
      <c r="U52">
        <f>IF(S52=0,0,-(COUNTIF(S52:S52,"&gt;0")*$T$30*$C$32+$V$30*$C$31)*$H$27*$R$30)</f>
        <v>0</v>
      </c>
      <c r="V52">
        <f>IF(S52=0,0,$V$30*$H$26*$R$30)</f>
        <v>0</v>
      </c>
      <c r="W52">
        <f t="shared" si="45"/>
        <v>0</v>
      </c>
      <c r="X52">
        <f>T52*$R$30/2</f>
        <v>0</v>
      </c>
      <c r="Z52">
        <f>IF(S52=0,0,$AD$30*$AP$24)</f>
        <v>0</v>
      </c>
      <c r="AA52">
        <f>IFERROR(Z52/$R$30,0)</f>
        <v>0</v>
      </c>
      <c r="AB52">
        <f>Z52*($F$24+IF($F$24=0,0,($C$14+$C$15+IF($C$13="single",1.5,3)+3)/12))</f>
        <v>0</v>
      </c>
      <c r="AC52">
        <f>AB52-W52</f>
        <v>0</v>
      </c>
      <c r="AD52" cm="1">
        <f t="array" ref="AD52">IFERROR(IF(AC52&lt;0,0,AC52/($R$30-INDEX(hd_off,MATCH(AQ52,hd_mark,0),0)/12)),0)</f>
        <v>0</v>
      </c>
      <c r="AE52">
        <f>IF(S52=0,0,$AD$30*$AM$24)</f>
        <v>0</v>
      </c>
      <c r="AF52">
        <f>IFERROR(AE52/$R$30,0)</f>
        <v>0</v>
      </c>
      <c r="AG52">
        <f>AE52*($F$24+IF($F$24=0,0,($C$14+$C$15+IF($C$13="single",1.5,3)+3)/12))</f>
        <v>0</v>
      </c>
      <c r="AH52">
        <f>AG52-X52</f>
        <v>0</v>
      </c>
      <c r="AI52" cm="1">
        <f t="array" ref="AI52">IFERROR(IF(AH52&lt;0,0,AH52/($R$30-INDEX(hd_off,MATCH(AQ52,hd_mark,0),0)/12)),0)</f>
        <v>0</v>
      </c>
      <c r="AJ52">
        <f>MAX($F$24,$AB$30)/$Q$52</f>
        <v>0</v>
      </c>
      <c r="AK52">
        <f t="shared" si="46"/>
        <v>0</v>
      </c>
      <c r="AL52" cm="1">
        <f t="array" ref="AL52">IFERROR(INDEX(sheath_ecap_asd,MATCH(AP52,sheath_mark,0),0)*AK52,0)</f>
        <v>0</v>
      </c>
      <c r="AM52" cm="1">
        <f t="array" ref="AM52">IFERROR(INDEX(sheath_wcap_asd,MATCH(AP52,sheath_mark,0),0)*AK52,0)</f>
        <v>0</v>
      </c>
      <c r="AN52" cm="1">
        <f t="array" ref="AN52">IFERROR(INDEX(hd_cap,MATCH(AQ52,hd_mark,0),0),0)</f>
        <v>0</v>
      </c>
      <c r="AP52" s="19"/>
      <c r="AQ52" s="19"/>
      <c r="AR52" s="100"/>
      <c r="AS52" s="93"/>
      <c r="AT52" s="111">
        <f>$R$30</f>
        <v>29</v>
      </c>
      <c r="AU52" t="str">
        <f>$Q$24</f>
        <v>L5</v>
      </c>
      <c r="AV52">
        <f>$E$24</f>
        <v>0</v>
      </c>
      <c r="AW52" cm="1">
        <f t="array" ref="AW52">IFERROR(IF(AV52=0,0,(INDEX($C$33:$C$38,MATCH($AZ$30,$B$33:$B$38,0),0)*(AV53+$BA$30)+$AW$30*COUNTIF(AV52:AV52,"&gt;0")*$C$32+$AY$30*$C$31)*$AU$30),0)</f>
        <v>0</v>
      </c>
      <c r="AX52">
        <f>IF(AV52=0,0,-(COUNTIF(AV52:AV52,"&gt;0")*$AW$30*$C$32+$AY$30*$C$31)*$H$27*$AU$30)</f>
        <v>0</v>
      </c>
      <c r="AY52">
        <f>IF(AV52=0,0,$AY$30*$H$26*$AU$30)</f>
        <v>0</v>
      </c>
      <c r="AZ52">
        <f>(0.6*AW52+0.7*AX52)*$AU$30/2</f>
        <v>0</v>
      </c>
      <c r="BA52">
        <f>AW52*$AU$30/2</f>
        <v>0</v>
      </c>
      <c r="BC52">
        <f>IF(AV52=0,0,$BG$30*$AP$24)</f>
        <v>0</v>
      </c>
      <c r="BD52">
        <f>IFERROR(BC52/$AU$30,0)</f>
        <v>0</v>
      </c>
      <c r="BE52">
        <f>BC52*($F$24+IF($F$24=0,0,($C$14+$C$15+IF($C$13="single",1.5,3)+3)/12))</f>
        <v>0</v>
      </c>
      <c r="BF52">
        <f>BE52-AZ52</f>
        <v>0</v>
      </c>
      <c r="BG52" cm="1">
        <f t="array" ref="BG52">IFERROR(IF(BF52&lt;0,0,BF52/($AU$30-INDEX(hd_off,MATCH(BT52,hd_mark,0),0)/12)),0)</f>
        <v>0</v>
      </c>
      <c r="BH52">
        <f>IF(AV52=0,0,$BG$30*$AM$24)</f>
        <v>0</v>
      </c>
      <c r="BI52">
        <f>IFERROR(BH52/$AU$30,0)</f>
        <v>0</v>
      </c>
      <c r="BJ52">
        <f>BH52*($F$24+IF($F$24=0,0,($C$14+$C$15+IF($C$13="single",1.5,3)+3)/12))</f>
        <v>0</v>
      </c>
      <c r="BK52">
        <f>BJ52-BA52</f>
        <v>0</v>
      </c>
      <c r="BL52" cm="1">
        <f t="array" ref="BL52">IFERROR(IF(BK52&lt;0,0,BK52/($AU$30-INDEX(hd_off,MATCH(BT52,hd_mark,0),0)/12)),0)</f>
        <v>0</v>
      </c>
      <c r="BM52">
        <f>MAX($F$24,$BE$30)/$Q$52</f>
        <v>0</v>
      </c>
      <c r="BN52">
        <f t="shared" si="47"/>
        <v>0</v>
      </c>
      <c r="BO52" cm="1">
        <f t="array" ref="BO52">IFERROR(INDEX(sheath_ecap_asd,MATCH(BS52,sheath_mark,0),0)*BN52,0)</f>
        <v>0</v>
      </c>
      <c r="BP52" cm="1">
        <f t="array" ref="BP52">IFERROR(INDEX(sheath_wcap_asd,MATCH(BS52,sheath_mark,0),0)*BN52,0)</f>
        <v>0</v>
      </c>
      <c r="BQ52" cm="1">
        <f t="array" ref="BQ52">IFERROR(INDEX(hd_cap,MATCH(BT52,hd_mark,0),0),0)</f>
        <v>0</v>
      </c>
      <c r="BS52" s="19"/>
      <c r="BT52" s="19"/>
      <c r="BU52" s="100"/>
    </row>
    <row r="53" spans="2:73" x14ac:dyDescent="0.25">
      <c r="B53" t="s">
        <v>460</v>
      </c>
      <c r="C53" s="19">
        <v>29</v>
      </c>
      <c r="D53" s="19">
        <v>6</v>
      </c>
      <c r="E53">
        <f t="shared" si="43"/>
        <v>35</v>
      </c>
      <c r="H53">
        <v>12</v>
      </c>
      <c r="I53" s="19">
        <v>27</v>
      </c>
      <c r="J53" s="19">
        <v>14</v>
      </c>
      <c r="K53">
        <f t="shared" si="44"/>
        <v>41</v>
      </c>
      <c r="P53" s="93"/>
      <c r="Q53" s="109"/>
      <c r="R53" t="str">
        <f>$Q$25</f>
        <v>Roof</v>
      </c>
      <c r="S53">
        <f>$E$25</f>
        <v>33.171875</v>
      </c>
      <c r="T53" cm="1">
        <f t="array" ref="T53">IFERROR(IF(S53=0,0,(INDEX($C$33:$C$38,MATCH($W$30,$B$33:$B$38,0),0)*(S53+$X$30)+$V$30*$C$31)*$R$30),0)</f>
        <v>21491.71875</v>
      </c>
      <c r="U53">
        <f>IF(S53=0,0,-$V$30*$C$31*$H$27*$R$30)</f>
        <v>-37.583999999999996</v>
      </c>
      <c r="V53">
        <f>IF(S53=0,0,$V$30*$H$26*$R$30)</f>
        <v>-1328.1999999999998</v>
      </c>
      <c r="W53">
        <f>(0.6*T53+0.7*U53)*$R$30/2</f>
        <v>186596.47552499999</v>
      </c>
      <c r="X53">
        <f>T53*$R$30/2</f>
        <v>311629.921875</v>
      </c>
      <c r="Z53">
        <f>IF(S53=0,0,$AD$30*$AP$25)</f>
        <v>191.83499999999995</v>
      </c>
      <c r="AA53">
        <f>IFERROR(Z53/$R$30,0)</f>
        <v>6.6149999999999984</v>
      </c>
      <c r="AB53">
        <f>Z53*($F$25+($C$16+$C$17+IF($C$13="single",1.5,3)+3)/12)</f>
        <v>2263.0535156249989</v>
      </c>
      <c r="AC53">
        <f>AB53-W53</f>
        <v>-184333.42200937498</v>
      </c>
      <c r="AD53" cm="1">
        <f t="array" ref="AD53">IFERROR(IF(AC53&lt;0,0,AC53/($R$30-INDEX(hd_off,MATCH(AQ53,hd_mark,0),0)/12)),0)</f>
        <v>0</v>
      </c>
      <c r="AE53">
        <f>IF(S53=0,0,$AD$30*$AM$25)</f>
        <v>3854.1</v>
      </c>
      <c r="AF53">
        <f>IFERROR(AE53/$R$30,0)</f>
        <v>132.9</v>
      </c>
      <c r="AG53">
        <f>AE53*($F$25+($C$16+$C$17+IF($C$13="single",1.5,3)+3)/12)</f>
        <v>45466.335937499993</v>
      </c>
      <c r="AH53">
        <f>AG53-X53</f>
        <v>-266163.5859375</v>
      </c>
      <c r="AI53" cm="1">
        <f t="array" ref="AI53">IFERROR(IF(AH53&lt;0,0,AH53/($R$30-INDEX(hd_off,MATCH(AQ53,hd_mark,0),0)/12)),0)</f>
        <v>0</v>
      </c>
      <c r="AJ53">
        <f>MAX($F$25,$AC$30)/$Q$52</f>
        <v>0.29920977011494249</v>
      </c>
      <c r="AK53">
        <f t="shared" si="46"/>
        <v>1</v>
      </c>
      <c r="AL53" cm="1">
        <f t="array" ref="AL53">IFERROR(INDEX(sheath_ecap_asd,MATCH(AP53,sheath_mark,0),0)*AK53,0)</f>
        <v>95.285714285714306</v>
      </c>
      <c r="AM53" cm="1">
        <f t="array" ref="AM53">IFERROR(INDEX(sheath_wcap_asd,MATCH(AP53,sheath_mark,0),0)*AK53,0)</f>
        <v>133.4</v>
      </c>
      <c r="AN53" cm="1">
        <f t="array" ref="AN53">IFERROR(INDEX(hd_cap,MATCH(AQ53,hd_mark,0),0),0)</f>
        <v>0</v>
      </c>
      <c r="AP53" s="19">
        <v>11</v>
      </c>
      <c r="AQ53" s="19"/>
      <c r="AR53" s="100"/>
      <c r="AS53" s="93"/>
      <c r="AT53" s="109"/>
      <c r="AU53" t="str">
        <f>$Q$25</f>
        <v>Roof</v>
      </c>
      <c r="AV53">
        <f>$E$25</f>
        <v>33.171875</v>
      </c>
      <c r="AW53" cm="1">
        <f t="array" ref="AW53">IFERROR(IF(AV53=0,0,(INDEX($C$33:$C$38,MATCH($AZ$30,$B$33:$B$38,0),0)*(AV53+$BA$30)+$AY$30*$C$31)*$AU$30),0)</f>
        <v>21491.71875</v>
      </c>
      <c r="AX53">
        <f>IF(AV53=0,0,-$AY$30*$C$31*$H$27*$AU$30)</f>
        <v>-37.583999999999996</v>
      </c>
      <c r="AY53">
        <f>IF(AV53=0,0,$AY$30*$H$26*$AU$30)</f>
        <v>-1328.1999999999998</v>
      </c>
      <c r="AZ53">
        <f>(0.6*AW53+0.7*AX53)*$AU$30/2</f>
        <v>186596.47552499999</v>
      </c>
      <c r="BA53">
        <f>AW53*$AU$30/2</f>
        <v>311629.921875</v>
      </c>
      <c r="BC53">
        <f>IF(AV53=0,0,$BG$30*$AP$25)</f>
        <v>191.83499999999995</v>
      </c>
      <c r="BD53">
        <f>IFERROR(BC53/$AU$30,0)</f>
        <v>6.6149999999999984</v>
      </c>
      <c r="BE53">
        <f>BC53*($F$25+($C$16+$C$17+IF($C$13="single",1.5,3)+3)/12)</f>
        <v>2263.0535156249989</v>
      </c>
      <c r="BF53">
        <f>BE53-AZ53</f>
        <v>-184333.42200937498</v>
      </c>
      <c r="BG53" cm="1">
        <f t="array" ref="BG53">IFERROR(IF(BF53&lt;0,0,BF53/($AU$30-INDEX(hd_off,MATCH(BT53,hd_mark,0),0)/12)),0)</f>
        <v>0</v>
      </c>
      <c r="BH53">
        <f>IF(AV53=0,0,$BG$30*$AM$25)</f>
        <v>3854.1</v>
      </c>
      <c r="BI53">
        <f>IFERROR(BH53/$AU$30,0)</f>
        <v>132.9</v>
      </c>
      <c r="BJ53">
        <f>BH53*($F$25+($C$16+$C$17+IF($C$13="single",1.5,3)+3)/12)</f>
        <v>45466.335937499993</v>
      </c>
      <c r="BK53">
        <f>BJ53-BA53</f>
        <v>-266163.5859375</v>
      </c>
      <c r="BL53" cm="1">
        <f t="array" ref="BL53">IFERROR(IF(BK53&lt;0,0,BK53/($AU$30-INDEX(hd_off,MATCH(BT53,hd_mark,0),0)/12)),0)</f>
        <v>0</v>
      </c>
      <c r="BM53">
        <f>MAX($F$25,$BF$30)/$Q$52</f>
        <v>0.29920977011494249</v>
      </c>
      <c r="BN53">
        <f t="shared" si="47"/>
        <v>1</v>
      </c>
      <c r="BO53" cm="1">
        <f t="array" ref="BO53">IFERROR(INDEX(sheath_ecap_asd,MATCH(BS53,sheath_mark,0),0)*BN53,0)</f>
        <v>95.285714285714306</v>
      </c>
      <c r="BP53" cm="1">
        <f t="array" ref="BP53">IFERROR(INDEX(sheath_wcap_asd,MATCH(BS53,sheath_mark,0),0)*BN53,0)</f>
        <v>133.4</v>
      </c>
      <c r="BQ53" cm="1">
        <f t="array" ref="BQ53">IFERROR(INDEX(hd_cap,MATCH(BT53,hd_mark,0),0),0)</f>
        <v>0</v>
      </c>
      <c r="BS53" s="19">
        <v>11</v>
      </c>
      <c r="BT53" s="19"/>
      <c r="BU53" s="100"/>
    </row>
    <row r="54" spans="2:73" x14ac:dyDescent="0.25">
      <c r="B54" t="s">
        <v>461</v>
      </c>
      <c r="C54" s="19">
        <v>6</v>
      </c>
      <c r="D54" s="19">
        <v>29</v>
      </c>
      <c r="E54">
        <f t="shared" si="43"/>
        <v>35</v>
      </c>
      <c r="H54">
        <v>13</v>
      </c>
      <c r="I54" s="19">
        <v>14</v>
      </c>
      <c r="J54" s="19">
        <v>12</v>
      </c>
      <c r="K54">
        <f t="shared" si="44"/>
        <v>26</v>
      </c>
      <c r="P54" s="93"/>
      <c r="Q54" s="109"/>
      <c r="AR54" s="100"/>
      <c r="AS54" s="93"/>
      <c r="AT54" s="109"/>
      <c r="BU54" s="100"/>
    </row>
    <row r="55" spans="2:73" x14ac:dyDescent="0.25">
      <c r="B55" t="s">
        <v>462</v>
      </c>
      <c r="C55" s="19">
        <v>29</v>
      </c>
      <c r="D55" s="19">
        <v>0</v>
      </c>
      <c r="E55">
        <f t="shared" si="43"/>
        <v>29</v>
      </c>
      <c r="H55">
        <v>14</v>
      </c>
      <c r="I55" s="19">
        <v>12</v>
      </c>
      <c r="J55" s="19">
        <v>27</v>
      </c>
      <c r="K55">
        <f t="shared" si="44"/>
        <v>39</v>
      </c>
      <c r="P55" s="93"/>
      <c r="Q55" s="110" t="str">
        <f>$Q$31</f>
        <v>A.02</v>
      </c>
      <c r="R55" t="str">
        <f>$Q$21</f>
        <v>L2</v>
      </c>
      <c r="S55">
        <f>$E$21</f>
        <v>10.6875</v>
      </c>
      <c r="T55" cm="1">
        <f t="array" ref="T55">IFERROR(IF(S55=0,0,(INDEX($C$33:$C$38,MATCH($W$31,$B$33:$B$38,0),0)*(S59+$X$31)+$T$31*COUNTIF(S55:S58,"&gt;0")*$C$32+$V$31*$C$31)*$R$31),0)</f>
        <v>0</v>
      </c>
      <c r="U55">
        <f>IF(S55=0,0,-(COUNTIF(S55:S58,"&gt;0")*$T$31*$C$32+$V$31*$C$31)*$H$27*$R$31)</f>
        <v>0</v>
      </c>
      <c r="V55">
        <f>IF(S55=0,0,$V$31*$H$26*$R$31)</f>
        <v>0</v>
      </c>
      <c r="W55">
        <f>(0.6*T55+0.7*U55)*$R$31/2</f>
        <v>0</v>
      </c>
      <c r="X55">
        <f>(0.6*T55+0.6*V55)*$R$31/2</f>
        <v>0</v>
      </c>
      <c r="Z55">
        <f>IF(S55=0,0,$AD$31*$AP$21)</f>
        <v>0</v>
      </c>
      <c r="AA55">
        <f>IFERROR(Z55/$R$31,0)</f>
        <v>0</v>
      </c>
      <c r="AB55">
        <f>Z55*($F$21+IF($F$21=0,0,($C$14+$C$15+IF($C$13="single",1.5,3)+3)/12))</f>
        <v>0</v>
      </c>
      <c r="AC55">
        <f>AB55-W55</f>
        <v>0</v>
      </c>
      <c r="AD55" cm="1">
        <f t="array" ref="AD55">IFERROR(IF(AC55&lt;0,0,AC55/($R$31-INDEX(hd_off,MATCH(AQ55,hd_mark,0),0)/12)),0)</f>
        <v>0</v>
      </c>
      <c r="AE55">
        <f>IF(S55=0,0,$AD$31*$AM$21)</f>
        <v>0</v>
      </c>
      <c r="AF55">
        <f>IFERROR(AE55/$R$31,0)</f>
        <v>0</v>
      </c>
      <c r="AG55">
        <f>AE55*($F$21+IF($F$21=0,0,($C$14+$C$15+IF($C$13="single",1.5,3)+3)/12))</f>
        <v>0</v>
      </c>
      <c r="AH55">
        <f>AG55-X55</f>
        <v>0</v>
      </c>
      <c r="AI55" cm="1">
        <f t="array" ref="AI55">IFERROR(IF(AH55&lt;0,0,AH55/($R$31-INDEX(hd_off,MATCH(AQ55,hd_mark,0),0)/12)),0)</f>
        <v>0</v>
      </c>
      <c r="AJ55">
        <f>MAX($F$21,$Y$31)/$Q$52</f>
        <v>0.30172413793103448</v>
      </c>
      <c r="AK55">
        <f>IF(AJ55=0,0,IF(AJ55&gt;2,1.25-0.125*AJ55,1))</f>
        <v>1</v>
      </c>
      <c r="AL55" cm="1">
        <f t="array" ref="AL55">IFERROR(INDEX(sheath_ecap_asd,MATCH(AP55,sheath_mark,0),0)*AK55,0)</f>
        <v>0</v>
      </c>
      <c r="AM55" cm="1">
        <f t="array" ref="AM55">IFERROR(INDEX(sheath_wcap_asd,MATCH(AP55,sheath_mark,0),0)*AK55,0)</f>
        <v>0</v>
      </c>
      <c r="AN55" cm="1">
        <f t="array" ref="AN55">IFERROR(INDEX(hd_cap,MATCH(AQ55,hd_mark,0),0),0)</f>
        <v>0</v>
      </c>
      <c r="AP55" s="19"/>
      <c r="AQ55" s="19"/>
      <c r="AR55" s="100"/>
      <c r="AS55" s="93"/>
      <c r="AT55" s="110" t="str">
        <f>$AT$31</f>
        <v>1.02</v>
      </c>
      <c r="AU55" t="str">
        <f>$Q$21</f>
        <v>L2</v>
      </c>
      <c r="AV55">
        <f>$E$21</f>
        <v>10.6875</v>
      </c>
      <c r="AW55" cm="1">
        <f t="array" ref="AW55">IFERROR(IF(AV55=0,0,(INDEX($C$33:$C$38,MATCH($AZ$31,$B$33:$B$38,0),0)*(AV59+$BA$31)+$AW$31*COUNTIF(AV55:AV58,"&gt;0")*$C$32+$AY$31*$C$31)*$AU$31),0)</f>
        <v>0</v>
      </c>
      <c r="AX55">
        <f>IF(AV55=0,0,-(COUNTIF(AV55:AV58,"&gt;0")*$AW$31*$C$32+$AY$31*$C$31)*$H$27*$AU$31)</f>
        <v>0</v>
      </c>
      <c r="AY55">
        <f>IF(AV55=0,0,$AY$31*$H$26*$AU$31)</f>
        <v>0</v>
      </c>
      <c r="AZ55">
        <f>(0.6*AW55+0.7*AX55)*$AU$31/2</f>
        <v>0</v>
      </c>
      <c r="BA55">
        <f>(0.6*AW55+0.6*AY55)*$AU$31/2</f>
        <v>0</v>
      </c>
      <c r="BC55">
        <f>IF(AV55=0,0,$BG$31*$AP$21)</f>
        <v>0</v>
      </c>
      <c r="BD55">
        <f>IFERROR(BC55/$AU$31,0)</f>
        <v>0</v>
      </c>
      <c r="BE55">
        <f>BC55*($F$21+IF($F$21=0,0,($C$14+$C$15+IF($C$13="single",1.5,3)+3)/12))</f>
        <v>0</v>
      </c>
      <c r="BF55">
        <f>BE55-AZ55</f>
        <v>0</v>
      </c>
      <c r="BG55" cm="1">
        <f t="array" ref="BG55">IFERROR(IF(BF55&lt;0,0,BF55/($AU$31-INDEX(hd_off,MATCH(BT55,hd_mark,0),0)/12)),0)</f>
        <v>0</v>
      </c>
      <c r="BH55">
        <f>IF(AV55=0,0,$BG$31*$AM$21)</f>
        <v>0</v>
      </c>
      <c r="BI55">
        <f>IFERROR(BH55/$AU$31,0)</f>
        <v>0</v>
      </c>
      <c r="BJ55">
        <f>BH55*($F$21+IF($F$21=0,0,($C$14+$C$15+IF($C$13="single",1.5,3)+3)/12))</f>
        <v>0</v>
      </c>
      <c r="BK55">
        <f>BJ55-BA55</f>
        <v>0</v>
      </c>
      <c r="BL55" cm="1">
        <f t="array" ref="BL55">IFERROR(IF(BK55&lt;0,0,BK55/($AU$31-INDEX(hd_off,MATCH(BT55,hd_mark,0),0)/12)),0)</f>
        <v>0</v>
      </c>
      <c r="BM55">
        <f>MAX($F$21,$BB$31)/$Q$52</f>
        <v>0.30172413793103448</v>
      </c>
      <c r="BN55">
        <f>IF(BM55=0,0,IF(BM55&gt;2,1.25-0.125*BM55,1))</f>
        <v>1</v>
      </c>
      <c r="BO55" cm="1">
        <f t="array" ref="BO55">IFERROR(INDEX(sheath_ecap_asd,MATCH(BS55,sheath_mark,0),0)*BN55,0)</f>
        <v>0</v>
      </c>
      <c r="BP55" cm="1">
        <f t="array" ref="BP55">IFERROR(INDEX(sheath_wcap_asd,MATCH(BS55,sheath_mark,0),0)*BN55,0)</f>
        <v>0</v>
      </c>
      <c r="BQ55" cm="1">
        <f t="array" ref="BQ55">IFERROR(INDEX(hd_cap,MATCH(BT55,hd_mark,0),0),0)</f>
        <v>0</v>
      </c>
      <c r="BS55" s="19"/>
      <c r="BT55" s="19"/>
      <c r="BU55" s="100"/>
    </row>
    <row r="56" spans="2:73" x14ac:dyDescent="0.25">
      <c r="B56" t="s">
        <v>463</v>
      </c>
      <c r="C56" s="19"/>
      <c r="D56" s="19"/>
      <c r="E56">
        <f t="shared" si="43"/>
        <v>0</v>
      </c>
      <c r="H56">
        <v>15</v>
      </c>
      <c r="I56" s="19">
        <v>27</v>
      </c>
      <c r="J56" s="19">
        <v>18</v>
      </c>
      <c r="K56">
        <f t="shared" si="44"/>
        <v>45</v>
      </c>
      <c r="P56" s="93"/>
      <c r="Q56" s="109"/>
      <c r="R56" t="str">
        <f>$Q$22</f>
        <v>L3</v>
      </c>
      <c r="S56">
        <f>$E$22</f>
        <v>21.375</v>
      </c>
      <c r="T56" cm="1">
        <f t="array" ref="T56">IFERROR(IF(S56=0,0,(INDEX($C$33:$C$38,MATCH($W$31,$B$33:$B$38,0),0)*(S59+$X$31)+$T$31*COUNTIF(S56:S58,"&gt;0")*$C$32+$V$31*$C$31)*$R$31),0)</f>
        <v>0</v>
      </c>
      <c r="U56">
        <f>IF(S56=0,0,-(COUNTIF(S56:S58,"&gt;0")*$T$31*$C$32+$V$31*$C$31)*$H$27*$R$31)</f>
        <v>0</v>
      </c>
      <c r="V56">
        <f>IF(S56=0,0,$V$31*$H$26*$R$31)</f>
        <v>0</v>
      </c>
      <c r="W56">
        <f>(0.6*T56+0.7*U56)*$R$31/2</f>
        <v>0</v>
      </c>
      <c r="X56">
        <f>T56*$R$31/2</f>
        <v>0</v>
      </c>
      <c r="Z56">
        <f>IF(S56=0,0,$AD$31*$AP$22)</f>
        <v>0</v>
      </c>
      <c r="AA56">
        <f>IFERROR(Z56/$R$31,0)</f>
        <v>0</v>
      </c>
      <c r="AB56">
        <f>Z56*($F$22+IF($F$22=0,0,($C$14+$C$15+IF($C$13="single",1.5,3)+3)/12))</f>
        <v>0</v>
      </c>
      <c r="AC56">
        <f>AB56-W56</f>
        <v>0</v>
      </c>
      <c r="AD56" cm="1">
        <f t="array" ref="AD56">IFERROR(IF(AC56&lt;0,0,AC56/($R$31-INDEX(hd_off,MATCH(AQ56,hd_mark,0),0)/12)),0)</f>
        <v>0</v>
      </c>
      <c r="AE56">
        <f>IF(S56=0,0,$AD$31*$AM$22)</f>
        <v>0</v>
      </c>
      <c r="AF56">
        <f>IFERROR(AE56/$R$31,0)</f>
        <v>0</v>
      </c>
      <c r="AG56">
        <f>AE56*($F$22+IF($F$22=0,0,($C$14+$C$15+IF($C$13="single",1.5,3)+3)/12))</f>
        <v>0</v>
      </c>
      <c r="AH56">
        <f>AG56-X56</f>
        <v>0</v>
      </c>
      <c r="AI56" cm="1">
        <f t="array" ref="AI56">IFERROR(IF(AH56&lt;0,0,AH56/($R$31-INDEX(hd_off,MATCH(AQ56,hd_mark,0),0)/12)),0)</f>
        <v>0</v>
      </c>
      <c r="AJ56">
        <f>MAX($F$22,$Z$31)/$Q$52</f>
        <v>0.30172413793103448</v>
      </c>
      <c r="AK56">
        <f t="shared" ref="AK56:AK59" si="48">IF(AJ56=0,0,IF(AJ56&gt;2,1.25-0.125*AJ56,1))</f>
        <v>1</v>
      </c>
      <c r="AL56" cm="1">
        <f t="array" ref="AL56">IFERROR(INDEX(sheath_ecap_asd,MATCH(AP56,sheath_mark,0),0)*AK56,0)</f>
        <v>0</v>
      </c>
      <c r="AM56" cm="1">
        <f t="array" ref="AM56">IFERROR(INDEX(sheath_wcap_asd,MATCH(AP56,sheath_mark,0),0)*AK56,0)</f>
        <v>0</v>
      </c>
      <c r="AN56" cm="1">
        <f t="array" ref="AN56">IFERROR(INDEX(hd_cap,MATCH(AQ56,hd_mark,0),0),0)</f>
        <v>0</v>
      </c>
      <c r="AP56" s="19"/>
      <c r="AQ56" s="19"/>
      <c r="AR56" s="100"/>
      <c r="AS56" s="93"/>
      <c r="AT56" s="109"/>
      <c r="AU56" t="str">
        <f>$Q$22</f>
        <v>L3</v>
      </c>
      <c r="AV56">
        <f>$E$22</f>
        <v>21.375</v>
      </c>
      <c r="AW56" cm="1">
        <f t="array" ref="AW56">IFERROR(IF(AV56=0,0,(INDEX($C$33:$C$38,MATCH($AZ$31,$B$33:$B$38,0),0)*(AV59+$BA$31)+$AW$31*COUNTIF(AV56:AV58,"&gt;0")*$C$32+$AY$31*$C$31)*$AU$31),0)</f>
        <v>0</v>
      </c>
      <c r="AX56">
        <f>IF(AV56=0,0,-(COUNTIF(AV56:AV58,"&gt;0")*$AW$31*$C$32+$AY$31*$C$31)*$H$27*$AU$31)</f>
        <v>0</v>
      </c>
      <c r="AY56">
        <f>IF(AV56=0,0,$AY$31*$H$26*$AU$31)</f>
        <v>0</v>
      </c>
      <c r="AZ56">
        <f>(0.6*AW56+0.7*AX56)*$AU$31/2</f>
        <v>0</v>
      </c>
      <c r="BA56">
        <f>AW56*$AU$31/2</f>
        <v>0</v>
      </c>
      <c r="BC56">
        <f>IF(AV56=0,0,$BG$31*$AP$22)</f>
        <v>0</v>
      </c>
      <c r="BD56">
        <f>IFERROR(BC56/$AU$31,0)</f>
        <v>0</v>
      </c>
      <c r="BE56">
        <f>BC56*($F$22+IF($F$22=0,0,($C$14+$C$15+IF($C$13="single",1.5,3)+3)/12))</f>
        <v>0</v>
      </c>
      <c r="BF56">
        <f>BE56-AZ56</f>
        <v>0</v>
      </c>
      <c r="BG56" cm="1">
        <f t="array" ref="BG56">IFERROR(IF(BF56&lt;0,0,BF56/($AU$31-INDEX(hd_off,MATCH(BT56,hd_mark,0),0)/12)),0)</f>
        <v>0</v>
      </c>
      <c r="BH56">
        <f>IF(AV56=0,0,$BG$31*$AM$22)</f>
        <v>0</v>
      </c>
      <c r="BI56">
        <f>IFERROR(BH56/$AU$31,0)</f>
        <v>0</v>
      </c>
      <c r="BJ56">
        <f>BH56*($F$22+IF($F$22=0,0,($C$14+$C$15+IF($C$13="single",1.5,3)+3)/12))</f>
        <v>0</v>
      </c>
      <c r="BK56">
        <f>BJ56-BA56</f>
        <v>0</v>
      </c>
      <c r="BL56" cm="1">
        <f t="array" ref="BL56">IFERROR(IF(BK56&lt;0,0,BK56/($AU$31-INDEX(hd_off,MATCH(BT56,hd_mark,0),0)/12)),0)</f>
        <v>0</v>
      </c>
      <c r="BM56">
        <f>MAX($F$22,$BC$31)/$Q$52</f>
        <v>0.30172413793103448</v>
      </c>
      <c r="BN56">
        <f t="shared" ref="BN56:BN59" si="49">IF(BM56=0,0,IF(BM56&gt;2,1.25-0.125*BM56,1))</f>
        <v>1</v>
      </c>
      <c r="BO56" cm="1">
        <f t="array" ref="BO56">IFERROR(INDEX(sheath_ecap_asd,MATCH(BS56,sheath_mark,0),0)*BN56,0)</f>
        <v>0</v>
      </c>
      <c r="BP56" cm="1">
        <f t="array" ref="BP56">IFERROR(INDEX(sheath_wcap_asd,MATCH(BS56,sheath_mark,0),0)*BN56,0)</f>
        <v>0</v>
      </c>
      <c r="BQ56" cm="1">
        <f t="array" ref="BQ56">IFERROR(INDEX(hd_cap,MATCH(BT56,hd_mark,0),0),0)</f>
        <v>0</v>
      </c>
      <c r="BS56" s="19"/>
      <c r="BT56" s="19"/>
      <c r="BU56" s="100"/>
    </row>
    <row r="57" spans="2:73" x14ac:dyDescent="0.25">
      <c r="B57" t="s">
        <v>464</v>
      </c>
      <c r="C57" s="19"/>
      <c r="D57" s="19"/>
      <c r="E57">
        <f t="shared" si="43"/>
        <v>0</v>
      </c>
      <c r="H57">
        <v>16</v>
      </c>
      <c r="I57" s="19"/>
      <c r="J57" s="19"/>
      <c r="K57">
        <f t="shared" si="44"/>
        <v>0</v>
      </c>
      <c r="P57" s="93"/>
      <c r="Q57" s="109" t="s">
        <v>491</v>
      </c>
      <c r="R57" t="str">
        <f>$Q$23</f>
        <v>L4</v>
      </c>
      <c r="S57">
        <f>$E$23</f>
        <v>0</v>
      </c>
      <c r="T57" cm="1">
        <f t="array" ref="T57">IFERROR(IF(S57=0,0,(INDEX($C$33:$C$38,MATCH($W$31,$B$33:$B$38,0),0)*(S59+$X$31)+$T$31*COUNTIF(S57:S58,"&gt;0")*$C$32+$V$31*$C$31)*$R$31),0)</f>
        <v>0</v>
      </c>
      <c r="U57">
        <f>IF(S57=0,0,-(COUNTIF(S57:S58,"&gt;0")*$T$31*$C$32+$V$31*$C$31)*$H$27*$R$31)</f>
        <v>0</v>
      </c>
      <c r="V57">
        <f>IF(S57=0,0,$V$31*$H$26*$R$31)</f>
        <v>0</v>
      </c>
      <c r="W57">
        <f>(0.6*T57+0.7*U57)*$R$31/2</f>
        <v>0</v>
      </c>
      <c r="X57">
        <f>T57*$R$31/2</f>
        <v>0</v>
      </c>
      <c r="Z57">
        <f>IF(S57=0,0,$AD$31*$AP$23)</f>
        <v>0</v>
      </c>
      <c r="AA57">
        <f>IFERROR(Z57/$R$31,0)</f>
        <v>0</v>
      </c>
      <c r="AB57">
        <f>Z57*($F$23+IF($F$23=0,0,($C$14+$C$15+IF($C$13="single",1.5,3)+3)/12))</f>
        <v>0</v>
      </c>
      <c r="AC57">
        <f>AB57-W57</f>
        <v>0</v>
      </c>
      <c r="AD57" cm="1">
        <f t="array" ref="AD57">IFERROR(IF(AC57&lt;0,0,AC57/($R$31-INDEX(hd_off,MATCH(AQ57,hd_mark,0),0)/12)),0)</f>
        <v>0</v>
      </c>
      <c r="AE57">
        <f>IF(S57=0,0,$AD$31*$AM$23)</f>
        <v>0</v>
      </c>
      <c r="AF57">
        <f>IFERROR(AE57/$R$31,0)</f>
        <v>0</v>
      </c>
      <c r="AG57">
        <f>AE57*($F$23+IF($F$23=0,0,($C$14+$C$15+IF($C$13="single",1.5,3)+3)/12))</f>
        <v>0</v>
      </c>
      <c r="AH57">
        <f>AG57-X57</f>
        <v>0</v>
      </c>
      <c r="AI57" cm="1">
        <f t="array" ref="AI57">IFERROR(IF(AH57&lt;0,0,AH57/($R$31-INDEX(hd_off,MATCH(AQ57,hd_mark,0),0)/12)),0)</f>
        <v>0</v>
      </c>
      <c r="AJ57">
        <f>MAX($F$23,$AA$31)/$Q$52</f>
        <v>0</v>
      </c>
      <c r="AK57">
        <f t="shared" si="48"/>
        <v>0</v>
      </c>
      <c r="AL57" cm="1">
        <f t="array" ref="AL57">IFERROR(INDEX(sheath_ecap_asd,MATCH(AP57,sheath_mark,0),0)*AK57,0)</f>
        <v>0</v>
      </c>
      <c r="AM57" cm="1">
        <f t="array" ref="AM57">IFERROR(INDEX(sheath_wcap_asd,MATCH(AP57,sheath_mark,0),0)*AK57,0)</f>
        <v>0</v>
      </c>
      <c r="AN57" cm="1">
        <f t="array" ref="AN57">IFERROR(INDEX(hd_cap,MATCH(AQ57,hd_mark,0),0),0)</f>
        <v>0</v>
      </c>
      <c r="AP57" s="19"/>
      <c r="AQ57" s="19"/>
      <c r="AR57" s="100"/>
      <c r="AS57" s="93"/>
      <c r="AT57" s="109" t="s">
        <v>491</v>
      </c>
      <c r="AU57" t="str">
        <f>$Q$23</f>
        <v>L4</v>
      </c>
      <c r="AV57">
        <f>$E$23</f>
        <v>0</v>
      </c>
      <c r="AW57" cm="1">
        <f t="array" ref="AW57">IFERROR(IF(AV57=0,0,(INDEX($C$33:$C$38,MATCH($AZ$31,$B$33:$B$38,0),0)*(AV59+$BA$31)+$AW$31*COUNTIF(AV57:AV58,"&gt;0")*$C$32+$AY$31*$C$31)*$AU$31),0)</f>
        <v>0</v>
      </c>
      <c r="AX57">
        <f>IF(AV57=0,0,-(COUNTIF(AV57:AV58,"&gt;0")*$AW$31*$C$32+$AY$31*$C$31)*$H$27*$AU$31)</f>
        <v>0</v>
      </c>
      <c r="AY57">
        <f>IF(AV57=0,0,$AY$31*$H$26*$AU$31)</f>
        <v>0</v>
      </c>
      <c r="AZ57">
        <f>(0.6*AW57+0.7*AX57)*$AU$31/2</f>
        <v>0</v>
      </c>
      <c r="BA57">
        <f>AW57*$AU$31/2</f>
        <v>0</v>
      </c>
      <c r="BC57">
        <f>IF(AV57=0,0,$BG$31*$AP$23)</f>
        <v>0</v>
      </c>
      <c r="BD57">
        <f>IFERROR(BC57/$AU$31,0)</f>
        <v>0</v>
      </c>
      <c r="BE57">
        <f>BC57*($F$23+IF($F$23=0,0,($C$14+$C$15+IF($C$13="single",1.5,3)+3)/12))</f>
        <v>0</v>
      </c>
      <c r="BF57">
        <f>BE57-AZ57</f>
        <v>0</v>
      </c>
      <c r="BG57" cm="1">
        <f t="array" ref="BG57">IFERROR(IF(BF57&lt;0,0,BF57/($AU$31-INDEX(hd_off,MATCH(BT57,hd_mark,0),0)/12)),0)</f>
        <v>0</v>
      </c>
      <c r="BH57">
        <f>IF(AV57=0,0,$BG$31*$AM$23)</f>
        <v>0</v>
      </c>
      <c r="BI57">
        <f>IFERROR(BH57/$AU$31,0)</f>
        <v>0</v>
      </c>
      <c r="BJ57">
        <f>BH57*($F$23+IF($F$23=0,0,($C$14+$C$15+IF($C$13="single",1.5,3)+3)/12))</f>
        <v>0</v>
      </c>
      <c r="BK57">
        <f>BJ57-BA57</f>
        <v>0</v>
      </c>
      <c r="BL57" cm="1">
        <f t="array" ref="BL57">IFERROR(IF(BK57&lt;0,0,BK57/($AU$31-INDEX(hd_off,MATCH(BT57,hd_mark,0),0)/12)),0)</f>
        <v>0</v>
      </c>
      <c r="BM57">
        <f>MAX($F$23,$BD$31)/$Q$52</f>
        <v>0</v>
      </c>
      <c r="BN57">
        <f t="shared" si="49"/>
        <v>0</v>
      </c>
      <c r="BO57" cm="1">
        <f t="array" ref="BO57">IFERROR(INDEX(sheath_ecap_asd,MATCH(BS57,sheath_mark,0),0)*BN57,0)</f>
        <v>0</v>
      </c>
      <c r="BP57" cm="1">
        <f t="array" ref="BP57">IFERROR(INDEX(sheath_wcap_asd,MATCH(BS57,sheath_mark,0),0)*BN57,0)</f>
        <v>0</v>
      </c>
      <c r="BQ57" cm="1">
        <f t="array" ref="BQ57">IFERROR(INDEX(hd_cap,MATCH(BT57,hd_mark,0),0),0)</f>
        <v>0</v>
      </c>
      <c r="BS57" s="19"/>
      <c r="BT57" s="19"/>
      <c r="BU57" s="100"/>
    </row>
    <row r="58" spans="2:73" x14ac:dyDescent="0.25">
      <c r="B58" t="s">
        <v>465</v>
      </c>
      <c r="C58" s="19"/>
      <c r="D58" s="19"/>
      <c r="E58">
        <f t="shared" si="43"/>
        <v>0</v>
      </c>
      <c r="H58">
        <v>17</v>
      </c>
      <c r="I58" s="19"/>
      <c r="J58" s="19"/>
      <c r="K58">
        <f t="shared" si="44"/>
        <v>0</v>
      </c>
      <c r="P58" s="93"/>
      <c r="Q58" s="111">
        <f>$R$31</f>
        <v>0</v>
      </c>
      <c r="R58" t="str">
        <f>$Q$24</f>
        <v>L5</v>
      </c>
      <c r="S58">
        <f>$E$24</f>
        <v>0</v>
      </c>
      <c r="T58" cm="1">
        <f t="array" ref="T58">IFERROR(IF(S58=0,0,(INDEX($C$33:$C$38,MATCH($W$31,$B$33:$B$38,0),0)*(S59+$X$31)+$T$31*COUNTIF(S58:S58,"&gt;0")*$C$32+$V$31*$C$31)*$R$31),0)</f>
        <v>0</v>
      </c>
      <c r="U58">
        <f>IF(S58=0,0,-(COUNTIF(S58:S58,"&gt;0")*$T$31*$C$32+$V$31*$C$31)*$H$27*$R$31)</f>
        <v>0</v>
      </c>
      <c r="V58">
        <f>IF(S58=0,0,$V$31*$H$26*$R$31)</f>
        <v>0</v>
      </c>
      <c r="W58">
        <f>(0.6*T58+0.7*U58)*$R$31/2</f>
        <v>0</v>
      </c>
      <c r="X58">
        <f>T58*$R$31/2</f>
        <v>0</v>
      </c>
      <c r="Z58">
        <f>IF(S58=0,0,$AD$31*$AP$24)</f>
        <v>0</v>
      </c>
      <c r="AA58">
        <f>IFERROR(Z58/$R$31,0)</f>
        <v>0</v>
      </c>
      <c r="AB58">
        <f>Z58*($F$24+IF($F$24=0,0,($C$14+$C$15+IF($C$13="single",1.5,3)+3)/12))</f>
        <v>0</v>
      </c>
      <c r="AC58">
        <f>AB58-W58</f>
        <v>0</v>
      </c>
      <c r="AD58" cm="1">
        <f t="array" ref="AD58">IFERROR(IF(AC58&lt;0,0,AC58/($R$31-INDEX(hd_off,MATCH(AQ58,hd_mark,0),0)/12)),0)</f>
        <v>0</v>
      </c>
      <c r="AE58">
        <f>IF(S58=0,0,$AD$31*$AM$24)</f>
        <v>0</v>
      </c>
      <c r="AF58">
        <f>IFERROR(AE58/$R$31,0)</f>
        <v>0</v>
      </c>
      <c r="AG58">
        <f>AE58*($F$24+IF($F$24=0,0,($C$14+$C$15+IF($C$13="single",1.5,3)+3)/12))</f>
        <v>0</v>
      </c>
      <c r="AH58">
        <f>AG58-X58</f>
        <v>0</v>
      </c>
      <c r="AI58" cm="1">
        <f t="array" ref="AI58">IFERROR(IF(AH58&lt;0,0,AH58/($R$31-INDEX(hd_off,MATCH(AQ58,hd_mark,0),0)/12)),0)</f>
        <v>0</v>
      </c>
      <c r="AJ58">
        <f>MAX($F$24,$AB$31)/$Q$52</f>
        <v>0</v>
      </c>
      <c r="AK58">
        <f t="shared" si="48"/>
        <v>0</v>
      </c>
      <c r="AL58" cm="1">
        <f t="array" ref="AL58">IFERROR(INDEX(sheath_ecap_asd,MATCH(AP58,sheath_mark,0),0)*AK58,0)</f>
        <v>0</v>
      </c>
      <c r="AM58" cm="1">
        <f t="array" ref="AM58">IFERROR(INDEX(sheath_wcap_asd,MATCH(AP58,sheath_mark,0),0)*AK58,0)</f>
        <v>0</v>
      </c>
      <c r="AN58" cm="1">
        <f t="array" ref="AN58">IFERROR(INDEX(hd_cap,MATCH(AQ58,hd_mark,0),0),0)</f>
        <v>0</v>
      </c>
      <c r="AP58" s="19"/>
      <c r="AQ58" s="19"/>
      <c r="AR58" s="100"/>
      <c r="AS58" s="93"/>
      <c r="AT58" s="111">
        <f>$R$31</f>
        <v>0</v>
      </c>
      <c r="AU58" t="str">
        <f>$Q$24</f>
        <v>L5</v>
      </c>
      <c r="AV58">
        <f>$E$24</f>
        <v>0</v>
      </c>
      <c r="AW58" cm="1">
        <f t="array" ref="AW58">IFERROR(IF(AV58=0,0,(INDEX($C$33:$C$38,MATCH($AZ$31,$B$33:$B$38,0),0)*(AV59+$BA$31)+$AW$31*COUNTIF(AV58:AV58,"&gt;0")*$C$32+$AY$31*$C$31)*$AU$31),0)</f>
        <v>0</v>
      </c>
      <c r="AX58">
        <f>IF(AV58=0,0,-(COUNTIF(AV58:AV58,"&gt;0")*$AW$31*$C$32+$AY$31*$C$31)*$H$27*$AU$31)</f>
        <v>0</v>
      </c>
      <c r="AY58">
        <f>IF(AV58=0,0,$AY$31*$H$26*$AU$31)</f>
        <v>0</v>
      </c>
      <c r="AZ58">
        <f>(0.6*AW58+0.7*AX58)*$AU$31/2</f>
        <v>0</v>
      </c>
      <c r="BA58">
        <f>AW58*$AU$31/2</f>
        <v>0</v>
      </c>
      <c r="BC58">
        <f>IF(AV58=0,0,$BG$31*$AP$24)</f>
        <v>0</v>
      </c>
      <c r="BD58">
        <f>IFERROR(BC58/$AU$31,0)</f>
        <v>0</v>
      </c>
      <c r="BE58">
        <f>BC58*($F$24+IF($F$24=0,0,($C$14+$C$15+IF($C$13="single",1.5,3)+3)/12))</f>
        <v>0</v>
      </c>
      <c r="BF58">
        <f>BE58-AZ58</f>
        <v>0</v>
      </c>
      <c r="BG58" cm="1">
        <f t="array" ref="BG58">IFERROR(IF(BF58&lt;0,0,BF58/($AU$31-INDEX(hd_off,MATCH(BT58,hd_mark,0),0)/12)),0)</f>
        <v>0</v>
      </c>
      <c r="BH58">
        <f>IF(AV58=0,0,$BG$31*$AM$24)</f>
        <v>0</v>
      </c>
      <c r="BI58">
        <f>IFERROR(BH58/$AU$31,0)</f>
        <v>0</v>
      </c>
      <c r="BJ58">
        <f>BH58*($F$24+IF($F$24=0,0,($C$14+$C$15+IF($C$13="single",1.5,3)+3)/12))</f>
        <v>0</v>
      </c>
      <c r="BK58">
        <f>BJ58-BA58</f>
        <v>0</v>
      </c>
      <c r="BL58" cm="1">
        <f t="array" ref="BL58">IFERROR(IF(BK58&lt;0,0,BK58/($AU$31-INDEX(hd_off,MATCH(BT58,hd_mark,0),0)/12)),0)</f>
        <v>0</v>
      </c>
      <c r="BM58">
        <f>MAX($F$24,$BE$31)/$Q$52</f>
        <v>0</v>
      </c>
      <c r="BN58">
        <f t="shared" si="49"/>
        <v>0</v>
      </c>
      <c r="BO58" cm="1">
        <f t="array" ref="BO58">IFERROR(INDEX(sheath_ecap_asd,MATCH(BS58,sheath_mark,0),0)*BN58,0)</f>
        <v>0</v>
      </c>
      <c r="BP58" cm="1">
        <f t="array" ref="BP58">IFERROR(INDEX(sheath_wcap_asd,MATCH(BS58,sheath_mark,0),0)*BN58,0)</f>
        <v>0</v>
      </c>
      <c r="BQ58" cm="1">
        <f t="array" ref="BQ58">IFERROR(INDEX(hd_cap,MATCH(BT58,hd_mark,0),0),0)</f>
        <v>0</v>
      </c>
      <c r="BS58" s="19"/>
      <c r="BT58" s="19"/>
      <c r="BU58" s="100"/>
    </row>
    <row r="59" spans="2:73" x14ac:dyDescent="0.25">
      <c r="B59" t="s">
        <v>466</v>
      </c>
      <c r="C59" s="19"/>
      <c r="D59" s="19"/>
      <c r="E59">
        <f t="shared" si="43"/>
        <v>0</v>
      </c>
      <c r="H59">
        <v>18</v>
      </c>
      <c r="I59" s="19"/>
      <c r="J59" s="19"/>
      <c r="K59">
        <f t="shared" si="44"/>
        <v>0</v>
      </c>
      <c r="P59" s="93"/>
      <c r="Q59" s="109"/>
      <c r="R59" t="str">
        <f>$Q$25</f>
        <v>Roof</v>
      </c>
      <c r="S59">
        <f>$E$25</f>
        <v>33.171875</v>
      </c>
      <c r="T59" cm="1">
        <f t="array" ref="T59">IFERROR(IF(S59=0,0,(INDEX($C$33:$C$38,MATCH($W$31,$B$33:$B$38,0),0)*(S59+$X$31)+$V$31*$C$31)*$R$31),0)</f>
        <v>0</v>
      </c>
      <c r="U59">
        <f>IF(S59=0,0,-$V$31*$C$31*$H$27*$R$31)</f>
        <v>0</v>
      </c>
      <c r="V59">
        <f>IF(S59=0,0,$V$31*$H$26*$R$31)</f>
        <v>0</v>
      </c>
      <c r="W59">
        <f>(0.6*T59+0.7*U59)*$R$31/2</f>
        <v>0</v>
      </c>
      <c r="X59">
        <f>T59*$R$31/2</f>
        <v>0</v>
      </c>
      <c r="Z59">
        <f>IF(S59=0,0,$AD$31*$AP$25)</f>
        <v>0</v>
      </c>
      <c r="AA59">
        <f>IFERROR(Z59/$R$31,0)</f>
        <v>0</v>
      </c>
      <c r="AB59">
        <f>Z59*($F$25+($C$16+$C$17+IF($C$13="single",1.5,3)+3)/12)</f>
        <v>0</v>
      </c>
      <c r="AC59">
        <f>AB59-W59</f>
        <v>0</v>
      </c>
      <c r="AD59" cm="1">
        <f t="array" ref="AD59">IFERROR(IF(AC59&lt;0,0,AC59/($R$31-INDEX(hd_off,MATCH(AQ59,hd_mark,0),0)/12)),0)</f>
        <v>0</v>
      </c>
      <c r="AE59">
        <f>IF(S59=0,0,$AD$31*$AM$25)</f>
        <v>0</v>
      </c>
      <c r="AF59">
        <f>IFERROR(AE59/$R$31,0)</f>
        <v>0</v>
      </c>
      <c r="AG59">
        <f>AE59*($F$25+($C$16+$C$17+IF($C$13="single",1.5,3)+3)/12)</f>
        <v>0</v>
      </c>
      <c r="AH59">
        <f>AG59-X59</f>
        <v>0</v>
      </c>
      <c r="AI59" cm="1">
        <f t="array" ref="AI59">IFERROR(IF(AH59&lt;0,0,AH59/($R$31-INDEX(hd_off,MATCH(AQ59,hd_mark,0),0)/12)),0)</f>
        <v>0</v>
      </c>
      <c r="AJ59">
        <f>MAX($F$25,$AC$31)/$Q$52</f>
        <v>0.29920977011494249</v>
      </c>
      <c r="AK59">
        <f t="shared" si="48"/>
        <v>1</v>
      </c>
      <c r="AL59" cm="1">
        <f t="array" ref="AL59">IFERROR(INDEX(sheath_ecap_asd,MATCH(AP59,sheath_mark,0),0)*AK59,0)</f>
        <v>0</v>
      </c>
      <c r="AM59" cm="1">
        <f t="array" ref="AM59">IFERROR(INDEX(sheath_wcap_asd,MATCH(AP59,sheath_mark,0),0)*AK59,0)</f>
        <v>0</v>
      </c>
      <c r="AN59" cm="1">
        <f t="array" ref="AN59">IFERROR(INDEX(hd_cap,MATCH(AQ59,hd_mark,0),0),0)</f>
        <v>0</v>
      </c>
      <c r="AP59" s="19"/>
      <c r="AQ59" s="19"/>
      <c r="AR59" s="100"/>
      <c r="AS59" s="93"/>
      <c r="AT59" s="109"/>
      <c r="AU59" t="str">
        <f>$Q$25</f>
        <v>Roof</v>
      </c>
      <c r="AV59">
        <f>$E$25</f>
        <v>33.171875</v>
      </c>
      <c r="AW59" cm="1">
        <f t="array" ref="AW59">IFERROR(IF(AV59=0,0,(INDEX($C$33:$C$38,MATCH($AZ$31,$B$33:$B$38,0),0)*(AV59+$BA$31)+$AY$31*$C$31)*$AU$31),0)</f>
        <v>0</v>
      </c>
      <c r="AX59">
        <f>IF(AV59=0,0,-$AY$31*$C$31*$H$27*$AU$31)</f>
        <v>0</v>
      </c>
      <c r="AY59">
        <f>IF(AV59=0,0,$AY$31*$H$26*$AU$31)</f>
        <v>0</v>
      </c>
      <c r="AZ59">
        <f>(0.6*AW59+0.7*AX59)*$AU$31/2</f>
        <v>0</v>
      </c>
      <c r="BA59">
        <f>AW59*$AU$31/2</f>
        <v>0</v>
      </c>
      <c r="BC59">
        <f>IF(AV59=0,0,$BG$31*$AP$25)</f>
        <v>0</v>
      </c>
      <c r="BD59">
        <f>IFERROR(BC59/$AU$31,0)</f>
        <v>0</v>
      </c>
      <c r="BE59">
        <f>BC59*($F$25+($C$16+$C$17+IF($C$13="single",1.5,3)+3)/12)</f>
        <v>0</v>
      </c>
      <c r="BF59">
        <f>BE59-AZ59</f>
        <v>0</v>
      </c>
      <c r="BG59" cm="1">
        <f t="array" ref="BG59">IFERROR(IF(BF59&lt;0,0,BF59/($AU$31-INDEX(hd_off,MATCH(BT59,hd_mark,0),0)/12)),0)</f>
        <v>0</v>
      </c>
      <c r="BH59">
        <f>IF(AV59=0,0,$BG$31*$AM$25)</f>
        <v>0</v>
      </c>
      <c r="BI59">
        <f>IFERROR(BH59/$AU$31,0)</f>
        <v>0</v>
      </c>
      <c r="BJ59">
        <f>BH59*($F$25+($C$16+$C$17+IF($C$13="single",1.5,3)+3)/12)</f>
        <v>0</v>
      </c>
      <c r="BK59">
        <f>BJ59-BA59</f>
        <v>0</v>
      </c>
      <c r="BL59" cm="1">
        <f t="array" ref="BL59">IFERROR(IF(BK59&lt;0,0,BK59/($AU$31-INDEX(hd_off,MATCH(BT59,hd_mark,0),0)/12)),0)</f>
        <v>0</v>
      </c>
      <c r="BM59">
        <f>MAX($F$25,$BF$31)/$Q$52</f>
        <v>0.29920977011494249</v>
      </c>
      <c r="BN59">
        <f t="shared" si="49"/>
        <v>1</v>
      </c>
      <c r="BO59" cm="1">
        <f t="array" ref="BO59">IFERROR(INDEX(sheath_ecap_asd,MATCH(BS59,sheath_mark,0),0)*BN59,0)</f>
        <v>0</v>
      </c>
      <c r="BP59" cm="1">
        <f t="array" ref="BP59">IFERROR(INDEX(sheath_wcap_asd,MATCH(BS59,sheath_mark,0),0)*BN59,0)</f>
        <v>0</v>
      </c>
      <c r="BQ59" cm="1">
        <f t="array" ref="BQ59">IFERROR(INDEX(hd_cap,MATCH(BT59,hd_mark,0),0),0)</f>
        <v>0</v>
      </c>
      <c r="BS59" s="19"/>
      <c r="BT59" s="19"/>
      <c r="BU59" s="100"/>
    </row>
    <row r="60" spans="2:73" x14ac:dyDescent="0.25">
      <c r="B60" t="s">
        <v>467</v>
      </c>
      <c r="C60" s="19"/>
      <c r="D60" s="19"/>
      <c r="E60">
        <f t="shared" si="43"/>
        <v>0</v>
      </c>
      <c r="H60">
        <v>19</v>
      </c>
      <c r="I60" s="19"/>
      <c r="J60" s="19"/>
      <c r="K60">
        <f t="shared" si="44"/>
        <v>0</v>
      </c>
      <c r="P60" s="93"/>
      <c r="AR60" s="100"/>
      <c r="AS60" s="93"/>
      <c r="BU60" s="100"/>
    </row>
    <row r="61" spans="2:73" x14ac:dyDescent="0.25">
      <c r="B61" t="s">
        <v>468</v>
      </c>
      <c r="C61" s="19"/>
      <c r="D61" s="19"/>
      <c r="E61">
        <f t="shared" si="43"/>
        <v>0</v>
      </c>
      <c r="H61">
        <v>20</v>
      </c>
      <c r="I61" s="19"/>
      <c r="J61" s="19"/>
      <c r="K61">
        <f t="shared" si="44"/>
        <v>0</v>
      </c>
      <c r="P61" s="93"/>
      <c r="Q61" s="110" t="str">
        <f>$Q$32</f>
        <v>A.03</v>
      </c>
      <c r="R61" t="str">
        <f>$Q$21</f>
        <v>L2</v>
      </c>
      <c r="S61">
        <f>$E$21</f>
        <v>10.6875</v>
      </c>
      <c r="T61" cm="1">
        <f t="array" ref="T61">IFERROR(IF(S61=0,0,(INDEX($C$33:$C$38,MATCH($W$32,$B$33:$B$38,0),0)*(S65+$X$32)+$T$32*COUNTIF(S61:S64,"&gt;0")*$C$32+$V$32*$C$31)*$R$32),0)</f>
        <v>0</v>
      </c>
      <c r="U61">
        <f>IF(S61=0,0,-(COUNTIF(S61:S64,"&gt;0")*$T$32*$C$32+$V$32*$C$31)*$H$27*$R$32)</f>
        <v>0</v>
      </c>
      <c r="V61">
        <f>IF(S61=0,0,$V$32*$H$26*$R$32)</f>
        <v>0</v>
      </c>
      <c r="W61">
        <f>(0.6*T61+0.7*U61)*$R$32/2</f>
        <v>0</v>
      </c>
      <c r="X61">
        <f>(0.6*T61+0.6*V61)*$R$32/2</f>
        <v>0</v>
      </c>
      <c r="Z61">
        <f>IF(S61=0,0,$AD$32*$AP$21)</f>
        <v>0</v>
      </c>
      <c r="AA61">
        <f>IFERROR(Z61/$R$32,0)</f>
        <v>0</v>
      </c>
      <c r="AB61">
        <f>Z61*($F$21+IF($F$21=0,0,($C$14+$C$15+IF($C$13="single",1.5,3)+3)/12))</f>
        <v>0</v>
      </c>
      <c r="AC61">
        <f>AB61-W61</f>
        <v>0</v>
      </c>
      <c r="AD61" cm="1">
        <f t="array" ref="AD61">IFERROR(IF(AC61&lt;0,0,AC61/($R$32-INDEX(hd_off,MATCH(AQ61,hd_mark,0),0)/12)),0)</f>
        <v>0</v>
      </c>
      <c r="AE61">
        <f>IF(S61=0,0,$AD$32*$AM$21)</f>
        <v>0</v>
      </c>
      <c r="AF61">
        <f>IFERROR(AE61/$R$32,0)</f>
        <v>0</v>
      </c>
      <c r="AG61">
        <f>AE61*($F$21+IF($F$21=0,0,($C$14+$C$15+IF($C$13="single",1.5,3)+3)/12))</f>
        <v>0</v>
      </c>
      <c r="AH61">
        <f>AG61-X61</f>
        <v>0</v>
      </c>
      <c r="AI61" cm="1">
        <f t="array" ref="AI61">IFERROR(IF(AH61&lt;0,0,AH61/($R$32-INDEX(hd_off,MATCH(AQ61,hd_mark,0),0)/12)),0)</f>
        <v>0</v>
      </c>
      <c r="AJ61">
        <f>MAX($F$21,$Y$32)/$Q$52</f>
        <v>0.30172413793103448</v>
      </c>
      <c r="AK61">
        <f>IF(AJ61=0,0,IF(AJ61&gt;2,1.25-0.125*AJ61,1))</f>
        <v>1</v>
      </c>
      <c r="AL61" cm="1">
        <f t="array" ref="AL61">IFERROR(INDEX(sheath_ecap_asd,MATCH(AP61,sheath_mark,0),0)*AK61,0)</f>
        <v>0</v>
      </c>
      <c r="AM61" cm="1">
        <f t="array" ref="AM61">IFERROR(INDEX(sheath_wcap_asd,MATCH(AP61,sheath_mark,0),0)*AK61,0)</f>
        <v>0</v>
      </c>
      <c r="AN61" cm="1">
        <f t="array" ref="AN61">IFERROR(INDEX(hd_cap,MATCH(AQ61,hd_mark,0),0),0)</f>
        <v>0</v>
      </c>
      <c r="AP61" s="19"/>
      <c r="AQ61" s="19"/>
      <c r="AR61" s="100"/>
      <c r="AS61" s="93"/>
      <c r="AT61" s="110" t="str">
        <f>$AT$32</f>
        <v>1.03</v>
      </c>
      <c r="AU61" t="str">
        <f>$Q$21</f>
        <v>L2</v>
      </c>
      <c r="AV61">
        <f>$E$21</f>
        <v>10.6875</v>
      </c>
      <c r="AW61" cm="1">
        <f t="array" ref="AW61">IFERROR(IF(AV61=0,0,(INDEX($C$33:$C$38,MATCH($AZ$32,$B$33:$B$38,0),0)*(AV65+$BA$32)+$AW$32*COUNTIF(AV61:AV64,"&gt;0")*$C$32+$AY$32*$C$31)*$AU$32),0)</f>
        <v>0</v>
      </c>
      <c r="AX61">
        <f>IF(AV61=0,0,-(COUNTIF(AV61:AV64,"&gt;0")*$AW$32*$C$32+$AY$32*$C$31)*$H$27*$AU$32)</f>
        <v>0</v>
      </c>
      <c r="AY61">
        <f>IF(AV61=0,0,$AY$32*$H$26*$AU$32)</f>
        <v>0</v>
      </c>
      <c r="AZ61">
        <f>(0.6*AW61+0.7*AX61)*$AU$32/2</f>
        <v>0</v>
      </c>
      <c r="BA61">
        <f>(0.6*AW61+0.6*AY61)*$AU$32/2</f>
        <v>0</v>
      </c>
      <c r="BC61">
        <f>IF(AV61=0,0,$BG$32*$AP$21)</f>
        <v>0</v>
      </c>
      <c r="BD61">
        <f>IFERROR(BC61/$AU$32,0)</f>
        <v>0</v>
      </c>
      <c r="BE61">
        <f>BC61*($F$21+IF($F$21=0,0,($C$14+$C$15+IF($C$13="single",1.5,3)+3)/12))</f>
        <v>0</v>
      </c>
      <c r="BF61">
        <f>BE61-AZ61</f>
        <v>0</v>
      </c>
      <c r="BG61" cm="1">
        <f t="array" ref="BG61">IFERROR(IF(BF61&lt;0,0,BF61/($AU$32-INDEX(hd_off,MATCH(BT61,hd_mark,0),0)/12)),0)</f>
        <v>0</v>
      </c>
      <c r="BH61">
        <f>IF(AV61=0,0,$BG$32*$AM$21)</f>
        <v>0</v>
      </c>
      <c r="BI61">
        <f>IFERROR(BH61/$AU$32,0)</f>
        <v>0</v>
      </c>
      <c r="BJ61">
        <f>BH61*($F$21+IF($F$21=0,0,($C$14+$C$15+IF($C$13="single",1.5,3)+3)/12))</f>
        <v>0</v>
      </c>
      <c r="BK61">
        <f>BJ61-BA61</f>
        <v>0</v>
      </c>
      <c r="BL61" cm="1">
        <f t="array" ref="BL61">IFERROR(IF(BK61&lt;0,0,BK61/($AU$32-INDEX(hd_off,MATCH(BT61,hd_mark,0),0)/12)),0)</f>
        <v>0</v>
      </c>
      <c r="BM61">
        <f>MAX($F$21,$BB$32)/$Q$52</f>
        <v>0.30172413793103448</v>
      </c>
      <c r="BN61">
        <f>IF(BM61=0,0,IF(BM61&gt;2,1.25-0.125*BM61,1))</f>
        <v>1</v>
      </c>
      <c r="BO61" cm="1">
        <f t="array" ref="BO61">IFERROR(INDEX(sheath_ecap_asd,MATCH(BS61,sheath_mark,0),0)*BN61,0)</f>
        <v>0</v>
      </c>
      <c r="BP61" cm="1">
        <f t="array" ref="BP61">IFERROR(INDEX(sheath_wcap_asd,MATCH(BS61,sheath_mark,0),0)*BN61,0)</f>
        <v>0</v>
      </c>
      <c r="BQ61" cm="1">
        <f t="array" ref="BQ61">IFERROR(INDEX(hd_cap,MATCH(BT61,hd_mark,0),0),0)</f>
        <v>0</v>
      </c>
      <c r="BS61" s="19"/>
      <c r="BT61" s="19"/>
      <c r="BU61" s="100"/>
    </row>
    <row r="62" spans="2:73" x14ac:dyDescent="0.25">
      <c r="B62" t="s">
        <v>469</v>
      </c>
      <c r="C62" s="19"/>
      <c r="D62" s="19"/>
      <c r="E62">
        <f t="shared" si="43"/>
        <v>0</v>
      </c>
      <c r="H62">
        <v>21</v>
      </c>
      <c r="I62" s="19"/>
      <c r="J62" s="19"/>
      <c r="K62">
        <f t="shared" si="44"/>
        <v>0</v>
      </c>
      <c r="P62" s="93"/>
      <c r="Q62" s="109"/>
      <c r="R62" t="str">
        <f>$Q$22</f>
        <v>L3</v>
      </c>
      <c r="S62">
        <f>$E$22</f>
        <v>21.375</v>
      </c>
      <c r="T62" cm="1">
        <f t="array" ref="T62">IFERROR(IF(S62=0,0,(INDEX($C$33:$C$38,MATCH($W$32,$B$33:$B$38,0),0)*(S65+$X$32)+$T$32*COUNTIF(S62:S64,"&gt;0")*$C$32+$V$32*$C$31)*$R$32),0)</f>
        <v>0</v>
      </c>
      <c r="U62">
        <f>IF(S62=0,0,-(COUNTIF(S62:S64,"&gt;0")*$T$32*$C$32+$V$32*$C$31)*$H$27*$R$32)</f>
        <v>0</v>
      </c>
      <c r="V62">
        <f>IF(S62=0,0,$V$32*$H$26*$R$32)</f>
        <v>0</v>
      </c>
      <c r="W62">
        <f>(0.6*T62+0.7*U62)*$R$32/2</f>
        <v>0</v>
      </c>
      <c r="X62">
        <f>T62*$R$32/2</f>
        <v>0</v>
      </c>
      <c r="Z62">
        <f>IF(S62=0,0,$AD$32*$AP$22)</f>
        <v>0</v>
      </c>
      <c r="AA62">
        <f>IFERROR(Z62/$R$32,0)</f>
        <v>0</v>
      </c>
      <c r="AB62">
        <f>Z62*($F$22+IF($F$22=0,0,($C$14+$C$15+IF($C$13="single",1.5,3)+3)/12))</f>
        <v>0</v>
      </c>
      <c r="AC62">
        <f>AB62-W62</f>
        <v>0</v>
      </c>
      <c r="AD62" cm="1">
        <f t="array" ref="AD62">IFERROR(IF(AC62&lt;0,0,AC62/($R$32-INDEX(hd_off,MATCH(AQ62,hd_mark,0),0)/12)),0)</f>
        <v>0</v>
      </c>
      <c r="AE62">
        <f>IF(S62=0,0,$AD$32*$AM$22)</f>
        <v>0</v>
      </c>
      <c r="AF62">
        <f>IFERROR(AE62/$R$32,0)</f>
        <v>0</v>
      </c>
      <c r="AG62">
        <f>AE62*($F$22+IF($F$22=0,0,($C$14+$C$15+IF($C$13="single",1.5,3)+3)/12))</f>
        <v>0</v>
      </c>
      <c r="AH62">
        <f>AG62-X62</f>
        <v>0</v>
      </c>
      <c r="AI62" cm="1">
        <f t="array" ref="AI62">IFERROR(IF(AH62&lt;0,0,AH62/($R$32-INDEX(hd_off,MATCH(AQ62,hd_mark,0),0)/12)),0)</f>
        <v>0</v>
      </c>
      <c r="AJ62">
        <f>MAX($F$22,$Z$32)/$Q$52</f>
        <v>0.30172413793103448</v>
      </c>
      <c r="AK62">
        <f t="shared" ref="AK62:AK65" si="50">IF(AJ62=0,0,IF(AJ62&gt;2,1.25-0.125*AJ62,1))</f>
        <v>1</v>
      </c>
      <c r="AL62" cm="1">
        <f t="array" ref="AL62">IFERROR(INDEX(sheath_ecap_asd,MATCH(AP62,sheath_mark,0),0)*AK62,0)</f>
        <v>0</v>
      </c>
      <c r="AM62" cm="1">
        <f t="array" ref="AM62">IFERROR(INDEX(sheath_wcap_asd,MATCH(AP62,sheath_mark,0),0)*AK62,0)</f>
        <v>0</v>
      </c>
      <c r="AN62" cm="1">
        <f t="array" ref="AN62">IFERROR(INDEX(hd_cap,MATCH(AQ62,hd_mark,0),0),0)</f>
        <v>0</v>
      </c>
      <c r="AP62" s="19"/>
      <c r="AQ62" s="19"/>
      <c r="AR62" s="100"/>
      <c r="AS62" s="93"/>
      <c r="AT62" s="109"/>
      <c r="AU62" t="str">
        <f>$Q$22</f>
        <v>L3</v>
      </c>
      <c r="AV62">
        <f>$E$22</f>
        <v>21.375</v>
      </c>
      <c r="AW62" cm="1">
        <f t="array" ref="AW62">IFERROR(IF(AV62=0,0,(INDEX($C$33:$C$38,MATCH($AZ$32,$B$33:$B$38,0),0)*(AV65+$BA$32)+$AW$32*COUNTIF(AV62:AV64,"&gt;0")*$C$32+$AY$32*$C$31)*$AU$32),0)</f>
        <v>0</v>
      </c>
      <c r="AX62">
        <f>IF(AV62=0,0,-(COUNTIF(AV62:AV64,"&gt;0")*$AW$32*$C$32+$AY$32*$C$31)*$H$27*$AU$32)</f>
        <v>0</v>
      </c>
      <c r="AY62">
        <f>IF(AV62=0,0,$AY$32*$H$26*$AU$32)</f>
        <v>0</v>
      </c>
      <c r="AZ62">
        <f>(0.6*AW62+0.7*AX62)*$AU$32/2</f>
        <v>0</v>
      </c>
      <c r="BA62">
        <f>AW62*$AU$32/2</f>
        <v>0</v>
      </c>
      <c r="BC62">
        <f>IF(AV62=0,0,$BG$32*$AP$22)</f>
        <v>0</v>
      </c>
      <c r="BD62">
        <f>IFERROR(BC62/$AU$32,0)</f>
        <v>0</v>
      </c>
      <c r="BE62">
        <f>BC62*($F$22+IF($F$22=0,0,($C$14+$C$15+IF($C$13="single",1.5,3)+3)/12))</f>
        <v>0</v>
      </c>
      <c r="BF62">
        <f>BE62-AZ62</f>
        <v>0</v>
      </c>
      <c r="BG62" cm="1">
        <f t="array" ref="BG62">IFERROR(IF(BF62&lt;0,0,BF62/($AU$32-INDEX(hd_off,MATCH(BT62,hd_mark,0),0)/12)),0)</f>
        <v>0</v>
      </c>
      <c r="BH62">
        <f>IF(AV62=0,0,$BG$32*$AM$22)</f>
        <v>0</v>
      </c>
      <c r="BI62">
        <f>IFERROR(BH62/$AU$32,0)</f>
        <v>0</v>
      </c>
      <c r="BJ62">
        <f>BH62*($F$22+IF($F$22=0,0,($C$14+$C$15+IF($C$13="single",1.5,3)+3)/12))</f>
        <v>0</v>
      </c>
      <c r="BK62">
        <f>BJ62-BA62</f>
        <v>0</v>
      </c>
      <c r="BL62" cm="1">
        <f t="array" ref="BL62">IFERROR(IF(BK62&lt;0,0,BK62/($AU$32-INDEX(hd_off,MATCH(BT62,hd_mark,0),0)/12)),0)</f>
        <v>0</v>
      </c>
      <c r="BM62">
        <f>MAX($F$22,$BC$32)/$Q$52</f>
        <v>0.30172413793103448</v>
      </c>
      <c r="BN62">
        <f t="shared" ref="BN62:BN65" si="51">IF(BM62=0,0,IF(BM62&gt;2,1.25-0.125*BM62,1))</f>
        <v>1</v>
      </c>
      <c r="BO62" cm="1">
        <f t="array" ref="BO62">IFERROR(INDEX(sheath_ecap_asd,MATCH(BS62,sheath_mark,0),0)*BN62,0)</f>
        <v>0</v>
      </c>
      <c r="BP62" cm="1">
        <f t="array" ref="BP62">IFERROR(INDEX(sheath_wcap_asd,MATCH(BS62,sheath_mark,0),0)*BN62,0)</f>
        <v>0</v>
      </c>
      <c r="BQ62" cm="1">
        <f t="array" ref="BQ62">IFERROR(INDEX(hd_cap,MATCH(BT62,hd_mark,0),0),0)</f>
        <v>0</v>
      </c>
      <c r="BS62" s="19"/>
      <c r="BT62" s="19"/>
      <c r="BU62" s="100"/>
    </row>
    <row r="63" spans="2:73" x14ac:dyDescent="0.25">
      <c r="B63" t="s">
        <v>285</v>
      </c>
      <c r="C63" s="19"/>
      <c r="D63" s="19"/>
      <c r="E63">
        <f t="shared" si="43"/>
        <v>0</v>
      </c>
      <c r="H63">
        <v>22</v>
      </c>
      <c r="I63" s="19"/>
      <c r="J63" s="19"/>
      <c r="K63">
        <f t="shared" si="44"/>
        <v>0</v>
      </c>
      <c r="P63" s="93"/>
      <c r="Q63" s="109" t="s">
        <v>491</v>
      </c>
      <c r="R63" t="str">
        <f>$Q$23</f>
        <v>L4</v>
      </c>
      <c r="S63">
        <f>$E$23</f>
        <v>0</v>
      </c>
      <c r="T63" cm="1">
        <f t="array" ref="T63">IFERROR(IF(S63=0,0,(INDEX($C$33:$C$38,MATCH($W$32,$B$33:$B$38,0),0)*(S65+$X$32)+$T$32*COUNTIF(S63:S64,"&gt;0")*$C$32+$V$32*$C$31)*$R$32),0)</f>
        <v>0</v>
      </c>
      <c r="U63">
        <f>IF(S63=0,0,-(COUNTIF(S63:S64,"&gt;0")*$T$32*$C$32+$V$32*$C$31)*$H$27*$R$32)</f>
        <v>0</v>
      </c>
      <c r="V63">
        <f>IF(S63=0,0,$V$32*$H$26*$R$32)</f>
        <v>0</v>
      </c>
      <c r="W63">
        <f>(0.6*T63+0.7*U63)*$R$32/2</f>
        <v>0</v>
      </c>
      <c r="X63">
        <f>T63*$R$32/2</f>
        <v>0</v>
      </c>
      <c r="Z63">
        <f>IF(S63=0,0,$AD$32*$AP$23)</f>
        <v>0</v>
      </c>
      <c r="AA63">
        <f>IFERROR(Z63/$R$32,0)</f>
        <v>0</v>
      </c>
      <c r="AB63">
        <f>Z63*($F$23+IF($F$23=0,0,($C$14+$C$15+IF($C$13="single",1.5,3)+3)/12))</f>
        <v>0</v>
      </c>
      <c r="AC63">
        <f>AB63-W63</f>
        <v>0</v>
      </c>
      <c r="AD63" cm="1">
        <f t="array" ref="AD63">IFERROR(IF(AC63&lt;0,0,AC63/($R$32-INDEX(hd_off,MATCH(AQ63,hd_mark,0),0)/12)),0)</f>
        <v>0</v>
      </c>
      <c r="AE63">
        <f>IF(S63=0,0,$AD$32*$AM$23)</f>
        <v>0</v>
      </c>
      <c r="AF63">
        <f>IFERROR(AE63/$R$32,0)</f>
        <v>0</v>
      </c>
      <c r="AG63">
        <f>AE63*($F$23+IF($F$23=0,0,($C$14+$C$15+IF($C$13="single",1.5,3)+3)/12))</f>
        <v>0</v>
      </c>
      <c r="AH63">
        <f>AG63-X63</f>
        <v>0</v>
      </c>
      <c r="AI63" cm="1">
        <f t="array" ref="AI63">IFERROR(IF(AH63&lt;0,0,AH63/($R$32-INDEX(hd_off,MATCH(AQ63,hd_mark,0),0)/12)),0)</f>
        <v>0</v>
      </c>
      <c r="AJ63">
        <f>MAX($F$23,$AA$32)/$Q$52</f>
        <v>0</v>
      </c>
      <c r="AK63">
        <f t="shared" si="50"/>
        <v>0</v>
      </c>
      <c r="AL63" cm="1">
        <f t="array" ref="AL63">IFERROR(INDEX(sheath_ecap_asd,MATCH(AP63,sheath_mark,0),0)*AK63,0)</f>
        <v>0</v>
      </c>
      <c r="AM63" cm="1">
        <f t="array" ref="AM63">IFERROR(INDEX(sheath_wcap_asd,MATCH(AP63,sheath_mark,0),0)*AK63,0)</f>
        <v>0</v>
      </c>
      <c r="AN63" cm="1">
        <f t="array" ref="AN63">IFERROR(INDEX(hd_cap,MATCH(AQ63,hd_mark,0),0),0)</f>
        <v>0</v>
      </c>
      <c r="AP63" s="19"/>
      <c r="AQ63" s="19"/>
      <c r="AR63" s="100"/>
      <c r="AS63" s="93"/>
      <c r="AT63" s="109" t="s">
        <v>491</v>
      </c>
      <c r="AU63" t="str">
        <f>$Q$23</f>
        <v>L4</v>
      </c>
      <c r="AV63">
        <f>$E$23</f>
        <v>0</v>
      </c>
      <c r="AW63" cm="1">
        <f t="array" ref="AW63">IFERROR(IF(AV63=0,0,(INDEX($C$33:$C$38,MATCH($AZ$32,$B$33:$B$38,0),0)*(AV65+$BA$32)+$AW$32*COUNTIF(AV63:AV64,"&gt;0")*$C$32+$AY$32*$C$31)*$AU$32),0)</f>
        <v>0</v>
      </c>
      <c r="AX63">
        <f>IF(AV63=0,0,-(COUNTIF(AV63:AV64,"&gt;0")*$AW$32*$C$32+$AY$32*$C$31)*$H$27*$AU$32)</f>
        <v>0</v>
      </c>
      <c r="AY63">
        <f>IF(AV63=0,0,$AY$32*$H$26*$AU$32)</f>
        <v>0</v>
      </c>
      <c r="AZ63">
        <f>(0.6*AW63+0.7*AX63)*$AU$32/2</f>
        <v>0</v>
      </c>
      <c r="BA63">
        <f>AW63*$AU$32/2</f>
        <v>0</v>
      </c>
      <c r="BC63">
        <f>IF(AV63=0,0,$BG$32*$AP$23)</f>
        <v>0</v>
      </c>
      <c r="BD63">
        <f>IFERROR(BC63/$AU$32,0)</f>
        <v>0</v>
      </c>
      <c r="BE63">
        <f>BC63*($F$23+IF($F$23=0,0,($C$14+$C$15+IF($C$13="single",1.5,3)+3)/12))</f>
        <v>0</v>
      </c>
      <c r="BF63">
        <f>BE63-AZ63</f>
        <v>0</v>
      </c>
      <c r="BG63" cm="1">
        <f t="array" ref="BG63">IFERROR(IF(BF63&lt;0,0,BF63/($AU$32-INDEX(hd_off,MATCH(BT63,hd_mark,0),0)/12)),0)</f>
        <v>0</v>
      </c>
      <c r="BH63">
        <f>IF(AV63=0,0,$BG$32*$AM$23)</f>
        <v>0</v>
      </c>
      <c r="BI63">
        <f>IFERROR(BH63/$AU$32,0)</f>
        <v>0</v>
      </c>
      <c r="BJ63">
        <f>BH63*($F$23+IF($F$23=0,0,($C$14+$C$15+IF($C$13="single",1.5,3)+3)/12))</f>
        <v>0</v>
      </c>
      <c r="BK63">
        <f>BJ63-BA63</f>
        <v>0</v>
      </c>
      <c r="BL63" cm="1">
        <f t="array" ref="BL63">IFERROR(IF(BK63&lt;0,0,BK63/($AU$32-INDEX(hd_off,MATCH(BT63,hd_mark,0),0)/12)),0)</f>
        <v>0</v>
      </c>
      <c r="BM63">
        <f>MAX($F$23,$BD$32)/$Q$52</f>
        <v>0</v>
      </c>
      <c r="BN63">
        <f t="shared" si="51"/>
        <v>0</v>
      </c>
      <c r="BO63" cm="1">
        <f t="array" ref="BO63">IFERROR(INDEX(sheath_ecap_asd,MATCH(BS63,sheath_mark,0),0)*BN63,0)</f>
        <v>0</v>
      </c>
      <c r="BP63" cm="1">
        <f t="array" ref="BP63">IFERROR(INDEX(sheath_wcap_asd,MATCH(BS63,sheath_mark,0),0)*BN63,0)</f>
        <v>0</v>
      </c>
      <c r="BQ63" cm="1">
        <f t="array" ref="BQ63">IFERROR(INDEX(hd_cap,MATCH(BT63,hd_mark,0),0),0)</f>
        <v>0</v>
      </c>
      <c r="BS63" s="19"/>
      <c r="BT63" s="19"/>
      <c r="BU63" s="100"/>
    </row>
    <row r="64" spans="2:73" x14ac:dyDescent="0.25">
      <c r="B64" t="s">
        <v>470</v>
      </c>
      <c r="C64" s="19"/>
      <c r="D64" s="19"/>
      <c r="E64">
        <f t="shared" si="43"/>
        <v>0</v>
      </c>
      <c r="H64">
        <v>23</v>
      </c>
      <c r="I64" s="19"/>
      <c r="J64" s="19"/>
      <c r="K64">
        <f t="shared" si="44"/>
        <v>0</v>
      </c>
      <c r="P64" s="93"/>
      <c r="Q64" s="111">
        <f>$R$32</f>
        <v>0</v>
      </c>
      <c r="R64" t="str">
        <f>$Q$24</f>
        <v>L5</v>
      </c>
      <c r="S64">
        <f>$E$24</f>
        <v>0</v>
      </c>
      <c r="T64" cm="1">
        <f t="array" ref="T64">IFERROR(IF(S64=0,0,(INDEX($C$33:$C$38,MATCH($W$32,$B$33:$B$38,0),0)*(S65+$X$32)+$T$32*COUNTIF(S64:S64,"&gt;0")*$C$32+$V$32*$C$31)*$R$32),0)</f>
        <v>0</v>
      </c>
      <c r="U64">
        <f>IF(S64=0,0,-(COUNTIF(S64:S64,"&gt;0")*$T$32*$C$32+$V$32*$C$31)*$H$27*$R$32)</f>
        <v>0</v>
      </c>
      <c r="V64">
        <f>IF(S64=0,0,$V$32*$H$26*$R$32)</f>
        <v>0</v>
      </c>
      <c r="W64">
        <f>(0.6*T64+0.7*U64)*$R$32/2</f>
        <v>0</v>
      </c>
      <c r="X64">
        <f>T64*$R$32/2</f>
        <v>0</v>
      </c>
      <c r="Z64">
        <f>IF(S64=0,0,$AD$32*$AP$24)</f>
        <v>0</v>
      </c>
      <c r="AA64">
        <f>IFERROR(Z64/$R$32,0)</f>
        <v>0</v>
      </c>
      <c r="AB64">
        <f>Z64*($F$24+IF($F$24=0,0,($C$14+$C$15+IF($C$13="single",1.5,3)+3)/12))</f>
        <v>0</v>
      </c>
      <c r="AC64">
        <f>AB64-W64</f>
        <v>0</v>
      </c>
      <c r="AD64" cm="1">
        <f t="array" ref="AD64">IFERROR(IF(AC64&lt;0,0,AC64/($R$32-INDEX(hd_off,MATCH(AQ64,hd_mark,0),0)/12)),0)</f>
        <v>0</v>
      </c>
      <c r="AE64">
        <f>IF(S64=0,0,$AD$32*$AM$24)</f>
        <v>0</v>
      </c>
      <c r="AF64">
        <f>IFERROR(AE64/$R$32,0)</f>
        <v>0</v>
      </c>
      <c r="AG64">
        <f>AE64*($F$24+IF($F$24=0,0,($C$14+$C$15+IF($C$13="single",1.5,3)+3)/12))</f>
        <v>0</v>
      </c>
      <c r="AH64">
        <f>AG64-X64</f>
        <v>0</v>
      </c>
      <c r="AI64" cm="1">
        <f t="array" ref="AI64">IFERROR(IF(AH64&lt;0,0,AH64/($R$32-INDEX(hd_off,MATCH(AQ64,hd_mark,0),0)/12)),0)</f>
        <v>0</v>
      </c>
      <c r="AJ64">
        <f>MAX($F$24,$AB$32)/$Q$52</f>
        <v>0</v>
      </c>
      <c r="AK64">
        <f t="shared" si="50"/>
        <v>0</v>
      </c>
      <c r="AL64" cm="1">
        <f t="array" ref="AL64">IFERROR(INDEX(sheath_ecap_asd,MATCH(AP64,sheath_mark,0),0)*AK64,0)</f>
        <v>0</v>
      </c>
      <c r="AM64" cm="1">
        <f t="array" ref="AM64">IFERROR(INDEX(sheath_wcap_asd,MATCH(AP64,sheath_mark,0),0)*AK64,0)</f>
        <v>0</v>
      </c>
      <c r="AN64" cm="1">
        <f t="array" ref="AN64">IFERROR(INDEX(hd_cap,MATCH(AQ64,hd_mark,0),0),0)</f>
        <v>0</v>
      </c>
      <c r="AP64" s="19"/>
      <c r="AQ64" s="19"/>
      <c r="AR64" s="100"/>
      <c r="AS64" s="93"/>
      <c r="AT64" s="111">
        <f>$R$32</f>
        <v>0</v>
      </c>
      <c r="AU64" t="str">
        <f>$Q$24</f>
        <v>L5</v>
      </c>
      <c r="AV64">
        <f>$E$24</f>
        <v>0</v>
      </c>
      <c r="AW64" cm="1">
        <f t="array" ref="AW64">IFERROR(IF(AV64=0,0,(INDEX($C$33:$C$38,MATCH($AZ$32,$B$33:$B$38,0),0)*(AV65+$BA$32)+$AW$32*COUNTIF(AV64:AV64,"&gt;0")*$C$32+$AY$32*$C$31)*$AU$32),0)</f>
        <v>0</v>
      </c>
      <c r="AX64">
        <f>IF(AV64=0,0,-(COUNTIF(AV64:AV64,"&gt;0")*$AW$32*$C$32+$AY$32*$C$31)*$H$27*$AU$32)</f>
        <v>0</v>
      </c>
      <c r="AY64">
        <f>IF(AV64=0,0,$AY$32*$H$26*$AU$32)</f>
        <v>0</v>
      </c>
      <c r="AZ64">
        <f>(0.6*AW64+0.7*AX64)*$AU$32/2</f>
        <v>0</v>
      </c>
      <c r="BA64">
        <f>AW64*$AU$32/2</f>
        <v>0</v>
      </c>
      <c r="BC64">
        <f>IF(AV64=0,0,$BG$32*$AP$24)</f>
        <v>0</v>
      </c>
      <c r="BD64">
        <f>IFERROR(BC64/$AU$32,0)</f>
        <v>0</v>
      </c>
      <c r="BE64">
        <f>BC64*($F$24+IF($F$24=0,0,($C$14+$C$15+IF($C$13="single",1.5,3)+3)/12))</f>
        <v>0</v>
      </c>
      <c r="BF64">
        <f>BE64-AZ64</f>
        <v>0</v>
      </c>
      <c r="BG64" cm="1">
        <f t="array" ref="BG64">IFERROR(IF(BF64&lt;0,0,BF64/($AU$32-INDEX(hd_off,MATCH(BT64,hd_mark,0),0)/12)),0)</f>
        <v>0</v>
      </c>
      <c r="BH64">
        <f>IF(AV64=0,0,$BG$32*$AM$24)</f>
        <v>0</v>
      </c>
      <c r="BI64">
        <f>IFERROR(BH64/$AU$32,0)</f>
        <v>0</v>
      </c>
      <c r="BJ64">
        <f>BH64*($F$24+IF($F$24=0,0,($C$14+$C$15+IF($C$13="single",1.5,3)+3)/12))</f>
        <v>0</v>
      </c>
      <c r="BK64">
        <f>BJ64-BA64</f>
        <v>0</v>
      </c>
      <c r="BL64" cm="1">
        <f t="array" ref="BL64">IFERROR(IF(BK64&lt;0,0,BK64/($AU$32-INDEX(hd_off,MATCH(BT64,hd_mark,0),0)/12)),0)</f>
        <v>0</v>
      </c>
      <c r="BM64">
        <f>MAX($F$24,$BE$32)/$Q$52</f>
        <v>0</v>
      </c>
      <c r="BN64">
        <f t="shared" si="51"/>
        <v>0</v>
      </c>
      <c r="BO64" cm="1">
        <f t="array" ref="BO64">IFERROR(INDEX(sheath_ecap_asd,MATCH(BS64,sheath_mark,0),0)*BN64,0)</f>
        <v>0</v>
      </c>
      <c r="BP64" cm="1">
        <f t="array" ref="BP64">IFERROR(INDEX(sheath_wcap_asd,MATCH(BS64,sheath_mark,0),0)*BN64,0)</f>
        <v>0</v>
      </c>
      <c r="BQ64" cm="1">
        <f t="array" ref="BQ64">IFERROR(INDEX(hd_cap,MATCH(BT64,hd_mark,0),0),0)</f>
        <v>0</v>
      </c>
      <c r="BS64" s="19"/>
      <c r="BT64" s="19"/>
      <c r="BU64" s="100"/>
    </row>
    <row r="65" spans="2:73" x14ac:dyDescent="0.25">
      <c r="B65" t="s">
        <v>471</v>
      </c>
      <c r="C65" s="19"/>
      <c r="D65" s="19"/>
      <c r="E65">
        <f t="shared" si="43"/>
        <v>0</v>
      </c>
      <c r="H65">
        <v>24</v>
      </c>
      <c r="I65" s="19"/>
      <c r="J65" s="19"/>
      <c r="K65">
        <f t="shared" si="44"/>
        <v>0</v>
      </c>
      <c r="P65" s="93"/>
      <c r="Q65" s="109"/>
      <c r="R65" t="str">
        <f>$Q$25</f>
        <v>Roof</v>
      </c>
      <c r="S65">
        <f>$E$25</f>
        <v>33.171875</v>
      </c>
      <c r="T65" cm="1">
        <f t="array" ref="T65">IFERROR(IF(S65=0,0,(INDEX($C$33:$C$38,MATCH($W$32,$B$33:$B$38,0),0)*(S65+$X$32)+$V$32*$C$31)*$R$32),0)</f>
        <v>0</v>
      </c>
      <c r="U65">
        <f>IF(S65=0,0,-$V$32*$C$31*$H$27*$R$32)</f>
        <v>0</v>
      </c>
      <c r="V65">
        <f>IF(S65=0,0,$V$32*$H$26*$R$32)</f>
        <v>0</v>
      </c>
      <c r="W65">
        <f>(0.6*T65+0.7*U65)*$R$32/2</f>
        <v>0</v>
      </c>
      <c r="X65">
        <f>T65*$R$32/2</f>
        <v>0</v>
      </c>
      <c r="Z65">
        <f>IF(S65=0,0,$AD$32*$AP$25)</f>
        <v>0</v>
      </c>
      <c r="AA65">
        <f>IFERROR(Z65/$R$32,0)</f>
        <v>0</v>
      </c>
      <c r="AB65">
        <f>Z65*($F$25+($C$16+$C$17+IF($C$13="single",1.5,3)+3)/12)</f>
        <v>0</v>
      </c>
      <c r="AC65">
        <f>AB65-W65</f>
        <v>0</v>
      </c>
      <c r="AD65" cm="1">
        <f t="array" ref="AD65">IFERROR(IF(AC65&lt;0,0,AC65/($R$32-INDEX(hd_off,MATCH(AQ65,hd_mark,0),0)/12)),0)</f>
        <v>0</v>
      </c>
      <c r="AE65">
        <f>IF(S65=0,0,$AD$32*$AM$25)</f>
        <v>0</v>
      </c>
      <c r="AF65">
        <f>IFERROR(AE65/$R$32,0)</f>
        <v>0</v>
      </c>
      <c r="AG65">
        <f>AE65*($F$25+($C$16+$C$17+IF($C$13="single",1.5,3)+3)/12)</f>
        <v>0</v>
      </c>
      <c r="AH65">
        <f>AG65-X65</f>
        <v>0</v>
      </c>
      <c r="AI65" cm="1">
        <f t="array" ref="AI65">IFERROR(IF(AH65&lt;0,0,AH65/($R$32-INDEX(hd_off,MATCH(AQ65,hd_mark,0),0)/12)),0)</f>
        <v>0</v>
      </c>
      <c r="AJ65">
        <f>MAX($F$25,$AC$32)/$Q$52</f>
        <v>0.29920977011494249</v>
      </c>
      <c r="AK65">
        <f t="shared" si="50"/>
        <v>1</v>
      </c>
      <c r="AL65" cm="1">
        <f t="array" ref="AL65">IFERROR(INDEX(sheath_ecap_asd,MATCH(AP65,sheath_mark,0),0)*AK65,0)</f>
        <v>0</v>
      </c>
      <c r="AM65" cm="1">
        <f t="array" ref="AM65">IFERROR(INDEX(sheath_wcap_asd,MATCH(AP65,sheath_mark,0),0)*AK65,0)</f>
        <v>0</v>
      </c>
      <c r="AN65" cm="1">
        <f t="array" ref="AN65">IFERROR(INDEX(hd_cap,MATCH(AQ65,hd_mark,0),0),0)</f>
        <v>0</v>
      </c>
      <c r="AP65" s="19"/>
      <c r="AQ65" s="19"/>
      <c r="AR65" s="100"/>
      <c r="AS65" s="93"/>
      <c r="AT65" s="109"/>
      <c r="AU65" t="str">
        <f>$Q$25</f>
        <v>Roof</v>
      </c>
      <c r="AV65">
        <f>$E$25</f>
        <v>33.171875</v>
      </c>
      <c r="AW65" cm="1">
        <f t="array" ref="AW65">IFERROR(IF(AV65=0,0,(INDEX($C$33:$C$38,MATCH($AZ$32,$B$33:$B$38,0),0)*(AV65+$BA$32)+$AY$32*$C$31)*$AU$32),0)</f>
        <v>0</v>
      </c>
      <c r="AX65">
        <f>IF(AV65=0,0,-$AY$32*$C$31*$H$27*$AU$32)</f>
        <v>0</v>
      </c>
      <c r="AY65">
        <f>IF(AV65=0,0,$AY$32*$H$26*$AU$32)</f>
        <v>0</v>
      </c>
      <c r="AZ65">
        <f>(0.6*AW65+0.7*AX65)*$AU$32/2</f>
        <v>0</v>
      </c>
      <c r="BA65">
        <f>AW65*$AU$32/2</f>
        <v>0</v>
      </c>
      <c r="BC65">
        <f>IF(AV65=0,0,$BG$32*$AP$25)</f>
        <v>0</v>
      </c>
      <c r="BD65">
        <f>IFERROR(BC65/$AU$32,0)</f>
        <v>0</v>
      </c>
      <c r="BE65">
        <f>BC65*($F$25+($C$16+$C$17+IF($C$13="single",1.5,3)+3)/12)</f>
        <v>0</v>
      </c>
      <c r="BF65">
        <f>BE65-AZ65</f>
        <v>0</v>
      </c>
      <c r="BG65" cm="1">
        <f t="array" ref="BG65">IFERROR(IF(BF65&lt;0,0,BF65/($AU$32-INDEX(hd_off,MATCH(BT65,hd_mark,0),0)/12)),0)</f>
        <v>0</v>
      </c>
      <c r="BH65">
        <f>IF(AV65=0,0,$BG$32*$AM$25)</f>
        <v>0</v>
      </c>
      <c r="BI65">
        <f>IFERROR(BH65/$AU$32,0)</f>
        <v>0</v>
      </c>
      <c r="BJ65">
        <f>BH65*($F$25+($C$16+$C$17+IF($C$13="single",1.5,3)+3)/12)</f>
        <v>0</v>
      </c>
      <c r="BK65">
        <f>BJ65-BA65</f>
        <v>0</v>
      </c>
      <c r="BL65" cm="1">
        <f t="array" ref="BL65">IFERROR(IF(BK65&lt;0,0,BK65/($AU$32-INDEX(hd_off,MATCH(BT65,hd_mark,0),0)/12)),0)</f>
        <v>0</v>
      </c>
      <c r="BM65">
        <f>MAX($F$25,$BF$32)/$Q$52</f>
        <v>0.29920977011494249</v>
      </c>
      <c r="BN65">
        <f t="shared" si="51"/>
        <v>1</v>
      </c>
      <c r="BO65" cm="1">
        <f t="array" ref="BO65">IFERROR(INDEX(sheath_ecap_asd,MATCH(BS65,sheath_mark,0),0)*BN65,0)</f>
        <v>0</v>
      </c>
      <c r="BP65" cm="1">
        <f t="array" ref="BP65">IFERROR(INDEX(sheath_wcap_asd,MATCH(BS65,sheath_mark,0),0)*BN65,0)</f>
        <v>0</v>
      </c>
      <c r="BQ65" cm="1">
        <f t="array" ref="BQ65">IFERROR(INDEX(hd_cap,MATCH(BT65,hd_mark,0),0),0)</f>
        <v>0</v>
      </c>
      <c r="BS65" s="19"/>
      <c r="BT65" s="19"/>
      <c r="BU65" s="100"/>
    </row>
    <row r="66" spans="2:73" x14ac:dyDescent="0.25">
      <c r="B66" t="s">
        <v>472</v>
      </c>
      <c r="C66" s="19"/>
      <c r="D66" s="19"/>
      <c r="E66">
        <f t="shared" si="43"/>
        <v>0</v>
      </c>
      <c r="H66">
        <v>25</v>
      </c>
      <c r="I66" s="19"/>
      <c r="J66" s="19"/>
      <c r="K66">
        <f t="shared" si="44"/>
        <v>0</v>
      </c>
      <c r="P66" s="93"/>
      <c r="AR66" s="100"/>
      <c r="AS66" s="93"/>
      <c r="BU66" s="100"/>
    </row>
    <row r="67" spans="2:73" x14ac:dyDescent="0.25">
      <c r="B67" t="s">
        <v>473</v>
      </c>
      <c r="C67" s="19"/>
      <c r="D67" s="19"/>
      <c r="E67">
        <f t="shared" si="43"/>
        <v>0</v>
      </c>
      <c r="H67">
        <v>26</v>
      </c>
      <c r="I67" s="19"/>
      <c r="J67" s="19"/>
      <c r="K67">
        <f t="shared" si="44"/>
        <v>0</v>
      </c>
      <c r="P67" s="93"/>
      <c r="Q67" s="110" t="str">
        <f>$Q$33</f>
        <v>A.04</v>
      </c>
      <c r="R67" t="str">
        <f>$Q$21</f>
        <v>L2</v>
      </c>
      <c r="S67">
        <f>$E$21</f>
        <v>10.6875</v>
      </c>
      <c r="T67" cm="1">
        <f t="array" ref="T67">IFERROR(IF(S67=0,0,(INDEX($C$33:$C$38,MATCH($W$33,$B$33:$B$38,0),0)*(S71+$X$33)+$T$33*COUNTIF(S67:S70,"&gt;0")*$C$32+$V$33*$C$31)*$R$33),0)</f>
        <v>0</v>
      </c>
      <c r="U67">
        <f>IF(S67=0,0,-(COUNTIF(S67:S70,"&gt;0")*$T$33*$C$32+$V$33*$C$31)*$H$27*$R$33)</f>
        <v>0</v>
      </c>
      <c r="V67">
        <f>IF(S67=0,0,$V$33*$H$26*$R$33)</f>
        <v>0</v>
      </c>
      <c r="W67">
        <f>(0.6*T67+0.7*U67)*$R$33/2</f>
        <v>0</v>
      </c>
      <c r="X67">
        <f>(0.6*T67+0.6*V67)*$R$33/2</f>
        <v>0</v>
      </c>
      <c r="Z67">
        <f>IF(S67=0,0,$AD$33*$AP$21)</f>
        <v>0</v>
      </c>
      <c r="AA67">
        <f>IFERROR(Z67/$R$33,0)</f>
        <v>0</v>
      </c>
      <c r="AB67">
        <f>Z67*($F$21+IF($F$21=0,0,($C$14+$C$15+IF($C$13="single",1.5,3)+3)/12))</f>
        <v>0</v>
      </c>
      <c r="AC67">
        <f>AB67-W67</f>
        <v>0</v>
      </c>
      <c r="AD67" cm="1">
        <f t="array" ref="AD67">IFERROR(IF(AC67&lt;0,0,AC67/($R$33-INDEX(hd_off,MATCH(AQ67,hd_mark,0),0)/12)),0)</f>
        <v>0</v>
      </c>
      <c r="AE67">
        <f>IF(S67=0,0,$AD$33*$AM$21)</f>
        <v>0</v>
      </c>
      <c r="AF67">
        <f>IFERROR(AE67/$R$33,0)</f>
        <v>0</v>
      </c>
      <c r="AG67">
        <f>AE67*($F$21+IF($F$21=0,0,($C$14+$C$15+IF($C$13="single",1.5,3)+3)/12))</f>
        <v>0</v>
      </c>
      <c r="AH67">
        <f>AG67-X67</f>
        <v>0</v>
      </c>
      <c r="AI67" cm="1">
        <f t="array" ref="AI67">IFERROR(IF(AH67&lt;0,0,AH67/($R$33-INDEX(hd_off,MATCH(AQ67,hd_mark,0),0)/12)),0)</f>
        <v>0</v>
      </c>
      <c r="AJ67">
        <f>MAX($F$21,$Y$33)/$Q$52</f>
        <v>0.30172413793103448</v>
      </c>
      <c r="AK67">
        <f>IF(AJ67=0,0,IF(AJ67&gt;2,1.25-0.125*AJ67,1))</f>
        <v>1</v>
      </c>
      <c r="AL67" cm="1">
        <f t="array" ref="AL67">IFERROR(INDEX(sheath_ecap_asd,MATCH(AP67,sheath_mark,0),0)*AK67,0)</f>
        <v>0</v>
      </c>
      <c r="AM67" cm="1">
        <f t="array" ref="AM67">IFERROR(INDEX(sheath_wcap_asd,MATCH(AP67,sheath_mark,0),0)*AK67,0)</f>
        <v>0</v>
      </c>
      <c r="AN67" cm="1">
        <f t="array" ref="AN67">IFERROR(INDEX(hd_cap,MATCH(AQ67,hd_mark,0),0),0)</f>
        <v>0</v>
      </c>
      <c r="AP67" s="19"/>
      <c r="AQ67" s="19"/>
      <c r="AR67" s="100"/>
      <c r="AS67" s="93"/>
      <c r="AT67" s="110" t="str">
        <f>$AT$33</f>
        <v>1.04</v>
      </c>
      <c r="AU67" t="str">
        <f>$Q$21</f>
        <v>L2</v>
      </c>
      <c r="AV67">
        <f>$E$21</f>
        <v>10.6875</v>
      </c>
      <c r="AW67" cm="1">
        <f t="array" ref="AW67">IFERROR(IF(AV67=0,0,(INDEX($C$33:$C$38,MATCH($AZ$33,$B$33:$B$38,0),0)*(AV71+$BA$33)+$AW$33*COUNTIF(AV67:AV70,"&gt;0")*$C$32+$AY$33*$C$31)*$AU$33),0)</f>
        <v>0</v>
      </c>
      <c r="AX67">
        <f>IF(AV67=0,0,-(COUNTIF(AV67:AV70,"&gt;0")*$AW$33*$C$32+$AY$33*$C$31)*$H$27*$AU$33)</f>
        <v>0</v>
      </c>
      <c r="AY67">
        <f>IF(AV67=0,0,$AY$33*$H$26*$AU$33)</f>
        <v>0</v>
      </c>
      <c r="AZ67">
        <f>(0.6*AW67+0.7*AX67)*$AU$33/2</f>
        <v>0</v>
      </c>
      <c r="BA67">
        <f>(0.6*AW67+0.6*AY67)*$AU$33/2</f>
        <v>0</v>
      </c>
      <c r="BC67">
        <f>IF(AV67=0,0,$BG$33*$AP$21)</f>
        <v>0</v>
      </c>
      <c r="BD67">
        <f>IFERROR(BC67/$AU$33,0)</f>
        <v>0</v>
      </c>
      <c r="BE67">
        <f>BC67*($F$21+IF($F$21=0,0,($C$14+$C$15+IF($C$13="single",1.5,3)+3)/12))</f>
        <v>0</v>
      </c>
      <c r="BF67">
        <f>BE67-AZ67</f>
        <v>0</v>
      </c>
      <c r="BG67" cm="1">
        <f t="array" ref="BG67">IFERROR(IF(BF67&lt;0,0,BF67/($AU$33-INDEX(hd_off,MATCH(BT67,hd_mark,0),0)/12)),0)</f>
        <v>0</v>
      </c>
      <c r="BH67">
        <f>IF(AV67=0,0,$BG$33*$AM$21)</f>
        <v>0</v>
      </c>
      <c r="BI67">
        <f>IFERROR(BH67/$AU$33,0)</f>
        <v>0</v>
      </c>
      <c r="BJ67">
        <f>BH67*($F$21+IF($F$21=0,0,($C$14+$C$15+IF($C$13="single",1.5,3)+3)/12))</f>
        <v>0</v>
      </c>
      <c r="BK67">
        <f>BJ67-BA67</f>
        <v>0</v>
      </c>
      <c r="BL67" cm="1">
        <f t="array" ref="BL67">IFERROR(IF(BK67&lt;0,0,BK67/($AU$33-INDEX(hd_off,MATCH(BT67,hd_mark,0),0)/12)),0)</f>
        <v>0</v>
      </c>
      <c r="BM67">
        <f>MAX($F$21,$BB$33)/$Q$52</f>
        <v>0.30172413793103448</v>
      </c>
      <c r="BN67">
        <f>IF(BM67=0,0,IF(BM67&gt;2,1.25-0.125*BM67,1))</f>
        <v>1</v>
      </c>
      <c r="BO67" cm="1">
        <f t="array" ref="BO67">IFERROR(INDEX(sheath_ecap_asd,MATCH(BS67,sheath_mark,0),0)*BN67,0)</f>
        <v>0</v>
      </c>
      <c r="BP67" cm="1">
        <f t="array" ref="BP67">IFERROR(INDEX(sheath_wcap_asd,MATCH(BS67,sheath_mark,0),0)*BN67,0)</f>
        <v>0</v>
      </c>
      <c r="BQ67" cm="1">
        <f t="array" ref="BQ67">IFERROR(INDEX(hd_cap,MATCH(BT67,hd_mark,0),0),0)</f>
        <v>0</v>
      </c>
      <c r="BS67" s="19"/>
      <c r="BT67" s="19"/>
      <c r="BU67" s="100"/>
    </row>
    <row r="68" spans="2:73" x14ac:dyDescent="0.25">
      <c r="P68" s="93"/>
      <c r="Q68" s="109"/>
      <c r="R68" t="str">
        <f>$Q$22</f>
        <v>L3</v>
      </c>
      <c r="S68">
        <f>$E$22</f>
        <v>21.375</v>
      </c>
      <c r="T68" cm="1">
        <f t="array" ref="T68">IFERROR(IF(S68=0,0,(INDEX($C$33:$C$38,MATCH($W$33,$B$33:$B$38,0),0)*(S71+$X$33)+$T$33*COUNTIF(S68:S70,"&gt;0")*$C$32+$V$33*$C$31)*$R$33),0)</f>
        <v>0</v>
      </c>
      <c r="U68">
        <f>IF(S68=0,0,-(COUNTIF(S68:S70,"&gt;0")*$T$33*$C$32+$V$33*$C$31)*$H$27*$R$33)</f>
        <v>0</v>
      </c>
      <c r="V68">
        <f>IF(S68=0,0,$V$33*$H$26*$R$33)</f>
        <v>0</v>
      </c>
      <c r="W68">
        <f>(0.6*T68+0.7*U68)*$R$33/2</f>
        <v>0</v>
      </c>
      <c r="X68">
        <f>T68*$R$33/2</f>
        <v>0</v>
      </c>
      <c r="Z68">
        <f>IF(S68=0,0,$AD$33*$AP$22)</f>
        <v>0</v>
      </c>
      <c r="AA68">
        <f>IFERROR(Z68/$R$33,0)</f>
        <v>0</v>
      </c>
      <c r="AB68">
        <f>Z68*($F$22+IF($F$22=0,0,($C$14+$C$15+IF($C$13="single",1.5,3)+3)/12))</f>
        <v>0</v>
      </c>
      <c r="AC68">
        <f>AB68-W68</f>
        <v>0</v>
      </c>
      <c r="AD68" cm="1">
        <f t="array" ref="AD68">IFERROR(IF(AC68&lt;0,0,AC68/($R$33-INDEX(hd_off,MATCH(AQ68,hd_mark,0),0)/12)),0)</f>
        <v>0</v>
      </c>
      <c r="AE68">
        <f>IF(S68=0,0,$AD$33*$AM$22)</f>
        <v>0</v>
      </c>
      <c r="AF68">
        <f>IFERROR(AE68/$R$33,0)</f>
        <v>0</v>
      </c>
      <c r="AG68">
        <f>AE68*($F$22+IF($F$22=0,0,($C$14+$C$15+IF($C$13="single",1.5,3)+3)/12))</f>
        <v>0</v>
      </c>
      <c r="AH68">
        <f>AG68-X68</f>
        <v>0</v>
      </c>
      <c r="AI68" cm="1">
        <f t="array" ref="AI68">IFERROR(IF(AH68&lt;0,0,AH68/($R$33-INDEX(hd_off,MATCH(AQ68,hd_mark,0),0)/12)),0)</f>
        <v>0</v>
      </c>
      <c r="AJ68">
        <f>MAX($F$22,$Z$33)/$Q$52</f>
        <v>0.30172413793103448</v>
      </c>
      <c r="AK68">
        <f t="shared" ref="AK68:AK71" si="52">IF(AJ68=0,0,IF(AJ68&gt;2,1.25-0.125*AJ68,1))</f>
        <v>1</v>
      </c>
      <c r="AL68" cm="1">
        <f t="array" ref="AL68">IFERROR(INDEX(sheath_ecap_asd,MATCH(AP68,sheath_mark,0),0)*AK68,0)</f>
        <v>0</v>
      </c>
      <c r="AM68" cm="1">
        <f t="array" ref="AM68">IFERROR(INDEX(sheath_wcap_asd,MATCH(AP68,sheath_mark,0),0)*AK68,0)</f>
        <v>0</v>
      </c>
      <c r="AN68" cm="1">
        <f t="array" ref="AN68">IFERROR(INDEX(hd_cap,MATCH(AQ68,hd_mark,0),0),0)</f>
        <v>0</v>
      </c>
      <c r="AP68" s="19"/>
      <c r="AQ68" s="19"/>
      <c r="AR68" s="100"/>
      <c r="AS68" s="93"/>
      <c r="AT68" s="109"/>
      <c r="AU68" t="str">
        <f>$Q$22</f>
        <v>L3</v>
      </c>
      <c r="AV68">
        <f>$E$22</f>
        <v>21.375</v>
      </c>
      <c r="AW68" cm="1">
        <f t="array" ref="AW68">IFERROR(IF(AV68=0,0,(INDEX($C$33:$C$38,MATCH($AZ$33,$B$33:$B$38,0),0)*(AV71+$BA$33)+$AW$33*COUNTIF(AV68:AV70,"&gt;0")*$C$32+$AY$33*$C$31)*$AU$33),0)</f>
        <v>0</v>
      </c>
      <c r="AX68">
        <f>IF(AV68=0,0,-(COUNTIF(AV68:AV70,"&gt;0")*$AW$33*$C$32+$AY$33*$C$31)*$H$27*$AU$33)</f>
        <v>0</v>
      </c>
      <c r="AY68">
        <f>IF(AV68=0,0,$AY$33*$H$26*$AU$33)</f>
        <v>0</v>
      </c>
      <c r="AZ68">
        <f>(0.6*AW68+0.7*AX68)*$AU$33/2</f>
        <v>0</v>
      </c>
      <c r="BA68">
        <f>AW68*$AU$33/2</f>
        <v>0</v>
      </c>
      <c r="BC68">
        <f>IF(AV68=0,0,$BG$33*$AP$22)</f>
        <v>0</v>
      </c>
      <c r="BD68">
        <f>IFERROR(BC68/$AU$33,0)</f>
        <v>0</v>
      </c>
      <c r="BE68">
        <f>BC68*($F$22+IF($F$22=0,0,($C$14+$C$15+IF($C$13="single",1.5,3)+3)/12))</f>
        <v>0</v>
      </c>
      <c r="BF68">
        <f>BE68-AZ68</f>
        <v>0</v>
      </c>
      <c r="BG68" cm="1">
        <f t="array" ref="BG68">IFERROR(IF(BF68&lt;0,0,BF68/($AU$33-INDEX(hd_off,MATCH(BT68,hd_mark,0),0)/12)),0)</f>
        <v>0</v>
      </c>
      <c r="BH68">
        <f>IF(AV68=0,0,$BG$33*$AM$22)</f>
        <v>0</v>
      </c>
      <c r="BI68">
        <f>IFERROR(BH68/$AU$33,0)</f>
        <v>0</v>
      </c>
      <c r="BJ68">
        <f>BH68*($F$22+IF($F$22=0,0,($C$14+$C$15+IF($C$13="single",1.5,3)+3)/12))</f>
        <v>0</v>
      </c>
      <c r="BK68">
        <f>BJ68-BA68</f>
        <v>0</v>
      </c>
      <c r="BL68" cm="1">
        <f t="array" ref="BL68">IFERROR(IF(BK68&lt;0,0,BK68/($AU$33-INDEX(hd_off,MATCH(BT68,hd_mark,0),0)/12)),0)</f>
        <v>0</v>
      </c>
      <c r="BM68">
        <f>MAX($F$22,$BC$33)/$Q$52</f>
        <v>0.30172413793103448</v>
      </c>
      <c r="BN68">
        <f t="shared" ref="BN68:BN71" si="53">IF(BM68=0,0,IF(BM68&gt;2,1.25-0.125*BM68,1))</f>
        <v>1</v>
      </c>
      <c r="BO68" cm="1">
        <f t="array" ref="BO68">IFERROR(INDEX(sheath_ecap_asd,MATCH(BS68,sheath_mark,0),0)*BN68,0)</f>
        <v>0</v>
      </c>
      <c r="BP68" cm="1">
        <f t="array" ref="BP68">IFERROR(INDEX(sheath_wcap_asd,MATCH(BS68,sheath_mark,0),0)*BN68,0)</f>
        <v>0</v>
      </c>
      <c r="BQ68" cm="1">
        <f t="array" ref="BQ68">IFERROR(INDEX(hd_cap,MATCH(BT68,hd_mark,0),0),0)</f>
        <v>0</v>
      </c>
      <c r="BS68" s="19"/>
      <c r="BT68" s="19"/>
      <c r="BU68" s="100"/>
    </row>
    <row r="69" spans="2:73" x14ac:dyDescent="0.25">
      <c r="B69" s="1"/>
      <c r="P69" s="93"/>
      <c r="Q69" s="109" t="s">
        <v>491</v>
      </c>
      <c r="R69" t="str">
        <f>$Q$23</f>
        <v>L4</v>
      </c>
      <c r="S69">
        <f>$E$23</f>
        <v>0</v>
      </c>
      <c r="T69" cm="1">
        <f t="array" ref="T69">IFERROR(IF(S69=0,0,(INDEX($C$33:$C$38,MATCH($W$33,$B$33:$B$38,0),0)*(S71+$X$33)+$T$33*COUNTIF(S69:S70,"&gt;0")*$C$32+$V$33*$C$31)*$R$33),0)</f>
        <v>0</v>
      </c>
      <c r="U69">
        <f>IF(S69=0,0,-(COUNTIF(S69:S70,"&gt;0")*$T$33*$C$32+$V$33*$C$31)*$H$27*$R$33)</f>
        <v>0</v>
      </c>
      <c r="V69">
        <f>IF(S69=0,0,$V$33*$H$26*$R$33)</f>
        <v>0</v>
      </c>
      <c r="W69">
        <f>(0.6*T69+0.7*U69)*$R$33/2</f>
        <v>0</v>
      </c>
      <c r="X69">
        <f>T69*$R$33/2</f>
        <v>0</v>
      </c>
      <c r="Z69">
        <f>IF(S69=0,0,$AD$33*$AP$23)</f>
        <v>0</v>
      </c>
      <c r="AA69">
        <f>IFERROR(Z69/$R$33,0)</f>
        <v>0</v>
      </c>
      <c r="AB69">
        <f>Z69*($F$23+IF($F$23=0,0,($C$14+$C$15+IF($C$13="single",1.5,3)+3)/12))</f>
        <v>0</v>
      </c>
      <c r="AC69">
        <f>AB69-W69</f>
        <v>0</v>
      </c>
      <c r="AD69" cm="1">
        <f t="array" ref="AD69">IFERROR(IF(AC69&lt;0,0,AC69/($R$33-INDEX(hd_off,MATCH(AQ69,hd_mark,0),0)/12)),0)</f>
        <v>0</v>
      </c>
      <c r="AE69">
        <f>IF(S69=0,0,$AD$33*$AM$23)</f>
        <v>0</v>
      </c>
      <c r="AF69">
        <f>IFERROR(AE69/$R$33,0)</f>
        <v>0</v>
      </c>
      <c r="AG69">
        <f>AE69*($F$23+IF($F$23=0,0,($C$14+$C$15+IF($C$13="single",1.5,3)+3)/12))</f>
        <v>0</v>
      </c>
      <c r="AH69">
        <f>AG69-X69</f>
        <v>0</v>
      </c>
      <c r="AI69" cm="1">
        <f t="array" ref="AI69">IFERROR(IF(AH69&lt;0,0,AH69/($R$33-INDEX(hd_off,MATCH(AQ69,hd_mark,0),0)/12)),0)</f>
        <v>0</v>
      </c>
      <c r="AJ69">
        <f>MAX($F$23,$AA$33)/$Q$52</f>
        <v>0</v>
      </c>
      <c r="AK69">
        <f t="shared" si="52"/>
        <v>0</v>
      </c>
      <c r="AL69" cm="1">
        <f t="array" ref="AL69">IFERROR(INDEX(sheath_ecap_asd,MATCH(AP69,sheath_mark,0),0)*AK69,0)</f>
        <v>0</v>
      </c>
      <c r="AM69" cm="1">
        <f t="array" ref="AM69">IFERROR(INDEX(sheath_wcap_asd,MATCH(AP69,sheath_mark,0),0)*AK69,0)</f>
        <v>0</v>
      </c>
      <c r="AN69" cm="1">
        <f t="array" ref="AN69">IFERROR(INDEX(hd_cap,MATCH(AQ69,hd_mark,0),0),0)</f>
        <v>0</v>
      </c>
      <c r="AP69" s="19"/>
      <c r="AQ69" s="19"/>
      <c r="AR69" s="100"/>
      <c r="AS69" s="93"/>
      <c r="AT69" s="109" t="s">
        <v>491</v>
      </c>
      <c r="AU69" t="str">
        <f>$Q$23</f>
        <v>L4</v>
      </c>
      <c r="AV69">
        <f>$E$23</f>
        <v>0</v>
      </c>
      <c r="AW69" cm="1">
        <f t="array" ref="AW69">IFERROR(IF(AV69=0,0,(INDEX($C$33:$C$38,MATCH($AZ$33,$B$33:$B$38,0),0)*(AV71+$BA$33)+$AW$33*COUNTIF(AV69:AV70,"&gt;0")*$C$32+$AY$33*$C$31)*$AU$33),0)</f>
        <v>0</v>
      </c>
      <c r="AX69">
        <f>IF(AV69=0,0,-(COUNTIF(AV69:AV70,"&gt;0")*$AW$33*$C$32+$AY$33*$C$31)*$H$27*$AU$33)</f>
        <v>0</v>
      </c>
      <c r="AY69">
        <f>IF(AV69=0,0,$AY$33*$H$26*$AU$33)</f>
        <v>0</v>
      </c>
      <c r="AZ69">
        <f>(0.6*AW69+0.7*AX69)*$AU$33/2</f>
        <v>0</v>
      </c>
      <c r="BA69">
        <f>AW69*$AU$33/2</f>
        <v>0</v>
      </c>
      <c r="BC69">
        <f>IF(AV69=0,0,$BG$33*$AP$23)</f>
        <v>0</v>
      </c>
      <c r="BD69">
        <f>IFERROR(BC69/$AU$33,0)</f>
        <v>0</v>
      </c>
      <c r="BE69">
        <f>BC69*($F$23+IF($F$23=0,0,($C$14+$C$15+IF($C$13="single",1.5,3)+3)/12))</f>
        <v>0</v>
      </c>
      <c r="BF69">
        <f>BE69-AZ69</f>
        <v>0</v>
      </c>
      <c r="BG69" cm="1">
        <f t="array" ref="BG69">IFERROR(IF(BF69&lt;0,0,BF69/($AU$33-INDEX(hd_off,MATCH(BT69,hd_mark,0),0)/12)),0)</f>
        <v>0</v>
      </c>
      <c r="BH69">
        <f>IF(AV69=0,0,$BG$33*$AM$23)</f>
        <v>0</v>
      </c>
      <c r="BI69">
        <f>IFERROR(BH69/$AU$33,0)</f>
        <v>0</v>
      </c>
      <c r="BJ69">
        <f>BH69*($F$23+IF($F$23=0,0,($C$14+$C$15+IF($C$13="single",1.5,3)+3)/12))</f>
        <v>0</v>
      </c>
      <c r="BK69">
        <f>BJ69-BA69</f>
        <v>0</v>
      </c>
      <c r="BL69" cm="1">
        <f t="array" ref="BL69">IFERROR(IF(BK69&lt;0,0,BK69/($AU$33-INDEX(hd_off,MATCH(BT69,hd_mark,0),0)/12)),0)</f>
        <v>0</v>
      </c>
      <c r="BM69">
        <f>MAX($F$23,$BD$33)/$Q$52</f>
        <v>0</v>
      </c>
      <c r="BN69">
        <f t="shared" si="53"/>
        <v>0</v>
      </c>
      <c r="BO69" cm="1">
        <f t="array" ref="BO69">IFERROR(INDEX(sheath_ecap_asd,MATCH(BS69,sheath_mark,0),0)*BN69,0)</f>
        <v>0</v>
      </c>
      <c r="BP69" cm="1">
        <f t="array" ref="BP69">IFERROR(INDEX(sheath_wcap_asd,MATCH(BS69,sheath_mark,0),0)*BN69,0)</f>
        <v>0</v>
      </c>
      <c r="BQ69" cm="1">
        <f t="array" ref="BQ69">IFERROR(INDEX(hd_cap,MATCH(BT69,hd_mark,0),0),0)</f>
        <v>0</v>
      </c>
      <c r="BS69" s="19"/>
      <c r="BT69" s="19"/>
      <c r="BU69" s="100"/>
    </row>
    <row r="70" spans="2:73" x14ac:dyDescent="0.25">
      <c r="P70" s="93"/>
      <c r="Q70" s="111">
        <f>$R$33</f>
        <v>0</v>
      </c>
      <c r="R70" t="str">
        <f>$Q$24</f>
        <v>L5</v>
      </c>
      <c r="S70">
        <f>$E$24</f>
        <v>0</v>
      </c>
      <c r="T70" cm="1">
        <f t="array" ref="T70">IFERROR(IF(S70=0,0,(INDEX($C$33:$C$38,MATCH($W$33,$B$33:$B$38,0),0)*(S71+$X$33)+$T$33*COUNTIF(S70:S70,"&gt;0")*$C$32+$V$33*$C$31)*$R$33),0)</f>
        <v>0</v>
      </c>
      <c r="U70">
        <f>IF(S70=0,0,-(COUNTIF(S70:S70,"&gt;0")*$T$33*$C$32+$V$33*$C$31)*$H$27*$R$33)</f>
        <v>0</v>
      </c>
      <c r="V70">
        <f>IF(S70=0,0,$V$33*$H$26*$R$33)</f>
        <v>0</v>
      </c>
      <c r="W70">
        <f>(0.6*T70+0.7*U70)*$R$33/2</f>
        <v>0</v>
      </c>
      <c r="X70">
        <f>T70*$R$33/2</f>
        <v>0</v>
      </c>
      <c r="Z70">
        <f>IF(S70=0,0,$AD$33*$AP$24)</f>
        <v>0</v>
      </c>
      <c r="AA70">
        <f>IFERROR(Z70/$R$33,0)</f>
        <v>0</v>
      </c>
      <c r="AB70">
        <f>Z70*($F$24+IF($F$24=0,0,($C$14+$C$15+IF($C$13="single",1.5,3)+3)/12))</f>
        <v>0</v>
      </c>
      <c r="AC70">
        <f>AB70-W70</f>
        <v>0</v>
      </c>
      <c r="AD70" cm="1">
        <f t="array" ref="AD70">IFERROR(IF(AC70&lt;0,0,AC70/($R$33-INDEX(hd_off,MATCH(AQ70,hd_mark,0),0)/12)),0)</f>
        <v>0</v>
      </c>
      <c r="AE70">
        <f>IF(S70=0,0,$AD$33*$AM$24)</f>
        <v>0</v>
      </c>
      <c r="AF70">
        <f>IFERROR(AE70/$R$33,0)</f>
        <v>0</v>
      </c>
      <c r="AG70">
        <f>AE70*($F$24+IF($F$24=0,0,($C$14+$C$15+IF($C$13="single",1.5,3)+3)/12))</f>
        <v>0</v>
      </c>
      <c r="AH70">
        <f>AG70-X70</f>
        <v>0</v>
      </c>
      <c r="AI70" cm="1">
        <f t="array" ref="AI70">IFERROR(IF(AH70&lt;0,0,AH70/($R$33-INDEX(hd_off,MATCH(AQ70,hd_mark,0),0)/12)),0)</f>
        <v>0</v>
      </c>
      <c r="AJ70">
        <f>MAX($F$24,$AB$33)/$Q$52</f>
        <v>0</v>
      </c>
      <c r="AK70">
        <f t="shared" si="52"/>
        <v>0</v>
      </c>
      <c r="AL70" cm="1">
        <f t="array" ref="AL70">IFERROR(INDEX(sheath_ecap_asd,MATCH(AP70,sheath_mark,0),0)*AK70,0)</f>
        <v>0</v>
      </c>
      <c r="AM70" cm="1">
        <f t="array" ref="AM70">IFERROR(INDEX(sheath_wcap_asd,MATCH(AP70,sheath_mark,0),0)*AK70,0)</f>
        <v>0</v>
      </c>
      <c r="AN70" cm="1">
        <f t="array" ref="AN70">IFERROR(INDEX(hd_cap,MATCH(AQ70,hd_mark,0),0),0)</f>
        <v>0</v>
      </c>
      <c r="AP70" s="19"/>
      <c r="AQ70" s="19"/>
      <c r="AR70" s="100"/>
      <c r="AS70" s="93"/>
      <c r="AT70" s="111">
        <f>$R$33</f>
        <v>0</v>
      </c>
      <c r="AU70" t="str">
        <f>$Q$24</f>
        <v>L5</v>
      </c>
      <c r="AV70">
        <f>$E$24</f>
        <v>0</v>
      </c>
      <c r="AW70" cm="1">
        <f t="array" ref="AW70">IFERROR(IF(AV70=0,0,(INDEX($C$33:$C$38,MATCH($AZ$33,$B$33:$B$38,0),0)*(AV71+$BA$33)+$AW$33*COUNTIF(AV70:AV70,"&gt;0")*$C$32+$AY$33*$C$31)*$AU$33),0)</f>
        <v>0</v>
      </c>
      <c r="AX70">
        <f>IF(AV70=0,0,-(COUNTIF(AV70:AV70,"&gt;0")*$AW$33*$C$32+$AY$33*$C$31)*$H$27*$AU$33)</f>
        <v>0</v>
      </c>
      <c r="AY70">
        <f>IF(AV70=0,0,$AY$33*$H$26*$AU$33)</f>
        <v>0</v>
      </c>
      <c r="AZ70">
        <f>(0.6*AW70+0.7*AX70)*$AU$33/2</f>
        <v>0</v>
      </c>
      <c r="BA70">
        <f>AW70*$AU$33/2</f>
        <v>0</v>
      </c>
      <c r="BC70">
        <f>IF(AV70=0,0,$BG$33*$AP$24)</f>
        <v>0</v>
      </c>
      <c r="BD70">
        <f>IFERROR(BC70/$AU$33,0)</f>
        <v>0</v>
      </c>
      <c r="BE70">
        <f>BC70*($F$24+IF($F$24=0,0,($C$14+$C$15+IF($C$13="single",1.5,3)+3)/12))</f>
        <v>0</v>
      </c>
      <c r="BF70">
        <f>BE70-AZ70</f>
        <v>0</v>
      </c>
      <c r="BG70" cm="1">
        <f t="array" ref="BG70">IFERROR(IF(BF70&lt;0,0,BF70/($AU$33-INDEX(hd_off,MATCH(BT70,hd_mark,0),0)/12)),0)</f>
        <v>0</v>
      </c>
      <c r="BH70">
        <f>IF(AV70=0,0,$BG$33*$AM$24)</f>
        <v>0</v>
      </c>
      <c r="BI70">
        <f>IFERROR(BH70/$AU$33,0)</f>
        <v>0</v>
      </c>
      <c r="BJ70">
        <f>BH70*($F$24+IF($F$24=0,0,($C$14+$C$15+IF($C$13="single",1.5,3)+3)/12))</f>
        <v>0</v>
      </c>
      <c r="BK70">
        <f>BJ70-BA70</f>
        <v>0</v>
      </c>
      <c r="BL70" cm="1">
        <f t="array" ref="BL70">IFERROR(IF(BK70&lt;0,0,BK70/($AU$33-INDEX(hd_off,MATCH(BT70,hd_mark,0),0)/12)),0)</f>
        <v>0</v>
      </c>
      <c r="BM70">
        <f>MAX($F$24,$BE$33)/$Q$52</f>
        <v>0</v>
      </c>
      <c r="BN70">
        <f t="shared" si="53"/>
        <v>0</v>
      </c>
      <c r="BO70" cm="1">
        <f t="array" ref="BO70">IFERROR(INDEX(sheath_ecap_asd,MATCH(BS70,sheath_mark,0),0)*BN70,0)</f>
        <v>0</v>
      </c>
      <c r="BP70" cm="1">
        <f t="array" ref="BP70">IFERROR(INDEX(sheath_wcap_asd,MATCH(BS70,sheath_mark,0),0)*BN70,0)</f>
        <v>0</v>
      </c>
      <c r="BQ70" cm="1">
        <f t="array" ref="BQ70">IFERROR(INDEX(hd_cap,MATCH(BT70,hd_mark,0),0),0)</f>
        <v>0</v>
      </c>
      <c r="BS70" s="19"/>
      <c r="BT70" s="19"/>
      <c r="BU70" s="100"/>
    </row>
    <row r="71" spans="2:73" x14ac:dyDescent="0.25">
      <c r="P71" s="93"/>
      <c r="Q71" s="109"/>
      <c r="R71" t="str">
        <f>$Q$25</f>
        <v>Roof</v>
      </c>
      <c r="S71">
        <f>$E$25</f>
        <v>33.171875</v>
      </c>
      <c r="T71" cm="1">
        <f t="array" ref="T71">IFERROR(IF(S71=0,0,(INDEX($C$33:$C$38,MATCH($W$33,$B$33:$B$38,0),0)*(S71+$X$33)+$V$33*$C$31)*$R$33),0)</f>
        <v>0</v>
      </c>
      <c r="U71">
        <f>IF(S71=0,0,-$V$33*$C$31*$H$27*$R$33)</f>
        <v>0</v>
      </c>
      <c r="V71">
        <f>IF(S71=0,0,$V$33*$H$26*$R$33)</f>
        <v>0</v>
      </c>
      <c r="W71">
        <f>(0.6*T71+0.7*U71)*$R$33/2</f>
        <v>0</v>
      </c>
      <c r="X71">
        <f>T71*$R$33/2</f>
        <v>0</v>
      </c>
      <c r="Z71">
        <f>IF(S71=0,0,$AD$33*$AP$25)</f>
        <v>0</v>
      </c>
      <c r="AA71">
        <f>IFERROR(Z71/$R$33,0)</f>
        <v>0</v>
      </c>
      <c r="AB71">
        <f>Z71*($F$25+($C$16+$C$17+IF($C$13="single",1.5,3)+3)/12)</f>
        <v>0</v>
      </c>
      <c r="AC71">
        <f>AB71-W71</f>
        <v>0</v>
      </c>
      <c r="AD71" cm="1">
        <f t="array" ref="AD71">IFERROR(IF(AC71&lt;0,0,AC71/($R$33-INDEX(hd_off,MATCH(AQ71,hd_mark,0),0)/12)),0)</f>
        <v>0</v>
      </c>
      <c r="AE71">
        <f>IF(S71=0,0,$AD$33*$AM$25)</f>
        <v>0</v>
      </c>
      <c r="AF71">
        <f>IFERROR(AE71/$R$33,0)</f>
        <v>0</v>
      </c>
      <c r="AG71">
        <f>AE71*($F$25+($C$16+$C$17+IF($C$13="single",1.5,3)+3)/12)</f>
        <v>0</v>
      </c>
      <c r="AH71">
        <f>AG71-X71</f>
        <v>0</v>
      </c>
      <c r="AI71" cm="1">
        <f t="array" ref="AI71">IFERROR(IF(AH71&lt;0,0,AH71/($R$33-INDEX(hd_off,MATCH(AQ71,hd_mark,0),0)/12)),0)</f>
        <v>0</v>
      </c>
      <c r="AJ71">
        <f>MAX($F$25,$AC$33)/$Q$52</f>
        <v>0.29920977011494249</v>
      </c>
      <c r="AK71">
        <f t="shared" si="52"/>
        <v>1</v>
      </c>
      <c r="AL71" cm="1">
        <f t="array" ref="AL71">IFERROR(INDEX(sheath_ecap_asd,MATCH(AP71,sheath_mark,0),0)*AK71,0)</f>
        <v>0</v>
      </c>
      <c r="AM71" cm="1">
        <f t="array" ref="AM71">IFERROR(INDEX(sheath_wcap_asd,MATCH(AP71,sheath_mark,0),0)*AK71,0)</f>
        <v>0</v>
      </c>
      <c r="AN71" cm="1">
        <f t="array" ref="AN71">IFERROR(INDEX(hd_cap,MATCH(AQ71,hd_mark,0),0),0)</f>
        <v>0</v>
      </c>
      <c r="AP71" s="19"/>
      <c r="AQ71" s="19"/>
      <c r="AR71" s="100"/>
      <c r="AS71" s="93"/>
      <c r="AT71" s="109"/>
      <c r="AU71" t="str">
        <f>$Q$25</f>
        <v>Roof</v>
      </c>
      <c r="AV71">
        <f>$E$25</f>
        <v>33.171875</v>
      </c>
      <c r="AW71" cm="1">
        <f t="array" ref="AW71">IFERROR(IF(AV71=0,0,(INDEX($C$33:$C$38,MATCH($AZ$33,$B$33:$B$38,0),0)*(AV71+$BA$33)+$AY$33*$C$31)*$AU$33),0)</f>
        <v>0</v>
      </c>
      <c r="AX71">
        <f>IF(AV71=0,0,-$AY$33*$C$31*$H$27*$AU$33)</f>
        <v>0</v>
      </c>
      <c r="AY71">
        <f>IF(AV71=0,0,$AY$33*$H$26*$AU$33)</f>
        <v>0</v>
      </c>
      <c r="AZ71">
        <f>(0.6*AW71+0.7*AX71)*$AU$33/2</f>
        <v>0</v>
      </c>
      <c r="BA71">
        <f>AW71*$AU$33/2</f>
        <v>0</v>
      </c>
      <c r="BC71">
        <f>IF(AV71=0,0,$BG$33*$AP$25)</f>
        <v>0</v>
      </c>
      <c r="BD71">
        <f>IFERROR(BC71/$AU$33,0)</f>
        <v>0</v>
      </c>
      <c r="BE71">
        <f>BC71*($F$25+($C$16+$C$17+IF($C$13="single",1.5,3)+3)/12)</f>
        <v>0</v>
      </c>
      <c r="BF71">
        <f>BE71-AZ71</f>
        <v>0</v>
      </c>
      <c r="BG71" cm="1">
        <f t="array" ref="BG71">IFERROR(IF(BF71&lt;0,0,BF71/($AU$33-INDEX(hd_off,MATCH(BT71,hd_mark,0),0)/12)),0)</f>
        <v>0</v>
      </c>
      <c r="BH71">
        <f>IF(AV71=0,0,$BG$33*$AM$25)</f>
        <v>0</v>
      </c>
      <c r="BI71">
        <f>IFERROR(BH71/$AU$33,0)</f>
        <v>0</v>
      </c>
      <c r="BJ71">
        <f>BH71*($F$25+($C$16+$C$17+IF($C$13="single",1.5,3)+3)/12)</f>
        <v>0</v>
      </c>
      <c r="BK71">
        <f>BJ71-BA71</f>
        <v>0</v>
      </c>
      <c r="BL71" cm="1">
        <f t="array" ref="BL71">IFERROR(IF(BK71&lt;0,0,BK71/($AU$33-INDEX(hd_off,MATCH(BT71,hd_mark,0),0)/12)),0)</f>
        <v>0</v>
      </c>
      <c r="BM71">
        <f>MAX($F$25,$BF$33)/$Q$52</f>
        <v>0.29920977011494249</v>
      </c>
      <c r="BN71">
        <f t="shared" si="53"/>
        <v>1</v>
      </c>
      <c r="BO71" cm="1">
        <f t="array" ref="BO71">IFERROR(INDEX(sheath_ecap_asd,MATCH(BS71,sheath_mark,0),0)*BN71,0)</f>
        <v>0</v>
      </c>
      <c r="BP71" cm="1">
        <f t="array" ref="BP71">IFERROR(INDEX(sheath_wcap_asd,MATCH(BS71,sheath_mark,0),0)*BN71,0)</f>
        <v>0</v>
      </c>
      <c r="BQ71" cm="1">
        <f t="array" ref="BQ71">IFERROR(INDEX(hd_cap,MATCH(BT71,hd_mark,0),0),0)</f>
        <v>0</v>
      </c>
      <c r="BS71" s="19"/>
      <c r="BT71" s="19"/>
      <c r="BU71" s="100"/>
    </row>
    <row r="72" spans="2:73" x14ac:dyDescent="0.25">
      <c r="P72" s="93"/>
      <c r="AR72" s="100"/>
      <c r="AS72" s="93"/>
      <c r="BU72" s="100"/>
    </row>
    <row r="73" spans="2:73" x14ac:dyDescent="0.25">
      <c r="P73" s="93"/>
      <c r="Q73" s="110" t="str">
        <f>$Q$34</f>
        <v>A.05</v>
      </c>
      <c r="R73" t="str">
        <f>$Q$21</f>
        <v>L2</v>
      </c>
      <c r="S73">
        <f>$E$21</f>
        <v>10.6875</v>
      </c>
      <c r="T73" cm="1">
        <f t="array" ref="T73">IFERROR(IF(S73=0,0,(INDEX($C$33:$C$38,MATCH($W$34,$B$33:$B$38,0),0)*(S77+$X$34)+$T$34*COUNTIF(S73:S76,"&gt;0")*$C$32+$V$34*$C$31)*$R$34),0)</f>
        <v>0</v>
      </c>
      <c r="U73">
        <f>IF(S73=0,0,-(COUNTIF(S73:S76,"&gt;0")*$T$34*$C$32+$V$34*$C$31)*$H$27*$R$34)</f>
        <v>0</v>
      </c>
      <c r="V73">
        <f>IF(S73=0,0,$V$34*$H$26*$R$34)</f>
        <v>0</v>
      </c>
      <c r="W73">
        <f>(0.6*T73+0.7*U73)*$R$34/2</f>
        <v>0</v>
      </c>
      <c r="X73">
        <f>(0.6*T73+0.6*V73)*$R$34/2</f>
        <v>0</v>
      </c>
      <c r="Z73">
        <f>IF(S73=0,0,$AD$34*$AP$21)</f>
        <v>0</v>
      </c>
      <c r="AA73">
        <f>IFERROR(Z73/$R$34,0)</f>
        <v>0</v>
      </c>
      <c r="AB73">
        <f>Z73*($F$21+IF($F$21=0,0,($C$14+$C$15+IF($C$13="single",1.5,3)+3)/12))</f>
        <v>0</v>
      </c>
      <c r="AC73">
        <f>AB73-W73</f>
        <v>0</v>
      </c>
      <c r="AD73" cm="1">
        <f t="array" ref="AD73">IFERROR(IF(AC73&lt;0,0,AC73/($R$34-INDEX(hd_off,MATCH(AQ73,hd_mark,0),0)/12)),0)</f>
        <v>0</v>
      </c>
      <c r="AE73">
        <f>IF(S73=0,0,$AD$34*$AM$21)</f>
        <v>0</v>
      </c>
      <c r="AF73">
        <f>IFERROR(AE73/$R$34,0)</f>
        <v>0</v>
      </c>
      <c r="AG73">
        <f>AE73*($F$21+IF($F$21=0,0,($C$14+$C$15+IF($C$13="single",1.5,3)+3)/12))</f>
        <v>0</v>
      </c>
      <c r="AH73">
        <f>AG73-X73</f>
        <v>0</v>
      </c>
      <c r="AI73" cm="1">
        <f t="array" ref="AI73">IFERROR(IF(AH73&lt;0,0,AH73/($R$34-INDEX(hd_off,MATCH(AQ73,hd_mark,0),0)/12)),0)</f>
        <v>0</v>
      </c>
      <c r="AJ73">
        <f>MAX($F$21,$Y$34)/$Q$52</f>
        <v>0.30172413793103448</v>
      </c>
      <c r="AK73">
        <f>IF(AJ73=0,0,IF(AJ73&gt;2,1.25-0.125*AJ73,1))</f>
        <v>1</v>
      </c>
      <c r="AL73" cm="1">
        <f t="array" ref="AL73">IFERROR(INDEX(sheath_ecap_asd,MATCH(AP73,sheath_mark,0),0)*AK73,0)</f>
        <v>0</v>
      </c>
      <c r="AM73" cm="1">
        <f t="array" ref="AM73">IFERROR(INDEX(sheath_wcap_asd,MATCH(AP73,sheath_mark,0),0)*AK73,0)</f>
        <v>0</v>
      </c>
      <c r="AN73" cm="1">
        <f t="array" ref="AN73">IFERROR(INDEX(hd_cap,MATCH(AQ73,hd_mark,0),0),0)</f>
        <v>0</v>
      </c>
      <c r="AP73" s="19"/>
      <c r="AQ73" s="19"/>
      <c r="AR73" s="100"/>
      <c r="AS73" s="93"/>
      <c r="AT73" s="110" t="str">
        <f>$AT$34</f>
        <v>1.05</v>
      </c>
      <c r="AU73" t="str">
        <f>$Q$21</f>
        <v>L2</v>
      </c>
      <c r="AV73">
        <f>$E$21</f>
        <v>10.6875</v>
      </c>
      <c r="AW73" cm="1">
        <f t="array" ref="AW73">IFERROR(IF(AV73=0,0,(INDEX($C$33:$C$38,MATCH($AZ$34,$B$33:$B$38,0),0)*(AV77+$BA$34)+$AW$34*COUNTIF(AV73:AV76,"&gt;0")*$C$32+$AY$34*$C$31)*$AU$34),0)</f>
        <v>0</v>
      </c>
      <c r="AX73">
        <f>IF(AV73=0,0,-(COUNTIF(AV73:AV76,"&gt;0")*$AW$34*$C$32+$AY$34*$C$31)*$H$27*$AU$34)</f>
        <v>0</v>
      </c>
      <c r="AY73">
        <f>IF(AV73=0,0,$AY$34*$H$26*$AU$34)</f>
        <v>0</v>
      </c>
      <c r="AZ73">
        <f>(0.6*AW73+0.7*AX73)*$AU$34/2</f>
        <v>0</v>
      </c>
      <c r="BA73">
        <f>(0.6*AW73+0.6*AY73)*$AU$34/2</f>
        <v>0</v>
      </c>
      <c r="BC73">
        <f>IF(AV73=0,0,$BG$34*$AP$21)</f>
        <v>0</v>
      </c>
      <c r="BD73">
        <f>IFERROR(BC73/$AU$34,0)</f>
        <v>0</v>
      </c>
      <c r="BE73">
        <f>BC73*($F$21+IF($F$21=0,0,($C$14+$C$15+IF($C$13="single",1.5,3)+3)/12))</f>
        <v>0</v>
      </c>
      <c r="BF73">
        <f>BE73-AZ73</f>
        <v>0</v>
      </c>
      <c r="BG73" cm="1">
        <f t="array" ref="BG73">IFERROR(IF(BF73&lt;0,0,BF73/($AU$34-INDEX(hd_off,MATCH(BT73,hd_mark,0),0)/12)),0)</f>
        <v>0</v>
      </c>
      <c r="BH73">
        <f>IF(AV73=0,0,$BG$34*$AM$21)</f>
        <v>0</v>
      </c>
      <c r="BI73">
        <f>IFERROR(BH73/$AU$34,0)</f>
        <v>0</v>
      </c>
      <c r="BJ73">
        <f>BH73*($F$21+IF($F$21=0,0,($C$14+$C$15+IF($C$13="single",1.5,3)+3)/12))</f>
        <v>0</v>
      </c>
      <c r="BK73">
        <f>BJ73-BA73</f>
        <v>0</v>
      </c>
      <c r="BL73" cm="1">
        <f t="array" ref="BL73">IFERROR(IF(BK73&lt;0,0,BK73/($AU$34-INDEX(hd_off,MATCH(BT73,hd_mark,0),0)/12)),0)</f>
        <v>0</v>
      </c>
      <c r="BM73">
        <f>MAX($F$21,$BB$34)/$Q$52</f>
        <v>0.30172413793103448</v>
      </c>
      <c r="BN73">
        <f>IF(BM73=0,0,IF(BM73&gt;2,1.25-0.125*BM73,1))</f>
        <v>1</v>
      </c>
      <c r="BO73" cm="1">
        <f t="array" ref="BO73">IFERROR(INDEX(sheath_ecap_asd,MATCH(BS73,sheath_mark,0),0)*BN73,0)</f>
        <v>0</v>
      </c>
      <c r="BP73" cm="1">
        <f t="array" ref="BP73">IFERROR(INDEX(sheath_wcap_asd,MATCH(BS73,sheath_mark,0),0)*BN73,0)</f>
        <v>0</v>
      </c>
      <c r="BQ73" cm="1">
        <f t="array" ref="BQ73">IFERROR(INDEX(hd_cap,MATCH(BT73,hd_mark,0),0),0)</f>
        <v>0</v>
      </c>
      <c r="BS73" s="19"/>
      <c r="BT73" s="19"/>
      <c r="BU73" s="100"/>
    </row>
    <row r="74" spans="2:73" x14ac:dyDescent="0.25">
      <c r="B74" s="1"/>
      <c r="P74" s="93"/>
      <c r="Q74" s="109"/>
      <c r="R74" t="str">
        <f>$Q$22</f>
        <v>L3</v>
      </c>
      <c r="S74">
        <f>$E$22</f>
        <v>21.375</v>
      </c>
      <c r="T74" cm="1">
        <f t="array" ref="T74">IFERROR(IF(S74=0,0,(INDEX($C$33:$C$38,MATCH($W$34,$B$33:$B$38,0),0)*(S77+$X$34)+$T$34*COUNTIF(S74:S76,"&gt;0")*$C$32+$V$34*$C$31)*$R$34),0)</f>
        <v>0</v>
      </c>
      <c r="U74">
        <f>IF(S74=0,0,-(COUNTIF(S74:S76,"&gt;0")*$T$34*$C$32+$V$34*$C$31)*$H$27*$R$34)</f>
        <v>0</v>
      </c>
      <c r="V74">
        <f>IF(S74=0,0,$V$34*$H$26*$R$34)</f>
        <v>0</v>
      </c>
      <c r="W74">
        <f>(0.6*T74+0.7*U74)*$R$34/2</f>
        <v>0</v>
      </c>
      <c r="X74">
        <f>T74*$R$34/2</f>
        <v>0</v>
      </c>
      <c r="Z74">
        <f>IF(S74=0,0,$AD$34*$AP$22)</f>
        <v>0</v>
      </c>
      <c r="AA74">
        <f>IFERROR(Z74/$R$34,0)</f>
        <v>0</v>
      </c>
      <c r="AB74">
        <f>Z74*($F$22+IF($F$22=0,0,($C$14+$C$15+IF($C$13="single",1.5,3)+3)/12))</f>
        <v>0</v>
      </c>
      <c r="AC74">
        <f>AB74-W74</f>
        <v>0</v>
      </c>
      <c r="AD74" cm="1">
        <f t="array" ref="AD74">IFERROR(IF(AC74&lt;0,0,AC74/($R$34-INDEX(hd_off,MATCH(AQ74,hd_mark,0),0)/12)),0)</f>
        <v>0</v>
      </c>
      <c r="AE74">
        <f>IF(S74=0,0,$AD$34*$AM$22)</f>
        <v>0</v>
      </c>
      <c r="AF74">
        <f>IFERROR(AE74/$R$34,0)</f>
        <v>0</v>
      </c>
      <c r="AG74">
        <f>AE74*($F$22+IF($F$22=0,0,($C$14+$C$15+IF($C$13="single",1.5,3)+3)/12))</f>
        <v>0</v>
      </c>
      <c r="AH74">
        <f>AG74-X74</f>
        <v>0</v>
      </c>
      <c r="AI74" cm="1">
        <f t="array" ref="AI74">IFERROR(IF(AH74&lt;0,0,AH74/($R$34-INDEX(hd_off,MATCH(AQ74,hd_mark,0),0)/12)),0)</f>
        <v>0</v>
      </c>
      <c r="AJ74">
        <f>MAX($F$22,$Z$34)/$Q$52</f>
        <v>0.30172413793103448</v>
      </c>
      <c r="AK74">
        <f t="shared" ref="AK74:AK77" si="54">IF(AJ74=0,0,IF(AJ74&gt;2,1.25-0.125*AJ74,1))</f>
        <v>1</v>
      </c>
      <c r="AL74" cm="1">
        <f t="array" ref="AL74">IFERROR(INDEX(sheath_ecap_asd,MATCH(AP74,sheath_mark,0),0)*AK74,0)</f>
        <v>0</v>
      </c>
      <c r="AM74" cm="1">
        <f t="array" ref="AM74">IFERROR(INDEX(sheath_wcap_asd,MATCH(AP74,sheath_mark,0),0)*AK74,0)</f>
        <v>0</v>
      </c>
      <c r="AN74" cm="1">
        <f t="array" ref="AN74">IFERROR(INDEX(hd_cap,MATCH(AQ74,hd_mark,0),0),0)</f>
        <v>0</v>
      </c>
      <c r="AP74" s="19"/>
      <c r="AQ74" s="19"/>
      <c r="AR74" s="100"/>
      <c r="AS74" s="93"/>
      <c r="AT74" s="109"/>
      <c r="AU74" t="str">
        <f>$Q$22</f>
        <v>L3</v>
      </c>
      <c r="AV74">
        <f>$E$22</f>
        <v>21.375</v>
      </c>
      <c r="AW74" cm="1">
        <f t="array" ref="AW74">IFERROR(IF(AV74=0,0,(INDEX($C$33:$C$38,MATCH($AZ$34,$B$33:$B$38,0),0)*(AV77+$BA$34)+$AW$34*COUNTIF(AV74:AV76,"&gt;0")*$C$32+$AY$34*$C$31)*$AU$34),0)</f>
        <v>0</v>
      </c>
      <c r="AX74">
        <f>IF(AV74=0,0,-(COUNTIF(AV74:AV76,"&gt;0")*$AW$34*$C$32+$AY$34*$C$31)*$H$27*$AU$34)</f>
        <v>0</v>
      </c>
      <c r="AY74">
        <f>IF(AV74=0,0,$AY$34*$H$26*$AU$34)</f>
        <v>0</v>
      </c>
      <c r="AZ74">
        <f>(0.6*AW74+0.7*AX74)*$AU$34/2</f>
        <v>0</v>
      </c>
      <c r="BA74">
        <f>AW74*$AU$34/2</f>
        <v>0</v>
      </c>
      <c r="BC74">
        <f>IF(AV74=0,0,$BG$34*$AP$22)</f>
        <v>0</v>
      </c>
      <c r="BD74">
        <f>IFERROR(BC74/$AU$34,0)</f>
        <v>0</v>
      </c>
      <c r="BE74">
        <f>BC74*($F$22+IF($F$22=0,0,($C$14+$C$15+IF($C$13="single",1.5,3)+3)/12))</f>
        <v>0</v>
      </c>
      <c r="BF74">
        <f>BE74-AZ74</f>
        <v>0</v>
      </c>
      <c r="BG74" cm="1">
        <f t="array" ref="BG74">IFERROR(IF(BF74&lt;0,0,BF74/($AU$34-INDEX(hd_off,MATCH(BT74,hd_mark,0),0)/12)),0)</f>
        <v>0</v>
      </c>
      <c r="BH74">
        <f>IF(AV74=0,0,$BG$34*$AM$22)</f>
        <v>0</v>
      </c>
      <c r="BI74">
        <f>IFERROR(BH74/$AU$34,0)</f>
        <v>0</v>
      </c>
      <c r="BJ74">
        <f>BH74*($F$22+IF($F$22=0,0,($C$14+$C$15+IF($C$13="single",1.5,3)+3)/12))</f>
        <v>0</v>
      </c>
      <c r="BK74">
        <f>BJ74-BA74</f>
        <v>0</v>
      </c>
      <c r="BL74" cm="1">
        <f t="array" ref="BL74">IFERROR(IF(BK74&lt;0,0,BK74/($AU$34-INDEX(hd_off,MATCH(BT74,hd_mark,0),0)/12)),0)</f>
        <v>0</v>
      </c>
      <c r="BM74">
        <f>MAX($F$22,$BC$34)/$Q$52</f>
        <v>0.30172413793103448</v>
      </c>
      <c r="BN74">
        <f t="shared" ref="BN74:BN77" si="55">IF(BM74=0,0,IF(BM74&gt;2,1.25-0.125*BM74,1))</f>
        <v>1</v>
      </c>
      <c r="BO74" cm="1">
        <f t="array" ref="BO74">IFERROR(INDEX(sheath_ecap_asd,MATCH(BS74,sheath_mark,0),0)*BN74,0)</f>
        <v>0</v>
      </c>
      <c r="BP74" cm="1">
        <f t="array" ref="BP74">IFERROR(INDEX(sheath_wcap_asd,MATCH(BS74,sheath_mark,0),0)*BN74,0)</f>
        <v>0</v>
      </c>
      <c r="BQ74" cm="1">
        <f t="array" ref="BQ74">IFERROR(INDEX(hd_cap,MATCH(BT74,hd_mark,0),0),0)</f>
        <v>0</v>
      </c>
      <c r="BS74" s="19"/>
      <c r="BT74" s="19"/>
      <c r="BU74" s="100"/>
    </row>
    <row r="75" spans="2:73" x14ac:dyDescent="0.25">
      <c r="P75" s="93"/>
      <c r="Q75" s="109" t="s">
        <v>491</v>
      </c>
      <c r="R75" t="str">
        <f>$Q$23</f>
        <v>L4</v>
      </c>
      <c r="S75">
        <f>$E$23</f>
        <v>0</v>
      </c>
      <c r="T75" cm="1">
        <f t="array" ref="T75">IFERROR(IF(S75=0,0,(INDEX($C$33:$C$38,MATCH($W$34,$B$33:$B$38,0),0)*(S77+$X$34)+$T$34*COUNTIF(S75:S76,"&gt;0")*$C$32+$V$34*$C$31)*$R$34),0)</f>
        <v>0</v>
      </c>
      <c r="U75">
        <f>IF(S75=0,0,-(COUNTIF(S75:S76,"&gt;0")*$T$34*$C$32+$V$34*$C$31)*$H$27*$R$34)</f>
        <v>0</v>
      </c>
      <c r="V75">
        <f>IF(S75=0,0,$V$34*$H$26*$R$34)</f>
        <v>0</v>
      </c>
      <c r="W75">
        <f>(0.6*T75+0.7*U75)*$R$34/2</f>
        <v>0</v>
      </c>
      <c r="X75">
        <f>T75*$R$34/2</f>
        <v>0</v>
      </c>
      <c r="Z75">
        <f>IF(S75=0,0,$AD$34*$AP$23)</f>
        <v>0</v>
      </c>
      <c r="AA75">
        <f>IFERROR(Z75/$R$34,0)</f>
        <v>0</v>
      </c>
      <c r="AB75">
        <f>Z75*($F$23+IF($F$23=0,0,($C$14+$C$15+IF($C$13="single",1.5,3)+3)/12))</f>
        <v>0</v>
      </c>
      <c r="AC75">
        <f>AB75-W75</f>
        <v>0</v>
      </c>
      <c r="AD75" cm="1">
        <f t="array" ref="AD75">IFERROR(IF(AC75&lt;0,0,AC75/($R$34-INDEX(hd_off,MATCH(AQ75,hd_mark,0),0)/12)),0)</f>
        <v>0</v>
      </c>
      <c r="AE75">
        <f>IF(S75=0,0,$AD$34*$AM$23)</f>
        <v>0</v>
      </c>
      <c r="AF75">
        <f>IFERROR(AE75/$R$34,0)</f>
        <v>0</v>
      </c>
      <c r="AG75">
        <f>AE75*($F$23+IF($F$23=0,0,($C$14+$C$15+IF($C$13="single",1.5,3)+3)/12))</f>
        <v>0</v>
      </c>
      <c r="AH75">
        <f>AG75-X75</f>
        <v>0</v>
      </c>
      <c r="AI75" cm="1">
        <f t="array" ref="AI75">IFERROR(IF(AH75&lt;0,0,AH75/($R$34-INDEX(hd_off,MATCH(AQ75,hd_mark,0),0)/12)),0)</f>
        <v>0</v>
      </c>
      <c r="AJ75">
        <f>MAX($F$23,$AA$34)/$Q$52</f>
        <v>0</v>
      </c>
      <c r="AK75">
        <f t="shared" si="54"/>
        <v>0</v>
      </c>
      <c r="AL75" cm="1">
        <f t="array" ref="AL75">IFERROR(INDEX(sheath_ecap_asd,MATCH(AP75,sheath_mark,0),0)*AK75,0)</f>
        <v>0</v>
      </c>
      <c r="AM75" cm="1">
        <f t="array" ref="AM75">IFERROR(INDEX(sheath_wcap_asd,MATCH(AP75,sheath_mark,0),0)*AK75,0)</f>
        <v>0</v>
      </c>
      <c r="AN75" cm="1">
        <f t="array" ref="AN75">IFERROR(INDEX(hd_cap,MATCH(AQ75,hd_mark,0),0),0)</f>
        <v>0</v>
      </c>
      <c r="AP75" s="19"/>
      <c r="AQ75" s="19"/>
      <c r="AR75" s="100"/>
      <c r="AS75" s="93"/>
      <c r="AT75" s="109" t="s">
        <v>491</v>
      </c>
      <c r="AU75" t="str">
        <f>$Q$23</f>
        <v>L4</v>
      </c>
      <c r="AV75">
        <f>$E$23</f>
        <v>0</v>
      </c>
      <c r="AW75" cm="1">
        <f t="array" ref="AW75">IFERROR(IF(AV75=0,0,(INDEX($C$33:$C$38,MATCH($AZ$34,$B$33:$B$38,0),0)*(AV77+$BA$34)+$AW$34*COUNTIF(AV75:AV76,"&gt;0")*$C$32+$AY$34*$C$31)*$AU$34),0)</f>
        <v>0</v>
      </c>
      <c r="AX75">
        <f>IF(AV75=0,0,-(COUNTIF(AV75:AV76,"&gt;0")*$AW$34*$C$32+$AY$34*$C$31)*$H$27*$AU$34)</f>
        <v>0</v>
      </c>
      <c r="AY75">
        <f>IF(AV75=0,0,$AY$34*$H$26*$AU$34)</f>
        <v>0</v>
      </c>
      <c r="AZ75">
        <f>(0.6*AW75+0.7*AX75)*$AU$34/2</f>
        <v>0</v>
      </c>
      <c r="BA75">
        <f>AW75*$AU$34/2</f>
        <v>0</v>
      </c>
      <c r="BC75">
        <f>IF(AV75=0,0,$BG$34*$AP$23)</f>
        <v>0</v>
      </c>
      <c r="BD75">
        <f>IFERROR(BC75/$AU$34,0)</f>
        <v>0</v>
      </c>
      <c r="BE75">
        <f>BC75*($F$23+IF($F$23=0,0,($C$14+$C$15+IF($C$13="single",1.5,3)+3)/12))</f>
        <v>0</v>
      </c>
      <c r="BF75">
        <f>BE75-AZ75</f>
        <v>0</v>
      </c>
      <c r="BG75" cm="1">
        <f t="array" ref="BG75">IFERROR(IF(BF75&lt;0,0,BF75/($AU$34-INDEX(hd_off,MATCH(BT75,hd_mark,0),0)/12)),0)</f>
        <v>0</v>
      </c>
      <c r="BH75">
        <f>IF(AV75=0,0,$BG$34*$AM$23)</f>
        <v>0</v>
      </c>
      <c r="BI75">
        <f>IFERROR(BH75/$AU$34,0)</f>
        <v>0</v>
      </c>
      <c r="BJ75">
        <f>BH75*($F$23+IF($F$23=0,0,($C$14+$C$15+IF($C$13="single",1.5,3)+3)/12))</f>
        <v>0</v>
      </c>
      <c r="BK75">
        <f>BJ75-BA75</f>
        <v>0</v>
      </c>
      <c r="BL75" cm="1">
        <f t="array" ref="BL75">IFERROR(IF(BK75&lt;0,0,BK75/($AU$34-INDEX(hd_off,MATCH(BT75,hd_mark,0),0)/12)),0)</f>
        <v>0</v>
      </c>
      <c r="BM75">
        <f>MAX($F$23,$BD$34)/$Q$52</f>
        <v>0</v>
      </c>
      <c r="BN75">
        <f t="shared" si="55"/>
        <v>0</v>
      </c>
      <c r="BO75" cm="1">
        <f t="array" ref="BO75">IFERROR(INDEX(sheath_ecap_asd,MATCH(BS75,sheath_mark,0),0)*BN75,0)</f>
        <v>0</v>
      </c>
      <c r="BP75" cm="1">
        <f t="array" ref="BP75">IFERROR(INDEX(sheath_wcap_asd,MATCH(BS75,sheath_mark,0),0)*BN75,0)</f>
        <v>0</v>
      </c>
      <c r="BQ75" cm="1">
        <f t="array" ref="BQ75">IFERROR(INDEX(hd_cap,MATCH(BT75,hd_mark,0),0),0)</f>
        <v>0</v>
      </c>
      <c r="BS75" s="19"/>
      <c r="BT75" s="19"/>
      <c r="BU75" s="100"/>
    </row>
    <row r="76" spans="2:73" x14ac:dyDescent="0.25">
      <c r="P76" s="93"/>
      <c r="Q76" s="111">
        <f>$R$34</f>
        <v>0</v>
      </c>
      <c r="R76" t="str">
        <f>$Q$24</f>
        <v>L5</v>
      </c>
      <c r="S76">
        <f>$E$24</f>
        <v>0</v>
      </c>
      <c r="T76" cm="1">
        <f t="array" ref="T76">IFERROR(IF(S76=0,0,(INDEX($C$33:$C$38,MATCH($W$34,$B$33:$B$38,0),0)*(S77+$X$34)+$T$34*COUNTIF(S76:S76,"&gt;0")*$C$32+$V$34*$C$31)*$R$34),0)</f>
        <v>0</v>
      </c>
      <c r="U76">
        <f>IF(S76=0,0,-(COUNTIF(S76:S76,"&gt;0")*$T$34*$C$32+$V$34*$C$31)*$H$27*$R$34)</f>
        <v>0</v>
      </c>
      <c r="V76">
        <f>IF(S76=0,0,$V$34*$H$26*$R$34)</f>
        <v>0</v>
      </c>
      <c r="W76">
        <f>(0.6*T76+0.7*U76)*$R$34/2</f>
        <v>0</v>
      </c>
      <c r="X76">
        <f>T76*$R$34/2</f>
        <v>0</v>
      </c>
      <c r="Z76">
        <f>IF(S76=0,0,$AD$34*$AP$24)</f>
        <v>0</v>
      </c>
      <c r="AA76">
        <f>IFERROR(Z76/$R$34,0)</f>
        <v>0</v>
      </c>
      <c r="AB76">
        <f>Z76*($F$24+IF($F$24=0,0,($C$14+$C$15+IF($C$13="single",1.5,3)+3)/12))</f>
        <v>0</v>
      </c>
      <c r="AC76">
        <f>AB76-W76</f>
        <v>0</v>
      </c>
      <c r="AD76" cm="1">
        <f t="array" ref="AD76">IFERROR(IF(AC76&lt;0,0,AC76/($R$34-INDEX(hd_off,MATCH(AQ76,hd_mark,0),0)/12)),0)</f>
        <v>0</v>
      </c>
      <c r="AE76">
        <f>IF(S76=0,0,$AD$34*$AM$24)</f>
        <v>0</v>
      </c>
      <c r="AF76">
        <f>IFERROR(AE76/$R$34,0)</f>
        <v>0</v>
      </c>
      <c r="AG76">
        <f>AE76*($F$24+IF($F$24=0,0,($C$14+$C$15+IF($C$13="single",1.5,3)+3)/12))</f>
        <v>0</v>
      </c>
      <c r="AH76">
        <f>AG76-X76</f>
        <v>0</v>
      </c>
      <c r="AI76" cm="1">
        <f t="array" ref="AI76">IFERROR(IF(AH76&lt;0,0,AH76/($R$34-INDEX(hd_off,MATCH(AQ76,hd_mark,0),0)/12)),0)</f>
        <v>0</v>
      </c>
      <c r="AJ76">
        <f>MAX($F$24,$AB$34)/$Q$52</f>
        <v>0</v>
      </c>
      <c r="AK76">
        <f t="shared" si="54"/>
        <v>0</v>
      </c>
      <c r="AL76" cm="1">
        <f t="array" ref="AL76">IFERROR(INDEX(sheath_ecap_asd,MATCH(AP76,sheath_mark,0),0)*AK76,0)</f>
        <v>0</v>
      </c>
      <c r="AM76" cm="1">
        <f t="array" ref="AM76">IFERROR(INDEX(sheath_wcap_asd,MATCH(AP76,sheath_mark,0),0)*AK76,0)</f>
        <v>0</v>
      </c>
      <c r="AN76" cm="1">
        <f t="array" ref="AN76">IFERROR(INDEX(hd_cap,MATCH(AQ76,hd_mark,0),0),0)</f>
        <v>0</v>
      </c>
      <c r="AP76" s="19"/>
      <c r="AQ76" s="19"/>
      <c r="AR76" s="100"/>
      <c r="AS76" s="93"/>
      <c r="AT76" s="111">
        <f>$R$34</f>
        <v>0</v>
      </c>
      <c r="AU76" t="str">
        <f>$Q$24</f>
        <v>L5</v>
      </c>
      <c r="AV76">
        <f>$E$24</f>
        <v>0</v>
      </c>
      <c r="AW76" cm="1">
        <f t="array" ref="AW76">IFERROR(IF(AV76=0,0,(INDEX($C$33:$C$38,MATCH($AZ$34,$B$33:$B$38,0),0)*(AV77+$BA$34)+$AW$34*COUNTIF(AV76:AV76,"&gt;0")*$C$32+$AY$34*$C$31)*$AU$34),0)</f>
        <v>0</v>
      </c>
      <c r="AX76">
        <f>IF(AV76=0,0,-(COUNTIF(AV76:AV76,"&gt;0")*$AW$34*$C$32+$AY$34*$C$31)*$H$27*$AU$34)</f>
        <v>0</v>
      </c>
      <c r="AY76">
        <f>IF(AV76=0,0,$AY$34*$H$26*$AU$34)</f>
        <v>0</v>
      </c>
      <c r="AZ76">
        <f>(0.6*AW76+0.7*AX76)*$AU$34/2</f>
        <v>0</v>
      </c>
      <c r="BA76">
        <f>AW76*$AU$34/2</f>
        <v>0</v>
      </c>
      <c r="BC76">
        <f>IF(AV76=0,0,$BG$34*$AP$24)</f>
        <v>0</v>
      </c>
      <c r="BD76">
        <f>IFERROR(BC76/$AU$34,0)</f>
        <v>0</v>
      </c>
      <c r="BE76">
        <f>BC76*($F$24+IF($F$24=0,0,($C$14+$C$15+IF($C$13="single",1.5,3)+3)/12))</f>
        <v>0</v>
      </c>
      <c r="BF76">
        <f>BE76-AZ76</f>
        <v>0</v>
      </c>
      <c r="BG76" cm="1">
        <f t="array" ref="BG76">IFERROR(IF(BF76&lt;0,0,BF76/($AU$34-INDEX(hd_off,MATCH(BT76,hd_mark,0),0)/12)),0)</f>
        <v>0</v>
      </c>
      <c r="BH76">
        <f>IF(AV76=0,0,$BG$34*$AM$24)</f>
        <v>0</v>
      </c>
      <c r="BI76">
        <f>IFERROR(BH76/$AU$34,0)</f>
        <v>0</v>
      </c>
      <c r="BJ76">
        <f>BH76*($F$24+IF($F$24=0,0,($C$14+$C$15+IF($C$13="single",1.5,3)+3)/12))</f>
        <v>0</v>
      </c>
      <c r="BK76">
        <f>BJ76-BA76</f>
        <v>0</v>
      </c>
      <c r="BL76" cm="1">
        <f t="array" ref="BL76">IFERROR(IF(BK76&lt;0,0,BK76/($AU$34-INDEX(hd_off,MATCH(BT76,hd_mark,0),0)/12)),0)</f>
        <v>0</v>
      </c>
      <c r="BM76">
        <f>MAX($F$24,$BE$34)/$Q$52</f>
        <v>0</v>
      </c>
      <c r="BN76">
        <f t="shared" si="55"/>
        <v>0</v>
      </c>
      <c r="BO76" cm="1">
        <f t="array" ref="BO76">IFERROR(INDEX(sheath_ecap_asd,MATCH(BS76,sheath_mark,0),0)*BN76,0)</f>
        <v>0</v>
      </c>
      <c r="BP76" cm="1">
        <f t="array" ref="BP76">IFERROR(INDEX(sheath_wcap_asd,MATCH(BS76,sheath_mark,0),0)*BN76,0)</f>
        <v>0</v>
      </c>
      <c r="BQ76" cm="1">
        <f t="array" ref="BQ76">IFERROR(INDEX(hd_cap,MATCH(BT76,hd_mark,0),0),0)</f>
        <v>0</v>
      </c>
      <c r="BS76" s="19"/>
      <c r="BT76" s="19"/>
      <c r="BU76" s="100"/>
    </row>
    <row r="77" spans="2:73" x14ac:dyDescent="0.25">
      <c r="P77" s="93"/>
      <c r="Q77" s="109"/>
      <c r="R77" t="str">
        <f>$Q$25</f>
        <v>Roof</v>
      </c>
      <c r="S77">
        <f>$E$25</f>
        <v>33.171875</v>
      </c>
      <c r="T77" cm="1">
        <f t="array" ref="T77">IFERROR(IF(S77=0,0,(INDEX($C$33:$C$38,MATCH($W$34,$B$33:$B$38,0),0)*(S77+$X$34)+$V$34*$C$31)*$R$34),0)</f>
        <v>0</v>
      </c>
      <c r="U77">
        <f>IF(S77=0,0,-$V$34*$C$31*$H$27*$R$34)</f>
        <v>0</v>
      </c>
      <c r="V77">
        <f>IF(S77=0,0,$V$34*$H$26*$R$34)</f>
        <v>0</v>
      </c>
      <c r="W77">
        <f>(0.6*T77+0.7*U77)*$R$34/2</f>
        <v>0</v>
      </c>
      <c r="X77">
        <f>T77*$R$34/2</f>
        <v>0</v>
      </c>
      <c r="Z77">
        <f>IF(S77=0,0,$AD$34*$AP$25)</f>
        <v>0</v>
      </c>
      <c r="AA77">
        <f>IFERROR(Z77/$R$34,0)</f>
        <v>0</v>
      </c>
      <c r="AB77">
        <f>Z77*($F$25+($C$16+$C$17+IF($C$13="single",1.5,3)+3)/12)</f>
        <v>0</v>
      </c>
      <c r="AC77">
        <f>AB77-W77</f>
        <v>0</v>
      </c>
      <c r="AD77" cm="1">
        <f t="array" ref="AD77">IFERROR(IF(AC77&lt;0,0,AC77/($R$34-INDEX(hd_off,MATCH(AQ77,hd_mark,0),0)/12)),0)</f>
        <v>0</v>
      </c>
      <c r="AE77">
        <f>IF(S77=0,0,$AD$34*$AM$25)</f>
        <v>0</v>
      </c>
      <c r="AF77">
        <f>IFERROR(AE77/$R$34,0)</f>
        <v>0</v>
      </c>
      <c r="AG77">
        <f>AE77*($F$25+($C$16+$C$17+IF($C$13="single",1.5,3)+3)/12)</f>
        <v>0</v>
      </c>
      <c r="AH77">
        <f>AG77-X77</f>
        <v>0</v>
      </c>
      <c r="AI77" cm="1">
        <f t="array" ref="AI77">IFERROR(IF(AH77&lt;0,0,AH77/($R$34-INDEX(hd_off,MATCH(AQ77,hd_mark,0),0)/12)),0)</f>
        <v>0</v>
      </c>
      <c r="AJ77">
        <f>MAX($F$25,$AC$34)/$Q$52</f>
        <v>0.29920977011494249</v>
      </c>
      <c r="AK77">
        <f t="shared" si="54"/>
        <v>1</v>
      </c>
      <c r="AL77" cm="1">
        <f t="array" ref="AL77">IFERROR(INDEX(sheath_ecap_asd,MATCH(AP77,sheath_mark,0),0)*AK77,0)</f>
        <v>0</v>
      </c>
      <c r="AM77" cm="1">
        <f t="array" ref="AM77">IFERROR(INDEX(sheath_wcap_asd,MATCH(AP77,sheath_mark,0),0)*AK77,0)</f>
        <v>0</v>
      </c>
      <c r="AN77" cm="1">
        <f t="array" ref="AN77">IFERROR(INDEX(hd_cap,MATCH(AQ77,hd_mark,0),0),0)</f>
        <v>0</v>
      </c>
      <c r="AP77" s="19"/>
      <c r="AQ77" s="19"/>
      <c r="AR77" s="100"/>
      <c r="AS77" s="93"/>
      <c r="AT77" s="109"/>
      <c r="AU77" t="str">
        <f>$Q$25</f>
        <v>Roof</v>
      </c>
      <c r="AV77">
        <f>$E$25</f>
        <v>33.171875</v>
      </c>
      <c r="AW77" cm="1">
        <f t="array" ref="AW77">IFERROR(IF(AV77=0,0,(INDEX($C$33:$C$38,MATCH($AZ$34,$B$33:$B$38,0),0)*(AV77+$BA$34)+$AY$34*$C$31)*$AU$34),0)</f>
        <v>0</v>
      </c>
      <c r="AX77">
        <f>IF(AV77=0,0,-$AY$34*$C$31*$H$27*$AU$34)</f>
        <v>0</v>
      </c>
      <c r="AY77">
        <f>IF(AV77=0,0,$AY$34*$H$26*$AU$34)</f>
        <v>0</v>
      </c>
      <c r="AZ77">
        <f>(0.6*AW77+0.7*AX77)*$AU$34/2</f>
        <v>0</v>
      </c>
      <c r="BA77">
        <f>AW77*$AU$34/2</f>
        <v>0</v>
      </c>
      <c r="BC77">
        <f>IF(AV77=0,0,$BG$34*$AP$25)</f>
        <v>0</v>
      </c>
      <c r="BD77">
        <f>IFERROR(BC77/$AU$34,0)</f>
        <v>0</v>
      </c>
      <c r="BE77">
        <f>BC77*($F$25+($C$16+$C$17+IF($C$13="single",1.5,3)+3)/12)</f>
        <v>0</v>
      </c>
      <c r="BF77">
        <f>BE77-AZ77</f>
        <v>0</v>
      </c>
      <c r="BG77" cm="1">
        <f t="array" ref="BG77">IFERROR(IF(BF77&lt;0,0,BF77/($AU$34-INDEX(hd_off,MATCH(BT77,hd_mark,0),0)/12)),0)</f>
        <v>0</v>
      </c>
      <c r="BH77">
        <f>IF(AV77=0,0,$BG$34*$AM$25)</f>
        <v>0</v>
      </c>
      <c r="BI77">
        <f>IFERROR(BH77/$AU$34,0)</f>
        <v>0</v>
      </c>
      <c r="BJ77">
        <f>BH77*($F$25+($C$16+$C$17+IF($C$13="single",1.5,3)+3)/12)</f>
        <v>0</v>
      </c>
      <c r="BK77">
        <f>BJ77-BA77</f>
        <v>0</v>
      </c>
      <c r="BL77" cm="1">
        <f t="array" ref="BL77">IFERROR(IF(BK77&lt;0,0,BK77/($AU$34-INDEX(hd_off,MATCH(BT77,hd_mark,0),0)/12)),0)</f>
        <v>0</v>
      </c>
      <c r="BM77">
        <f>MAX($F$25,$BF$34)/$Q$52</f>
        <v>0.29920977011494249</v>
      </c>
      <c r="BN77">
        <f t="shared" si="55"/>
        <v>1</v>
      </c>
      <c r="BO77" cm="1">
        <f t="array" ref="BO77">IFERROR(INDEX(sheath_ecap_asd,MATCH(BS77,sheath_mark,0),0)*BN77,0)</f>
        <v>0</v>
      </c>
      <c r="BP77" cm="1">
        <f t="array" ref="BP77">IFERROR(INDEX(sheath_wcap_asd,MATCH(BS77,sheath_mark,0),0)*BN77,0)</f>
        <v>0</v>
      </c>
      <c r="BQ77" cm="1">
        <f t="array" ref="BQ77">IFERROR(INDEX(hd_cap,MATCH(BT77,hd_mark,0),0),0)</f>
        <v>0</v>
      </c>
      <c r="BS77" s="19"/>
      <c r="BT77" s="19"/>
      <c r="BU77" s="100"/>
    </row>
    <row r="78" spans="2:73" x14ac:dyDescent="0.25">
      <c r="P78" s="93"/>
      <c r="AR78" s="100"/>
      <c r="AS78" s="93"/>
      <c r="BU78" s="100"/>
    </row>
    <row r="79" spans="2:73" x14ac:dyDescent="0.25">
      <c r="P79" s="93"/>
      <c r="Q79" s="110" t="str">
        <f>$Q$35</f>
        <v>A.06</v>
      </c>
      <c r="R79" t="str">
        <f>$Q$21</f>
        <v>L2</v>
      </c>
      <c r="S79">
        <f>$E$21</f>
        <v>10.6875</v>
      </c>
      <c r="T79" cm="1">
        <f t="array" ref="T79">IFERROR(IF(S79=0,0,(INDEX($C$33:$C$38,MATCH($W$35,$B$33:$B$38,0),0)*(S83+$X$35)+$T$35*COUNTIF(S79:S82,"&gt;0")*$C$32+$V$35*$C$31)*$R$35),0)</f>
        <v>0</v>
      </c>
      <c r="U79">
        <f>IF(S79=0,0,-(COUNTIF(S79:S82,"&gt;0")*$T$35*$C$32+$V$35*$C$31)*$H$27*$R$35)</f>
        <v>0</v>
      </c>
      <c r="V79">
        <f>IF(S79=0,0,$V$35*$H$26*$R$35)</f>
        <v>0</v>
      </c>
      <c r="W79">
        <f>(0.6*T79+0.7*U79)*$R$35/2</f>
        <v>0</v>
      </c>
      <c r="X79">
        <f>(0.6*T79+0.6*V79)*$R$35/2</f>
        <v>0</v>
      </c>
      <c r="Z79">
        <f>IF(S79=0,0,$AD$35*$AP$21)</f>
        <v>0</v>
      </c>
      <c r="AA79">
        <f>IFERROR(Z79/$R$35,0)</f>
        <v>0</v>
      </c>
      <c r="AB79">
        <f>Z79*($F$21+IF($F$21=0,0,($C$14+$C$15+IF($C$13="single",1.5,3)+3)/12))</f>
        <v>0</v>
      </c>
      <c r="AC79">
        <f>AB79-W79</f>
        <v>0</v>
      </c>
      <c r="AD79" cm="1">
        <f t="array" ref="AD79">IFERROR(IF(AC79&lt;0,0,AC79/($R$35-INDEX(hd_off,MATCH(AQ79,hd_mark,0),0)/12)),0)</f>
        <v>0</v>
      </c>
      <c r="AE79">
        <f>IF(S79=0,0,$AD$35*$AM$21)</f>
        <v>0</v>
      </c>
      <c r="AF79">
        <f>IFERROR(AE79/$R$35,0)</f>
        <v>0</v>
      </c>
      <c r="AG79">
        <f>AE79*($F$21+IF($F$21=0,0,($C$14+$C$15+IF($C$13="single",1.5,3)+3)/12))</f>
        <v>0</v>
      </c>
      <c r="AH79">
        <f>AG79-X79</f>
        <v>0</v>
      </c>
      <c r="AI79" cm="1">
        <f t="array" ref="AI79">IFERROR(IF(AH79&lt;0,0,AH79/($R$35-INDEX(hd_off,MATCH(AQ79,hd_mark,0),0)/12)),0)</f>
        <v>0</v>
      </c>
      <c r="AJ79">
        <f>MAX($F$21,$Y$35)/$Q$52</f>
        <v>0.30172413793103448</v>
      </c>
      <c r="AK79">
        <f>IF(AJ79=0,0,IF(AJ79&gt;2,1.25-0.125*AJ79,1))</f>
        <v>1</v>
      </c>
      <c r="AL79" cm="1">
        <f t="array" ref="AL79">IFERROR(INDEX(sheath_ecap_asd,MATCH(AP79,sheath_mark,0),0)*AK79,0)</f>
        <v>0</v>
      </c>
      <c r="AM79" cm="1">
        <f t="array" ref="AM79">IFERROR(INDEX(sheath_wcap_asd,MATCH(AP79,sheath_mark,0),0)*AK79,0)</f>
        <v>0</v>
      </c>
      <c r="AN79" cm="1">
        <f t="array" ref="AN79">IFERROR(INDEX(hd_cap,MATCH(AQ79,hd_mark,0),0),0)</f>
        <v>0</v>
      </c>
      <c r="AP79" s="19"/>
      <c r="AQ79" s="19"/>
      <c r="AR79" s="100"/>
      <c r="AS79" s="93"/>
      <c r="AT79" s="110" t="str">
        <f>$AT$35</f>
        <v>1.06</v>
      </c>
      <c r="AU79" t="str">
        <f>$Q$21</f>
        <v>L2</v>
      </c>
      <c r="AV79">
        <f>$E$21</f>
        <v>10.6875</v>
      </c>
      <c r="AW79" cm="1">
        <f t="array" ref="AW79">IFERROR(IF(AV79=0,0,(INDEX($C$33:$C$38,MATCH($AZ$35,$B$33:$B$38,0),0)*(AV83+$BA$35)+$AW$35*COUNTIF(AV79:AV82,"&gt;0")*$C$32+$AY$35*$C$31)*$AU$35),0)</f>
        <v>0</v>
      </c>
      <c r="AX79">
        <f>IF(AV79=0,0,-(COUNTIF(AV79:AV82,"&gt;0")*$AW$35*$C$32+$AY$35*$C$31)*$H$27*$AU$35)</f>
        <v>0</v>
      </c>
      <c r="AY79">
        <f>IF(AV79=0,0,$AY$35*$H$26*$AU$35)</f>
        <v>0</v>
      </c>
      <c r="AZ79">
        <f>(0.6*AW79+0.7*AX79)*$AU$35/2</f>
        <v>0</v>
      </c>
      <c r="BA79">
        <f>(0.6*AW79+0.6*AY79)*$AU$35/2</f>
        <v>0</v>
      </c>
      <c r="BC79">
        <f>IF(AV79=0,0,$BG$35*$AP$21)</f>
        <v>0</v>
      </c>
      <c r="BD79">
        <f>IFERROR(BC79/$AU$35,0)</f>
        <v>0</v>
      </c>
      <c r="BE79">
        <f>BC79*($F$21+IF($F$21=0,0,($C$14+$C$15+IF($C$13="single",1.5,3)+3)/12))</f>
        <v>0</v>
      </c>
      <c r="BF79">
        <f>BE79-AZ79</f>
        <v>0</v>
      </c>
      <c r="BG79" cm="1">
        <f t="array" ref="BG79">IFERROR(IF(BF79&lt;0,0,BF79/($AU$35-INDEX(hd_off,MATCH(BT79,hd_mark,0),0)/12)),0)</f>
        <v>0</v>
      </c>
      <c r="BH79">
        <f>IF(AV79=0,0,$BG$35*$AM$21)</f>
        <v>0</v>
      </c>
      <c r="BI79">
        <f>IFERROR(BH79/$AU$35,0)</f>
        <v>0</v>
      </c>
      <c r="BJ79">
        <f>BH79*($F$21+IF($F$21=0,0,($C$14+$C$15+IF($C$13="single",1.5,3)+3)/12))</f>
        <v>0</v>
      </c>
      <c r="BK79">
        <f>BJ79-BA79</f>
        <v>0</v>
      </c>
      <c r="BL79" cm="1">
        <f t="array" ref="BL79">IFERROR(IF(BK79&lt;0,0,BK79/($AU$35-INDEX(hd_off,MATCH(BT79,hd_mark,0),0)/12)),0)</f>
        <v>0</v>
      </c>
      <c r="BM79">
        <f>MAX($F$21,$BB$35)/$Q$52</f>
        <v>0.30172413793103448</v>
      </c>
      <c r="BN79">
        <f>IF(BM79=0,0,IF(BM79&gt;2,1.25-0.125*BM79,1))</f>
        <v>1</v>
      </c>
      <c r="BO79" cm="1">
        <f t="array" ref="BO79">IFERROR(INDEX(sheath_ecap_asd,MATCH(BS79,sheath_mark,0),0)*BN79,0)</f>
        <v>0</v>
      </c>
      <c r="BP79" cm="1">
        <f t="array" ref="BP79">IFERROR(INDEX(sheath_wcap_asd,MATCH(BS79,sheath_mark,0),0)*BN79,0)</f>
        <v>0</v>
      </c>
      <c r="BQ79" cm="1">
        <f t="array" ref="BQ79">IFERROR(INDEX(hd_cap,MATCH(BT79,hd_mark,0),0),0)</f>
        <v>0</v>
      </c>
      <c r="BS79" s="19"/>
      <c r="BT79" s="19"/>
      <c r="BU79" s="100"/>
    </row>
    <row r="80" spans="2:73" x14ac:dyDescent="0.25">
      <c r="P80" s="93"/>
      <c r="Q80" s="109"/>
      <c r="R80" t="str">
        <f>$Q$22</f>
        <v>L3</v>
      </c>
      <c r="S80">
        <f>$E$22</f>
        <v>21.375</v>
      </c>
      <c r="T80" cm="1">
        <f t="array" ref="T80">IFERROR(IF(S80=0,0,(INDEX($C$33:$C$38,MATCH($W$35,$B$33:$B$38,0),0)*(S83+$X$35)+$T$35*COUNTIF(S80:S82,"&gt;0")*$C$32+$V$35*$C$31)*$R$35),0)</f>
        <v>0</v>
      </c>
      <c r="U80">
        <f>IF(S80=0,0,-(COUNTIF(S80:S82,"&gt;0")*$T$35*$C$32+$V$35*$C$31)*$H$27*$R$35)</f>
        <v>0</v>
      </c>
      <c r="V80">
        <f>IF(S80=0,0,$V$35*$H$26*$R$35)</f>
        <v>0</v>
      </c>
      <c r="W80">
        <f>(0.6*T80+0.7*U80)*$R$35/2</f>
        <v>0</v>
      </c>
      <c r="X80">
        <f>T80*$R$35/2</f>
        <v>0</v>
      </c>
      <c r="Z80">
        <f>IF(S80=0,0,$AD$35*$AP$22)</f>
        <v>0</v>
      </c>
      <c r="AA80">
        <f>IFERROR(Z80/$R$35,0)</f>
        <v>0</v>
      </c>
      <c r="AB80">
        <f>Z80*($F$22+IF($F$22=0,0,($C$14+$C$15+IF($C$13="single",1.5,3)+3)/12))</f>
        <v>0</v>
      </c>
      <c r="AC80">
        <f>AB80-W80</f>
        <v>0</v>
      </c>
      <c r="AD80" cm="1">
        <f t="array" ref="AD80">IFERROR(IF(AC80&lt;0,0,AC80/($R$35-INDEX(hd_off,MATCH(AQ80,hd_mark,0),0)/12)),0)</f>
        <v>0</v>
      </c>
      <c r="AE80">
        <f>IF(S80=0,0,$AD$35*$AM$22)</f>
        <v>0</v>
      </c>
      <c r="AF80">
        <f>IFERROR(AE80/$R$35,0)</f>
        <v>0</v>
      </c>
      <c r="AG80">
        <f>AE80*($F$22+IF($F$22=0,0,($C$14+$C$15+IF($C$13="single",1.5,3)+3)/12))</f>
        <v>0</v>
      </c>
      <c r="AH80">
        <f>AG80-X80</f>
        <v>0</v>
      </c>
      <c r="AI80" cm="1">
        <f t="array" ref="AI80">IFERROR(IF(AH80&lt;0,0,AH80/($R$35-INDEX(hd_off,MATCH(AQ80,hd_mark,0),0)/12)),0)</f>
        <v>0</v>
      </c>
      <c r="AJ80">
        <f>MAX($F$22,$Z$35)/$Q$52</f>
        <v>0.30172413793103448</v>
      </c>
      <c r="AK80">
        <f t="shared" ref="AK80:AK83" si="56">IF(AJ80=0,0,IF(AJ80&gt;2,1.25-0.125*AJ80,1))</f>
        <v>1</v>
      </c>
      <c r="AL80" cm="1">
        <f t="array" ref="AL80">IFERROR(INDEX(sheath_ecap_asd,MATCH(AP80,sheath_mark,0),0)*AK80,0)</f>
        <v>0</v>
      </c>
      <c r="AM80" cm="1">
        <f t="array" ref="AM80">IFERROR(INDEX(sheath_wcap_asd,MATCH(AP80,sheath_mark,0),0)*AK80,0)</f>
        <v>0</v>
      </c>
      <c r="AN80" cm="1">
        <f t="array" ref="AN80">IFERROR(INDEX(hd_cap,MATCH(AQ80,hd_mark,0),0),0)</f>
        <v>0</v>
      </c>
      <c r="AP80" s="19"/>
      <c r="AQ80" s="19"/>
      <c r="AR80" s="100"/>
      <c r="AS80" s="93"/>
      <c r="AT80" s="109"/>
      <c r="AU80" t="str">
        <f>$Q$22</f>
        <v>L3</v>
      </c>
      <c r="AV80">
        <f>$E$22</f>
        <v>21.375</v>
      </c>
      <c r="AW80" cm="1">
        <f t="array" ref="AW80">IFERROR(IF(AV80=0,0,(INDEX($C$33:$C$38,MATCH($AZ$35,$B$33:$B$38,0),0)*(AV83+$BA$35)+$AW$35*COUNTIF(AV80:AV82,"&gt;0")*$C$32+$AY$35*$C$31)*$AU$35),0)</f>
        <v>0</v>
      </c>
      <c r="AX80">
        <f>IF(AV80=0,0,-(COUNTIF(AV80:AV82,"&gt;0")*$AW$35*$C$32+$AY$35*$C$31)*$H$27*$AU$35)</f>
        <v>0</v>
      </c>
      <c r="AY80">
        <f>IF(AV80=0,0,$AY$35*$H$26*$AU$35)</f>
        <v>0</v>
      </c>
      <c r="AZ80">
        <f>(0.6*AW80+0.7*AX80)*$AU$35/2</f>
        <v>0</v>
      </c>
      <c r="BA80">
        <f>AW80*$AU$35/2</f>
        <v>0</v>
      </c>
      <c r="BC80">
        <f>IF(AV80=0,0,$BG$35*$AP$22)</f>
        <v>0</v>
      </c>
      <c r="BD80">
        <f>IFERROR(BC80/$AU$35,0)</f>
        <v>0</v>
      </c>
      <c r="BE80">
        <f>BC80*($F$22+IF($F$22=0,0,($C$14+$C$15+IF($C$13="single",1.5,3)+3)/12))</f>
        <v>0</v>
      </c>
      <c r="BF80">
        <f>BE80-AZ80</f>
        <v>0</v>
      </c>
      <c r="BG80" cm="1">
        <f t="array" ref="BG80">IFERROR(IF(BF80&lt;0,0,BF80/($AU$35-INDEX(hd_off,MATCH(BT80,hd_mark,0),0)/12)),0)</f>
        <v>0</v>
      </c>
      <c r="BH80">
        <f>IF(AV80=0,0,$BG$35*$AM$22)</f>
        <v>0</v>
      </c>
      <c r="BI80">
        <f>IFERROR(BH80/$AU$35,0)</f>
        <v>0</v>
      </c>
      <c r="BJ80">
        <f>BH80*($F$22+IF($F$22=0,0,($C$14+$C$15+IF($C$13="single",1.5,3)+3)/12))</f>
        <v>0</v>
      </c>
      <c r="BK80">
        <f>BJ80-BA80</f>
        <v>0</v>
      </c>
      <c r="BL80" cm="1">
        <f t="array" ref="BL80">IFERROR(IF(BK80&lt;0,0,BK80/($AU$35-INDEX(hd_off,MATCH(BT80,hd_mark,0),0)/12)),0)</f>
        <v>0</v>
      </c>
      <c r="BM80">
        <f>MAX($F$22,$BC$35)/$Q$52</f>
        <v>0.30172413793103448</v>
      </c>
      <c r="BN80">
        <f t="shared" ref="BN80:BN83" si="57">IF(BM80=0,0,IF(BM80&gt;2,1.25-0.125*BM80,1))</f>
        <v>1</v>
      </c>
      <c r="BO80" cm="1">
        <f t="array" ref="BO80">IFERROR(INDEX(sheath_ecap_asd,MATCH(BS80,sheath_mark,0),0)*BN80,0)</f>
        <v>0</v>
      </c>
      <c r="BP80" cm="1">
        <f t="array" ref="BP80">IFERROR(INDEX(sheath_wcap_asd,MATCH(BS80,sheath_mark,0),0)*BN80,0)</f>
        <v>0</v>
      </c>
      <c r="BQ80" cm="1">
        <f t="array" ref="BQ80">IFERROR(INDEX(hd_cap,MATCH(BT80,hd_mark,0),0),0)</f>
        <v>0</v>
      </c>
      <c r="BS80" s="19"/>
      <c r="BT80" s="19"/>
      <c r="BU80" s="100"/>
    </row>
    <row r="81" spans="16:73" x14ac:dyDescent="0.25">
      <c r="P81" s="93"/>
      <c r="Q81" s="109" t="s">
        <v>491</v>
      </c>
      <c r="R81" t="str">
        <f>$Q$23</f>
        <v>L4</v>
      </c>
      <c r="S81">
        <f>$E$23</f>
        <v>0</v>
      </c>
      <c r="T81" cm="1">
        <f t="array" ref="T81">IFERROR(IF(S81=0,0,(INDEX($C$33:$C$38,MATCH($W$35,$B$33:$B$38,0),0)*(S83+$X$35)+$T$35*COUNTIF(S81:S82,"&gt;0")*$C$32+$V$35*$C$31)*$R$35),0)</f>
        <v>0</v>
      </c>
      <c r="U81">
        <f>IF(S81=0,0,-(COUNTIF(S81:S82,"&gt;0")*$T$35*$C$32+$V$35*$C$31)*$H$27*$R$35)</f>
        <v>0</v>
      </c>
      <c r="V81">
        <f>IF(S81=0,0,$V$35*$H$26*$R$35)</f>
        <v>0</v>
      </c>
      <c r="W81">
        <f>(0.6*T81+0.7*U81)*$R$35/2</f>
        <v>0</v>
      </c>
      <c r="X81">
        <f>T81*$R$35/2</f>
        <v>0</v>
      </c>
      <c r="Z81">
        <f>IF(S81=0,0,$AD$35*$AP$23)</f>
        <v>0</v>
      </c>
      <c r="AA81">
        <f>IFERROR(Z81/$R$35,0)</f>
        <v>0</v>
      </c>
      <c r="AB81">
        <f>Z81*($F$23+IF($F$23=0,0,($C$14+$C$15+IF($C$13="single",1.5,3)+3)/12))</f>
        <v>0</v>
      </c>
      <c r="AC81">
        <f>AB81-W81</f>
        <v>0</v>
      </c>
      <c r="AD81" cm="1">
        <f t="array" ref="AD81">IFERROR(IF(AC81&lt;0,0,AC81/($R$35-INDEX(hd_off,MATCH(AQ81,hd_mark,0),0)/12)),0)</f>
        <v>0</v>
      </c>
      <c r="AE81">
        <f>IF(S81=0,0,$AD$35*$AM$23)</f>
        <v>0</v>
      </c>
      <c r="AF81">
        <f>IFERROR(AE81/$R$35,0)</f>
        <v>0</v>
      </c>
      <c r="AG81">
        <f>AE81*($F$23+IF($F$23=0,0,($C$14+$C$15+IF($C$13="single",1.5,3)+3)/12))</f>
        <v>0</v>
      </c>
      <c r="AH81">
        <f>AG81-X81</f>
        <v>0</v>
      </c>
      <c r="AI81" cm="1">
        <f t="array" ref="AI81">IFERROR(IF(AH81&lt;0,0,AH81/($R$35-INDEX(hd_off,MATCH(AQ81,hd_mark,0),0)/12)),0)</f>
        <v>0</v>
      </c>
      <c r="AJ81">
        <f>MAX($F$23,$AA$35)/$Q$52</f>
        <v>0</v>
      </c>
      <c r="AK81">
        <f t="shared" si="56"/>
        <v>0</v>
      </c>
      <c r="AL81" cm="1">
        <f t="array" ref="AL81">IFERROR(INDEX(sheath_ecap_asd,MATCH(AP81,sheath_mark,0),0)*AK81,0)</f>
        <v>0</v>
      </c>
      <c r="AM81" cm="1">
        <f t="array" ref="AM81">IFERROR(INDEX(sheath_wcap_asd,MATCH(AP81,sheath_mark,0),0)*AK81,0)</f>
        <v>0</v>
      </c>
      <c r="AN81" cm="1">
        <f t="array" ref="AN81">IFERROR(INDEX(hd_cap,MATCH(AQ81,hd_mark,0),0),0)</f>
        <v>0</v>
      </c>
      <c r="AP81" s="19"/>
      <c r="AQ81" s="19"/>
      <c r="AR81" s="100"/>
      <c r="AS81" s="93"/>
      <c r="AT81" s="109" t="s">
        <v>491</v>
      </c>
      <c r="AU81" t="str">
        <f>$Q$23</f>
        <v>L4</v>
      </c>
      <c r="AV81">
        <f>$E$23</f>
        <v>0</v>
      </c>
      <c r="AW81" cm="1">
        <f t="array" ref="AW81">IFERROR(IF(AV81=0,0,(INDEX($C$33:$C$38,MATCH($AZ$35,$B$33:$B$38,0),0)*(AV83+$BA$35)+$AW$35*COUNTIF(AV81:AV82,"&gt;0")*$C$32+$AY$35*$C$31)*$AU$35),0)</f>
        <v>0</v>
      </c>
      <c r="AX81">
        <f>IF(AV81=0,0,-(COUNTIF(AV81:AV82,"&gt;0")*$AW$35*$C$32+$AY$35*$C$31)*$H$27*$AU$35)</f>
        <v>0</v>
      </c>
      <c r="AY81">
        <f>IF(AV81=0,0,$AY$35*$H$26*$AU$35)</f>
        <v>0</v>
      </c>
      <c r="AZ81">
        <f>(0.6*AW81+0.7*AX81)*$AU$35/2</f>
        <v>0</v>
      </c>
      <c r="BA81">
        <f>AW81*$AU$35/2</f>
        <v>0</v>
      </c>
      <c r="BC81">
        <f>IF(AV81=0,0,$BG$35*$AP$23)</f>
        <v>0</v>
      </c>
      <c r="BD81">
        <f>IFERROR(BC81/$AU$35,0)</f>
        <v>0</v>
      </c>
      <c r="BE81">
        <f>BC81*($F$23+IF($F$23=0,0,($C$14+$C$15+IF($C$13="single",1.5,3)+3)/12))</f>
        <v>0</v>
      </c>
      <c r="BF81">
        <f>BE81-AZ81</f>
        <v>0</v>
      </c>
      <c r="BG81" cm="1">
        <f t="array" ref="BG81">IFERROR(IF(BF81&lt;0,0,BF81/($AU$35-INDEX(hd_off,MATCH(BT81,hd_mark,0),0)/12)),0)</f>
        <v>0</v>
      </c>
      <c r="BH81">
        <f>IF(AV81=0,0,$BG$35*$AM$23)</f>
        <v>0</v>
      </c>
      <c r="BI81">
        <f>IFERROR(BH81/$AU$35,0)</f>
        <v>0</v>
      </c>
      <c r="BJ81">
        <f>BH81*($F$23+IF($F$23=0,0,($C$14+$C$15+IF($C$13="single",1.5,3)+3)/12))</f>
        <v>0</v>
      </c>
      <c r="BK81">
        <f>BJ81-BA81</f>
        <v>0</v>
      </c>
      <c r="BL81" cm="1">
        <f t="array" ref="BL81">IFERROR(IF(BK81&lt;0,0,BK81/($AU$35-INDEX(hd_off,MATCH(BT81,hd_mark,0),0)/12)),0)</f>
        <v>0</v>
      </c>
      <c r="BM81">
        <f>MAX($F$23,$BD$35)/$Q$52</f>
        <v>0</v>
      </c>
      <c r="BN81">
        <f t="shared" si="57"/>
        <v>0</v>
      </c>
      <c r="BO81" cm="1">
        <f t="array" ref="BO81">IFERROR(INDEX(sheath_ecap_asd,MATCH(BS81,sheath_mark,0),0)*BN81,0)</f>
        <v>0</v>
      </c>
      <c r="BP81" cm="1">
        <f t="array" ref="BP81">IFERROR(INDEX(sheath_wcap_asd,MATCH(BS81,sheath_mark,0),0)*BN81,0)</f>
        <v>0</v>
      </c>
      <c r="BQ81" cm="1">
        <f t="array" ref="BQ81">IFERROR(INDEX(hd_cap,MATCH(BT81,hd_mark,0),0),0)</f>
        <v>0</v>
      </c>
      <c r="BS81" s="19"/>
      <c r="BT81" s="19"/>
      <c r="BU81" s="100"/>
    </row>
    <row r="82" spans="16:73" x14ac:dyDescent="0.25">
      <c r="P82" s="93"/>
      <c r="Q82" s="111">
        <f>$R$35</f>
        <v>0</v>
      </c>
      <c r="R82" t="str">
        <f>$Q$24</f>
        <v>L5</v>
      </c>
      <c r="S82">
        <f>$E$24</f>
        <v>0</v>
      </c>
      <c r="T82" cm="1">
        <f t="array" ref="T82">IFERROR(IF(S82=0,0,(INDEX($C$33:$C$38,MATCH($W$35,$B$33:$B$38,0),0)*(S83+$X$35)+$T$35*COUNTIF(S82:S82,"&gt;0")*$C$32+$V$35*$C$31)*$R$35),0)</f>
        <v>0</v>
      </c>
      <c r="U82">
        <f>IF(S82=0,0,-(COUNTIF(S82:S82,"&gt;0")*$T$35*$C$32+$V$35*$C$31)*$H$27*$R$35)</f>
        <v>0</v>
      </c>
      <c r="V82">
        <f>IF(S82=0,0,$V$35*$H$26*$R$35)</f>
        <v>0</v>
      </c>
      <c r="W82">
        <f>(0.6*T82+0.7*U82)*$R$35/2</f>
        <v>0</v>
      </c>
      <c r="X82">
        <f>T82*$R$35/2</f>
        <v>0</v>
      </c>
      <c r="Z82">
        <f>IF(S82=0,0,$AD$35*$AP$24)</f>
        <v>0</v>
      </c>
      <c r="AA82">
        <f>IFERROR(Z82/$R$35,0)</f>
        <v>0</v>
      </c>
      <c r="AB82">
        <f>Z82*($F$24+IF($F$24=0,0,($C$14+$C$15+IF($C$13="single",1.5,3)+3)/12))</f>
        <v>0</v>
      </c>
      <c r="AC82">
        <f>AB82-W82</f>
        <v>0</v>
      </c>
      <c r="AD82" cm="1">
        <f t="array" ref="AD82">IFERROR(IF(AC82&lt;0,0,AC82/($R$35-INDEX(hd_off,MATCH(AQ82,hd_mark,0),0)/12)),0)</f>
        <v>0</v>
      </c>
      <c r="AE82">
        <f>IF(S82=0,0,$AD$35*$AM$24)</f>
        <v>0</v>
      </c>
      <c r="AF82">
        <f>IFERROR(AE82/$R$35,0)</f>
        <v>0</v>
      </c>
      <c r="AG82">
        <f>AE82*($F$24+IF($F$24=0,0,($C$14+$C$15+IF($C$13="single",1.5,3)+3)/12))</f>
        <v>0</v>
      </c>
      <c r="AH82">
        <f>AG82-X82</f>
        <v>0</v>
      </c>
      <c r="AI82" cm="1">
        <f t="array" ref="AI82">IFERROR(IF(AH82&lt;0,0,AH82/($R$35-INDEX(hd_off,MATCH(AQ82,hd_mark,0),0)/12)),0)</f>
        <v>0</v>
      </c>
      <c r="AJ82">
        <f>MAX($F$24,$AB$35)/$Q$52</f>
        <v>0</v>
      </c>
      <c r="AK82">
        <f t="shared" si="56"/>
        <v>0</v>
      </c>
      <c r="AL82" cm="1">
        <f t="array" ref="AL82">IFERROR(INDEX(sheath_ecap_asd,MATCH(AP82,sheath_mark,0),0)*AK82,0)</f>
        <v>0</v>
      </c>
      <c r="AM82" cm="1">
        <f t="array" ref="AM82">IFERROR(INDEX(sheath_wcap_asd,MATCH(AP82,sheath_mark,0),0)*AK82,0)</f>
        <v>0</v>
      </c>
      <c r="AN82" cm="1">
        <f t="array" ref="AN82">IFERROR(INDEX(hd_cap,MATCH(AQ82,hd_mark,0),0),0)</f>
        <v>0</v>
      </c>
      <c r="AP82" s="19"/>
      <c r="AQ82" s="19"/>
      <c r="AR82" s="100"/>
      <c r="AS82" s="93"/>
      <c r="AT82" s="111">
        <f>$R$35</f>
        <v>0</v>
      </c>
      <c r="AU82" t="str">
        <f>$Q$24</f>
        <v>L5</v>
      </c>
      <c r="AV82">
        <f>$E$24</f>
        <v>0</v>
      </c>
      <c r="AW82" cm="1">
        <f t="array" ref="AW82">IFERROR(IF(AV82=0,0,(INDEX($C$33:$C$38,MATCH($AZ$35,$B$33:$B$38,0),0)*(AV83+$BA$35)+$AW$35*COUNTIF(AV82:AV82,"&gt;0")*$C$32+$AY$35*$C$31)*$AU$35),0)</f>
        <v>0</v>
      </c>
      <c r="AX82">
        <f>IF(AV82=0,0,-(COUNTIF(AV82:AV82,"&gt;0")*$AW$35*$C$32+$AY$35*$C$31)*$H$27*$AU$35)</f>
        <v>0</v>
      </c>
      <c r="AY82">
        <f>IF(AV82=0,0,$AY$35*$H$26*$AU$35)</f>
        <v>0</v>
      </c>
      <c r="AZ82">
        <f>(0.6*AW82+0.7*AX82)*$AU$35/2</f>
        <v>0</v>
      </c>
      <c r="BA82">
        <f>AW82*$AU$35/2</f>
        <v>0</v>
      </c>
      <c r="BC82">
        <f>IF(AV82=0,0,$BG$35*$AP$24)</f>
        <v>0</v>
      </c>
      <c r="BD82">
        <f>IFERROR(BC82/$AU$35,0)</f>
        <v>0</v>
      </c>
      <c r="BE82">
        <f>BC82*($F$24+IF($F$24=0,0,($C$14+$C$15+IF($C$13="single",1.5,3)+3)/12))</f>
        <v>0</v>
      </c>
      <c r="BF82">
        <f>BE82-AZ82</f>
        <v>0</v>
      </c>
      <c r="BG82" cm="1">
        <f t="array" ref="BG82">IFERROR(IF(BF82&lt;0,0,BF82/($AU$35-INDEX(hd_off,MATCH(BT82,hd_mark,0),0)/12)),0)</f>
        <v>0</v>
      </c>
      <c r="BH82">
        <f>IF(AV82=0,0,$BG$35*$AM$24)</f>
        <v>0</v>
      </c>
      <c r="BI82">
        <f>IFERROR(BH82/$AU$35,0)</f>
        <v>0</v>
      </c>
      <c r="BJ82">
        <f>BH82*($F$24+IF($F$24=0,0,($C$14+$C$15+IF($C$13="single",1.5,3)+3)/12))</f>
        <v>0</v>
      </c>
      <c r="BK82">
        <f>BJ82-BA82</f>
        <v>0</v>
      </c>
      <c r="BL82" cm="1">
        <f t="array" ref="BL82">IFERROR(IF(BK82&lt;0,0,BK82/($AU$35-INDEX(hd_off,MATCH(BT82,hd_mark,0),0)/12)),0)</f>
        <v>0</v>
      </c>
      <c r="BM82">
        <f>MAX($F$24,$BE$35)/$Q$52</f>
        <v>0</v>
      </c>
      <c r="BN82">
        <f t="shared" si="57"/>
        <v>0</v>
      </c>
      <c r="BO82" cm="1">
        <f t="array" ref="BO82">IFERROR(INDEX(sheath_ecap_asd,MATCH(BS82,sheath_mark,0),0)*BN82,0)</f>
        <v>0</v>
      </c>
      <c r="BP82" cm="1">
        <f t="array" ref="BP82">IFERROR(INDEX(sheath_wcap_asd,MATCH(BS82,sheath_mark,0),0)*BN82,0)</f>
        <v>0</v>
      </c>
      <c r="BQ82" cm="1">
        <f t="array" ref="BQ82">IFERROR(INDEX(hd_cap,MATCH(BT82,hd_mark,0),0),0)</f>
        <v>0</v>
      </c>
      <c r="BS82" s="19"/>
      <c r="BT82" s="19"/>
      <c r="BU82" s="100"/>
    </row>
    <row r="83" spans="16:73" x14ac:dyDescent="0.25">
      <c r="P83" s="93"/>
      <c r="Q83" s="109"/>
      <c r="R83" t="str">
        <f>$Q$25</f>
        <v>Roof</v>
      </c>
      <c r="S83">
        <f>$E$25</f>
        <v>33.171875</v>
      </c>
      <c r="T83" cm="1">
        <f t="array" ref="T83">IFERROR(IF(S83=0,0,(INDEX($C$33:$C$38,MATCH($W$35,$B$33:$B$38,0),0)*(S83+$X$35)+$V$35*$C$31)*$R$35),0)</f>
        <v>0</v>
      </c>
      <c r="U83">
        <f>IF(S83=0,0,-$V$35*$C$31*$H$27*$R$35)</f>
        <v>0</v>
      </c>
      <c r="V83">
        <f>IF(S83=0,0,$V$35*$H$26*$R$35)</f>
        <v>0</v>
      </c>
      <c r="W83">
        <f>(0.6*T83+0.7*U83)*$R$35/2</f>
        <v>0</v>
      </c>
      <c r="X83">
        <f>T83*$R$35/2</f>
        <v>0</v>
      </c>
      <c r="Z83">
        <f>IF(S83=0,0,$AD$35*$AP$25)</f>
        <v>0</v>
      </c>
      <c r="AA83">
        <f>IFERROR(Z83/$R$35,0)</f>
        <v>0</v>
      </c>
      <c r="AB83">
        <f>Z83*($F$25+($C$16+$C$17+IF($C$13="single",1.5,3)+3)/12)</f>
        <v>0</v>
      </c>
      <c r="AC83">
        <f>AB83-W83</f>
        <v>0</v>
      </c>
      <c r="AD83" cm="1">
        <f t="array" ref="AD83">IFERROR(IF(AC83&lt;0,0,AC83/($R$35-INDEX(hd_off,MATCH(AQ83,hd_mark,0),0)/12)),0)</f>
        <v>0</v>
      </c>
      <c r="AE83">
        <f>IF(S83=0,0,$AD$35*$AM$25)</f>
        <v>0</v>
      </c>
      <c r="AF83">
        <f>IFERROR(AE83/$R$35,0)</f>
        <v>0</v>
      </c>
      <c r="AG83">
        <f>AE83*($F$25+($C$16+$C$17+IF($C$13="single",1.5,3)+3)/12)</f>
        <v>0</v>
      </c>
      <c r="AH83">
        <f>AG83-X83</f>
        <v>0</v>
      </c>
      <c r="AI83" cm="1">
        <f t="array" ref="AI83">IFERROR(IF(AH83&lt;0,0,AH83/($R$35-INDEX(hd_off,MATCH(AQ83,hd_mark,0),0)/12)),0)</f>
        <v>0</v>
      </c>
      <c r="AJ83">
        <f>MAX($F$25,$AC$35)/$Q$52</f>
        <v>0.29920977011494249</v>
      </c>
      <c r="AK83">
        <f t="shared" si="56"/>
        <v>1</v>
      </c>
      <c r="AL83" cm="1">
        <f t="array" ref="AL83">IFERROR(INDEX(sheath_ecap_asd,MATCH(AP83,sheath_mark,0),0)*AK83,0)</f>
        <v>0</v>
      </c>
      <c r="AM83" cm="1">
        <f t="array" ref="AM83">IFERROR(INDEX(sheath_wcap_asd,MATCH(AP83,sheath_mark,0),0)*AK83,0)</f>
        <v>0</v>
      </c>
      <c r="AN83" cm="1">
        <f t="array" ref="AN83">IFERROR(INDEX(hd_cap,MATCH(AQ83,hd_mark,0),0),0)</f>
        <v>0</v>
      </c>
      <c r="AP83" s="19"/>
      <c r="AQ83" s="19"/>
      <c r="AR83" s="100"/>
      <c r="AS83" s="93"/>
      <c r="AT83" s="109"/>
      <c r="AU83" t="str">
        <f>$Q$25</f>
        <v>Roof</v>
      </c>
      <c r="AV83">
        <f>$E$25</f>
        <v>33.171875</v>
      </c>
      <c r="AW83" cm="1">
        <f t="array" ref="AW83">IFERROR(IF(AV83=0,0,(INDEX($C$33:$C$38,MATCH($AZ$35,$B$33:$B$38,0),0)*(AV83+$BA$35)+$AY$35*$C$31)*$AU$35),0)</f>
        <v>0</v>
      </c>
      <c r="AX83">
        <f>IF(AV83=0,0,-$AY$35*$C$31*$H$27*$AU$35)</f>
        <v>0</v>
      </c>
      <c r="AY83">
        <f>IF(AV83=0,0,$AY$35*$H$26*$AU$35)</f>
        <v>0</v>
      </c>
      <c r="AZ83">
        <f>(0.6*AW83+0.7*AX83)*$AU$35/2</f>
        <v>0</v>
      </c>
      <c r="BA83">
        <f>AW83*$AU$35/2</f>
        <v>0</v>
      </c>
      <c r="BC83">
        <f>IF(AV83=0,0,$BG$35*$AP$25)</f>
        <v>0</v>
      </c>
      <c r="BD83">
        <f>IFERROR(BC83/$AU$35,0)</f>
        <v>0</v>
      </c>
      <c r="BE83">
        <f>BC83*($F$25+($C$16+$C$17+IF($C$13="single",1.5,3)+3)/12)</f>
        <v>0</v>
      </c>
      <c r="BF83">
        <f>BE83-AZ83</f>
        <v>0</v>
      </c>
      <c r="BG83" cm="1">
        <f t="array" ref="BG83">IFERROR(IF(BF83&lt;0,0,BF83/($AU$35-INDEX(hd_off,MATCH(BT83,hd_mark,0),0)/12)),0)</f>
        <v>0</v>
      </c>
      <c r="BH83">
        <f>IF(AV83=0,0,$BG$35*$AM$25)</f>
        <v>0</v>
      </c>
      <c r="BI83">
        <f>IFERROR(BH83/$AU$35,0)</f>
        <v>0</v>
      </c>
      <c r="BJ83">
        <f>BH83*($F$25+($C$16+$C$17+IF($C$13="single",1.5,3)+3)/12)</f>
        <v>0</v>
      </c>
      <c r="BK83">
        <f>BJ83-BA83</f>
        <v>0</v>
      </c>
      <c r="BL83" cm="1">
        <f t="array" ref="BL83">IFERROR(IF(BK83&lt;0,0,BK83/($AU$35-INDEX(hd_off,MATCH(BT83,hd_mark,0),0)/12)),0)</f>
        <v>0</v>
      </c>
      <c r="BM83">
        <f>MAX($F$25,$BF$35)/$Q$52</f>
        <v>0.29920977011494249</v>
      </c>
      <c r="BN83">
        <f t="shared" si="57"/>
        <v>1</v>
      </c>
      <c r="BO83" cm="1">
        <f t="array" ref="BO83">IFERROR(INDEX(sheath_ecap_asd,MATCH(BS83,sheath_mark,0),0)*BN83,0)</f>
        <v>0</v>
      </c>
      <c r="BP83" cm="1">
        <f t="array" ref="BP83">IFERROR(INDEX(sheath_wcap_asd,MATCH(BS83,sheath_mark,0),0)*BN83,0)</f>
        <v>0</v>
      </c>
      <c r="BQ83" cm="1">
        <f t="array" ref="BQ83">IFERROR(INDEX(hd_cap,MATCH(BT83,hd_mark,0),0),0)</f>
        <v>0</v>
      </c>
      <c r="BS83" s="19"/>
      <c r="BT83" s="19"/>
      <c r="BU83" s="100"/>
    </row>
    <row r="84" spans="16:73" x14ac:dyDescent="0.25">
      <c r="P84" s="93"/>
      <c r="AR84" s="100"/>
      <c r="AS84" s="93"/>
      <c r="BU84" s="100"/>
    </row>
    <row r="85" spans="16:73" x14ac:dyDescent="0.25">
      <c r="P85" s="93"/>
      <c r="Q85" s="110" t="str">
        <f>$Q$36</f>
        <v>A.07</v>
      </c>
      <c r="R85" t="str">
        <f>$Q$21</f>
        <v>L2</v>
      </c>
      <c r="S85">
        <f>$E$21</f>
        <v>10.6875</v>
      </c>
      <c r="T85" cm="1">
        <f t="array" ref="T85">IFERROR(IF(S85=0,0,(INDEX($C$33:$C$38,MATCH($W$36,$B$33:$B$38,0),0)*(S89+$X$36)+$T$36*COUNTIF(S85:S88,"&gt;0")*$C$32+$V$36*$C$31)*$R$36),0)</f>
        <v>0</v>
      </c>
      <c r="U85">
        <f>IF(S85=0,0,-(COUNTIF(S85:S88,"&gt;0")*$T$36*$C$32+$V$36*$C$31)*$H$27*$R$36)</f>
        <v>0</v>
      </c>
      <c r="V85">
        <f>IF(S85=0,0,$V$36*$H$26*$R$36)</f>
        <v>0</v>
      </c>
      <c r="W85">
        <f>(0.6*T85+0.7*U85)*$R$36/2</f>
        <v>0</v>
      </c>
      <c r="X85">
        <f>(0.6*T85+0.6*V85)*$R$36/2</f>
        <v>0</v>
      </c>
      <c r="Z85">
        <f>IF(S85=0,0,$AD$36*$AP$21)</f>
        <v>0</v>
      </c>
      <c r="AA85">
        <f>IFERROR(Z85/$R$36,0)</f>
        <v>0</v>
      </c>
      <c r="AB85">
        <f>Z85*($F$21+IF($F$21=0,0,($C$14+$C$15+IF($C$13="single",1.5,3)+3)/12))</f>
        <v>0</v>
      </c>
      <c r="AC85">
        <f>AB85-W85</f>
        <v>0</v>
      </c>
      <c r="AD85" cm="1">
        <f t="array" ref="AD85">IFERROR(IF(AC85&lt;0,0,AC85/($R$36-INDEX(hd_off,MATCH(AQ85,hd_mark,0),0)/12)),0)</f>
        <v>0</v>
      </c>
      <c r="AE85">
        <f>IF(S85=0,0,$AD$36*$AM$21)</f>
        <v>0</v>
      </c>
      <c r="AF85">
        <f>IFERROR(AE85/$R$36,0)</f>
        <v>0</v>
      </c>
      <c r="AG85">
        <f>AE85*($F$21+IF($F$21=0,0,($C$14+$C$15+IF($C$13="single",1.5,3)+3)/12))</f>
        <v>0</v>
      </c>
      <c r="AH85">
        <f>AG85-X85</f>
        <v>0</v>
      </c>
      <c r="AI85" cm="1">
        <f t="array" ref="AI85">IFERROR(IF(AH85&lt;0,0,AH85/($R$36-INDEX(hd_off,MATCH(AQ85,hd_mark,0),0)/12)),0)</f>
        <v>0</v>
      </c>
      <c r="AJ85">
        <f>MAX($F$21,$Y$36)/$Q$52</f>
        <v>0.30172413793103448</v>
      </c>
      <c r="AK85">
        <f>IF(AJ85=0,0,IF(AJ85&gt;2,1.25-0.125*AJ85,1))</f>
        <v>1</v>
      </c>
      <c r="AL85" cm="1">
        <f t="array" ref="AL85">IFERROR(INDEX(sheath_ecap_asd,MATCH(AP85,sheath_mark,0),0)*AK85,0)</f>
        <v>0</v>
      </c>
      <c r="AM85" cm="1">
        <f t="array" ref="AM85">IFERROR(INDEX(sheath_wcap_asd,MATCH(AP85,sheath_mark,0),0)*AK85,0)</f>
        <v>0</v>
      </c>
      <c r="AN85" cm="1">
        <f t="array" ref="AN85">IFERROR(INDEX(hd_cap,MATCH(AQ85,hd_mark,0),0),0)</f>
        <v>0</v>
      </c>
      <c r="AP85" s="19"/>
      <c r="AQ85" s="19"/>
      <c r="AR85" s="100"/>
      <c r="AS85" s="93"/>
      <c r="AT85" s="110" t="str">
        <f>$AT$36</f>
        <v>1.07</v>
      </c>
      <c r="AU85" t="str">
        <f>$Q$21</f>
        <v>L2</v>
      </c>
      <c r="AV85">
        <f>$E$21</f>
        <v>10.6875</v>
      </c>
      <c r="AW85" cm="1">
        <f t="array" ref="AW85">IFERROR(IF(AV85=0,0,(INDEX($C$33:$C$38,MATCH($AZ$36,$B$33:$B$38,0),0)*(AV89+$BA$36)+$AW$36*COUNTIF(AV85:AV88,"&gt;0")*$C$32+$AY$36*$C$31)*$AU$36),0)</f>
        <v>0</v>
      </c>
      <c r="AX85">
        <f>IF(AV85=0,0,-(COUNTIF(AV85:AV88,"&gt;0")*$AW$36*$C$32+$AY$36*$C$31)*$H$27*$AU$36)</f>
        <v>0</v>
      </c>
      <c r="AY85">
        <f>IF(AV85=0,0,$AY$36*$H$26*$AU$36)</f>
        <v>0</v>
      </c>
      <c r="AZ85">
        <f>(0.6*AW85+0.7*AX85)*$AU$36/2</f>
        <v>0</v>
      </c>
      <c r="BA85">
        <f>(0.6*AW85+0.6*AY85)*$AU$36/2</f>
        <v>0</v>
      </c>
      <c r="BC85">
        <f>IF(AV85=0,0,$BG$36*$AP$21)</f>
        <v>0</v>
      </c>
      <c r="BD85">
        <f>IFERROR(BC85/$AU$36,0)</f>
        <v>0</v>
      </c>
      <c r="BE85">
        <f>BC85*($F$21+IF($F$21=0,0,($C$14+$C$15+IF($C$13="single",1.5,3)+3)/12))</f>
        <v>0</v>
      </c>
      <c r="BF85">
        <f>BE85-AZ85</f>
        <v>0</v>
      </c>
      <c r="BG85" cm="1">
        <f t="array" ref="BG85">IFERROR(IF(BF85&lt;0,0,BF85/($AU$36-INDEX(hd_off,MATCH(BT85,hd_mark,0),0)/12)),0)</f>
        <v>0</v>
      </c>
      <c r="BH85">
        <f>IF(AV85=0,0,$BG$36*$AM$21)</f>
        <v>0</v>
      </c>
      <c r="BI85">
        <f>IFERROR(BH85/$AU$36,0)</f>
        <v>0</v>
      </c>
      <c r="BJ85">
        <f>BH85*($F$21+IF($F$21=0,0,($C$14+$C$15+IF($C$13="single",1.5,3)+3)/12))</f>
        <v>0</v>
      </c>
      <c r="BK85">
        <f>BJ85-BA85</f>
        <v>0</v>
      </c>
      <c r="BL85" cm="1">
        <f t="array" ref="BL85">IFERROR(IF(BK85&lt;0,0,BK85/($AU$36-INDEX(hd_off,MATCH(BT85,hd_mark,0),0)/12)),0)</f>
        <v>0</v>
      </c>
      <c r="BM85">
        <f>MAX($F$21,$BB$36)/$Q$52</f>
        <v>0.30172413793103448</v>
      </c>
      <c r="BN85">
        <f>IF(BM85=0,0,IF(BM85&gt;2,1.25-0.125*BM85,1))</f>
        <v>1</v>
      </c>
      <c r="BO85" cm="1">
        <f t="array" ref="BO85">IFERROR(INDEX(sheath_ecap_asd,MATCH(BS85,sheath_mark,0),0)*BN85,0)</f>
        <v>0</v>
      </c>
      <c r="BP85" cm="1">
        <f t="array" ref="BP85">IFERROR(INDEX(sheath_wcap_asd,MATCH(BS85,sheath_mark,0),0)*BN85,0)</f>
        <v>0</v>
      </c>
      <c r="BQ85" cm="1">
        <f t="array" ref="BQ85">IFERROR(INDEX(hd_cap,MATCH(BT85,hd_mark,0),0),0)</f>
        <v>0</v>
      </c>
      <c r="BS85" s="19"/>
      <c r="BT85" s="19"/>
      <c r="BU85" s="100"/>
    </row>
    <row r="86" spans="16:73" x14ac:dyDescent="0.25">
      <c r="P86" s="93"/>
      <c r="Q86" s="109"/>
      <c r="R86" t="str">
        <f>$Q$22</f>
        <v>L3</v>
      </c>
      <c r="S86">
        <f>$E$22</f>
        <v>21.375</v>
      </c>
      <c r="T86" cm="1">
        <f t="array" ref="T86">IFERROR(IF(S86=0,0,(INDEX($C$33:$C$38,MATCH($W$36,$B$33:$B$38,0),0)*(S89+$X$36)+$T$36*COUNTIF(S86:S88,"&gt;0")*$C$32+$V$36*$C$31)*$R$36),0)</f>
        <v>0</v>
      </c>
      <c r="U86">
        <f>IF(S86=0,0,-(COUNTIF(S86:S88,"&gt;0")*$T$36*$C$32+$V$36*$C$31)*$H$27*$R$36)</f>
        <v>0</v>
      </c>
      <c r="V86">
        <f>IF(S86=0,0,$V$36*$H$26*$R$36)</f>
        <v>0</v>
      </c>
      <c r="W86">
        <f>(0.6*T86+0.7*U86)*$R$36/2</f>
        <v>0</v>
      </c>
      <c r="X86">
        <f>T86*$R$36/2</f>
        <v>0</v>
      </c>
      <c r="Z86">
        <f>IF(S86=0,0,$AD$36*$AP$22)</f>
        <v>0</v>
      </c>
      <c r="AA86">
        <f>IFERROR(Z86/$R$36,0)</f>
        <v>0</v>
      </c>
      <c r="AB86">
        <f>Z86*($F$22+IF($F$22=0,0,($C$14+$C$15+IF($C$13="single",1.5,3)+3)/12))</f>
        <v>0</v>
      </c>
      <c r="AC86">
        <f>AB86-W86</f>
        <v>0</v>
      </c>
      <c r="AD86" cm="1">
        <f t="array" ref="AD86">IFERROR(IF(AC86&lt;0,0,AC86/($R$36-INDEX(hd_off,MATCH(AQ86,hd_mark,0),0)/12)),0)</f>
        <v>0</v>
      </c>
      <c r="AE86">
        <f>IF(S86=0,0,$AD$36*$AM$22)</f>
        <v>0</v>
      </c>
      <c r="AF86">
        <f>IFERROR(AE86/$R$36,0)</f>
        <v>0</v>
      </c>
      <c r="AG86">
        <f>AE86*($F$22+IF($F$22=0,0,($C$14+$C$15+IF($C$13="single",1.5,3)+3)/12))</f>
        <v>0</v>
      </c>
      <c r="AH86">
        <f>AG86-X86</f>
        <v>0</v>
      </c>
      <c r="AI86" cm="1">
        <f t="array" ref="AI86">IFERROR(IF(AH86&lt;0,0,AH86/($R$36-INDEX(hd_off,MATCH(AQ86,hd_mark,0),0)/12)),0)</f>
        <v>0</v>
      </c>
      <c r="AJ86">
        <f>MAX($F$22,$Z$36)/$Q$52</f>
        <v>0.30172413793103448</v>
      </c>
      <c r="AK86">
        <f t="shared" ref="AK86:AK89" si="58">IF(AJ86=0,0,IF(AJ86&gt;2,1.25-0.125*AJ86,1))</f>
        <v>1</v>
      </c>
      <c r="AL86" cm="1">
        <f t="array" ref="AL86">IFERROR(INDEX(sheath_ecap_asd,MATCH(AP86,sheath_mark,0),0)*AK86,0)</f>
        <v>0</v>
      </c>
      <c r="AM86" cm="1">
        <f t="array" ref="AM86">IFERROR(INDEX(sheath_wcap_asd,MATCH(AP86,sheath_mark,0),0)*AK86,0)</f>
        <v>0</v>
      </c>
      <c r="AN86" cm="1">
        <f t="array" ref="AN86">IFERROR(INDEX(hd_cap,MATCH(AQ86,hd_mark,0),0),0)</f>
        <v>0</v>
      </c>
      <c r="AP86" s="19"/>
      <c r="AQ86" s="19"/>
      <c r="AR86" s="100"/>
      <c r="AS86" s="93"/>
      <c r="AT86" s="109"/>
      <c r="AU86" t="str">
        <f>$Q$22</f>
        <v>L3</v>
      </c>
      <c r="AV86">
        <f>$E$22</f>
        <v>21.375</v>
      </c>
      <c r="AW86" cm="1">
        <f t="array" ref="AW86">IFERROR(IF(AV86=0,0,(INDEX($C$33:$C$38,MATCH($AZ$36,$B$33:$B$38,0),0)*(AV89+$BA$36)+$AW$36*COUNTIF(AV86:AV88,"&gt;0")*$C$32+$AY$36*$C$31)*$AU$36),0)</f>
        <v>0</v>
      </c>
      <c r="AX86">
        <f>IF(AV86=0,0,-(COUNTIF(AV86:AV88,"&gt;0")*$AW$36*$C$32+$AY$36*$C$31)*$H$27*$AU$36)</f>
        <v>0</v>
      </c>
      <c r="AY86">
        <f>IF(AV86=0,0,$AY$36*$H$26*$AU$36)</f>
        <v>0</v>
      </c>
      <c r="AZ86">
        <f>(0.6*AW86+0.7*AX86)*$AU$36/2</f>
        <v>0</v>
      </c>
      <c r="BA86">
        <f>AW86*$AU$36/2</f>
        <v>0</v>
      </c>
      <c r="BC86">
        <f>IF(AV86=0,0,$BG$36*$AP$22)</f>
        <v>0</v>
      </c>
      <c r="BD86">
        <f>IFERROR(BC86/$AU$36,0)</f>
        <v>0</v>
      </c>
      <c r="BE86">
        <f>BC86*($F$22+IF($F$22=0,0,($C$14+$C$15+IF($C$13="single",1.5,3)+3)/12))</f>
        <v>0</v>
      </c>
      <c r="BF86">
        <f>BE86-AZ86</f>
        <v>0</v>
      </c>
      <c r="BG86" cm="1">
        <f t="array" ref="BG86">IFERROR(IF(BF86&lt;0,0,BF86/($AU$36-INDEX(hd_off,MATCH(BT86,hd_mark,0),0)/12)),0)</f>
        <v>0</v>
      </c>
      <c r="BH86">
        <f>IF(AV86=0,0,$BG$36*$AM$22)</f>
        <v>0</v>
      </c>
      <c r="BI86">
        <f>IFERROR(BH86/$AU$36,0)</f>
        <v>0</v>
      </c>
      <c r="BJ86">
        <f>BH86*($F$22+IF($F$22=0,0,($C$14+$C$15+IF($C$13="single",1.5,3)+3)/12))</f>
        <v>0</v>
      </c>
      <c r="BK86">
        <f>BJ86-BA86</f>
        <v>0</v>
      </c>
      <c r="BL86" cm="1">
        <f t="array" ref="BL86">IFERROR(IF(BK86&lt;0,0,BK86/($AU$36-INDEX(hd_off,MATCH(BT86,hd_mark,0),0)/12)),0)</f>
        <v>0</v>
      </c>
      <c r="BM86">
        <f>MAX($F$22,$BC$36)/$Q$52</f>
        <v>0.30172413793103448</v>
      </c>
      <c r="BN86">
        <f t="shared" ref="BN86:BN89" si="59">IF(BM86=0,0,IF(BM86&gt;2,1.25-0.125*BM86,1))</f>
        <v>1</v>
      </c>
      <c r="BO86" cm="1">
        <f t="array" ref="BO86">IFERROR(INDEX(sheath_ecap_asd,MATCH(BS86,sheath_mark,0),0)*BN86,0)</f>
        <v>0</v>
      </c>
      <c r="BP86" cm="1">
        <f t="array" ref="BP86">IFERROR(INDEX(sheath_wcap_asd,MATCH(BS86,sheath_mark,0),0)*BN86,0)</f>
        <v>0</v>
      </c>
      <c r="BQ86" cm="1">
        <f t="array" ref="BQ86">IFERROR(INDEX(hd_cap,MATCH(BT86,hd_mark,0),0),0)</f>
        <v>0</v>
      </c>
      <c r="BS86" s="19"/>
      <c r="BT86" s="19"/>
      <c r="BU86" s="100"/>
    </row>
    <row r="87" spans="16:73" x14ac:dyDescent="0.25">
      <c r="P87" s="93"/>
      <c r="Q87" s="109" t="s">
        <v>491</v>
      </c>
      <c r="R87" t="str">
        <f>$Q$23</f>
        <v>L4</v>
      </c>
      <c r="S87">
        <f>$E$23</f>
        <v>0</v>
      </c>
      <c r="T87" cm="1">
        <f t="array" ref="T87">IFERROR(IF(S87=0,0,(INDEX($C$33:$C$38,MATCH($W$36,$B$33:$B$38,0),0)*(S89+$X$36)+$T$36*COUNTIF(S87:S88,"&gt;0")*$C$32+$V$36*$C$31)*$R$36),0)</f>
        <v>0</v>
      </c>
      <c r="U87">
        <f>IF(S87=0,0,-(COUNTIF(S87:S88,"&gt;0")*$T$36*$C$32+$V$36*$C$31)*$H$27*$R$36)</f>
        <v>0</v>
      </c>
      <c r="V87">
        <f>IF(S87=0,0,$V$36*$H$26*$R$36)</f>
        <v>0</v>
      </c>
      <c r="W87">
        <f>(0.6*T87+0.7*U87)*$R$36/2</f>
        <v>0</v>
      </c>
      <c r="X87">
        <f>T87*$R$36/2</f>
        <v>0</v>
      </c>
      <c r="Z87">
        <f>IF(S87=0,0,$AD$36*$AP$23)</f>
        <v>0</v>
      </c>
      <c r="AA87">
        <f>IFERROR(Z87/$R$36,0)</f>
        <v>0</v>
      </c>
      <c r="AB87">
        <f>Z87*($F$23+IF($F$23=0,0,($C$14+$C$15+IF($C$13="single",1.5,3)+3)/12))</f>
        <v>0</v>
      </c>
      <c r="AC87">
        <f>AB87-W87</f>
        <v>0</v>
      </c>
      <c r="AD87" cm="1">
        <f t="array" ref="AD87">IFERROR(IF(AC87&lt;0,0,AC87/($R$36-INDEX(hd_off,MATCH(AQ87,hd_mark,0),0)/12)),0)</f>
        <v>0</v>
      </c>
      <c r="AE87">
        <f>IF(S87=0,0,$AD$36*$AM$23)</f>
        <v>0</v>
      </c>
      <c r="AF87">
        <f>IFERROR(AE87/$R$36,0)</f>
        <v>0</v>
      </c>
      <c r="AG87">
        <f>AE87*($F$23+IF($F$23=0,0,($C$14+$C$15+IF($C$13="single",1.5,3)+3)/12))</f>
        <v>0</v>
      </c>
      <c r="AH87">
        <f>AG87-X87</f>
        <v>0</v>
      </c>
      <c r="AI87" cm="1">
        <f t="array" ref="AI87">IFERROR(IF(AH87&lt;0,0,AH87/($R$36-INDEX(hd_off,MATCH(AQ87,hd_mark,0),0)/12)),0)</f>
        <v>0</v>
      </c>
      <c r="AJ87">
        <f>MAX($F$23,$AA$36)/$Q$52</f>
        <v>0</v>
      </c>
      <c r="AK87">
        <f t="shared" si="58"/>
        <v>0</v>
      </c>
      <c r="AL87" cm="1">
        <f t="array" ref="AL87">IFERROR(INDEX(sheath_ecap_asd,MATCH(AP87,sheath_mark,0),0)*AK87,0)</f>
        <v>0</v>
      </c>
      <c r="AM87" cm="1">
        <f t="array" ref="AM87">IFERROR(INDEX(sheath_wcap_asd,MATCH(AP87,sheath_mark,0),0)*AK87,0)</f>
        <v>0</v>
      </c>
      <c r="AN87" cm="1">
        <f t="array" ref="AN87">IFERROR(INDEX(hd_cap,MATCH(AQ87,hd_mark,0),0),0)</f>
        <v>0</v>
      </c>
      <c r="AP87" s="19"/>
      <c r="AQ87" s="19"/>
      <c r="AR87" s="100"/>
      <c r="AS87" s="93"/>
      <c r="AT87" s="109" t="s">
        <v>491</v>
      </c>
      <c r="AU87" t="str">
        <f>$Q$23</f>
        <v>L4</v>
      </c>
      <c r="AV87">
        <f>$E$23</f>
        <v>0</v>
      </c>
      <c r="AW87" cm="1">
        <f t="array" ref="AW87">IFERROR(IF(AV87=0,0,(INDEX($C$33:$C$38,MATCH($AZ$36,$B$33:$B$38,0),0)*(AV89+$BA$36)+$AW$36*COUNTIF(AV87:AV88,"&gt;0")*$C$32+$AY$36*$C$31)*$AU$36),0)</f>
        <v>0</v>
      </c>
      <c r="AX87">
        <f>IF(AV87=0,0,-(COUNTIF(AV87:AV88,"&gt;0")*$AW$36*$C$32+$AY$36*$C$31)*$H$27*$AU$36)</f>
        <v>0</v>
      </c>
      <c r="AY87">
        <f>IF(AV87=0,0,$AY$36*$H$26*$AU$36)</f>
        <v>0</v>
      </c>
      <c r="AZ87">
        <f>(0.6*AW87+0.7*AX87)*$AU$36/2</f>
        <v>0</v>
      </c>
      <c r="BA87">
        <f>AW87*$AU$36/2</f>
        <v>0</v>
      </c>
      <c r="BC87">
        <f>IF(AV87=0,0,$BG$36*$AP$23)</f>
        <v>0</v>
      </c>
      <c r="BD87">
        <f>IFERROR(BC87/$AU$36,0)</f>
        <v>0</v>
      </c>
      <c r="BE87">
        <f>BC87*($F$23+IF($F$23=0,0,($C$14+$C$15+IF($C$13="single",1.5,3)+3)/12))</f>
        <v>0</v>
      </c>
      <c r="BF87">
        <f>BE87-AZ87</f>
        <v>0</v>
      </c>
      <c r="BG87" cm="1">
        <f t="array" ref="BG87">IFERROR(IF(BF87&lt;0,0,BF87/($AU$36-INDEX(hd_off,MATCH(BT87,hd_mark,0),0)/12)),0)</f>
        <v>0</v>
      </c>
      <c r="BH87">
        <f>IF(AV87=0,0,$BG$36*$AM$23)</f>
        <v>0</v>
      </c>
      <c r="BI87">
        <f>IFERROR(BH87/$AU$36,0)</f>
        <v>0</v>
      </c>
      <c r="BJ87">
        <f>BH87*($F$23+IF($F$23=0,0,($C$14+$C$15+IF($C$13="single",1.5,3)+3)/12))</f>
        <v>0</v>
      </c>
      <c r="BK87">
        <f>BJ87-BA87</f>
        <v>0</v>
      </c>
      <c r="BL87" cm="1">
        <f t="array" ref="BL87">IFERROR(IF(BK87&lt;0,0,BK87/($AU$36-INDEX(hd_off,MATCH(BT87,hd_mark,0),0)/12)),0)</f>
        <v>0</v>
      </c>
      <c r="BM87">
        <f>MAX($F$23,$BD$36)/$Q$52</f>
        <v>0</v>
      </c>
      <c r="BN87">
        <f t="shared" si="59"/>
        <v>0</v>
      </c>
      <c r="BO87" cm="1">
        <f t="array" ref="BO87">IFERROR(INDEX(sheath_ecap_asd,MATCH(BS87,sheath_mark,0),0)*BN87,0)</f>
        <v>0</v>
      </c>
      <c r="BP87" cm="1">
        <f t="array" ref="BP87">IFERROR(INDEX(sheath_wcap_asd,MATCH(BS87,sheath_mark,0),0)*BN87,0)</f>
        <v>0</v>
      </c>
      <c r="BQ87" cm="1">
        <f t="array" ref="BQ87">IFERROR(INDEX(hd_cap,MATCH(BT87,hd_mark,0),0),0)</f>
        <v>0</v>
      </c>
      <c r="BS87" s="19"/>
      <c r="BT87" s="19"/>
      <c r="BU87" s="100"/>
    </row>
    <row r="88" spans="16:73" x14ac:dyDescent="0.25">
      <c r="P88" s="93"/>
      <c r="Q88" s="111">
        <f>$R$36</f>
        <v>0</v>
      </c>
      <c r="R88" t="str">
        <f>$Q$24</f>
        <v>L5</v>
      </c>
      <c r="S88">
        <f>$E$24</f>
        <v>0</v>
      </c>
      <c r="T88" cm="1">
        <f t="array" ref="T88">IFERROR(IF(S88=0,0,(INDEX($C$33:$C$38,MATCH($W$36,$B$33:$B$38,0),0)*(S89+$X$36)+$T$36*COUNTIF(S88:S88,"&gt;0")*$C$32+$V$36*$C$31)*$R$36),0)</f>
        <v>0</v>
      </c>
      <c r="U88">
        <f>IF(S88=0,0,-(COUNTIF(S88:S88,"&gt;0")*$T$36*$C$32+$V$36*$C$31)*$H$27*$R$36)</f>
        <v>0</v>
      </c>
      <c r="V88">
        <f>IF(S88=0,0,$V$36*$H$26*$R$36)</f>
        <v>0</v>
      </c>
      <c r="W88">
        <f>(0.6*T88+0.7*U88)*$R$36/2</f>
        <v>0</v>
      </c>
      <c r="X88">
        <f>T88*$R$36/2</f>
        <v>0</v>
      </c>
      <c r="Z88">
        <f>IF(S88=0,0,$AD$36*$AP$24)</f>
        <v>0</v>
      </c>
      <c r="AA88">
        <f>IFERROR(Z88/$R$36,0)</f>
        <v>0</v>
      </c>
      <c r="AB88">
        <f>Z88*($F$24+IF($F$24=0,0,($C$14+$C$15+IF($C$13="single",1.5,3)+3)/12))</f>
        <v>0</v>
      </c>
      <c r="AC88">
        <f>AB88-W88</f>
        <v>0</v>
      </c>
      <c r="AD88" cm="1">
        <f t="array" ref="AD88">IFERROR(IF(AC88&lt;0,0,AC88/($R$36-INDEX(hd_off,MATCH(AQ88,hd_mark,0),0)/12)),0)</f>
        <v>0</v>
      </c>
      <c r="AE88">
        <f>IF(S88=0,0,$AD$36*$AM$24)</f>
        <v>0</v>
      </c>
      <c r="AF88">
        <f>IFERROR(AE88/$R$36,0)</f>
        <v>0</v>
      </c>
      <c r="AG88">
        <f>AE88*($F$24+IF($F$24=0,0,($C$14+$C$15+IF($C$13="single",1.5,3)+3)/12))</f>
        <v>0</v>
      </c>
      <c r="AH88">
        <f>AG88-X88</f>
        <v>0</v>
      </c>
      <c r="AI88" cm="1">
        <f t="array" ref="AI88">IFERROR(IF(AH88&lt;0,0,AH88/($R$36-INDEX(hd_off,MATCH(AQ88,hd_mark,0),0)/12)),0)</f>
        <v>0</v>
      </c>
      <c r="AJ88">
        <f>MAX($F$24,$AB$36)/$Q$52</f>
        <v>0</v>
      </c>
      <c r="AK88">
        <f t="shared" si="58"/>
        <v>0</v>
      </c>
      <c r="AL88" cm="1">
        <f t="array" ref="AL88">IFERROR(INDEX(sheath_ecap_asd,MATCH(AP88,sheath_mark,0),0)*AK88,0)</f>
        <v>0</v>
      </c>
      <c r="AM88" cm="1">
        <f t="array" ref="AM88">IFERROR(INDEX(sheath_wcap_asd,MATCH(AP88,sheath_mark,0),0)*AK88,0)</f>
        <v>0</v>
      </c>
      <c r="AN88" cm="1">
        <f t="array" ref="AN88">IFERROR(INDEX(hd_cap,MATCH(AQ88,hd_mark,0),0),0)</f>
        <v>0</v>
      </c>
      <c r="AP88" s="19"/>
      <c r="AQ88" s="19"/>
      <c r="AR88" s="100"/>
      <c r="AS88" s="93"/>
      <c r="AT88" s="111">
        <f>$R$36</f>
        <v>0</v>
      </c>
      <c r="AU88" t="str">
        <f>$Q$24</f>
        <v>L5</v>
      </c>
      <c r="AV88">
        <f>$E$24</f>
        <v>0</v>
      </c>
      <c r="AW88" cm="1">
        <f t="array" ref="AW88">IFERROR(IF(AV88=0,0,(INDEX($C$33:$C$38,MATCH($AZ$36,$B$33:$B$38,0),0)*(AV89+$BA$36)+$AW$36*COUNTIF(AV88:AV88,"&gt;0")*$C$32+$AY$36*$C$31)*$AU$36),0)</f>
        <v>0</v>
      </c>
      <c r="AX88">
        <f>IF(AV88=0,0,-(COUNTIF(AV88:AV88,"&gt;0")*$AW$36*$C$32+$AY$36*$C$31)*$H$27*$AU$36)</f>
        <v>0</v>
      </c>
      <c r="AY88">
        <f>IF(AV88=0,0,$AY$36*$H$26*$AU$36)</f>
        <v>0</v>
      </c>
      <c r="AZ88">
        <f>(0.6*AW88+0.7*AX88)*$AU$36/2</f>
        <v>0</v>
      </c>
      <c r="BA88">
        <f>AW88*$AU$36/2</f>
        <v>0</v>
      </c>
      <c r="BC88">
        <f>IF(AV88=0,0,$BG$36*$AP$24)</f>
        <v>0</v>
      </c>
      <c r="BD88">
        <f>IFERROR(BC88/$AU$36,0)</f>
        <v>0</v>
      </c>
      <c r="BE88">
        <f>BC88*($F$24+IF($F$24=0,0,($C$14+$C$15+IF($C$13="single",1.5,3)+3)/12))</f>
        <v>0</v>
      </c>
      <c r="BF88">
        <f>BE88-AZ88</f>
        <v>0</v>
      </c>
      <c r="BG88" cm="1">
        <f t="array" ref="BG88">IFERROR(IF(BF88&lt;0,0,BF88/($AU$36-INDEX(hd_off,MATCH(BT88,hd_mark,0),0)/12)),0)</f>
        <v>0</v>
      </c>
      <c r="BH88">
        <f>IF(AV88=0,0,$BG$36*$AM$24)</f>
        <v>0</v>
      </c>
      <c r="BI88">
        <f>IFERROR(BH88/$AU$36,0)</f>
        <v>0</v>
      </c>
      <c r="BJ88">
        <f>BH88*($F$24+IF($F$24=0,0,($C$14+$C$15+IF($C$13="single",1.5,3)+3)/12))</f>
        <v>0</v>
      </c>
      <c r="BK88">
        <f>BJ88-BA88</f>
        <v>0</v>
      </c>
      <c r="BL88" cm="1">
        <f t="array" ref="BL88">IFERROR(IF(BK88&lt;0,0,BK88/($AU$36-INDEX(hd_off,MATCH(BT88,hd_mark,0),0)/12)),0)</f>
        <v>0</v>
      </c>
      <c r="BM88">
        <f>MAX($F$24,$BE$36)/$Q$52</f>
        <v>0</v>
      </c>
      <c r="BN88">
        <f t="shared" si="59"/>
        <v>0</v>
      </c>
      <c r="BO88" cm="1">
        <f t="array" ref="BO88">IFERROR(INDEX(sheath_ecap_asd,MATCH(BS88,sheath_mark,0),0)*BN88,0)</f>
        <v>0</v>
      </c>
      <c r="BP88" cm="1">
        <f t="array" ref="BP88">IFERROR(INDEX(sheath_wcap_asd,MATCH(BS88,sheath_mark,0),0)*BN88,0)</f>
        <v>0</v>
      </c>
      <c r="BQ88" cm="1">
        <f t="array" ref="BQ88">IFERROR(INDEX(hd_cap,MATCH(BT88,hd_mark,0),0),0)</f>
        <v>0</v>
      </c>
      <c r="BS88" s="19"/>
      <c r="BT88" s="19"/>
      <c r="BU88" s="100"/>
    </row>
    <row r="89" spans="16:73" x14ac:dyDescent="0.25">
      <c r="P89" s="93"/>
      <c r="Q89" s="109"/>
      <c r="R89" t="str">
        <f>$Q$25</f>
        <v>Roof</v>
      </c>
      <c r="S89">
        <f>$E$25</f>
        <v>33.171875</v>
      </c>
      <c r="T89" cm="1">
        <f t="array" ref="T89">IFERROR(IF(S89=0,0,(INDEX($C$33:$C$38,MATCH($W$36,$B$33:$B$38,0),0)*(S89+$X$36)+$V$36*$C$31)*$R$36),0)</f>
        <v>0</v>
      </c>
      <c r="U89">
        <f>IF(S89=0,0,-$V$36*$C$31*$H$27*$R$36)</f>
        <v>0</v>
      </c>
      <c r="V89">
        <f>IF(S89=0,0,$V$36*$H$26*$R$36)</f>
        <v>0</v>
      </c>
      <c r="W89">
        <f>(0.6*T89+0.7*U89)*$R$36/2</f>
        <v>0</v>
      </c>
      <c r="X89">
        <f>T89*$R$36/2</f>
        <v>0</v>
      </c>
      <c r="Z89">
        <f>IF(S89=0,0,$AD$36*$AP$25)</f>
        <v>0</v>
      </c>
      <c r="AA89">
        <f>IFERROR(Z89/$R$36,0)</f>
        <v>0</v>
      </c>
      <c r="AB89">
        <f>Z89*($F$25+($C$16+$C$17+IF($C$13="single",1.5,3)+3)/12)</f>
        <v>0</v>
      </c>
      <c r="AC89">
        <f>AB89-W89</f>
        <v>0</v>
      </c>
      <c r="AD89" cm="1">
        <f t="array" ref="AD89">IFERROR(IF(AC89&lt;0,0,AC89/($R$36-INDEX(hd_off,MATCH(AQ89,hd_mark,0),0)/12)),0)</f>
        <v>0</v>
      </c>
      <c r="AE89">
        <f>IF(S89=0,0,$AD$36*$AM$25)</f>
        <v>0</v>
      </c>
      <c r="AF89">
        <f>IFERROR(AE89/$R$36,0)</f>
        <v>0</v>
      </c>
      <c r="AG89">
        <f>AE89*($F$25+($C$16+$C$17+IF($C$13="single",1.5,3)+3)/12)</f>
        <v>0</v>
      </c>
      <c r="AH89">
        <f>AG89-X89</f>
        <v>0</v>
      </c>
      <c r="AI89" cm="1">
        <f t="array" ref="AI89">IFERROR(IF(AH89&lt;0,0,AH89/($R$36-INDEX(hd_off,MATCH(AQ89,hd_mark,0),0)/12)),0)</f>
        <v>0</v>
      </c>
      <c r="AJ89">
        <f>MAX($F$25,$AC$36)/$Q$52</f>
        <v>0.29920977011494249</v>
      </c>
      <c r="AK89">
        <f t="shared" si="58"/>
        <v>1</v>
      </c>
      <c r="AL89" cm="1">
        <f t="array" ref="AL89">IFERROR(INDEX(sheath_ecap_asd,MATCH(AP89,sheath_mark,0),0)*AK89,0)</f>
        <v>0</v>
      </c>
      <c r="AM89" cm="1">
        <f t="array" ref="AM89">IFERROR(INDEX(sheath_wcap_asd,MATCH(AP89,sheath_mark,0),0)*AK89,0)</f>
        <v>0</v>
      </c>
      <c r="AN89" cm="1">
        <f t="array" ref="AN89">IFERROR(INDEX(hd_cap,MATCH(AQ89,hd_mark,0),0),0)</f>
        <v>0</v>
      </c>
      <c r="AP89" s="19"/>
      <c r="AQ89" s="19"/>
      <c r="AR89" s="100"/>
      <c r="AS89" s="93"/>
      <c r="AT89" s="109"/>
      <c r="AU89" t="str">
        <f>$Q$25</f>
        <v>Roof</v>
      </c>
      <c r="AV89">
        <f>$E$25</f>
        <v>33.171875</v>
      </c>
      <c r="AW89" cm="1">
        <f t="array" ref="AW89">IFERROR(IF(AV89=0,0,(INDEX($C$33:$C$38,MATCH($AZ$36,$B$33:$B$38,0),0)*(AV89+$BA$36)+$AY$36*$C$31)*$AU$36),0)</f>
        <v>0</v>
      </c>
      <c r="AX89">
        <f>IF(AV89=0,0,-$AY$36*$C$31*$H$27*$AU$36)</f>
        <v>0</v>
      </c>
      <c r="AY89">
        <f>IF(AV89=0,0,$AY$36*$H$26*$AU$36)</f>
        <v>0</v>
      </c>
      <c r="AZ89">
        <f>(0.6*AW89+0.7*AX89)*$AU$36/2</f>
        <v>0</v>
      </c>
      <c r="BA89">
        <f>AW89*$AU$36/2</f>
        <v>0</v>
      </c>
      <c r="BC89">
        <f>IF(AV89=0,0,$BG$36*$AP$25)</f>
        <v>0</v>
      </c>
      <c r="BD89">
        <f>IFERROR(BC89/$AU$36,0)</f>
        <v>0</v>
      </c>
      <c r="BE89">
        <f>BC89*($F$25+($C$16+$C$17+IF($C$13="single",1.5,3)+3)/12)</f>
        <v>0</v>
      </c>
      <c r="BF89">
        <f>BE89-AZ89</f>
        <v>0</v>
      </c>
      <c r="BG89" cm="1">
        <f t="array" ref="BG89">IFERROR(IF(BF89&lt;0,0,BF89/($AU$36-INDEX(hd_off,MATCH(BT89,hd_mark,0),0)/12)),0)</f>
        <v>0</v>
      </c>
      <c r="BH89">
        <f>IF(AV89=0,0,$BG$36*$AM$25)</f>
        <v>0</v>
      </c>
      <c r="BI89">
        <f>IFERROR(BH89/$AU$36,0)</f>
        <v>0</v>
      </c>
      <c r="BJ89">
        <f>BH89*($F$25+($C$16+$C$17+IF($C$13="single",1.5,3)+3)/12)</f>
        <v>0</v>
      </c>
      <c r="BK89">
        <f>BJ89-BA89</f>
        <v>0</v>
      </c>
      <c r="BL89" cm="1">
        <f t="array" ref="BL89">IFERROR(IF(BK89&lt;0,0,BK89/($AU$36-INDEX(hd_off,MATCH(BT89,hd_mark,0),0)/12)),0)</f>
        <v>0</v>
      </c>
      <c r="BM89">
        <f>MAX($F$25,$BF$36)/$Q$52</f>
        <v>0.29920977011494249</v>
      </c>
      <c r="BN89">
        <f t="shared" si="59"/>
        <v>1</v>
      </c>
      <c r="BO89" cm="1">
        <f t="array" ref="BO89">IFERROR(INDEX(sheath_ecap_asd,MATCH(BS89,sheath_mark,0),0)*BN89,0)</f>
        <v>0</v>
      </c>
      <c r="BP89" cm="1">
        <f t="array" ref="BP89">IFERROR(INDEX(sheath_wcap_asd,MATCH(BS89,sheath_mark,0),0)*BN89,0)</f>
        <v>0</v>
      </c>
      <c r="BQ89" cm="1">
        <f t="array" ref="BQ89">IFERROR(INDEX(hd_cap,MATCH(BT89,hd_mark,0),0),0)</f>
        <v>0</v>
      </c>
      <c r="BS89" s="19"/>
      <c r="BT89" s="19"/>
      <c r="BU89" s="100"/>
    </row>
    <row r="90" spans="16:73" x14ac:dyDescent="0.25">
      <c r="P90" s="93"/>
      <c r="AR90" s="100"/>
      <c r="AS90" s="93"/>
      <c r="BU90" s="100"/>
    </row>
    <row r="91" spans="16:73" x14ac:dyDescent="0.25">
      <c r="P91" s="93"/>
      <c r="Q91" s="110" t="str">
        <f>$Q$37</f>
        <v>A.08</v>
      </c>
      <c r="R91" t="str">
        <f>$Q$21</f>
        <v>L2</v>
      </c>
      <c r="S91">
        <f>$E$21</f>
        <v>10.6875</v>
      </c>
      <c r="T91" cm="1">
        <f t="array" ref="T91">IFERROR(IF(S91=0,0,(INDEX($C$33:$C$38,MATCH($W$37,$B$33:$B$38,0),0)*(S95+$X$37)+$T$37*COUNTIF(S91:S94,"&gt;0")*$C$32+$V$37*$C$31)*$R$37),0)</f>
        <v>0</v>
      </c>
      <c r="U91">
        <f>IF(S91=0,0,-(COUNTIF(S91:S94,"&gt;0")*$T$37*$C$32+$V$37*$C$31)*$H$27*$R$37)</f>
        <v>0</v>
      </c>
      <c r="V91">
        <f>IF(S91=0,0,$V$37*$H$26*$R$37)</f>
        <v>0</v>
      </c>
      <c r="W91">
        <f>(0.6*T91+0.7*U91)*$R$37/2</f>
        <v>0</v>
      </c>
      <c r="X91">
        <f>(0.6*T91+0.6*V91)*$R$37/2</f>
        <v>0</v>
      </c>
      <c r="Z91">
        <f>IF(S91=0,0,$AD$37*$AP$21)</f>
        <v>0</v>
      </c>
      <c r="AA91">
        <f>IFERROR(Z91/$R$37,0)</f>
        <v>0</v>
      </c>
      <c r="AB91">
        <f>Z91*($F$21+IF($F$21=0,0,($C$14+$C$15+IF($C$13="single",1.5,3)+3)/12))</f>
        <v>0</v>
      </c>
      <c r="AC91">
        <f>AB91-W91</f>
        <v>0</v>
      </c>
      <c r="AD91" cm="1">
        <f t="array" ref="AD91">IFERROR(IF(AC91&lt;0,0,AC91/($R$37-INDEX(hd_off,MATCH(AQ91,hd_mark,0),0)/12)),0)</f>
        <v>0</v>
      </c>
      <c r="AE91">
        <f>IF(S91=0,0,$AD$37*$AM$21)</f>
        <v>0</v>
      </c>
      <c r="AF91">
        <f>IFERROR(AE91/$R$37,0)</f>
        <v>0</v>
      </c>
      <c r="AG91">
        <f>AE91*($F$21+IF($F$21=0,0,($C$14+$C$15+IF($C$13="single",1.5,3)+3)/12))</f>
        <v>0</v>
      </c>
      <c r="AH91">
        <f>AG91-X91</f>
        <v>0</v>
      </c>
      <c r="AI91" cm="1">
        <f t="array" ref="AI91">IFERROR(IF(AH91&lt;0,0,AH91/($R$37-INDEX(hd_off,MATCH(AQ91,hd_mark,0),0)/12)),0)</f>
        <v>0</v>
      </c>
      <c r="AJ91">
        <f>MAX($F$21,$Y$37)/$Q$52</f>
        <v>0.30172413793103448</v>
      </c>
      <c r="AK91">
        <f>IF(AJ91=0,0,IF(AJ91&gt;2,1.25-0.125*AJ91,1))</f>
        <v>1</v>
      </c>
      <c r="AL91" cm="1">
        <f t="array" ref="AL91">IFERROR(INDEX(sheath_ecap_asd,MATCH(AP91,sheath_mark,0),0)*AK91,0)</f>
        <v>0</v>
      </c>
      <c r="AM91" cm="1">
        <f t="array" ref="AM91">IFERROR(INDEX(sheath_wcap_asd,MATCH(AP91,sheath_mark,0),0)*AK91,0)</f>
        <v>0</v>
      </c>
      <c r="AN91" cm="1">
        <f t="array" ref="AN91">IFERROR(INDEX(hd_cap,MATCH(AQ91,hd_mark,0),0),0)</f>
        <v>0</v>
      </c>
      <c r="AP91" s="19"/>
      <c r="AQ91" s="19"/>
      <c r="AR91" s="100"/>
      <c r="AS91" s="93"/>
      <c r="AT91" s="110" t="str">
        <f>$AT$37</f>
        <v>1.08</v>
      </c>
      <c r="AU91" t="str">
        <f>$Q$21</f>
        <v>L2</v>
      </c>
      <c r="AV91">
        <f>$E$21</f>
        <v>10.6875</v>
      </c>
      <c r="AW91" cm="1">
        <f t="array" ref="AW91">IFERROR(IF(AV91=0,0,(INDEX($C$33:$C$38,MATCH($AZ$37,$B$33:$B$38,0),0)*(AV95+$BA$37)+$AW$37*COUNTIF(AV91:AV94,"&gt;0")*$C$32+$AY$37*$C$31)*$AU$37),0)</f>
        <v>0</v>
      </c>
      <c r="AX91">
        <f>IF(AV91=0,0,-(COUNTIF(AV91:AV94,"&gt;0")*$AW$37*$C$32+$AY$37*$C$31)*$H$27*$AU$37)</f>
        <v>0</v>
      </c>
      <c r="AY91">
        <f>IF(AV91=0,0,$AY$37*$H$26*$AU$37)</f>
        <v>0</v>
      </c>
      <c r="AZ91">
        <f>(0.6*AW91+0.7*AX91)*$AU$37/2</f>
        <v>0</v>
      </c>
      <c r="BA91">
        <f>(0.6*AW91+0.6*AY91)*$AU$37/2</f>
        <v>0</v>
      </c>
      <c r="BC91">
        <f>IF(AV91=0,0,$BG$37*$AP$21)</f>
        <v>0</v>
      </c>
      <c r="BD91">
        <f>IFERROR(BC91/$AU$37,0)</f>
        <v>0</v>
      </c>
      <c r="BE91">
        <f>BC91*($F$21+IF($F$21=0,0,($C$14+$C$15+IF($C$13="single",1.5,3)+3)/12))</f>
        <v>0</v>
      </c>
      <c r="BF91">
        <f>BE91-AZ91</f>
        <v>0</v>
      </c>
      <c r="BG91" cm="1">
        <f t="array" ref="BG91">IFERROR(IF(BF91&lt;0,0,BF91/($AU$37-INDEX(hd_off,MATCH(BT91,hd_mark,0),0)/12)),0)</f>
        <v>0</v>
      </c>
      <c r="BH91">
        <f>IF(AV91=0,0,$BG$37*$AM$21)</f>
        <v>0</v>
      </c>
      <c r="BI91">
        <f>IFERROR(BH91/$AU$37,0)</f>
        <v>0</v>
      </c>
      <c r="BJ91">
        <f>BH91*($F$21+IF($F$21=0,0,($C$14+$C$15+IF($C$13="single",1.5,3)+3)/12))</f>
        <v>0</v>
      </c>
      <c r="BK91">
        <f>BJ91-BA91</f>
        <v>0</v>
      </c>
      <c r="BL91" cm="1">
        <f t="array" ref="BL91">IFERROR(IF(BK91&lt;0,0,BK91/($AU$37-INDEX(hd_off,MATCH(BT91,hd_mark,0),0)/12)),0)</f>
        <v>0</v>
      </c>
      <c r="BM91">
        <f>MAX($F$21,$BB$37)/$Q$52</f>
        <v>0.30172413793103448</v>
      </c>
      <c r="BN91">
        <f>IF(BM91=0,0,IF(BM91&gt;2,1.25-0.125*BM91,1))</f>
        <v>1</v>
      </c>
      <c r="BO91" cm="1">
        <f t="array" ref="BO91">IFERROR(INDEX(sheath_ecap_asd,MATCH(BS91,sheath_mark,0),0)*BN91,0)</f>
        <v>0</v>
      </c>
      <c r="BP91" cm="1">
        <f t="array" ref="BP91">IFERROR(INDEX(sheath_wcap_asd,MATCH(BS91,sheath_mark,0),0)*BN91,0)</f>
        <v>0</v>
      </c>
      <c r="BQ91" cm="1">
        <f t="array" ref="BQ91">IFERROR(INDEX(hd_cap,MATCH(BT91,hd_mark,0),0),0)</f>
        <v>0</v>
      </c>
      <c r="BS91" s="19"/>
      <c r="BT91" s="19"/>
      <c r="BU91" s="100"/>
    </row>
    <row r="92" spans="16:73" x14ac:dyDescent="0.25">
      <c r="P92" s="93"/>
      <c r="Q92" s="109"/>
      <c r="R92" t="str">
        <f>$Q$22</f>
        <v>L3</v>
      </c>
      <c r="S92">
        <f>$E$22</f>
        <v>21.375</v>
      </c>
      <c r="T92" cm="1">
        <f t="array" ref="T92">IFERROR(IF(S92=0,0,(INDEX($C$33:$C$38,MATCH($W$37,$B$33:$B$38,0),0)*(S95+$X$37)+$T$37*COUNTIF(S92:S94,"&gt;0")*$C$32+$V$37*$C$31)*$R$37),0)</f>
        <v>0</v>
      </c>
      <c r="U92">
        <f>IF(S92=0,0,-(COUNTIF(S92:S94,"&gt;0")*$T$37*$C$32+$V$37*$C$31)*$H$27*$R$37)</f>
        <v>0</v>
      </c>
      <c r="V92">
        <f>IF(S92=0,0,$V$37*$H$26*$R$37)</f>
        <v>0</v>
      </c>
      <c r="W92">
        <f>(0.6*T92+0.7*U92)*$R$37/2</f>
        <v>0</v>
      </c>
      <c r="X92">
        <f>T92*$R$37/2</f>
        <v>0</v>
      </c>
      <c r="Z92">
        <f>IF(S92=0,0,$AD$37*$AP$22)</f>
        <v>0</v>
      </c>
      <c r="AA92">
        <f>IFERROR(Z92/$R$37,0)</f>
        <v>0</v>
      </c>
      <c r="AB92">
        <f>Z92*($F$22+IF($F$22=0,0,($C$14+$C$15+IF($C$13="single",1.5,3)+3)/12))</f>
        <v>0</v>
      </c>
      <c r="AC92">
        <f>AB92-W92</f>
        <v>0</v>
      </c>
      <c r="AD92" cm="1">
        <f t="array" ref="AD92">IFERROR(IF(AC92&lt;0,0,AC92/($R$37-INDEX(hd_off,MATCH(AQ92,hd_mark,0),0)/12)),0)</f>
        <v>0</v>
      </c>
      <c r="AE92">
        <f>IF(S92=0,0,$AD$37*$AM$22)</f>
        <v>0</v>
      </c>
      <c r="AF92">
        <f>IFERROR(AE92/$R$37,0)</f>
        <v>0</v>
      </c>
      <c r="AG92">
        <f>AE92*($F$22+IF($F$22=0,0,($C$14+$C$15+IF($C$13="single",1.5,3)+3)/12))</f>
        <v>0</v>
      </c>
      <c r="AH92">
        <f>AG92-X92</f>
        <v>0</v>
      </c>
      <c r="AI92" cm="1">
        <f t="array" ref="AI92">IFERROR(IF(AH92&lt;0,0,AH92/($R$37-INDEX(hd_off,MATCH(AQ92,hd_mark,0),0)/12)),0)</f>
        <v>0</v>
      </c>
      <c r="AJ92">
        <f>MAX($F$22,$Z$37)/$Q$52</f>
        <v>0.30172413793103448</v>
      </c>
      <c r="AK92">
        <f t="shared" ref="AK92:AK95" si="60">IF(AJ92=0,0,IF(AJ92&gt;2,1.25-0.125*AJ92,1))</f>
        <v>1</v>
      </c>
      <c r="AL92" cm="1">
        <f t="array" ref="AL92">IFERROR(INDEX(sheath_ecap_asd,MATCH(AP92,sheath_mark,0),0)*AK92,0)</f>
        <v>0</v>
      </c>
      <c r="AM92" cm="1">
        <f t="array" ref="AM92">IFERROR(INDEX(sheath_wcap_asd,MATCH(AP92,sheath_mark,0),0)*AK92,0)</f>
        <v>0</v>
      </c>
      <c r="AN92" cm="1">
        <f t="array" ref="AN92">IFERROR(INDEX(hd_cap,MATCH(AQ92,hd_mark,0),0),0)</f>
        <v>0</v>
      </c>
      <c r="AP92" s="19"/>
      <c r="AQ92" s="19"/>
      <c r="AR92" s="100"/>
      <c r="AS92" s="93"/>
      <c r="AT92" s="109"/>
      <c r="AU92" t="str">
        <f>$Q$22</f>
        <v>L3</v>
      </c>
      <c r="AV92">
        <f>$E$22</f>
        <v>21.375</v>
      </c>
      <c r="AW92" cm="1">
        <f t="array" ref="AW92">IFERROR(IF(AV92=0,0,(INDEX($C$33:$C$38,MATCH($AZ$37,$B$33:$B$38,0),0)*(AV95+$BA$37)+$AW$37*COUNTIF(AV92:AV94,"&gt;0")*$C$32+$AY$37*$C$31)*$AU$37),0)</f>
        <v>0</v>
      </c>
      <c r="AX92">
        <f>IF(AV92=0,0,-(COUNTIF(AV92:AV94,"&gt;0")*$AW$37*$C$32+$AY$37*$C$31)*$H$27*$AU$37)</f>
        <v>0</v>
      </c>
      <c r="AY92">
        <f>IF(AV92=0,0,$AY$37*$H$26*$AU$37)</f>
        <v>0</v>
      </c>
      <c r="AZ92">
        <f>(0.6*AW92+0.7*AX92)*$AU$37/2</f>
        <v>0</v>
      </c>
      <c r="BA92">
        <f>AW92*$AU$37/2</f>
        <v>0</v>
      </c>
      <c r="BC92">
        <f>IF(AV92=0,0,$BG$37*$AP$22)</f>
        <v>0</v>
      </c>
      <c r="BD92">
        <f>IFERROR(BC92/$AU$37,0)</f>
        <v>0</v>
      </c>
      <c r="BE92">
        <f>BC92*($F$22+IF($F$22=0,0,($C$14+$C$15+IF($C$13="single",1.5,3)+3)/12))</f>
        <v>0</v>
      </c>
      <c r="BF92">
        <f>BE92-AZ92</f>
        <v>0</v>
      </c>
      <c r="BG92" cm="1">
        <f t="array" ref="BG92">IFERROR(IF(BF92&lt;0,0,BF92/($AU$37-INDEX(hd_off,MATCH(BT92,hd_mark,0),0)/12)),0)</f>
        <v>0</v>
      </c>
      <c r="BH92">
        <f>IF(AV92=0,0,$BG$37*$AM$22)</f>
        <v>0</v>
      </c>
      <c r="BI92">
        <f>IFERROR(BH92/$AU$37,0)</f>
        <v>0</v>
      </c>
      <c r="BJ92">
        <f>BH92*($F$22+IF($F$22=0,0,($C$14+$C$15+IF($C$13="single",1.5,3)+3)/12))</f>
        <v>0</v>
      </c>
      <c r="BK92">
        <f>BJ92-BA92</f>
        <v>0</v>
      </c>
      <c r="BL92" cm="1">
        <f t="array" ref="BL92">IFERROR(IF(BK92&lt;0,0,BK92/($AU$37-INDEX(hd_off,MATCH(BT92,hd_mark,0),0)/12)),0)</f>
        <v>0</v>
      </c>
      <c r="BM92">
        <f>MAX($F$22,$BC$37)/$Q$52</f>
        <v>0.30172413793103448</v>
      </c>
      <c r="BN92">
        <f t="shared" ref="BN92:BN95" si="61">IF(BM92=0,0,IF(BM92&gt;2,1.25-0.125*BM92,1))</f>
        <v>1</v>
      </c>
      <c r="BO92" cm="1">
        <f t="array" ref="BO92">IFERROR(INDEX(sheath_ecap_asd,MATCH(BS92,sheath_mark,0),0)*BN92,0)</f>
        <v>0</v>
      </c>
      <c r="BP92" cm="1">
        <f t="array" ref="BP92">IFERROR(INDEX(sheath_wcap_asd,MATCH(BS92,sheath_mark,0),0)*BN92,0)</f>
        <v>0</v>
      </c>
      <c r="BQ92" cm="1">
        <f t="array" ref="BQ92">IFERROR(INDEX(hd_cap,MATCH(BT92,hd_mark,0),0),0)</f>
        <v>0</v>
      </c>
      <c r="BS92" s="19"/>
      <c r="BT92" s="19"/>
      <c r="BU92" s="100"/>
    </row>
    <row r="93" spans="16:73" x14ac:dyDescent="0.25">
      <c r="P93" s="93"/>
      <c r="Q93" s="109" t="s">
        <v>491</v>
      </c>
      <c r="R93" t="str">
        <f>$Q$23</f>
        <v>L4</v>
      </c>
      <c r="S93">
        <f>$E$23</f>
        <v>0</v>
      </c>
      <c r="T93" cm="1">
        <f t="array" ref="T93">IFERROR(IF(S93=0,0,(INDEX($C$33:$C$38,MATCH($W$37,$B$33:$B$38,0),0)*(S95+$X$37)+$T$37*COUNTIF(S93:S94,"&gt;0")*$C$32+$V$37*$C$31)*$R$37),0)</f>
        <v>0</v>
      </c>
      <c r="U93">
        <f>IF(S93=0,0,-(COUNTIF(S93:S94,"&gt;0")*$T$37*$C$32+$V$37*$C$31)*$H$27*$R$37)</f>
        <v>0</v>
      </c>
      <c r="V93">
        <f>IF(S93=0,0,$V$37*$H$26*$R$37)</f>
        <v>0</v>
      </c>
      <c r="W93">
        <f>(0.6*T93+0.7*U93)*$R$37/2</f>
        <v>0</v>
      </c>
      <c r="X93">
        <f>T93*$R$37/2</f>
        <v>0</v>
      </c>
      <c r="Z93">
        <f>IF(S93=0,0,$AD$37*$AP$23)</f>
        <v>0</v>
      </c>
      <c r="AA93">
        <f>IFERROR(Z93/$R$37,0)</f>
        <v>0</v>
      </c>
      <c r="AB93">
        <f>Z93*($F$23+IF($F$23=0,0,($C$14+$C$15+IF($C$13="single",1.5,3)+3)/12))</f>
        <v>0</v>
      </c>
      <c r="AC93">
        <f>AB93-W93</f>
        <v>0</v>
      </c>
      <c r="AD93" cm="1">
        <f t="array" ref="AD93">IFERROR(IF(AC93&lt;0,0,AC93/($R$37-INDEX(hd_off,MATCH(AQ93,hd_mark,0),0)/12)),0)</f>
        <v>0</v>
      </c>
      <c r="AE93">
        <f>IF(S93=0,0,$AD$37*$AM$23)</f>
        <v>0</v>
      </c>
      <c r="AF93">
        <f>IFERROR(AE93/$R$37,0)</f>
        <v>0</v>
      </c>
      <c r="AG93">
        <f>AE93*($F$23+IF($F$23=0,0,($C$14+$C$15+IF($C$13="single",1.5,3)+3)/12))</f>
        <v>0</v>
      </c>
      <c r="AH93">
        <f>AG93-X93</f>
        <v>0</v>
      </c>
      <c r="AI93" cm="1">
        <f t="array" ref="AI93">IFERROR(IF(AH93&lt;0,0,AH93/($R$37-INDEX(hd_off,MATCH(AQ93,hd_mark,0),0)/12)),0)</f>
        <v>0</v>
      </c>
      <c r="AJ93">
        <f>MAX($F$23,$AA$37)/$Q$52</f>
        <v>0</v>
      </c>
      <c r="AK93">
        <f t="shared" si="60"/>
        <v>0</v>
      </c>
      <c r="AL93" cm="1">
        <f t="array" ref="AL93">IFERROR(INDEX(sheath_ecap_asd,MATCH(AP93,sheath_mark,0),0)*AK93,0)</f>
        <v>0</v>
      </c>
      <c r="AM93" cm="1">
        <f t="array" ref="AM93">IFERROR(INDEX(sheath_wcap_asd,MATCH(AP93,sheath_mark,0),0)*AK93,0)</f>
        <v>0</v>
      </c>
      <c r="AN93" cm="1">
        <f t="array" ref="AN93">IFERROR(INDEX(hd_cap,MATCH(AQ93,hd_mark,0),0),0)</f>
        <v>0</v>
      </c>
      <c r="AP93" s="19"/>
      <c r="AQ93" s="19"/>
      <c r="AR93" s="100"/>
      <c r="AS93" s="93"/>
      <c r="AT93" s="109" t="s">
        <v>491</v>
      </c>
      <c r="AU93" t="str">
        <f>$Q$23</f>
        <v>L4</v>
      </c>
      <c r="AV93">
        <f>$E$23</f>
        <v>0</v>
      </c>
      <c r="AW93" cm="1">
        <f t="array" ref="AW93">IFERROR(IF(AV93=0,0,(INDEX($C$33:$C$38,MATCH($AZ$37,$B$33:$B$38,0),0)*(AV95+$BA$37)+$AW$37*COUNTIF(AV93:AV94,"&gt;0")*$C$32+$AY$37*$C$31)*$AU$37),0)</f>
        <v>0</v>
      </c>
      <c r="AX93">
        <f>IF(AV93=0,0,-(COUNTIF(AV93:AV94,"&gt;0")*$AW$37*$C$32+$AY$37*$C$31)*$H$27*$AU$37)</f>
        <v>0</v>
      </c>
      <c r="AY93">
        <f>IF(AV93=0,0,$AY$37*$H$26*$AU$37)</f>
        <v>0</v>
      </c>
      <c r="AZ93">
        <f>(0.6*AW93+0.7*AX93)*$AU$37/2</f>
        <v>0</v>
      </c>
      <c r="BA93">
        <f>AW93*$AU$37/2</f>
        <v>0</v>
      </c>
      <c r="BC93">
        <f>IF(AV93=0,0,$BG$37*$AP$23)</f>
        <v>0</v>
      </c>
      <c r="BD93">
        <f>IFERROR(BC93/$AU$37,0)</f>
        <v>0</v>
      </c>
      <c r="BE93">
        <f>BC93*($F$23+IF($F$23=0,0,($C$14+$C$15+IF($C$13="single",1.5,3)+3)/12))</f>
        <v>0</v>
      </c>
      <c r="BF93">
        <f>BE93-AZ93</f>
        <v>0</v>
      </c>
      <c r="BG93" cm="1">
        <f t="array" ref="BG93">IFERROR(IF(BF93&lt;0,0,BF93/($AU$37-INDEX(hd_off,MATCH(BT93,hd_mark,0),0)/12)),0)</f>
        <v>0</v>
      </c>
      <c r="BH93">
        <f>IF(AV93=0,0,$BG$37*$AM$23)</f>
        <v>0</v>
      </c>
      <c r="BI93">
        <f>IFERROR(BH93/$AU$37,0)</f>
        <v>0</v>
      </c>
      <c r="BJ93">
        <f>BH93*($F$23+IF($F$23=0,0,($C$14+$C$15+IF($C$13="single",1.5,3)+3)/12))</f>
        <v>0</v>
      </c>
      <c r="BK93">
        <f>BJ93-BA93</f>
        <v>0</v>
      </c>
      <c r="BL93" cm="1">
        <f t="array" ref="BL93">IFERROR(IF(BK93&lt;0,0,BK93/($AU$37-INDEX(hd_off,MATCH(BT93,hd_mark,0),0)/12)),0)</f>
        <v>0</v>
      </c>
      <c r="BM93">
        <f>MAX($F$23,$BD$37)/$Q$52</f>
        <v>0</v>
      </c>
      <c r="BN93">
        <f t="shared" si="61"/>
        <v>0</v>
      </c>
      <c r="BO93" cm="1">
        <f t="array" ref="BO93">IFERROR(INDEX(sheath_ecap_asd,MATCH(BS93,sheath_mark,0),0)*BN93,0)</f>
        <v>0</v>
      </c>
      <c r="BP93" cm="1">
        <f t="array" ref="BP93">IFERROR(INDEX(sheath_wcap_asd,MATCH(BS93,sheath_mark,0),0)*BN93,0)</f>
        <v>0</v>
      </c>
      <c r="BQ93" cm="1">
        <f t="array" ref="BQ93">IFERROR(INDEX(hd_cap,MATCH(BT93,hd_mark,0),0),0)</f>
        <v>0</v>
      </c>
      <c r="BS93" s="19"/>
      <c r="BT93" s="19"/>
      <c r="BU93" s="100"/>
    </row>
    <row r="94" spans="16:73" x14ac:dyDescent="0.25">
      <c r="P94" s="93"/>
      <c r="Q94" s="111">
        <f>$R$37</f>
        <v>0</v>
      </c>
      <c r="R94" t="str">
        <f>$Q$24</f>
        <v>L5</v>
      </c>
      <c r="S94">
        <f>$E$24</f>
        <v>0</v>
      </c>
      <c r="T94" cm="1">
        <f t="array" ref="T94">IFERROR(IF(S94=0,0,(INDEX($C$33:$C$38,MATCH($W$37,$B$33:$B$38,0),0)*(S95+$X$37)+$T$37*COUNTIF(S94:S94,"&gt;0")*$C$32+$V$37*$C$31)*$R$37),0)</f>
        <v>0</v>
      </c>
      <c r="U94">
        <f>IF(S94=0,0,-(COUNTIF(S94:S94,"&gt;0")*$T$37*$C$32+$V$37*$C$31)*$H$27*$R$37)</f>
        <v>0</v>
      </c>
      <c r="V94">
        <f>IF(S94=0,0,$V$37*$H$26*$R$37)</f>
        <v>0</v>
      </c>
      <c r="W94">
        <f>(0.6*T94+0.7*U94)*$R$37/2</f>
        <v>0</v>
      </c>
      <c r="X94">
        <f>T94*$R$37/2</f>
        <v>0</v>
      </c>
      <c r="Z94">
        <f>IF(S94=0,0,$AD$37*$AP$24)</f>
        <v>0</v>
      </c>
      <c r="AA94">
        <f>IFERROR(Z94/$R$37,0)</f>
        <v>0</v>
      </c>
      <c r="AB94">
        <f>Z94*($F$24+IF($F$24=0,0,($C$14+$C$15+IF($C$13="single",1.5,3)+3)/12))</f>
        <v>0</v>
      </c>
      <c r="AC94">
        <f>AB94-W94</f>
        <v>0</v>
      </c>
      <c r="AD94" cm="1">
        <f t="array" ref="AD94">IFERROR(IF(AC94&lt;0,0,AC94/($R$37-INDEX(hd_off,MATCH(AQ94,hd_mark,0),0)/12)),0)</f>
        <v>0</v>
      </c>
      <c r="AE94">
        <f>IF(S94=0,0,$AD$37*$AM$24)</f>
        <v>0</v>
      </c>
      <c r="AF94">
        <f>IFERROR(AE94/$R$37,0)</f>
        <v>0</v>
      </c>
      <c r="AG94">
        <f>AE94*($F$24+IF($F$24=0,0,($C$14+$C$15+IF($C$13="single",1.5,3)+3)/12))</f>
        <v>0</v>
      </c>
      <c r="AH94">
        <f>AG94-X94</f>
        <v>0</v>
      </c>
      <c r="AI94" cm="1">
        <f t="array" ref="AI94">IFERROR(IF(AH94&lt;0,0,AH94/($R$37-INDEX(hd_off,MATCH(AQ94,hd_mark,0),0)/12)),0)</f>
        <v>0</v>
      </c>
      <c r="AJ94">
        <f>MAX($F$24,$AB$37)/$Q$52</f>
        <v>0</v>
      </c>
      <c r="AK94">
        <f t="shared" si="60"/>
        <v>0</v>
      </c>
      <c r="AL94" cm="1">
        <f t="array" ref="AL94">IFERROR(INDEX(sheath_ecap_asd,MATCH(AP94,sheath_mark,0),0)*AK94,0)</f>
        <v>0</v>
      </c>
      <c r="AM94" cm="1">
        <f t="array" ref="AM94">IFERROR(INDEX(sheath_wcap_asd,MATCH(AP94,sheath_mark,0),0)*AK94,0)</f>
        <v>0</v>
      </c>
      <c r="AN94" cm="1">
        <f t="array" ref="AN94">IFERROR(INDEX(hd_cap,MATCH(AQ94,hd_mark,0),0),0)</f>
        <v>0</v>
      </c>
      <c r="AP94" s="19"/>
      <c r="AQ94" s="19"/>
      <c r="AR94" s="100"/>
      <c r="AS94" s="93"/>
      <c r="AT94" s="111">
        <f>$R$37</f>
        <v>0</v>
      </c>
      <c r="AU94" t="str">
        <f>$Q$24</f>
        <v>L5</v>
      </c>
      <c r="AV94">
        <f>$E$24</f>
        <v>0</v>
      </c>
      <c r="AW94" cm="1">
        <f t="array" ref="AW94">IFERROR(IF(AV94=0,0,(INDEX($C$33:$C$38,MATCH($AZ$37,$B$33:$B$38,0),0)*(AV95+$BA$37)+$AW$37*COUNTIF(AV94:AV94,"&gt;0")*$C$32+$AY$37*$C$31)*$AU$37),0)</f>
        <v>0</v>
      </c>
      <c r="AX94">
        <f>IF(AV94=0,0,-(COUNTIF(AV94:AV94,"&gt;0")*$AW$37*$C$32+$AY$37*$C$31)*$H$27*$AU$37)</f>
        <v>0</v>
      </c>
      <c r="AY94">
        <f>IF(AV94=0,0,$AY$37*$H$26*$AU$37)</f>
        <v>0</v>
      </c>
      <c r="AZ94">
        <f>(0.6*AW94+0.7*AX94)*$AU$37/2</f>
        <v>0</v>
      </c>
      <c r="BA94">
        <f>AW94*$AU$37/2</f>
        <v>0</v>
      </c>
      <c r="BC94">
        <f>IF(AV94=0,0,$BG$37*$AP$24)</f>
        <v>0</v>
      </c>
      <c r="BD94">
        <f>IFERROR(BC94/$AU$37,0)</f>
        <v>0</v>
      </c>
      <c r="BE94">
        <f>BC94*($F$24+IF($F$24=0,0,($C$14+$C$15+IF($C$13="single",1.5,3)+3)/12))</f>
        <v>0</v>
      </c>
      <c r="BF94">
        <f>BE94-AZ94</f>
        <v>0</v>
      </c>
      <c r="BG94" cm="1">
        <f t="array" ref="BG94">IFERROR(IF(BF94&lt;0,0,BF94/($AU$37-INDEX(hd_off,MATCH(BT94,hd_mark,0),0)/12)),0)</f>
        <v>0</v>
      </c>
      <c r="BH94">
        <f>IF(AV94=0,0,$BG$37*$AM$24)</f>
        <v>0</v>
      </c>
      <c r="BI94">
        <f>IFERROR(BH94/$AU$37,0)</f>
        <v>0</v>
      </c>
      <c r="BJ94">
        <f>BH94*($F$24+IF($F$24=0,0,($C$14+$C$15+IF($C$13="single",1.5,3)+3)/12))</f>
        <v>0</v>
      </c>
      <c r="BK94">
        <f>BJ94-BA94</f>
        <v>0</v>
      </c>
      <c r="BL94" cm="1">
        <f t="array" ref="BL94">IFERROR(IF(BK94&lt;0,0,BK94/($AU$37-INDEX(hd_off,MATCH(BT94,hd_mark,0),0)/12)),0)</f>
        <v>0</v>
      </c>
      <c r="BM94">
        <f>MAX($F$24,$BE$37)/$Q$52</f>
        <v>0</v>
      </c>
      <c r="BN94">
        <f t="shared" si="61"/>
        <v>0</v>
      </c>
      <c r="BO94" cm="1">
        <f t="array" ref="BO94">IFERROR(INDEX(sheath_ecap_asd,MATCH(BS94,sheath_mark,0),0)*BN94,0)</f>
        <v>0</v>
      </c>
      <c r="BP94" cm="1">
        <f t="array" ref="BP94">IFERROR(INDEX(sheath_wcap_asd,MATCH(BS94,sheath_mark,0),0)*BN94,0)</f>
        <v>0</v>
      </c>
      <c r="BQ94" cm="1">
        <f t="array" ref="BQ94">IFERROR(INDEX(hd_cap,MATCH(BT94,hd_mark,0),0),0)</f>
        <v>0</v>
      </c>
      <c r="BS94" s="19"/>
      <c r="BT94" s="19"/>
      <c r="BU94" s="100"/>
    </row>
    <row r="95" spans="16:73" x14ac:dyDescent="0.25">
      <c r="P95" s="93"/>
      <c r="Q95" s="109"/>
      <c r="R95" t="str">
        <f>$Q$25</f>
        <v>Roof</v>
      </c>
      <c r="S95">
        <f>$E$25</f>
        <v>33.171875</v>
      </c>
      <c r="T95" cm="1">
        <f t="array" ref="T95">IFERROR(IF(S95=0,0,(INDEX($C$33:$C$38,MATCH($W$37,$B$33:$B$38,0),0)*(S95+$X$37)+$V$37*$C$31)*$R$37),0)</f>
        <v>0</v>
      </c>
      <c r="U95">
        <f>IF(S95=0,0,-$V$37*$C$31*$H$27*$R$37)</f>
        <v>0</v>
      </c>
      <c r="V95">
        <f>IF(S95=0,0,$V$37*$H$26*$R$37)</f>
        <v>0</v>
      </c>
      <c r="W95">
        <f>(0.6*T95+0.7*U95)*$R$37/2</f>
        <v>0</v>
      </c>
      <c r="X95">
        <f>T95*$R$37/2</f>
        <v>0</v>
      </c>
      <c r="Z95">
        <f>IF(S95=0,0,$AD$37*$AP$25)</f>
        <v>0</v>
      </c>
      <c r="AA95">
        <f>IFERROR(Z95/$R$37,0)</f>
        <v>0</v>
      </c>
      <c r="AB95">
        <f>Z95*($F$25+($C$16+$C$17+IF($C$13="single",1.5,3)+3)/12)</f>
        <v>0</v>
      </c>
      <c r="AC95">
        <f>AB95-W95</f>
        <v>0</v>
      </c>
      <c r="AD95" cm="1">
        <f t="array" ref="AD95">IFERROR(IF(AC95&lt;0,0,AC95/($R$37-INDEX(hd_off,MATCH(AQ95,hd_mark,0),0)/12)),0)</f>
        <v>0</v>
      </c>
      <c r="AE95">
        <f>IF(S95=0,0,$AD$37*$AM$25)</f>
        <v>0</v>
      </c>
      <c r="AF95">
        <f>IFERROR(AE95/$R$37,0)</f>
        <v>0</v>
      </c>
      <c r="AG95">
        <f>AE95*($F$25+($C$16+$C$17+IF($C$13="single",1.5,3)+3)/12)</f>
        <v>0</v>
      </c>
      <c r="AH95">
        <f>AG95-X95</f>
        <v>0</v>
      </c>
      <c r="AI95" cm="1">
        <f t="array" ref="AI95">IFERROR(IF(AH95&lt;0,0,AH95/($R$37-INDEX(hd_off,MATCH(AQ95,hd_mark,0),0)/12)),0)</f>
        <v>0</v>
      </c>
      <c r="AJ95">
        <f>MAX($F$25,$AC$37)/$Q$52</f>
        <v>0.29920977011494249</v>
      </c>
      <c r="AK95">
        <f t="shared" si="60"/>
        <v>1</v>
      </c>
      <c r="AL95" cm="1">
        <f t="array" ref="AL95">IFERROR(INDEX(sheath_ecap_asd,MATCH(AP95,sheath_mark,0),0)*AK95,0)</f>
        <v>0</v>
      </c>
      <c r="AM95" cm="1">
        <f t="array" ref="AM95">IFERROR(INDEX(sheath_wcap_asd,MATCH(AP95,sheath_mark,0),0)*AK95,0)</f>
        <v>0</v>
      </c>
      <c r="AN95" cm="1">
        <f t="array" ref="AN95">IFERROR(INDEX(hd_cap,MATCH(AQ95,hd_mark,0),0),0)</f>
        <v>0</v>
      </c>
      <c r="AP95" s="19"/>
      <c r="AQ95" s="19"/>
      <c r="AR95" s="100"/>
      <c r="AS95" s="93"/>
      <c r="AT95" s="109"/>
      <c r="AU95" t="str">
        <f>$Q$25</f>
        <v>Roof</v>
      </c>
      <c r="AV95">
        <f>$E$25</f>
        <v>33.171875</v>
      </c>
      <c r="AW95" cm="1">
        <f t="array" ref="AW95">IFERROR(IF(AV95=0,0,(INDEX($C$33:$C$38,MATCH($AZ$37,$B$33:$B$38,0),0)*(AV95+$BA$37)+$AY$37*$C$31)*$AU$37),0)</f>
        <v>0</v>
      </c>
      <c r="AX95">
        <f>IF(AV95=0,0,-$AY$37*$C$31*$H$27*$AU$37)</f>
        <v>0</v>
      </c>
      <c r="AY95">
        <f>IF(AV95=0,0,$AY$37*$H$26*$AU$37)</f>
        <v>0</v>
      </c>
      <c r="AZ95">
        <f>(0.6*AW95+0.7*AX95)*$AU$37/2</f>
        <v>0</v>
      </c>
      <c r="BA95">
        <f>AW95*$AU$37/2</f>
        <v>0</v>
      </c>
      <c r="BC95">
        <f>IF(AV95=0,0,$BG$37*$AP$25)</f>
        <v>0</v>
      </c>
      <c r="BD95">
        <f>IFERROR(BC95/$AU$37,0)</f>
        <v>0</v>
      </c>
      <c r="BE95">
        <f>BC95*($F$25+($C$16+$C$17+IF($C$13="single",1.5,3)+3)/12)</f>
        <v>0</v>
      </c>
      <c r="BF95">
        <f>BE95-AZ95</f>
        <v>0</v>
      </c>
      <c r="BG95" cm="1">
        <f t="array" ref="BG95">IFERROR(IF(BF95&lt;0,0,BF95/($AU$37-INDEX(hd_off,MATCH(BT95,hd_mark,0),0)/12)),0)</f>
        <v>0</v>
      </c>
      <c r="BH95">
        <f>IF(AV95=0,0,$BG$37*$AM$25)</f>
        <v>0</v>
      </c>
      <c r="BI95">
        <f>IFERROR(BH95/$AU$37,0)</f>
        <v>0</v>
      </c>
      <c r="BJ95">
        <f>BH95*($F$25+($C$16+$C$17+IF($C$13="single",1.5,3)+3)/12)</f>
        <v>0</v>
      </c>
      <c r="BK95">
        <f>BJ95-BA95</f>
        <v>0</v>
      </c>
      <c r="BL95" cm="1">
        <f t="array" ref="BL95">IFERROR(IF(BK95&lt;0,0,BK95/($AU$37-INDEX(hd_off,MATCH(BT95,hd_mark,0),0)/12)),0)</f>
        <v>0</v>
      </c>
      <c r="BM95">
        <f>MAX($F$25,$BF$37)/$Q$52</f>
        <v>0.29920977011494249</v>
      </c>
      <c r="BN95">
        <f t="shared" si="61"/>
        <v>1</v>
      </c>
      <c r="BO95" cm="1">
        <f t="array" ref="BO95">IFERROR(INDEX(sheath_ecap_asd,MATCH(BS95,sheath_mark,0),0)*BN95,0)</f>
        <v>0</v>
      </c>
      <c r="BP95" cm="1">
        <f t="array" ref="BP95">IFERROR(INDEX(sheath_wcap_asd,MATCH(BS95,sheath_mark,0),0)*BN95,0)</f>
        <v>0</v>
      </c>
      <c r="BQ95" cm="1">
        <f t="array" ref="BQ95">IFERROR(INDEX(hd_cap,MATCH(BT95,hd_mark,0),0),0)</f>
        <v>0</v>
      </c>
      <c r="BS95" s="19"/>
      <c r="BT95" s="19"/>
      <c r="BU95" s="100"/>
    </row>
    <row r="96" spans="16:73" x14ac:dyDescent="0.25">
      <c r="P96" s="93"/>
      <c r="AR96" s="100"/>
      <c r="AS96" s="93"/>
      <c r="BU96" s="100"/>
    </row>
    <row r="97" spans="16:73" x14ac:dyDescent="0.25">
      <c r="P97" s="93"/>
      <c r="Q97" s="110" t="str">
        <f>$Q$38</f>
        <v>A.09</v>
      </c>
      <c r="R97" t="str">
        <f>$Q$21</f>
        <v>L2</v>
      </c>
      <c r="S97">
        <f>$E$21</f>
        <v>10.6875</v>
      </c>
      <c r="T97" cm="1">
        <f t="array" ref="T97">IFERROR(IF(S97=0,0,(INDEX($C$33:$C$38,MATCH($W$38,$B$33:$B$38,0),0)*(S101+$X$38)+$T$38*COUNTIF(S97:S100,"&gt;0")*$C$32+$V$38*$C$31)*$R$38),0)</f>
        <v>0</v>
      </c>
      <c r="U97">
        <f>IF(S97=0,0,-(COUNTIF(S97:S100,"&gt;0")*$T$38*$C$32+$V$38*$C$31)*$H$27*$R$38)</f>
        <v>0</v>
      </c>
      <c r="V97">
        <f>IF(S97=0,0,$V$38*$H$26*$R$38)</f>
        <v>0</v>
      </c>
      <c r="W97">
        <f>(0.6*T97+0.7*U97)*$R$38/2</f>
        <v>0</v>
      </c>
      <c r="X97">
        <f>(0.6*T97+0.6*V97)*$R$38/2</f>
        <v>0</v>
      </c>
      <c r="Z97">
        <f>IF(S97=0,0,$AD$38*$AP$21)</f>
        <v>0</v>
      </c>
      <c r="AA97">
        <f>IFERROR(Z97/$R$38,0)</f>
        <v>0</v>
      </c>
      <c r="AB97">
        <f>Z97*($F$21+IF($F$21=0,0,($C$14+$C$15+IF($C$13="single",1.5,3)+3)/12))</f>
        <v>0</v>
      </c>
      <c r="AC97">
        <f>AB97-W97</f>
        <v>0</v>
      </c>
      <c r="AD97" cm="1">
        <f t="array" ref="AD97">IFERROR(IF(AC97&lt;0,0,AC97/($R$38-INDEX(hd_off,MATCH(AQ97,hd_mark,0),0)/12)),0)</f>
        <v>0</v>
      </c>
      <c r="AE97">
        <f>IF(S97=0,0,$AD$38*$AM$21)</f>
        <v>0</v>
      </c>
      <c r="AF97">
        <f>IFERROR(AE97/$R$38,0)</f>
        <v>0</v>
      </c>
      <c r="AG97">
        <f>AE97*($F$21+IF($F$21=0,0,($C$14+$C$15+IF($C$13="single",1.5,3)+3)/12))</f>
        <v>0</v>
      </c>
      <c r="AH97">
        <f>AG97-X97</f>
        <v>0</v>
      </c>
      <c r="AI97" cm="1">
        <f t="array" ref="AI97">IFERROR(IF(AH97&lt;0,0,AH97/($R$38-INDEX(hd_off,MATCH(AQ97,hd_mark,0),0)/12)),0)</f>
        <v>0</v>
      </c>
      <c r="AJ97">
        <f>MAX($F$21,$Y$38)/$Q$52</f>
        <v>0.30172413793103448</v>
      </c>
      <c r="AK97">
        <f>IF(AJ97=0,0,IF(AJ97&gt;2,1.25-0.125*AJ97,1))</f>
        <v>1</v>
      </c>
      <c r="AL97" cm="1">
        <f t="array" ref="AL97">IFERROR(INDEX(sheath_ecap_asd,MATCH(AP97,sheath_mark,0),0)*AK97,0)</f>
        <v>0</v>
      </c>
      <c r="AM97" cm="1">
        <f t="array" ref="AM97">IFERROR(INDEX(sheath_wcap_asd,MATCH(AP97,sheath_mark,0),0)*AK97,0)</f>
        <v>0</v>
      </c>
      <c r="AN97" cm="1">
        <f t="array" ref="AN97">IFERROR(INDEX(hd_cap,MATCH(AQ97,hd_mark,0),0),0)</f>
        <v>0</v>
      </c>
      <c r="AP97" s="19"/>
      <c r="AQ97" s="19"/>
      <c r="AR97" s="100"/>
      <c r="AS97" s="93"/>
      <c r="AT97" s="110" t="str">
        <f>$AT$38</f>
        <v>1.09</v>
      </c>
      <c r="AU97" t="str">
        <f>$Q$21</f>
        <v>L2</v>
      </c>
      <c r="AV97">
        <f>$E$21</f>
        <v>10.6875</v>
      </c>
      <c r="AW97" cm="1">
        <f t="array" ref="AW97">IFERROR(IF(AV97=0,0,(INDEX($C$33:$C$38,MATCH($AZ$38,$B$33:$B$38,0),0)*(AV101+$BA$38)+$AW$38*COUNTIF(AV97:AV100,"&gt;0")*$C$32+$AY$38*$C$31)*$AU$38),0)</f>
        <v>0</v>
      </c>
      <c r="AX97">
        <f>IF(AV97=0,0,-(COUNTIF(AV97:AV100,"&gt;0")*$AW$38*$C$32+$AY$38*$C$31)*$H$27*$AU$38)</f>
        <v>0</v>
      </c>
      <c r="AY97">
        <f>IF(AV97=0,0,$AY$38*$H$26*$AU$38)</f>
        <v>0</v>
      </c>
      <c r="AZ97">
        <f>(0.6*AW97+0.7*AX97)*$AU$38/2</f>
        <v>0</v>
      </c>
      <c r="BA97">
        <f>(0.6*AW97+0.6*AY97)*$AU$38/2</f>
        <v>0</v>
      </c>
      <c r="BC97">
        <f>IF(AV97=0,0,$BG$38*$AP$21)</f>
        <v>0</v>
      </c>
      <c r="BD97">
        <f>IFERROR(BC97/$AU$38,0)</f>
        <v>0</v>
      </c>
      <c r="BE97">
        <f>BC97*($F$21+IF($F$21=0,0,($C$14+$C$15+IF($C$13="single",1.5,3)+3)/12))</f>
        <v>0</v>
      </c>
      <c r="BF97">
        <f>BE97-AZ97</f>
        <v>0</v>
      </c>
      <c r="BG97" cm="1">
        <f t="array" ref="BG97">IFERROR(IF(BF97&lt;0,0,BF97/($AU$38-INDEX(hd_off,MATCH(BT97,hd_mark,0),0)/12)),0)</f>
        <v>0</v>
      </c>
      <c r="BH97">
        <f>IF(AV97=0,0,$BG$38*$AM$21)</f>
        <v>0</v>
      </c>
      <c r="BI97">
        <f>IFERROR(BH97/$AU$38,0)</f>
        <v>0</v>
      </c>
      <c r="BJ97">
        <f>BH97*($F$21+IF($F$21=0,0,($C$14+$C$15+IF($C$13="single",1.5,3)+3)/12))</f>
        <v>0</v>
      </c>
      <c r="BK97">
        <f>BJ97-BA97</f>
        <v>0</v>
      </c>
      <c r="BL97" cm="1">
        <f t="array" ref="BL97">IFERROR(IF(BK97&lt;0,0,BK97/($AU$38-INDEX(hd_off,MATCH(BT97,hd_mark,0),0)/12)),0)</f>
        <v>0</v>
      </c>
      <c r="BM97">
        <f>MAX($F$21,$BB$38)/$Q$52</f>
        <v>0.30172413793103448</v>
      </c>
      <c r="BN97">
        <f>IF(BM97=0,0,IF(BM97&gt;2,1.25-0.125*BM97,1))</f>
        <v>1</v>
      </c>
      <c r="BO97" cm="1">
        <f t="array" ref="BO97">IFERROR(INDEX(sheath_ecap_asd,MATCH(BS97,sheath_mark,0),0)*BN97,0)</f>
        <v>0</v>
      </c>
      <c r="BP97" cm="1">
        <f t="array" ref="BP97">IFERROR(INDEX(sheath_wcap_asd,MATCH(BS97,sheath_mark,0),0)*BN97,0)</f>
        <v>0</v>
      </c>
      <c r="BQ97" cm="1">
        <f t="array" ref="BQ97">IFERROR(INDEX(hd_cap,MATCH(BT97,hd_mark,0),0),0)</f>
        <v>0</v>
      </c>
      <c r="BS97" s="19"/>
      <c r="BT97" s="19"/>
      <c r="BU97" s="100"/>
    </row>
    <row r="98" spans="16:73" x14ac:dyDescent="0.25">
      <c r="P98" s="93"/>
      <c r="Q98" s="109"/>
      <c r="R98" t="str">
        <f>$Q$22</f>
        <v>L3</v>
      </c>
      <c r="S98">
        <f>$E$22</f>
        <v>21.375</v>
      </c>
      <c r="T98" cm="1">
        <f t="array" ref="T98">IFERROR(IF(S98=0,0,(INDEX($C$33:$C$38,MATCH($W$38,$B$33:$B$38,0),0)*(S101+$X$38)+$T$38*COUNTIF(S98:S100,"&gt;0")*$C$32+$V$38*$C$31)*$R$38),0)</f>
        <v>0</v>
      </c>
      <c r="U98">
        <f>IF(S98=0,0,-(COUNTIF(S98:S100,"&gt;0")*$T$38*$C$32+$V$38*$C$31)*$H$27*$R$38)</f>
        <v>0</v>
      </c>
      <c r="V98">
        <f>IF(S98=0,0,$V$38*$H$26*$R$38)</f>
        <v>0</v>
      </c>
      <c r="W98">
        <f>(0.6*T98+0.7*U98)*$R$38/2</f>
        <v>0</v>
      </c>
      <c r="X98">
        <f>T98*$R$38/2</f>
        <v>0</v>
      </c>
      <c r="Z98">
        <f>IF(S98=0,0,$AD$38*$AP$22)</f>
        <v>0</v>
      </c>
      <c r="AA98">
        <f>IFERROR(Z98/$R$38,0)</f>
        <v>0</v>
      </c>
      <c r="AB98">
        <f>Z98*($F$22+IF($F$22=0,0,($C$14+$C$15+IF($C$13="single",1.5,3)+3)/12))</f>
        <v>0</v>
      </c>
      <c r="AC98">
        <f>AB98-W98</f>
        <v>0</v>
      </c>
      <c r="AD98" cm="1">
        <f t="array" ref="AD98">IFERROR(IF(AC98&lt;0,0,AC98/($R$38-INDEX(hd_off,MATCH(AQ98,hd_mark,0),0)/12)),0)</f>
        <v>0</v>
      </c>
      <c r="AE98">
        <f>IF(S98=0,0,$AD$38*$AM$22)</f>
        <v>0</v>
      </c>
      <c r="AF98">
        <f>IFERROR(AE98/$R$38,0)</f>
        <v>0</v>
      </c>
      <c r="AG98">
        <f>AE98*($F$22+IF($F$22=0,0,($C$14+$C$15+IF($C$13="single",1.5,3)+3)/12))</f>
        <v>0</v>
      </c>
      <c r="AH98">
        <f>AG98-X98</f>
        <v>0</v>
      </c>
      <c r="AI98" cm="1">
        <f t="array" ref="AI98">IFERROR(IF(AH98&lt;0,0,AH98/($R$38-INDEX(hd_off,MATCH(AQ98,hd_mark,0),0)/12)),0)</f>
        <v>0</v>
      </c>
      <c r="AJ98">
        <f>MAX($F$22,$Z$38)/$Q$52</f>
        <v>0.30172413793103448</v>
      </c>
      <c r="AK98">
        <f t="shared" ref="AK98:AK101" si="62">IF(AJ98=0,0,IF(AJ98&gt;2,1.25-0.125*AJ98,1))</f>
        <v>1</v>
      </c>
      <c r="AL98" cm="1">
        <f t="array" ref="AL98">IFERROR(INDEX(sheath_ecap_asd,MATCH(AP98,sheath_mark,0),0)*AK98,0)</f>
        <v>0</v>
      </c>
      <c r="AM98" cm="1">
        <f t="array" ref="AM98">IFERROR(INDEX(sheath_wcap_asd,MATCH(AP98,sheath_mark,0),0)*AK98,0)</f>
        <v>0</v>
      </c>
      <c r="AN98" cm="1">
        <f t="array" ref="AN98">IFERROR(INDEX(hd_cap,MATCH(AQ98,hd_mark,0),0),0)</f>
        <v>0</v>
      </c>
      <c r="AP98" s="19"/>
      <c r="AQ98" s="19"/>
      <c r="AR98" s="100"/>
      <c r="AS98" s="93"/>
      <c r="AT98" s="109"/>
      <c r="AU98" t="str">
        <f>$Q$22</f>
        <v>L3</v>
      </c>
      <c r="AV98">
        <f>$E$22</f>
        <v>21.375</v>
      </c>
      <c r="AW98" cm="1">
        <f t="array" ref="AW98">IFERROR(IF(AV98=0,0,(INDEX($C$33:$C$38,MATCH($AZ$38,$B$33:$B$38,0),0)*(AV101+$BA$38)+$AW$38*COUNTIF(AV98:AV100,"&gt;0")*$C$32+$AY$38*$C$31)*$AU$38),0)</f>
        <v>0</v>
      </c>
      <c r="AX98">
        <f>IF(AV98=0,0,-(COUNTIF(AV98:AV100,"&gt;0")*$AW$38*$C$32+$AY$38*$C$31)*$H$27*$AU$38)</f>
        <v>0</v>
      </c>
      <c r="AY98">
        <f>IF(AV98=0,0,$AY$38*$H$26*$AU$38)</f>
        <v>0</v>
      </c>
      <c r="AZ98">
        <f>(0.6*AW98+0.7*AX98)*$AU$38/2</f>
        <v>0</v>
      </c>
      <c r="BA98">
        <f>AW98*$AU$38/2</f>
        <v>0</v>
      </c>
      <c r="BC98">
        <f>IF(AV98=0,0,$BG$38*$AP$22)</f>
        <v>0</v>
      </c>
      <c r="BD98">
        <f>IFERROR(BC98/$AU$38,0)</f>
        <v>0</v>
      </c>
      <c r="BE98">
        <f>BC98*($F$22+IF($F$22=0,0,($C$14+$C$15+IF($C$13="single",1.5,3)+3)/12))</f>
        <v>0</v>
      </c>
      <c r="BF98">
        <f>BE98-AZ98</f>
        <v>0</v>
      </c>
      <c r="BG98" cm="1">
        <f t="array" ref="BG98">IFERROR(IF(BF98&lt;0,0,BF98/($AU$38-INDEX(hd_off,MATCH(BT98,hd_mark,0),0)/12)),0)</f>
        <v>0</v>
      </c>
      <c r="BH98">
        <f>IF(AV98=0,0,$BG$38*$AM$22)</f>
        <v>0</v>
      </c>
      <c r="BI98">
        <f>IFERROR(BH98/$AU$38,0)</f>
        <v>0</v>
      </c>
      <c r="BJ98">
        <f>BH98*($F$22+IF($F$22=0,0,($C$14+$C$15+IF($C$13="single",1.5,3)+3)/12))</f>
        <v>0</v>
      </c>
      <c r="BK98">
        <f>BJ98-BA98</f>
        <v>0</v>
      </c>
      <c r="BL98" cm="1">
        <f t="array" ref="BL98">IFERROR(IF(BK98&lt;0,0,BK98/($AU$38-INDEX(hd_off,MATCH(BT98,hd_mark,0),0)/12)),0)</f>
        <v>0</v>
      </c>
      <c r="BM98">
        <f>MAX($F$22,$BC$38)/$Q$52</f>
        <v>0.30172413793103448</v>
      </c>
      <c r="BN98">
        <f t="shared" ref="BN98:BN101" si="63">IF(BM98=0,0,IF(BM98&gt;2,1.25-0.125*BM98,1))</f>
        <v>1</v>
      </c>
      <c r="BO98" cm="1">
        <f t="array" ref="BO98">IFERROR(INDEX(sheath_ecap_asd,MATCH(BS98,sheath_mark,0),0)*BN98,0)</f>
        <v>0</v>
      </c>
      <c r="BP98" cm="1">
        <f t="array" ref="BP98">IFERROR(INDEX(sheath_wcap_asd,MATCH(BS98,sheath_mark,0),0)*BN98,0)</f>
        <v>0</v>
      </c>
      <c r="BQ98" cm="1">
        <f t="array" ref="BQ98">IFERROR(INDEX(hd_cap,MATCH(BT98,hd_mark,0),0),0)</f>
        <v>0</v>
      </c>
      <c r="BS98" s="19"/>
      <c r="BT98" s="19"/>
      <c r="BU98" s="100"/>
    </row>
    <row r="99" spans="16:73" x14ac:dyDescent="0.25">
      <c r="P99" s="93"/>
      <c r="Q99" s="109" t="s">
        <v>491</v>
      </c>
      <c r="R99" t="str">
        <f>$Q$23</f>
        <v>L4</v>
      </c>
      <c r="S99">
        <f>$E$23</f>
        <v>0</v>
      </c>
      <c r="T99" cm="1">
        <f t="array" ref="T99">IFERROR(IF(S99=0,0,(INDEX($C$33:$C$38,MATCH($W$38,$B$33:$B$38,0),0)*(S101+$X$38)+$T$38*COUNTIF(S99:S100,"&gt;0")*$C$32+$V$38*$C$31)*$R$38),0)</f>
        <v>0</v>
      </c>
      <c r="U99">
        <f>IF(S99=0,0,-(COUNTIF(S99:S100,"&gt;0")*$T$38*$C$32+$V$38*$C$31)*$H$27*$R$38)</f>
        <v>0</v>
      </c>
      <c r="V99">
        <f>IF(S99=0,0,$V$38*$H$26*$R$38)</f>
        <v>0</v>
      </c>
      <c r="W99">
        <f>(0.6*T99+0.7*U99)*$R$38/2</f>
        <v>0</v>
      </c>
      <c r="X99">
        <f>T99*$R$38/2</f>
        <v>0</v>
      </c>
      <c r="Z99">
        <f>IF(S99=0,0,$AD$38*$AP$23)</f>
        <v>0</v>
      </c>
      <c r="AA99">
        <f>IFERROR(Z99/$R$38,0)</f>
        <v>0</v>
      </c>
      <c r="AB99">
        <f>Z99*($F$23+IF($F$23=0,0,($C$14+$C$15+IF($C$13="single",1.5,3)+3)/12))</f>
        <v>0</v>
      </c>
      <c r="AC99">
        <f>AB99-W99</f>
        <v>0</v>
      </c>
      <c r="AD99" cm="1">
        <f t="array" ref="AD99">IFERROR(IF(AC99&lt;0,0,AC99/($R$38-INDEX(hd_off,MATCH(AQ99,hd_mark,0),0)/12)),0)</f>
        <v>0</v>
      </c>
      <c r="AE99">
        <f>IF(S99=0,0,$AD$38*$AM$23)</f>
        <v>0</v>
      </c>
      <c r="AF99">
        <f>IFERROR(AE99/$R$38,0)</f>
        <v>0</v>
      </c>
      <c r="AG99">
        <f>AE99*($F$23+IF($F$23=0,0,($C$14+$C$15+IF($C$13="single",1.5,3)+3)/12))</f>
        <v>0</v>
      </c>
      <c r="AH99">
        <f>AG99-X99</f>
        <v>0</v>
      </c>
      <c r="AI99" cm="1">
        <f t="array" ref="AI99">IFERROR(IF(AH99&lt;0,0,AH99/($R$38-INDEX(hd_off,MATCH(AQ99,hd_mark,0),0)/12)),0)</f>
        <v>0</v>
      </c>
      <c r="AJ99">
        <f>MAX($F$23,$AA$38)/$Q$52</f>
        <v>0</v>
      </c>
      <c r="AK99">
        <f t="shared" si="62"/>
        <v>0</v>
      </c>
      <c r="AL99" cm="1">
        <f t="array" ref="AL99">IFERROR(INDEX(sheath_ecap_asd,MATCH(AP99,sheath_mark,0),0)*AK99,0)</f>
        <v>0</v>
      </c>
      <c r="AM99" cm="1">
        <f t="array" ref="AM99">IFERROR(INDEX(sheath_wcap_asd,MATCH(AP99,sheath_mark,0),0)*AK99,0)</f>
        <v>0</v>
      </c>
      <c r="AN99" cm="1">
        <f t="array" ref="AN99">IFERROR(INDEX(hd_cap,MATCH(AQ99,hd_mark,0),0),0)</f>
        <v>0</v>
      </c>
      <c r="AP99" s="19"/>
      <c r="AQ99" s="19"/>
      <c r="AR99" s="100"/>
      <c r="AS99" s="93"/>
      <c r="AT99" s="109" t="s">
        <v>491</v>
      </c>
      <c r="AU99" t="str">
        <f>$Q$23</f>
        <v>L4</v>
      </c>
      <c r="AV99">
        <f>$E$23</f>
        <v>0</v>
      </c>
      <c r="AW99" cm="1">
        <f t="array" ref="AW99">IFERROR(IF(AV99=0,0,(INDEX($C$33:$C$38,MATCH($AZ$38,$B$33:$B$38,0),0)*(AV101+$BA$38)+$AW$38*COUNTIF(AV99:AV100,"&gt;0")*$C$32+$AY$38*$C$31)*$AU$38),0)</f>
        <v>0</v>
      </c>
      <c r="AX99">
        <f>IF(AV99=0,0,-(COUNTIF(AV99:AV100,"&gt;0")*$AW$38*$C$32+$AY$38*$C$31)*$H$27*$AU$38)</f>
        <v>0</v>
      </c>
      <c r="AY99">
        <f>IF(AV99=0,0,$AY$38*$H$26*$AU$38)</f>
        <v>0</v>
      </c>
      <c r="AZ99">
        <f>(0.6*AW99+0.7*AX99)*$AU$38/2</f>
        <v>0</v>
      </c>
      <c r="BA99">
        <f>AW99*$AU$38/2</f>
        <v>0</v>
      </c>
      <c r="BC99">
        <f>IF(AV99=0,0,$BG$38*$AP$23)</f>
        <v>0</v>
      </c>
      <c r="BD99">
        <f>IFERROR(BC99/$AU$38,0)</f>
        <v>0</v>
      </c>
      <c r="BE99">
        <f>BC99*($F$23+IF($F$23=0,0,($C$14+$C$15+IF($C$13="single",1.5,3)+3)/12))</f>
        <v>0</v>
      </c>
      <c r="BF99">
        <f>BE99-AZ99</f>
        <v>0</v>
      </c>
      <c r="BG99" cm="1">
        <f t="array" ref="BG99">IFERROR(IF(BF99&lt;0,0,BF99/($AU$38-INDEX(hd_off,MATCH(BT99,hd_mark,0),0)/12)),0)</f>
        <v>0</v>
      </c>
      <c r="BH99">
        <f>IF(AV99=0,0,$BG$38*$AM$23)</f>
        <v>0</v>
      </c>
      <c r="BI99">
        <f>IFERROR(BH99/$AU$38,0)</f>
        <v>0</v>
      </c>
      <c r="BJ99">
        <f>BH99*($F$23+IF($F$23=0,0,($C$14+$C$15+IF($C$13="single",1.5,3)+3)/12))</f>
        <v>0</v>
      </c>
      <c r="BK99">
        <f>BJ99-BA99</f>
        <v>0</v>
      </c>
      <c r="BL99" cm="1">
        <f t="array" ref="BL99">IFERROR(IF(BK99&lt;0,0,BK99/($AU$38-INDEX(hd_off,MATCH(BT99,hd_mark,0),0)/12)),0)</f>
        <v>0</v>
      </c>
      <c r="BM99">
        <f>MAX($F$23,$BD$38)/$Q$52</f>
        <v>0</v>
      </c>
      <c r="BN99">
        <f t="shared" si="63"/>
        <v>0</v>
      </c>
      <c r="BO99" cm="1">
        <f t="array" ref="BO99">IFERROR(INDEX(sheath_ecap_asd,MATCH(BS99,sheath_mark,0),0)*BN99,0)</f>
        <v>0</v>
      </c>
      <c r="BP99" cm="1">
        <f t="array" ref="BP99">IFERROR(INDEX(sheath_wcap_asd,MATCH(BS99,sheath_mark,0),0)*BN99,0)</f>
        <v>0</v>
      </c>
      <c r="BQ99" cm="1">
        <f t="array" ref="BQ99">IFERROR(INDEX(hd_cap,MATCH(BT99,hd_mark,0),0),0)</f>
        <v>0</v>
      </c>
      <c r="BS99" s="19"/>
      <c r="BT99" s="19"/>
      <c r="BU99" s="100"/>
    </row>
    <row r="100" spans="16:73" x14ac:dyDescent="0.25">
      <c r="P100" s="93"/>
      <c r="Q100" s="111">
        <f>$R$38</f>
        <v>0</v>
      </c>
      <c r="R100" t="str">
        <f>$Q$24</f>
        <v>L5</v>
      </c>
      <c r="S100">
        <f>$E$24</f>
        <v>0</v>
      </c>
      <c r="T100" cm="1">
        <f t="array" ref="T100">IFERROR(IF(S100=0,0,(INDEX($C$33:$C$38,MATCH($W$38,$B$33:$B$38,0),0)*(S101+$X$38)+$T$38*COUNTIF(S100:S100,"&gt;0")*$C$32+$V$38*$C$31)*$R$38),0)</f>
        <v>0</v>
      </c>
      <c r="U100">
        <f>IF(S100=0,0,-(COUNTIF(S100:S100,"&gt;0")*$T$38*$C$32+$V$38*$C$31)*$H$27*$R$38)</f>
        <v>0</v>
      </c>
      <c r="V100">
        <f>IF(S100=0,0,$V$38*$H$26*$R$38)</f>
        <v>0</v>
      </c>
      <c r="W100">
        <f>(0.6*T100+0.7*U100)*$R$38/2</f>
        <v>0</v>
      </c>
      <c r="X100">
        <f>T100*$R$38/2</f>
        <v>0</v>
      </c>
      <c r="Z100">
        <f>IF(S100=0,0,$AD$38*$AP$24)</f>
        <v>0</v>
      </c>
      <c r="AA100">
        <f>IFERROR(Z100/$R$38,0)</f>
        <v>0</v>
      </c>
      <c r="AB100">
        <f>Z100*($F$24+IF($F$24=0,0,($C$14+$C$15+IF($C$13="single",1.5,3)+3)/12))</f>
        <v>0</v>
      </c>
      <c r="AC100">
        <f>AB100-W100</f>
        <v>0</v>
      </c>
      <c r="AD100" cm="1">
        <f t="array" ref="AD100">IFERROR(IF(AC100&lt;0,0,AC100/($R$38-INDEX(hd_off,MATCH(AQ100,hd_mark,0),0)/12)),0)</f>
        <v>0</v>
      </c>
      <c r="AE100">
        <f>IF(S100=0,0,$AD$38*$AM$24)</f>
        <v>0</v>
      </c>
      <c r="AF100">
        <f>IFERROR(AE100/$R$38,0)</f>
        <v>0</v>
      </c>
      <c r="AG100">
        <f>AE100*($F$24+IF($F$24=0,0,($C$14+$C$15+IF($C$13="single",1.5,3)+3)/12))</f>
        <v>0</v>
      </c>
      <c r="AH100">
        <f>AG100-X100</f>
        <v>0</v>
      </c>
      <c r="AI100" cm="1">
        <f t="array" ref="AI100">IFERROR(IF(AH100&lt;0,0,AH100/($R$38-INDEX(hd_off,MATCH(AQ100,hd_mark,0),0)/12)),0)</f>
        <v>0</v>
      </c>
      <c r="AJ100">
        <f>MAX($F$24,$AB$38)/$Q$52</f>
        <v>0</v>
      </c>
      <c r="AK100">
        <f t="shared" si="62"/>
        <v>0</v>
      </c>
      <c r="AL100" cm="1">
        <f t="array" ref="AL100">IFERROR(INDEX(sheath_ecap_asd,MATCH(AP100,sheath_mark,0),0)*AK100,0)</f>
        <v>0</v>
      </c>
      <c r="AM100" cm="1">
        <f t="array" ref="AM100">IFERROR(INDEX(sheath_wcap_asd,MATCH(AP100,sheath_mark,0),0)*AK100,0)</f>
        <v>0</v>
      </c>
      <c r="AN100" cm="1">
        <f t="array" ref="AN100">IFERROR(INDEX(hd_cap,MATCH(AQ100,hd_mark,0),0),0)</f>
        <v>0</v>
      </c>
      <c r="AP100" s="19"/>
      <c r="AQ100" s="19"/>
      <c r="AR100" s="100"/>
      <c r="AS100" s="93"/>
      <c r="AT100" s="111">
        <f>$R$38</f>
        <v>0</v>
      </c>
      <c r="AU100" t="str">
        <f>$Q$24</f>
        <v>L5</v>
      </c>
      <c r="AV100">
        <f>$E$24</f>
        <v>0</v>
      </c>
      <c r="AW100" cm="1">
        <f t="array" ref="AW100">IFERROR(IF(AV100=0,0,(INDEX($C$33:$C$38,MATCH($AZ$38,$B$33:$B$38,0),0)*(AV101+$BA$38)+$AW$38*COUNTIF(AV100:AV100,"&gt;0")*$C$32+$AY$38*$C$31)*$AU$38),0)</f>
        <v>0</v>
      </c>
      <c r="AX100">
        <f>IF(AV100=0,0,-(COUNTIF(AV100:AV100,"&gt;0")*$AW$38*$C$32+$AY$38*$C$31)*$H$27*$AU$38)</f>
        <v>0</v>
      </c>
      <c r="AY100">
        <f>IF(AV100=0,0,$AY$38*$H$26*$AU$38)</f>
        <v>0</v>
      </c>
      <c r="AZ100">
        <f>(0.6*AW100+0.7*AX100)*$AU$38/2</f>
        <v>0</v>
      </c>
      <c r="BA100">
        <f>AW100*$AU$38/2</f>
        <v>0</v>
      </c>
      <c r="BC100">
        <f>IF(AV100=0,0,$BG$38*$AP$24)</f>
        <v>0</v>
      </c>
      <c r="BD100">
        <f>IFERROR(BC100/$AU$38,0)</f>
        <v>0</v>
      </c>
      <c r="BE100">
        <f>BC100*($F$24+IF($F$24=0,0,($C$14+$C$15+IF($C$13="single",1.5,3)+3)/12))</f>
        <v>0</v>
      </c>
      <c r="BF100">
        <f>BE100-AZ100</f>
        <v>0</v>
      </c>
      <c r="BG100" cm="1">
        <f t="array" ref="BG100">IFERROR(IF(BF100&lt;0,0,BF100/($AU$38-INDEX(hd_off,MATCH(BT100,hd_mark,0),0)/12)),0)</f>
        <v>0</v>
      </c>
      <c r="BH100">
        <f>IF(AV100=0,0,$BG$38*$AM$24)</f>
        <v>0</v>
      </c>
      <c r="BI100">
        <f>IFERROR(BH100/$AU$38,0)</f>
        <v>0</v>
      </c>
      <c r="BJ100">
        <f>BH100*($F$24+IF($F$24=0,0,($C$14+$C$15+IF($C$13="single",1.5,3)+3)/12))</f>
        <v>0</v>
      </c>
      <c r="BK100">
        <f>BJ100-BA100</f>
        <v>0</v>
      </c>
      <c r="BL100" cm="1">
        <f t="array" ref="BL100">IFERROR(IF(BK100&lt;0,0,BK100/($AU$38-INDEX(hd_off,MATCH(BT100,hd_mark,0),0)/12)),0)</f>
        <v>0</v>
      </c>
      <c r="BM100">
        <f>MAX($F$24,$BE$38)/$Q$52</f>
        <v>0</v>
      </c>
      <c r="BN100">
        <f t="shared" si="63"/>
        <v>0</v>
      </c>
      <c r="BO100" cm="1">
        <f t="array" ref="BO100">IFERROR(INDEX(sheath_ecap_asd,MATCH(BS100,sheath_mark,0),0)*BN100,0)</f>
        <v>0</v>
      </c>
      <c r="BP100" cm="1">
        <f t="array" ref="BP100">IFERROR(INDEX(sheath_wcap_asd,MATCH(BS100,sheath_mark,0),0)*BN100,0)</f>
        <v>0</v>
      </c>
      <c r="BQ100" cm="1">
        <f t="array" ref="BQ100">IFERROR(INDEX(hd_cap,MATCH(BT100,hd_mark,0),0),0)</f>
        <v>0</v>
      </c>
      <c r="BS100" s="19"/>
      <c r="BT100" s="19"/>
      <c r="BU100" s="100"/>
    </row>
    <row r="101" spans="16:73" x14ac:dyDescent="0.25">
      <c r="P101" s="93"/>
      <c r="Q101" s="109"/>
      <c r="R101" t="str">
        <f>$Q$25</f>
        <v>Roof</v>
      </c>
      <c r="S101">
        <f>$E$25</f>
        <v>33.171875</v>
      </c>
      <c r="T101" cm="1">
        <f t="array" ref="T101">IFERROR(IF(S101=0,0,(INDEX($C$33:$C$38,MATCH($W$38,$B$33:$B$38,0),0)*(S101+$X$38)+$V$38*$C$31)*$R$38),0)</f>
        <v>0</v>
      </c>
      <c r="U101">
        <f>IF(S101=0,0,-$V$38*$C$31*$H$27*$R$38)</f>
        <v>0</v>
      </c>
      <c r="V101">
        <f>IF(S101=0,0,$V$38*$H$26*$R$38)</f>
        <v>0</v>
      </c>
      <c r="W101">
        <f>(0.6*T101+0.7*U101)*$R$38/2</f>
        <v>0</v>
      </c>
      <c r="X101">
        <f>T101*$R$38/2</f>
        <v>0</v>
      </c>
      <c r="Z101">
        <f>IF(S101=0,0,$AD$38*$AP$25)</f>
        <v>0</v>
      </c>
      <c r="AA101">
        <f>IFERROR(Z101/$R$38,0)</f>
        <v>0</v>
      </c>
      <c r="AB101">
        <f>Z101*($F$25+($C$16+$C$17+IF($C$13="single",1.5,3)+3)/12)</f>
        <v>0</v>
      </c>
      <c r="AC101">
        <f>AB101-W101</f>
        <v>0</v>
      </c>
      <c r="AD101" cm="1">
        <f t="array" ref="AD101">IFERROR(IF(AC101&lt;0,0,AC101/($R$38-INDEX(hd_off,MATCH(AQ101,hd_mark,0),0)/12)),0)</f>
        <v>0</v>
      </c>
      <c r="AE101">
        <f>IF(S101=0,0,$AD$38*$AM$25)</f>
        <v>0</v>
      </c>
      <c r="AF101">
        <f>IFERROR(AE101/$R$38,0)</f>
        <v>0</v>
      </c>
      <c r="AG101">
        <f>AE101*($F$25+($C$16+$C$17+IF($C$13="single",1.5,3)+3)/12)</f>
        <v>0</v>
      </c>
      <c r="AH101">
        <f>AG101-X101</f>
        <v>0</v>
      </c>
      <c r="AI101" cm="1">
        <f t="array" ref="AI101">IFERROR(IF(AH101&lt;0,0,AH101/($R$38-INDEX(hd_off,MATCH(AQ101,hd_mark,0),0)/12)),0)</f>
        <v>0</v>
      </c>
      <c r="AJ101">
        <f>MAX($F$25,$AC$38)/$Q$52</f>
        <v>0.29920977011494249</v>
      </c>
      <c r="AK101">
        <f t="shared" si="62"/>
        <v>1</v>
      </c>
      <c r="AL101" cm="1">
        <f t="array" ref="AL101">IFERROR(INDEX(sheath_ecap_asd,MATCH(AP101,sheath_mark,0),0)*AK101,0)</f>
        <v>0</v>
      </c>
      <c r="AM101" cm="1">
        <f t="array" ref="AM101">IFERROR(INDEX(sheath_wcap_asd,MATCH(AP101,sheath_mark,0),0)*AK101,0)</f>
        <v>0</v>
      </c>
      <c r="AN101" cm="1">
        <f t="array" ref="AN101">IFERROR(INDEX(hd_cap,MATCH(AQ101,hd_mark,0),0),0)</f>
        <v>0</v>
      </c>
      <c r="AP101" s="19"/>
      <c r="AQ101" s="19"/>
      <c r="AR101" s="100"/>
      <c r="AS101" s="93"/>
      <c r="AT101" s="109"/>
      <c r="AU101" t="str">
        <f>$Q$25</f>
        <v>Roof</v>
      </c>
      <c r="AV101">
        <f>$E$25</f>
        <v>33.171875</v>
      </c>
      <c r="AW101" cm="1">
        <f t="array" ref="AW101">IFERROR(IF(AV101=0,0,(INDEX($C$33:$C$38,MATCH($AZ$38,$B$33:$B$38,0),0)*(AV101+$BA$38)+$AY$38*$C$31)*$AU$38),0)</f>
        <v>0</v>
      </c>
      <c r="AX101">
        <f>IF(AV101=0,0,-$AY$38*$C$31*$H$27*$AU$38)</f>
        <v>0</v>
      </c>
      <c r="AY101">
        <f>IF(AV101=0,0,$AY$38*$H$26*$AU$38)</f>
        <v>0</v>
      </c>
      <c r="AZ101">
        <f>(0.6*AW101+0.7*AX101)*$AU$38/2</f>
        <v>0</v>
      </c>
      <c r="BA101">
        <f>AW101*$AU$38/2</f>
        <v>0</v>
      </c>
      <c r="BC101">
        <f>IF(AV101=0,0,$BG$38*$AP$25)</f>
        <v>0</v>
      </c>
      <c r="BD101">
        <f>IFERROR(BC101/$AU$38,0)</f>
        <v>0</v>
      </c>
      <c r="BE101">
        <f>BC101*($F$25+($C$16+$C$17+IF($C$13="single",1.5,3)+3)/12)</f>
        <v>0</v>
      </c>
      <c r="BF101">
        <f>BE101-AZ101</f>
        <v>0</v>
      </c>
      <c r="BG101" cm="1">
        <f t="array" ref="BG101">IFERROR(IF(BF101&lt;0,0,BF101/($AU$38-INDEX(hd_off,MATCH(BT101,hd_mark,0),0)/12)),0)</f>
        <v>0</v>
      </c>
      <c r="BH101">
        <f>IF(AV101=0,0,$BG$38*$AM$25)</f>
        <v>0</v>
      </c>
      <c r="BI101">
        <f>IFERROR(BH101/$AU$38,0)</f>
        <v>0</v>
      </c>
      <c r="BJ101">
        <f>BH101*($F$25+($C$16+$C$17+IF($C$13="single",1.5,3)+3)/12)</f>
        <v>0</v>
      </c>
      <c r="BK101">
        <f>BJ101-BA101</f>
        <v>0</v>
      </c>
      <c r="BL101" cm="1">
        <f t="array" ref="BL101">IFERROR(IF(BK101&lt;0,0,BK101/($AU$38-INDEX(hd_off,MATCH(BT101,hd_mark,0),0)/12)),0)</f>
        <v>0</v>
      </c>
      <c r="BM101">
        <f>MAX($F$25,$BF$38)/$Q$52</f>
        <v>0.29920977011494249</v>
      </c>
      <c r="BN101">
        <f t="shared" si="63"/>
        <v>1</v>
      </c>
      <c r="BO101" cm="1">
        <f t="array" ref="BO101">IFERROR(INDEX(sheath_ecap_asd,MATCH(BS101,sheath_mark,0),0)*BN101,0)</f>
        <v>0</v>
      </c>
      <c r="BP101" cm="1">
        <f t="array" ref="BP101">IFERROR(INDEX(sheath_wcap_asd,MATCH(BS101,sheath_mark,0),0)*BN101,0)</f>
        <v>0</v>
      </c>
      <c r="BQ101" cm="1">
        <f t="array" ref="BQ101">IFERROR(INDEX(hd_cap,MATCH(BT101,hd_mark,0),0),0)</f>
        <v>0</v>
      </c>
      <c r="BS101" s="19"/>
      <c r="BT101" s="19"/>
      <c r="BU101" s="100"/>
    </row>
    <row r="102" spans="16:73" x14ac:dyDescent="0.25">
      <c r="P102" s="93"/>
      <c r="AR102" s="100"/>
      <c r="AS102" s="93"/>
      <c r="BU102" s="100"/>
    </row>
    <row r="103" spans="16:73" x14ac:dyDescent="0.25">
      <c r="P103" s="93"/>
      <c r="Q103" s="110" t="str">
        <f>$Q$39</f>
        <v>A.10</v>
      </c>
      <c r="R103" t="str">
        <f>$Q$21</f>
        <v>L2</v>
      </c>
      <c r="S103">
        <f>$E$21</f>
        <v>10.6875</v>
      </c>
      <c r="T103" cm="1">
        <f t="array" ref="T103">IFERROR(IF(S103=0,0,(INDEX($C$33:$C$38,MATCH($W$39,$B$33:$B$38,0),0)*(S107+$X$39)+$T$39*COUNTIF(S103:S106,"&gt;0")*$C$32+$V$39*$C$31)*$R$39),0)</f>
        <v>0</v>
      </c>
      <c r="U103">
        <f>IF(S103=0,0,-(COUNTIF(S103:S106,"&gt;0")*$T$39*$C$32+$V$39*$C$31)*$H$27*$R$39)</f>
        <v>0</v>
      </c>
      <c r="V103">
        <f>IF(S103=0,0,$V$39*$H$26*$R$39)</f>
        <v>0</v>
      </c>
      <c r="W103">
        <f>(0.6*T103+0.7*U103)*$R$39/2</f>
        <v>0</v>
      </c>
      <c r="X103">
        <f>(0.6*T103+0.6*V103)*$R$39/2</f>
        <v>0</v>
      </c>
      <c r="Z103">
        <f>IF(S103=0,0,$AD$39*$AP$21)</f>
        <v>0</v>
      </c>
      <c r="AA103">
        <f>IFERROR(Z103/$R$39,0)</f>
        <v>0</v>
      </c>
      <c r="AB103">
        <f>Z103*($F$21+IF($F$21=0,0,($C$14+$C$15+IF($C$13="single",1.5,3)+3)/12))</f>
        <v>0</v>
      </c>
      <c r="AC103">
        <f>AB103-W103</f>
        <v>0</v>
      </c>
      <c r="AD103" cm="1">
        <f t="array" ref="AD103">IFERROR(IF(AC103&lt;0,0,AC103/($R$39-INDEX(hd_off,MATCH(AQ103,hd_mark,0),0)/12)),0)</f>
        <v>0</v>
      </c>
      <c r="AE103">
        <f>IF(S103=0,0,$AD$39*$AM$21)</f>
        <v>0</v>
      </c>
      <c r="AF103">
        <f>IFERROR(AE103/$R$39,0)</f>
        <v>0</v>
      </c>
      <c r="AG103">
        <f>AE103*($F$21+IF($F$21=0,0,($C$14+$C$15+IF($C$13="single",1.5,3)+3)/12))</f>
        <v>0</v>
      </c>
      <c r="AH103">
        <f>AG103-X103</f>
        <v>0</v>
      </c>
      <c r="AI103" cm="1">
        <f t="array" ref="AI103">IFERROR(IF(AH103&lt;0,0,AH103/($R$39-INDEX(hd_off,MATCH(AQ103,hd_mark,0),0)/12)),0)</f>
        <v>0</v>
      </c>
      <c r="AJ103">
        <f>MAX($F$21,$Y$39)/$Q$52</f>
        <v>0.30172413793103448</v>
      </c>
      <c r="AK103">
        <f>IF(AJ103=0,0,IF(AJ103&gt;2,1.25-0.125*AJ103,1))</f>
        <v>1</v>
      </c>
      <c r="AL103" cm="1">
        <f t="array" ref="AL103">IFERROR(INDEX(sheath_ecap_asd,MATCH(AP103,sheath_mark,0),0)*AK103,0)</f>
        <v>0</v>
      </c>
      <c r="AM103" cm="1">
        <f t="array" ref="AM103">IFERROR(INDEX(sheath_wcap_asd,MATCH(AP103,sheath_mark,0),0)*AK103,0)</f>
        <v>0</v>
      </c>
      <c r="AN103" cm="1">
        <f t="array" ref="AN103">IFERROR(INDEX(hd_cap,MATCH(AQ103,hd_mark,0),0),0)</f>
        <v>0</v>
      </c>
      <c r="AP103" s="19"/>
      <c r="AQ103" s="19"/>
      <c r="AR103" s="100"/>
      <c r="AS103" s="93"/>
      <c r="AT103" s="110" t="str">
        <f>$AT$39</f>
        <v>1.10</v>
      </c>
      <c r="AU103" t="str">
        <f>$Q$21</f>
        <v>L2</v>
      </c>
      <c r="AV103">
        <f>$E$21</f>
        <v>10.6875</v>
      </c>
      <c r="AW103" cm="1">
        <f t="array" ref="AW103">IFERROR(IF(AV103=0,0,(INDEX($C$33:$C$38,MATCH($AZ$39,$B$33:$B$38,0),0)*(AV107+$BA$39)+$AW$39*COUNTIF(AV103:AV106,"&gt;0")*$C$32+$AY$39*$C$31)*$AU$39),0)</f>
        <v>0</v>
      </c>
      <c r="AX103">
        <f>IF(AV103=0,0,-(COUNTIF(AV103:AV106,"&gt;0")*$AW$39*$C$32+$AY$39*$C$31)*$H$27*$AU$39)</f>
        <v>0</v>
      </c>
      <c r="AY103">
        <f>IF(AV103=0,0,$AY$39*$H$26*$AU$39)</f>
        <v>0</v>
      </c>
      <c r="AZ103">
        <f>(0.6*AW103+0.7*AX103)*$AU$39/2</f>
        <v>0</v>
      </c>
      <c r="BA103">
        <f>(0.6*AW103+0.6*AY103)*$AU$39/2</f>
        <v>0</v>
      </c>
      <c r="BC103">
        <f>IF(AV103=0,0,$BG$39*$AP$21)</f>
        <v>0</v>
      </c>
      <c r="BD103">
        <f>IFERROR(BC103/$AU$39,0)</f>
        <v>0</v>
      </c>
      <c r="BE103">
        <f>BC103*($F$21+IF($F$21=0,0,($C$14+$C$15+IF($C$13="single",1.5,3)+3)/12))</f>
        <v>0</v>
      </c>
      <c r="BF103">
        <f>BE103-AZ103</f>
        <v>0</v>
      </c>
      <c r="BG103" cm="1">
        <f t="array" ref="BG103">IFERROR(IF(BF103&lt;0,0,BF103/($AU$39-INDEX(hd_off,MATCH(BT103,hd_mark,0),0)/12)),0)</f>
        <v>0</v>
      </c>
      <c r="BH103">
        <f>IF(AV103=0,0,$BG$39*$AM$21)</f>
        <v>0</v>
      </c>
      <c r="BI103">
        <f>IFERROR(BH103/$AU$39,0)</f>
        <v>0</v>
      </c>
      <c r="BJ103">
        <f>BH103*($F$21+IF($F$21=0,0,($C$14+$C$15+IF($C$13="single",1.5,3)+3)/12))</f>
        <v>0</v>
      </c>
      <c r="BK103">
        <f>BJ103-BA103</f>
        <v>0</v>
      </c>
      <c r="BL103" cm="1">
        <f t="array" ref="BL103">IFERROR(IF(BK103&lt;0,0,BK103/($AU$39-INDEX(hd_off,MATCH(BT103,hd_mark,0),0)/12)),0)</f>
        <v>0</v>
      </c>
      <c r="BM103">
        <f>MAX($F$21,$BB$39)/$Q$52</f>
        <v>0.30172413793103448</v>
      </c>
      <c r="BN103">
        <f>IF(BM103=0,0,IF(BM103&gt;2,1.25-0.125*BM103,1))</f>
        <v>1</v>
      </c>
      <c r="BO103" cm="1">
        <f t="array" ref="BO103">IFERROR(INDEX(sheath_ecap_asd,MATCH(BS103,sheath_mark,0),0)*BN103,0)</f>
        <v>0</v>
      </c>
      <c r="BP103" cm="1">
        <f t="array" ref="BP103">IFERROR(INDEX(sheath_wcap_asd,MATCH(BS103,sheath_mark,0),0)*BN103,0)</f>
        <v>0</v>
      </c>
      <c r="BQ103" cm="1">
        <f t="array" ref="BQ103">IFERROR(INDEX(hd_cap,MATCH(BT103,hd_mark,0),0),0)</f>
        <v>0</v>
      </c>
      <c r="BS103" s="19"/>
      <c r="BT103" s="19"/>
      <c r="BU103" s="100"/>
    </row>
    <row r="104" spans="16:73" x14ac:dyDescent="0.25">
      <c r="P104" s="93"/>
      <c r="Q104" s="109"/>
      <c r="R104" t="str">
        <f>$Q$22</f>
        <v>L3</v>
      </c>
      <c r="S104">
        <f>$E$22</f>
        <v>21.375</v>
      </c>
      <c r="T104" cm="1">
        <f t="array" ref="T104">IFERROR(IF(S104=0,0,(INDEX($C$33:$C$38,MATCH($W$39,$B$33:$B$38,0),0)*(S107+$X$39)+$T$39*COUNTIF(S104:S106,"&gt;0")*$C$32+$V$39*$C$31)*$R$39),0)</f>
        <v>0</v>
      </c>
      <c r="U104">
        <f>IF(S104=0,0,-(COUNTIF(S104:S106,"&gt;0")*$T$39*$C$32+$V$39*$C$31)*$H$27*$R$39)</f>
        <v>0</v>
      </c>
      <c r="V104">
        <f>IF(S104=0,0,$V$39*$H$26*$R$39)</f>
        <v>0</v>
      </c>
      <c r="W104">
        <f>(0.6*T104+0.7*U104)*$R$39/2</f>
        <v>0</v>
      </c>
      <c r="X104">
        <f>T104*$R$39/2</f>
        <v>0</v>
      </c>
      <c r="Z104">
        <f>IF(S104=0,0,$AD$39*$AP$22)</f>
        <v>0</v>
      </c>
      <c r="AA104">
        <f>IFERROR(Z104/$R$39,0)</f>
        <v>0</v>
      </c>
      <c r="AB104">
        <f>Z104*($F$22+IF($F$22=0,0,($C$14+$C$15+IF($C$13="single",1.5,3)+3)/12))</f>
        <v>0</v>
      </c>
      <c r="AC104">
        <f>AB104-W104</f>
        <v>0</v>
      </c>
      <c r="AD104" cm="1">
        <f t="array" ref="AD104">IFERROR(IF(AC104&lt;0,0,AC104/($R$39-INDEX(hd_off,MATCH(AQ104,hd_mark,0),0)/12)),0)</f>
        <v>0</v>
      </c>
      <c r="AE104">
        <f>IF(S104=0,0,$AD$39*$AM$22)</f>
        <v>0</v>
      </c>
      <c r="AF104">
        <f>IFERROR(AE104/$R$39,0)</f>
        <v>0</v>
      </c>
      <c r="AG104">
        <f>AE104*($F$22+IF($F$22=0,0,($C$14+$C$15+IF($C$13="single",1.5,3)+3)/12))</f>
        <v>0</v>
      </c>
      <c r="AH104">
        <f>AG104-X104</f>
        <v>0</v>
      </c>
      <c r="AI104" cm="1">
        <f t="array" ref="AI104">IFERROR(IF(AH104&lt;0,0,AH104/($R$39-INDEX(hd_off,MATCH(AQ104,hd_mark,0),0)/12)),0)</f>
        <v>0</v>
      </c>
      <c r="AJ104">
        <f>MAX($F$22,$Z$39)/$Q$52</f>
        <v>0.30172413793103448</v>
      </c>
      <c r="AK104">
        <f t="shared" ref="AK104:AK107" si="64">IF(AJ104=0,0,IF(AJ104&gt;2,1.25-0.125*AJ104,1))</f>
        <v>1</v>
      </c>
      <c r="AL104" cm="1">
        <f t="array" ref="AL104">IFERROR(INDEX(sheath_ecap_asd,MATCH(AP104,sheath_mark,0),0)*AK104,0)</f>
        <v>0</v>
      </c>
      <c r="AM104" cm="1">
        <f t="array" ref="AM104">IFERROR(INDEX(sheath_wcap_asd,MATCH(AP104,sheath_mark,0),0)*AK104,0)</f>
        <v>0</v>
      </c>
      <c r="AN104" cm="1">
        <f t="array" ref="AN104">IFERROR(INDEX(hd_cap,MATCH(AQ104,hd_mark,0),0),0)</f>
        <v>0</v>
      </c>
      <c r="AP104" s="19"/>
      <c r="AQ104" s="19"/>
      <c r="AR104" s="100"/>
      <c r="AS104" s="93"/>
      <c r="AT104" s="109"/>
      <c r="AU104" t="str">
        <f>$Q$22</f>
        <v>L3</v>
      </c>
      <c r="AV104">
        <f>$E$22</f>
        <v>21.375</v>
      </c>
      <c r="AW104" cm="1">
        <f t="array" ref="AW104">IFERROR(IF(AV104=0,0,(INDEX($C$33:$C$38,MATCH($AZ$39,$B$33:$B$38,0),0)*(AV107+$BA$39)+$AW$39*COUNTIF(AV104:AV106,"&gt;0")*$C$32+$AY$39*$C$31)*$AU$39),0)</f>
        <v>0</v>
      </c>
      <c r="AX104">
        <f>IF(AV104=0,0,-(COUNTIF(AV104:AV106,"&gt;0")*$AW$39*$C$32+$AY$39*$C$31)*$H$27*$AU$39)</f>
        <v>0</v>
      </c>
      <c r="AY104">
        <f>IF(AV104=0,0,$AY$39*$H$26*$AU$39)</f>
        <v>0</v>
      </c>
      <c r="AZ104">
        <f>(0.6*AW104+0.7*AX104)*$AU$39/2</f>
        <v>0</v>
      </c>
      <c r="BA104">
        <f>AW104*$AU$39/2</f>
        <v>0</v>
      </c>
      <c r="BC104">
        <f>IF(AV104=0,0,$BG$39*$AP$22)</f>
        <v>0</v>
      </c>
      <c r="BD104">
        <f>IFERROR(BC104/$AU$39,0)</f>
        <v>0</v>
      </c>
      <c r="BE104">
        <f>BC104*($F$22+IF($F$22=0,0,($C$14+$C$15+IF($C$13="single",1.5,3)+3)/12))</f>
        <v>0</v>
      </c>
      <c r="BF104">
        <f>BE104-AZ104</f>
        <v>0</v>
      </c>
      <c r="BG104" cm="1">
        <f t="array" ref="BG104">IFERROR(IF(BF104&lt;0,0,BF104/($AU$39-INDEX(hd_off,MATCH(BT104,hd_mark,0),0)/12)),0)</f>
        <v>0</v>
      </c>
      <c r="BH104">
        <f>IF(AV104=0,0,$BG$39*$AM$22)</f>
        <v>0</v>
      </c>
      <c r="BI104">
        <f>IFERROR(BH104/$AU$39,0)</f>
        <v>0</v>
      </c>
      <c r="BJ104">
        <f>BH104*($F$22+IF($F$22=0,0,($C$14+$C$15+IF($C$13="single",1.5,3)+3)/12))</f>
        <v>0</v>
      </c>
      <c r="BK104">
        <f>BJ104-BA104</f>
        <v>0</v>
      </c>
      <c r="BL104" cm="1">
        <f t="array" ref="BL104">IFERROR(IF(BK104&lt;0,0,BK104/($AU$39-INDEX(hd_off,MATCH(BT104,hd_mark,0),0)/12)),0)</f>
        <v>0</v>
      </c>
      <c r="BM104">
        <f>MAX($F$22,$BC$39)/$Q$52</f>
        <v>0.30172413793103448</v>
      </c>
      <c r="BN104">
        <f t="shared" ref="BN104:BN107" si="65">IF(BM104=0,0,IF(BM104&gt;2,1.25-0.125*BM104,1))</f>
        <v>1</v>
      </c>
      <c r="BO104" cm="1">
        <f t="array" ref="BO104">IFERROR(INDEX(sheath_ecap_asd,MATCH(BS104,sheath_mark,0),0)*BN104,0)</f>
        <v>0</v>
      </c>
      <c r="BP104" cm="1">
        <f t="array" ref="BP104">IFERROR(INDEX(sheath_wcap_asd,MATCH(BS104,sheath_mark,0),0)*BN104,0)</f>
        <v>0</v>
      </c>
      <c r="BQ104" cm="1">
        <f t="array" ref="BQ104">IFERROR(INDEX(hd_cap,MATCH(BT104,hd_mark,0),0),0)</f>
        <v>0</v>
      </c>
      <c r="BS104" s="19"/>
      <c r="BT104" s="19"/>
      <c r="BU104" s="100"/>
    </row>
    <row r="105" spans="16:73" x14ac:dyDescent="0.25">
      <c r="P105" s="93"/>
      <c r="Q105" s="109" t="s">
        <v>491</v>
      </c>
      <c r="R105" t="str">
        <f>$Q$23</f>
        <v>L4</v>
      </c>
      <c r="S105">
        <f>$E$23</f>
        <v>0</v>
      </c>
      <c r="T105" cm="1">
        <f t="array" ref="T105">IFERROR(IF(S105=0,0,(INDEX($C$33:$C$38,MATCH($W$39,$B$33:$B$38,0),0)*(S107+$X$39)+$T$39*COUNTIF(S105:S106,"&gt;0")*$C$32+$V$39*$C$31)*$R$39),0)</f>
        <v>0</v>
      </c>
      <c r="U105">
        <f>IF(S105=0,0,-(COUNTIF(S105:S106,"&gt;0")*$T$39*$C$32+$V$39*$C$31)*$H$27*$R$39)</f>
        <v>0</v>
      </c>
      <c r="V105">
        <f>IF(S105=0,0,$V$39*$H$26*$R$39)</f>
        <v>0</v>
      </c>
      <c r="W105">
        <f>(0.6*T105+0.7*U105)*$R$39/2</f>
        <v>0</v>
      </c>
      <c r="X105">
        <f>T105*$R$39/2</f>
        <v>0</v>
      </c>
      <c r="Z105">
        <f>IF(S105=0,0,$AD$39*$AP$23)</f>
        <v>0</v>
      </c>
      <c r="AA105">
        <f>IFERROR(Z105/$R$39,0)</f>
        <v>0</v>
      </c>
      <c r="AB105">
        <f>Z105*($F$23+IF($F$23=0,0,($C$14+$C$15+IF($C$13="single",1.5,3)+3)/12))</f>
        <v>0</v>
      </c>
      <c r="AC105">
        <f>AB105-W105</f>
        <v>0</v>
      </c>
      <c r="AD105" cm="1">
        <f t="array" ref="AD105">IFERROR(IF(AC105&lt;0,0,AC105/($R$39-INDEX(hd_off,MATCH(AQ105,hd_mark,0),0)/12)),0)</f>
        <v>0</v>
      </c>
      <c r="AE105">
        <f>IF(S105=0,0,$AD$39*$AM$23)</f>
        <v>0</v>
      </c>
      <c r="AF105">
        <f>IFERROR(AE105/$R$39,0)</f>
        <v>0</v>
      </c>
      <c r="AG105">
        <f>AE105*($F$23+IF($F$23=0,0,($C$14+$C$15+IF($C$13="single",1.5,3)+3)/12))</f>
        <v>0</v>
      </c>
      <c r="AH105">
        <f>AG105-X105</f>
        <v>0</v>
      </c>
      <c r="AI105" cm="1">
        <f t="array" ref="AI105">IFERROR(IF(AH105&lt;0,0,AH105/($R$39-INDEX(hd_off,MATCH(AQ105,hd_mark,0),0)/12)),0)</f>
        <v>0</v>
      </c>
      <c r="AJ105">
        <f>MAX($F$23,$AA$39)/$Q$52</f>
        <v>0</v>
      </c>
      <c r="AK105">
        <f t="shared" si="64"/>
        <v>0</v>
      </c>
      <c r="AL105" cm="1">
        <f t="array" ref="AL105">IFERROR(INDEX(sheath_ecap_asd,MATCH(AP105,sheath_mark,0),0)*AK105,0)</f>
        <v>0</v>
      </c>
      <c r="AM105" cm="1">
        <f t="array" ref="AM105">IFERROR(INDEX(sheath_wcap_asd,MATCH(AP105,sheath_mark,0),0)*AK105,0)</f>
        <v>0</v>
      </c>
      <c r="AN105" cm="1">
        <f t="array" ref="AN105">IFERROR(INDEX(hd_cap,MATCH(AQ105,hd_mark,0),0),0)</f>
        <v>0</v>
      </c>
      <c r="AP105" s="19"/>
      <c r="AQ105" s="19"/>
      <c r="AR105" s="100"/>
      <c r="AS105" s="93"/>
      <c r="AT105" s="109" t="s">
        <v>491</v>
      </c>
      <c r="AU105" t="str">
        <f>$Q$23</f>
        <v>L4</v>
      </c>
      <c r="AV105">
        <f>$E$23</f>
        <v>0</v>
      </c>
      <c r="AW105" cm="1">
        <f t="array" ref="AW105">IFERROR(IF(AV105=0,0,(INDEX($C$33:$C$38,MATCH($AZ$39,$B$33:$B$38,0),0)*(AV107+$BA$39)+$AW$39*COUNTIF(AV105:AV106,"&gt;0")*$C$32+$AY$39*$C$31)*$AU$39),0)</f>
        <v>0</v>
      </c>
      <c r="AX105">
        <f>IF(AV105=0,0,-(COUNTIF(AV105:AV106,"&gt;0")*$AW$39*$C$32+$AY$39*$C$31)*$H$27*$AU$39)</f>
        <v>0</v>
      </c>
      <c r="AY105">
        <f>IF(AV105=0,0,$AY$39*$H$26*$AU$39)</f>
        <v>0</v>
      </c>
      <c r="AZ105">
        <f>(0.6*AW105+0.7*AX105)*$AU$39/2</f>
        <v>0</v>
      </c>
      <c r="BA105">
        <f>AW105*$AU$39/2</f>
        <v>0</v>
      </c>
      <c r="BC105">
        <f>IF(AV105=0,0,$BG$39*$AP$23)</f>
        <v>0</v>
      </c>
      <c r="BD105">
        <f>IFERROR(BC105/$AU$39,0)</f>
        <v>0</v>
      </c>
      <c r="BE105">
        <f>BC105*($F$23+IF($F$23=0,0,($C$14+$C$15+IF($C$13="single",1.5,3)+3)/12))</f>
        <v>0</v>
      </c>
      <c r="BF105">
        <f>BE105-AZ105</f>
        <v>0</v>
      </c>
      <c r="BG105" cm="1">
        <f t="array" ref="BG105">IFERROR(IF(BF105&lt;0,0,BF105/($AU$39-INDEX(hd_off,MATCH(BT105,hd_mark,0),0)/12)),0)</f>
        <v>0</v>
      </c>
      <c r="BH105">
        <f>IF(AV105=0,0,$BG$39*$AM$23)</f>
        <v>0</v>
      </c>
      <c r="BI105">
        <f>IFERROR(BH105/$AU$39,0)</f>
        <v>0</v>
      </c>
      <c r="BJ105">
        <f>BH105*($F$23+IF($F$23=0,0,($C$14+$C$15+IF($C$13="single",1.5,3)+3)/12))</f>
        <v>0</v>
      </c>
      <c r="BK105">
        <f>BJ105-BA105</f>
        <v>0</v>
      </c>
      <c r="BL105" cm="1">
        <f t="array" ref="BL105">IFERROR(IF(BK105&lt;0,0,BK105/($AU$39-INDEX(hd_off,MATCH(BT105,hd_mark,0),0)/12)),0)</f>
        <v>0</v>
      </c>
      <c r="BM105">
        <f>MAX($F$23,$BD$39)/$Q$52</f>
        <v>0</v>
      </c>
      <c r="BN105">
        <f t="shared" si="65"/>
        <v>0</v>
      </c>
      <c r="BO105" cm="1">
        <f t="array" ref="BO105">IFERROR(INDEX(sheath_ecap_asd,MATCH(BS105,sheath_mark,0),0)*BN105,0)</f>
        <v>0</v>
      </c>
      <c r="BP105" cm="1">
        <f t="array" ref="BP105">IFERROR(INDEX(sheath_wcap_asd,MATCH(BS105,sheath_mark,0),0)*BN105,0)</f>
        <v>0</v>
      </c>
      <c r="BQ105" cm="1">
        <f t="array" ref="BQ105">IFERROR(INDEX(hd_cap,MATCH(BT105,hd_mark,0),0),0)</f>
        <v>0</v>
      </c>
      <c r="BS105" s="19"/>
      <c r="BT105" s="19"/>
      <c r="BU105" s="100"/>
    </row>
    <row r="106" spans="16:73" x14ac:dyDescent="0.25">
      <c r="P106" s="93"/>
      <c r="Q106" s="111">
        <f>$R$39</f>
        <v>0</v>
      </c>
      <c r="R106" t="str">
        <f>$Q$24</f>
        <v>L5</v>
      </c>
      <c r="S106">
        <f>$E$24</f>
        <v>0</v>
      </c>
      <c r="T106" cm="1">
        <f t="array" ref="T106">IFERROR(IF(S106=0,0,(INDEX($C$33:$C$38,MATCH($W$39,$B$33:$B$38,0),0)*(S107+$X$39)+$T$39*COUNTIF(S106:S106,"&gt;0")*$C$32+$V$39*$C$31)*$R$39),0)</f>
        <v>0</v>
      </c>
      <c r="U106">
        <f>IF(S106=0,0,-(COUNTIF(S106:S106,"&gt;0")*$T$39*$C$32+$V$39*$C$31)*$H$27*$R$39)</f>
        <v>0</v>
      </c>
      <c r="V106">
        <f>IF(S106=0,0,$V$39*$H$26*$R$39)</f>
        <v>0</v>
      </c>
      <c r="W106">
        <f>(0.6*T106+0.7*U106)*$R$39/2</f>
        <v>0</v>
      </c>
      <c r="X106">
        <f>T106*$R$39/2</f>
        <v>0</v>
      </c>
      <c r="Z106">
        <f>IF(S106=0,0,$AD$39*$AP$24)</f>
        <v>0</v>
      </c>
      <c r="AA106">
        <f>IFERROR(Z106/$R$39,0)</f>
        <v>0</v>
      </c>
      <c r="AB106">
        <f>Z106*($F$24+IF($F$24=0,0,($C$14+$C$15+IF($C$13="single",1.5,3)+3)/12))</f>
        <v>0</v>
      </c>
      <c r="AC106">
        <f>AB106-W106</f>
        <v>0</v>
      </c>
      <c r="AD106" cm="1">
        <f t="array" ref="AD106">IFERROR(IF(AC106&lt;0,0,AC106/($R$39-INDEX(hd_off,MATCH(AQ106,hd_mark,0),0)/12)),0)</f>
        <v>0</v>
      </c>
      <c r="AE106">
        <f>IF(S106=0,0,$AD$39*$AM$24)</f>
        <v>0</v>
      </c>
      <c r="AF106">
        <f>IFERROR(AE106/$R$39,0)</f>
        <v>0</v>
      </c>
      <c r="AG106">
        <f>AE106*($F$24+IF($F$24=0,0,($C$14+$C$15+IF($C$13="single",1.5,3)+3)/12))</f>
        <v>0</v>
      </c>
      <c r="AH106">
        <f>AG106-X106</f>
        <v>0</v>
      </c>
      <c r="AI106" cm="1">
        <f t="array" ref="AI106">IFERROR(IF(AH106&lt;0,0,AH106/($R$39-INDEX(hd_off,MATCH(AQ106,hd_mark,0),0)/12)),0)</f>
        <v>0</v>
      </c>
      <c r="AJ106">
        <f>MAX($F$24,$AB$39)/$Q$52</f>
        <v>0</v>
      </c>
      <c r="AK106">
        <f t="shared" si="64"/>
        <v>0</v>
      </c>
      <c r="AL106" cm="1">
        <f t="array" ref="AL106">IFERROR(INDEX(sheath_ecap_asd,MATCH(AP106,sheath_mark,0),0)*AK106,0)</f>
        <v>0</v>
      </c>
      <c r="AM106" cm="1">
        <f t="array" ref="AM106">IFERROR(INDEX(sheath_wcap_asd,MATCH(AP106,sheath_mark,0),0)*AK106,0)</f>
        <v>0</v>
      </c>
      <c r="AN106" cm="1">
        <f t="array" ref="AN106">IFERROR(INDEX(hd_cap,MATCH(AQ106,hd_mark,0),0),0)</f>
        <v>0</v>
      </c>
      <c r="AP106" s="19"/>
      <c r="AQ106" s="19"/>
      <c r="AR106" s="100"/>
      <c r="AS106" s="93"/>
      <c r="AT106" s="111">
        <f>$R$39</f>
        <v>0</v>
      </c>
      <c r="AU106" t="str">
        <f>$Q$24</f>
        <v>L5</v>
      </c>
      <c r="AV106">
        <f>$E$24</f>
        <v>0</v>
      </c>
      <c r="AW106" cm="1">
        <f t="array" ref="AW106">IFERROR(IF(AV106=0,0,(INDEX($C$33:$C$38,MATCH($AZ$39,$B$33:$B$38,0),0)*(AV107+$BA$39)+$AW$39*COUNTIF(AV106:AV106,"&gt;0")*$C$32+$AY$39*$C$31)*$AU$39),0)</f>
        <v>0</v>
      </c>
      <c r="AX106">
        <f>IF(AV106=0,0,-(COUNTIF(AV106:AV106,"&gt;0")*$AW$39*$C$32+$AY$39*$C$31)*$H$27*$AU$39)</f>
        <v>0</v>
      </c>
      <c r="AY106">
        <f>IF(AV106=0,0,$AY$39*$H$26*$AU$39)</f>
        <v>0</v>
      </c>
      <c r="AZ106">
        <f>(0.6*AW106+0.7*AX106)*$AU$39/2</f>
        <v>0</v>
      </c>
      <c r="BA106">
        <f>AW106*$AU$39/2</f>
        <v>0</v>
      </c>
      <c r="BC106">
        <f>IF(AV106=0,0,$BG$39*$AP$24)</f>
        <v>0</v>
      </c>
      <c r="BD106">
        <f>IFERROR(BC106/$AU$39,0)</f>
        <v>0</v>
      </c>
      <c r="BE106">
        <f>BC106*($F$24+IF($F$24=0,0,($C$14+$C$15+IF($C$13="single",1.5,3)+3)/12))</f>
        <v>0</v>
      </c>
      <c r="BF106">
        <f>BE106-AZ106</f>
        <v>0</v>
      </c>
      <c r="BG106" cm="1">
        <f t="array" ref="BG106">IFERROR(IF(BF106&lt;0,0,BF106/($AU$39-INDEX(hd_off,MATCH(BT106,hd_mark,0),0)/12)),0)</f>
        <v>0</v>
      </c>
      <c r="BH106">
        <f>IF(AV106=0,0,$BG$39*$AM$24)</f>
        <v>0</v>
      </c>
      <c r="BI106">
        <f>IFERROR(BH106/$AU$39,0)</f>
        <v>0</v>
      </c>
      <c r="BJ106">
        <f>BH106*($F$24+IF($F$24=0,0,($C$14+$C$15+IF($C$13="single",1.5,3)+3)/12))</f>
        <v>0</v>
      </c>
      <c r="BK106">
        <f>BJ106-BA106</f>
        <v>0</v>
      </c>
      <c r="BL106" cm="1">
        <f t="array" ref="BL106">IFERROR(IF(BK106&lt;0,0,BK106/($AU$39-INDEX(hd_off,MATCH(BT106,hd_mark,0),0)/12)),0)</f>
        <v>0</v>
      </c>
      <c r="BM106">
        <f>MAX($F$24,$BE$39)/$Q$52</f>
        <v>0</v>
      </c>
      <c r="BN106">
        <f t="shared" si="65"/>
        <v>0</v>
      </c>
      <c r="BO106" cm="1">
        <f t="array" ref="BO106">IFERROR(INDEX(sheath_ecap_asd,MATCH(BS106,sheath_mark,0),0)*BN106,0)</f>
        <v>0</v>
      </c>
      <c r="BP106" cm="1">
        <f t="array" ref="BP106">IFERROR(INDEX(sheath_wcap_asd,MATCH(BS106,sheath_mark,0),0)*BN106,0)</f>
        <v>0</v>
      </c>
      <c r="BQ106" cm="1">
        <f t="array" ref="BQ106">IFERROR(INDEX(hd_cap,MATCH(BT106,hd_mark,0),0),0)</f>
        <v>0</v>
      </c>
      <c r="BS106" s="19"/>
      <c r="BT106" s="19"/>
      <c r="BU106" s="100"/>
    </row>
    <row r="107" spans="16:73" x14ac:dyDescent="0.25">
      <c r="P107" s="93"/>
      <c r="Q107" s="109"/>
      <c r="R107" t="str">
        <f>$Q$25</f>
        <v>Roof</v>
      </c>
      <c r="S107">
        <f>$E$25</f>
        <v>33.171875</v>
      </c>
      <c r="T107" cm="1">
        <f t="array" ref="T107">IFERROR(IF(S107=0,0,(INDEX($C$33:$C$38,MATCH($W$39,$B$33:$B$38,0),0)*(S107+$X$39)+$V$39*$C$31)*$R$39),0)</f>
        <v>0</v>
      </c>
      <c r="U107">
        <f>IF(S107=0,0,-$V$39*$C$31*$H$27*$R$39)</f>
        <v>0</v>
      </c>
      <c r="V107">
        <f>IF(S107=0,0,$V$39*$H$26*$R$39)</f>
        <v>0</v>
      </c>
      <c r="W107">
        <f>(0.6*T107+0.7*U107)*$R$39/2</f>
        <v>0</v>
      </c>
      <c r="X107">
        <f>T107*$R$39/2</f>
        <v>0</v>
      </c>
      <c r="Z107">
        <f>IF(S107=0,0,$AD$39*$AP$25)</f>
        <v>0</v>
      </c>
      <c r="AA107">
        <f>IFERROR(Z107/$R$39,0)</f>
        <v>0</v>
      </c>
      <c r="AB107">
        <f>Z107*($F$25+($C$16+$C$17+IF($C$13="single",1.5,3)+3)/12)</f>
        <v>0</v>
      </c>
      <c r="AC107">
        <f>AB107-W107</f>
        <v>0</v>
      </c>
      <c r="AD107" cm="1">
        <f t="array" ref="AD107">IFERROR(IF(AC107&lt;0,0,AC107/($R$39-INDEX(hd_off,MATCH(AQ107,hd_mark,0),0)/12)),0)</f>
        <v>0</v>
      </c>
      <c r="AE107">
        <f>IF(S107=0,0,$AD$39*$AM$25)</f>
        <v>0</v>
      </c>
      <c r="AF107">
        <f>IFERROR(AE107/$R$39,0)</f>
        <v>0</v>
      </c>
      <c r="AG107">
        <f>AE107*($F$25+($C$16+$C$17+IF($C$13="single",1.5,3)+3)/12)</f>
        <v>0</v>
      </c>
      <c r="AH107">
        <f>AG107-X107</f>
        <v>0</v>
      </c>
      <c r="AI107" cm="1">
        <f t="array" ref="AI107">IFERROR(IF(AH107&lt;0,0,AH107/($R$39-INDEX(hd_off,MATCH(AQ107,hd_mark,0),0)/12)),0)</f>
        <v>0</v>
      </c>
      <c r="AJ107">
        <f>MAX($F$25,$AC$39)/$Q$52</f>
        <v>0.29920977011494249</v>
      </c>
      <c r="AK107">
        <f t="shared" si="64"/>
        <v>1</v>
      </c>
      <c r="AL107" cm="1">
        <f t="array" ref="AL107">IFERROR(INDEX(sheath_ecap_asd,MATCH(AP107,sheath_mark,0),0)*AK107,0)</f>
        <v>0</v>
      </c>
      <c r="AM107" cm="1">
        <f t="array" ref="AM107">IFERROR(INDEX(sheath_wcap_asd,MATCH(AP107,sheath_mark,0),0)*AK107,0)</f>
        <v>0</v>
      </c>
      <c r="AN107" cm="1">
        <f t="array" ref="AN107">IFERROR(INDEX(hd_cap,MATCH(AQ107,hd_mark,0),0),0)</f>
        <v>0</v>
      </c>
      <c r="AP107" s="19"/>
      <c r="AQ107" s="19"/>
      <c r="AR107" s="100"/>
      <c r="AS107" s="93"/>
      <c r="AT107" s="109"/>
      <c r="AU107" t="str">
        <f>$Q$25</f>
        <v>Roof</v>
      </c>
      <c r="AV107">
        <f>$E$25</f>
        <v>33.171875</v>
      </c>
      <c r="AW107" cm="1">
        <f t="array" ref="AW107">IFERROR(IF(AV107=0,0,(INDEX($C$33:$C$38,MATCH($AZ$39,$B$33:$B$38,0),0)*(AV107+$BA$39)+$AY$39*$C$31)*$AU$39),0)</f>
        <v>0</v>
      </c>
      <c r="AX107">
        <f>IF(AV107=0,0,-$AY$39*$C$31*$H$27*$AU$39)</f>
        <v>0</v>
      </c>
      <c r="AY107">
        <f>IF(AV107=0,0,$AY$39*$H$26*$AU$39)</f>
        <v>0</v>
      </c>
      <c r="AZ107">
        <f>(0.6*AW107+0.7*AX107)*$AU$39/2</f>
        <v>0</v>
      </c>
      <c r="BA107">
        <f>AW107*$AU$39/2</f>
        <v>0</v>
      </c>
      <c r="BC107">
        <f>IF(AV107=0,0,$BG$39*$AP$25)</f>
        <v>0</v>
      </c>
      <c r="BD107">
        <f>IFERROR(BC107/$AU$39,0)</f>
        <v>0</v>
      </c>
      <c r="BE107">
        <f>BC107*($F$25+($C$16+$C$17+IF($C$13="single",1.5,3)+3)/12)</f>
        <v>0</v>
      </c>
      <c r="BF107">
        <f>BE107-AZ107</f>
        <v>0</v>
      </c>
      <c r="BG107" cm="1">
        <f t="array" ref="BG107">IFERROR(IF(BF107&lt;0,0,BF107/($AU$39-INDEX(hd_off,MATCH(BT107,hd_mark,0),0)/12)),0)</f>
        <v>0</v>
      </c>
      <c r="BH107">
        <f>IF(AV107=0,0,$BG$39*$AM$25)</f>
        <v>0</v>
      </c>
      <c r="BI107">
        <f>IFERROR(BH107/$AU$39,0)</f>
        <v>0</v>
      </c>
      <c r="BJ107">
        <f>BH107*($F$25+($C$16+$C$17+IF($C$13="single",1.5,3)+3)/12)</f>
        <v>0</v>
      </c>
      <c r="BK107">
        <f>BJ107-BA107</f>
        <v>0</v>
      </c>
      <c r="BL107" cm="1">
        <f t="array" ref="BL107">IFERROR(IF(BK107&lt;0,0,BK107/($AU$39-INDEX(hd_off,MATCH(BT107,hd_mark,0),0)/12)),0)</f>
        <v>0</v>
      </c>
      <c r="BM107">
        <f>MAX($F$25,$BF$39)/$Q$52</f>
        <v>0.29920977011494249</v>
      </c>
      <c r="BN107">
        <f t="shared" si="65"/>
        <v>1</v>
      </c>
      <c r="BO107" cm="1">
        <f t="array" ref="BO107">IFERROR(INDEX(sheath_ecap_asd,MATCH(BS107,sheath_mark,0),0)*BN107,0)</f>
        <v>0</v>
      </c>
      <c r="BP107" cm="1">
        <f t="array" ref="BP107">IFERROR(INDEX(sheath_wcap_asd,MATCH(BS107,sheath_mark,0),0)*BN107,0)</f>
        <v>0</v>
      </c>
      <c r="BQ107" cm="1">
        <f t="array" ref="BQ107">IFERROR(INDEX(hd_cap,MATCH(BT107,hd_mark,0),0),0)</f>
        <v>0</v>
      </c>
      <c r="BS107" s="19"/>
      <c r="BT107" s="19"/>
      <c r="BU107" s="100"/>
    </row>
    <row r="108" spans="16:73" x14ac:dyDescent="0.25">
      <c r="P108" s="93"/>
      <c r="AR108" s="100"/>
      <c r="AS108" s="93"/>
      <c r="BU108" s="100"/>
    </row>
    <row r="109" spans="16:73" x14ac:dyDescent="0.25">
      <c r="P109" s="93"/>
      <c r="Q109" s="110" t="str">
        <f>$Q$40</f>
        <v>A.11</v>
      </c>
      <c r="R109" t="str">
        <f>$Q$21</f>
        <v>L2</v>
      </c>
      <c r="S109">
        <f>$E$21</f>
        <v>10.6875</v>
      </c>
      <c r="T109" cm="1">
        <f t="array" ref="T109">IFERROR(IF(S109=0,0,(INDEX($C$33:$C$38,MATCH($W$40,$B$33:$B$38,0),0)*(S113+$X$40)+$T$40*COUNTIF(S109:S112,"&gt;0")*$C$32+$V$40*$C$31)*$R$40),0)</f>
        <v>0</v>
      </c>
      <c r="U109">
        <f>IF(S109=0,0,-(COUNTIF(S109:S112,"&gt;0")*$T$40*$C$32+$V$40*$C$31)*$H$27*$R$40)</f>
        <v>0</v>
      </c>
      <c r="V109">
        <f>IF(S109=0,0,$V$40*$H$26*$R$40)</f>
        <v>0</v>
      </c>
      <c r="W109">
        <f>(0.6*T109+0.7*U109)*$R$40/2</f>
        <v>0</v>
      </c>
      <c r="X109">
        <f>(0.6*T109+0.6*V109)*$R$40/2</f>
        <v>0</v>
      </c>
      <c r="Z109">
        <f>IF(S109=0,0,$AD$40*$AP$21)</f>
        <v>0</v>
      </c>
      <c r="AA109">
        <f>IFERROR(Z109/$R$40,0)</f>
        <v>0</v>
      </c>
      <c r="AB109">
        <f>Z109*($F$21+IF($F$21=0,0,($C$14+$C$15+IF($C$13="single",1.5,3)+3)/12))</f>
        <v>0</v>
      </c>
      <c r="AC109">
        <f>AB109-W109</f>
        <v>0</v>
      </c>
      <c r="AD109" cm="1">
        <f t="array" ref="AD109">IFERROR(IF(AC109&lt;0,0,AC109/($R$40-INDEX(hd_off,MATCH(AQ109,hd_mark,0),0)/12)),0)</f>
        <v>0</v>
      </c>
      <c r="AE109">
        <f>IF(S109=0,0,$AD$40*$AM$21)</f>
        <v>0</v>
      </c>
      <c r="AF109">
        <f>IFERROR(AE109/$R$40,0)</f>
        <v>0</v>
      </c>
      <c r="AG109">
        <f>AE109*($F$21+IF($F$21=0,0,($C$14+$C$15+IF($C$13="single",1.5,3)+3)/12))</f>
        <v>0</v>
      </c>
      <c r="AH109">
        <f>AG109-X109</f>
        <v>0</v>
      </c>
      <c r="AI109" cm="1">
        <f t="array" ref="AI109">IFERROR(IF(AH109&lt;0,0,AH109/($R$40-INDEX(hd_off,MATCH(AQ109,hd_mark,0),0)/12)),0)</f>
        <v>0</v>
      </c>
      <c r="AJ109">
        <f>MAX($F$21,$Y$40)/$Q$52</f>
        <v>0.30172413793103448</v>
      </c>
      <c r="AK109">
        <f>IF(AJ109=0,0,IF(AJ109&gt;2,1.25-0.125*AJ109,1))</f>
        <v>1</v>
      </c>
      <c r="AL109" cm="1">
        <f t="array" ref="AL109">IFERROR(INDEX(sheath_ecap_asd,MATCH(AP109,sheath_mark,0),0)*AK109,0)</f>
        <v>0</v>
      </c>
      <c r="AM109" cm="1">
        <f t="array" ref="AM109">IFERROR(INDEX(sheath_wcap_asd,MATCH(AP109,sheath_mark,0),0)*AK109,0)</f>
        <v>0</v>
      </c>
      <c r="AN109" cm="1">
        <f t="array" ref="AN109">IFERROR(INDEX(hd_cap,MATCH(AQ109,hd_mark,0),0),0)</f>
        <v>0</v>
      </c>
      <c r="AP109" s="19"/>
      <c r="AQ109" s="19"/>
      <c r="AR109" s="100"/>
      <c r="AS109" s="93"/>
      <c r="AT109" s="110" t="str">
        <f>$AT$40</f>
        <v>1.11</v>
      </c>
      <c r="AU109" t="str">
        <f>$Q$21</f>
        <v>L2</v>
      </c>
      <c r="AV109">
        <f>$E$21</f>
        <v>10.6875</v>
      </c>
      <c r="AW109" cm="1">
        <f t="array" ref="AW109">IFERROR(IF(AV109=0,0,(INDEX($C$33:$C$38,MATCH($AZ$40,$B$33:$B$38,0),0)*(AV113+$BA$40)+$AW$40*COUNTIF(AV109:AV112,"&gt;0")*$C$32+$AY$40*$C$31)*$AU$40),0)</f>
        <v>0</v>
      </c>
      <c r="AX109">
        <f>IF(AV109=0,0,-(COUNTIF(AV109:AV112,"&gt;0")*$AW$40*$C$32+$AY$40*$C$31)*$H$27*$AU$40)</f>
        <v>0</v>
      </c>
      <c r="AY109">
        <f>IF(AV109=0,0,$AY$40*$H$26*$AU$40)</f>
        <v>0</v>
      </c>
      <c r="AZ109">
        <f>(0.6*AW109+0.7*AX109)*$AU$40/2</f>
        <v>0</v>
      </c>
      <c r="BA109">
        <f>(0.6*AW109+0.6*AY109)*$AU$40/2</f>
        <v>0</v>
      </c>
      <c r="BC109">
        <f>IF(AV109=0,0,$BG$40*$AP$21)</f>
        <v>0</v>
      </c>
      <c r="BD109">
        <f>IFERROR(BC109/$AU$40,0)</f>
        <v>0</v>
      </c>
      <c r="BE109">
        <f>BC109*($F$21+IF($F$21=0,0,($C$14+$C$15+IF($C$13="single",1.5,3)+3)/12))</f>
        <v>0</v>
      </c>
      <c r="BF109">
        <f>BE109-AZ109</f>
        <v>0</v>
      </c>
      <c r="BG109" cm="1">
        <f t="array" ref="BG109">IFERROR(IF(BF109&lt;0,0,BF109/($AU$40-INDEX(hd_off,MATCH(BT109,hd_mark,0),0)/12)),0)</f>
        <v>0</v>
      </c>
      <c r="BH109">
        <f>IF(AV109=0,0,$BG$40*$AM$21)</f>
        <v>0</v>
      </c>
      <c r="BI109">
        <f>IFERROR(BH109/$AU$40,0)</f>
        <v>0</v>
      </c>
      <c r="BJ109">
        <f>BH109*($F$21+IF($F$21=0,0,($C$14+$C$15+IF($C$13="single",1.5,3)+3)/12))</f>
        <v>0</v>
      </c>
      <c r="BK109">
        <f>BJ109-BA109</f>
        <v>0</v>
      </c>
      <c r="BL109" cm="1">
        <f t="array" ref="BL109">IFERROR(IF(BK109&lt;0,0,BK109/($AU$40-INDEX(hd_off,MATCH(BT109,hd_mark,0),0)/12)),0)</f>
        <v>0</v>
      </c>
      <c r="BM109">
        <f>MAX($F$21,$BB$40)/$Q$52</f>
        <v>0.30172413793103448</v>
      </c>
      <c r="BN109">
        <f>IF(BM109=0,0,IF(BM109&gt;2,1.25-0.125*BM109,1))</f>
        <v>1</v>
      </c>
      <c r="BO109" cm="1">
        <f t="array" ref="BO109">IFERROR(INDEX(sheath_ecap_asd,MATCH(BS109,sheath_mark,0),0)*BN109,0)</f>
        <v>0</v>
      </c>
      <c r="BP109" cm="1">
        <f t="array" ref="BP109">IFERROR(INDEX(sheath_wcap_asd,MATCH(BS109,sheath_mark,0),0)*BN109,0)</f>
        <v>0</v>
      </c>
      <c r="BQ109" cm="1">
        <f t="array" ref="BQ109">IFERROR(INDEX(hd_cap,MATCH(BT109,hd_mark,0),0),0)</f>
        <v>0</v>
      </c>
      <c r="BS109" s="19"/>
      <c r="BT109" s="19"/>
      <c r="BU109" s="100"/>
    </row>
    <row r="110" spans="16:73" x14ac:dyDescent="0.25">
      <c r="P110" s="93"/>
      <c r="Q110" s="109"/>
      <c r="R110" t="str">
        <f>$Q$22</f>
        <v>L3</v>
      </c>
      <c r="S110">
        <f>$E$22</f>
        <v>21.375</v>
      </c>
      <c r="T110" cm="1">
        <f t="array" ref="T110">IFERROR(IF(S110=0,0,(INDEX($C$33:$C$38,MATCH($W$40,$B$33:$B$38,0),0)*(S113+$X$40)+$T$40*COUNTIF(S110:S112,"&gt;0")*$C$32+$V$40*$C$31)*$R$40),0)</f>
        <v>0</v>
      </c>
      <c r="U110">
        <f>IF(S110=0,0,-(COUNTIF(S110:S112,"&gt;0")*$T$40*$C$32+$V$40*$C$31)*$H$27*$R$40)</f>
        <v>0</v>
      </c>
      <c r="V110">
        <f>IF(S110=0,0,$V$40*$H$26*$R$40)</f>
        <v>0</v>
      </c>
      <c r="W110">
        <f>(0.6*T110+0.7*U110)*$R$40/2</f>
        <v>0</v>
      </c>
      <c r="X110">
        <f>T110*$R$40/2</f>
        <v>0</v>
      </c>
      <c r="Z110">
        <f>IF(S110=0,0,$AD$40*$AP$22)</f>
        <v>0</v>
      </c>
      <c r="AA110">
        <f>IFERROR(Z110/$R$40,0)</f>
        <v>0</v>
      </c>
      <c r="AB110">
        <f>Z110*($F$22+IF($F$22=0,0,($C$14+$C$15+IF($C$13="single",1.5,3)+3)/12))</f>
        <v>0</v>
      </c>
      <c r="AC110">
        <f>AB110-W110</f>
        <v>0</v>
      </c>
      <c r="AD110" cm="1">
        <f t="array" ref="AD110">IFERROR(IF(AC110&lt;0,0,AC110/($R$40-INDEX(hd_off,MATCH(AQ110,hd_mark,0),0)/12)),0)</f>
        <v>0</v>
      </c>
      <c r="AE110">
        <f>IF(S110=0,0,$AD$40*$AM$22)</f>
        <v>0</v>
      </c>
      <c r="AF110">
        <f>IFERROR(AE110/$R$40,0)</f>
        <v>0</v>
      </c>
      <c r="AG110">
        <f>AE110*($F$22+IF($F$22=0,0,($C$14+$C$15+IF($C$13="single",1.5,3)+3)/12))</f>
        <v>0</v>
      </c>
      <c r="AH110">
        <f>AG110-X110</f>
        <v>0</v>
      </c>
      <c r="AI110" cm="1">
        <f t="array" ref="AI110">IFERROR(IF(AH110&lt;0,0,AH110/($R$40-INDEX(hd_off,MATCH(AQ110,hd_mark,0),0)/12)),0)</f>
        <v>0</v>
      </c>
      <c r="AJ110">
        <f>MAX($F$22,$Z$40)/$Q$52</f>
        <v>0.30172413793103448</v>
      </c>
      <c r="AK110">
        <f t="shared" ref="AK110:AK113" si="66">IF(AJ110=0,0,IF(AJ110&gt;2,1.25-0.125*AJ110,1))</f>
        <v>1</v>
      </c>
      <c r="AL110" cm="1">
        <f t="array" ref="AL110">IFERROR(INDEX(sheath_ecap_asd,MATCH(AP110,sheath_mark,0),0)*AK110,0)</f>
        <v>0</v>
      </c>
      <c r="AM110" cm="1">
        <f t="array" ref="AM110">IFERROR(INDEX(sheath_wcap_asd,MATCH(AP110,sheath_mark,0),0)*AK110,0)</f>
        <v>0</v>
      </c>
      <c r="AN110" cm="1">
        <f t="array" ref="AN110">IFERROR(INDEX(hd_cap,MATCH(AQ110,hd_mark,0),0),0)</f>
        <v>0</v>
      </c>
      <c r="AP110" s="19"/>
      <c r="AQ110" s="19"/>
      <c r="AR110" s="100"/>
      <c r="AS110" s="93"/>
      <c r="AT110" s="109"/>
      <c r="AU110" t="str">
        <f>$Q$22</f>
        <v>L3</v>
      </c>
      <c r="AV110">
        <f>$E$22</f>
        <v>21.375</v>
      </c>
      <c r="AW110" cm="1">
        <f t="array" ref="AW110">IFERROR(IF(AV110=0,0,(INDEX($C$33:$C$38,MATCH($AZ$40,$B$33:$B$38,0),0)*(AV113+$BA$40)+$AW$40*COUNTIF(AV110:AV112,"&gt;0")*$C$32+$AY$40*$C$31)*$AU$40),0)</f>
        <v>0</v>
      </c>
      <c r="AX110">
        <f>IF(AV110=0,0,-(COUNTIF(AV110:AV112,"&gt;0")*$AW$40*$C$32+$AY$40*$C$31)*$H$27*$AU$40)</f>
        <v>0</v>
      </c>
      <c r="AY110">
        <f>IF(AV110=0,0,$AY$40*$H$26*$AU$40)</f>
        <v>0</v>
      </c>
      <c r="AZ110">
        <f>(0.6*AW110+0.7*AX110)*$AU$40/2</f>
        <v>0</v>
      </c>
      <c r="BA110">
        <f>AW110*$AU$40/2</f>
        <v>0</v>
      </c>
      <c r="BC110">
        <f>IF(AV110=0,0,$BG$40*$AP$22)</f>
        <v>0</v>
      </c>
      <c r="BD110">
        <f>IFERROR(BC110/$AU$40,0)</f>
        <v>0</v>
      </c>
      <c r="BE110">
        <f>BC110*($F$22+IF($F$22=0,0,($C$14+$C$15+IF($C$13="single",1.5,3)+3)/12))</f>
        <v>0</v>
      </c>
      <c r="BF110">
        <f>BE110-AZ110</f>
        <v>0</v>
      </c>
      <c r="BG110" cm="1">
        <f t="array" ref="BG110">IFERROR(IF(BF110&lt;0,0,BF110/($AU$40-INDEX(hd_off,MATCH(BT110,hd_mark,0),0)/12)),0)</f>
        <v>0</v>
      </c>
      <c r="BH110">
        <f>IF(AV110=0,0,$BG$40*$AM$22)</f>
        <v>0</v>
      </c>
      <c r="BI110">
        <f>IFERROR(BH110/$AU$40,0)</f>
        <v>0</v>
      </c>
      <c r="BJ110">
        <f>BH110*($F$22+IF($F$22=0,0,($C$14+$C$15+IF($C$13="single",1.5,3)+3)/12))</f>
        <v>0</v>
      </c>
      <c r="BK110">
        <f>BJ110-BA110</f>
        <v>0</v>
      </c>
      <c r="BL110" cm="1">
        <f t="array" ref="BL110">IFERROR(IF(BK110&lt;0,0,BK110/($AU$40-INDEX(hd_off,MATCH(BT110,hd_mark,0),0)/12)),0)</f>
        <v>0</v>
      </c>
      <c r="BM110">
        <f>MAX($F$22,$BC$40)/$Q$52</f>
        <v>0.30172413793103448</v>
      </c>
      <c r="BN110">
        <f t="shared" ref="BN110:BN113" si="67">IF(BM110=0,0,IF(BM110&gt;2,1.25-0.125*BM110,1))</f>
        <v>1</v>
      </c>
      <c r="BO110" cm="1">
        <f t="array" ref="BO110">IFERROR(INDEX(sheath_ecap_asd,MATCH(BS110,sheath_mark,0),0)*BN110,0)</f>
        <v>0</v>
      </c>
      <c r="BP110" cm="1">
        <f t="array" ref="BP110">IFERROR(INDEX(sheath_wcap_asd,MATCH(BS110,sheath_mark,0),0)*BN110,0)</f>
        <v>0</v>
      </c>
      <c r="BQ110" cm="1">
        <f t="array" ref="BQ110">IFERROR(INDEX(hd_cap,MATCH(BT110,hd_mark,0),0),0)</f>
        <v>0</v>
      </c>
      <c r="BS110" s="19"/>
      <c r="BT110" s="19"/>
      <c r="BU110" s="100"/>
    </row>
    <row r="111" spans="16:73" x14ac:dyDescent="0.25">
      <c r="P111" s="93"/>
      <c r="Q111" s="109" t="s">
        <v>491</v>
      </c>
      <c r="R111" t="str">
        <f>$Q$23</f>
        <v>L4</v>
      </c>
      <c r="S111">
        <f>$E$23</f>
        <v>0</v>
      </c>
      <c r="T111" cm="1">
        <f t="array" ref="T111">IFERROR(IF(S111=0,0,(INDEX($C$33:$C$38,MATCH($W$40,$B$33:$B$38,0),0)*(S113+$X$40)+$T$40*COUNTIF(S111:S112,"&gt;0")*$C$32+$V$40*$C$31)*$R$40),0)</f>
        <v>0</v>
      </c>
      <c r="U111">
        <f>IF(S111=0,0,-(COUNTIF(S111:S112,"&gt;0")*$T$40*$C$32+$V$40*$C$31)*$H$27*$R$40)</f>
        <v>0</v>
      </c>
      <c r="V111">
        <f>IF(S111=0,0,$V$40*$H$26*$R$40)</f>
        <v>0</v>
      </c>
      <c r="W111">
        <f>(0.6*T111+0.7*U111)*$R$40/2</f>
        <v>0</v>
      </c>
      <c r="X111">
        <f>T111*$R$40/2</f>
        <v>0</v>
      </c>
      <c r="Z111">
        <f>IF(S111=0,0,$AD$40*$AP$23)</f>
        <v>0</v>
      </c>
      <c r="AA111">
        <f>IFERROR(Z111/$R$40,0)</f>
        <v>0</v>
      </c>
      <c r="AB111">
        <f>Z111*($F$23+IF($F$23=0,0,($C$14+$C$15+IF($C$13="single",1.5,3)+3)/12))</f>
        <v>0</v>
      </c>
      <c r="AC111">
        <f>AB111-W111</f>
        <v>0</v>
      </c>
      <c r="AD111" cm="1">
        <f t="array" ref="AD111">IFERROR(IF(AC111&lt;0,0,AC111/($R$40-INDEX(hd_off,MATCH(AQ111,hd_mark,0),0)/12)),0)</f>
        <v>0</v>
      </c>
      <c r="AE111">
        <f>IF(S111=0,0,$AD$40*$AM$23)</f>
        <v>0</v>
      </c>
      <c r="AF111">
        <f>IFERROR(AE111/$R$40,0)</f>
        <v>0</v>
      </c>
      <c r="AG111">
        <f>AE111*($F$23+IF($F$23=0,0,($C$14+$C$15+IF($C$13="single",1.5,3)+3)/12))</f>
        <v>0</v>
      </c>
      <c r="AH111">
        <f>AG111-X111</f>
        <v>0</v>
      </c>
      <c r="AI111" cm="1">
        <f t="array" ref="AI111">IFERROR(IF(AH111&lt;0,0,AH111/($R$40-INDEX(hd_off,MATCH(AQ111,hd_mark,0),0)/12)),0)</f>
        <v>0</v>
      </c>
      <c r="AJ111">
        <f>MAX($F$23,$AA$40)/$Q$52</f>
        <v>0</v>
      </c>
      <c r="AK111">
        <f t="shared" si="66"/>
        <v>0</v>
      </c>
      <c r="AL111" cm="1">
        <f t="array" ref="AL111">IFERROR(INDEX(sheath_ecap_asd,MATCH(AP111,sheath_mark,0),0)*AK111,0)</f>
        <v>0</v>
      </c>
      <c r="AM111" cm="1">
        <f t="array" ref="AM111">IFERROR(INDEX(sheath_wcap_asd,MATCH(AP111,sheath_mark,0),0)*AK111,0)</f>
        <v>0</v>
      </c>
      <c r="AN111" cm="1">
        <f t="array" ref="AN111">IFERROR(INDEX(hd_cap,MATCH(AQ111,hd_mark,0),0),0)</f>
        <v>0</v>
      </c>
      <c r="AP111" s="19"/>
      <c r="AQ111" s="19"/>
      <c r="AR111" s="100"/>
      <c r="AS111" s="93"/>
      <c r="AT111" s="109" t="s">
        <v>491</v>
      </c>
      <c r="AU111" t="str">
        <f>$Q$23</f>
        <v>L4</v>
      </c>
      <c r="AV111">
        <f>$E$23</f>
        <v>0</v>
      </c>
      <c r="AW111" cm="1">
        <f t="array" ref="AW111">IFERROR(IF(AV111=0,0,(INDEX($C$33:$C$38,MATCH($AZ$40,$B$33:$B$38,0),0)*(AV113+$BA$40)+$AW$40*COUNTIF(AV111:AV112,"&gt;0")*$C$32+$AY$40*$C$31)*$AU$40),0)</f>
        <v>0</v>
      </c>
      <c r="AX111">
        <f>IF(AV111=0,0,-(COUNTIF(AV111:AV112,"&gt;0")*$AW$40*$C$32+$AY$40*$C$31)*$H$27*$AU$40)</f>
        <v>0</v>
      </c>
      <c r="AY111">
        <f>IF(AV111=0,0,$AY$40*$H$26*$AU$40)</f>
        <v>0</v>
      </c>
      <c r="AZ111">
        <f>(0.6*AW111+0.7*AX111)*$AU$40/2</f>
        <v>0</v>
      </c>
      <c r="BA111">
        <f>AW111*$AU$40/2</f>
        <v>0</v>
      </c>
      <c r="BC111">
        <f>IF(AV111=0,0,$BG$40*$AP$23)</f>
        <v>0</v>
      </c>
      <c r="BD111">
        <f>IFERROR(BC111/$AU$40,0)</f>
        <v>0</v>
      </c>
      <c r="BE111">
        <f>BC111*($F$23+IF($F$23=0,0,($C$14+$C$15+IF($C$13="single",1.5,3)+3)/12))</f>
        <v>0</v>
      </c>
      <c r="BF111">
        <f>BE111-AZ111</f>
        <v>0</v>
      </c>
      <c r="BG111" cm="1">
        <f t="array" ref="BG111">IFERROR(IF(BF111&lt;0,0,BF111/($AU$40-INDEX(hd_off,MATCH(BT111,hd_mark,0),0)/12)),0)</f>
        <v>0</v>
      </c>
      <c r="BH111">
        <f>IF(AV111=0,0,$BG$40*$AM$23)</f>
        <v>0</v>
      </c>
      <c r="BI111">
        <f>IFERROR(BH111/$AU$40,0)</f>
        <v>0</v>
      </c>
      <c r="BJ111">
        <f>BH111*($F$23+IF($F$23=0,0,($C$14+$C$15+IF($C$13="single",1.5,3)+3)/12))</f>
        <v>0</v>
      </c>
      <c r="BK111">
        <f>BJ111-BA111</f>
        <v>0</v>
      </c>
      <c r="BL111" cm="1">
        <f t="array" ref="BL111">IFERROR(IF(BK111&lt;0,0,BK111/($AU$40-INDEX(hd_off,MATCH(BT111,hd_mark,0),0)/12)),0)</f>
        <v>0</v>
      </c>
      <c r="BM111">
        <f>MAX($F$23,$BD$40)/$Q$52</f>
        <v>0</v>
      </c>
      <c r="BN111">
        <f t="shared" si="67"/>
        <v>0</v>
      </c>
      <c r="BO111" cm="1">
        <f t="array" ref="BO111">IFERROR(INDEX(sheath_ecap_asd,MATCH(BS111,sheath_mark,0),0)*BN111,0)</f>
        <v>0</v>
      </c>
      <c r="BP111" cm="1">
        <f t="array" ref="BP111">IFERROR(INDEX(sheath_wcap_asd,MATCH(BS111,sheath_mark,0),0)*BN111,0)</f>
        <v>0</v>
      </c>
      <c r="BQ111" cm="1">
        <f t="array" ref="BQ111">IFERROR(INDEX(hd_cap,MATCH(BT111,hd_mark,0),0),0)</f>
        <v>0</v>
      </c>
      <c r="BS111" s="19"/>
      <c r="BT111" s="19"/>
      <c r="BU111" s="100"/>
    </row>
    <row r="112" spans="16:73" x14ac:dyDescent="0.25">
      <c r="P112" s="93"/>
      <c r="Q112" s="111">
        <f>$R$40</f>
        <v>0</v>
      </c>
      <c r="R112" t="str">
        <f>$Q$24</f>
        <v>L5</v>
      </c>
      <c r="S112">
        <f>$E$24</f>
        <v>0</v>
      </c>
      <c r="T112" cm="1">
        <f t="array" ref="T112">IFERROR(IF(S112=0,0,(INDEX($C$33:$C$38,MATCH($W$40,$B$33:$B$38,0),0)*(S113+$X$40)+$T$40*COUNTIF(S112:S112,"&gt;0")*$C$32+$V$40*$C$31)*$R$40),0)</f>
        <v>0</v>
      </c>
      <c r="U112">
        <f>IF(S112=0,0,-(COUNTIF(S112:S112,"&gt;0")*$T$40*$C$32+$V$40*$C$31)*$H$27*$R$40)</f>
        <v>0</v>
      </c>
      <c r="V112">
        <f>IF(S112=0,0,$V$40*$H$26*$R$40)</f>
        <v>0</v>
      </c>
      <c r="W112">
        <f>(0.6*T112+0.7*U112)*$R$40/2</f>
        <v>0</v>
      </c>
      <c r="X112">
        <f>T112*$R$40/2</f>
        <v>0</v>
      </c>
      <c r="Z112">
        <f>IF(S112=0,0,$AD$40*$AP$24)</f>
        <v>0</v>
      </c>
      <c r="AA112">
        <f>IFERROR(Z112/$R$40,0)</f>
        <v>0</v>
      </c>
      <c r="AB112">
        <f>Z112*($F$24+IF($F$24=0,0,($C$14+$C$15+IF($C$13="single",1.5,3)+3)/12))</f>
        <v>0</v>
      </c>
      <c r="AC112">
        <f>AB112-W112</f>
        <v>0</v>
      </c>
      <c r="AD112" cm="1">
        <f t="array" ref="AD112">IFERROR(IF(AC112&lt;0,0,AC112/($R$40-INDEX(hd_off,MATCH(AQ112,hd_mark,0),0)/12)),0)</f>
        <v>0</v>
      </c>
      <c r="AE112">
        <f>IF(S112=0,0,$AD$40*$AM$24)</f>
        <v>0</v>
      </c>
      <c r="AF112">
        <f>IFERROR(AE112/$R$40,0)</f>
        <v>0</v>
      </c>
      <c r="AG112">
        <f>AE112*($F$24+IF($F$24=0,0,($C$14+$C$15+IF($C$13="single",1.5,3)+3)/12))</f>
        <v>0</v>
      </c>
      <c r="AH112">
        <f>AG112-X112</f>
        <v>0</v>
      </c>
      <c r="AI112" cm="1">
        <f t="array" ref="AI112">IFERROR(IF(AH112&lt;0,0,AH112/($R$40-INDEX(hd_off,MATCH(AQ112,hd_mark,0),0)/12)),0)</f>
        <v>0</v>
      </c>
      <c r="AJ112">
        <f>MAX($F$24,$AB$40)/$Q$52</f>
        <v>0</v>
      </c>
      <c r="AK112">
        <f t="shared" si="66"/>
        <v>0</v>
      </c>
      <c r="AL112" cm="1">
        <f t="array" ref="AL112">IFERROR(INDEX(sheath_ecap_asd,MATCH(AP112,sheath_mark,0),0)*AK112,0)</f>
        <v>0</v>
      </c>
      <c r="AM112" cm="1">
        <f t="array" ref="AM112">IFERROR(INDEX(sheath_wcap_asd,MATCH(AP112,sheath_mark,0),0)*AK112,0)</f>
        <v>0</v>
      </c>
      <c r="AN112" cm="1">
        <f t="array" ref="AN112">IFERROR(INDEX(hd_cap,MATCH(AQ112,hd_mark,0),0),0)</f>
        <v>0</v>
      </c>
      <c r="AP112" s="19"/>
      <c r="AQ112" s="19"/>
      <c r="AR112" s="100"/>
      <c r="AS112" s="93"/>
      <c r="AT112" s="111">
        <f>$R$40</f>
        <v>0</v>
      </c>
      <c r="AU112" t="str">
        <f>$Q$24</f>
        <v>L5</v>
      </c>
      <c r="AV112">
        <f>$E$24</f>
        <v>0</v>
      </c>
      <c r="AW112" cm="1">
        <f t="array" ref="AW112">IFERROR(IF(AV112=0,0,(INDEX($C$33:$C$38,MATCH($AZ$40,$B$33:$B$38,0),0)*(AV113+$BA$40)+$AW$40*COUNTIF(AV112:AV112,"&gt;0")*$C$32+$AY$40*$C$31)*$AU$40),0)</f>
        <v>0</v>
      </c>
      <c r="AX112">
        <f>IF(AV112=0,0,-(COUNTIF(AV112:AV112,"&gt;0")*$AW$40*$C$32+$AY$40*$C$31)*$H$27*$AU$40)</f>
        <v>0</v>
      </c>
      <c r="AY112">
        <f>IF(AV112=0,0,$AY$40*$H$26*$AU$40)</f>
        <v>0</v>
      </c>
      <c r="AZ112">
        <f>(0.6*AW112+0.7*AX112)*$AU$40/2</f>
        <v>0</v>
      </c>
      <c r="BA112">
        <f>AW112*$AU$40/2</f>
        <v>0</v>
      </c>
      <c r="BC112">
        <f>IF(AV112=0,0,$BG$40*$AP$24)</f>
        <v>0</v>
      </c>
      <c r="BD112">
        <f>IFERROR(BC112/$AU$40,0)</f>
        <v>0</v>
      </c>
      <c r="BE112">
        <f>BC112*($F$24+IF($F$24=0,0,($C$14+$C$15+IF($C$13="single",1.5,3)+3)/12))</f>
        <v>0</v>
      </c>
      <c r="BF112">
        <f>BE112-AZ112</f>
        <v>0</v>
      </c>
      <c r="BG112" cm="1">
        <f t="array" ref="BG112">IFERROR(IF(BF112&lt;0,0,BF112/($AU$40-INDEX(hd_off,MATCH(BT112,hd_mark,0),0)/12)),0)</f>
        <v>0</v>
      </c>
      <c r="BH112">
        <f>IF(AV112=0,0,$BG$40*$AM$24)</f>
        <v>0</v>
      </c>
      <c r="BI112">
        <f>IFERROR(BH112/$AU$40,0)</f>
        <v>0</v>
      </c>
      <c r="BJ112">
        <f>BH112*($F$24+IF($F$24=0,0,($C$14+$C$15+IF($C$13="single",1.5,3)+3)/12))</f>
        <v>0</v>
      </c>
      <c r="BK112">
        <f>BJ112-BA112</f>
        <v>0</v>
      </c>
      <c r="BL112" cm="1">
        <f t="array" ref="BL112">IFERROR(IF(BK112&lt;0,0,BK112/($AU$40-INDEX(hd_off,MATCH(BT112,hd_mark,0),0)/12)),0)</f>
        <v>0</v>
      </c>
      <c r="BM112">
        <f>MAX($F$24,$BE$40)/$Q$52</f>
        <v>0</v>
      </c>
      <c r="BN112">
        <f t="shared" si="67"/>
        <v>0</v>
      </c>
      <c r="BO112" cm="1">
        <f t="array" ref="BO112">IFERROR(INDEX(sheath_ecap_asd,MATCH(BS112,sheath_mark,0),0)*BN112,0)</f>
        <v>0</v>
      </c>
      <c r="BP112" cm="1">
        <f t="array" ref="BP112">IFERROR(INDEX(sheath_wcap_asd,MATCH(BS112,sheath_mark,0),0)*BN112,0)</f>
        <v>0</v>
      </c>
      <c r="BQ112" cm="1">
        <f t="array" ref="BQ112">IFERROR(INDEX(hd_cap,MATCH(BT112,hd_mark,0),0),0)</f>
        <v>0</v>
      </c>
      <c r="BS112" s="19"/>
      <c r="BT112" s="19"/>
      <c r="BU112" s="100"/>
    </row>
    <row r="113" spans="16:73" x14ac:dyDescent="0.25">
      <c r="P113" s="93"/>
      <c r="Q113" s="109"/>
      <c r="R113" t="str">
        <f>$Q$25</f>
        <v>Roof</v>
      </c>
      <c r="S113">
        <f>$E$25</f>
        <v>33.171875</v>
      </c>
      <c r="T113" cm="1">
        <f t="array" ref="T113">IFERROR(IF(S113=0,0,(INDEX($C$33:$C$38,MATCH($W$40,$B$33:$B$38,0),0)*(S113+$X$40)+$V$40*$C$31)*$R$40),0)</f>
        <v>0</v>
      </c>
      <c r="U113">
        <f>IF(S113=0,0,-$V$40*$C$31*$H$27*$R$40)</f>
        <v>0</v>
      </c>
      <c r="V113">
        <f>IF(S113=0,0,$V$40*$H$26*$R$40)</f>
        <v>0</v>
      </c>
      <c r="W113">
        <f>(0.6*T113+0.7*U113)*$R$40/2</f>
        <v>0</v>
      </c>
      <c r="X113">
        <f>T113*$R$40/2</f>
        <v>0</v>
      </c>
      <c r="Z113">
        <f>IF(S113=0,0,$AD$40*$AP$25)</f>
        <v>0</v>
      </c>
      <c r="AA113">
        <f>IFERROR(Z113/$R$40,0)</f>
        <v>0</v>
      </c>
      <c r="AB113">
        <f>Z113*($F$25+($C$16+$C$17+IF($C$13="single",1.5,3)+3)/12)</f>
        <v>0</v>
      </c>
      <c r="AC113">
        <f>AB113-W113</f>
        <v>0</v>
      </c>
      <c r="AD113" cm="1">
        <f t="array" ref="AD113">IFERROR(IF(AC113&lt;0,0,AC113/($R$40-INDEX(hd_off,MATCH(AQ113,hd_mark,0),0)/12)),0)</f>
        <v>0</v>
      </c>
      <c r="AE113">
        <f>IF(S113=0,0,$AD$40*$AM$25)</f>
        <v>0</v>
      </c>
      <c r="AF113">
        <f>IFERROR(AE113/$R$40,0)</f>
        <v>0</v>
      </c>
      <c r="AG113">
        <f>AE113*($F$25+($C$16+$C$17+IF($C$13="single",1.5,3)+3)/12)</f>
        <v>0</v>
      </c>
      <c r="AH113">
        <f>AG113-X113</f>
        <v>0</v>
      </c>
      <c r="AI113" cm="1">
        <f t="array" ref="AI113">IFERROR(IF(AH113&lt;0,0,AH113/($R$40-INDEX(hd_off,MATCH(AQ113,hd_mark,0),0)/12)),0)</f>
        <v>0</v>
      </c>
      <c r="AJ113">
        <f>MAX($F$25,$AC$40)/$Q$52</f>
        <v>0.29920977011494249</v>
      </c>
      <c r="AK113">
        <f t="shared" si="66"/>
        <v>1</v>
      </c>
      <c r="AL113" cm="1">
        <f t="array" ref="AL113">IFERROR(INDEX(sheath_ecap_asd,MATCH(AP113,sheath_mark,0),0)*AK113,0)</f>
        <v>0</v>
      </c>
      <c r="AM113" cm="1">
        <f t="array" ref="AM113">IFERROR(INDEX(sheath_wcap_asd,MATCH(AP113,sheath_mark,0),0)*AK113,0)</f>
        <v>0</v>
      </c>
      <c r="AN113" cm="1">
        <f t="array" ref="AN113">IFERROR(INDEX(hd_cap,MATCH(AQ113,hd_mark,0),0),0)</f>
        <v>0</v>
      </c>
      <c r="AP113" s="19"/>
      <c r="AQ113" s="19"/>
      <c r="AR113" s="100"/>
      <c r="AS113" s="93"/>
      <c r="AT113" s="109"/>
      <c r="AU113" t="str">
        <f>$Q$25</f>
        <v>Roof</v>
      </c>
      <c r="AV113">
        <f>$E$25</f>
        <v>33.171875</v>
      </c>
      <c r="AW113" cm="1">
        <f t="array" ref="AW113">IFERROR(IF(AV113=0,0,(INDEX($C$33:$C$38,MATCH($AZ$40,$B$33:$B$38,0),0)*(AV113+$BA$40)+$AY$40*$C$31)*$AU$40),0)</f>
        <v>0</v>
      </c>
      <c r="AX113">
        <f>IF(AV113=0,0,-$AY$40*$C$31*$H$27*$AU$40)</f>
        <v>0</v>
      </c>
      <c r="AY113">
        <f>IF(AV113=0,0,$AY$40*$H$26*$AU$40)</f>
        <v>0</v>
      </c>
      <c r="AZ113">
        <f>(0.6*AW113+0.7*AX113)*$AU$40/2</f>
        <v>0</v>
      </c>
      <c r="BA113">
        <f>AW113*$AU$40/2</f>
        <v>0</v>
      </c>
      <c r="BC113">
        <f>IF(AV113=0,0,$BG$40*$AP$25)</f>
        <v>0</v>
      </c>
      <c r="BD113">
        <f>IFERROR(BC113/$AU$40,0)</f>
        <v>0</v>
      </c>
      <c r="BE113">
        <f>BC113*($F$25+($C$16+$C$17+IF($C$13="single",1.5,3)+3)/12)</f>
        <v>0</v>
      </c>
      <c r="BF113">
        <f>BE113-AZ113</f>
        <v>0</v>
      </c>
      <c r="BG113" cm="1">
        <f t="array" ref="BG113">IFERROR(IF(BF113&lt;0,0,BF113/($AU$40-INDEX(hd_off,MATCH(BT113,hd_mark,0),0)/12)),0)</f>
        <v>0</v>
      </c>
      <c r="BH113">
        <f>IF(AV113=0,0,$BG$40*$AM$25)</f>
        <v>0</v>
      </c>
      <c r="BI113">
        <f>IFERROR(BH113/$AU$40,0)</f>
        <v>0</v>
      </c>
      <c r="BJ113">
        <f>BH113*($F$25+($C$16+$C$17+IF($C$13="single",1.5,3)+3)/12)</f>
        <v>0</v>
      </c>
      <c r="BK113">
        <f>BJ113-BA113</f>
        <v>0</v>
      </c>
      <c r="BL113" cm="1">
        <f t="array" ref="BL113">IFERROR(IF(BK113&lt;0,0,BK113/($AU$40-INDEX(hd_off,MATCH(BT113,hd_mark,0),0)/12)),0)</f>
        <v>0</v>
      </c>
      <c r="BM113">
        <f>MAX($F$25,$BF$40)/$Q$52</f>
        <v>0.29920977011494249</v>
      </c>
      <c r="BN113">
        <f t="shared" si="67"/>
        <v>1</v>
      </c>
      <c r="BO113" cm="1">
        <f t="array" ref="BO113">IFERROR(INDEX(sheath_ecap_asd,MATCH(BS113,sheath_mark,0),0)*BN113,0)</f>
        <v>0</v>
      </c>
      <c r="BP113" cm="1">
        <f t="array" ref="BP113">IFERROR(INDEX(sheath_wcap_asd,MATCH(BS113,sheath_mark,0),0)*BN113,0)</f>
        <v>0</v>
      </c>
      <c r="BQ113" cm="1">
        <f t="array" ref="BQ113">IFERROR(INDEX(hd_cap,MATCH(BT113,hd_mark,0),0),0)</f>
        <v>0</v>
      </c>
      <c r="BS113" s="19"/>
      <c r="BT113" s="19"/>
      <c r="BU113" s="100"/>
    </row>
    <row r="114" spans="16:73" x14ac:dyDescent="0.25">
      <c r="P114" s="93"/>
      <c r="AR114" s="100"/>
      <c r="AS114" s="93"/>
      <c r="BU114" s="100"/>
    </row>
    <row r="115" spans="16:73" x14ac:dyDescent="0.25">
      <c r="P115" s="93"/>
      <c r="Q115" s="110" t="str">
        <f>$Q$41</f>
        <v>A.12</v>
      </c>
      <c r="R115" t="str">
        <f>$Q$21</f>
        <v>L2</v>
      </c>
      <c r="S115">
        <f>$E$21</f>
        <v>10.6875</v>
      </c>
      <c r="T115" cm="1">
        <f t="array" ref="T115">IFERROR(IF(S115=0,0,(INDEX($C$33:$C$38,MATCH($W$41,$B$33:$B$38,0),0)*(S119+$X$41)+$T$41*COUNTIF(S115:S118,"&gt;0")*$C$32+$V$41*$C$31)*$R$41),0)</f>
        <v>0</v>
      </c>
      <c r="U115">
        <f>IF(S115=0,0,-(COUNTIF(S115:S118,"&gt;0")*$T$41*$C$32+$V$41*$C$31)*$H$27*$R$41)</f>
        <v>0</v>
      </c>
      <c r="V115">
        <f>IF(S115=0,0,$V$41*$H$26*$R$41)</f>
        <v>0</v>
      </c>
      <c r="W115">
        <f>(0.6*T115+0.7*U115)*$R$41/2</f>
        <v>0</v>
      </c>
      <c r="X115">
        <f>(0.6*T115+0.6*V115)*$R$41/2</f>
        <v>0</v>
      </c>
      <c r="Z115">
        <f>IF(S115=0,0,$AD$41*$AP$21)</f>
        <v>0</v>
      </c>
      <c r="AA115">
        <f>IFERROR(Z115/$R$41,0)</f>
        <v>0</v>
      </c>
      <c r="AB115">
        <f>Z115*($F$21+IF($F$21=0,0,($C$14+$C$15+IF($C$13="single",1.5,3)+3)/12))</f>
        <v>0</v>
      </c>
      <c r="AC115">
        <f>AB115-W115</f>
        <v>0</v>
      </c>
      <c r="AD115" cm="1">
        <f t="array" ref="AD115">IFERROR(IF(AC115&lt;0,0,AC115/($R$41-INDEX(hd_off,MATCH(AQ115,hd_mark,0),0)/12)),0)</f>
        <v>0</v>
      </c>
      <c r="AE115">
        <f>IF(S115=0,0,$AD$41*$AM$21)</f>
        <v>0</v>
      </c>
      <c r="AF115">
        <f>IFERROR(AE115/$R$41,0)</f>
        <v>0</v>
      </c>
      <c r="AG115">
        <f>AE115*($F$21+IF($F$21=0,0,($C$14+$C$15+IF($C$13="single",1.5,3)+3)/12))</f>
        <v>0</v>
      </c>
      <c r="AH115">
        <f>AG115-X115</f>
        <v>0</v>
      </c>
      <c r="AI115" cm="1">
        <f t="array" ref="AI115">IFERROR(IF(AH115&lt;0,0,AH115/($R$41-INDEX(hd_off,MATCH(AQ115,hd_mark,0),0)/12)),0)</f>
        <v>0</v>
      </c>
      <c r="AJ115">
        <f>MAX($F$21,$Y$41)/$Q$52</f>
        <v>0.30172413793103448</v>
      </c>
      <c r="AK115">
        <f>IF(AJ115=0,0,IF(AJ115&gt;2,1.25-0.125*AJ115,1))</f>
        <v>1</v>
      </c>
      <c r="AL115" cm="1">
        <f t="array" ref="AL115">IFERROR(INDEX(sheath_ecap_asd,MATCH(AP115,sheath_mark,0),0)*AK115,0)</f>
        <v>0</v>
      </c>
      <c r="AM115" cm="1">
        <f t="array" ref="AM115">IFERROR(INDEX(sheath_wcap_asd,MATCH(AP115,sheath_mark,0),0)*AK115,0)</f>
        <v>0</v>
      </c>
      <c r="AN115" cm="1">
        <f t="array" ref="AN115">IFERROR(INDEX(hd_cap,MATCH(AQ115,hd_mark,0),0),0)</f>
        <v>0</v>
      </c>
      <c r="AP115" s="19"/>
      <c r="AQ115" s="19"/>
      <c r="AR115" s="100"/>
      <c r="AS115" s="93"/>
      <c r="AT115" s="110" t="str">
        <f>$AT$41</f>
        <v>1.12</v>
      </c>
      <c r="AU115" t="str">
        <f>$Q$21</f>
        <v>L2</v>
      </c>
      <c r="AV115">
        <f>$E$21</f>
        <v>10.6875</v>
      </c>
      <c r="AW115" cm="1">
        <f t="array" ref="AW115">IFERROR(IF(AV115=0,0,(INDEX($C$33:$C$38,MATCH($AZ$41,$B$33:$B$38,0),0)*(AV119+$BA$41)+$AW$41*COUNTIF(AV115:AV118,"&gt;0")*$C$32+$AY$41*$C$31)*$AU$41),0)</f>
        <v>0</v>
      </c>
      <c r="AX115">
        <f>IF(AV115=0,0,-(COUNTIF(AV115:AV118,"&gt;0")*$AW$41*$C$32+$AY$41*$C$31)*$H$27*$AU$41)</f>
        <v>0</v>
      </c>
      <c r="AY115">
        <f>IF(AV115=0,0,$AY$41*$H$26*$AU$41)</f>
        <v>0</v>
      </c>
      <c r="AZ115">
        <f>(0.6*AW115+0.7*AX115)*$AU$41/2</f>
        <v>0</v>
      </c>
      <c r="BA115">
        <f>(0.6*AW115+0.6*AY115)*$AU$41/2</f>
        <v>0</v>
      </c>
      <c r="BC115">
        <f>IF(AV115=0,0,$BG$41*$AP$21)</f>
        <v>0</v>
      </c>
      <c r="BD115">
        <f>IFERROR(BC115/$AU$41,0)</f>
        <v>0</v>
      </c>
      <c r="BE115">
        <f>BC115*($F$21+IF($F$21=0,0,($C$14+$C$15+IF($C$13="single",1.5,3)+3)/12))</f>
        <v>0</v>
      </c>
      <c r="BF115">
        <f>BE115-AZ115</f>
        <v>0</v>
      </c>
      <c r="BG115" cm="1">
        <f t="array" ref="BG115">IFERROR(IF(BF115&lt;0,0,BF115/($AU$41-INDEX(hd_off,MATCH(BT115,hd_mark,0),0)/12)),0)</f>
        <v>0</v>
      </c>
      <c r="BH115">
        <f>IF(AV115=0,0,$BG$41*$AM$21)</f>
        <v>0</v>
      </c>
      <c r="BI115">
        <f>IFERROR(BH115/$AU$41,0)</f>
        <v>0</v>
      </c>
      <c r="BJ115">
        <f>BH115*($F$21+IF($F$21=0,0,($C$14+$C$15+IF($C$13="single",1.5,3)+3)/12))</f>
        <v>0</v>
      </c>
      <c r="BK115">
        <f>BJ115-BA115</f>
        <v>0</v>
      </c>
      <c r="BL115" cm="1">
        <f t="array" ref="BL115">IFERROR(IF(BK115&lt;0,0,BK115/($AU$41-INDEX(hd_off,MATCH(BT115,hd_mark,0),0)/12)),0)</f>
        <v>0</v>
      </c>
      <c r="BM115">
        <f>MAX($F$21,$BB$41)/$Q$52</f>
        <v>0.30172413793103448</v>
      </c>
      <c r="BN115">
        <f>IF(BM115=0,0,IF(BM115&gt;2,1.25-0.125*BM115,1))</f>
        <v>1</v>
      </c>
      <c r="BO115" cm="1">
        <f t="array" ref="BO115">IFERROR(INDEX(sheath_ecap_asd,MATCH(BS115,sheath_mark,0),0)*BN115,0)</f>
        <v>0</v>
      </c>
      <c r="BP115" cm="1">
        <f t="array" ref="BP115">IFERROR(INDEX(sheath_wcap_asd,MATCH(BS115,sheath_mark,0),0)*BN115,0)</f>
        <v>0</v>
      </c>
      <c r="BQ115" cm="1">
        <f t="array" ref="BQ115">IFERROR(INDEX(hd_cap,MATCH(BT115,hd_mark,0),0),0)</f>
        <v>0</v>
      </c>
      <c r="BS115" s="19"/>
      <c r="BT115" s="19"/>
      <c r="BU115" s="100"/>
    </row>
    <row r="116" spans="16:73" x14ac:dyDescent="0.25">
      <c r="P116" s="93"/>
      <c r="Q116" s="109"/>
      <c r="R116" t="str">
        <f>$Q$22</f>
        <v>L3</v>
      </c>
      <c r="S116">
        <f>$E$22</f>
        <v>21.375</v>
      </c>
      <c r="T116" cm="1">
        <f t="array" ref="T116">IFERROR(IF(S116=0,0,(INDEX($C$33:$C$38,MATCH($W$41,$B$33:$B$38,0),0)*(S119+$X$41)+$T$41*COUNTIF(S116:S118,"&gt;0")*$C$32+$V$41*$C$31)*$R$41),0)</f>
        <v>0</v>
      </c>
      <c r="U116">
        <f>IF(S116=0,0,-(COUNTIF(S116:S118,"&gt;0")*$T$41*$C$32+$V$41*$C$31)*$H$27*$R$41)</f>
        <v>0</v>
      </c>
      <c r="V116">
        <f>IF(S116=0,0,$V$41*$H$26*$R$41)</f>
        <v>0</v>
      </c>
      <c r="W116">
        <f>(0.6*T116+0.7*U116)*$R$41/2</f>
        <v>0</v>
      </c>
      <c r="X116">
        <f>T116*$R$41/2</f>
        <v>0</v>
      </c>
      <c r="Z116">
        <f>IF(S116=0,0,$AD$41*$AP$22)</f>
        <v>0</v>
      </c>
      <c r="AA116">
        <f>IFERROR(Z116/$R$41,0)</f>
        <v>0</v>
      </c>
      <c r="AB116">
        <f>Z116*($F$22+IF($F$22=0,0,($C$14+$C$15+IF($C$13="single",1.5,3)+3)/12))</f>
        <v>0</v>
      </c>
      <c r="AC116">
        <f>AB116-W116</f>
        <v>0</v>
      </c>
      <c r="AD116" cm="1">
        <f t="array" ref="AD116">IFERROR(IF(AC116&lt;0,0,AC116/($R$41-INDEX(hd_off,MATCH(AQ116,hd_mark,0),0)/12)),0)</f>
        <v>0</v>
      </c>
      <c r="AE116">
        <f>IF(S116=0,0,$AD$41*$AM$22)</f>
        <v>0</v>
      </c>
      <c r="AF116">
        <f>IFERROR(AE116/$R$41,0)</f>
        <v>0</v>
      </c>
      <c r="AG116">
        <f>AE116*($F$22+IF($F$22=0,0,($C$14+$C$15+IF($C$13="single",1.5,3)+3)/12))</f>
        <v>0</v>
      </c>
      <c r="AH116">
        <f>AG116-X116</f>
        <v>0</v>
      </c>
      <c r="AI116" cm="1">
        <f t="array" ref="AI116">IFERROR(IF(AH116&lt;0,0,AH116/($R$41-INDEX(hd_off,MATCH(AQ116,hd_mark,0),0)/12)),0)</f>
        <v>0</v>
      </c>
      <c r="AJ116">
        <f>MAX($F$22,$Z$41)/$Q$52</f>
        <v>0.30172413793103448</v>
      </c>
      <c r="AK116">
        <f t="shared" ref="AK116:AK119" si="68">IF(AJ116=0,0,IF(AJ116&gt;2,1.25-0.125*AJ116,1))</f>
        <v>1</v>
      </c>
      <c r="AL116" cm="1">
        <f t="array" ref="AL116">IFERROR(INDEX(sheath_ecap_asd,MATCH(AP116,sheath_mark,0),0)*AK116,0)</f>
        <v>0</v>
      </c>
      <c r="AM116" cm="1">
        <f t="array" ref="AM116">IFERROR(INDEX(sheath_wcap_asd,MATCH(AP116,sheath_mark,0),0)*AK116,0)</f>
        <v>0</v>
      </c>
      <c r="AN116" cm="1">
        <f t="array" ref="AN116">IFERROR(INDEX(hd_cap,MATCH(AQ116,hd_mark,0),0),0)</f>
        <v>0</v>
      </c>
      <c r="AP116" s="19"/>
      <c r="AQ116" s="19"/>
      <c r="AR116" s="100"/>
      <c r="AS116" s="93"/>
      <c r="AT116" s="109"/>
      <c r="AU116" t="str">
        <f>$Q$22</f>
        <v>L3</v>
      </c>
      <c r="AV116">
        <f>$E$22</f>
        <v>21.375</v>
      </c>
      <c r="AW116" cm="1">
        <f t="array" ref="AW116">IFERROR(IF(AV116=0,0,(INDEX($C$33:$C$38,MATCH($AZ$41,$B$33:$B$38,0),0)*(AV119+$BA$41)+$AW$41*COUNTIF(AV116:AV118,"&gt;0")*$C$32+$AY$41*$C$31)*$AU$41),0)</f>
        <v>0</v>
      </c>
      <c r="AX116">
        <f>IF(AV116=0,0,-(COUNTIF(AV116:AV118,"&gt;0")*$AW$41*$C$32+$AY$41*$C$31)*$H$27*$AU$41)</f>
        <v>0</v>
      </c>
      <c r="AY116">
        <f>IF(AV116=0,0,$AY$41*$H$26*$AU$41)</f>
        <v>0</v>
      </c>
      <c r="AZ116">
        <f>(0.6*AW116+0.7*AX116)*$AU$41/2</f>
        <v>0</v>
      </c>
      <c r="BA116">
        <f>AW116*$AU$41/2</f>
        <v>0</v>
      </c>
      <c r="BC116">
        <f>IF(AV116=0,0,$BG$41*$AP$22)</f>
        <v>0</v>
      </c>
      <c r="BD116">
        <f>IFERROR(BC116/$AU$41,0)</f>
        <v>0</v>
      </c>
      <c r="BE116">
        <f>BC116*($F$22+IF($F$22=0,0,($C$14+$C$15+IF($C$13="single",1.5,3)+3)/12))</f>
        <v>0</v>
      </c>
      <c r="BF116">
        <f>BE116-AZ116</f>
        <v>0</v>
      </c>
      <c r="BG116" cm="1">
        <f t="array" ref="BG116">IFERROR(IF(BF116&lt;0,0,BF116/($AU$41-INDEX(hd_off,MATCH(BT116,hd_mark,0),0)/12)),0)</f>
        <v>0</v>
      </c>
      <c r="BH116">
        <f>IF(AV116=0,0,$BG$41*$AM$22)</f>
        <v>0</v>
      </c>
      <c r="BI116">
        <f>IFERROR(BH116/$AU$41,0)</f>
        <v>0</v>
      </c>
      <c r="BJ116">
        <f>BH116*($F$22+IF($F$22=0,0,($C$14+$C$15+IF($C$13="single",1.5,3)+3)/12))</f>
        <v>0</v>
      </c>
      <c r="BK116">
        <f>BJ116-BA116</f>
        <v>0</v>
      </c>
      <c r="BL116" cm="1">
        <f t="array" ref="BL116">IFERROR(IF(BK116&lt;0,0,BK116/($AU$41-INDEX(hd_off,MATCH(BT116,hd_mark,0),0)/12)),0)</f>
        <v>0</v>
      </c>
      <c r="BM116">
        <f>MAX($F$22,$BC$41)/$Q$52</f>
        <v>0.30172413793103448</v>
      </c>
      <c r="BN116">
        <f t="shared" ref="BN116:BN119" si="69">IF(BM116=0,0,IF(BM116&gt;2,1.25-0.125*BM116,1))</f>
        <v>1</v>
      </c>
      <c r="BO116" cm="1">
        <f t="array" ref="BO116">IFERROR(INDEX(sheath_ecap_asd,MATCH(BS116,sheath_mark,0),0)*BN116,0)</f>
        <v>0</v>
      </c>
      <c r="BP116" cm="1">
        <f t="array" ref="BP116">IFERROR(INDEX(sheath_wcap_asd,MATCH(BS116,sheath_mark,0),0)*BN116,0)</f>
        <v>0</v>
      </c>
      <c r="BQ116" cm="1">
        <f t="array" ref="BQ116">IFERROR(INDEX(hd_cap,MATCH(BT116,hd_mark,0),0),0)</f>
        <v>0</v>
      </c>
      <c r="BS116" s="19"/>
      <c r="BT116" s="19"/>
      <c r="BU116" s="100"/>
    </row>
    <row r="117" spans="16:73" x14ac:dyDescent="0.25">
      <c r="P117" s="93"/>
      <c r="Q117" s="109" t="s">
        <v>491</v>
      </c>
      <c r="R117" t="str">
        <f>$Q$23</f>
        <v>L4</v>
      </c>
      <c r="S117">
        <f>$E$23</f>
        <v>0</v>
      </c>
      <c r="T117" cm="1">
        <f t="array" ref="T117">IFERROR(IF(S117=0,0,(INDEX($C$33:$C$38,MATCH($W$41,$B$33:$B$38,0),0)*(S119+$X$41)+$T$41*COUNTIF(S117:S118,"&gt;0")*$C$32+$V$41*$C$31)*$R$41),0)</f>
        <v>0</v>
      </c>
      <c r="U117">
        <f>IF(S117=0,0,-(COUNTIF(S117:S118,"&gt;0")*$T$41*$C$32+$V$41*$C$31)*$H$27*$R$41)</f>
        <v>0</v>
      </c>
      <c r="V117">
        <f>IF(S117=0,0,$V$41*$H$26*$R$41)</f>
        <v>0</v>
      </c>
      <c r="W117">
        <f>(0.6*T117+0.7*U117)*$R$41/2</f>
        <v>0</v>
      </c>
      <c r="X117">
        <f>T117*$R$41/2</f>
        <v>0</v>
      </c>
      <c r="Z117">
        <f>IF(S117=0,0,$AD$41*$AP$23)</f>
        <v>0</v>
      </c>
      <c r="AA117">
        <f>IFERROR(Z117/$R$41,0)</f>
        <v>0</v>
      </c>
      <c r="AB117">
        <f>Z117*($F$23+IF($F$23=0,0,($C$14+$C$15+IF($C$13="single",1.5,3)+3)/12))</f>
        <v>0</v>
      </c>
      <c r="AC117">
        <f>AB117-W117</f>
        <v>0</v>
      </c>
      <c r="AD117" cm="1">
        <f t="array" ref="AD117">IFERROR(IF(AC117&lt;0,0,AC117/($R$41-INDEX(hd_off,MATCH(AQ117,hd_mark,0),0)/12)),0)</f>
        <v>0</v>
      </c>
      <c r="AE117">
        <f>IF(S117=0,0,$AD$41*$AM$23)</f>
        <v>0</v>
      </c>
      <c r="AF117">
        <f>IFERROR(AE117/$R$41,0)</f>
        <v>0</v>
      </c>
      <c r="AG117">
        <f>AE117*($F$23+IF($F$23=0,0,($C$14+$C$15+IF($C$13="single",1.5,3)+3)/12))</f>
        <v>0</v>
      </c>
      <c r="AH117">
        <f>AG117-X117</f>
        <v>0</v>
      </c>
      <c r="AI117" cm="1">
        <f t="array" ref="AI117">IFERROR(IF(AH117&lt;0,0,AH117/($R$41-INDEX(hd_off,MATCH(AQ117,hd_mark,0),0)/12)),0)</f>
        <v>0</v>
      </c>
      <c r="AJ117">
        <f>MAX($F$23,$AA$41)/$Q$52</f>
        <v>0</v>
      </c>
      <c r="AK117">
        <f t="shared" si="68"/>
        <v>0</v>
      </c>
      <c r="AL117" cm="1">
        <f t="array" ref="AL117">IFERROR(INDEX(sheath_ecap_asd,MATCH(AP117,sheath_mark,0),0)*AK117,0)</f>
        <v>0</v>
      </c>
      <c r="AM117" cm="1">
        <f t="array" ref="AM117">IFERROR(INDEX(sheath_wcap_asd,MATCH(AP117,sheath_mark,0),0)*AK117,0)</f>
        <v>0</v>
      </c>
      <c r="AN117" cm="1">
        <f t="array" ref="AN117">IFERROR(INDEX(hd_cap,MATCH(AQ117,hd_mark,0),0),0)</f>
        <v>0</v>
      </c>
      <c r="AP117" s="19"/>
      <c r="AQ117" s="19"/>
      <c r="AR117" s="100"/>
      <c r="AS117" s="93"/>
      <c r="AT117" s="109" t="s">
        <v>491</v>
      </c>
      <c r="AU117" t="str">
        <f>$Q$23</f>
        <v>L4</v>
      </c>
      <c r="AV117">
        <f>$E$23</f>
        <v>0</v>
      </c>
      <c r="AW117" cm="1">
        <f t="array" ref="AW117">IFERROR(IF(AV117=0,0,(INDEX($C$33:$C$38,MATCH($AZ$41,$B$33:$B$38,0),0)*(AV119+$BA$41)+$AW$41*COUNTIF(AV117:AV118,"&gt;0")*$C$32+$AY$41*$C$31)*$AU$41),0)</f>
        <v>0</v>
      </c>
      <c r="AX117">
        <f>IF(AV117=0,0,-(COUNTIF(AV117:AV118,"&gt;0")*$AW$41*$C$32+$AY$41*$C$31)*$H$27*$AU$41)</f>
        <v>0</v>
      </c>
      <c r="AY117">
        <f>IF(AV117=0,0,$AY$41*$H$26*$AU$41)</f>
        <v>0</v>
      </c>
      <c r="AZ117">
        <f>(0.6*AW117+0.7*AX117)*$AU$41/2</f>
        <v>0</v>
      </c>
      <c r="BA117">
        <f>AW117*$AU$41/2</f>
        <v>0</v>
      </c>
      <c r="BC117">
        <f>IF(AV117=0,0,$BG$41*$AP$23)</f>
        <v>0</v>
      </c>
      <c r="BD117">
        <f>IFERROR(BC117/$AU$41,0)</f>
        <v>0</v>
      </c>
      <c r="BE117">
        <f>BC117*($F$23+IF($F$23=0,0,($C$14+$C$15+IF($C$13="single",1.5,3)+3)/12))</f>
        <v>0</v>
      </c>
      <c r="BF117">
        <f>BE117-AZ117</f>
        <v>0</v>
      </c>
      <c r="BG117" cm="1">
        <f t="array" ref="BG117">IFERROR(IF(BF117&lt;0,0,BF117/($AU$41-INDEX(hd_off,MATCH(BT117,hd_mark,0),0)/12)),0)</f>
        <v>0</v>
      </c>
      <c r="BH117">
        <f>IF(AV117=0,0,$BG$41*$AM$23)</f>
        <v>0</v>
      </c>
      <c r="BI117">
        <f>IFERROR(BH117/$AU$41,0)</f>
        <v>0</v>
      </c>
      <c r="BJ117">
        <f>BH117*($F$23+IF($F$23=0,0,($C$14+$C$15+IF($C$13="single",1.5,3)+3)/12))</f>
        <v>0</v>
      </c>
      <c r="BK117">
        <f>BJ117-BA117</f>
        <v>0</v>
      </c>
      <c r="BL117" cm="1">
        <f t="array" ref="BL117">IFERROR(IF(BK117&lt;0,0,BK117/($AU$41-INDEX(hd_off,MATCH(BT117,hd_mark,0),0)/12)),0)</f>
        <v>0</v>
      </c>
      <c r="BM117">
        <f>MAX($F$23,$BD$41)/$Q$52</f>
        <v>0</v>
      </c>
      <c r="BN117">
        <f t="shared" si="69"/>
        <v>0</v>
      </c>
      <c r="BO117" cm="1">
        <f t="array" ref="BO117">IFERROR(INDEX(sheath_ecap_asd,MATCH(BS117,sheath_mark,0),0)*BN117,0)</f>
        <v>0</v>
      </c>
      <c r="BP117" cm="1">
        <f t="array" ref="BP117">IFERROR(INDEX(sheath_wcap_asd,MATCH(BS117,sheath_mark,0),0)*BN117,0)</f>
        <v>0</v>
      </c>
      <c r="BQ117" cm="1">
        <f t="array" ref="BQ117">IFERROR(INDEX(hd_cap,MATCH(BT117,hd_mark,0),0),0)</f>
        <v>0</v>
      </c>
      <c r="BS117" s="19"/>
      <c r="BT117" s="19"/>
      <c r="BU117" s="100"/>
    </row>
    <row r="118" spans="16:73" x14ac:dyDescent="0.25">
      <c r="P118" s="93"/>
      <c r="Q118" s="111">
        <f>$R$41</f>
        <v>0</v>
      </c>
      <c r="R118" t="str">
        <f>$Q$24</f>
        <v>L5</v>
      </c>
      <c r="S118">
        <f>$E$24</f>
        <v>0</v>
      </c>
      <c r="T118" cm="1">
        <f t="array" ref="T118">IFERROR(IF(S118=0,0,(INDEX($C$33:$C$38,MATCH($W$41,$B$33:$B$38,0),0)*(S119+$X$41)+$T$41*COUNTIF(S118:S118,"&gt;0")*$C$32+$V$41*$C$31)*$R$41),0)</f>
        <v>0</v>
      </c>
      <c r="U118">
        <f>IF(S118=0,0,-(COUNTIF(S118:S118,"&gt;0")*$T$41*$C$32+$V$41*$C$31)*$H$27*$R$41)</f>
        <v>0</v>
      </c>
      <c r="V118">
        <f>IF(S118=0,0,$V$41*$H$26*$R$41)</f>
        <v>0</v>
      </c>
      <c r="W118">
        <f>(0.6*T118+0.7*U118)*$R$41/2</f>
        <v>0</v>
      </c>
      <c r="X118">
        <f>T118*$R$41/2</f>
        <v>0</v>
      </c>
      <c r="Z118">
        <f>IF(S118=0,0,$AD$41*$AP$24)</f>
        <v>0</v>
      </c>
      <c r="AA118">
        <f>IFERROR(Z118/$R$41,0)</f>
        <v>0</v>
      </c>
      <c r="AB118">
        <f>Z118*($F$24+IF($F$24=0,0,($C$14+$C$15+IF($C$13="single",1.5,3)+3)/12))</f>
        <v>0</v>
      </c>
      <c r="AC118">
        <f>AB118-W118</f>
        <v>0</v>
      </c>
      <c r="AD118" cm="1">
        <f t="array" ref="AD118">IFERROR(IF(AC118&lt;0,0,AC118/($R$41-INDEX(hd_off,MATCH(AQ118,hd_mark,0),0)/12)),0)</f>
        <v>0</v>
      </c>
      <c r="AE118">
        <f>IF(S118=0,0,$AD$41*$AM$24)</f>
        <v>0</v>
      </c>
      <c r="AF118">
        <f>IFERROR(AE118/$R$41,0)</f>
        <v>0</v>
      </c>
      <c r="AG118">
        <f>AE118*($F$24+IF($F$24=0,0,($C$14+$C$15+IF($C$13="single",1.5,3)+3)/12))</f>
        <v>0</v>
      </c>
      <c r="AH118">
        <f>AG118-X118</f>
        <v>0</v>
      </c>
      <c r="AI118" cm="1">
        <f t="array" ref="AI118">IFERROR(IF(AH118&lt;0,0,AH118/($R$41-INDEX(hd_off,MATCH(AQ118,hd_mark,0),0)/12)),0)</f>
        <v>0</v>
      </c>
      <c r="AJ118">
        <f>MAX($F$24,$AB$41)/$Q$52</f>
        <v>0</v>
      </c>
      <c r="AK118">
        <f t="shared" si="68"/>
        <v>0</v>
      </c>
      <c r="AL118" cm="1">
        <f t="array" ref="AL118">IFERROR(INDEX(sheath_ecap_asd,MATCH(AP118,sheath_mark,0),0)*AK118,0)</f>
        <v>0</v>
      </c>
      <c r="AM118" cm="1">
        <f t="array" ref="AM118">IFERROR(INDEX(sheath_wcap_asd,MATCH(AP118,sheath_mark,0),0)*AK118,0)</f>
        <v>0</v>
      </c>
      <c r="AN118" cm="1">
        <f t="array" ref="AN118">IFERROR(INDEX(hd_cap,MATCH(AQ118,hd_mark,0),0),0)</f>
        <v>0</v>
      </c>
      <c r="AP118" s="19"/>
      <c r="AQ118" s="19"/>
      <c r="AR118" s="100"/>
      <c r="AS118" s="93"/>
      <c r="AT118" s="111">
        <f>$R$41</f>
        <v>0</v>
      </c>
      <c r="AU118" t="str">
        <f>$Q$24</f>
        <v>L5</v>
      </c>
      <c r="AV118">
        <f>$E$24</f>
        <v>0</v>
      </c>
      <c r="AW118" cm="1">
        <f t="array" ref="AW118">IFERROR(IF(AV118=0,0,(INDEX($C$33:$C$38,MATCH($AZ$41,$B$33:$B$38,0),0)*(AV119+$BA$41)+$AW$41*COUNTIF(AV118:AV118,"&gt;0")*$C$32+$AY$41*$C$31)*$AU$41),0)</f>
        <v>0</v>
      </c>
      <c r="AX118">
        <f>IF(AV118=0,0,-(COUNTIF(AV118:AV118,"&gt;0")*$AW$41*$C$32+$AY$41*$C$31)*$H$27*$AU$41)</f>
        <v>0</v>
      </c>
      <c r="AY118">
        <f>IF(AV118=0,0,$AY$41*$H$26*$AU$41)</f>
        <v>0</v>
      </c>
      <c r="AZ118">
        <f>(0.6*AW118+0.7*AX118)*$AU$41/2</f>
        <v>0</v>
      </c>
      <c r="BA118">
        <f>AW118*$AU$41/2</f>
        <v>0</v>
      </c>
      <c r="BC118">
        <f>IF(AV118=0,0,$BG$41*$AP$24)</f>
        <v>0</v>
      </c>
      <c r="BD118">
        <f>IFERROR(BC118/$AU$41,0)</f>
        <v>0</v>
      </c>
      <c r="BE118">
        <f>BC118*($F$24+IF($F$24=0,0,($C$14+$C$15+IF($C$13="single",1.5,3)+3)/12))</f>
        <v>0</v>
      </c>
      <c r="BF118">
        <f>BE118-AZ118</f>
        <v>0</v>
      </c>
      <c r="BG118" cm="1">
        <f t="array" ref="BG118">IFERROR(IF(BF118&lt;0,0,BF118/($AU$41-INDEX(hd_off,MATCH(BT118,hd_mark,0),0)/12)),0)</f>
        <v>0</v>
      </c>
      <c r="BH118">
        <f>IF(AV118=0,0,$BG$41*$AM$24)</f>
        <v>0</v>
      </c>
      <c r="BI118">
        <f>IFERROR(BH118/$AU$41,0)</f>
        <v>0</v>
      </c>
      <c r="BJ118">
        <f>BH118*($F$24+IF($F$24=0,0,($C$14+$C$15+IF($C$13="single",1.5,3)+3)/12))</f>
        <v>0</v>
      </c>
      <c r="BK118">
        <f>BJ118-BA118</f>
        <v>0</v>
      </c>
      <c r="BL118" cm="1">
        <f t="array" ref="BL118">IFERROR(IF(BK118&lt;0,0,BK118/($AU$41-INDEX(hd_off,MATCH(BT118,hd_mark,0),0)/12)),0)</f>
        <v>0</v>
      </c>
      <c r="BM118">
        <f>MAX($F$24,$BE$41)/$Q$52</f>
        <v>0</v>
      </c>
      <c r="BN118">
        <f t="shared" si="69"/>
        <v>0</v>
      </c>
      <c r="BO118" cm="1">
        <f t="array" ref="BO118">IFERROR(INDEX(sheath_ecap_asd,MATCH(BS118,sheath_mark,0),0)*BN118,0)</f>
        <v>0</v>
      </c>
      <c r="BP118" cm="1">
        <f t="array" ref="BP118">IFERROR(INDEX(sheath_wcap_asd,MATCH(BS118,sheath_mark,0),0)*BN118,0)</f>
        <v>0</v>
      </c>
      <c r="BQ118" cm="1">
        <f t="array" ref="BQ118">IFERROR(INDEX(hd_cap,MATCH(BT118,hd_mark,0),0),0)</f>
        <v>0</v>
      </c>
      <c r="BS118" s="19"/>
      <c r="BT118" s="19"/>
      <c r="BU118" s="100"/>
    </row>
    <row r="119" spans="16:73" x14ac:dyDescent="0.25">
      <c r="P119" s="93"/>
      <c r="Q119" s="109"/>
      <c r="R119" t="str">
        <f>$Q$25</f>
        <v>Roof</v>
      </c>
      <c r="S119">
        <f>$E$25</f>
        <v>33.171875</v>
      </c>
      <c r="T119" cm="1">
        <f t="array" ref="T119">IFERROR(IF(S119=0,0,(INDEX($C$33:$C$38,MATCH($W$41,$B$33:$B$38,0),0)*(S119+$X$41)+$V$41*$C$31)*$R$41),0)</f>
        <v>0</v>
      </c>
      <c r="U119">
        <f>IF(S119=0,0,-$V$41*$C$31*$H$27*$R$41)</f>
        <v>0</v>
      </c>
      <c r="V119">
        <f>IF(S119=0,0,$V$41*$H$26*$R$41)</f>
        <v>0</v>
      </c>
      <c r="W119">
        <f>(0.6*T119+0.7*U119)*$R$41/2</f>
        <v>0</v>
      </c>
      <c r="X119">
        <f>T119*$R$41/2</f>
        <v>0</v>
      </c>
      <c r="Z119">
        <f>IF(S119=0,0,$AD$41*$AP$25)</f>
        <v>0</v>
      </c>
      <c r="AA119">
        <f>IFERROR(Z119/$R$41,0)</f>
        <v>0</v>
      </c>
      <c r="AB119">
        <f>Z119*($F$25+($C$16+$C$17+IF($C$13="single",1.5,3)+3)/12)</f>
        <v>0</v>
      </c>
      <c r="AC119">
        <f>AB119-W119</f>
        <v>0</v>
      </c>
      <c r="AD119" cm="1">
        <f t="array" ref="AD119">IFERROR(IF(AC119&lt;0,0,AC119/($R$41-INDEX(hd_off,MATCH(AQ119,hd_mark,0),0)/12)),0)</f>
        <v>0</v>
      </c>
      <c r="AE119">
        <f>IF(S119=0,0,$AD$41*$AM$25)</f>
        <v>0</v>
      </c>
      <c r="AF119">
        <f>IFERROR(AE119/$R$41,0)</f>
        <v>0</v>
      </c>
      <c r="AG119">
        <f>AE119*($F$25+($C$16+$C$17+IF($C$13="single",1.5,3)+3)/12)</f>
        <v>0</v>
      </c>
      <c r="AH119">
        <f>AG119-X119</f>
        <v>0</v>
      </c>
      <c r="AI119" cm="1">
        <f t="array" ref="AI119">IFERROR(IF(AH119&lt;0,0,AH119/($R$41-INDEX(hd_off,MATCH(AQ119,hd_mark,0),0)/12)),0)</f>
        <v>0</v>
      </c>
      <c r="AJ119">
        <f>MAX($F$25,$AC$41)/$Q$52</f>
        <v>0.29920977011494249</v>
      </c>
      <c r="AK119">
        <f t="shared" si="68"/>
        <v>1</v>
      </c>
      <c r="AL119" cm="1">
        <f t="array" ref="AL119">IFERROR(INDEX(sheath_ecap_asd,MATCH(AP119,sheath_mark,0),0)*AK119,0)</f>
        <v>0</v>
      </c>
      <c r="AM119" cm="1">
        <f t="array" ref="AM119">IFERROR(INDEX(sheath_wcap_asd,MATCH(AP119,sheath_mark,0),0)*AK119,0)</f>
        <v>0</v>
      </c>
      <c r="AN119" cm="1">
        <f t="array" ref="AN119">IFERROR(INDEX(hd_cap,MATCH(AQ119,hd_mark,0),0),0)</f>
        <v>0</v>
      </c>
      <c r="AP119" s="19"/>
      <c r="AQ119" s="19"/>
      <c r="AR119" s="100"/>
      <c r="AS119" s="93"/>
      <c r="AT119" s="109"/>
      <c r="AU119" t="str">
        <f>$Q$25</f>
        <v>Roof</v>
      </c>
      <c r="AV119">
        <f>$E$25</f>
        <v>33.171875</v>
      </c>
      <c r="AW119" cm="1">
        <f t="array" ref="AW119">IFERROR(IF(AV119=0,0,(INDEX($C$33:$C$38,MATCH($AZ$41,$B$33:$B$38,0),0)*(AV119+$BA$41)+$AY$41*$C$31)*$AU$41),0)</f>
        <v>0</v>
      </c>
      <c r="AX119">
        <f>IF(AV119=0,0,-$AY$41*$C$31*$H$27*$AU$41)</f>
        <v>0</v>
      </c>
      <c r="AY119">
        <f>IF(AV119=0,0,$AY$41*$H$26*$AU$41)</f>
        <v>0</v>
      </c>
      <c r="AZ119">
        <f>(0.6*AW119+0.7*AX119)*$AU$41/2</f>
        <v>0</v>
      </c>
      <c r="BA119">
        <f>AW119*$AU$41/2</f>
        <v>0</v>
      </c>
      <c r="BC119">
        <f>IF(AV119=0,0,$BG$41*$AP$25)</f>
        <v>0</v>
      </c>
      <c r="BD119">
        <f>IFERROR(BC119/$AU$41,0)</f>
        <v>0</v>
      </c>
      <c r="BE119">
        <f>BC119*($F$25+($C$16+$C$17+IF($C$13="single",1.5,3)+3)/12)</f>
        <v>0</v>
      </c>
      <c r="BF119">
        <f>BE119-AZ119</f>
        <v>0</v>
      </c>
      <c r="BG119" cm="1">
        <f t="array" ref="BG119">IFERROR(IF(BF119&lt;0,0,BF119/($AU$41-INDEX(hd_off,MATCH(BT119,hd_mark,0),0)/12)),0)</f>
        <v>0</v>
      </c>
      <c r="BH119">
        <f>IF(AV119=0,0,$BG$41*$AM$25)</f>
        <v>0</v>
      </c>
      <c r="BI119">
        <f>IFERROR(BH119/$AU$41,0)</f>
        <v>0</v>
      </c>
      <c r="BJ119">
        <f>BH119*($F$25+($C$16+$C$17+IF($C$13="single",1.5,3)+3)/12)</f>
        <v>0</v>
      </c>
      <c r="BK119">
        <f>BJ119-BA119</f>
        <v>0</v>
      </c>
      <c r="BL119" cm="1">
        <f t="array" ref="BL119">IFERROR(IF(BK119&lt;0,0,BK119/($AU$41-INDEX(hd_off,MATCH(BT119,hd_mark,0),0)/12)),0)</f>
        <v>0</v>
      </c>
      <c r="BM119">
        <f>MAX($F$25,$BF$41)/$Q$52</f>
        <v>0.29920977011494249</v>
      </c>
      <c r="BN119">
        <f t="shared" si="69"/>
        <v>1</v>
      </c>
      <c r="BO119" cm="1">
        <f t="array" ref="BO119">IFERROR(INDEX(sheath_ecap_asd,MATCH(BS119,sheath_mark,0),0)*BN119,0)</f>
        <v>0</v>
      </c>
      <c r="BP119" cm="1">
        <f t="array" ref="BP119">IFERROR(INDEX(sheath_wcap_asd,MATCH(BS119,sheath_mark,0),0)*BN119,0)</f>
        <v>0</v>
      </c>
      <c r="BQ119" cm="1">
        <f t="array" ref="BQ119">IFERROR(INDEX(hd_cap,MATCH(BT119,hd_mark,0),0),0)</f>
        <v>0</v>
      </c>
      <c r="BS119" s="19"/>
      <c r="BT119" s="19"/>
      <c r="BU119" s="100"/>
    </row>
    <row r="120" spans="16:73" x14ac:dyDescent="0.25">
      <c r="P120" s="93"/>
      <c r="AR120" s="100"/>
      <c r="AS120" s="93"/>
      <c r="BU120" s="100"/>
    </row>
    <row r="121" spans="16:73" x14ac:dyDescent="0.25">
      <c r="P121" s="93"/>
      <c r="Q121" s="110" t="str">
        <f>$Q$42</f>
        <v>A.13</v>
      </c>
      <c r="R121" t="str">
        <f>$Q$21</f>
        <v>L2</v>
      </c>
      <c r="S121">
        <f>$E$21</f>
        <v>10.6875</v>
      </c>
      <c r="T121" cm="1">
        <f t="array" ref="T121">IFERROR(IF(S121=0,0,(INDEX($C$33:$C$38,MATCH($W$42,$B$33:$B$38,0),0)*(S125+$X$42)+$T$42*COUNTIF(S121:S124,"&gt;0")*$C$32+$V$42*$C$31)*$R$42),0)</f>
        <v>0</v>
      </c>
      <c r="U121">
        <f>IF(S121=0,0,-(COUNTIF(S121:S124,"&gt;0")*$T$42*$C$32+$V$42*$C$31)*$H$27*$R$42)</f>
        <v>0</v>
      </c>
      <c r="V121">
        <f>IF(S121=0,0,$V$42*$H$26*$R$42)</f>
        <v>0</v>
      </c>
      <c r="W121">
        <f>(0.6*T121+0.7*U121)*$R$42/2</f>
        <v>0</v>
      </c>
      <c r="X121">
        <f>(0.6*T121+0.6*V121)*$R$42/2</f>
        <v>0</v>
      </c>
      <c r="Z121">
        <f>IF(S121=0,0,$AD$42*$AP$21)</f>
        <v>0</v>
      </c>
      <c r="AA121">
        <f>IFERROR(Z121/$R$42,0)</f>
        <v>0</v>
      </c>
      <c r="AB121">
        <f>Z121*($F$21+IF($F$21=0,0,($C$14+$C$15+IF($C$13="single",1.5,3)+3)/12))</f>
        <v>0</v>
      </c>
      <c r="AC121">
        <f>AB121-W121</f>
        <v>0</v>
      </c>
      <c r="AD121" cm="1">
        <f t="array" ref="AD121">IFERROR(IF(AC121&lt;0,0,AC121/($R$42-INDEX(hd_off,MATCH(AQ121,hd_mark,0),0)/12)),0)</f>
        <v>0</v>
      </c>
      <c r="AE121">
        <f>IF(S121=0,0,$AD$42*$AM$21)</f>
        <v>0</v>
      </c>
      <c r="AF121">
        <f>IFERROR(AE121/$R$42,0)</f>
        <v>0</v>
      </c>
      <c r="AG121">
        <f>AE121*($F$21+IF($F$21=0,0,($C$14+$C$15+IF($C$13="single",1.5,3)+3)/12))</f>
        <v>0</v>
      </c>
      <c r="AH121">
        <f>AG121-X121</f>
        <v>0</v>
      </c>
      <c r="AI121" cm="1">
        <f t="array" ref="AI121">IFERROR(IF(AH121&lt;0,0,AH121/($R$42-INDEX(hd_off,MATCH(AQ121,hd_mark,0),0)/12)),0)</f>
        <v>0</v>
      </c>
      <c r="AJ121">
        <f>MAX($F$21,$Y$42)/$Q$52</f>
        <v>0.30172413793103448</v>
      </c>
      <c r="AK121">
        <f>IF(AJ121=0,0,IF(AJ121&gt;2,1.25-0.125*AJ121,1))</f>
        <v>1</v>
      </c>
      <c r="AL121" cm="1">
        <f t="array" ref="AL121">IFERROR(INDEX(sheath_ecap_asd,MATCH(AP121,sheath_mark,0),0)*AK121,0)</f>
        <v>0</v>
      </c>
      <c r="AM121" cm="1">
        <f t="array" ref="AM121">IFERROR(INDEX(sheath_wcap_asd,MATCH(AP121,sheath_mark,0),0)*AK121,0)</f>
        <v>0</v>
      </c>
      <c r="AN121" cm="1">
        <f t="array" ref="AN121">IFERROR(INDEX(hd_cap,MATCH(AQ121,hd_mark,0),0),0)</f>
        <v>0</v>
      </c>
      <c r="AP121" s="19"/>
      <c r="AQ121" s="19"/>
      <c r="AR121" s="100"/>
      <c r="AS121" s="93"/>
      <c r="AT121" s="110" t="str">
        <f>$AT$42</f>
        <v>1.13</v>
      </c>
      <c r="AU121" t="str">
        <f>$Q$21</f>
        <v>L2</v>
      </c>
      <c r="AV121">
        <f>$E$21</f>
        <v>10.6875</v>
      </c>
      <c r="AW121" cm="1">
        <f t="array" ref="AW121">IFERROR(IF(AV121=0,0,(INDEX($C$33:$C$38,MATCH($AZ$42,$B$33:$B$38,0),0)*(AV125+$BA$42)+$AW$42*COUNTIF(AV121:AV124,"&gt;0")*$C$32+$AY$42*$C$31)*$AU$42),0)</f>
        <v>0</v>
      </c>
      <c r="AX121">
        <f>IF(AV121=0,0,-(COUNTIF(AV121:AV124,"&gt;0")*$AW$42*$C$32+$AY$42*$C$31)*$H$27*$AU$42)</f>
        <v>0</v>
      </c>
      <c r="AY121">
        <f>IF(AV121=0,0,$AY$42*$H$26*$AU$42)</f>
        <v>0</v>
      </c>
      <c r="AZ121">
        <f>(0.6*AW121+0.7*AX121)*$AU$42/2</f>
        <v>0</v>
      </c>
      <c r="BA121">
        <f>(0.6*AW121+0.6*AY121)*$AU$42/2</f>
        <v>0</v>
      </c>
      <c r="BC121">
        <f>IF(AV121=0,0,$BG$42*$AP$21)</f>
        <v>0</v>
      </c>
      <c r="BD121">
        <f>IFERROR(BC121/$AU$42,0)</f>
        <v>0</v>
      </c>
      <c r="BE121">
        <f>BC121*($F$21+IF($F$21=0,0,($C$14+$C$15+IF($C$13="single",1.5,3)+3)/12))</f>
        <v>0</v>
      </c>
      <c r="BF121">
        <f>BE121-AZ121</f>
        <v>0</v>
      </c>
      <c r="BG121" cm="1">
        <f t="array" ref="BG121">IFERROR(IF(BF121&lt;0,0,BF121/($AU$42-INDEX(hd_off,MATCH(BT121,hd_mark,0),0)/12)),0)</f>
        <v>0</v>
      </c>
      <c r="BH121">
        <f>IF(AV121=0,0,$BG$42*$AM$21)</f>
        <v>0</v>
      </c>
      <c r="BI121">
        <f>IFERROR(BH121/$AU$42,0)</f>
        <v>0</v>
      </c>
      <c r="BJ121">
        <f>BH121*($F$21+IF($F$21=0,0,($C$14+$C$15+IF($C$13="single",1.5,3)+3)/12))</f>
        <v>0</v>
      </c>
      <c r="BK121">
        <f>BJ121-BA121</f>
        <v>0</v>
      </c>
      <c r="BL121" cm="1">
        <f t="array" ref="BL121">IFERROR(IF(BK121&lt;0,0,BK121/($AU$42-INDEX(hd_off,MATCH(BT121,hd_mark,0),0)/12)),0)</f>
        <v>0</v>
      </c>
      <c r="BM121">
        <f>MAX($F$21,$BB$42)/$Q$52</f>
        <v>0.30172413793103448</v>
      </c>
      <c r="BN121">
        <f>IF(BM121=0,0,IF(BM121&gt;2,1.25-0.125*BM121,1))</f>
        <v>1</v>
      </c>
      <c r="BO121" cm="1">
        <f t="array" ref="BO121">IFERROR(INDEX(sheath_ecap_asd,MATCH(BS121,sheath_mark,0),0)*BN121,0)</f>
        <v>0</v>
      </c>
      <c r="BP121" cm="1">
        <f t="array" ref="BP121">IFERROR(INDEX(sheath_wcap_asd,MATCH(BS121,sheath_mark,0),0)*BN121,0)</f>
        <v>0</v>
      </c>
      <c r="BQ121" cm="1">
        <f t="array" ref="BQ121">IFERROR(INDEX(hd_cap,MATCH(BT121,hd_mark,0),0),0)</f>
        <v>0</v>
      </c>
      <c r="BS121" s="19"/>
      <c r="BT121" s="19"/>
      <c r="BU121" s="100"/>
    </row>
    <row r="122" spans="16:73" x14ac:dyDescent="0.25">
      <c r="P122" s="93"/>
      <c r="Q122" s="109"/>
      <c r="R122" t="str">
        <f>$Q$22</f>
        <v>L3</v>
      </c>
      <c r="S122">
        <f>$E$22</f>
        <v>21.375</v>
      </c>
      <c r="T122" cm="1">
        <f t="array" ref="T122">IFERROR(IF(S122=0,0,(INDEX($C$33:$C$38,MATCH($W$42,$B$33:$B$38,0),0)*(S125+$X$42)+$T$42*COUNTIF(S122:S124,"&gt;0")*$C$32+$V$42*$C$31)*$R$42),0)</f>
        <v>0</v>
      </c>
      <c r="U122">
        <f>IF(S122=0,0,-(COUNTIF(S122:S124,"&gt;0")*$T$42*$C$32+$V$42*$C$31)*$H$27*$R$42)</f>
        <v>0</v>
      </c>
      <c r="V122">
        <f>IF(S122=0,0,$V$42*$H$26*$R$42)</f>
        <v>0</v>
      </c>
      <c r="W122">
        <f>(0.6*T122+0.7*U122)*$R$42/2</f>
        <v>0</v>
      </c>
      <c r="X122">
        <f>T122*$R$42/2</f>
        <v>0</v>
      </c>
      <c r="Z122">
        <f>IF(S122=0,0,$AD$42*$AP$22)</f>
        <v>0</v>
      </c>
      <c r="AA122">
        <f>IFERROR(Z122/$R$42,0)</f>
        <v>0</v>
      </c>
      <c r="AB122">
        <f>Z122*($F$22+IF($F$22=0,0,($C$14+$C$15+IF($C$13="single",1.5,3)+3)/12))</f>
        <v>0</v>
      </c>
      <c r="AC122">
        <f>AB122-W122</f>
        <v>0</v>
      </c>
      <c r="AD122" cm="1">
        <f t="array" ref="AD122">IFERROR(IF(AC122&lt;0,0,AC122/($R$42-INDEX(hd_off,MATCH(AQ122,hd_mark,0),0)/12)),0)</f>
        <v>0</v>
      </c>
      <c r="AE122">
        <f>IF(S122=0,0,$AD$42*$AM$22)</f>
        <v>0</v>
      </c>
      <c r="AF122">
        <f>IFERROR(AE122/$R$42,0)</f>
        <v>0</v>
      </c>
      <c r="AG122">
        <f>AE122*($F$22+IF($F$22=0,0,($C$14+$C$15+IF($C$13="single",1.5,3)+3)/12))</f>
        <v>0</v>
      </c>
      <c r="AH122">
        <f>AG122-X122</f>
        <v>0</v>
      </c>
      <c r="AI122" cm="1">
        <f t="array" ref="AI122">IFERROR(IF(AH122&lt;0,0,AH122/($R$42-INDEX(hd_off,MATCH(AQ122,hd_mark,0),0)/12)),0)</f>
        <v>0</v>
      </c>
      <c r="AJ122">
        <f>MAX($F$22,$Z$42)/$Q$52</f>
        <v>0.30172413793103448</v>
      </c>
      <c r="AK122">
        <f t="shared" ref="AK122:AK125" si="70">IF(AJ122=0,0,IF(AJ122&gt;2,1.25-0.125*AJ122,1))</f>
        <v>1</v>
      </c>
      <c r="AL122" cm="1">
        <f t="array" ref="AL122">IFERROR(INDEX(sheath_ecap_asd,MATCH(AP122,sheath_mark,0),0)*AK122,0)</f>
        <v>0</v>
      </c>
      <c r="AM122" cm="1">
        <f t="array" ref="AM122">IFERROR(INDEX(sheath_wcap_asd,MATCH(AP122,sheath_mark,0),0)*AK122,0)</f>
        <v>0</v>
      </c>
      <c r="AN122" cm="1">
        <f t="array" ref="AN122">IFERROR(INDEX(hd_cap,MATCH(AQ122,hd_mark,0),0),0)</f>
        <v>0</v>
      </c>
      <c r="AP122" s="19"/>
      <c r="AQ122" s="19"/>
      <c r="AR122" s="100"/>
      <c r="AS122" s="93"/>
      <c r="AT122" s="109"/>
      <c r="AU122" t="str">
        <f>$Q$22</f>
        <v>L3</v>
      </c>
      <c r="AV122">
        <f>$E$22</f>
        <v>21.375</v>
      </c>
      <c r="AW122" cm="1">
        <f t="array" ref="AW122">IFERROR(IF(AV122=0,0,(INDEX($C$33:$C$38,MATCH($AZ$42,$B$33:$B$38,0),0)*(AV125+$BA$42)+$AW$42*COUNTIF(AV122:AV124,"&gt;0")*$C$32+$AY$42*$C$31)*$AU$42),0)</f>
        <v>0</v>
      </c>
      <c r="AX122">
        <f>IF(AV122=0,0,-(COUNTIF(AV122:AV124,"&gt;0")*$AW$42*$C$32+$AY$42*$C$31)*$H$27*$AU$42)</f>
        <v>0</v>
      </c>
      <c r="AY122">
        <f>IF(AV122=0,0,$AY$42*$H$26*$AU$42)</f>
        <v>0</v>
      </c>
      <c r="AZ122">
        <f>(0.6*AW122+0.7*AX122)*$AU$42/2</f>
        <v>0</v>
      </c>
      <c r="BA122">
        <f>AW122*$AU$42/2</f>
        <v>0</v>
      </c>
      <c r="BC122">
        <f>IF(AV122=0,0,$BG$42*$AP$22)</f>
        <v>0</v>
      </c>
      <c r="BD122">
        <f>IFERROR(BC122/$AU$42,0)</f>
        <v>0</v>
      </c>
      <c r="BE122">
        <f>BC122*($F$22+IF($F$22=0,0,($C$14+$C$15+IF($C$13="single",1.5,3)+3)/12))</f>
        <v>0</v>
      </c>
      <c r="BF122">
        <f>BE122-AZ122</f>
        <v>0</v>
      </c>
      <c r="BG122" cm="1">
        <f t="array" ref="BG122">IFERROR(IF(BF122&lt;0,0,BF122/($AU$42-INDEX(hd_off,MATCH(BT122,hd_mark,0),0)/12)),0)</f>
        <v>0</v>
      </c>
      <c r="BH122">
        <f>IF(AV122=0,0,$BG$42*$AM$22)</f>
        <v>0</v>
      </c>
      <c r="BI122">
        <f>IFERROR(BH122/$AU$42,0)</f>
        <v>0</v>
      </c>
      <c r="BJ122">
        <f>BH122*($F$22+IF($F$22=0,0,($C$14+$C$15+IF($C$13="single",1.5,3)+3)/12))</f>
        <v>0</v>
      </c>
      <c r="BK122">
        <f>BJ122-BA122</f>
        <v>0</v>
      </c>
      <c r="BL122" cm="1">
        <f t="array" ref="BL122">IFERROR(IF(BK122&lt;0,0,BK122/($AU$42-INDEX(hd_off,MATCH(BT122,hd_mark,0),0)/12)),0)</f>
        <v>0</v>
      </c>
      <c r="BM122">
        <f>MAX($F$22,$BC$42)/$Q$52</f>
        <v>0.30172413793103448</v>
      </c>
      <c r="BN122">
        <f t="shared" ref="BN122:BN125" si="71">IF(BM122=0,0,IF(BM122&gt;2,1.25-0.125*BM122,1))</f>
        <v>1</v>
      </c>
      <c r="BO122" cm="1">
        <f t="array" ref="BO122">IFERROR(INDEX(sheath_ecap_asd,MATCH(BS122,sheath_mark,0),0)*BN122,0)</f>
        <v>0</v>
      </c>
      <c r="BP122" cm="1">
        <f t="array" ref="BP122">IFERROR(INDEX(sheath_wcap_asd,MATCH(BS122,sheath_mark,0),0)*BN122,0)</f>
        <v>0</v>
      </c>
      <c r="BQ122" cm="1">
        <f t="array" ref="BQ122">IFERROR(INDEX(hd_cap,MATCH(BT122,hd_mark,0),0),0)</f>
        <v>0</v>
      </c>
      <c r="BS122" s="19"/>
      <c r="BT122" s="19"/>
      <c r="BU122" s="100"/>
    </row>
    <row r="123" spans="16:73" x14ac:dyDescent="0.25">
      <c r="P123" s="93"/>
      <c r="Q123" s="109" t="s">
        <v>491</v>
      </c>
      <c r="R123" t="str">
        <f>$Q$23</f>
        <v>L4</v>
      </c>
      <c r="S123">
        <f>$E$23</f>
        <v>0</v>
      </c>
      <c r="T123" cm="1">
        <f t="array" ref="T123">IFERROR(IF(S123=0,0,(INDEX($C$33:$C$38,MATCH($W$42,$B$33:$B$38,0),0)*(S125+$X$42)+$T$42*COUNTIF(S123:S124,"&gt;0")*$C$32+$V$42*$C$31)*$R$42),0)</f>
        <v>0</v>
      </c>
      <c r="U123">
        <f>IF(S123=0,0,-(COUNTIF(S123:S124,"&gt;0")*$T$42*$C$32+$V$42*$C$31)*$H$27*$R$42)</f>
        <v>0</v>
      </c>
      <c r="V123">
        <f>IF(S123=0,0,$V$42*$H$26*$R$42)</f>
        <v>0</v>
      </c>
      <c r="W123">
        <f>(0.6*T123+0.7*U123)*$R$42/2</f>
        <v>0</v>
      </c>
      <c r="X123">
        <f>T123*$R$42/2</f>
        <v>0</v>
      </c>
      <c r="Z123">
        <f>IF(S123=0,0,$AD$42*$AP$23)</f>
        <v>0</v>
      </c>
      <c r="AA123">
        <f>IFERROR(Z123/$R$42,0)</f>
        <v>0</v>
      </c>
      <c r="AB123">
        <f>Z123*($F$23+IF($F$23=0,0,($C$14+$C$15+IF($C$13="single",1.5,3)+3)/12))</f>
        <v>0</v>
      </c>
      <c r="AC123">
        <f>AB123-W123</f>
        <v>0</v>
      </c>
      <c r="AD123" cm="1">
        <f t="array" ref="AD123">IFERROR(IF(AC123&lt;0,0,AC123/($R$42-INDEX(hd_off,MATCH(AQ123,hd_mark,0),0)/12)),0)</f>
        <v>0</v>
      </c>
      <c r="AE123">
        <f>IF(S123=0,0,$AD$42*$AM$23)</f>
        <v>0</v>
      </c>
      <c r="AF123">
        <f>IFERROR(AE123/$R$42,0)</f>
        <v>0</v>
      </c>
      <c r="AG123">
        <f>AE123*($F$23+IF($F$23=0,0,($C$14+$C$15+IF($C$13="single",1.5,3)+3)/12))</f>
        <v>0</v>
      </c>
      <c r="AH123">
        <f>AG123-X123</f>
        <v>0</v>
      </c>
      <c r="AI123" cm="1">
        <f t="array" ref="AI123">IFERROR(IF(AH123&lt;0,0,AH123/($R$42-INDEX(hd_off,MATCH(AQ123,hd_mark,0),0)/12)),0)</f>
        <v>0</v>
      </c>
      <c r="AJ123">
        <f>MAX($F$23,$AA$42)/$Q$52</f>
        <v>0</v>
      </c>
      <c r="AK123">
        <f t="shared" si="70"/>
        <v>0</v>
      </c>
      <c r="AL123" cm="1">
        <f t="array" ref="AL123">IFERROR(INDEX(sheath_ecap_asd,MATCH(AP123,sheath_mark,0),0)*AK123,0)</f>
        <v>0</v>
      </c>
      <c r="AM123" cm="1">
        <f t="array" ref="AM123">IFERROR(INDEX(sheath_wcap_asd,MATCH(AP123,sheath_mark,0),0)*AK123,0)</f>
        <v>0</v>
      </c>
      <c r="AN123" cm="1">
        <f t="array" ref="AN123">IFERROR(INDEX(hd_cap,MATCH(AQ123,hd_mark,0),0),0)</f>
        <v>0</v>
      </c>
      <c r="AP123" s="19"/>
      <c r="AQ123" s="19"/>
      <c r="AR123" s="100"/>
      <c r="AS123" s="93"/>
      <c r="AT123" s="109" t="s">
        <v>491</v>
      </c>
      <c r="AU123" t="str">
        <f>$Q$23</f>
        <v>L4</v>
      </c>
      <c r="AV123">
        <f>$E$23</f>
        <v>0</v>
      </c>
      <c r="AW123" cm="1">
        <f t="array" ref="AW123">IFERROR(IF(AV123=0,0,(INDEX($C$33:$C$38,MATCH($AZ$42,$B$33:$B$38,0),0)*(AV125+$BA$42)+$AW$42*COUNTIF(AV123:AV124,"&gt;0")*$C$32+$AY$42*$C$31)*$AU$42),0)</f>
        <v>0</v>
      </c>
      <c r="AX123">
        <f>IF(AV123=0,0,-(COUNTIF(AV123:AV124,"&gt;0")*$AW$42*$C$32+$AY$42*$C$31)*$H$27*$AU$42)</f>
        <v>0</v>
      </c>
      <c r="AY123">
        <f>IF(AV123=0,0,$AY$42*$H$26*$AU$42)</f>
        <v>0</v>
      </c>
      <c r="AZ123">
        <f>(0.6*AW123+0.7*AX123)*$AU$42/2</f>
        <v>0</v>
      </c>
      <c r="BA123">
        <f>AW123*$AU$42/2</f>
        <v>0</v>
      </c>
      <c r="BC123">
        <f>IF(AV123=0,0,$BG$42*$AP$23)</f>
        <v>0</v>
      </c>
      <c r="BD123">
        <f>IFERROR(BC123/$AU$42,0)</f>
        <v>0</v>
      </c>
      <c r="BE123">
        <f>BC123*($F$23+IF($F$23=0,0,($C$14+$C$15+IF($C$13="single",1.5,3)+3)/12))</f>
        <v>0</v>
      </c>
      <c r="BF123">
        <f>BE123-AZ123</f>
        <v>0</v>
      </c>
      <c r="BG123" cm="1">
        <f t="array" ref="BG123">IFERROR(IF(BF123&lt;0,0,BF123/($AU$42-INDEX(hd_off,MATCH(BT123,hd_mark,0),0)/12)),0)</f>
        <v>0</v>
      </c>
      <c r="BH123">
        <f>IF(AV123=0,0,$BG$42*$AM$23)</f>
        <v>0</v>
      </c>
      <c r="BI123">
        <f>IFERROR(BH123/$AU$42,0)</f>
        <v>0</v>
      </c>
      <c r="BJ123">
        <f>BH123*($F$23+IF($F$23=0,0,($C$14+$C$15+IF($C$13="single",1.5,3)+3)/12))</f>
        <v>0</v>
      </c>
      <c r="BK123">
        <f>BJ123-BA123</f>
        <v>0</v>
      </c>
      <c r="BL123" cm="1">
        <f t="array" ref="BL123">IFERROR(IF(BK123&lt;0,0,BK123/($AU$42-INDEX(hd_off,MATCH(BT123,hd_mark,0),0)/12)),0)</f>
        <v>0</v>
      </c>
      <c r="BM123">
        <f>MAX($F$23,$BD$42)/$Q$52</f>
        <v>0</v>
      </c>
      <c r="BN123">
        <f t="shared" si="71"/>
        <v>0</v>
      </c>
      <c r="BO123" cm="1">
        <f t="array" ref="BO123">IFERROR(INDEX(sheath_ecap_asd,MATCH(BS123,sheath_mark,0),0)*BN123,0)</f>
        <v>0</v>
      </c>
      <c r="BP123" cm="1">
        <f t="array" ref="BP123">IFERROR(INDEX(sheath_wcap_asd,MATCH(BS123,sheath_mark,0),0)*BN123,0)</f>
        <v>0</v>
      </c>
      <c r="BQ123" cm="1">
        <f t="array" ref="BQ123">IFERROR(INDEX(hd_cap,MATCH(BT123,hd_mark,0),0),0)</f>
        <v>0</v>
      </c>
      <c r="BS123" s="19"/>
      <c r="BT123" s="19"/>
      <c r="BU123" s="100"/>
    </row>
    <row r="124" spans="16:73" x14ac:dyDescent="0.25">
      <c r="P124" s="93"/>
      <c r="Q124" s="111">
        <f>$R$42</f>
        <v>0</v>
      </c>
      <c r="R124" t="str">
        <f>$Q$24</f>
        <v>L5</v>
      </c>
      <c r="S124">
        <f>$E$24</f>
        <v>0</v>
      </c>
      <c r="T124" cm="1">
        <f t="array" ref="T124">IFERROR(IF(S124=0,0,(INDEX($C$33:$C$38,MATCH($W$42,$B$33:$B$38,0),0)*(S125+$X$42)+$T$42*COUNTIF(S124:S124,"&gt;0")*$C$32+$V$42*$C$31)*$R$42),0)</f>
        <v>0</v>
      </c>
      <c r="U124">
        <f>IF(S124=0,0,-(COUNTIF(S124:S124,"&gt;0")*$T$42*$C$32+$V$42*$C$31)*$H$27*$R$42)</f>
        <v>0</v>
      </c>
      <c r="V124">
        <f>IF(S124=0,0,$V$42*$H$26*$R$42)</f>
        <v>0</v>
      </c>
      <c r="W124">
        <f>(0.6*T124+0.7*U124)*$R$42/2</f>
        <v>0</v>
      </c>
      <c r="X124">
        <f>T124*$R$42/2</f>
        <v>0</v>
      </c>
      <c r="Z124">
        <f>IF(S124=0,0,$AD$42*$AP$24)</f>
        <v>0</v>
      </c>
      <c r="AA124">
        <f>IFERROR(Z124/$R$42,0)</f>
        <v>0</v>
      </c>
      <c r="AB124">
        <f>Z124*($F$24+IF($F$24=0,0,($C$14+$C$15+IF($C$13="single",1.5,3)+3)/12))</f>
        <v>0</v>
      </c>
      <c r="AC124">
        <f>AB124-W124</f>
        <v>0</v>
      </c>
      <c r="AD124" cm="1">
        <f t="array" ref="AD124">IFERROR(IF(AC124&lt;0,0,AC124/($R$42-INDEX(hd_off,MATCH(AQ124,hd_mark,0),0)/12)),0)</f>
        <v>0</v>
      </c>
      <c r="AE124">
        <f>IF(S124=0,0,$AD$42*$AM$24)</f>
        <v>0</v>
      </c>
      <c r="AF124">
        <f>IFERROR(AE124/$R$42,0)</f>
        <v>0</v>
      </c>
      <c r="AG124">
        <f>AE124*($F$24+IF($F$24=0,0,($C$14+$C$15+IF($C$13="single",1.5,3)+3)/12))</f>
        <v>0</v>
      </c>
      <c r="AH124">
        <f>AG124-X124</f>
        <v>0</v>
      </c>
      <c r="AI124" cm="1">
        <f t="array" ref="AI124">IFERROR(IF(AH124&lt;0,0,AH124/($R$42-INDEX(hd_off,MATCH(AQ124,hd_mark,0),0)/12)),0)</f>
        <v>0</v>
      </c>
      <c r="AJ124">
        <f>MAX($F$24,$AB$42)/$Q$52</f>
        <v>0</v>
      </c>
      <c r="AK124">
        <f t="shared" si="70"/>
        <v>0</v>
      </c>
      <c r="AL124" cm="1">
        <f t="array" ref="AL124">IFERROR(INDEX(sheath_ecap_asd,MATCH(AP124,sheath_mark,0),0)*AK124,0)</f>
        <v>0</v>
      </c>
      <c r="AM124" cm="1">
        <f t="array" ref="AM124">IFERROR(INDEX(sheath_wcap_asd,MATCH(AP124,sheath_mark,0),0)*AK124,0)</f>
        <v>0</v>
      </c>
      <c r="AN124" cm="1">
        <f t="array" ref="AN124">IFERROR(INDEX(hd_cap,MATCH(AQ124,hd_mark,0),0),0)</f>
        <v>0</v>
      </c>
      <c r="AP124" s="19"/>
      <c r="AQ124" s="19"/>
      <c r="AR124" s="100"/>
      <c r="AS124" s="93"/>
      <c r="AT124" s="111">
        <f>$R$42</f>
        <v>0</v>
      </c>
      <c r="AU124" t="str">
        <f>$Q$24</f>
        <v>L5</v>
      </c>
      <c r="AV124">
        <f>$E$24</f>
        <v>0</v>
      </c>
      <c r="AW124" cm="1">
        <f t="array" ref="AW124">IFERROR(IF(AV124=0,0,(INDEX($C$33:$C$38,MATCH($AZ$42,$B$33:$B$38,0),0)*(AV125+$BA$42)+$AW$42*COUNTIF(AV124:AV124,"&gt;0")*$C$32+$AY$42*$C$31)*$AU$42),0)</f>
        <v>0</v>
      </c>
      <c r="AX124">
        <f>IF(AV124=0,0,-(COUNTIF(AV124:AV124,"&gt;0")*$AW$42*$C$32+$AY$42*$C$31)*$H$27*$AU$42)</f>
        <v>0</v>
      </c>
      <c r="AY124">
        <f>IF(AV124=0,0,$AY$42*$H$26*$AU$42)</f>
        <v>0</v>
      </c>
      <c r="AZ124">
        <f>(0.6*AW124+0.7*AX124)*$AU$42/2</f>
        <v>0</v>
      </c>
      <c r="BA124">
        <f>AW124*$AU$42/2</f>
        <v>0</v>
      </c>
      <c r="BC124">
        <f>IF(AV124=0,0,$BG$42*$AP$24)</f>
        <v>0</v>
      </c>
      <c r="BD124">
        <f>IFERROR(BC124/$AU$42,0)</f>
        <v>0</v>
      </c>
      <c r="BE124">
        <f>BC124*($F$24+IF($F$24=0,0,($C$14+$C$15+IF($C$13="single",1.5,3)+3)/12))</f>
        <v>0</v>
      </c>
      <c r="BF124">
        <f>BE124-AZ124</f>
        <v>0</v>
      </c>
      <c r="BG124" cm="1">
        <f t="array" ref="BG124">IFERROR(IF(BF124&lt;0,0,BF124/($AU$42-INDEX(hd_off,MATCH(BT124,hd_mark,0),0)/12)),0)</f>
        <v>0</v>
      </c>
      <c r="BH124">
        <f>IF(AV124=0,0,$BG$42*$AM$24)</f>
        <v>0</v>
      </c>
      <c r="BI124">
        <f>IFERROR(BH124/$AU$42,0)</f>
        <v>0</v>
      </c>
      <c r="BJ124">
        <f>BH124*($F$24+IF($F$24=0,0,($C$14+$C$15+IF($C$13="single",1.5,3)+3)/12))</f>
        <v>0</v>
      </c>
      <c r="BK124">
        <f>BJ124-BA124</f>
        <v>0</v>
      </c>
      <c r="BL124" cm="1">
        <f t="array" ref="BL124">IFERROR(IF(BK124&lt;0,0,BK124/($AU$42-INDEX(hd_off,MATCH(BT124,hd_mark,0),0)/12)),0)</f>
        <v>0</v>
      </c>
      <c r="BM124">
        <f>MAX($F$24,$BE$42)/$Q$52</f>
        <v>0</v>
      </c>
      <c r="BN124">
        <f t="shared" si="71"/>
        <v>0</v>
      </c>
      <c r="BO124" cm="1">
        <f t="array" ref="BO124">IFERROR(INDEX(sheath_ecap_asd,MATCH(BS124,sheath_mark,0),0)*BN124,0)</f>
        <v>0</v>
      </c>
      <c r="BP124" cm="1">
        <f t="array" ref="BP124">IFERROR(INDEX(sheath_wcap_asd,MATCH(BS124,sheath_mark,0),0)*BN124,0)</f>
        <v>0</v>
      </c>
      <c r="BQ124" cm="1">
        <f t="array" ref="BQ124">IFERROR(INDEX(hd_cap,MATCH(BT124,hd_mark,0),0),0)</f>
        <v>0</v>
      </c>
      <c r="BS124" s="19"/>
      <c r="BT124" s="19"/>
      <c r="BU124" s="100"/>
    </row>
    <row r="125" spans="16:73" x14ac:dyDescent="0.25">
      <c r="P125" s="93"/>
      <c r="Q125" s="109"/>
      <c r="R125" t="str">
        <f>$Q$25</f>
        <v>Roof</v>
      </c>
      <c r="S125">
        <f>$E$25</f>
        <v>33.171875</v>
      </c>
      <c r="T125" cm="1">
        <f t="array" ref="T125">IFERROR(IF(S125=0,0,(INDEX($C$33:$C$38,MATCH($W$42,$B$33:$B$38,0),0)*(S125+$X$42)+$V$42*$C$31)*$R$42),0)</f>
        <v>0</v>
      </c>
      <c r="U125">
        <f>IF(S125=0,0,-$V$42*$C$31*$H$27*$R$42)</f>
        <v>0</v>
      </c>
      <c r="V125">
        <f>IF(S125=0,0,$V$42*$H$26*$R$42)</f>
        <v>0</v>
      </c>
      <c r="W125">
        <f>(0.6*T125+0.7*U125)*$R$42/2</f>
        <v>0</v>
      </c>
      <c r="X125">
        <f>T125*$R$42/2</f>
        <v>0</v>
      </c>
      <c r="Z125">
        <f>IF(S125=0,0,$AD$42*$AP$25)</f>
        <v>0</v>
      </c>
      <c r="AA125">
        <f>IFERROR(Z125/$R$42,0)</f>
        <v>0</v>
      </c>
      <c r="AB125">
        <f>Z125*($F$25+($C$16+$C$17+IF($C$13="single",1.5,3)+3)/12)</f>
        <v>0</v>
      </c>
      <c r="AC125">
        <f>AB125-W125</f>
        <v>0</v>
      </c>
      <c r="AD125" cm="1">
        <f t="array" ref="AD125">IFERROR(IF(AC125&lt;0,0,AC125/($R$42-INDEX(hd_off,MATCH(AQ125,hd_mark,0),0)/12)),0)</f>
        <v>0</v>
      </c>
      <c r="AE125">
        <f>IF(S125=0,0,$AD$42*$AM$25)</f>
        <v>0</v>
      </c>
      <c r="AF125">
        <f>IFERROR(AE125/$R$42,0)</f>
        <v>0</v>
      </c>
      <c r="AG125">
        <f>AE125*($F$25+($C$16+$C$17+IF($C$13="single",1.5,3)+3)/12)</f>
        <v>0</v>
      </c>
      <c r="AH125">
        <f>AG125-X125</f>
        <v>0</v>
      </c>
      <c r="AI125" cm="1">
        <f t="array" ref="AI125">IFERROR(IF(AH125&lt;0,0,AH125/($R$42-INDEX(hd_off,MATCH(AQ125,hd_mark,0),0)/12)),0)</f>
        <v>0</v>
      </c>
      <c r="AJ125">
        <f>MAX($F$25,$AC$42)/$Q$52</f>
        <v>0.29920977011494249</v>
      </c>
      <c r="AK125">
        <f t="shared" si="70"/>
        <v>1</v>
      </c>
      <c r="AL125" cm="1">
        <f t="array" ref="AL125">IFERROR(INDEX(sheath_ecap_asd,MATCH(AP125,sheath_mark,0),0)*AK125,0)</f>
        <v>0</v>
      </c>
      <c r="AM125" cm="1">
        <f t="array" ref="AM125">IFERROR(INDEX(sheath_wcap_asd,MATCH(AP125,sheath_mark,0),0)*AK125,0)</f>
        <v>0</v>
      </c>
      <c r="AN125" cm="1">
        <f t="array" ref="AN125">IFERROR(INDEX(hd_cap,MATCH(AQ125,hd_mark,0),0),0)</f>
        <v>0</v>
      </c>
      <c r="AP125" s="19"/>
      <c r="AQ125" s="19"/>
      <c r="AR125" s="100"/>
      <c r="AS125" s="93"/>
      <c r="AT125" s="109"/>
      <c r="AU125" t="str">
        <f>$Q$25</f>
        <v>Roof</v>
      </c>
      <c r="AV125">
        <f>$E$25</f>
        <v>33.171875</v>
      </c>
      <c r="AW125" cm="1">
        <f t="array" ref="AW125">IFERROR(IF(AV125=0,0,(INDEX($C$33:$C$38,MATCH($AZ$42,$B$33:$B$38,0),0)*(AV125+$BA$42)+$AY$42*$C$31)*$AU$42),0)</f>
        <v>0</v>
      </c>
      <c r="AX125">
        <f>IF(AV125=0,0,-$AY$42*$C$31*$H$27*$AU$42)</f>
        <v>0</v>
      </c>
      <c r="AY125">
        <f>IF(AV125=0,0,$AY$42*$H$26*$AU$42)</f>
        <v>0</v>
      </c>
      <c r="AZ125">
        <f>(0.6*AW125+0.7*AX125)*$AU$42/2</f>
        <v>0</v>
      </c>
      <c r="BA125">
        <f>AW125*$AU$42/2</f>
        <v>0</v>
      </c>
      <c r="BC125">
        <f>IF(AV125=0,0,$BG$42*$AP$25)</f>
        <v>0</v>
      </c>
      <c r="BD125">
        <f>IFERROR(BC125/$AU$42,0)</f>
        <v>0</v>
      </c>
      <c r="BE125">
        <f>BC125*($F$25+($C$16+$C$17+IF($C$13="single",1.5,3)+3)/12)</f>
        <v>0</v>
      </c>
      <c r="BF125">
        <f>BE125-AZ125</f>
        <v>0</v>
      </c>
      <c r="BG125" cm="1">
        <f t="array" ref="BG125">IFERROR(IF(BF125&lt;0,0,BF125/($AU$42-INDEX(hd_off,MATCH(BT125,hd_mark,0),0)/12)),0)</f>
        <v>0</v>
      </c>
      <c r="BH125">
        <f>IF(AV125=0,0,$BG$42*$AM$25)</f>
        <v>0</v>
      </c>
      <c r="BI125">
        <f>IFERROR(BH125/$AU$42,0)</f>
        <v>0</v>
      </c>
      <c r="BJ125">
        <f>BH125*($F$25+($C$16+$C$17+IF($C$13="single",1.5,3)+3)/12)</f>
        <v>0</v>
      </c>
      <c r="BK125">
        <f>BJ125-BA125</f>
        <v>0</v>
      </c>
      <c r="BL125" cm="1">
        <f t="array" ref="BL125">IFERROR(IF(BK125&lt;0,0,BK125/($AU$42-INDEX(hd_off,MATCH(BT125,hd_mark,0),0)/12)),0)</f>
        <v>0</v>
      </c>
      <c r="BM125">
        <f>MAX($F$25,$BF$42)/$Q$52</f>
        <v>0.29920977011494249</v>
      </c>
      <c r="BN125">
        <f t="shared" si="71"/>
        <v>1</v>
      </c>
      <c r="BO125" cm="1">
        <f t="array" ref="BO125">IFERROR(INDEX(sheath_ecap_asd,MATCH(BS125,sheath_mark,0),0)*BN125,0)</f>
        <v>0</v>
      </c>
      <c r="BP125" cm="1">
        <f t="array" ref="BP125">IFERROR(INDEX(sheath_wcap_asd,MATCH(BS125,sheath_mark,0),0)*BN125,0)</f>
        <v>0</v>
      </c>
      <c r="BQ125" cm="1">
        <f t="array" ref="BQ125">IFERROR(INDEX(hd_cap,MATCH(BT125,hd_mark,0),0),0)</f>
        <v>0</v>
      </c>
      <c r="BS125" s="19"/>
      <c r="BT125" s="19"/>
      <c r="BU125" s="100"/>
    </row>
    <row r="126" spans="16:73" x14ac:dyDescent="0.25">
      <c r="P126" s="93"/>
      <c r="AR126" s="100"/>
      <c r="AS126" s="93"/>
      <c r="BU126" s="100"/>
    </row>
    <row r="127" spans="16:73" x14ac:dyDescent="0.25">
      <c r="P127" s="93"/>
      <c r="Q127" s="110" t="str">
        <f>$Q$43</f>
        <v>A.14</v>
      </c>
      <c r="R127" t="str">
        <f>$Q$21</f>
        <v>L2</v>
      </c>
      <c r="S127">
        <f>$E$21</f>
        <v>10.6875</v>
      </c>
      <c r="T127" cm="1">
        <f t="array" ref="T127">IFERROR(IF(S127=0,0,(INDEX($C$33:$C$38,MATCH($W$43,$B$33:$B$38,0),0)*(S131+$X$43)+$T$43*COUNTIF(S127:S143,"&gt;0")*$C$32+$V$43*$C$31)*$R$43),0)</f>
        <v>0</v>
      </c>
      <c r="U127">
        <f>IF(S127=0,0,-(COUNTIF(S127:S143,"&gt;0")*$T$43*$C$32+$V$43*$C$31)*$H$27*$R$43)</f>
        <v>0</v>
      </c>
      <c r="V127">
        <f>IF(S127=0,0,$V$43*$H$26*$R$43)</f>
        <v>0</v>
      </c>
      <c r="W127">
        <f>(0.6*T127+0.7*U127)*$R$43/2</f>
        <v>0</v>
      </c>
      <c r="X127">
        <f>(0.6*T127+0.6*V127)*$R$43/2</f>
        <v>0</v>
      </c>
      <c r="Z127">
        <f>IF(S127=0,0,$AD$43*$AP$21)</f>
        <v>0</v>
      </c>
      <c r="AA127">
        <f>IFERROR(Z127/$R$43,0)</f>
        <v>0</v>
      </c>
      <c r="AB127">
        <f>Z127*($F$21+IF($F$21=0,0,($C$14+$C$15+IF($C$13="single",1.5,3)+3)/12))</f>
        <v>0</v>
      </c>
      <c r="AC127">
        <f>AB127-W127</f>
        <v>0</v>
      </c>
      <c r="AD127" cm="1">
        <f t="array" ref="AD127">IFERROR(IF(AC127&lt;0,0,AC127/($R$43-INDEX(hd_off,MATCH(AQ127,hd_mark,0),0)/12)),0)</f>
        <v>0</v>
      </c>
      <c r="AE127">
        <f>IF(S127=0,0,$AD$43*$AM$21)</f>
        <v>0</v>
      </c>
      <c r="AF127">
        <f>IFERROR(AE127/$R$43,0)</f>
        <v>0</v>
      </c>
      <c r="AG127">
        <f>AE127*($F$21+IF($F$21=0,0,($C$14+$C$15+IF($C$13="single",1.5,3)+3)/12))</f>
        <v>0</v>
      </c>
      <c r="AH127">
        <f>AG127-X127</f>
        <v>0</v>
      </c>
      <c r="AI127" cm="1">
        <f t="array" ref="AI127">IFERROR(IF(AH127&lt;0,0,AH127/($R$43-INDEX(hd_off,MATCH(AQ127,hd_mark,0),0)/12)),0)</f>
        <v>0</v>
      </c>
      <c r="AJ127">
        <f>MAX($F$21,$Y$43)/$Q$52</f>
        <v>0.30172413793103448</v>
      </c>
      <c r="AK127">
        <f>IF(AJ127=0,0,IF(AJ127&gt;2,1.25-0.125*AJ127,1))</f>
        <v>1</v>
      </c>
      <c r="AL127" cm="1">
        <f t="array" ref="AL127">IFERROR(INDEX(sheath_ecap_asd,MATCH(AP127,sheath_mark,0),0)*AK127,0)</f>
        <v>0</v>
      </c>
      <c r="AM127" cm="1">
        <f t="array" ref="AM127">IFERROR(INDEX(sheath_wcap_asd,MATCH(AP127,sheath_mark,0),0)*AK127,0)</f>
        <v>0</v>
      </c>
      <c r="AN127" cm="1">
        <f t="array" ref="AN127">IFERROR(INDEX(hd_cap,MATCH(AQ127,hd_mark,0),0),0)</f>
        <v>0</v>
      </c>
      <c r="AP127" s="19"/>
      <c r="AQ127" s="19"/>
      <c r="AR127" s="100"/>
      <c r="AS127" s="93"/>
      <c r="AT127" s="110" t="str">
        <f>$AT$43</f>
        <v>1.14</v>
      </c>
      <c r="AU127" t="str">
        <f>$Q$21</f>
        <v>L2</v>
      </c>
      <c r="AV127">
        <f>$E$21</f>
        <v>10.6875</v>
      </c>
      <c r="AW127" cm="1">
        <f t="array" ref="AW127">IFERROR(IF(AV127=0,0,(INDEX($C$33:$C$38,MATCH($AZ$43,$B$33:$B$38,0),0)*(AV131+$BA$43)+$AW$43*COUNTIF(AV127:AV143,"&gt;0")*$C$32+$AY$43*$C$31)*$AU$43),0)</f>
        <v>0</v>
      </c>
      <c r="AX127">
        <f>IF(AV127=0,0,-(COUNTIF(AV127:AV143,"&gt;0")*$AW$43*$C$32+$AY$43*$C$31)*$H$27*$AU$43)</f>
        <v>0</v>
      </c>
      <c r="AY127">
        <f>IF(AV127=0,0,$AY$43*$H$26*$AU$43)</f>
        <v>0</v>
      </c>
      <c r="AZ127">
        <f>(0.6*AW127+0.7*AX127)*$AU$43/2</f>
        <v>0</v>
      </c>
      <c r="BA127">
        <f>(0.6*AW127+0.6*AY127)*$AU$43/2</f>
        <v>0</v>
      </c>
      <c r="BC127">
        <f>IF(AV127=0,0,$BG$43*$AP$21)</f>
        <v>0</v>
      </c>
      <c r="BD127">
        <f>IFERROR(BC127/$AU$43,0)</f>
        <v>0</v>
      </c>
      <c r="BE127">
        <f>BC127*($F$21+IF($F$21=0,0,($C$14+$C$15+IF($C$13="single",1.5,3)+3)/12))</f>
        <v>0</v>
      </c>
      <c r="BF127">
        <f>BE127-AZ127</f>
        <v>0</v>
      </c>
      <c r="BG127" cm="1">
        <f t="array" ref="BG127">IFERROR(IF(BF127&lt;0,0,BF127/($AU$43-INDEX(hd_off,MATCH(BT127,hd_mark,0),0)/12)),0)</f>
        <v>0</v>
      </c>
      <c r="BH127">
        <f>IF(AV127=0,0,$BG$43*$AM$21)</f>
        <v>0</v>
      </c>
      <c r="BI127">
        <f>IFERROR(BH127/$AU$43,0)</f>
        <v>0</v>
      </c>
      <c r="BJ127">
        <f>BH127*($F$21+IF($F$21=0,0,($C$14+$C$15+IF($C$13="single",1.5,3)+3)/12))</f>
        <v>0</v>
      </c>
      <c r="BK127">
        <f>BJ127-BA127</f>
        <v>0</v>
      </c>
      <c r="BL127" cm="1">
        <f t="array" ref="BL127">IFERROR(IF(BK127&lt;0,0,BK127/($AU$43-INDEX(hd_off,MATCH(BT127,hd_mark,0),0)/12)),0)</f>
        <v>0</v>
      </c>
      <c r="BM127">
        <f>MAX($F$21,$BB$43)/$Q$52</f>
        <v>0.30172413793103448</v>
      </c>
      <c r="BN127">
        <f>IF(BM127=0,0,IF(BM127&gt;2,1.25-0.125*BM127,1))</f>
        <v>1</v>
      </c>
      <c r="BO127" cm="1">
        <f t="array" ref="BO127">IFERROR(INDEX(sheath_ecap_asd,MATCH(BS127,sheath_mark,0),0)*BN127,0)</f>
        <v>0</v>
      </c>
      <c r="BP127" cm="1">
        <f t="array" ref="BP127">IFERROR(INDEX(sheath_wcap_asd,MATCH(BS127,sheath_mark,0),0)*BN127,0)</f>
        <v>0</v>
      </c>
      <c r="BQ127" cm="1">
        <f t="array" ref="BQ127">IFERROR(INDEX(hd_cap,MATCH(BT127,hd_mark,0),0),0)</f>
        <v>0</v>
      </c>
      <c r="BS127" s="19"/>
      <c r="BT127" s="19"/>
      <c r="BU127" s="100"/>
    </row>
    <row r="128" spans="16:73" x14ac:dyDescent="0.25">
      <c r="P128" s="93"/>
      <c r="Q128" s="109"/>
      <c r="R128" t="str">
        <f>$Q$22</f>
        <v>L3</v>
      </c>
      <c r="S128">
        <f>$E$22</f>
        <v>21.375</v>
      </c>
      <c r="T128" cm="1">
        <f t="array" ref="T128">IFERROR(IF(S128=0,0,(INDEX($C$33:$C$38,MATCH($W$43,$B$33:$B$38,0),0)*(S131+$X$43)+$T$43*COUNTIF(S128:S143,"&gt;0")*$C$32+$V$43*$C$31)*$R$43),0)</f>
        <v>0</v>
      </c>
      <c r="U128">
        <f>IF(S128=0,0,-(COUNTIF(S128:S143,"&gt;0")*$T$43*$C$32+$V$43*$C$31)*$H$27*$R$43)</f>
        <v>0</v>
      </c>
      <c r="V128">
        <f>IF(S128=0,0,$V$43*$H$26*$R$43)</f>
        <v>0</v>
      </c>
      <c r="W128">
        <f>(0.6*T128+0.7*U128)*$R$43/2</f>
        <v>0</v>
      </c>
      <c r="X128">
        <f>T128*$R$43/2</f>
        <v>0</v>
      </c>
      <c r="Z128">
        <f>IF(S128=0,0,$AD$43*$AP$22)</f>
        <v>0</v>
      </c>
      <c r="AA128">
        <f>IFERROR(Z128/$R$43,0)</f>
        <v>0</v>
      </c>
      <c r="AB128">
        <f>Z128*($F$22+IF($F$22=0,0,($C$14+$C$15+IF($C$13="single",1.5,3)+3)/12))</f>
        <v>0</v>
      </c>
      <c r="AC128">
        <f>AB128-W128</f>
        <v>0</v>
      </c>
      <c r="AD128" cm="1">
        <f t="array" ref="AD128">IFERROR(IF(AC128&lt;0,0,AC128/($R$43-INDEX(hd_off,MATCH(AQ128,hd_mark,0),0)/12)),0)</f>
        <v>0</v>
      </c>
      <c r="AE128">
        <f>IF(S128=0,0,$AD$43*$AM$22)</f>
        <v>0</v>
      </c>
      <c r="AF128">
        <f>IFERROR(AE128/$R$43,0)</f>
        <v>0</v>
      </c>
      <c r="AG128">
        <f>AE128*($F$22+IF($F$22=0,0,($C$14+$C$15+IF($C$13="single",1.5,3)+3)/12))</f>
        <v>0</v>
      </c>
      <c r="AH128">
        <f>AG128-X128</f>
        <v>0</v>
      </c>
      <c r="AI128" cm="1">
        <f t="array" ref="AI128">IFERROR(IF(AH128&lt;0,0,AH128/($R$43-INDEX(hd_off,MATCH(AQ128,hd_mark,0),0)/12)),0)</f>
        <v>0</v>
      </c>
      <c r="AJ128">
        <f>MAX($F$22,$Z$43)/$Q$52</f>
        <v>0.30172413793103448</v>
      </c>
      <c r="AK128">
        <f t="shared" ref="AK128:AK131" si="72">IF(AJ128=0,0,IF(AJ128&gt;2,1.25-0.125*AJ128,1))</f>
        <v>1</v>
      </c>
      <c r="AL128" cm="1">
        <f t="array" ref="AL128">IFERROR(INDEX(sheath_ecap_asd,MATCH(AP128,sheath_mark,0),0)*AK128,0)</f>
        <v>0</v>
      </c>
      <c r="AM128" cm="1">
        <f t="array" ref="AM128">IFERROR(INDEX(sheath_wcap_asd,MATCH(AP128,sheath_mark,0),0)*AK128,0)</f>
        <v>0</v>
      </c>
      <c r="AN128" cm="1">
        <f t="array" ref="AN128">IFERROR(INDEX(hd_cap,MATCH(AQ128,hd_mark,0),0),0)</f>
        <v>0</v>
      </c>
      <c r="AP128" s="19"/>
      <c r="AQ128" s="19"/>
      <c r="AR128" s="100"/>
      <c r="AS128" s="93"/>
      <c r="AT128" s="109"/>
      <c r="AU128" t="str">
        <f>$Q$22</f>
        <v>L3</v>
      </c>
      <c r="AV128">
        <f>$E$22</f>
        <v>21.375</v>
      </c>
      <c r="AW128" cm="1">
        <f t="array" ref="AW128">IFERROR(IF(AV128=0,0,(INDEX($C$33:$C$38,MATCH($AZ$43,$B$33:$B$38,0),0)*(AV131+$BA$43)+$AW$43*COUNTIF(AV128:AV143,"&gt;0")*$C$32+$AY$43*$C$31)*$AU$43),0)</f>
        <v>0</v>
      </c>
      <c r="AX128">
        <f>IF(AV128=0,0,-(COUNTIF(AV128:AV143,"&gt;0")*$AW$43*$C$32+$AY$43*$C$31)*$H$27*$AU$43)</f>
        <v>0</v>
      </c>
      <c r="AY128">
        <f>IF(AV128=0,0,$AY$43*$H$26*$AU$43)</f>
        <v>0</v>
      </c>
      <c r="AZ128">
        <f>(0.6*AW128+0.7*AX128)*$AU$43/2</f>
        <v>0</v>
      </c>
      <c r="BA128">
        <f>AW128*$AU$43/2</f>
        <v>0</v>
      </c>
      <c r="BC128">
        <f>IF(AV128=0,0,$BG$43*$AP$22)</f>
        <v>0</v>
      </c>
      <c r="BD128">
        <f>IFERROR(BC128/$AU$43,0)</f>
        <v>0</v>
      </c>
      <c r="BE128">
        <f>BC128*($F$22+IF($F$22=0,0,($C$14+$C$15+IF($C$13="single",1.5,3)+3)/12))</f>
        <v>0</v>
      </c>
      <c r="BF128">
        <f>BE128-AZ128</f>
        <v>0</v>
      </c>
      <c r="BG128" cm="1">
        <f t="array" ref="BG128">IFERROR(IF(BF128&lt;0,0,BF128/($AU$43-INDEX(hd_off,MATCH(BT128,hd_mark,0),0)/12)),0)</f>
        <v>0</v>
      </c>
      <c r="BH128">
        <f>IF(AV128=0,0,$BG$43*$AM$22)</f>
        <v>0</v>
      </c>
      <c r="BI128">
        <f>IFERROR(BH128/$AU$43,0)</f>
        <v>0</v>
      </c>
      <c r="BJ128">
        <f>BH128*($F$22+IF($F$22=0,0,($C$14+$C$15+IF($C$13="single",1.5,3)+3)/12))</f>
        <v>0</v>
      </c>
      <c r="BK128">
        <f>BJ128-BA128</f>
        <v>0</v>
      </c>
      <c r="BL128" cm="1">
        <f t="array" ref="BL128">IFERROR(IF(BK128&lt;0,0,BK128/($AU$43-INDEX(hd_off,MATCH(BT128,hd_mark,0),0)/12)),0)</f>
        <v>0</v>
      </c>
      <c r="BM128">
        <f>MAX($F$22,$BC$43)/$Q$52</f>
        <v>0.30172413793103448</v>
      </c>
      <c r="BN128">
        <f t="shared" ref="BN128:BN129" si="73">IF(BM128=0,0,IF(BM128&gt;2,1.25-0.125*BM128,1))</f>
        <v>1</v>
      </c>
      <c r="BO128" cm="1">
        <f t="array" ref="BO128">IFERROR(INDEX(sheath_ecap_asd,MATCH(BS128,sheath_mark,0),0)*BN128,0)</f>
        <v>0</v>
      </c>
      <c r="BP128" cm="1">
        <f t="array" ref="BP128">IFERROR(INDEX(sheath_wcap_asd,MATCH(BS128,sheath_mark,0),0)*BN128,0)</f>
        <v>0</v>
      </c>
      <c r="BQ128" cm="1">
        <f t="array" ref="BQ128">IFERROR(INDEX(hd_cap,MATCH(BT128,hd_mark,0),0),0)</f>
        <v>0</v>
      </c>
      <c r="BS128" s="19"/>
      <c r="BT128" s="19"/>
      <c r="BU128" s="100"/>
    </row>
    <row r="129" spans="16:73" x14ac:dyDescent="0.25">
      <c r="P129" s="93"/>
      <c r="Q129" s="109" t="s">
        <v>491</v>
      </c>
      <c r="R129" t="str">
        <f>$Q$23</f>
        <v>L4</v>
      </c>
      <c r="S129">
        <f>$E$23</f>
        <v>0</v>
      </c>
      <c r="T129" cm="1">
        <f t="array" ref="T129">IFERROR(IF(S129=0,0,(INDEX($C$33:$C$38,MATCH($W$43,$B$33:$B$38,0),0)*(S131+$X$43)+$T$43*COUNTIF(S129:S143,"&gt;0")*$C$32+$V$43*$C$31)*$R$43),0)</f>
        <v>0</v>
      </c>
      <c r="U129">
        <f>IF(S129=0,0,-(COUNTIF(S129:S143,"&gt;0")*$T$43*$C$32+$V$43*$C$31)*$H$27*$R$43)</f>
        <v>0</v>
      </c>
      <c r="V129">
        <f>IF(S129=0,0,$V$43*$H$26*$R$43)</f>
        <v>0</v>
      </c>
      <c r="W129">
        <f>(0.6*T129+0.7*U129)*$R$43/2</f>
        <v>0</v>
      </c>
      <c r="X129">
        <f>T129*$R$43/2</f>
        <v>0</v>
      </c>
      <c r="Z129">
        <f>IF(S129=0,0,$AD$43*$AP$23)</f>
        <v>0</v>
      </c>
      <c r="AA129">
        <f>IFERROR(Z129/$R$43,0)</f>
        <v>0</v>
      </c>
      <c r="AB129">
        <f>Z129*($F$23+IF($F$23=0,0,($C$14+$C$15+IF($C$13="single",1.5,3)+3)/12))</f>
        <v>0</v>
      </c>
      <c r="AC129">
        <f>AB129-W129</f>
        <v>0</v>
      </c>
      <c r="AD129" cm="1">
        <f t="array" ref="AD129">IFERROR(IF(AC129&lt;0,0,AC129/($R$43-INDEX(hd_off,MATCH(AQ129,hd_mark,0),0)/12)),0)</f>
        <v>0</v>
      </c>
      <c r="AE129">
        <f>IF(S129=0,0,$AD$43*$AM$23)</f>
        <v>0</v>
      </c>
      <c r="AF129">
        <f>IFERROR(AE129/$R$43,0)</f>
        <v>0</v>
      </c>
      <c r="AG129">
        <f>AE129*($F$23+IF($F$23=0,0,($C$14+$C$15+IF($C$13="single",1.5,3)+3)/12))</f>
        <v>0</v>
      </c>
      <c r="AH129">
        <f>AG129-X129</f>
        <v>0</v>
      </c>
      <c r="AI129" cm="1">
        <f t="array" ref="AI129">IFERROR(IF(AH129&lt;0,0,AH129/($R$43-INDEX(hd_off,MATCH(AQ129,hd_mark,0),0)/12)),0)</f>
        <v>0</v>
      </c>
      <c r="AJ129">
        <f>MAX($F$23,$AA$43)/$Q$52</f>
        <v>0</v>
      </c>
      <c r="AK129">
        <f t="shared" si="72"/>
        <v>0</v>
      </c>
      <c r="AL129" cm="1">
        <f t="array" ref="AL129">IFERROR(INDEX(sheath_ecap_asd,MATCH(AP129,sheath_mark,0),0)*AK129,0)</f>
        <v>0</v>
      </c>
      <c r="AM129" cm="1">
        <f t="array" ref="AM129">IFERROR(INDEX(sheath_wcap_asd,MATCH(AP129,sheath_mark,0),0)*AK129,0)</f>
        <v>0</v>
      </c>
      <c r="AN129" cm="1">
        <f t="array" ref="AN129">IFERROR(INDEX(hd_cap,MATCH(AQ129,hd_mark,0),0),0)</f>
        <v>0</v>
      </c>
      <c r="AP129" s="19"/>
      <c r="AQ129" s="19"/>
      <c r="AR129" s="100"/>
      <c r="AS129" s="93"/>
      <c r="AT129" s="109" t="s">
        <v>491</v>
      </c>
      <c r="AU129" t="str">
        <f>$Q$23</f>
        <v>L4</v>
      </c>
      <c r="AV129">
        <f>$E$23</f>
        <v>0</v>
      </c>
      <c r="AW129" cm="1">
        <f t="array" ref="AW129">IFERROR(IF(AV129=0,0,(INDEX($C$33:$C$38,MATCH($AZ$43,$B$33:$B$38,0),0)*(AV131+$BA$43)+$AW$43*COUNTIF(AV129:AV143,"&gt;0")*$C$32+$AY$43*$C$31)*$AU$43),0)</f>
        <v>0</v>
      </c>
      <c r="AX129">
        <f>IF(AV129=0,0,-(COUNTIF(AV129:AV143,"&gt;0")*$AW$43*$C$32+$AY$43*$C$31)*$H$27*$AU$43)</f>
        <v>0</v>
      </c>
      <c r="AY129">
        <f>IF(AV129=0,0,$AY$43*$H$26*$AU$43)</f>
        <v>0</v>
      </c>
      <c r="AZ129">
        <f>(0.6*AW129+0.7*AX129)*$AU$43/2</f>
        <v>0</v>
      </c>
      <c r="BA129">
        <f>AW129*$AU$43/2</f>
        <v>0</v>
      </c>
      <c r="BC129">
        <f>IF(AV129=0,0,$BG$43*$AP$23)</f>
        <v>0</v>
      </c>
      <c r="BD129">
        <f>IFERROR(BC129/$AU$43,0)</f>
        <v>0</v>
      </c>
      <c r="BE129">
        <f>BC129*($F$23+IF($F$23=0,0,($C$14+$C$15+IF($C$13="single",1.5,3)+3)/12))</f>
        <v>0</v>
      </c>
      <c r="BF129">
        <f>BE129-AZ129</f>
        <v>0</v>
      </c>
      <c r="BG129" cm="1">
        <f t="array" ref="BG129">IFERROR(IF(BF129&lt;0,0,BF129/($AU$43-INDEX(hd_off,MATCH(BT129,hd_mark,0),0)/12)),0)</f>
        <v>0</v>
      </c>
      <c r="BH129">
        <f>IF(AV129=0,0,$BG$43*$AM$23)</f>
        <v>0</v>
      </c>
      <c r="BI129">
        <f>IFERROR(BH129/$AU$43,0)</f>
        <v>0</v>
      </c>
      <c r="BJ129">
        <f>BH129*($F$23+IF($F$23=0,0,($C$14+$C$15+IF($C$13="single",1.5,3)+3)/12))</f>
        <v>0</v>
      </c>
      <c r="BK129">
        <f>BJ129-BA129</f>
        <v>0</v>
      </c>
      <c r="BL129" cm="1">
        <f t="array" ref="BL129">IFERROR(IF(BK129&lt;0,0,BK129/($AU$43-INDEX(hd_off,MATCH(BT129,hd_mark,0),0)/12)),0)</f>
        <v>0</v>
      </c>
      <c r="BM129">
        <f>MAX($F$23,$BD$43)/$Q$52</f>
        <v>0</v>
      </c>
      <c r="BN129">
        <f t="shared" si="73"/>
        <v>0</v>
      </c>
      <c r="BO129" cm="1">
        <f t="array" ref="BO129">IFERROR(INDEX(sheath_ecap_asd,MATCH(BS129,sheath_mark,0),0)*BN129,0)</f>
        <v>0</v>
      </c>
      <c r="BP129" cm="1">
        <f t="array" ref="BP129">IFERROR(INDEX(sheath_wcap_asd,MATCH(BS129,sheath_mark,0),0)*BN129,0)</f>
        <v>0</v>
      </c>
      <c r="BQ129" cm="1">
        <f t="array" ref="BQ129">IFERROR(INDEX(hd_cap,MATCH(BT129,hd_mark,0),0),0)</f>
        <v>0</v>
      </c>
      <c r="BS129" s="19"/>
      <c r="BT129" s="19"/>
      <c r="BU129" s="100"/>
    </row>
    <row r="130" spans="16:73" x14ac:dyDescent="0.25">
      <c r="P130" s="93"/>
      <c r="Q130" s="111">
        <f>$R$43</f>
        <v>0</v>
      </c>
      <c r="R130" t="str">
        <f>$Q$24</f>
        <v>L5</v>
      </c>
      <c r="S130">
        <f>$E$24</f>
        <v>0</v>
      </c>
      <c r="T130" cm="1">
        <f t="array" ref="T130">IFERROR(IF(S143=0,0,(INDEX($C$33:$C$38,MATCH($W$43,$B$33:$B$38,0),0)*(S131+$X$43)+$T$43*COUNTIF(S143:S143,"&gt;0")*$C$32+$V$43*$C$31)*$R$43),0)</f>
        <v>0</v>
      </c>
      <c r="U130">
        <f>IF(S143=0,0,-(COUNTIF(S143:S143,"&gt;0")*$T$43*$C$32+$V$43*$C$31)*$H$27*$R$43)</f>
        <v>0</v>
      </c>
      <c r="V130">
        <f>IF(S143=0,0,$V$43*$H$26*$R$43)</f>
        <v>0</v>
      </c>
      <c r="W130">
        <f>(0.6*T143+0.7*U143)*$R$43/2</f>
        <v>0</v>
      </c>
      <c r="X130">
        <f>T143*$R$43/2</f>
        <v>0</v>
      </c>
      <c r="Z130">
        <f>IF(S143=0,0,$AD$43*$AP$24)</f>
        <v>0</v>
      </c>
      <c r="AA130">
        <f>IFERROR(Z143/$R$43,0)</f>
        <v>0</v>
      </c>
      <c r="AB130">
        <f>Z143*($F$24+IF($F$24=0,0,($C$14+$C$15+IF($C$13="single",1.5,3)+3)/12))</f>
        <v>0</v>
      </c>
      <c r="AC130">
        <f>AB143-W143</f>
        <v>0</v>
      </c>
      <c r="AD130" cm="1">
        <f t="array" ref="AD130">IFERROR(IF(AC143&lt;0,0,AC143/($R$43-INDEX(hd_off,MATCH(AQ143,hd_mark,0),0)/12)),0)</f>
        <v>0</v>
      </c>
      <c r="AE130">
        <f>IF(S143=0,0,$AD$43*$AM$24)</f>
        <v>0</v>
      </c>
      <c r="AF130">
        <f>IFERROR(AE143/$R$43,0)</f>
        <v>0</v>
      </c>
      <c r="AG130">
        <f>AE143*($F$24+IF($F$24=0,0,($C$14+$C$15+IF($C$13="single",1.5,3)+3)/12))</f>
        <v>0</v>
      </c>
      <c r="AH130">
        <f>AG143-X143</f>
        <v>0</v>
      </c>
      <c r="AI130" cm="1">
        <f t="array" ref="AI130">IFERROR(IF(AH143&lt;0,0,AH143/($R$43-INDEX(hd_off,MATCH(AQ143,hd_mark,0),0)/12)),0)</f>
        <v>0</v>
      </c>
      <c r="AJ130">
        <f>MAX($F$24,$AB$43)/$Q$52</f>
        <v>0</v>
      </c>
      <c r="AK130">
        <f>IF(AJ143=0,0,IF(AJ143&gt;2,1.25-0.125*AJ143,1))</f>
        <v>1</v>
      </c>
      <c r="AL130" cm="1">
        <f t="array" ref="AL130">IFERROR(INDEX(sheath_ecap_asd,MATCH(AP143,sheath_mark,0),0)*AK143,0)</f>
        <v>0</v>
      </c>
      <c r="AM130" cm="1">
        <f t="array" ref="AM130">IFERROR(INDEX(sheath_wcap_asd,MATCH(AP143,sheath_mark,0),0)*AK143,0)</f>
        <v>0</v>
      </c>
      <c r="AN130" cm="1">
        <f t="array" ref="AN130">IFERROR(INDEX(hd_cap,MATCH(AQ143,hd_mark,0),0),0)</f>
        <v>0</v>
      </c>
      <c r="AP130" s="19"/>
      <c r="AQ130" s="19"/>
      <c r="AR130" s="100"/>
      <c r="AS130" s="93"/>
      <c r="AT130" s="111">
        <f>$R$43</f>
        <v>0</v>
      </c>
      <c r="AU130" t="str">
        <f>$Q$24</f>
        <v>L5</v>
      </c>
      <c r="AV130">
        <f>$E$24</f>
        <v>0</v>
      </c>
      <c r="AW130" cm="1">
        <f t="array" ref="AW130">IFERROR(IF(AV143=0,0,(INDEX($C$33:$C$38,MATCH($AZ$43,$B$33:$B$38,0),0)*(AV131+$BA$43)+$AW$43*COUNTIF(AV143:AV143,"&gt;0")*$C$32+$AY$43*$C$31)*$AU$43),0)</f>
        <v>0</v>
      </c>
      <c r="AX130">
        <f>IF(AV143=0,0,-(COUNTIF(AV143:AV143,"&gt;0")*$AW$43*$C$32+$AY$43*$C$31)*$H$27*$AU$43)</f>
        <v>0</v>
      </c>
      <c r="AY130">
        <f>IF(AV143=0,0,$AY$43*$H$26*$AU$43)</f>
        <v>0</v>
      </c>
      <c r="AZ130">
        <f>(0.6*AW143+0.7*AX143)*$AU$43/2</f>
        <v>0</v>
      </c>
      <c r="BA130">
        <f>AW143*$AU$43/2</f>
        <v>0</v>
      </c>
      <c r="BC130">
        <f>IF(AV143=0,0,$BG$43*$AP$24)</f>
        <v>0</v>
      </c>
      <c r="BD130">
        <f>IFERROR(BC143/$AU$43,0)</f>
        <v>0</v>
      </c>
      <c r="BE130">
        <f>BC143*($F$24+IF($F$24=0,0,($C$14+$C$15+IF($C$13="single",1.5,3)+3)/12))</f>
        <v>0</v>
      </c>
      <c r="BF130">
        <f>BE143-AZ143</f>
        <v>0</v>
      </c>
      <c r="BG130" cm="1">
        <f t="array" ref="BG130">IFERROR(IF(BF143&lt;0,0,BF143/($AU$43-INDEX(hd_off,MATCH(BT143,hd_mark,0),0)/12)),0)</f>
        <v>0</v>
      </c>
      <c r="BH130">
        <f>IF(AV143=0,0,$BG$43*$AM$24)</f>
        <v>0</v>
      </c>
      <c r="BI130">
        <f>IFERROR(BH143/$AU$43,0)</f>
        <v>0</v>
      </c>
      <c r="BJ130">
        <f>BH143*($F$24+IF($F$24=0,0,($C$14+$C$15+IF($C$13="single",1.5,3)+3)/12))</f>
        <v>0</v>
      </c>
      <c r="BK130">
        <f>BJ143-BA143</f>
        <v>0</v>
      </c>
      <c r="BL130" cm="1">
        <f t="array" ref="BL130">IFERROR(IF(BK143&lt;0,0,BK143/($AU$43-INDEX(hd_off,MATCH(BT143,hd_mark,0),0)/12)),0)</f>
        <v>0</v>
      </c>
      <c r="BM130">
        <f>MAX($F$24,$BE$43)/$Q$52</f>
        <v>0</v>
      </c>
      <c r="BN130">
        <f>IF(BM143=0,0,IF(BM143&gt;2,1.25-0.125*BM143,1))</f>
        <v>0</v>
      </c>
      <c r="BO130" cm="1">
        <f t="array" ref="BO130">IFERROR(INDEX(sheath_ecap_asd,MATCH(BS143,sheath_mark,0),0)*BN143,0)</f>
        <v>0</v>
      </c>
      <c r="BP130" cm="1">
        <f t="array" ref="BP130">IFERROR(INDEX(sheath_wcap_asd,MATCH(BS143,sheath_mark,0),0)*BN143,0)</f>
        <v>0</v>
      </c>
      <c r="BQ130" cm="1">
        <f t="array" ref="BQ130">IFERROR(INDEX(hd_cap,MATCH(BT143,hd_mark,0),0),0)</f>
        <v>0</v>
      </c>
      <c r="BS130" s="19"/>
      <c r="BT130" s="19"/>
      <c r="BU130" s="100"/>
    </row>
    <row r="131" spans="16:73" x14ac:dyDescent="0.25">
      <c r="P131" s="93"/>
      <c r="Q131" s="109"/>
      <c r="R131" t="str">
        <f>$Q$25</f>
        <v>Roof</v>
      </c>
      <c r="S131">
        <f>$E$25</f>
        <v>33.171875</v>
      </c>
      <c r="T131" cm="1">
        <f t="array" ref="T131">IFERROR(IF(S131=0,0,(INDEX($C$33:$C$38,MATCH($W$43,$B$33:$B$38,0),0)*(S131+$X$43)+$V$43*$C$31)*$R$43),0)</f>
        <v>0</v>
      </c>
      <c r="U131">
        <f>IF(S131=0,0,-$V$43*$C$31*$H$27*$R$43)</f>
        <v>0</v>
      </c>
      <c r="V131">
        <f>IF(S131=0,0,$V$43*$H$26*$R$43)</f>
        <v>0</v>
      </c>
      <c r="W131">
        <f>(0.6*T131+0.7*U131)*$R$43/2</f>
        <v>0</v>
      </c>
      <c r="X131">
        <f>T131*$R$43/2</f>
        <v>0</v>
      </c>
      <c r="Z131">
        <f>IF(S131=0,0,$AD$43*$AP$25)</f>
        <v>0</v>
      </c>
      <c r="AA131">
        <f>IFERROR(Z131/$R$43,0)</f>
        <v>0</v>
      </c>
      <c r="AB131">
        <f>Z131*($F$25+($C$16+$C$17+IF($C$13="single",1.5,3)+3)/12)</f>
        <v>0</v>
      </c>
      <c r="AC131">
        <f>AB131-W131</f>
        <v>0</v>
      </c>
      <c r="AD131" cm="1">
        <f t="array" ref="AD131">IFERROR(IF(AC131&lt;0,0,AC131/($R$43-INDEX(hd_off,MATCH(AQ131,hd_mark,0),0)/12)),0)</f>
        <v>0</v>
      </c>
      <c r="AE131">
        <f>IF(S131=0,0,$AD$43*$AM$25)</f>
        <v>0</v>
      </c>
      <c r="AF131">
        <f>IFERROR(AE131/$R$43,0)</f>
        <v>0</v>
      </c>
      <c r="AG131">
        <f>AE131*($F$25+($C$16+$C$17+IF($C$13="single",1.5,3)+3)/12)</f>
        <v>0</v>
      </c>
      <c r="AH131">
        <f>AG131-X131</f>
        <v>0</v>
      </c>
      <c r="AI131" cm="1">
        <f t="array" ref="AI131">IFERROR(IF(AH131&lt;0,0,AH131/($R$43-INDEX(hd_off,MATCH(AQ131,hd_mark,0),0)/12)),0)</f>
        <v>0</v>
      </c>
      <c r="AJ131">
        <f>MAX($F$25,$AC$43)/$Q$52</f>
        <v>0.29920977011494249</v>
      </c>
      <c r="AK131">
        <f t="shared" si="72"/>
        <v>1</v>
      </c>
      <c r="AL131" cm="1">
        <f t="array" ref="AL131">IFERROR(INDEX(sheath_ecap_asd,MATCH(AP131,sheath_mark,0),0)*AK131,0)</f>
        <v>0</v>
      </c>
      <c r="AM131" cm="1">
        <f t="array" ref="AM131">IFERROR(INDEX(sheath_wcap_asd,MATCH(AP131,sheath_mark,0),0)*AK131,0)</f>
        <v>0</v>
      </c>
      <c r="AN131" cm="1">
        <f t="array" ref="AN131">IFERROR(INDEX(hd_cap,MATCH(AQ131,hd_mark,0),0),0)</f>
        <v>0</v>
      </c>
      <c r="AP131" s="19"/>
      <c r="AQ131" s="19"/>
      <c r="AR131" s="100"/>
      <c r="AS131" s="93"/>
      <c r="AT131" s="109"/>
      <c r="AU131" t="str">
        <f>$Q$25</f>
        <v>Roof</v>
      </c>
      <c r="AV131">
        <f>$E$25</f>
        <v>33.171875</v>
      </c>
      <c r="AW131" cm="1">
        <f t="array" ref="AW131">IFERROR(IF(AV131=0,0,(INDEX($C$33:$C$38,MATCH($AZ$43,$B$33:$B$38,0),0)*(AV131+$BA$43)+$AY$43*$C$31)*$AU$43),0)</f>
        <v>0</v>
      </c>
      <c r="AX131">
        <f>IF(AV131=0,0,-$AY$43*$C$31*$H$27*$AU$43)</f>
        <v>0</v>
      </c>
      <c r="AY131">
        <f>IF(AV131=0,0,$AY$43*$H$26*$AU$43)</f>
        <v>0</v>
      </c>
      <c r="AZ131">
        <f>(0.6*AW131+0.7*AX131)*$AU$43/2</f>
        <v>0</v>
      </c>
      <c r="BA131">
        <f>AW131*$AU$43/2</f>
        <v>0</v>
      </c>
      <c r="BC131">
        <f>IF(AV131=0,0,$BG$43*$AP$25)</f>
        <v>0</v>
      </c>
      <c r="BD131">
        <f>IFERROR(BC131/$AU$43,0)</f>
        <v>0</v>
      </c>
      <c r="BE131">
        <f>BC131*($F$25+($C$16+$C$17+IF($C$13="single",1.5,3)+3)/12)</f>
        <v>0</v>
      </c>
      <c r="BF131">
        <f>BE131-AZ131</f>
        <v>0</v>
      </c>
      <c r="BG131" cm="1">
        <f t="array" ref="BG131">IFERROR(IF(BF131&lt;0,0,BF131/($AU$43-INDEX(hd_off,MATCH(BT131,hd_mark,0),0)/12)),0)</f>
        <v>0</v>
      </c>
      <c r="BH131">
        <f>IF(AV131=0,0,$BG$43*$AM$25)</f>
        <v>0</v>
      </c>
      <c r="BI131">
        <f>IFERROR(BH131/$AU$43,0)</f>
        <v>0</v>
      </c>
      <c r="BJ131">
        <f>BH131*($F$25+($C$16+$C$17+IF($C$13="single",1.5,3)+3)/12)</f>
        <v>0</v>
      </c>
      <c r="BK131">
        <f>BJ131-BA131</f>
        <v>0</v>
      </c>
      <c r="BL131" cm="1">
        <f t="array" ref="BL131">IFERROR(IF(BK131&lt;0,0,BK131/($AU$43-INDEX(hd_off,MATCH(BT131,hd_mark,0),0)/12)),0)</f>
        <v>0</v>
      </c>
      <c r="BM131">
        <f>MAX($F$25,$BF$43)/$Q$52</f>
        <v>0.29920977011494249</v>
      </c>
      <c r="BN131">
        <f t="shared" ref="BN131" si="74">IF(BM131=0,0,IF(BM131&gt;2,1.25-0.125*BM131,1))</f>
        <v>1</v>
      </c>
      <c r="BO131" cm="1">
        <f t="array" ref="BO131">IFERROR(INDEX(sheath_ecap_asd,MATCH(BS131,sheath_mark,0),0)*BN131,0)</f>
        <v>0</v>
      </c>
      <c r="BP131" cm="1">
        <f t="array" ref="BP131">IFERROR(INDEX(sheath_wcap_asd,MATCH(BS131,sheath_mark,0),0)*BN131,0)</f>
        <v>0</v>
      </c>
      <c r="BQ131" cm="1">
        <f t="array" ref="BQ131">IFERROR(INDEX(hd_cap,MATCH(BT131,hd_mark,0),0),0)</f>
        <v>0</v>
      </c>
      <c r="BS131" s="19"/>
      <c r="BT131" s="19"/>
      <c r="BU131" s="100"/>
    </row>
    <row r="132" spans="16:73" x14ac:dyDescent="0.25">
      <c r="P132" s="93"/>
      <c r="AR132" s="100"/>
      <c r="AS132" s="93"/>
      <c r="BU132" s="100"/>
    </row>
    <row r="133" spans="16:73" x14ac:dyDescent="0.25">
      <c r="P133" s="93"/>
      <c r="Q133" s="110" t="str">
        <f>$Q$44</f>
        <v>A.15</v>
      </c>
      <c r="R133" t="str">
        <f>$Q$21</f>
        <v>L2</v>
      </c>
      <c r="S133">
        <f>$E$21</f>
        <v>10.6875</v>
      </c>
      <c r="T133" cm="1">
        <f t="array" ref="T133">IFERROR(IF(S133=0,0,(INDEX($C$33:$C$38,MATCH($W$44,$B$33:$B$38,0),0)*(S137+$X$44)+$T$44*COUNTIF(S133:S136,"&gt;0")*$C$32+$V$44*$C$31)*$R$44),0)</f>
        <v>0</v>
      </c>
      <c r="U133">
        <f>IF(S133=0,0,-(COUNTIF(S133:S136,"&gt;0")*$T$44*$C$32+$V$44*$C$31)*$H$27*$R$44)</f>
        <v>0</v>
      </c>
      <c r="V133">
        <f>IF(S133=0,0,$V$44*$H$26*$R$44)</f>
        <v>0</v>
      </c>
      <c r="W133">
        <f>(0.6*T133+0.7*U133)*$R$44/2</f>
        <v>0</v>
      </c>
      <c r="X133">
        <f>(0.6*T133+0.6*V133)*$R$44/2</f>
        <v>0</v>
      </c>
      <c r="Z133">
        <f>IF(S133=0,0,$AD$44*$AP$21)</f>
        <v>0</v>
      </c>
      <c r="AA133">
        <f>IFERROR(Z133/$R$44,0)</f>
        <v>0</v>
      </c>
      <c r="AB133">
        <f>Z133*($F$21+IF($F$21=0,0,($C$14+$C$15+IF($C$13="single",1.5,3)+3)/12))</f>
        <v>0</v>
      </c>
      <c r="AC133">
        <f>AB133-W133</f>
        <v>0</v>
      </c>
      <c r="AD133" cm="1">
        <f t="array" ref="AD133">IFERROR(IF(AC133&lt;0,0,AC133/($R$44-INDEX(hd_off,MATCH(AQ133,hd_mark,0),0)/12)),0)</f>
        <v>0</v>
      </c>
      <c r="AE133">
        <f>IF(S133=0,0,$AD$44*$AM$21)</f>
        <v>0</v>
      </c>
      <c r="AF133">
        <f>IFERROR(AE133/$R$44,0)</f>
        <v>0</v>
      </c>
      <c r="AG133">
        <f>AE133*($F$21+IF($F$21=0,0,($C$14+$C$15+IF($C$13="single",1.5,3)+3)/12))</f>
        <v>0</v>
      </c>
      <c r="AH133">
        <f>AG133-X133</f>
        <v>0</v>
      </c>
      <c r="AI133" cm="1">
        <f t="array" ref="AI133">IFERROR(IF(AH133&lt;0,0,AH133/($R$44-INDEX(hd_off,MATCH(AQ133,hd_mark,0),0)/12)),0)</f>
        <v>0</v>
      </c>
      <c r="AJ133">
        <f>MAX($F$21,$Y$44)/$Q$52</f>
        <v>0.30172413793103448</v>
      </c>
      <c r="AK133">
        <f>IF(AJ133=0,0,IF(AJ133&gt;2,1.25-0.125*AJ133,1))</f>
        <v>1</v>
      </c>
      <c r="AL133" cm="1">
        <f t="array" ref="AL133">IFERROR(INDEX(sheath_ecap_asd,MATCH(AP133,sheath_mark,0),0)*AK133,0)</f>
        <v>0</v>
      </c>
      <c r="AM133" cm="1">
        <f t="array" ref="AM133">IFERROR(INDEX(sheath_wcap_asd,MATCH(AP133,sheath_mark,0),0)*AK133,0)</f>
        <v>0</v>
      </c>
      <c r="AN133" cm="1">
        <f t="array" ref="AN133">IFERROR(INDEX(hd_cap,MATCH(AQ133,hd_mark,0),0),0)</f>
        <v>0</v>
      </c>
      <c r="AP133" s="19"/>
      <c r="AQ133" s="19"/>
      <c r="AR133" s="100"/>
      <c r="AS133" s="93"/>
      <c r="AT133" s="110" t="str">
        <f>$AT$44</f>
        <v>1.15</v>
      </c>
      <c r="AU133" t="str">
        <f>$Q$21</f>
        <v>L2</v>
      </c>
      <c r="AV133">
        <f>$E$21</f>
        <v>10.6875</v>
      </c>
      <c r="AW133" cm="1">
        <f t="array" ref="AW133">IFERROR(IF(AV133=0,0,(INDEX($C$33:$C$38,MATCH($AZ$44,$B$33:$B$38,0),0)*(AV137+$BA$44)+$AW$44*COUNTIF(AV133:AV136,"&gt;0")*$C$32+$AY$44*$C$31)*$AU$44),0)</f>
        <v>0</v>
      </c>
      <c r="AX133">
        <f>IF(AV133=0,0,-(COUNTIF(AV133:AV136,"&gt;0")*$AW$44*$C$32+$AY$44*$C$31)*$H$27*$AU$44)</f>
        <v>0</v>
      </c>
      <c r="AY133">
        <f>IF(AV133=0,0,$AY$44*$H$26*$AU$44)</f>
        <v>0</v>
      </c>
      <c r="AZ133">
        <f>(0.6*AW133+0.7*AX133)*$AU$44/2</f>
        <v>0</v>
      </c>
      <c r="BA133">
        <f>(0.6*AW133+0.6*AY133)*$AU$44/2</f>
        <v>0</v>
      </c>
      <c r="BC133">
        <f>IF(AV133=0,0,$BG$44*$AP$21)</f>
        <v>0</v>
      </c>
      <c r="BD133">
        <f>IFERROR(BC133/$AU$44,0)</f>
        <v>0</v>
      </c>
      <c r="BE133">
        <f>BC133*($F$21+IF($F$21=0,0,($C$14+$C$15+IF($C$13="single",1.5,3)+3)/12))</f>
        <v>0</v>
      </c>
      <c r="BF133">
        <f>BE133-AZ133</f>
        <v>0</v>
      </c>
      <c r="BG133" cm="1">
        <f t="array" ref="BG133">IFERROR(IF(BF133&lt;0,0,BF133/($AU$44-INDEX(hd_off,MATCH(BT133,hd_mark,0),0)/12)),0)</f>
        <v>0</v>
      </c>
      <c r="BH133">
        <f>IF(AV133=0,0,$BG$44*$AM$21)</f>
        <v>0</v>
      </c>
      <c r="BI133">
        <f>IFERROR(BH133/$AU$44,0)</f>
        <v>0</v>
      </c>
      <c r="BJ133">
        <f>BH133*($F$21+IF($F$21=0,0,($C$14+$C$15+IF($C$13="single",1.5,3)+3)/12))</f>
        <v>0</v>
      </c>
      <c r="BK133">
        <f>BJ133-BA133</f>
        <v>0</v>
      </c>
      <c r="BL133" cm="1">
        <f t="array" ref="BL133">IFERROR(IF(BK133&lt;0,0,BK133/($AU$44-INDEX(hd_off,MATCH(BT133,hd_mark,0),0)/12)),0)</f>
        <v>0</v>
      </c>
      <c r="BM133">
        <f>MAX($F$21,$BB$44)/$Q$52</f>
        <v>0.30172413793103448</v>
      </c>
      <c r="BN133">
        <f>IF(BM133=0,0,IF(BM133&gt;2,1.25-0.125*BM133,1))</f>
        <v>1</v>
      </c>
      <c r="BO133" cm="1">
        <f t="array" ref="BO133">IFERROR(INDEX(sheath_ecap_asd,MATCH(BS133,sheath_mark,0),0)*BN133,0)</f>
        <v>0</v>
      </c>
      <c r="BP133" cm="1">
        <f t="array" ref="BP133">IFERROR(INDEX(sheath_wcap_asd,MATCH(BS133,sheath_mark,0),0)*BN133,0)</f>
        <v>0</v>
      </c>
      <c r="BQ133" cm="1">
        <f t="array" ref="BQ133">IFERROR(INDEX(hd_cap,MATCH(BT133,hd_mark,0),0),0)</f>
        <v>0</v>
      </c>
      <c r="BS133" s="19"/>
      <c r="BT133" s="19"/>
      <c r="BU133" s="100"/>
    </row>
    <row r="134" spans="16:73" x14ac:dyDescent="0.25">
      <c r="P134" s="93"/>
      <c r="Q134" s="109"/>
      <c r="R134" t="str">
        <f>$Q$22</f>
        <v>L3</v>
      </c>
      <c r="S134">
        <f>$E$22</f>
        <v>21.375</v>
      </c>
      <c r="T134" cm="1">
        <f t="array" ref="T134">IFERROR(IF(S134=0,0,(INDEX($C$33:$C$38,MATCH($W$44,$B$33:$B$38,0),0)*(S137+$X$44)+$T$44*COUNTIF(S134:S136,"&gt;0")*$C$32+$V$44*$C$31)*$R$44),0)</f>
        <v>0</v>
      </c>
      <c r="U134">
        <f>IF(S134=0,0,-(COUNTIF(S134:S136,"&gt;0")*$T$44*$C$32+$V$44*$C$31)*$H$27*$R$44)</f>
        <v>0</v>
      </c>
      <c r="V134">
        <f>IF(S134=0,0,$V$44*$H$26*$R$44)</f>
        <v>0</v>
      </c>
      <c r="W134">
        <f>(0.6*T134+0.7*U134)*$R$44/2</f>
        <v>0</v>
      </c>
      <c r="X134">
        <f>T134*$R$44/2</f>
        <v>0</v>
      </c>
      <c r="Z134">
        <f>IF(S134=0,0,$AD$44*$AP$22)</f>
        <v>0</v>
      </c>
      <c r="AA134">
        <f>IFERROR(Z134/$R$44,0)</f>
        <v>0</v>
      </c>
      <c r="AB134">
        <f>Z134*($F$22+IF($F$22=0,0,($C$14+$C$15+IF($C$13="single",1.5,3)+3)/12))</f>
        <v>0</v>
      </c>
      <c r="AC134">
        <f>AB134-W134</f>
        <v>0</v>
      </c>
      <c r="AD134" cm="1">
        <f t="array" ref="AD134">IFERROR(IF(AC134&lt;0,0,AC134/($R$44-INDEX(hd_off,MATCH(AQ134,hd_mark,0),0)/12)),0)</f>
        <v>0</v>
      </c>
      <c r="AE134">
        <f>IF(S134=0,0,$AD$44*$AM$22)</f>
        <v>0</v>
      </c>
      <c r="AF134">
        <f>IFERROR(AE134/$R$44,0)</f>
        <v>0</v>
      </c>
      <c r="AG134">
        <f>AE134*($F$22+IF($F$22=0,0,($C$14+$C$15+IF($C$13="single",1.5,3)+3)/12))</f>
        <v>0</v>
      </c>
      <c r="AH134">
        <f>AG134-X134</f>
        <v>0</v>
      </c>
      <c r="AI134" cm="1">
        <f t="array" ref="AI134">IFERROR(IF(AH134&lt;0,0,AH134/($R$44-INDEX(hd_off,MATCH(AQ134,hd_mark,0),0)/12)),0)</f>
        <v>0</v>
      </c>
      <c r="AJ134">
        <f>MAX($F$22,$Z$44)/$Q$52</f>
        <v>0.30172413793103448</v>
      </c>
      <c r="AK134">
        <f t="shared" ref="AK134:AK137" si="75">IF(AJ134=0,0,IF(AJ134&gt;2,1.25-0.125*AJ134,1))</f>
        <v>1</v>
      </c>
      <c r="AL134" cm="1">
        <f t="array" ref="AL134">IFERROR(INDEX(sheath_ecap_asd,MATCH(AP134,sheath_mark,0),0)*AK134,0)</f>
        <v>0</v>
      </c>
      <c r="AM134" cm="1">
        <f t="array" ref="AM134">IFERROR(INDEX(sheath_wcap_asd,MATCH(AP134,sheath_mark,0),0)*AK134,0)</f>
        <v>0</v>
      </c>
      <c r="AN134" cm="1">
        <f t="array" ref="AN134">IFERROR(INDEX(hd_cap,MATCH(AQ134,hd_mark,0),0),0)</f>
        <v>0</v>
      </c>
      <c r="AP134" s="19"/>
      <c r="AQ134" s="19"/>
      <c r="AR134" s="100"/>
      <c r="AS134" s="93"/>
      <c r="AT134" s="109"/>
      <c r="AU134" t="str">
        <f>$Q$22</f>
        <v>L3</v>
      </c>
      <c r="AV134">
        <f>$E$22</f>
        <v>21.375</v>
      </c>
      <c r="AW134" cm="1">
        <f t="array" ref="AW134">IFERROR(IF(AV134=0,0,(INDEX($C$33:$C$38,MATCH($AZ$44,$B$33:$B$38,0),0)*(AV137+$BA$44)+$AW$44*COUNTIF(AV134:AV136,"&gt;0")*$C$32+$AY$44*$C$31)*$AU$44),0)</f>
        <v>0</v>
      </c>
      <c r="AX134">
        <f>IF(AV134=0,0,-(COUNTIF(AV134:AV136,"&gt;0")*$AW$44*$C$32+$AY$44*$C$31)*$H$27*$AU$44)</f>
        <v>0</v>
      </c>
      <c r="AY134">
        <f>IF(AV134=0,0,$AY$44*$H$26*$AU$44)</f>
        <v>0</v>
      </c>
      <c r="AZ134">
        <f>(0.6*AW134+0.7*AX134)*$AU$44/2</f>
        <v>0</v>
      </c>
      <c r="BA134">
        <f>AW134*$AU$44/2</f>
        <v>0</v>
      </c>
      <c r="BC134">
        <f>IF(AV134=0,0,$BG$44*$AP$22)</f>
        <v>0</v>
      </c>
      <c r="BD134">
        <f>IFERROR(BC134/$AU$44,0)</f>
        <v>0</v>
      </c>
      <c r="BE134">
        <f>BC134*($F$22+IF($F$22=0,0,($C$14+$C$15+IF($C$13="single",1.5,3)+3)/12))</f>
        <v>0</v>
      </c>
      <c r="BF134">
        <f>BE134-AZ134</f>
        <v>0</v>
      </c>
      <c r="BG134" cm="1">
        <f t="array" ref="BG134">IFERROR(IF(BF134&lt;0,0,BF134/($AU$44-INDEX(hd_off,MATCH(BT134,hd_mark,0),0)/12)),0)</f>
        <v>0</v>
      </c>
      <c r="BH134">
        <f>IF(AV134=0,0,$BG$44*$AM$22)</f>
        <v>0</v>
      </c>
      <c r="BI134">
        <f>IFERROR(BH134/$AU$44,0)</f>
        <v>0</v>
      </c>
      <c r="BJ134">
        <f>BH134*($F$22+IF($F$22=0,0,($C$14+$C$15+IF($C$13="single",1.5,3)+3)/12))</f>
        <v>0</v>
      </c>
      <c r="BK134">
        <f>BJ134-BA134</f>
        <v>0</v>
      </c>
      <c r="BL134" cm="1">
        <f t="array" ref="BL134">IFERROR(IF(BK134&lt;0,0,BK134/($AU$44-INDEX(hd_off,MATCH(BT134,hd_mark,0),0)/12)),0)</f>
        <v>0</v>
      </c>
      <c r="BM134">
        <f>MAX($F$22,$BC$44)/$Q$52</f>
        <v>0.30172413793103448</v>
      </c>
      <c r="BN134">
        <f t="shared" ref="BN134:BN137" si="76">IF(BM134=0,0,IF(BM134&gt;2,1.25-0.125*BM134,1))</f>
        <v>1</v>
      </c>
      <c r="BO134" cm="1">
        <f t="array" ref="BO134">IFERROR(INDEX(sheath_ecap_asd,MATCH(BS134,sheath_mark,0),0)*BN134,0)</f>
        <v>0</v>
      </c>
      <c r="BP134" cm="1">
        <f t="array" ref="BP134">IFERROR(INDEX(sheath_wcap_asd,MATCH(BS134,sheath_mark,0),0)*BN134,0)</f>
        <v>0</v>
      </c>
      <c r="BQ134" cm="1">
        <f t="array" ref="BQ134">IFERROR(INDEX(hd_cap,MATCH(BT134,hd_mark,0),0),0)</f>
        <v>0</v>
      </c>
      <c r="BS134" s="19"/>
      <c r="BT134" s="19"/>
      <c r="BU134" s="100"/>
    </row>
    <row r="135" spans="16:73" x14ac:dyDescent="0.25">
      <c r="P135" s="93"/>
      <c r="Q135" s="109" t="s">
        <v>491</v>
      </c>
      <c r="R135" t="str">
        <f>$Q$23</f>
        <v>L4</v>
      </c>
      <c r="S135">
        <f>$E$23</f>
        <v>0</v>
      </c>
      <c r="T135" cm="1">
        <f t="array" ref="T135">IFERROR(IF(S135=0,0,(INDEX($C$33:$C$38,MATCH($W$44,$B$33:$B$38,0),0)*(S137+$X$44)+$T$44*COUNTIF(S135:S136,"&gt;0")*$C$32+$V$44*$C$31)*$R$44),0)</f>
        <v>0</v>
      </c>
      <c r="U135">
        <f>IF(S135=0,0,-(COUNTIF(S135:S136,"&gt;0")*$T$44*$C$32+$V$44*$C$31)*$H$27*$R$44)</f>
        <v>0</v>
      </c>
      <c r="V135">
        <f>IF(S135=0,0,$V$44*$H$26*$R$44)</f>
        <v>0</v>
      </c>
      <c r="W135">
        <f>(0.6*T135+0.7*U135)*$R$44/2</f>
        <v>0</v>
      </c>
      <c r="X135">
        <f>T135*$R$44/2</f>
        <v>0</v>
      </c>
      <c r="Z135">
        <f>IF(S135=0,0,$AD$44*$AP$23)</f>
        <v>0</v>
      </c>
      <c r="AA135">
        <f>IFERROR(Z135/$R$44,0)</f>
        <v>0</v>
      </c>
      <c r="AB135">
        <f>Z135*($F$23+IF($F$23=0,0,($C$14+$C$15+IF($C$13="single",1.5,3)+3)/12))</f>
        <v>0</v>
      </c>
      <c r="AC135">
        <f>AB135-W135</f>
        <v>0</v>
      </c>
      <c r="AD135" cm="1">
        <f t="array" ref="AD135">IFERROR(IF(AC135&lt;0,0,AC135/($R$44-INDEX(hd_off,MATCH(AQ135,hd_mark,0),0)/12)),0)</f>
        <v>0</v>
      </c>
      <c r="AE135">
        <f>IF(S135=0,0,$AD$44*$AM$23)</f>
        <v>0</v>
      </c>
      <c r="AF135">
        <f>IFERROR(AE135/$R$44,0)</f>
        <v>0</v>
      </c>
      <c r="AG135">
        <f>AE135*($F$23+IF($F$23=0,0,($C$14+$C$15+IF($C$13="single",1.5,3)+3)/12))</f>
        <v>0</v>
      </c>
      <c r="AH135">
        <f>AG135-X135</f>
        <v>0</v>
      </c>
      <c r="AI135" cm="1">
        <f t="array" ref="AI135">IFERROR(IF(AH135&lt;0,0,AH135/($R$44-INDEX(hd_off,MATCH(AQ135,hd_mark,0),0)/12)),0)</f>
        <v>0</v>
      </c>
      <c r="AJ135">
        <f>MAX($F$23,$AA$44)/$Q$52</f>
        <v>0</v>
      </c>
      <c r="AK135">
        <f t="shared" si="75"/>
        <v>0</v>
      </c>
      <c r="AL135" cm="1">
        <f t="array" ref="AL135">IFERROR(INDEX(sheath_ecap_asd,MATCH(AP135,sheath_mark,0),0)*AK135,0)</f>
        <v>0</v>
      </c>
      <c r="AM135" cm="1">
        <f t="array" ref="AM135">IFERROR(INDEX(sheath_wcap_asd,MATCH(AP135,sheath_mark,0),0)*AK135,0)</f>
        <v>0</v>
      </c>
      <c r="AN135" cm="1">
        <f t="array" ref="AN135">IFERROR(INDEX(hd_cap,MATCH(AQ135,hd_mark,0),0),0)</f>
        <v>0</v>
      </c>
      <c r="AP135" s="19"/>
      <c r="AQ135" s="19"/>
      <c r="AR135" s="100"/>
      <c r="AS135" s="93"/>
      <c r="AT135" s="109" t="s">
        <v>491</v>
      </c>
      <c r="AU135" t="str">
        <f>$Q$23</f>
        <v>L4</v>
      </c>
      <c r="AV135">
        <f>$E$23</f>
        <v>0</v>
      </c>
      <c r="AW135" cm="1">
        <f t="array" ref="AW135">IFERROR(IF(AV135=0,0,(INDEX($C$33:$C$38,MATCH($AZ$44,$B$33:$B$38,0),0)*(AV137+$BA$44)+$AW$44*COUNTIF(AV135:AV136,"&gt;0")*$C$32+$AY$44*$C$31)*$AU$44),0)</f>
        <v>0</v>
      </c>
      <c r="AX135">
        <f>IF(AV135=0,0,-(COUNTIF(AV135:AV136,"&gt;0")*$AW$44*$C$32+$AY$44*$C$31)*$H$27*$AU$44)</f>
        <v>0</v>
      </c>
      <c r="AY135">
        <f>IF(AV135=0,0,$AY$44*$H$26*$AU$44)</f>
        <v>0</v>
      </c>
      <c r="AZ135">
        <f>(0.6*AW135+0.7*AX135)*$AU$44/2</f>
        <v>0</v>
      </c>
      <c r="BA135">
        <f>AW135*$AU$44/2</f>
        <v>0</v>
      </c>
      <c r="BC135">
        <f>IF(AV135=0,0,$BG$44*$AP$23)</f>
        <v>0</v>
      </c>
      <c r="BD135">
        <f>IFERROR(BC135/$AU$44,0)</f>
        <v>0</v>
      </c>
      <c r="BE135">
        <f>BC135*($F$23+IF($F$23=0,0,($C$14+$C$15+IF($C$13="single",1.5,3)+3)/12))</f>
        <v>0</v>
      </c>
      <c r="BF135">
        <f>BE135-AZ135</f>
        <v>0</v>
      </c>
      <c r="BG135" cm="1">
        <f t="array" ref="BG135">IFERROR(IF(BF135&lt;0,0,BF135/($AU$44-INDEX(hd_off,MATCH(BT135,hd_mark,0),0)/12)),0)</f>
        <v>0</v>
      </c>
      <c r="BH135">
        <f>IF(AV135=0,0,$BG$44*$AM$23)</f>
        <v>0</v>
      </c>
      <c r="BI135">
        <f>IFERROR(BH135/$AU$44,0)</f>
        <v>0</v>
      </c>
      <c r="BJ135">
        <f>BH135*($F$23+IF($F$23=0,0,($C$14+$C$15+IF($C$13="single",1.5,3)+3)/12))</f>
        <v>0</v>
      </c>
      <c r="BK135">
        <f>BJ135-BA135</f>
        <v>0</v>
      </c>
      <c r="BL135" cm="1">
        <f t="array" ref="BL135">IFERROR(IF(BK135&lt;0,0,BK135/($AU$44-INDEX(hd_off,MATCH(BT135,hd_mark,0),0)/12)),0)</f>
        <v>0</v>
      </c>
      <c r="BM135">
        <f>MAX($F$23,$BD$44)/$Q$52</f>
        <v>0</v>
      </c>
      <c r="BN135">
        <f t="shared" si="76"/>
        <v>0</v>
      </c>
      <c r="BO135" cm="1">
        <f t="array" ref="BO135">IFERROR(INDEX(sheath_ecap_asd,MATCH(BS135,sheath_mark,0),0)*BN135,0)</f>
        <v>0</v>
      </c>
      <c r="BP135" cm="1">
        <f t="array" ref="BP135">IFERROR(INDEX(sheath_wcap_asd,MATCH(BS135,sheath_mark,0),0)*BN135,0)</f>
        <v>0</v>
      </c>
      <c r="BQ135" cm="1">
        <f t="array" ref="BQ135">IFERROR(INDEX(hd_cap,MATCH(BT135,hd_mark,0),0),0)</f>
        <v>0</v>
      </c>
      <c r="BS135" s="19"/>
      <c r="BT135" s="19"/>
      <c r="BU135" s="100"/>
    </row>
    <row r="136" spans="16:73" x14ac:dyDescent="0.25">
      <c r="P136" s="93"/>
      <c r="Q136" s="111">
        <f>$R$44</f>
        <v>0</v>
      </c>
      <c r="R136" t="str">
        <f>$Q$24</f>
        <v>L5</v>
      </c>
      <c r="S136">
        <f>$E$24</f>
        <v>0</v>
      </c>
      <c r="T136" cm="1">
        <f t="array" ref="T136">IFERROR(IF(S136=0,0,(INDEX($C$33:$C$38,MATCH($W$44,$B$33:$B$38,0),0)*(S137+$X$44)+$T$44*COUNTIF(S136:S136,"&gt;0")*$C$32+$V$44*$C$31)*$R$44),0)</f>
        <v>0</v>
      </c>
      <c r="U136">
        <f>IF(S136=0,0,-(COUNTIF(S136:S136,"&gt;0")*$T$44*$C$32+$V$44*$C$31)*$H$27*$R$44)</f>
        <v>0</v>
      </c>
      <c r="V136">
        <f>IF(S136=0,0,$V$44*$H$26*$R$44)</f>
        <v>0</v>
      </c>
      <c r="W136">
        <f>(0.6*T136+0.7*U136)*$R$44/2</f>
        <v>0</v>
      </c>
      <c r="X136">
        <f>T136*$R$44/2</f>
        <v>0</v>
      </c>
      <c r="Z136">
        <f>IF(S136=0,0,$AD$44*$AP$24)</f>
        <v>0</v>
      </c>
      <c r="AA136">
        <f>IFERROR(Z136/$R$44,0)</f>
        <v>0</v>
      </c>
      <c r="AB136">
        <f>Z136*($F$24+IF($F$24=0,0,($C$14+$C$15+IF($C$13="single",1.5,3)+3)/12))</f>
        <v>0</v>
      </c>
      <c r="AC136">
        <f>AB136-W136</f>
        <v>0</v>
      </c>
      <c r="AD136" cm="1">
        <f t="array" ref="AD136">IFERROR(IF(AC136&lt;0,0,AC136/($R$44-INDEX(hd_off,MATCH(AQ136,hd_mark,0),0)/12)),0)</f>
        <v>0</v>
      </c>
      <c r="AE136">
        <f>IF(S136=0,0,$AD$44*$AM$24)</f>
        <v>0</v>
      </c>
      <c r="AF136">
        <f>IFERROR(AE136/$R$44,0)</f>
        <v>0</v>
      </c>
      <c r="AG136">
        <f>AE136*($F$24+IF($F$24=0,0,($C$14+$C$15+IF($C$13="single",1.5,3)+3)/12))</f>
        <v>0</v>
      </c>
      <c r="AH136">
        <f>AG136-X136</f>
        <v>0</v>
      </c>
      <c r="AI136" cm="1">
        <f t="array" ref="AI136">IFERROR(IF(AH136&lt;0,0,AH136/($R$44-INDEX(hd_off,MATCH(AQ136,hd_mark,0),0)/12)),0)</f>
        <v>0</v>
      </c>
      <c r="AJ136">
        <f>MAX($F$24,$AB$44)/$Q$52</f>
        <v>0</v>
      </c>
      <c r="AK136">
        <f t="shared" si="75"/>
        <v>0</v>
      </c>
      <c r="AL136" cm="1">
        <f t="array" ref="AL136">IFERROR(INDEX(sheath_ecap_asd,MATCH(AP136,sheath_mark,0),0)*AK136,0)</f>
        <v>0</v>
      </c>
      <c r="AM136" cm="1">
        <f t="array" ref="AM136">IFERROR(INDEX(sheath_wcap_asd,MATCH(AP136,sheath_mark,0),0)*AK136,0)</f>
        <v>0</v>
      </c>
      <c r="AN136" cm="1">
        <f t="array" ref="AN136">IFERROR(INDEX(hd_cap,MATCH(AQ136,hd_mark,0),0),0)</f>
        <v>0</v>
      </c>
      <c r="AP136" s="19"/>
      <c r="AQ136" s="19"/>
      <c r="AR136" s="100"/>
      <c r="AS136" s="93"/>
      <c r="AT136" s="111">
        <f>$R$44</f>
        <v>0</v>
      </c>
      <c r="AU136" t="str">
        <f>$Q$24</f>
        <v>L5</v>
      </c>
      <c r="AV136">
        <f>$E$24</f>
        <v>0</v>
      </c>
      <c r="AW136" cm="1">
        <f t="array" ref="AW136">IFERROR(IF(AV136=0,0,(INDEX($C$33:$C$38,MATCH($AZ$44,$B$33:$B$38,0),0)*(AV137+$BA$44)+$AW$44*COUNTIF(AV136:AV136,"&gt;0")*$C$32+$AY$44*$C$31)*$AU$44),0)</f>
        <v>0</v>
      </c>
      <c r="AX136">
        <f>IF(AV136=0,0,-(COUNTIF(AV136:AV136,"&gt;0")*$AW$44*$C$32+$AY$44*$C$31)*$H$27*$AU$44)</f>
        <v>0</v>
      </c>
      <c r="AY136">
        <f>IF(AV136=0,0,$AY$44*$H$26*$AU$44)</f>
        <v>0</v>
      </c>
      <c r="AZ136">
        <f>(0.6*AW136+0.7*AX136)*$AU$44/2</f>
        <v>0</v>
      </c>
      <c r="BA136">
        <f>AW136*$AU$44/2</f>
        <v>0</v>
      </c>
      <c r="BC136">
        <f>IF(AV136=0,0,$BG$44*$AP$24)</f>
        <v>0</v>
      </c>
      <c r="BD136">
        <f>IFERROR(BC136/$AU$44,0)</f>
        <v>0</v>
      </c>
      <c r="BE136">
        <f>BC136*($F$24+IF($F$24=0,0,($C$14+$C$15+IF($C$13="single",1.5,3)+3)/12))</f>
        <v>0</v>
      </c>
      <c r="BF136">
        <f>BE136-AZ136</f>
        <v>0</v>
      </c>
      <c r="BG136" cm="1">
        <f t="array" ref="BG136">IFERROR(IF(BF136&lt;0,0,BF136/($AU$44-INDEX(hd_off,MATCH(BT136,hd_mark,0),0)/12)),0)</f>
        <v>0</v>
      </c>
      <c r="BH136">
        <f>IF(AV136=0,0,$BG$44*$AM$24)</f>
        <v>0</v>
      </c>
      <c r="BI136">
        <f>IFERROR(BH136/$AU$44,0)</f>
        <v>0</v>
      </c>
      <c r="BJ136">
        <f>BH136*($F$24+IF($F$24=0,0,($C$14+$C$15+IF($C$13="single",1.5,3)+3)/12))</f>
        <v>0</v>
      </c>
      <c r="BK136">
        <f>BJ136-BA136</f>
        <v>0</v>
      </c>
      <c r="BL136" cm="1">
        <f t="array" ref="BL136">IFERROR(IF(BK136&lt;0,0,BK136/($AU$44-INDEX(hd_off,MATCH(BT136,hd_mark,0),0)/12)),0)</f>
        <v>0</v>
      </c>
      <c r="BM136">
        <f>MAX($F$24,$BE$44)/$Q$52</f>
        <v>0</v>
      </c>
      <c r="BN136">
        <f t="shared" si="76"/>
        <v>0</v>
      </c>
      <c r="BO136" cm="1">
        <f t="array" ref="BO136">IFERROR(INDEX(sheath_ecap_asd,MATCH(BS136,sheath_mark,0),0)*BN136,0)</f>
        <v>0</v>
      </c>
      <c r="BP136" cm="1">
        <f t="array" ref="BP136">IFERROR(INDEX(sheath_wcap_asd,MATCH(BS136,sheath_mark,0),0)*BN136,0)</f>
        <v>0</v>
      </c>
      <c r="BQ136" cm="1">
        <f t="array" ref="BQ136">IFERROR(INDEX(hd_cap,MATCH(BT136,hd_mark,0),0),0)</f>
        <v>0</v>
      </c>
      <c r="BS136" s="19"/>
      <c r="BT136" s="19"/>
      <c r="BU136" s="100"/>
    </row>
    <row r="137" spans="16:73" x14ac:dyDescent="0.25">
      <c r="P137" s="93"/>
      <c r="Q137" s="109"/>
      <c r="R137" t="str">
        <f>$Q$25</f>
        <v>Roof</v>
      </c>
      <c r="S137">
        <f>$E$25</f>
        <v>33.171875</v>
      </c>
      <c r="T137" cm="1">
        <f t="array" ref="T137">IFERROR(IF(S137=0,0,(INDEX($C$33:$C$38,MATCH($W$44,$B$33:$B$38,0),0)*(S137+$X$44)+$V$44*$C$31)*$R$44),0)</f>
        <v>0</v>
      </c>
      <c r="U137">
        <f>IF(S137=0,0,-$V$44*$C$31*$H$27*$R$44)</f>
        <v>0</v>
      </c>
      <c r="V137">
        <f>IF(S137=0,0,$V$44*$H$26*$R$44)</f>
        <v>0</v>
      </c>
      <c r="W137">
        <f>(0.6*T137+0.7*U137)*$R$44/2</f>
        <v>0</v>
      </c>
      <c r="X137">
        <f>T137*$R$44/2</f>
        <v>0</v>
      </c>
      <c r="Z137">
        <f>IF(S137=0,0,$AD$44*$AP$25)</f>
        <v>0</v>
      </c>
      <c r="AA137">
        <f>IFERROR(Z137/$R$44,0)</f>
        <v>0</v>
      </c>
      <c r="AB137">
        <f>Z137*($F$25+($C$16+$C$17+IF($C$13="single",1.5,3)+3)/12)</f>
        <v>0</v>
      </c>
      <c r="AC137">
        <f>AB137-W137</f>
        <v>0</v>
      </c>
      <c r="AD137" cm="1">
        <f t="array" ref="AD137">IFERROR(IF(AC137&lt;0,0,AC137/($R$44-INDEX(hd_off,MATCH(AQ137,hd_mark,0),0)/12)),0)</f>
        <v>0</v>
      </c>
      <c r="AE137">
        <f>IF(S137=0,0,$AD$44*$AM$25)</f>
        <v>0</v>
      </c>
      <c r="AF137">
        <f>IFERROR(AE137/$R$44,0)</f>
        <v>0</v>
      </c>
      <c r="AG137">
        <f>AE137*($F$25+($C$16+$C$17+IF($C$13="single",1.5,3)+3)/12)</f>
        <v>0</v>
      </c>
      <c r="AH137">
        <f>AG137-X137</f>
        <v>0</v>
      </c>
      <c r="AI137" cm="1">
        <f t="array" ref="AI137">IFERROR(IF(AH137&lt;0,0,AH137/($R$44-INDEX(hd_off,MATCH(AQ137,hd_mark,0),0)/12)),0)</f>
        <v>0</v>
      </c>
      <c r="AJ137">
        <f>MAX($F$25,$AC$44)/$Q$52</f>
        <v>0.29920977011494249</v>
      </c>
      <c r="AK137">
        <f t="shared" si="75"/>
        <v>1</v>
      </c>
      <c r="AL137" cm="1">
        <f t="array" ref="AL137">IFERROR(INDEX(sheath_ecap_asd,MATCH(AP137,sheath_mark,0),0)*AK137,0)</f>
        <v>0</v>
      </c>
      <c r="AM137" cm="1">
        <f t="array" ref="AM137">IFERROR(INDEX(sheath_wcap_asd,MATCH(AP137,sheath_mark,0),0)*AK137,0)</f>
        <v>0</v>
      </c>
      <c r="AN137" cm="1">
        <f t="array" ref="AN137">IFERROR(INDEX(hd_cap,MATCH(AQ137,hd_mark,0),0),0)</f>
        <v>0</v>
      </c>
      <c r="AP137" s="19"/>
      <c r="AQ137" s="19"/>
      <c r="AR137" s="100"/>
      <c r="AS137" s="93"/>
      <c r="AT137" s="109"/>
      <c r="AU137" t="str">
        <f>$Q$25</f>
        <v>Roof</v>
      </c>
      <c r="AV137">
        <f>$E$25</f>
        <v>33.171875</v>
      </c>
      <c r="AW137" cm="1">
        <f t="array" ref="AW137">IFERROR(IF(AV137=0,0,(INDEX($C$33:$C$38,MATCH($AZ$44,$B$33:$B$38,0),0)*(AV137+$BA$44)+$AY$44*$C$31)*$AU$44),0)</f>
        <v>0</v>
      </c>
      <c r="AX137">
        <f>IF(AV137=0,0,-$AY$44*$C$31*$H$27*$AU$44)</f>
        <v>0</v>
      </c>
      <c r="AY137">
        <f>IF(AV137=0,0,$AY$44*$H$26*$AU$44)</f>
        <v>0</v>
      </c>
      <c r="AZ137">
        <f>(0.6*AW137+0.7*AX137)*$AU$44/2</f>
        <v>0</v>
      </c>
      <c r="BA137">
        <f>AW137*$AU$44/2</f>
        <v>0</v>
      </c>
      <c r="BC137">
        <f>IF(AV137=0,0,$BG$44*$AP$25)</f>
        <v>0</v>
      </c>
      <c r="BD137">
        <f>IFERROR(BC137/$AU$44,0)</f>
        <v>0</v>
      </c>
      <c r="BE137">
        <f>BC137*($F$25+($C$16+$C$17+IF($C$13="single",1.5,3)+3)/12)</f>
        <v>0</v>
      </c>
      <c r="BF137">
        <f>BE137-AZ137</f>
        <v>0</v>
      </c>
      <c r="BG137" cm="1">
        <f t="array" ref="BG137">IFERROR(IF(BF137&lt;0,0,BF137/($AU$44-INDEX(hd_off,MATCH(BT137,hd_mark,0),0)/12)),0)</f>
        <v>0</v>
      </c>
      <c r="BH137">
        <f>IF(AV137=0,0,$BG$44*$AM$25)</f>
        <v>0</v>
      </c>
      <c r="BI137">
        <f>IFERROR(BH137/$AU$44,0)</f>
        <v>0</v>
      </c>
      <c r="BJ137">
        <f>BH137*($F$25+($C$16+$C$17+IF($C$13="single",1.5,3)+3)/12)</f>
        <v>0</v>
      </c>
      <c r="BK137">
        <f>BJ137-BA137</f>
        <v>0</v>
      </c>
      <c r="BL137" cm="1">
        <f t="array" ref="BL137">IFERROR(IF(BK137&lt;0,0,BK137/($AU$44-INDEX(hd_off,MATCH(BT137,hd_mark,0),0)/12)),0)</f>
        <v>0</v>
      </c>
      <c r="BM137">
        <f>MAX($F$25,$BF$44)/$Q$52</f>
        <v>0.29920977011494249</v>
      </c>
      <c r="BN137">
        <f t="shared" si="76"/>
        <v>1</v>
      </c>
      <c r="BO137" cm="1">
        <f t="array" ref="BO137">IFERROR(INDEX(sheath_ecap_asd,MATCH(BS137,sheath_mark,0),0)*BN137,0)</f>
        <v>0</v>
      </c>
      <c r="BP137" cm="1">
        <f t="array" ref="BP137">IFERROR(INDEX(sheath_wcap_asd,MATCH(BS137,sheath_mark,0),0)*BN137,0)</f>
        <v>0</v>
      </c>
      <c r="BQ137" cm="1">
        <f t="array" ref="BQ137">IFERROR(INDEX(hd_cap,MATCH(BT137,hd_mark,0),0),0)</f>
        <v>0</v>
      </c>
      <c r="BS137" s="19"/>
      <c r="BT137" s="19"/>
      <c r="BU137" s="100"/>
    </row>
    <row r="138" spans="16:73" x14ac:dyDescent="0.25">
      <c r="P138" s="93"/>
      <c r="AR138" s="100"/>
      <c r="AS138" s="93"/>
      <c r="BU138" s="100"/>
    </row>
    <row r="139" spans="16:73" x14ac:dyDescent="0.25">
      <c r="P139" s="93"/>
      <c r="Q139" s="110" t="str">
        <f>$Q$45</f>
        <v>A.16</v>
      </c>
      <c r="R139" t="str">
        <f>$Q$21</f>
        <v>L2</v>
      </c>
      <c r="S139">
        <f>$E$21</f>
        <v>10.6875</v>
      </c>
      <c r="T139" cm="1">
        <f t="array" ref="T139">IFERROR(IF(S139=0,0,(INDEX($C$33:$C$38,MATCH($W$45,$B$33:$B$38,0),0)*(S143+$X$45)+$T$45*COUNTIF(S139:S142,"&gt;0")*$C$32+$V$45*$C$31)*$R$45),0)</f>
        <v>0</v>
      </c>
      <c r="U139">
        <f>IF(S139=0,0,-(COUNTIF(S139:S142,"&gt;0")*$T$45*$C$32+$V$45*$C$31)*$H$27*$R$45)</f>
        <v>0</v>
      </c>
      <c r="V139">
        <f>IF(S139=0,0,$V$45*$H$26*$R$45)</f>
        <v>0</v>
      </c>
      <c r="W139">
        <f>(0.6*T139+0.7*U139)*$R$45/2</f>
        <v>0</v>
      </c>
      <c r="X139">
        <f>(0.6*T139+0.6*V139)*$R$45/2</f>
        <v>0</v>
      </c>
      <c r="Z139">
        <f>IF(S139=0,0,$AD$45*$AP$21)</f>
        <v>0</v>
      </c>
      <c r="AA139">
        <f>IFERROR(Z139/$R$45,0)</f>
        <v>0</v>
      </c>
      <c r="AB139">
        <f>Z139*($F$21+IF($F$21=0,0,($C$14+$C$15+IF($C$13="single",1.5,3)+3)/12))</f>
        <v>0</v>
      </c>
      <c r="AC139">
        <f>AB139-W139</f>
        <v>0</v>
      </c>
      <c r="AD139" cm="1">
        <f t="array" ref="AD139">IFERROR(IF(AC139&lt;0,0,AC139/($R$45-INDEX(hd_off,MATCH(AQ139,hd_mark,0),0)/12)),0)</f>
        <v>0</v>
      </c>
      <c r="AE139">
        <f>IF(S139=0,0,$AD$45*$AM$21)</f>
        <v>0</v>
      </c>
      <c r="AF139">
        <f>IFERROR(AE139/$R$45,0)</f>
        <v>0</v>
      </c>
      <c r="AG139">
        <f>AE139*($F$21+IF($F$21=0,0,($C$14+$C$15+IF($C$13="single",1.5,3)+3)/12))</f>
        <v>0</v>
      </c>
      <c r="AH139">
        <f>AG139-X139</f>
        <v>0</v>
      </c>
      <c r="AI139" cm="1">
        <f t="array" ref="AI139">IFERROR(IF(AH139&lt;0,0,AH139/($R$45-INDEX(hd_off,MATCH(AQ139,hd_mark,0),0)/12)),0)</f>
        <v>0</v>
      </c>
      <c r="AJ139">
        <f>MAX($F$21,$Y$45)/$Q$52</f>
        <v>0.30172413793103448</v>
      </c>
      <c r="AK139">
        <f>IF(AJ139=0,0,IF(AJ139&gt;2,1.25-0.125*AJ139,1))</f>
        <v>1</v>
      </c>
      <c r="AL139" cm="1">
        <f t="array" ref="AL139">IFERROR(INDEX(sheath_ecap_asd,MATCH(AP139,sheath_mark,0),0)*AK139,0)</f>
        <v>0</v>
      </c>
      <c r="AM139" cm="1">
        <f t="array" ref="AM139">IFERROR(INDEX(sheath_wcap_asd,MATCH(AP139,sheath_mark,0),0)*AK139,0)</f>
        <v>0</v>
      </c>
      <c r="AN139" cm="1">
        <f t="array" ref="AN139">IFERROR(INDEX(hd_cap,MATCH(AQ139,hd_mark,0),0),0)</f>
        <v>0</v>
      </c>
      <c r="AP139" s="19"/>
      <c r="AQ139" s="19"/>
      <c r="AR139" s="100"/>
      <c r="AS139" s="93"/>
      <c r="AT139" s="110" t="str">
        <f>$AT$45</f>
        <v>1.16</v>
      </c>
      <c r="AU139" t="str">
        <f>$Q$21</f>
        <v>L2</v>
      </c>
      <c r="AV139">
        <f>$E$21</f>
        <v>10.6875</v>
      </c>
      <c r="AW139" cm="1">
        <f t="array" ref="AW139">IFERROR(IF(AV139=0,0,(INDEX($C$33:$C$38,MATCH($AZ$45,$B$33:$B$38,0),0)*(AV143+$BA$45)+$AW$45*COUNTIF(AV139:AV142,"&gt;0")*$C$32+$AY$45*$C$31)*$AU$45),0)</f>
        <v>0</v>
      </c>
      <c r="AX139">
        <f>IF(AV139=0,0,-(COUNTIF(AV139:AV142,"&gt;0")*$AW$45*$C$32+$AY$45*$C$31)*$H$27*$AU$45)</f>
        <v>0</v>
      </c>
      <c r="AY139">
        <f>IF(AV139=0,0,$AY$45*$H$26*$AU$45)</f>
        <v>0</v>
      </c>
      <c r="AZ139">
        <f>(0.6*AW139+0.7*AX139)*$AU$45/2</f>
        <v>0</v>
      </c>
      <c r="BA139">
        <f>(0.6*AW139+0.6*AY139)*$AU$45/2</f>
        <v>0</v>
      </c>
      <c r="BC139">
        <f>IF(AV139=0,0,$BG$45*$AP$21)</f>
        <v>0</v>
      </c>
      <c r="BD139">
        <f>IFERROR(BC139/$AU$45,0)</f>
        <v>0</v>
      </c>
      <c r="BE139">
        <f>BC139*($F$21+IF($F$21=0,0,($C$14+$C$15+IF($C$13="single",1.5,3)+3)/12))</f>
        <v>0</v>
      </c>
      <c r="BF139">
        <f>BE139-AZ139</f>
        <v>0</v>
      </c>
      <c r="BG139" cm="1">
        <f t="array" ref="BG139">IFERROR(IF(BF139&lt;0,0,BF139/($AU$45-INDEX(hd_off,MATCH(BT139,hd_mark,0),0)/12)),0)</f>
        <v>0</v>
      </c>
      <c r="BH139">
        <f>IF(AV139=0,0,$BG$45*$AM$21)</f>
        <v>0</v>
      </c>
      <c r="BI139">
        <f>IFERROR(BH139/$AU$45,0)</f>
        <v>0</v>
      </c>
      <c r="BJ139">
        <f>BH139*($F$21+IF($F$21=0,0,($C$14+$C$15+IF($C$13="single",1.5,3)+3)/12))</f>
        <v>0</v>
      </c>
      <c r="BK139">
        <f>BJ139-BA139</f>
        <v>0</v>
      </c>
      <c r="BL139" cm="1">
        <f t="array" ref="BL139">IFERROR(IF(BK139&lt;0,0,BK139/($AU$45-INDEX(hd_off,MATCH(BT139,hd_mark,0),0)/12)),0)</f>
        <v>0</v>
      </c>
      <c r="BM139">
        <f>MAX($F$21,$BB$45)/$Q$52</f>
        <v>0.30172413793103448</v>
      </c>
      <c r="BN139">
        <f>IF(BM139=0,0,IF(BM139&gt;2,1.25-0.125*BM139,1))</f>
        <v>1</v>
      </c>
      <c r="BO139" cm="1">
        <f t="array" ref="BO139">IFERROR(INDEX(sheath_ecap_asd,MATCH(BS139,sheath_mark,0),0)*BN139,0)</f>
        <v>0</v>
      </c>
      <c r="BP139" cm="1">
        <f t="array" ref="BP139">IFERROR(INDEX(sheath_wcap_asd,MATCH(BS139,sheath_mark,0),0)*BN139,0)</f>
        <v>0</v>
      </c>
      <c r="BQ139" cm="1">
        <f t="array" ref="BQ139">IFERROR(INDEX(hd_cap,MATCH(BT139,hd_mark,0),0),0)</f>
        <v>0</v>
      </c>
      <c r="BS139" s="19"/>
      <c r="BT139" s="19"/>
      <c r="BU139" s="100"/>
    </row>
    <row r="140" spans="16:73" x14ac:dyDescent="0.25">
      <c r="P140" s="93"/>
      <c r="Q140" s="109"/>
      <c r="R140" t="str">
        <f>$Q$22</f>
        <v>L3</v>
      </c>
      <c r="S140">
        <f>$E$22</f>
        <v>21.375</v>
      </c>
      <c r="T140" cm="1">
        <f t="array" ref="T140">IFERROR(IF(S140=0,0,(INDEX($C$33:$C$38,MATCH($W$45,$B$33:$B$38,0),0)*(S143+$X$45)+$T$45*COUNTIF(S140:S142,"&gt;0")*$C$32+$V$45*$C$31)*$R$45),0)</f>
        <v>0</v>
      </c>
      <c r="U140">
        <f>IF(S140=0,0,-(COUNTIF(S140:S142,"&gt;0")*$T$45*$C$32+$V$45*$C$31)*$H$27*$R$45)</f>
        <v>0</v>
      </c>
      <c r="V140">
        <f>IF(S140=0,0,$V$45*$H$26*$R$45)</f>
        <v>0</v>
      </c>
      <c r="W140">
        <f>(0.6*T140+0.7*U140)*$R$45/2</f>
        <v>0</v>
      </c>
      <c r="X140">
        <f>T140*$R$45/2</f>
        <v>0</v>
      </c>
      <c r="Z140">
        <f>IF(S140=0,0,$AD$45*$AP$22)</f>
        <v>0</v>
      </c>
      <c r="AA140">
        <f>IFERROR(Z140/$R$45,0)</f>
        <v>0</v>
      </c>
      <c r="AB140">
        <f>Z140*($F$22+IF($F$22=0,0,($C$14+$C$15+IF($C$13="single",1.5,3)+3)/12))</f>
        <v>0</v>
      </c>
      <c r="AC140">
        <f>AB140-W140</f>
        <v>0</v>
      </c>
      <c r="AD140" cm="1">
        <f t="array" ref="AD140">IFERROR(IF(AC140&lt;0,0,AC140/($R$45-INDEX(hd_off,MATCH(AQ140,hd_mark,0),0)/12)),0)</f>
        <v>0</v>
      </c>
      <c r="AE140">
        <f>IF(S140=0,0,$AD$45*$AM$22)</f>
        <v>0</v>
      </c>
      <c r="AF140">
        <f>IFERROR(AE140/$R$45,0)</f>
        <v>0</v>
      </c>
      <c r="AG140">
        <f>AE140*($F$22+IF($F$22=0,0,($C$14+$C$15+IF($C$13="single",1.5,3)+3)/12))</f>
        <v>0</v>
      </c>
      <c r="AH140">
        <f>AG140-X140</f>
        <v>0</v>
      </c>
      <c r="AI140" cm="1">
        <f t="array" ref="AI140">IFERROR(IF(AH140&lt;0,0,AH140/($R$45-INDEX(hd_off,MATCH(AQ140,hd_mark,0),0)/12)),0)</f>
        <v>0</v>
      </c>
      <c r="AJ140">
        <f>MAX($F$22,$Z$45)/$Q$52</f>
        <v>0.30172413793103448</v>
      </c>
      <c r="AK140">
        <f t="shared" ref="AK140:AK143" si="77">IF(AJ140=0,0,IF(AJ140&gt;2,1.25-0.125*AJ140,1))</f>
        <v>1</v>
      </c>
      <c r="AL140" cm="1">
        <f t="array" ref="AL140">IFERROR(INDEX(sheath_ecap_asd,MATCH(AP140,sheath_mark,0),0)*AK140,0)</f>
        <v>0</v>
      </c>
      <c r="AM140" cm="1">
        <f t="array" ref="AM140">IFERROR(INDEX(sheath_wcap_asd,MATCH(AP140,sheath_mark,0),0)*AK140,0)</f>
        <v>0</v>
      </c>
      <c r="AN140" cm="1">
        <f t="array" ref="AN140">IFERROR(INDEX(hd_cap,MATCH(AQ140,hd_mark,0),0),0)</f>
        <v>0</v>
      </c>
      <c r="AP140" s="19"/>
      <c r="AQ140" s="19"/>
      <c r="AR140" s="100"/>
      <c r="AS140" s="93"/>
      <c r="AT140" s="109"/>
      <c r="AU140" t="str">
        <f>$Q$22</f>
        <v>L3</v>
      </c>
      <c r="AV140">
        <f>$E$22</f>
        <v>21.375</v>
      </c>
      <c r="AW140" cm="1">
        <f t="array" ref="AW140">IFERROR(IF(AV140=0,0,(INDEX($C$33:$C$38,MATCH($AZ$45,$B$33:$B$38,0),0)*(AV143+$BA$45)+$AW$45*COUNTIF(AV140:AV142,"&gt;0")*$C$32+$AY$45*$C$31)*$AU$45),0)</f>
        <v>0</v>
      </c>
      <c r="AX140">
        <f>IF(AV140=0,0,-(COUNTIF(AV140:AV142,"&gt;0")*$AW$45*$C$32+$AY$45*$C$31)*$H$27*$AU$45)</f>
        <v>0</v>
      </c>
      <c r="AY140">
        <f>IF(AV140=0,0,$AY$45*$H$26*$AU$45)</f>
        <v>0</v>
      </c>
      <c r="AZ140">
        <f>(0.6*AW140+0.7*AX140)*$AU$45/2</f>
        <v>0</v>
      </c>
      <c r="BA140">
        <f>AW140*$AU$45/2</f>
        <v>0</v>
      </c>
      <c r="BC140">
        <f>IF(AV140=0,0,$BG$45*$AP$22)</f>
        <v>0</v>
      </c>
      <c r="BD140">
        <f>IFERROR(BC140/$AU$45,0)</f>
        <v>0</v>
      </c>
      <c r="BE140">
        <f>BC140*($F$22+IF($F$22=0,0,($C$14+$C$15+IF($C$13="single",1.5,3)+3)/12))</f>
        <v>0</v>
      </c>
      <c r="BF140">
        <f>BE140-AZ140</f>
        <v>0</v>
      </c>
      <c r="BG140" cm="1">
        <f t="array" ref="BG140">IFERROR(IF(BF140&lt;0,0,BF140/($AU$45-INDEX(hd_off,MATCH(BT140,hd_mark,0),0)/12)),0)</f>
        <v>0</v>
      </c>
      <c r="BH140">
        <f>IF(AV140=0,0,$BG$45*$AM$22)</f>
        <v>0</v>
      </c>
      <c r="BI140">
        <f>IFERROR(BH140/$AU$45,0)</f>
        <v>0</v>
      </c>
      <c r="BJ140">
        <f>BH140*($F$22+IF($F$22=0,0,($C$14+$C$15+IF($C$13="single",1.5,3)+3)/12))</f>
        <v>0</v>
      </c>
      <c r="BK140">
        <f>BJ140-BA140</f>
        <v>0</v>
      </c>
      <c r="BL140" cm="1">
        <f t="array" ref="BL140">IFERROR(IF(BK140&lt;0,0,BK140/($AU$45-INDEX(hd_off,MATCH(BT140,hd_mark,0),0)/12)),0)</f>
        <v>0</v>
      </c>
      <c r="BM140">
        <f>MAX($F$22,$BC$45)/$Q$52</f>
        <v>0.30172413793103448</v>
      </c>
      <c r="BN140">
        <f t="shared" ref="BN140:BN142" si="78">IF(BM140=0,0,IF(BM140&gt;2,1.25-0.125*BM140,1))</f>
        <v>1</v>
      </c>
      <c r="BO140" cm="1">
        <f t="array" ref="BO140">IFERROR(INDEX(sheath_ecap_asd,MATCH(BS140,sheath_mark,0),0)*BN140,0)</f>
        <v>0</v>
      </c>
      <c r="BP140" cm="1">
        <f t="array" ref="BP140">IFERROR(INDEX(sheath_wcap_asd,MATCH(BS140,sheath_mark,0),0)*BN140,0)</f>
        <v>0</v>
      </c>
      <c r="BQ140" cm="1">
        <f t="array" ref="BQ140">IFERROR(INDEX(hd_cap,MATCH(BT140,hd_mark,0),0),0)</f>
        <v>0</v>
      </c>
      <c r="BS140" s="19"/>
      <c r="BT140" s="19"/>
      <c r="BU140" s="100"/>
    </row>
    <row r="141" spans="16:73" x14ac:dyDescent="0.25">
      <c r="P141" s="93"/>
      <c r="Q141" s="109" t="s">
        <v>491</v>
      </c>
      <c r="R141" t="str">
        <f>$Q$23</f>
        <v>L4</v>
      </c>
      <c r="S141">
        <f>$E$23</f>
        <v>0</v>
      </c>
      <c r="T141" cm="1">
        <f t="array" ref="T141">IFERROR(IF(S141=0,0,(INDEX($C$33:$C$38,MATCH($W$45,$B$33:$B$38,0),0)*(S143+$X$45)+$T$45*COUNTIF(S141:S142,"&gt;0")*$C$32+$V$45*$C$31)*$R$45),0)</f>
        <v>0</v>
      </c>
      <c r="U141">
        <f>IF(S141=0,0,-(COUNTIF(S141:S142,"&gt;0")*$T$45*$C$32+$V$45*$C$31)*$H$27*$R$45)</f>
        <v>0</v>
      </c>
      <c r="V141">
        <f>IF(S141=0,0,$V$45*$H$26*$R$45)</f>
        <v>0</v>
      </c>
      <c r="W141">
        <f>(0.6*T141+0.7*U141)*$R$45/2</f>
        <v>0</v>
      </c>
      <c r="X141">
        <f>T141*$R$45/2</f>
        <v>0</v>
      </c>
      <c r="Z141">
        <f>IF(S141=0,0,$AD$45*$AP$23)</f>
        <v>0</v>
      </c>
      <c r="AA141">
        <f>IFERROR(Z141/$R$45,0)</f>
        <v>0</v>
      </c>
      <c r="AB141">
        <f>Z141*($F$23+IF($F$23=0,0,($C$14+$C$15+IF($C$13="single",1.5,3)+3)/12))</f>
        <v>0</v>
      </c>
      <c r="AC141">
        <f>AB141-W141</f>
        <v>0</v>
      </c>
      <c r="AD141" cm="1">
        <f t="array" ref="AD141">IFERROR(IF(AC141&lt;0,0,AC141/($R$45-INDEX(hd_off,MATCH(AQ141,hd_mark,0),0)/12)),0)</f>
        <v>0</v>
      </c>
      <c r="AE141">
        <f>IF(S141=0,0,$AD$45*$AM$23)</f>
        <v>0</v>
      </c>
      <c r="AF141">
        <f>IFERROR(AE141/$R$45,0)</f>
        <v>0</v>
      </c>
      <c r="AG141">
        <f>AE141*($F$23+IF($F$23=0,0,($C$14+$C$15+IF($C$13="single",1.5,3)+3)/12))</f>
        <v>0</v>
      </c>
      <c r="AH141">
        <f>AG141-X141</f>
        <v>0</v>
      </c>
      <c r="AI141" cm="1">
        <f t="array" ref="AI141">IFERROR(IF(AH141&lt;0,0,AH141/($R$45-INDEX(hd_off,MATCH(AQ141,hd_mark,0),0)/12)),0)</f>
        <v>0</v>
      </c>
      <c r="AJ141">
        <f>MAX($F$23,$AA$45)/$Q$52</f>
        <v>0</v>
      </c>
      <c r="AK141">
        <f t="shared" si="77"/>
        <v>0</v>
      </c>
      <c r="AL141" cm="1">
        <f t="array" ref="AL141">IFERROR(INDEX(sheath_ecap_asd,MATCH(AP141,sheath_mark,0),0)*AK141,0)</f>
        <v>0</v>
      </c>
      <c r="AM141" cm="1">
        <f t="array" ref="AM141">IFERROR(INDEX(sheath_wcap_asd,MATCH(AP141,sheath_mark,0),0)*AK141,0)</f>
        <v>0</v>
      </c>
      <c r="AN141" cm="1">
        <f t="array" ref="AN141">IFERROR(INDEX(hd_cap,MATCH(AQ141,hd_mark,0),0),0)</f>
        <v>0</v>
      </c>
      <c r="AP141" s="19"/>
      <c r="AQ141" s="19"/>
      <c r="AR141" s="100"/>
      <c r="AS141" s="93"/>
      <c r="AT141" s="109" t="s">
        <v>491</v>
      </c>
      <c r="AU141" t="str">
        <f>$Q$23</f>
        <v>L4</v>
      </c>
      <c r="AV141">
        <f>$E$23</f>
        <v>0</v>
      </c>
      <c r="AW141" cm="1">
        <f t="array" ref="AW141">IFERROR(IF(AV141=0,0,(INDEX($C$33:$C$38,MATCH($AZ$45,$B$33:$B$38,0),0)*(AV143+$BA$45)+$AW$45*COUNTIF(AV141:AV142,"&gt;0")*$C$32+$AY$45*$C$31)*$AU$45),0)</f>
        <v>0</v>
      </c>
      <c r="AX141">
        <f>IF(AV141=0,0,-(COUNTIF(AV141:AV142,"&gt;0")*$AW$45*$C$32+$AY$45*$C$31)*$H$27*$AU$45)</f>
        <v>0</v>
      </c>
      <c r="AY141">
        <f>IF(AV141=0,0,$AY$45*$H$26*$AU$45)</f>
        <v>0</v>
      </c>
      <c r="AZ141">
        <f>(0.6*AW141+0.7*AX141)*$AU$45/2</f>
        <v>0</v>
      </c>
      <c r="BA141">
        <f>AW141*$AU$45/2</f>
        <v>0</v>
      </c>
      <c r="BC141">
        <f>IF(AV141=0,0,$BG$45*$AP$23)</f>
        <v>0</v>
      </c>
      <c r="BD141">
        <f>IFERROR(BC141/$AU$45,0)</f>
        <v>0</v>
      </c>
      <c r="BE141">
        <f>BC141*($F$23+IF($F$23=0,0,($C$14+$C$15+IF($C$13="single",1.5,3)+3)/12))</f>
        <v>0</v>
      </c>
      <c r="BF141">
        <f>BE141-AZ141</f>
        <v>0</v>
      </c>
      <c r="BG141" cm="1">
        <f t="array" ref="BG141">IFERROR(IF(BF141&lt;0,0,BF141/($AU$45-INDEX(hd_off,MATCH(BT141,hd_mark,0),0)/12)),0)</f>
        <v>0</v>
      </c>
      <c r="BH141">
        <f>IF(AV141=0,0,$BG$45*$AM$23)</f>
        <v>0</v>
      </c>
      <c r="BI141">
        <f>IFERROR(BH141/$AU$45,0)</f>
        <v>0</v>
      </c>
      <c r="BJ141">
        <f>BH141*($F$23+IF($F$23=0,0,($C$14+$C$15+IF($C$13="single",1.5,3)+3)/12))</f>
        <v>0</v>
      </c>
      <c r="BK141">
        <f>BJ141-BA141</f>
        <v>0</v>
      </c>
      <c r="BL141" cm="1">
        <f t="array" ref="BL141">IFERROR(IF(BK141&lt;0,0,BK141/($AU$45-INDEX(hd_off,MATCH(BT141,hd_mark,0),0)/12)),0)</f>
        <v>0</v>
      </c>
      <c r="BM141">
        <f>MAX($F$23,$BD$45)/$Q$52</f>
        <v>0</v>
      </c>
      <c r="BN141">
        <f t="shared" si="78"/>
        <v>0</v>
      </c>
      <c r="BO141" cm="1">
        <f t="array" ref="BO141">IFERROR(INDEX(sheath_ecap_asd,MATCH(BS141,sheath_mark,0),0)*BN141,0)</f>
        <v>0</v>
      </c>
      <c r="BP141" cm="1">
        <f t="array" ref="BP141">IFERROR(INDEX(sheath_wcap_asd,MATCH(BS141,sheath_mark,0),0)*BN141,0)</f>
        <v>0</v>
      </c>
      <c r="BQ141" cm="1">
        <f t="array" ref="BQ141">IFERROR(INDEX(hd_cap,MATCH(BT141,hd_mark,0),0),0)</f>
        <v>0</v>
      </c>
      <c r="BS141" s="19"/>
      <c r="BT141" s="19"/>
      <c r="BU141" s="100"/>
    </row>
    <row r="142" spans="16:73" x14ac:dyDescent="0.25">
      <c r="P142" s="93"/>
      <c r="Q142" s="111">
        <f>$R$45</f>
        <v>0</v>
      </c>
      <c r="R142" t="str">
        <f>$Q$24</f>
        <v>L5</v>
      </c>
      <c r="S142">
        <f>$E$24</f>
        <v>0</v>
      </c>
      <c r="T142" cm="1">
        <f t="array" ref="T142">IFERROR(IF(S142=0,0,(INDEX($C$33:$C$38,MATCH($W$45,$B$33:$B$38,0),0)*(S143+$X$45)+$T$45*COUNTIF(S142:S142,"&gt;0")*$C$32+$V$45*$C$31)*$R$45),0)</f>
        <v>0</v>
      </c>
      <c r="U142">
        <f>IF(S142=0,0,-(COUNTIF(S142:S142,"&gt;0")*$T$45*$C$32+$V$45*$C$31)*$H$27*$R$45)</f>
        <v>0</v>
      </c>
      <c r="V142">
        <f>IF(S142=0,0,$V$45*$H$26*$R$45)</f>
        <v>0</v>
      </c>
      <c r="W142">
        <f>(0.6*T142+0.7*U142)*$R$45/2</f>
        <v>0</v>
      </c>
      <c r="X142">
        <f>T142*$R$45/2</f>
        <v>0</v>
      </c>
      <c r="Z142">
        <f>IF(S142=0,0,$AD$45*$AP$24)</f>
        <v>0</v>
      </c>
      <c r="AA142">
        <f>IFERROR(Z142/$R$45,0)</f>
        <v>0</v>
      </c>
      <c r="AB142">
        <f>Z142*($F$24+IF($F$24=0,0,($C$14+$C$15+IF($C$13="single",1.5,3)+3)/12))</f>
        <v>0</v>
      </c>
      <c r="AC142">
        <f>AB142-W142</f>
        <v>0</v>
      </c>
      <c r="AD142" cm="1">
        <f t="array" ref="AD142">IFERROR(IF(AC142&lt;0,0,AC142/($R$45-INDEX(hd_off,MATCH(AQ142,hd_mark,0),0)/12)),0)</f>
        <v>0</v>
      </c>
      <c r="AE142">
        <f>IF(S142=0,0,$AD$45*$AM$24)</f>
        <v>0</v>
      </c>
      <c r="AF142">
        <f>IFERROR(AE142/$R$45,0)</f>
        <v>0</v>
      </c>
      <c r="AG142">
        <f>AE142*($F$24+IF($F$24=0,0,($C$14+$C$15+IF($C$13="single",1.5,3)+3)/12))</f>
        <v>0</v>
      </c>
      <c r="AH142">
        <f>AG142-X142</f>
        <v>0</v>
      </c>
      <c r="AI142" cm="1">
        <f t="array" ref="AI142">IFERROR(IF(AH142&lt;0,0,AH142/($R$45-INDEX(hd_off,MATCH(AQ142,hd_mark,0),0)/12)),0)</f>
        <v>0</v>
      </c>
      <c r="AJ142">
        <f>MAX($F$24,$AB$45)/$Q$52</f>
        <v>0</v>
      </c>
      <c r="AK142">
        <f t="shared" si="77"/>
        <v>0</v>
      </c>
      <c r="AL142" cm="1">
        <f t="array" ref="AL142">IFERROR(INDEX(sheath_ecap_asd,MATCH(AP142,sheath_mark,0),0)*AK142,0)</f>
        <v>0</v>
      </c>
      <c r="AM142" cm="1">
        <f t="array" ref="AM142">IFERROR(INDEX(sheath_wcap_asd,MATCH(AP142,sheath_mark,0),0)*AK142,0)</f>
        <v>0</v>
      </c>
      <c r="AN142" cm="1">
        <f t="array" ref="AN142">IFERROR(INDEX(hd_cap,MATCH(AQ142,hd_mark,0),0),0)</f>
        <v>0</v>
      </c>
      <c r="AP142" s="19"/>
      <c r="AQ142" s="19"/>
      <c r="AR142" s="100"/>
      <c r="AS142" s="93"/>
      <c r="AT142" s="111">
        <f>$R$45</f>
        <v>0</v>
      </c>
      <c r="AU142" t="str">
        <f>$Q$24</f>
        <v>L5</v>
      </c>
      <c r="AV142">
        <f>$E$24</f>
        <v>0</v>
      </c>
      <c r="AW142" cm="1">
        <f t="array" ref="AW142">IFERROR(IF(AV142=0,0,(INDEX($C$33:$C$38,MATCH($AZ$45,$B$33:$B$38,0),0)*(AV143+$BA$45)+$AW$45*COUNTIF(AV142:AV142,"&gt;0")*$C$32+$AY$45*$C$31)*$AU$45),0)</f>
        <v>0</v>
      </c>
      <c r="AX142">
        <f>IF(AV142=0,0,-(COUNTIF(AV142:AV142,"&gt;0")*$AW$45*$C$32+$AY$45*$C$31)*$H$27*$AU$45)</f>
        <v>0</v>
      </c>
      <c r="AY142">
        <f>IF(AV142=0,0,$AY$45*$H$26*$AU$45)</f>
        <v>0</v>
      </c>
      <c r="AZ142">
        <f>(0.6*AW142+0.7*AX142)*$AU$45/2</f>
        <v>0</v>
      </c>
      <c r="BA142">
        <f>AW142*$AU$45/2</f>
        <v>0</v>
      </c>
      <c r="BC142">
        <f>IF(AV142=0,0,$BG$45*$AP$24)</f>
        <v>0</v>
      </c>
      <c r="BD142">
        <f>IFERROR(BC142/$AU$45,0)</f>
        <v>0</v>
      </c>
      <c r="BE142">
        <f>BC142*($F$24+IF($F$24=0,0,($C$14+$C$15+IF($C$13="single",1.5,3)+3)/12))</f>
        <v>0</v>
      </c>
      <c r="BF142">
        <f>BE142-AZ142</f>
        <v>0</v>
      </c>
      <c r="BG142" cm="1">
        <f t="array" ref="BG142">IFERROR(IF(BF142&lt;0,0,BF142/($AU$45-INDEX(hd_off,MATCH(BT142,hd_mark,0),0)/12)),0)</f>
        <v>0</v>
      </c>
      <c r="BH142">
        <f>IF(AV142=0,0,$BG$45*$AM$24)</f>
        <v>0</v>
      </c>
      <c r="BI142">
        <f>IFERROR(BH142/$AU$45,0)</f>
        <v>0</v>
      </c>
      <c r="BJ142">
        <f>BH142*($F$24+IF($F$24=0,0,($C$14+$C$15+IF($C$13="single",1.5,3)+3)/12))</f>
        <v>0</v>
      </c>
      <c r="BK142">
        <f>BJ142-BA142</f>
        <v>0</v>
      </c>
      <c r="BL142" cm="1">
        <f t="array" ref="BL142">IFERROR(IF(BK142&lt;0,0,BK142/($AU$45-INDEX(hd_off,MATCH(BT142,hd_mark,0),0)/12)),0)</f>
        <v>0</v>
      </c>
      <c r="BM142">
        <f>MAX($F$24,$BE$45)/$Q$52</f>
        <v>0</v>
      </c>
      <c r="BN142">
        <f t="shared" si="78"/>
        <v>0</v>
      </c>
      <c r="BO142" cm="1">
        <f t="array" ref="BO142">IFERROR(INDEX(sheath_ecap_asd,MATCH(BS142,sheath_mark,0),0)*BN142,0)</f>
        <v>0</v>
      </c>
      <c r="BP142" cm="1">
        <f t="array" ref="BP142">IFERROR(INDEX(sheath_wcap_asd,MATCH(BS142,sheath_mark,0),0)*BN142,0)</f>
        <v>0</v>
      </c>
      <c r="BQ142" cm="1">
        <f t="array" ref="BQ142">IFERROR(INDEX(hd_cap,MATCH(BT142,hd_mark,0),0),0)</f>
        <v>0</v>
      </c>
      <c r="BS142" s="19"/>
      <c r="BT142" s="19"/>
      <c r="BU142" s="100"/>
    </row>
    <row r="143" spans="16:73" x14ac:dyDescent="0.25">
      <c r="P143" s="93"/>
      <c r="Q143" s="109"/>
      <c r="R143" t="str">
        <f>$Q$25</f>
        <v>Roof</v>
      </c>
      <c r="S143">
        <f>$E$25</f>
        <v>33.171875</v>
      </c>
      <c r="T143" cm="1">
        <f t="array" ref="T143">IFERROR(IF(S143=0,0,(INDEX($C$33:$C$38,MATCH($W$45,$B$33:$B$38,0),0)*(S143+$X$45)+$V$45*$C$31)*$R$45),0)</f>
        <v>0</v>
      </c>
      <c r="U143">
        <f>IF(S143=0,0,-$V$45*$C$31*$H$27*$R$45)</f>
        <v>0</v>
      </c>
      <c r="V143">
        <f>IF(S143=0,0,$V$45*$H$26*$R$45)</f>
        <v>0</v>
      </c>
      <c r="W143">
        <f>(0.6*T143+0.7*U143)*$R$45/2</f>
        <v>0</v>
      </c>
      <c r="X143">
        <f>T143*$R$45/2</f>
        <v>0</v>
      </c>
      <c r="Z143">
        <f>IF(S143=0,0,$AD$45*$AP$25)</f>
        <v>0</v>
      </c>
      <c r="AA143">
        <f>IFERROR(Z143/$R$45,0)</f>
        <v>0</v>
      </c>
      <c r="AB143">
        <f>Z143*($F$25+($C$16+$C$17+IF($C$13="single",1.5,3)+3)/12)</f>
        <v>0</v>
      </c>
      <c r="AC143">
        <f>AB143-W143</f>
        <v>0</v>
      </c>
      <c r="AD143" cm="1">
        <f t="array" ref="AD143">IFERROR(IF(AC143&lt;0,0,AC143/($R$45-INDEX(hd_off,MATCH(AQ143,hd_mark,0),0)/12)),0)</f>
        <v>0</v>
      </c>
      <c r="AE143">
        <f>IF(S143=0,0,$AD$45*$AM$25)</f>
        <v>0</v>
      </c>
      <c r="AF143">
        <f>IFERROR(AE143/$R$45,0)</f>
        <v>0</v>
      </c>
      <c r="AG143">
        <f>AE143*($F$25+($C$16+$C$17+IF($C$13="single",1.5,3)+3)/12)</f>
        <v>0</v>
      </c>
      <c r="AH143">
        <f>AG143-X143</f>
        <v>0</v>
      </c>
      <c r="AI143" cm="1">
        <f t="array" ref="AI143">IFERROR(IF(AH143&lt;0,0,AH143/($R$45-INDEX(hd_off,MATCH(AQ143,hd_mark,0),0)/12)),0)</f>
        <v>0</v>
      </c>
      <c r="AJ143">
        <f>MAX($F$25,$AC$45)/$Q$52</f>
        <v>0.29920977011494249</v>
      </c>
      <c r="AK143">
        <f t="shared" si="77"/>
        <v>1</v>
      </c>
      <c r="AL143" cm="1">
        <f t="array" ref="AL143">IFERROR(INDEX(sheath_ecap_asd,MATCH(AP143,sheath_mark,0),0)*AK143,0)</f>
        <v>0</v>
      </c>
      <c r="AM143" cm="1">
        <f t="array" ref="AM143">IFERROR(INDEX(sheath_wcap_asd,MATCH(AP143,sheath_mark,0),0)*AK143,0)</f>
        <v>0</v>
      </c>
      <c r="AN143" cm="1">
        <f t="array" ref="AN143">IFERROR(INDEX(hd_cap,MATCH(AQ143,hd_mark,0),0),0)</f>
        <v>0</v>
      </c>
      <c r="AP143" s="19"/>
      <c r="AQ143" s="19"/>
      <c r="AR143" s="100"/>
      <c r="AS143" s="93"/>
      <c r="BU143" s="100"/>
    </row>
    <row r="144" spans="16:73" x14ac:dyDescent="0.25">
      <c r="P144" s="94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102"/>
      <c r="AS144" s="94"/>
      <c r="AT144" s="95"/>
      <c r="AU144" s="95"/>
      <c r="AV144" s="95"/>
      <c r="AW144" s="95"/>
      <c r="AX144" s="95"/>
      <c r="AY144" s="95"/>
      <c r="AZ144" s="95"/>
      <c r="BA144" s="95"/>
      <c r="BB144" s="95"/>
      <c r="BC144" s="95"/>
      <c r="BD144" s="95"/>
      <c r="BE144" s="95"/>
      <c r="BF144" s="95"/>
      <c r="BG144" s="95"/>
      <c r="BH144" s="95"/>
      <c r="BI144" s="95"/>
      <c r="BJ144" s="95"/>
      <c r="BK144" s="95"/>
      <c r="BL144" s="95"/>
      <c r="BM144" s="95"/>
      <c r="BN144" s="95"/>
      <c r="BO144" s="95"/>
      <c r="BP144" s="95"/>
      <c r="BQ144" s="95"/>
      <c r="BR144" s="95"/>
      <c r="BS144" s="95"/>
      <c r="BT144" s="95"/>
      <c r="BU144" s="102"/>
    </row>
    <row r="145" spans="16:44" x14ac:dyDescent="0.25">
      <c r="P145" s="115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116"/>
      <c r="AE145" s="116"/>
      <c r="AF145" s="116"/>
      <c r="AG145" s="116"/>
      <c r="AH145" s="116"/>
      <c r="AI145" s="116"/>
      <c r="AJ145" s="116"/>
      <c r="AK145" s="116"/>
      <c r="AL145" s="116"/>
      <c r="AM145" s="116"/>
      <c r="AN145" s="116"/>
      <c r="AO145" s="116"/>
      <c r="AP145" s="116"/>
      <c r="AQ145" s="116"/>
      <c r="AR145" s="117"/>
    </row>
    <row r="146" spans="16:44" x14ac:dyDescent="0.25">
      <c r="P146" s="118"/>
      <c r="Q146" s="119"/>
      <c r="R146" s="120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  <c r="AO146" s="119"/>
      <c r="AP146" s="119"/>
      <c r="AQ146" s="119"/>
      <c r="AR146" s="121"/>
    </row>
    <row r="147" spans="16:44" x14ac:dyDescent="0.25">
      <c r="P147" s="118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  <c r="AO147" s="119"/>
      <c r="AP147" s="119"/>
      <c r="AQ147" s="119"/>
      <c r="AR147" s="121"/>
    </row>
    <row r="148" spans="16:44" x14ac:dyDescent="0.25">
      <c r="P148" s="118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  <c r="AO148" s="119"/>
      <c r="AP148" s="119"/>
      <c r="AQ148" s="119"/>
      <c r="AR148" s="121"/>
    </row>
    <row r="149" spans="16:44" x14ac:dyDescent="0.25">
      <c r="P149" s="118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  <c r="AO149" s="119"/>
      <c r="AP149" s="119"/>
      <c r="AQ149" s="119"/>
      <c r="AR149" s="121"/>
    </row>
    <row r="150" spans="16:44" x14ac:dyDescent="0.25">
      <c r="P150" s="118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22"/>
      <c r="AK150" s="122"/>
      <c r="AL150" s="122"/>
      <c r="AM150" s="122"/>
      <c r="AN150" s="122"/>
      <c r="AO150" s="122"/>
      <c r="AP150" s="122"/>
      <c r="AQ150" s="122"/>
      <c r="AR150" s="121"/>
    </row>
    <row r="151" spans="16:44" x14ac:dyDescent="0.25">
      <c r="P151" s="118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9"/>
      <c r="AI151" s="119"/>
      <c r="AJ151" s="122"/>
      <c r="AK151" s="122"/>
      <c r="AL151" s="122"/>
      <c r="AM151" s="122"/>
      <c r="AN151" s="122"/>
      <c r="AO151" s="122"/>
      <c r="AP151" s="122"/>
      <c r="AQ151" s="122"/>
      <c r="AR151" s="121"/>
    </row>
    <row r="152" spans="16:44" x14ac:dyDescent="0.25">
      <c r="P152" s="118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22"/>
      <c r="AK152" s="122"/>
      <c r="AL152" s="122"/>
      <c r="AM152" s="122"/>
      <c r="AN152" s="122"/>
      <c r="AO152" s="122"/>
      <c r="AP152" s="122"/>
      <c r="AQ152" s="122"/>
      <c r="AR152" s="121"/>
    </row>
    <row r="153" spans="16:44" x14ac:dyDescent="0.25">
      <c r="P153" s="118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22"/>
      <c r="AK153" s="122"/>
      <c r="AL153" s="122"/>
      <c r="AM153" s="122"/>
      <c r="AN153" s="122"/>
      <c r="AO153" s="122"/>
      <c r="AP153" s="122"/>
      <c r="AQ153" s="122"/>
      <c r="AR153" s="121"/>
    </row>
    <row r="154" spans="16:44" x14ac:dyDescent="0.25">
      <c r="P154" s="118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22"/>
      <c r="AK154" s="122"/>
      <c r="AL154" s="122"/>
      <c r="AM154" s="122"/>
      <c r="AN154" s="122"/>
      <c r="AO154" s="122"/>
      <c r="AP154" s="122"/>
      <c r="AQ154" s="122"/>
      <c r="AR154" s="121"/>
    </row>
    <row r="155" spans="16:44" x14ac:dyDescent="0.25">
      <c r="P155" s="118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22"/>
      <c r="AK155" s="122"/>
      <c r="AL155" s="122"/>
      <c r="AM155" s="122"/>
      <c r="AN155" s="122"/>
      <c r="AO155" s="122"/>
      <c r="AP155" s="122"/>
      <c r="AQ155" s="122"/>
      <c r="AR155" s="121"/>
    </row>
    <row r="156" spans="16:44" x14ac:dyDescent="0.25">
      <c r="P156" s="118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  <c r="AR156" s="121"/>
    </row>
    <row r="157" spans="16:44" x14ac:dyDescent="0.25">
      <c r="P157" s="118"/>
      <c r="Q157" s="123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  <c r="AO157" s="119"/>
      <c r="AP157" s="119"/>
      <c r="AQ157" s="119"/>
      <c r="AR157" s="121"/>
    </row>
    <row r="158" spans="16:44" x14ac:dyDescent="0.25">
      <c r="P158" s="118"/>
      <c r="Q158" s="119"/>
      <c r="R158" s="119"/>
      <c r="S158" s="119"/>
      <c r="T158" s="119"/>
      <c r="U158" s="119"/>
      <c r="V158" s="119"/>
      <c r="W158" s="119"/>
      <c r="X158" s="119"/>
      <c r="Y158" s="124"/>
      <c r="Z158" s="124"/>
      <c r="AA158" s="124"/>
      <c r="AB158" s="124"/>
      <c r="AC158" s="124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  <c r="AO158" s="119"/>
      <c r="AP158" s="119"/>
      <c r="AQ158" s="119"/>
      <c r="AR158" s="121"/>
    </row>
    <row r="159" spans="16:44" x14ac:dyDescent="0.25">
      <c r="P159" s="118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  <c r="AO159" s="119"/>
      <c r="AP159" s="119"/>
      <c r="AQ159" s="119"/>
      <c r="AR159" s="121"/>
    </row>
    <row r="160" spans="16:44" x14ac:dyDescent="0.25">
      <c r="P160" s="118"/>
      <c r="Q160" s="125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26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  <c r="AO160" s="119"/>
      <c r="AP160" s="119"/>
      <c r="AQ160" s="119"/>
      <c r="AR160" s="121"/>
    </row>
    <row r="161" spans="16:44" x14ac:dyDescent="0.25">
      <c r="P161" s="118"/>
      <c r="Q161" s="125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  <c r="AO161" s="119"/>
      <c r="AP161" s="119"/>
      <c r="AQ161" s="119"/>
      <c r="AR161" s="121"/>
    </row>
    <row r="162" spans="16:44" x14ac:dyDescent="0.25">
      <c r="P162" s="118"/>
      <c r="Q162" s="125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  <c r="AO162" s="119"/>
      <c r="AP162" s="119"/>
      <c r="AQ162" s="119"/>
      <c r="AR162" s="121"/>
    </row>
    <row r="163" spans="16:44" x14ac:dyDescent="0.25">
      <c r="P163" s="118"/>
      <c r="Q163" s="125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  <c r="AO163" s="119"/>
      <c r="AP163" s="119"/>
      <c r="AQ163" s="119"/>
      <c r="AR163" s="121"/>
    </row>
    <row r="164" spans="16:44" x14ac:dyDescent="0.25">
      <c r="P164" s="118"/>
      <c r="Q164" s="125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  <c r="AO164" s="119"/>
      <c r="AP164" s="119"/>
      <c r="AQ164" s="119"/>
      <c r="AR164" s="121"/>
    </row>
    <row r="165" spans="16:44" x14ac:dyDescent="0.25">
      <c r="P165" s="118"/>
      <c r="Q165" s="125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  <c r="AO165" s="119"/>
      <c r="AP165" s="119"/>
      <c r="AQ165" s="119"/>
      <c r="AR165" s="121"/>
    </row>
    <row r="166" spans="16:44" x14ac:dyDescent="0.25">
      <c r="P166" s="118"/>
      <c r="Q166" s="125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25"/>
      <c r="AG166" s="119"/>
      <c r="AH166" s="119"/>
      <c r="AI166" s="119"/>
      <c r="AJ166" s="119"/>
      <c r="AK166" s="119"/>
      <c r="AL166" s="119"/>
      <c r="AM166" s="119"/>
      <c r="AN166" s="119"/>
      <c r="AO166" s="119"/>
      <c r="AP166" s="119"/>
      <c r="AQ166" s="119"/>
      <c r="AR166" s="121"/>
    </row>
    <row r="167" spans="16:44" x14ac:dyDescent="0.25">
      <c r="P167" s="118"/>
      <c r="Q167" s="125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25"/>
      <c r="AG167" s="119"/>
      <c r="AH167" s="119"/>
      <c r="AI167" s="119"/>
      <c r="AJ167" s="119"/>
      <c r="AK167" s="119"/>
      <c r="AL167" s="119"/>
      <c r="AM167" s="119"/>
      <c r="AN167" s="119"/>
      <c r="AO167" s="119"/>
      <c r="AP167" s="119"/>
      <c r="AQ167" s="119"/>
      <c r="AR167" s="121"/>
    </row>
    <row r="168" spans="16:44" x14ac:dyDescent="0.25">
      <c r="P168" s="118"/>
      <c r="Q168" s="125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25"/>
      <c r="AG168" s="119"/>
      <c r="AH168" s="119"/>
      <c r="AI168" s="119"/>
      <c r="AJ168" s="119"/>
      <c r="AK168" s="119"/>
      <c r="AL168" s="119"/>
      <c r="AM168" s="119"/>
      <c r="AN168" s="119"/>
      <c r="AO168" s="119"/>
      <c r="AP168" s="119"/>
      <c r="AQ168" s="119"/>
      <c r="AR168" s="121"/>
    </row>
    <row r="169" spans="16:44" x14ac:dyDescent="0.25">
      <c r="P169" s="118"/>
      <c r="Q169" s="125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25"/>
      <c r="AG169" s="119"/>
      <c r="AH169" s="119"/>
      <c r="AI169" s="119"/>
      <c r="AJ169" s="119"/>
      <c r="AK169" s="119"/>
      <c r="AL169" s="119"/>
      <c r="AM169" s="119"/>
      <c r="AN169" s="119"/>
      <c r="AO169" s="119"/>
      <c r="AP169" s="119"/>
      <c r="AQ169" s="119"/>
      <c r="AR169" s="121"/>
    </row>
    <row r="170" spans="16:44" x14ac:dyDescent="0.25">
      <c r="P170" s="118"/>
      <c r="Q170" s="125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25"/>
      <c r="AG170" s="119"/>
      <c r="AH170" s="119"/>
      <c r="AI170" s="119"/>
      <c r="AJ170" s="119"/>
      <c r="AK170" s="119"/>
      <c r="AL170" s="119"/>
      <c r="AM170" s="119"/>
      <c r="AN170" s="119"/>
      <c r="AO170" s="119"/>
      <c r="AP170" s="119"/>
      <c r="AQ170" s="119"/>
      <c r="AR170" s="121"/>
    </row>
    <row r="171" spans="16:44" x14ac:dyDescent="0.25">
      <c r="P171" s="118"/>
      <c r="Q171" s="125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25"/>
      <c r="AG171" s="119"/>
      <c r="AH171" s="119"/>
      <c r="AI171" s="119"/>
      <c r="AJ171" s="119"/>
      <c r="AK171" s="119"/>
      <c r="AL171" s="119"/>
      <c r="AM171" s="119"/>
      <c r="AN171" s="119"/>
      <c r="AO171" s="119"/>
      <c r="AP171" s="119"/>
      <c r="AQ171" s="119"/>
      <c r="AR171" s="121"/>
    </row>
    <row r="172" spans="16:44" x14ac:dyDescent="0.25">
      <c r="P172" s="118"/>
      <c r="Q172" s="125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25"/>
      <c r="AG172" s="119"/>
      <c r="AH172" s="119"/>
      <c r="AI172" s="119"/>
      <c r="AJ172" s="119"/>
      <c r="AK172" s="119"/>
      <c r="AL172" s="119"/>
      <c r="AM172" s="119"/>
      <c r="AN172" s="119"/>
      <c r="AO172" s="119"/>
      <c r="AP172" s="119"/>
      <c r="AQ172" s="119"/>
      <c r="AR172" s="121"/>
    </row>
    <row r="173" spans="16:44" x14ac:dyDescent="0.25">
      <c r="P173" s="118"/>
      <c r="Q173" s="125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25"/>
      <c r="AG173" s="119"/>
      <c r="AH173" s="119"/>
      <c r="AI173" s="119"/>
      <c r="AJ173" s="119"/>
      <c r="AK173" s="119"/>
      <c r="AL173" s="119"/>
      <c r="AM173" s="119"/>
      <c r="AN173" s="119"/>
      <c r="AO173" s="119"/>
      <c r="AP173" s="119"/>
      <c r="AQ173" s="119"/>
      <c r="AR173" s="121"/>
    </row>
    <row r="174" spans="16:44" x14ac:dyDescent="0.25">
      <c r="P174" s="118"/>
      <c r="Q174" s="125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25"/>
      <c r="AG174" s="119"/>
      <c r="AH174" s="119"/>
      <c r="AI174" s="119"/>
      <c r="AJ174" s="119"/>
      <c r="AK174" s="119"/>
      <c r="AL174" s="119"/>
      <c r="AM174" s="119"/>
      <c r="AN174" s="119"/>
      <c r="AO174" s="119"/>
      <c r="AP174" s="119"/>
      <c r="AQ174" s="119"/>
      <c r="AR174" s="121"/>
    </row>
    <row r="175" spans="16:44" x14ac:dyDescent="0.25">
      <c r="P175" s="118"/>
      <c r="Q175" s="125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25"/>
      <c r="AG175" s="119"/>
      <c r="AH175" s="119"/>
      <c r="AI175" s="119"/>
      <c r="AJ175" s="119"/>
      <c r="AK175" s="119"/>
      <c r="AL175" s="119"/>
      <c r="AM175" s="119"/>
      <c r="AN175" s="119"/>
      <c r="AO175" s="119"/>
      <c r="AP175" s="119"/>
      <c r="AQ175" s="119"/>
      <c r="AR175" s="121"/>
    </row>
    <row r="176" spans="16:44" x14ac:dyDescent="0.25">
      <c r="P176" s="118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  <c r="AO176" s="119"/>
      <c r="AP176" s="119"/>
      <c r="AQ176" s="119"/>
      <c r="AR176" s="121"/>
    </row>
    <row r="177" spans="16:44" x14ac:dyDescent="0.25">
      <c r="P177" s="118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  <c r="AO177" s="119"/>
      <c r="AP177" s="119"/>
      <c r="AQ177" s="119"/>
      <c r="AR177" s="121"/>
    </row>
    <row r="178" spans="16:44" x14ac:dyDescent="0.25">
      <c r="P178" s="118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  <c r="AO178" s="119"/>
      <c r="AP178" s="119"/>
      <c r="AQ178" s="119"/>
      <c r="AR178" s="121"/>
    </row>
    <row r="179" spans="16:44" x14ac:dyDescent="0.25">
      <c r="P179" s="118"/>
      <c r="Q179" s="127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  <c r="AO179" s="119"/>
      <c r="AP179" s="119"/>
      <c r="AQ179" s="119"/>
      <c r="AR179" s="121"/>
    </row>
    <row r="180" spans="16:44" x14ac:dyDescent="0.25">
      <c r="P180" s="118"/>
      <c r="Q180" s="125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  <c r="AO180" s="119"/>
      <c r="AP180" s="119"/>
      <c r="AQ180" s="119"/>
      <c r="AR180" s="121"/>
    </row>
    <row r="181" spans="16:44" x14ac:dyDescent="0.25">
      <c r="P181" s="118"/>
      <c r="Q181" s="125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  <c r="AO181" s="119"/>
      <c r="AP181" s="119"/>
      <c r="AQ181" s="119"/>
      <c r="AR181" s="121"/>
    </row>
    <row r="182" spans="16:44" x14ac:dyDescent="0.25">
      <c r="P182" s="118"/>
      <c r="Q182" s="128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  <c r="AO182" s="119"/>
      <c r="AP182" s="119"/>
      <c r="AQ182" s="119"/>
      <c r="AR182" s="121"/>
    </row>
    <row r="183" spans="16:44" x14ac:dyDescent="0.25">
      <c r="P183" s="118"/>
      <c r="Q183" s="125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  <c r="AO183" s="119"/>
      <c r="AP183" s="119"/>
      <c r="AQ183" s="119"/>
      <c r="AR183" s="121"/>
    </row>
    <row r="184" spans="16:44" x14ac:dyDescent="0.25">
      <c r="P184" s="118"/>
      <c r="Q184" s="125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  <c r="AO184" s="119"/>
      <c r="AP184" s="119"/>
      <c r="AQ184" s="119"/>
      <c r="AR184" s="121"/>
    </row>
    <row r="185" spans="16:44" x14ac:dyDescent="0.25">
      <c r="P185" s="118"/>
      <c r="Q185" s="127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  <c r="AO185" s="119"/>
      <c r="AP185" s="119"/>
      <c r="AQ185" s="119"/>
      <c r="AR185" s="121"/>
    </row>
    <row r="186" spans="16:44" x14ac:dyDescent="0.25">
      <c r="P186" s="118"/>
      <c r="Q186" s="125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  <c r="AO186" s="119"/>
      <c r="AP186" s="119"/>
      <c r="AQ186" s="119"/>
      <c r="AR186" s="121"/>
    </row>
    <row r="187" spans="16:44" x14ac:dyDescent="0.25">
      <c r="P187" s="118"/>
      <c r="Q187" s="125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  <c r="AO187" s="119"/>
      <c r="AP187" s="119"/>
      <c r="AQ187" s="119"/>
      <c r="AR187" s="121"/>
    </row>
    <row r="188" spans="16:44" x14ac:dyDescent="0.25">
      <c r="P188" s="118"/>
      <c r="Q188" s="128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  <c r="AO188" s="119"/>
      <c r="AP188" s="119"/>
      <c r="AQ188" s="119"/>
      <c r="AR188" s="121"/>
    </row>
    <row r="189" spans="16:44" x14ac:dyDescent="0.25">
      <c r="P189" s="118"/>
      <c r="Q189" s="125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  <c r="AO189" s="119"/>
      <c r="AP189" s="119"/>
      <c r="AQ189" s="119"/>
      <c r="AR189" s="121"/>
    </row>
    <row r="190" spans="16:44" x14ac:dyDescent="0.25">
      <c r="P190" s="118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  <c r="AO190" s="119"/>
      <c r="AP190" s="119"/>
      <c r="AQ190" s="119"/>
      <c r="AR190" s="121"/>
    </row>
    <row r="191" spans="16:44" x14ac:dyDescent="0.25">
      <c r="P191" s="118"/>
      <c r="Q191" s="127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  <c r="AO191" s="119"/>
      <c r="AP191" s="119"/>
      <c r="AQ191" s="119"/>
      <c r="AR191" s="121"/>
    </row>
    <row r="192" spans="16:44" x14ac:dyDescent="0.25">
      <c r="P192" s="118"/>
      <c r="Q192" s="125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  <c r="AO192" s="119"/>
      <c r="AP192" s="119"/>
      <c r="AQ192" s="119"/>
      <c r="AR192" s="121"/>
    </row>
    <row r="193" spans="16:44" x14ac:dyDescent="0.25">
      <c r="P193" s="118"/>
      <c r="Q193" s="125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  <c r="AO193" s="119"/>
      <c r="AP193" s="119"/>
      <c r="AQ193" s="119"/>
      <c r="AR193" s="121"/>
    </row>
    <row r="194" spans="16:44" x14ac:dyDescent="0.25">
      <c r="P194" s="118"/>
      <c r="Q194" s="128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  <c r="AO194" s="119"/>
      <c r="AP194" s="119"/>
      <c r="AQ194" s="119"/>
      <c r="AR194" s="121"/>
    </row>
    <row r="195" spans="16:44" x14ac:dyDescent="0.25">
      <c r="P195" s="118"/>
      <c r="Q195" s="125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  <c r="AO195" s="119"/>
      <c r="AP195" s="119"/>
      <c r="AQ195" s="119"/>
      <c r="AR195" s="121"/>
    </row>
    <row r="196" spans="16:44" x14ac:dyDescent="0.25">
      <c r="P196" s="118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  <c r="AO196" s="119"/>
      <c r="AP196" s="119"/>
      <c r="AQ196" s="119"/>
      <c r="AR196" s="121"/>
    </row>
    <row r="197" spans="16:44" x14ac:dyDescent="0.25">
      <c r="P197" s="118"/>
      <c r="Q197" s="127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  <c r="AO197" s="119"/>
      <c r="AP197" s="119"/>
      <c r="AQ197" s="119"/>
      <c r="AR197" s="121"/>
    </row>
    <row r="198" spans="16:44" x14ac:dyDescent="0.25">
      <c r="P198" s="118"/>
      <c r="Q198" s="125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  <c r="AO198" s="119"/>
      <c r="AP198" s="119"/>
      <c r="AQ198" s="119"/>
      <c r="AR198" s="121"/>
    </row>
    <row r="199" spans="16:44" x14ac:dyDescent="0.25">
      <c r="P199" s="118"/>
      <c r="Q199" s="125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  <c r="AO199" s="119"/>
      <c r="AP199" s="119"/>
      <c r="AQ199" s="119"/>
      <c r="AR199" s="121"/>
    </row>
    <row r="200" spans="16:44" x14ac:dyDescent="0.25">
      <c r="P200" s="118"/>
      <c r="Q200" s="128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  <c r="AO200" s="119"/>
      <c r="AP200" s="119"/>
      <c r="AQ200" s="119"/>
      <c r="AR200" s="121"/>
    </row>
    <row r="201" spans="16:44" x14ac:dyDescent="0.25">
      <c r="P201" s="118"/>
      <c r="Q201" s="125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  <c r="AO201" s="119"/>
      <c r="AP201" s="119"/>
      <c r="AQ201" s="119"/>
      <c r="AR201" s="121"/>
    </row>
    <row r="202" spans="16:44" x14ac:dyDescent="0.25">
      <c r="P202" s="118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  <c r="AO202" s="119"/>
      <c r="AP202" s="119"/>
      <c r="AQ202" s="119"/>
      <c r="AR202" s="121"/>
    </row>
    <row r="203" spans="16:44" x14ac:dyDescent="0.25">
      <c r="P203" s="118"/>
      <c r="Q203" s="127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  <c r="AO203" s="119"/>
      <c r="AP203" s="119"/>
      <c r="AQ203" s="119"/>
      <c r="AR203" s="121"/>
    </row>
    <row r="204" spans="16:44" x14ac:dyDescent="0.25">
      <c r="P204" s="118"/>
      <c r="Q204" s="125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  <c r="AO204" s="119"/>
      <c r="AP204" s="119"/>
      <c r="AQ204" s="119"/>
      <c r="AR204" s="121"/>
    </row>
    <row r="205" spans="16:44" x14ac:dyDescent="0.25">
      <c r="P205" s="118"/>
      <c r="Q205" s="125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  <c r="AO205" s="119"/>
      <c r="AP205" s="119"/>
      <c r="AQ205" s="119"/>
      <c r="AR205" s="121"/>
    </row>
    <row r="206" spans="16:44" x14ac:dyDescent="0.25">
      <c r="P206" s="118"/>
      <c r="Q206" s="128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  <c r="AO206" s="119"/>
      <c r="AP206" s="119"/>
      <c r="AQ206" s="119"/>
      <c r="AR206" s="121"/>
    </row>
    <row r="207" spans="16:44" x14ac:dyDescent="0.25">
      <c r="P207" s="118"/>
      <c r="Q207" s="125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  <c r="AO207" s="119"/>
      <c r="AP207" s="119"/>
      <c r="AQ207" s="119"/>
      <c r="AR207" s="121"/>
    </row>
    <row r="208" spans="16:44" x14ac:dyDescent="0.25">
      <c r="P208" s="118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  <c r="AO208" s="119"/>
      <c r="AP208" s="119"/>
      <c r="AQ208" s="119"/>
      <c r="AR208" s="121"/>
    </row>
    <row r="209" spans="16:44" x14ac:dyDescent="0.25">
      <c r="P209" s="118"/>
      <c r="Q209" s="127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  <c r="AO209" s="119"/>
      <c r="AP209" s="119"/>
      <c r="AQ209" s="119"/>
      <c r="AR209" s="121"/>
    </row>
    <row r="210" spans="16:44" x14ac:dyDescent="0.25">
      <c r="P210" s="118"/>
      <c r="Q210" s="125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  <c r="AO210" s="119"/>
      <c r="AP210" s="119"/>
      <c r="AQ210" s="119"/>
      <c r="AR210" s="121"/>
    </row>
    <row r="211" spans="16:44" x14ac:dyDescent="0.25">
      <c r="P211" s="118"/>
      <c r="Q211" s="125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  <c r="AO211" s="119"/>
      <c r="AP211" s="119"/>
      <c r="AQ211" s="119"/>
      <c r="AR211" s="121"/>
    </row>
    <row r="212" spans="16:44" x14ac:dyDescent="0.25">
      <c r="P212" s="118"/>
      <c r="Q212" s="128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  <c r="AO212" s="119"/>
      <c r="AP212" s="119"/>
      <c r="AQ212" s="119"/>
      <c r="AR212" s="121"/>
    </row>
    <row r="213" spans="16:44" x14ac:dyDescent="0.25">
      <c r="P213" s="118"/>
      <c r="Q213" s="125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  <c r="AO213" s="119"/>
      <c r="AP213" s="119"/>
      <c r="AQ213" s="119"/>
      <c r="AR213" s="121"/>
    </row>
    <row r="214" spans="16:44" x14ac:dyDescent="0.25">
      <c r="P214" s="118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  <c r="AO214" s="119"/>
      <c r="AP214" s="119"/>
      <c r="AQ214" s="119"/>
      <c r="AR214" s="121"/>
    </row>
    <row r="215" spans="16:44" x14ac:dyDescent="0.25">
      <c r="P215" s="118"/>
      <c r="Q215" s="127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  <c r="AO215" s="119"/>
      <c r="AP215" s="119"/>
      <c r="AQ215" s="119"/>
      <c r="AR215" s="121"/>
    </row>
    <row r="216" spans="16:44" x14ac:dyDescent="0.25">
      <c r="P216" s="118"/>
      <c r="Q216" s="125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  <c r="AO216" s="119"/>
      <c r="AP216" s="119"/>
      <c r="AQ216" s="119"/>
      <c r="AR216" s="121"/>
    </row>
    <row r="217" spans="16:44" x14ac:dyDescent="0.25">
      <c r="P217" s="118"/>
      <c r="Q217" s="125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  <c r="AO217" s="119"/>
      <c r="AP217" s="119"/>
      <c r="AQ217" s="119"/>
      <c r="AR217" s="121"/>
    </row>
    <row r="218" spans="16:44" x14ac:dyDescent="0.25">
      <c r="P218" s="118"/>
      <c r="Q218" s="128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  <c r="AO218" s="119"/>
      <c r="AP218" s="119"/>
      <c r="AQ218" s="119"/>
      <c r="AR218" s="121"/>
    </row>
    <row r="219" spans="16:44" x14ac:dyDescent="0.25">
      <c r="P219" s="118"/>
      <c r="Q219" s="125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  <c r="AO219" s="119"/>
      <c r="AP219" s="119"/>
      <c r="AQ219" s="119"/>
      <c r="AR219" s="121"/>
    </row>
    <row r="220" spans="16:44" x14ac:dyDescent="0.25">
      <c r="P220" s="118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  <c r="AO220" s="119"/>
      <c r="AP220" s="119"/>
      <c r="AQ220" s="119"/>
      <c r="AR220" s="121"/>
    </row>
    <row r="221" spans="16:44" x14ac:dyDescent="0.25">
      <c r="P221" s="118"/>
      <c r="Q221" s="127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  <c r="AO221" s="119"/>
      <c r="AP221" s="119"/>
      <c r="AQ221" s="119"/>
      <c r="AR221" s="121"/>
    </row>
    <row r="222" spans="16:44" x14ac:dyDescent="0.25">
      <c r="P222" s="118"/>
      <c r="Q222" s="125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  <c r="AO222" s="119"/>
      <c r="AP222" s="119"/>
      <c r="AQ222" s="119"/>
      <c r="AR222" s="121"/>
    </row>
    <row r="223" spans="16:44" x14ac:dyDescent="0.25">
      <c r="P223" s="118"/>
      <c r="Q223" s="125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  <c r="AO223" s="119"/>
      <c r="AP223" s="119"/>
      <c r="AQ223" s="119"/>
      <c r="AR223" s="121"/>
    </row>
    <row r="224" spans="16:44" x14ac:dyDescent="0.25">
      <c r="P224" s="118"/>
      <c r="Q224" s="128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  <c r="AO224" s="119"/>
      <c r="AP224" s="119"/>
      <c r="AQ224" s="119"/>
      <c r="AR224" s="121"/>
    </row>
    <row r="225" spans="16:44" x14ac:dyDescent="0.25">
      <c r="P225" s="118"/>
      <c r="Q225" s="125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  <c r="AO225" s="119"/>
      <c r="AP225" s="119"/>
      <c r="AQ225" s="119"/>
      <c r="AR225" s="121"/>
    </row>
    <row r="226" spans="16:44" x14ac:dyDescent="0.25">
      <c r="P226" s="118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  <c r="AO226" s="119"/>
      <c r="AP226" s="119"/>
      <c r="AQ226" s="119"/>
      <c r="AR226" s="121"/>
    </row>
    <row r="227" spans="16:44" x14ac:dyDescent="0.25">
      <c r="P227" s="118"/>
      <c r="Q227" s="127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  <c r="AO227" s="119"/>
      <c r="AP227" s="119"/>
      <c r="AQ227" s="119"/>
      <c r="AR227" s="121"/>
    </row>
    <row r="228" spans="16:44" x14ac:dyDescent="0.25">
      <c r="P228" s="118"/>
      <c r="Q228" s="125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  <c r="AO228" s="119"/>
      <c r="AP228" s="119"/>
      <c r="AQ228" s="119"/>
      <c r="AR228" s="121"/>
    </row>
    <row r="229" spans="16:44" x14ac:dyDescent="0.25">
      <c r="P229" s="118"/>
      <c r="Q229" s="125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  <c r="AO229" s="119"/>
      <c r="AP229" s="119"/>
      <c r="AQ229" s="119"/>
      <c r="AR229" s="121"/>
    </row>
    <row r="230" spans="16:44" x14ac:dyDescent="0.25">
      <c r="P230" s="118"/>
      <c r="Q230" s="128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  <c r="AO230" s="119"/>
      <c r="AP230" s="119"/>
      <c r="AQ230" s="119"/>
      <c r="AR230" s="121"/>
    </row>
    <row r="231" spans="16:44" x14ac:dyDescent="0.25">
      <c r="P231" s="118"/>
      <c r="Q231" s="125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  <c r="AO231" s="119"/>
      <c r="AP231" s="119"/>
      <c r="AQ231" s="119"/>
      <c r="AR231" s="121"/>
    </row>
    <row r="232" spans="16:44" x14ac:dyDescent="0.25">
      <c r="P232" s="118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  <c r="AO232" s="119"/>
      <c r="AP232" s="119"/>
      <c r="AQ232" s="119"/>
      <c r="AR232" s="121"/>
    </row>
    <row r="233" spans="16:44" x14ac:dyDescent="0.25">
      <c r="P233" s="118"/>
      <c r="Q233" s="127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  <c r="AO233" s="119"/>
      <c r="AP233" s="119"/>
      <c r="AQ233" s="119"/>
      <c r="AR233" s="121"/>
    </row>
    <row r="234" spans="16:44" x14ac:dyDescent="0.25">
      <c r="P234" s="118"/>
      <c r="Q234" s="125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  <c r="AO234" s="119"/>
      <c r="AP234" s="119"/>
      <c r="AQ234" s="119"/>
      <c r="AR234" s="121"/>
    </row>
    <row r="235" spans="16:44" x14ac:dyDescent="0.25">
      <c r="P235" s="118"/>
      <c r="Q235" s="125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  <c r="AO235" s="119"/>
      <c r="AP235" s="119"/>
      <c r="AQ235" s="119"/>
      <c r="AR235" s="121"/>
    </row>
    <row r="236" spans="16:44" x14ac:dyDescent="0.25">
      <c r="P236" s="118"/>
      <c r="Q236" s="128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  <c r="AO236" s="119"/>
      <c r="AP236" s="119"/>
      <c r="AQ236" s="119"/>
      <c r="AR236" s="121"/>
    </row>
    <row r="237" spans="16:44" x14ac:dyDescent="0.25">
      <c r="P237" s="118"/>
      <c r="Q237" s="125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  <c r="AO237" s="119"/>
      <c r="AP237" s="119"/>
      <c r="AQ237" s="119"/>
      <c r="AR237" s="121"/>
    </row>
    <row r="238" spans="16:44" x14ac:dyDescent="0.25">
      <c r="P238" s="118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  <c r="AO238" s="119"/>
      <c r="AP238" s="119"/>
      <c r="AQ238" s="119"/>
      <c r="AR238" s="121"/>
    </row>
    <row r="239" spans="16:44" x14ac:dyDescent="0.25">
      <c r="P239" s="118"/>
      <c r="Q239" s="127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  <c r="AO239" s="119"/>
      <c r="AP239" s="119"/>
      <c r="AQ239" s="119"/>
      <c r="AR239" s="121"/>
    </row>
    <row r="240" spans="16:44" x14ac:dyDescent="0.25">
      <c r="P240" s="118"/>
      <c r="Q240" s="125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  <c r="AO240" s="119"/>
      <c r="AP240" s="119"/>
      <c r="AQ240" s="119"/>
      <c r="AR240" s="121"/>
    </row>
    <row r="241" spans="16:44" x14ac:dyDescent="0.25">
      <c r="P241" s="118"/>
      <c r="Q241" s="125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  <c r="AO241" s="119"/>
      <c r="AP241" s="119"/>
      <c r="AQ241" s="119"/>
      <c r="AR241" s="121"/>
    </row>
    <row r="242" spans="16:44" x14ac:dyDescent="0.25">
      <c r="P242" s="118"/>
      <c r="Q242" s="128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  <c r="AO242" s="119"/>
      <c r="AP242" s="119"/>
      <c r="AQ242" s="119"/>
      <c r="AR242" s="121"/>
    </row>
    <row r="243" spans="16:44" x14ac:dyDescent="0.25">
      <c r="P243" s="118"/>
      <c r="Q243" s="125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  <c r="AO243" s="119"/>
      <c r="AP243" s="119"/>
      <c r="AQ243" s="119"/>
      <c r="AR243" s="121"/>
    </row>
    <row r="244" spans="16:44" x14ac:dyDescent="0.25">
      <c r="P244" s="118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  <c r="AO244" s="119"/>
      <c r="AP244" s="119"/>
      <c r="AQ244" s="119"/>
      <c r="AR244" s="121"/>
    </row>
    <row r="245" spans="16:44" x14ac:dyDescent="0.25">
      <c r="P245" s="118"/>
      <c r="Q245" s="127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  <c r="AO245" s="119"/>
      <c r="AP245" s="119"/>
      <c r="AQ245" s="119"/>
      <c r="AR245" s="121"/>
    </row>
    <row r="246" spans="16:44" x14ac:dyDescent="0.25">
      <c r="P246" s="118"/>
      <c r="Q246" s="125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  <c r="AO246" s="119"/>
      <c r="AP246" s="119"/>
      <c r="AQ246" s="119"/>
      <c r="AR246" s="121"/>
    </row>
    <row r="247" spans="16:44" x14ac:dyDescent="0.25">
      <c r="P247" s="118"/>
      <c r="Q247" s="125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  <c r="AO247" s="119"/>
      <c r="AP247" s="119"/>
      <c r="AQ247" s="119"/>
      <c r="AR247" s="121"/>
    </row>
    <row r="248" spans="16:44" x14ac:dyDescent="0.25">
      <c r="P248" s="118"/>
      <c r="Q248" s="128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  <c r="AO248" s="119"/>
      <c r="AP248" s="119"/>
      <c r="AQ248" s="119"/>
      <c r="AR248" s="121"/>
    </row>
    <row r="249" spans="16:44" x14ac:dyDescent="0.25">
      <c r="P249" s="118"/>
      <c r="Q249" s="125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  <c r="AO249" s="119"/>
      <c r="AP249" s="119"/>
      <c r="AQ249" s="119"/>
      <c r="AR249" s="121"/>
    </row>
    <row r="250" spans="16:44" x14ac:dyDescent="0.25">
      <c r="P250" s="118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  <c r="AO250" s="119"/>
      <c r="AP250" s="119"/>
      <c r="AQ250" s="119"/>
      <c r="AR250" s="121"/>
    </row>
    <row r="251" spans="16:44" x14ac:dyDescent="0.25">
      <c r="P251" s="118"/>
      <c r="Q251" s="127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  <c r="AO251" s="119"/>
      <c r="AP251" s="119"/>
      <c r="AQ251" s="119"/>
      <c r="AR251" s="121"/>
    </row>
    <row r="252" spans="16:44" x14ac:dyDescent="0.25">
      <c r="P252" s="118"/>
      <c r="Q252" s="125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  <c r="AO252" s="119"/>
      <c r="AP252" s="119"/>
      <c r="AQ252" s="119"/>
      <c r="AR252" s="121"/>
    </row>
    <row r="253" spans="16:44" x14ac:dyDescent="0.25">
      <c r="P253" s="118"/>
      <c r="Q253" s="125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  <c r="AO253" s="119"/>
      <c r="AP253" s="119"/>
      <c r="AQ253" s="119"/>
      <c r="AR253" s="121"/>
    </row>
    <row r="254" spans="16:44" x14ac:dyDescent="0.25">
      <c r="P254" s="118"/>
      <c r="Q254" s="128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  <c r="AO254" s="119"/>
      <c r="AP254" s="119"/>
      <c r="AQ254" s="119"/>
      <c r="AR254" s="121"/>
    </row>
    <row r="255" spans="16:44" x14ac:dyDescent="0.25">
      <c r="P255" s="118"/>
      <c r="Q255" s="125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  <c r="AO255" s="119"/>
      <c r="AP255" s="119"/>
      <c r="AQ255" s="119"/>
      <c r="AR255" s="121"/>
    </row>
    <row r="256" spans="16:44" x14ac:dyDescent="0.25">
      <c r="P256" s="118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  <c r="AO256" s="119"/>
      <c r="AP256" s="119"/>
      <c r="AQ256" s="119"/>
      <c r="AR256" s="121"/>
    </row>
    <row r="257" spans="16:44" x14ac:dyDescent="0.25">
      <c r="P257" s="118"/>
      <c r="Q257" s="127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  <c r="AO257" s="119"/>
      <c r="AP257" s="119"/>
      <c r="AQ257" s="119"/>
      <c r="AR257" s="121"/>
    </row>
    <row r="258" spans="16:44" x14ac:dyDescent="0.25">
      <c r="P258" s="118"/>
      <c r="Q258" s="125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  <c r="AO258" s="119"/>
      <c r="AP258" s="119"/>
      <c r="AQ258" s="119"/>
      <c r="AR258" s="121"/>
    </row>
    <row r="259" spans="16:44" x14ac:dyDescent="0.25">
      <c r="P259" s="118"/>
      <c r="Q259" s="125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  <c r="AO259" s="119"/>
      <c r="AP259" s="119"/>
      <c r="AQ259" s="119"/>
      <c r="AR259" s="121"/>
    </row>
    <row r="260" spans="16:44" x14ac:dyDescent="0.25">
      <c r="P260" s="118"/>
      <c r="Q260" s="128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  <c r="AO260" s="119"/>
      <c r="AP260" s="119"/>
      <c r="AQ260" s="119"/>
      <c r="AR260" s="121"/>
    </row>
    <row r="261" spans="16:44" x14ac:dyDescent="0.25">
      <c r="P261" s="118"/>
      <c r="Q261" s="125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  <c r="AO261" s="119"/>
      <c r="AP261" s="119"/>
      <c r="AQ261" s="119"/>
      <c r="AR261" s="121"/>
    </row>
    <row r="262" spans="16:44" x14ac:dyDescent="0.25">
      <c r="P262" s="118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  <c r="AO262" s="119"/>
      <c r="AP262" s="119"/>
      <c r="AQ262" s="119"/>
      <c r="AR262" s="121"/>
    </row>
    <row r="263" spans="16:44" x14ac:dyDescent="0.25">
      <c r="P263" s="118"/>
      <c r="Q263" s="127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  <c r="AO263" s="119"/>
      <c r="AP263" s="119"/>
      <c r="AQ263" s="119"/>
      <c r="AR263" s="121"/>
    </row>
    <row r="264" spans="16:44" x14ac:dyDescent="0.25">
      <c r="P264" s="118"/>
      <c r="Q264" s="125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  <c r="AO264" s="119"/>
      <c r="AP264" s="119"/>
      <c r="AQ264" s="119"/>
      <c r="AR264" s="121"/>
    </row>
    <row r="265" spans="16:44" x14ac:dyDescent="0.25">
      <c r="P265" s="118"/>
      <c r="Q265" s="125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  <c r="AO265" s="119"/>
      <c r="AP265" s="119"/>
      <c r="AQ265" s="119"/>
      <c r="AR265" s="121"/>
    </row>
    <row r="266" spans="16:44" x14ac:dyDescent="0.25">
      <c r="P266" s="118"/>
      <c r="Q266" s="128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  <c r="AO266" s="119"/>
      <c r="AP266" s="119"/>
      <c r="AQ266" s="119"/>
      <c r="AR266" s="121"/>
    </row>
    <row r="267" spans="16:44" x14ac:dyDescent="0.25">
      <c r="P267" s="118"/>
      <c r="Q267" s="125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  <c r="AO267" s="119"/>
      <c r="AP267" s="119"/>
      <c r="AQ267" s="119"/>
      <c r="AR267" s="121"/>
    </row>
    <row r="268" spans="16:44" x14ac:dyDescent="0.25">
      <c r="P268" s="118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  <c r="AO268" s="119"/>
      <c r="AP268" s="119"/>
      <c r="AQ268" s="119"/>
      <c r="AR268" s="121"/>
    </row>
    <row r="269" spans="16:44" x14ac:dyDescent="0.25">
      <c r="P269" s="118"/>
      <c r="Q269" s="127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  <c r="AO269" s="119"/>
      <c r="AP269" s="119"/>
      <c r="AQ269" s="119"/>
      <c r="AR269" s="121"/>
    </row>
    <row r="270" spans="16:44" x14ac:dyDescent="0.25">
      <c r="P270" s="118"/>
      <c r="Q270" s="125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  <c r="AO270" s="119"/>
      <c r="AP270" s="119"/>
      <c r="AQ270" s="119"/>
      <c r="AR270" s="121"/>
    </row>
    <row r="271" spans="16:44" x14ac:dyDescent="0.25">
      <c r="P271" s="118"/>
      <c r="Q271" s="125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  <c r="AO271" s="119"/>
      <c r="AP271" s="119"/>
      <c r="AQ271" s="119"/>
      <c r="AR271" s="121"/>
    </row>
    <row r="272" spans="16:44" x14ac:dyDescent="0.25">
      <c r="P272" s="118"/>
      <c r="Q272" s="128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  <c r="AO272" s="119"/>
      <c r="AP272" s="119"/>
      <c r="AQ272" s="119"/>
      <c r="AR272" s="121"/>
    </row>
    <row r="273" spans="16:44" x14ac:dyDescent="0.25">
      <c r="P273" s="118"/>
      <c r="Q273" s="125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  <c r="AO273" s="119"/>
      <c r="AP273" s="119"/>
      <c r="AQ273" s="119"/>
      <c r="AR273" s="121"/>
    </row>
    <row r="274" spans="16:44" x14ac:dyDescent="0.25">
      <c r="P274" s="129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  <c r="AB274" s="130"/>
      <c r="AC274" s="130"/>
      <c r="AD274" s="130"/>
      <c r="AE274" s="130"/>
      <c r="AF274" s="130"/>
      <c r="AG274" s="130"/>
      <c r="AH274" s="130"/>
      <c r="AI274" s="130"/>
      <c r="AJ274" s="130"/>
      <c r="AK274" s="130"/>
      <c r="AL274" s="130"/>
      <c r="AM274" s="130"/>
      <c r="AN274" s="130"/>
      <c r="AO274" s="130"/>
      <c r="AP274" s="130"/>
      <c r="AQ274" s="130"/>
      <c r="AR274" s="131"/>
    </row>
    <row r="144" x14ac:dyDescent="0.25">
      <c r="B144" s="1" t="s">
        <v>569</v>
      </c>
      <c r="C144">
        <f>E16+H16*12</f>
        <v>32.4375</v>
      </c>
      <c r="E144" s="19">
        <v>24</v>
      </c>
      <c r="F144" s="19">
        <f>32+5.625/12</f>
        <v>32.46875</v>
      </c>
      <c r="G144" s="19">
        <f>33+10.5/12</f>
        <v>33.875</v>
      </c>
      <c r="H144">
        <f>(G16-F16)/2</f>
        <v>0.703125</v>
      </c>
      <c r="P144" s="93"/>
      <c r="Q144" t="s">
        <v>524</v>
      </c>
      <c r="R144" s="2" t="str">
        <f>$B$43</f>
        <v>A</v>
      </c>
      <c r="AR144" s="100"/>
      <c r="AS144" s="93"/>
      <c r="AT144" t="s">
        <v>524</v>
      </c>
      <c r="AU144" s="2">
        <f>H43</f>
        <v>1</v>
      </c>
      <c r="BU144" s="100"/>
    </row>
    <row r="145" x14ac:dyDescent="0.25">
      <c r="B145" s="1" t="s">
        <v>500</v>
      </c>
      <c r="C145" s="19">
        <v>0.5</v>
      </c>
      <c r="P145" s="93"/>
      <c r="AR145" s="100"/>
      <c r="AS145" s="93"/>
      <c r="BU145" s="100"/>
    </row>
    <row r="146" x14ac:dyDescent="0.25">
      <c r="P146" s="93"/>
      <c r="R146" t="s">
        <v>482</v>
      </c>
      <c r="Z146" t="s">
        <v>483</v>
      </c>
      <c r="AH146" t="s">
        <v>502</v>
      </c>
      <c r="AJ146" t="s">
        <v>454</v>
      </c>
      <c r="AR146" s="100"/>
      <c r="AS146" s="93"/>
      <c r="AU146" t="s">
        <v>482</v>
      </c>
      <c r="BC146" t="s">
        <v>483</v>
      </c>
      <c r="BK146" t="s">
        <v>502</v>
      </c>
      <c r="BM146" t="s">
        <v>454</v>
      </c>
      <c r="BU146" s="100"/>
    </row>
    <row r="147" x14ac:dyDescent="0.25">
      <c r="B147" t="s">
        <v>448</v>
      </c>
      <c r="C147" t="s">
        <v>272</v>
      </c>
      <c r="D147" t="s">
        <v>193</v>
      </c>
      <c r="E147" s="70" t="s">
        <v>454</v>
      </c>
      <c r="F147" s="71" t="s">
        <v>501</v>
      </c>
      <c r="H147" t="s">
        <v>475</v>
      </c>
      <c r="J147" t="s">
        <v>476</v>
      </c>
      <c r="P147" s="93"/>
      <c r="R147" t="s">
        <v>480</v>
      </c>
      <c r="S147" t="s">
        <v>481</v>
      </c>
      <c r="T147" t="s">
        <v>486</v>
      </c>
      <c r="U147" t="s">
        <v>487</v>
      </c>
      <c r="V147" t="s">
        <v>484</v>
      </c>
      <c r="W147" t="s">
        <v>485</v>
      </c>
      <c r="X147" t="s">
        <v>488</v>
      </c>
      <c r="Y147" t="s">
        <v>489</v>
      </c>
      <c r="Z147" t="s">
        <v>480</v>
      </c>
      <c r="AA147" t="s">
        <v>481</v>
      </c>
      <c r="AB147" t="s">
        <v>486</v>
      </c>
      <c r="AC147" t="s">
        <v>487</v>
      </c>
      <c r="AD147" t="s">
        <v>484</v>
      </c>
      <c r="AE147" t="s">
        <v>485</v>
      </c>
      <c r="AF147" t="s">
        <v>488</v>
      </c>
      <c r="AG147" t="s">
        <v>489</v>
      </c>
      <c r="AH147" t="s">
        <v>312</v>
      </c>
      <c r="AI147" t="s">
        <v>258</v>
      </c>
      <c r="AJ147" t="s">
        <v>486</v>
      </c>
      <c r="AK147" t="s">
        <v>490</v>
      </c>
      <c r="AL147" t="s">
        <v>487</v>
      </c>
      <c r="AM147" t="s">
        <v>490</v>
      </c>
      <c r="AN147" t="s">
        <v>488</v>
      </c>
      <c r="AO147" t="s">
        <v>490</v>
      </c>
      <c r="AP147" t="s">
        <v>489</v>
      </c>
      <c r="AQ147" t="s">
        <v>490</v>
      </c>
      <c r="AR147" s="100"/>
      <c r="AS147" s="93"/>
      <c r="AU147" t="s">
        <v>480</v>
      </c>
      <c r="AV147" t="s">
        <v>481</v>
      </c>
      <c r="AW147" t="s">
        <v>486</v>
      </c>
      <c r="AX147" t="s">
        <v>487</v>
      </c>
      <c r="AY147" t="s">
        <v>484</v>
      </c>
      <c r="AZ147" t="s">
        <v>485</v>
      </c>
      <c r="BA147" t="s">
        <v>488</v>
      </c>
      <c r="BB147" t="s">
        <v>489</v>
      </c>
      <c r="BC147" t="s">
        <v>480</v>
      </c>
      <c r="BD147" t="s">
        <v>481</v>
      </c>
      <c r="BE147" t="s">
        <v>486</v>
      </c>
      <c r="BF147" t="s">
        <v>487</v>
      </c>
      <c r="BG147" t="s">
        <v>484</v>
      </c>
      <c r="BH147" t="s">
        <v>485</v>
      </c>
      <c r="BI147" t="s">
        <v>488</v>
      </c>
      <c r="BJ147" t="s">
        <v>489</v>
      </c>
      <c r="BK147" t="s">
        <v>312</v>
      </c>
      <c r="BL147" t="s">
        <v>258</v>
      </c>
      <c r="BM147" t="s">
        <v>486</v>
      </c>
      <c r="BN147" t="s">
        <v>490</v>
      </c>
      <c r="BO147" t="s">
        <v>487</v>
      </c>
      <c r="BP147" t="s">
        <v>490</v>
      </c>
      <c r="BQ147" t="s">
        <v>488</v>
      </c>
      <c r="BR147" t="s">
        <v>490</v>
      </c>
      <c r="BS147" t="s">
        <v>489</v>
      </c>
      <c r="BT147" t="s">
        <v>490</v>
      </c>
      <c r="BU147" s="100"/>
    </row>
    <row r="148" x14ac:dyDescent="0.25">
      <c r="B148" t="s">
        <v>449</v>
      </c>
      <c r="C148" s="19">
        <v>0</v>
      </c>
      <c r="D148" s="19">
        <v>0</v>
      </c>
      <c r="E148" s="66">
        <f>C20+D20/12</f>
        <v>0</v>
      </c>
      <c r="F148" s="67">
        <v>0</v>
      </c>
      <c r="H148" s="19">
        <v>0</v>
      </c>
      <c r="I148" s="64" t="s">
        <v>196</v>
      </c>
      <c r="J148" s="19">
        <v>0</v>
      </c>
      <c r="K148" s="19">
        <v>0</v>
      </c>
      <c r="L148" s="19">
        <v>0</v>
      </c>
      <c r="M148" s="19">
        <v>0</v>
      </c>
      <c r="P148" s="93"/>
      <c r="Q148" t="s">
        <v>449</v>
      </c>
      <c r="R148" s="19">
        <f>$H$20</f>
        <v>0</v>
      </c>
      <c r="S148">
        <f>R148*0.6</f>
        <v>0</v>
      </c>
      <c r="T148">
        <f>$C$43/2*R148</f>
        <v>0</v>
      </c>
      <c r="U148">
        <f>T148*0.6</f>
        <v>0</v>
      </c>
      <c r="V148" s="19">
        <v>0</v>
      </c>
      <c r="W148">
        <f>V148*0.7</f>
        <v>0</v>
      </c>
      <c r="X148">
        <f>$C$43/2*V148</f>
        <v>0</v>
      </c>
      <c r="Y148">
        <f>X148*0.7</f>
        <v>0</v>
      </c>
      <c r="Z148" s="19">
        <f>$H$20</f>
        <v>0</v>
      </c>
      <c r="AA148">
        <f>Z148*0.6</f>
        <v>0</v>
      </c>
      <c r="AB148">
        <f>$D$43/2*Z148</f>
        <v>0</v>
      </c>
      <c r="AC148">
        <f t="shared" ref="AC148:AC154" si="79">0.6*AB148</f>
        <v>0</v>
      </c>
      <c r="AD148" s="19">
        <v>0</v>
      </c>
      <c r="AE148">
        <f>AD148*0.7</f>
        <v>0</v>
      </c>
      <c r="AF148">
        <f>$D$43/2*AD148</f>
        <v>0</v>
      </c>
      <c r="AG148">
        <f>AF148*0.7</f>
        <v>0</v>
      </c>
      <c r="AH148" s="19">
        <v>0</v>
      </c>
      <c r="AI148" s="19">
        <v>0</v>
      </c>
      <c r="AJ148" s="17">
        <f>T148+AB148+AH148</f>
        <v>0</v>
      </c>
      <c r="AK148" s="17">
        <f>AK149+AJ148</f>
        <v>13166</v>
      </c>
      <c r="AL148" s="17">
        <f>AJ148*0.6</f>
        <v>0</v>
      </c>
      <c r="AM148" s="17">
        <f>AM149+AL148</f>
        <v>7899.5999999999995</v>
      </c>
      <c r="AN148" s="17">
        <f>X148+AF148+AI148</f>
        <v>0</v>
      </c>
      <c r="AO148" s="17">
        <f t="shared" ref="AO148:AQ151" si="80">AN148+AO149</f>
        <v>1302.0999999999999</v>
      </c>
      <c r="AP148" s="17">
        <f>AN148*0.7</f>
        <v>0</v>
      </c>
      <c r="AQ148" s="17">
        <f>AP148+AQ149</f>
        <v>911.46999999999991</v>
      </c>
      <c r="AR148" s="100"/>
      <c r="AS148" s="93"/>
      <c r="AT148" t="s">
        <v>449</v>
      </c>
      <c r="AU148" s="19">
        <f>$H$20</f>
        <v>0</v>
      </c>
      <c r="AV148">
        <f>AU148*0.6</f>
        <v>0</v>
      </c>
      <c r="AW148">
        <f t="shared" ref="AW148:AW154" si="81">$I$43/2*AU148</f>
        <v>0</v>
      </c>
      <c r="AX148">
        <f>AW148*0.6</f>
        <v>0</v>
      </c>
      <c r="AY148" s="19">
        <v>0</v>
      </c>
      <c r="AZ148">
        <f>AY148*0.7</f>
        <v>0</v>
      </c>
      <c r="BA148">
        <f t="shared" ref="BA148:BA153" si="82">$I$43/2*AY148</f>
        <v>0</v>
      </c>
      <c r="BB148">
        <f>BA148*0.7</f>
        <v>0</v>
      </c>
      <c r="BC148" s="19">
        <f>$H$20</f>
        <v>0</v>
      </c>
      <c r="BD148">
        <f>BC148*0.6</f>
        <v>0</v>
      </c>
      <c r="BE148">
        <f t="shared" ref="BE148:BE154" si="83">$J$43/2*BC148</f>
        <v>0</v>
      </c>
      <c r="BF148">
        <f t="shared" ref="BF148:BF154" si="84">0.6*BE148</f>
        <v>0</v>
      </c>
      <c r="BG148" s="19">
        <v>0</v>
      </c>
      <c r="BH148">
        <f>BG148*0.7</f>
        <v>0</v>
      </c>
      <c r="BI148">
        <f t="shared" ref="BI148:BI153" si="85">$J$43/2*BG148</f>
        <v>0</v>
      </c>
      <c r="BJ148">
        <f>BI148*0.7</f>
        <v>0</v>
      </c>
      <c r="BK148" s="19">
        <v>0</v>
      </c>
      <c r="BL148" s="19">
        <v>0</v>
      </c>
      <c r="BM148" s="17">
        <f>AW148+BE148+BK148</f>
        <v>0</v>
      </c>
      <c r="BN148" s="17">
        <f>BN149+BM148</f>
        <v>12258</v>
      </c>
      <c r="BO148" s="17">
        <f>BM148*0.6</f>
        <v>0</v>
      </c>
      <c r="BP148" s="17">
        <f>BP149+BO148</f>
        <v>7354.7999999999993</v>
      </c>
      <c r="BQ148" s="17">
        <f>BA148+BI148+BL148</f>
        <v>0</v>
      </c>
      <c r="BR148" s="17">
        <f t="shared" ref="BR148:BR151" si="86">BQ148+BR149</f>
        <v>1212.3</v>
      </c>
      <c r="BS148" s="17">
        <f>BQ148*0.7</f>
        <v>0</v>
      </c>
      <c r="BT148" s="17">
        <f>BS148+BT149</f>
        <v>848.6099999999999</v>
      </c>
      <c r="BU148" s="100"/>
    </row>
    <row r="149" x14ac:dyDescent="0.25">
      <c r="B149" t="s">
        <v>450</v>
      </c>
      <c r="C149" s="19">
        <v>10</v>
      </c>
      <c r="D149" s="19">
        <v>8.25</v>
      </c>
      <c r="E149" s="66">
        <f>C21+D21/12</f>
        <v>10.6875</v>
      </c>
      <c r="F149" s="67">
        <f>IF(E21&gt;0,E21-(C15+C14+2*1.5+IF(C13="single",1.5,3))/12-_xlfn.XLOOKUP(E21,E20,E20,,-1),0)</f>
        <v>8.75</v>
      </c>
      <c r="H149" s="19">
        <v>236</v>
      </c>
      <c r="I149" s="64" t="s">
        <v>196</v>
      </c>
      <c r="J149" s="19">
        <v>33.799999999999997</v>
      </c>
      <c r="K149" s="19">
        <v>65.599999999999994</v>
      </c>
      <c r="L149" s="19">
        <v>19.3</v>
      </c>
      <c r="M149" s="19">
        <v>119.6</v>
      </c>
      <c r="P149" s="93"/>
      <c r="Q149" t="s">
        <v>450</v>
      </c>
      <c r="R149" s="19">
        <f>$H$21</f>
        <v>236</v>
      </c>
      <c r="S149">
        <f t="shared" ref="S149:S154" si="87">R149*0.6</f>
        <v>141.6</v>
      </c>
      <c r="T149">
        <f t="shared" ref="T149:T153" si="88">$C$43/2*R149</f>
        <v>0</v>
      </c>
      <c r="U149">
        <f>T149*0.6</f>
        <v>0</v>
      </c>
      <c r="V149" s="19">
        <v>33.799999999999997</v>
      </c>
      <c r="W149">
        <f t="shared" ref="W149:W153" si="89">V149*0.7</f>
        <v>23.659999999999997</v>
      </c>
      <c r="X149">
        <f t="shared" ref="X149:X153" si="90">$C$43/2*V149</f>
        <v>0</v>
      </c>
      <c r="Y149">
        <f t="shared" ref="Y149:Y153" si="91">X149*0.7</f>
        <v>0</v>
      </c>
      <c r="Z149" s="19">
        <f>$H$21</f>
        <v>236</v>
      </c>
      <c r="AA149">
        <f t="shared" ref="AA149:AA153" si="92">Z149*0.6</f>
        <v>141.6</v>
      </c>
      <c r="AB149">
        <f t="shared" ref="AB149:AB153" si="93">$D$43/2*Z149</f>
        <v>3422</v>
      </c>
      <c r="AC149">
        <f t="shared" si="79"/>
        <v>2053.1999999999998</v>
      </c>
      <c r="AD149" s="19">
        <v>33.799999999999997</v>
      </c>
      <c r="AE149">
        <f t="shared" ref="AE149:AE153" si="94">AD149*0.7</f>
        <v>23.659999999999997</v>
      </c>
      <c r="AF149">
        <f t="shared" ref="AF149:AF153" si="95">$D$43/2*AD149</f>
        <v>490.09999999999997</v>
      </c>
      <c r="AG149">
        <f t="shared" ref="AG149:AG153" si="96">AF149*0.7</f>
        <v>343.06999999999994</v>
      </c>
      <c r="AH149" s="19">
        <v>0</v>
      </c>
      <c r="AI149" s="19">
        <v>0</v>
      </c>
      <c r="AJ149" s="17">
        <f>T149+AB149+AH149</f>
        <v>3422</v>
      </c>
      <c r="AK149" s="17">
        <f>AK150+AJ149</f>
        <v>13166</v>
      </c>
      <c r="AL149" s="17">
        <f t="shared" ref="AL149:AL153" si="97">AJ149*0.6</f>
        <v>2053.1999999999998</v>
      </c>
      <c r="AM149" s="17">
        <f t="shared" ref="AM149:AM151" si="98">AM150+AL149</f>
        <v>7899.5999999999995</v>
      </c>
      <c r="AN149" s="17">
        <f t="shared" ref="AN149:AN152" si="99">X149+AF149+AI149</f>
        <v>490.09999999999997</v>
      </c>
      <c r="AO149" s="17">
        <f t="shared" si="80"/>
        <v>1302.0999999999999</v>
      </c>
      <c r="AP149" s="17">
        <f t="shared" ref="AP149:AP152" si="100">AN149*0.7</f>
        <v>343.06999999999994</v>
      </c>
      <c r="AQ149" s="17">
        <f t="shared" si="80"/>
        <v>911.46999999999991</v>
      </c>
      <c r="AR149" s="100"/>
      <c r="AS149" s="93"/>
      <c r="AT149" t="s">
        <v>450</v>
      </c>
      <c r="AU149" s="19">
        <f>$H$21</f>
        <v>236</v>
      </c>
      <c r="AV149">
        <f t="shared" ref="AV149:AV154" si="101">AU149*0.6</f>
        <v>141.6</v>
      </c>
      <c r="AW149">
        <f t="shared" si="81"/>
        <v>0</v>
      </c>
      <c r="AX149">
        <f>AW149*0.6</f>
        <v>0</v>
      </c>
      <c r="AY149" s="19">
        <v>33.799999999999997</v>
      </c>
      <c r="AZ149">
        <f t="shared" ref="AZ149:AZ153" si="102">AY149*0.7</f>
        <v>23.659999999999997</v>
      </c>
      <c r="BA149">
        <f t="shared" si="82"/>
        <v>0</v>
      </c>
      <c r="BB149">
        <f t="shared" ref="BB149:BB153" si="103">BA149*0.7</f>
        <v>0</v>
      </c>
      <c r="BC149" s="19">
        <f>$H$21</f>
        <v>236</v>
      </c>
      <c r="BD149">
        <f t="shared" ref="BD149:BD153" si="104">BC149*0.6</f>
        <v>141.6</v>
      </c>
      <c r="BE149">
        <f t="shared" si="83"/>
        <v>3186</v>
      </c>
      <c r="BF149">
        <f t="shared" si="84"/>
        <v>1911.6</v>
      </c>
      <c r="BG149" s="19">
        <v>33.799999999999997</v>
      </c>
      <c r="BH149">
        <f t="shared" ref="BH149:BH153" si="105">BG149*0.7</f>
        <v>23.659999999999997</v>
      </c>
      <c r="BI149">
        <f t="shared" si="85"/>
        <v>456.29999999999995</v>
      </c>
      <c r="BJ149">
        <f t="shared" ref="BJ149:BJ153" si="106">BI149*0.7</f>
        <v>319.40999999999997</v>
      </c>
      <c r="BK149" s="19">
        <v>0</v>
      </c>
      <c r="BL149" s="19">
        <v>0</v>
      </c>
      <c r="BM149" s="17">
        <f>AW149+BE149+BK149</f>
        <v>3186</v>
      </c>
      <c r="BN149" s="17">
        <f>BN150+BM149</f>
        <v>12258</v>
      </c>
      <c r="BO149" s="17">
        <f t="shared" ref="BO149" si="107">BM149*0.6</f>
        <v>1911.6</v>
      </c>
      <c r="BP149" s="17">
        <f t="shared" ref="BP149:BP151" si="108">BP150+BO149</f>
        <v>7354.7999999999993</v>
      </c>
      <c r="BQ149" s="17">
        <f t="shared" ref="BQ149:BQ152" si="109">BA149+BI149+BL149</f>
        <v>456.29999999999995</v>
      </c>
      <c r="BR149" s="17">
        <f t="shared" si="86"/>
        <v>1212.3</v>
      </c>
      <c r="BS149" s="17">
        <f t="shared" ref="BS149:BS152" si="110">BQ149*0.7</f>
        <v>319.40999999999997</v>
      </c>
      <c r="BT149" s="17">
        <f t="shared" ref="BT149:BT151" si="111">BS149+BT150</f>
        <v>848.6099999999999</v>
      </c>
      <c r="BU149" s="100"/>
    </row>
    <row r="150" x14ac:dyDescent="0.25">
      <c r="B150" t="s">
        <v>451</v>
      </c>
      <c r="C150" s="19">
        <v>21</v>
      </c>
      <c r="D150" s="19">
        <v>4.5</v>
      </c>
      <c r="E150" s="66">
        <f t="shared" ref="E22:E25" si="112">C22+D22/12</f>
        <v>21.375</v>
      </c>
      <c r="F150" s="67">
        <f>IF(E22&gt;0,E22-(C15+C14+2*1.5+IF(C13="single",1.5,3))/12-_xlfn.XLOOKUP(E22,E20:E21,E20:E21,,-1),0)</f>
        <v>8.75</v>
      </c>
      <c r="H150" s="19">
        <v>229</v>
      </c>
      <c r="I150" s="64" t="s">
        <v>196</v>
      </c>
      <c r="J150" s="19">
        <v>37.1</v>
      </c>
      <c r="K150" s="19">
        <v>71.8</v>
      </c>
      <c r="L150" s="19">
        <v>21.1</v>
      </c>
      <c r="M150" s="19">
        <v>131.1</v>
      </c>
      <c r="P150" s="93"/>
      <c r="Q150" t="s">
        <v>451</v>
      </c>
      <c r="R150" s="19">
        <f>$H$22</f>
        <v>229</v>
      </c>
      <c r="S150">
        <f t="shared" si="87"/>
        <v>137.4</v>
      </c>
      <c r="T150">
        <f t="shared" si="88"/>
        <v>0</v>
      </c>
      <c r="U150">
        <f t="shared" ref="U150:U154" si="113">T150*0.6</f>
        <v>0</v>
      </c>
      <c r="V150" s="19">
        <v>37.1</v>
      </c>
      <c r="W150">
        <f t="shared" si="89"/>
        <v>25.97</v>
      </c>
      <c r="X150">
        <f>$C$43/2*V150</f>
        <v>0</v>
      </c>
      <c r="Y150">
        <f t="shared" si="91"/>
        <v>0</v>
      </c>
      <c r="Z150" s="19">
        <f>$H$22</f>
        <v>229</v>
      </c>
      <c r="AA150">
        <f t="shared" si="92"/>
        <v>137.4</v>
      </c>
      <c r="AB150">
        <f t="shared" si="93"/>
        <v>3320.5</v>
      </c>
      <c r="AC150">
        <f t="shared" si="79"/>
        <v>1992.3</v>
      </c>
      <c r="AD150" s="19">
        <v>37.1</v>
      </c>
      <c r="AE150">
        <f t="shared" si="94"/>
        <v>25.97</v>
      </c>
      <c r="AF150">
        <f t="shared" si="95"/>
        <v>537.95000000000005</v>
      </c>
      <c r="AG150">
        <f t="shared" si="96"/>
        <v>376.565</v>
      </c>
      <c r="AH150" s="19">
        <v>0</v>
      </c>
      <c r="AI150" s="19">
        <v>0</v>
      </c>
      <c r="AJ150" s="17">
        <f t="shared" ref="AJ150:AJ152" si="114">T150+AB150+AH150</f>
        <v>3320.5</v>
      </c>
      <c r="AK150" s="17">
        <f>AK151+AJ150</f>
        <v>9744</v>
      </c>
      <c r="AL150" s="17">
        <f>AJ150*0.6</f>
        <v>1992.3</v>
      </c>
      <c r="AM150" s="17">
        <f t="shared" si="98"/>
        <v>5846.4</v>
      </c>
      <c r="AN150" s="17">
        <f t="shared" si="99"/>
        <v>537.95000000000005</v>
      </c>
      <c r="AO150" s="17">
        <f t="shared" si="80"/>
        <v>812</v>
      </c>
      <c r="AP150" s="17">
        <f t="shared" si="100"/>
        <v>376.565</v>
      </c>
      <c r="AQ150" s="17">
        <f t="shared" si="80"/>
        <v>568.4</v>
      </c>
      <c r="AR150" s="100"/>
      <c r="AS150" s="93"/>
      <c r="AT150" t="s">
        <v>451</v>
      </c>
      <c r="AU150" s="19">
        <f>$H$22</f>
        <v>229</v>
      </c>
      <c r="AV150">
        <f t="shared" si="101"/>
        <v>137.4</v>
      </c>
      <c r="AW150">
        <f t="shared" si="81"/>
        <v>0</v>
      </c>
      <c r="AX150">
        <f t="shared" ref="AX150:AX154" si="115">AW150*0.6</f>
        <v>0</v>
      </c>
      <c r="AY150" s="19">
        <v>37.1</v>
      </c>
      <c r="AZ150">
        <f t="shared" si="102"/>
        <v>25.97</v>
      </c>
      <c r="BA150">
        <f t="shared" si="82"/>
        <v>0</v>
      </c>
      <c r="BB150">
        <f t="shared" si="103"/>
        <v>0</v>
      </c>
      <c r="BC150" s="19">
        <f>$H$22</f>
        <v>229</v>
      </c>
      <c r="BD150">
        <f t="shared" si="104"/>
        <v>137.4</v>
      </c>
      <c r="BE150">
        <f t="shared" si="83"/>
        <v>3091.5</v>
      </c>
      <c r="BF150">
        <f t="shared" si="84"/>
        <v>1854.8999999999999</v>
      </c>
      <c r="BG150" s="19">
        <v>37.1</v>
      </c>
      <c r="BH150">
        <f t="shared" si="105"/>
        <v>25.97</v>
      </c>
      <c r="BI150">
        <f t="shared" si="85"/>
        <v>500.85</v>
      </c>
      <c r="BJ150">
        <f t="shared" si="106"/>
        <v>350.59499999999997</v>
      </c>
      <c r="BK150" s="19">
        <v>0</v>
      </c>
      <c r="BL150" s="19">
        <v>0</v>
      </c>
      <c r="BM150" s="17">
        <f t="shared" ref="BM150:BM152" si="116">AW150+BE150+BK150</f>
        <v>3091.5</v>
      </c>
      <c r="BN150" s="17">
        <f>BN151+BM150</f>
        <v>9072</v>
      </c>
      <c r="BO150" s="17">
        <f>BM150*0.6</f>
        <v>1854.8999999999999</v>
      </c>
      <c r="BP150" s="17">
        <f t="shared" si="108"/>
        <v>5443.2</v>
      </c>
      <c r="BQ150" s="17">
        <f t="shared" si="109"/>
        <v>500.85</v>
      </c>
      <c r="BR150" s="17">
        <f t="shared" si="86"/>
        <v>756</v>
      </c>
      <c r="BS150" s="17">
        <f t="shared" si="110"/>
        <v>350.59499999999997</v>
      </c>
      <c r="BT150" s="17">
        <f t="shared" si="111"/>
        <v>529.19999999999993</v>
      </c>
      <c r="BU150" s="100"/>
    </row>
    <row r="151" x14ac:dyDescent="0.25">
      <c r="B151" t="s">
        <v>452</v>
      </c>
      <c r="C151" s="19">
        <v>0</v>
      </c>
      <c r="D151" s="19">
        <v>0</v>
      </c>
      <c r="E151" s="66">
        <f t="shared" si="112"/>
        <v>0</v>
      </c>
      <c r="F151" s="67">
        <f>IF(E23&gt;0,E23-(C15+C14+2*1.5+IF(C13="single",1.5,3))/12-_xlfn.XLOOKUP(E23,E20:E22,E20:E22,,-1),0)</f>
        <v>0</v>
      </c>
      <c r="H151" s="19">
        <v>0</v>
      </c>
      <c r="I151" s="64" t="s">
        <v>196</v>
      </c>
      <c r="J151" s="19">
        <v>0</v>
      </c>
      <c r="K151" s="19">
        <v>0</v>
      </c>
      <c r="L151" s="19">
        <v>0</v>
      </c>
      <c r="M151" s="19">
        <v>0</v>
      </c>
      <c r="P151" s="93"/>
      <c r="Q151" t="s">
        <v>452</v>
      </c>
      <c r="R151" s="19">
        <f>$H$23</f>
        <v>0</v>
      </c>
      <c r="S151">
        <f t="shared" si="87"/>
        <v>0</v>
      </c>
      <c r="T151">
        <f t="shared" si="88"/>
        <v>0</v>
      </c>
      <c r="U151">
        <f t="shared" si="113"/>
        <v>0</v>
      </c>
      <c r="V151" s="19">
        <v>0</v>
      </c>
      <c r="W151">
        <f t="shared" si="89"/>
        <v>0</v>
      </c>
      <c r="X151">
        <f t="shared" si="90"/>
        <v>0</v>
      </c>
      <c r="Y151">
        <f t="shared" si="91"/>
        <v>0</v>
      </c>
      <c r="Z151" s="19">
        <f>$H$23</f>
        <v>0</v>
      </c>
      <c r="AA151">
        <f t="shared" si="92"/>
        <v>0</v>
      </c>
      <c r="AB151">
        <f t="shared" si="93"/>
        <v>0</v>
      </c>
      <c r="AC151">
        <f t="shared" si="79"/>
        <v>0</v>
      </c>
      <c r="AD151" s="19">
        <v>0</v>
      </c>
      <c r="AE151">
        <f t="shared" si="94"/>
        <v>0</v>
      </c>
      <c r="AF151">
        <f t="shared" si="95"/>
        <v>0</v>
      </c>
      <c r="AG151">
        <f t="shared" si="96"/>
        <v>0</v>
      </c>
      <c r="AH151" s="19">
        <v>0</v>
      </c>
      <c r="AI151" s="19">
        <v>0</v>
      </c>
      <c r="AJ151" s="17">
        <f t="shared" si="114"/>
        <v>0</v>
      </c>
      <c r="AK151" s="17">
        <f>AK152+AJ151</f>
        <v>6423.5</v>
      </c>
      <c r="AL151" s="17">
        <f>AJ151*0.6</f>
        <v>0</v>
      </c>
      <c r="AM151" s="17">
        <f t="shared" si="98"/>
        <v>3854.1</v>
      </c>
      <c r="AN151" s="17">
        <f t="shared" si="99"/>
        <v>0</v>
      </c>
      <c r="AO151" s="17">
        <f t="shared" si="80"/>
        <v>274.04999999999995</v>
      </c>
      <c r="AP151" s="17">
        <f t="shared" si="100"/>
        <v>0</v>
      </c>
      <c r="AQ151" s="17">
        <f t="shared" si="80"/>
        <v>191.83499999999995</v>
      </c>
      <c r="AR151" s="100"/>
      <c r="AS151" s="93"/>
      <c r="AT151" t="s">
        <v>452</v>
      </c>
      <c r="AU151" s="19">
        <f>$H$23</f>
        <v>0</v>
      </c>
      <c r="AV151">
        <f t="shared" si="101"/>
        <v>0</v>
      </c>
      <c r="AW151">
        <f t="shared" si="81"/>
        <v>0</v>
      </c>
      <c r="AX151">
        <f t="shared" si="115"/>
        <v>0</v>
      </c>
      <c r="AY151" s="19">
        <v>0</v>
      </c>
      <c r="AZ151">
        <f t="shared" si="102"/>
        <v>0</v>
      </c>
      <c r="BA151">
        <f t="shared" si="82"/>
        <v>0</v>
      </c>
      <c r="BB151">
        <f t="shared" si="103"/>
        <v>0</v>
      </c>
      <c r="BC151" s="19">
        <f>$H$23</f>
        <v>0</v>
      </c>
      <c r="BD151">
        <f t="shared" si="104"/>
        <v>0</v>
      </c>
      <c r="BE151">
        <f t="shared" si="83"/>
        <v>0</v>
      </c>
      <c r="BF151">
        <f t="shared" si="84"/>
        <v>0</v>
      </c>
      <c r="BG151" s="19">
        <v>0</v>
      </c>
      <c r="BH151">
        <f t="shared" si="105"/>
        <v>0</v>
      </c>
      <c r="BI151">
        <f t="shared" si="85"/>
        <v>0</v>
      </c>
      <c r="BJ151">
        <f t="shared" si="106"/>
        <v>0</v>
      </c>
      <c r="BK151" s="19">
        <v>0</v>
      </c>
      <c r="BL151" s="19">
        <v>0</v>
      </c>
      <c r="BM151" s="17">
        <f t="shared" si="116"/>
        <v>0</v>
      </c>
      <c r="BN151" s="17">
        <f>BN152+BM151</f>
        <v>5980.5</v>
      </c>
      <c r="BO151" s="17">
        <f>BM151*0.6</f>
        <v>0</v>
      </c>
      <c r="BP151" s="17">
        <f t="shared" si="108"/>
        <v>3588.2999999999997</v>
      </c>
      <c r="BQ151" s="17">
        <f t="shared" si="109"/>
        <v>0</v>
      </c>
      <c r="BR151" s="17">
        <f t="shared" si="86"/>
        <v>255.14999999999998</v>
      </c>
      <c r="BS151" s="17">
        <f t="shared" si="110"/>
        <v>0</v>
      </c>
      <c r="BT151" s="17">
        <f t="shared" si="111"/>
        <v>178.60499999999996</v>
      </c>
      <c r="BU151" s="100"/>
    </row>
    <row r="152" x14ac:dyDescent="0.25">
      <c r="B152" t="s">
        <v>453</v>
      </c>
      <c r="C152" s="19">
        <v>0</v>
      </c>
      <c r="D152" s="19">
        <v>0</v>
      </c>
      <c r="E152" s="66">
        <f t="shared" si="112"/>
        <v>0</v>
      </c>
      <c r="F152" s="67">
        <f>IF(E24&gt;0,E24-(C15+C14+2*1.5+IF(C13="single",1.5,3))/12-_xlfn.XLOOKUP(E24,E20:E23,E20:E23,,-1),0)</f>
        <v>0</v>
      </c>
      <c r="H152" s="19">
        <v>0</v>
      </c>
      <c r="I152" s="64" t="s">
        <v>196</v>
      </c>
      <c r="J152" s="19">
        <v>0</v>
      </c>
      <c r="K152" s="19">
        <v>0</v>
      </c>
      <c r="L152" s="19">
        <v>0</v>
      </c>
      <c r="M152" s="19">
        <v>0</v>
      </c>
      <c r="P152" s="93"/>
      <c r="Q152" t="s">
        <v>453</v>
      </c>
      <c r="R152" s="19">
        <f>$H$24</f>
        <v>0</v>
      </c>
      <c r="S152">
        <f t="shared" si="87"/>
        <v>0</v>
      </c>
      <c r="T152">
        <f t="shared" si="88"/>
        <v>0</v>
      </c>
      <c r="U152">
        <f t="shared" si="113"/>
        <v>0</v>
      </c>
      <c r="V152" s="19">
        <v>0</v>
      </c>
      <c r="W152">
        <f t="shared" si="89"/>
        <v>0</v>
      </c>
      <c r="X152">
        <f t="shared" si="90"/>
        <v>0</v>
      </c>
      <c r="Y152">
        <f t="shared" si="91"/>
        <v>0</v>
      </c>
      <c r="Z152" s="19">
        <f>$H$24</f>
        <v>0</v>
      </c>
      <c r="AA152">
        <f t="shared" si="92"/>
        <v>0</v>
      </c>
      <c r="AB152">
        <f t="shared" si="93"/>
        <v>0</v>
      </c>
      <c r="AC152">
        <f t="shared" si="79"/>
        <v>0</v>
      </c>
      <c r="AD152" s="19">
        <v>0</v>
      </c>
      <c r="AE152">
        <f t="shared" si="94"/>
        <v>0</v>
      </c>
      <c r="AF152">
        <f t="shared" si="95"/>
        <v>0</v>
      </c>
      <c r="AG152">
        <f t="shared" si="96"/>
        <v>0</v>
      </c>
      <c r="AH152" s="19">
        <v>0</v>
      </c>
      <c r="AI152" s="19">
        <v>0</v>
      </c>
      <c r="AJ152" s="17">
        <f t="shared" si="114"/>
        <v>0</v>
      </c>
      <c r="AK152" s="17">
        <f>AK153+IF(AJ152=0,0,AJ152)</f>
        <v>6423.5</v>
      </c>
      <c r="AL152" s="17">
        <f t="shared" si="97"/>
        <v>0</v>
      </c>
      <c r="AM152" s="17">
        <f>AM153+AL152</f>
        <v>3854.1</v>
      </c>
      <c r="AN152" s="17">
        <f t="shared" si="99"/>
        <v>0</v>
      </c>
      <c r="AO152" s="17">
        <f>AN152+AO153</f>
        <v>274.04999999999995</v>
      </c>
      <c r="AP152" s="17">
        <f t="shared" si="100"/>
        <v>0</v>
      </c>
      <c r="AQ152" s="17">
        <f>AP152+AQ153</f>
        <v>191.83499999999995</v>
      </c>
      <c r="AR152" s="100"/>
      <c r="AS152" s="93"/>
      <c r="AT152" t="s">
        <v>453</v>
      </c>
      <c r="AU152" s="19">
        <f>$H$24</f>
        <v>0</v>
      </c>
      <c r="AV152">
        <f t="shared" si="101"/>
        <v>0</v>
      </c>
      <c r="AW152">
        <f t="shared" si="81"/>
        <v>0</v>
      </c>
      <c r="AX152">
        <f t="shared" si="115"/>
        <v>0</v>
      </c>
      <c r="AY152" s="19">
        <v>0</v>
      </c>
      <c r="AZ152">
        <f t="shared" si="102"/>
        <v>0</v>
      </c>
      <c r="BA152">
        <f t="shared" si="82"/>
        <v>0</v>
      </c>
      <c r="BB152">
        <f t="shared" si="103"/>
        <v>0</v>
      </c>
      <c r="BC152" s="19">
        <f>$H$24</f>
        <v>0</v>
      </c>
      <c r="BD152">
        <f t="shared" si="104"/>
        <v>0</v>
      </c>
      <c r="BE152">
        <f t="shared" si="83"/>
        <v>0</v>
      </c>
      <c r="BF152">
        <f t="shared" si="84"/>
        <v>0</v>
      </c>
      <c r="BG152" s="19">
        <v>0</v>
      </c>
      <c r="BH152">
        <f t="shared" si="105"/>
        <v>0</v>
      </c>
      <c r="BI152">
        <f t="shared" si="85"/>
        <v>0</v>
      </c>
      <c r="BJ152">
        <f t="shared" si="106"/>
        <v>0</v>
      </c>
      <c r="BK152" s="19">
        <v>0</v>
      </c>
      <c r="BL152" s="19">
        <v>0</v>
      </c>
      <c r="BM152" s="17">
        <f t="shared" si="116"/>
        <v>0</v>
      </c>
      <c r="BN152" s="17">
        <f>BN153+IF(BM152=0,0,BM152)</f>
        <v>5980.5</v>
      </c>
      <c r="BO152" s="17">
        <f t="shared" ref="BO152:BO153" si="117">BM152*0.6</f>
        <v>0</v>
      </c>
      <c r="BP152" s="17">
        <f>BP153+BO152</f>
        <v>3588.2999999999997</v>
      </c>
      <c r="BQ152" s="17">
        <f t="shared" si="109"/>
        <v>0</v>
      </c>
      <c r="BR152" s="17">
        <f>BQ152+BR153</f>
        <v>255.14999999999998</v>
      </c>
      <c r="BS152" s="17">
        <f t="shared" si="110"/>
        <v>0</v>
      </c>
      <c r="BT152" s="17">
        <f>BS152+BT153</f>
        <v>178.60499999999996</v>
      </c>
      <c r="BU152" s="100"/>
    </row>
    <row r="153" x14ac:dyDescent="0.25">
      <c r="B153" t="s">
        <v>275</v>
      </c>
      <c r="C153" s="19">
        <f>(33+32)/2</f>
        <v>32.5</v>
      </c>
      <c r="D153" s="19">
        <f>(10.5+5.625)/2</f>
        <v>8.0625</v>
      </c>
      <c r="E153" s="68">
        <f t="shared" si="112"/>
        <v>33.171875</v>
      </c>
      <c r="F153" s="69">
        <f>E25-(C17+C16+2*1.5+IF(C13="single",1.5,3))/12-_xlfn.XLOOKUP(E25,E20:E24,E20:E24,,-1)</f>
        <v>8.6770833333333321</v>
      </c>
      <c r="H153" s="19">
        <v>443</v>
      </c>
      <c r="I153" s="64" t="s">
        <v>196</v>
      </c>
      <c r="J153" s="19">
        <v>18.899999999999999</v>
      </c>
      <c r="K153" s="19">
        <v>36.6</v>
      </c>
      <c r="L153" s="19">
        <v>10.8</v>
      </c>
      <c r="M153" s="19">
        <v>66.7</v>
      </c>
      <c r="P153" s="93"/>
      <c r="Q153" t="s">
        <v>275</v>
      </c>
      <c r="R153" s="19">
        <f>$H$25</f>
        <v>443</v>
      </c>
      <c r="S153">
        <f t="shared" si="87"/>
        <v>265.8</v>
      </c>
      <c r="T153">
        <f t="shared" si="88"/>
        <v>0</v>
      </c>
      <c r="U153">
        <f t="shared" si="113"/>
        <v>0</v>
      </c>
      <c r="V153" s="19">
        <v>18.899999999999999</v>
      </c>
      <c r="W153">
        <f t="shared" si="89"/>
        <v>13.229999999999999</v>
      </c>
      <c r="X153">
        <f t="shared" si="90"/>
        <v>0</v>
      </c>
      <c r="Y153">
        <f t="shared" si="91"/>
        <v>0</v>
      </c>
      <c r="Z153" s="19">
        <f>$H$25</f>
        <v>443</v>
      </c>
      <c r="AA153">
        <f t="shared" si="92"/>
        <v>265.8</v>
      </c>
      <c r="AB153">
        <f t="shared" si="93"/>
        <v>6423.5</v>
      </c>
      <c r="AC153">
        <f t="shared" si="79"/>
        <v>3854.1</v>
      </c>
      <c r="AD153" s="19">
        <v>18.899999999999999</v>
      </c>
      <c r="AE153">
        <f t="shared" si="94"/>
        <v>13.229999999999999</v>
      </c>
      <c r="AF153">
        <f t="shared" si="95"/>
        <v>274.04999999999995</v>
      </c>
      <c r="AG153">
        <f t="shared" si="96"/>
        <v>191.83499999999995</v>
      </c>
      <c r="AH153" s="19">
        <v>0</v>
      </c>
      <c r="AI153" s="19">
        <v>0</v>
      </c>
      <c r="AJ153" s="17">
        <f>T153+AB153+AH153</f>
        <v>6423.5</v>
      </c>
      <c r="AK153" s="17">
        <f>AJ153</f>
        <v>6423.5</v>
      </c>
      <c r="AL153" s="17">
        <f t="shared" si="97"/>
        <v>3854.1</v>
      </c>
      <c r="AM153" s="17">
        <f>AL153</f>
        <v>3854.1</v>
      </c>
      <c r="AN153" s="17">
        <f>X153+AF153+AI153</f>
        <v>274.04999999999995</v>
      </c>
      <c r="AO153" s="17">
        <f>AN153</f>
        <v>274.04999999999995</v>
      </c>
      <c r="AP153" s="17">
        <f>AN153*0.7</f>
        <v>191.83499999999995</v>
      </c>
      <c r="AQ153" s="17">
        <f>AP153</f>
        <v>191.83499999999995</v>
      </c>
      <c r="AR153" s="100"/>
      <c r="AS153" s="93"/>
      <c r="AT153" t="s">
        <v>275</v>
      </c>
      <c r="AU153" s="19">
        <f>$H$25</f>
        <v>443</v>
      </c>
      <c r="AV153">
        <f t="shared" si="101"/>
        <v>265.8</v>
      </c>
      <c r="AW153">
        <f t="shared" si="81"/>
        <v>0</v>
      </c>
      <c r="AX153">
        <f t="shared" si="115"/>
        <v>0</v>
      </c>
      <c r="AY153" s="19">
        <v>18.899999999999999</v>
      </c>
      <c r="AZ153">
        <f t="shared" si="102"/>
        <v>13.229999999999999</v>
      </c>
      <c r="BA153">
        <f t="shared" si="82"/>
        <v>0</v>
      </c>
      <c r="BB153">
        <f t="shared" si="103"/>
        <v>0</v>
      </c>
      <c r="BC153" s="19">
        <f>$H$25</f>
        <v>443</v>
      </c>
      <c r="BD153">
        <f t="shared" si="104"/>
        <v>265.8</v>
      </c>
      <c r="BE153">
        <f t="shared" si="83"/>
        <v>5980.5</v>
      </c>
      <c r="BF153">
        <f t="shared" si="84"/>
        <v>3588.2999999999997</v>
      </c>
      <c r="BG153" s="19">
        <v>18.899999999999999</v>
      </c>
      <c r="BH153">
        <f t="shared" si="105"/>
        <v>13.229999999999999</v>
      </c>
      <c r="BI153">
        <f t="shared" si="85"/>
        <v>255.14999999999998</v>
      </c>
      <c r="BJ153">
        <f t="shared" si="106"/>
        <v>178.60499999999996</v>
      </c>
      <c r="BK153" s="19">
        <v>0</v>
      </c>
      <c r="BL153" s="19">
        <v>0</v>
      </c>
      <c r="BM153" s="17">
        <f>AW153+BE153+BK153</f>
        <v>5980.5</v>
      </c>
      <c r="BN153" s="17">
        <f>BM153</f>
        <v>5980.5</v>
      </c>
      <c r="BO153" s="17">
        <f t="shared" si="117"/>
        <v>3588.2999999999997</v>
      </c>
      <c r="BP153" s="17">
        <f>BO153</f>
        <v>3588.2999999999997</v>
      </c>
      <c r="BQ153" s="17">
        <f>BA153+BI153+BL153</f>
        <v>255.14999999999998</v>
      </c>
      <c r="BR153" s="17">
        <f>BQ153</f>
        <v>255.14999999999998</v>
      </c>
      <c r="BS153" s="17">
        <f>BQ153*0.7</f>
        <v>178.60499999999996</v>
      </c>
      <c r="BT153" s="17">
        <f>BS153</f>
        <v>178.60499999999996</v>
      </c>
      <c r="BU153" s="100"/>
    </row>
    <row r="154" x14ac:dyDescent="0.25">
      <c r="B154" t="s">
        <v>530</v>
      </c>
      <c r="E154" s="73"/>
      <c r="F154" s="73"/>
      <c r="H154" s="19">
        <v>-22.9</v>
      </c>
      <c r="I154" s="64" t="s">
        <v>270</v>
      </c>
      <c r="P154" s="93"/>
      <c r="R154" s="19">
        <f>$H$26</f>
        <v>-22.9</v>
      </c>
      <c r="S154">
        <f t="shared" si="87"/>
        <v>-13.739999999999998</v>
      </c>
      <c r="T154">
        <f>$I$43/2*R154</f>
        <v>0</v>
      </c>
      <c r="U154">
        <f t="shared" si="113"/>
        <v>0</v>
      </c>
      <c r="Z154" s="19">
        <f>$H$26</f>
        <v>-22.9</v>
      </c>
      <c r="AA154">
        <f>Z154*0.6</f>
        <v>-13.739999999999998</v>
      </c>
      <c r="AB154">
        <f>$J$43/2*Z154</f>
        <v>-309.14999999999998</v>
      </c>
      <c r="AC154">
        <f t="shared" si="79"/>
        <v>-185.48999999999998</v>
      </c>
      <c r="AR154" s="100"/>
      <c r="AS154" s="93"/>
      <c r="AU154" s="19">
        <f>$H$26</f>
        <v>-22.9</v>
      </c>
      <c r="AV154">
        <f t="shared" si="101"/>
        <v>-13.739999999999998</v>
      </c>
      <c r="AW154">
        <f t="shared" si="81"/>
        <v>0</v>
      </c>
      <c r="AX154">
        <f t="shared" si="115"/>
        <v>0</v>
      </c>
      <c r="BC154" s="19">
        <f>$H$26</f>
        <v>-22.9</v>
      </c>
      <c r="BD154">
        <f>BC154*0.6</f>
        <v>-13.739999999999998</v>
      </c>
      <c r="BE154">
        <f t="shared" si="83"/>
        <v>-309.14999999999998</v>
      </c>
      <c r="BF154">
        <f t="shared" si="84"/>
        <v>-185.48999999999998</v>
      </c>
      <c r="BU154" s="100"/>
    </row>
    <row r="155" x14ac:dyDescent="0.25">
      <c r="B155" t="s">
        <v>531</v>
      </c>
      <c r="C155" s="1" t="s">
        <v>533</v>
      </c>
      <c r="D155" s="19">
        <v>0.18</v>
      </c>
      <c r="E155" s="73"/>
      <c r="F155" s="73"/>
      <c r="H155">
        <f>0.2*D27</f>
        <v>3.5999999999999997E-2</v>
      </c>
      <c r="I155" s="64" t="s">
        <v>534</v>
      </c>
      <c r="P155" s="93"/>
      <c r="Q155" s="1"/>
      <c r="AR155" s="100"/>
      <c r="AS155" s="93"/>
      <c r="AT155" s="1"/>
      <c r="BU155" s="100"/>
    </row>
    <row r="156" x14ac:dyDescent="0.25">
      <c r="P156" s="93"/>
      <c r="Y156" s="112" t="s">
        <v>752</v>
      </c>
      <c r="Z156" s="112"/>
      <c r="AA156" s="112"/>
      <c r="AB156" s="112"/>
      <c r="AC156" s="112"/>
      <c r="AR156" s="100"/>
      <c r="AS156" s="93"/>
      <c r="BB156" s="112" t="s">
        <v>752</v>
      </c>
      <c r="BC156" s="112"/>
      <c r="BD156" s="112"/>
      <c r="BE156" s="112"/>
      <c r="BF156" s="112"/>
      <c r="BU156" s="100"/>
    </row>
    <row r="157" x14ac:dyDescent="0.25">
      <c r="B157" t="s">
        <v>513</v>
      </c>
      <c r="P157" s="93"/>
      <c r="Q157" t="s">
        <v>479</v>
      </c>
      <c r="R157" t="s">
        <v>491</v>
      </c>
      <c r="S157" t="s">
        <v>508</v>
      </c>
      <c r="T157" t="s">
        <v>507</v>
      </c>
      <c r="U157" t="s">
        <v>535</v>
      </c>
      <c r="V157" t="s">
        <v>536</v>
      </c>
      <c r="W157" t="s">
        <v>479</v>
      </c>
      <c r="X157" t="s">
        <v>537</v>
      </c>
      <c r="Y157" t="s">
        <v>450</v>
      </c>
      <c r="Z157" t="s">
        <v>451</v>
      </c>
      <c r="AA157" t="s">
        <v>452</v>
      </c>
      <c r="AB157" t="s">
        <v>453</v>
      </c>
      <c r="AC157" t="s">
        <v>753</v>
      </c>
      <c r="AD157" t="s">
        <v>519</v>
      </c>
      <c r="AR157" s="100"/>
      <c r="AS157" s="93"/>
      <c r="AT157" t="s">
        <v>479</v>
      </c>
      <c r="AU157" t="s">
        <v>491</v>
      </c>
      <c r="AV157" t="s">
        <v>508</v>
      </c>
      <c r="AW157" t="s">
        <v>507</v>
      </c>
      <c r="AX157" t="s">
        <v>535</v>
      </c>
      <c r="AY157" t="s">
        <v>536</v>
      </c>
      <c r="AZ157" t="s">
        <v>479</v>
      </c>
      <c r="BA157" t="s">
        <v>537</v>
      </c>
      <c r="BB157" t="s">
        <v>450</v>
      </c>
      <c r="BC157" t="s">
        <v>451</v>
      </c>
      <c r="BD157" t="s">
        <v>452</v>
      </c>
      <c r="BE157" t="s">
        <v>453</v>
      </c>
      <c r="BF157" t="s">
        <v>753</v>
      </c>
      <c r="BG157" t="s">
        <v>519</v>
      </c>
      <c r="BU157" s="100"/>
    </row>
    <row r="158" x14ac:dyDescent="0.25">
      <c r="B158" s="1" t="s">
        <v>275</v>
      </c>
      <c r="C158" s="19">
        <v>20</v>
      </c>
      <c r="D158" t="s">
        <v>567</v>
      </c>
      <c r="P158" s="93"/>
      <c r="Q158" s="109" t="str">
        <f>R144&amp;".01"</f>
        <v>A.01</v>
      </c>
      <c r="R158" s="19">
        <v>29</v>
      </c>
      <c r="S158" s="19">
        <v>12</v>
      </c>
      <c r="T158">
        <f>S158/2</f>
        <v>6</v>
      </c>
      <c r="U158" s="19">
        <v>4</v>
      </c>
      <c r="V158">
        <f>U158/2</f>
        <v>2</v>
      </c>
      <c r="W158" s="19" t="s">
        <v>515</v>
      </c>
      <c r="X158" s="19">
        <v>6</v>
      </c>
      <c r="Y158" s="19"/>
      <c r="Z158" s="19"/>
      <c r="AA158" s="19"/>
      <c r="AB158" s="19"/>
      <c r="AC158" s="19"/>
      <c r="AD158" s="108">
        <f>R158/R174</f>
        <v>1</v>
      </c>
      <c r="AR158" s="100"/>
      <c r="AS158" s="93"/>
      <c r="AT158" s="109" t="str">
        <f>AU$144&amp;".01"</f>
        <v>1.01</v>
      </c>
      <c r="AU158" s="19">
        <v>29</v>
      </c>
      <c r="AV158" s="19">
        <v>12</v>
      </c>
      <c r="AW158">
        <f>AV158/2</f>
        <v>6</v>
      </c>
      <c r="AX158" s="19">
        <v>4</v>
      </c>
      <c r="AY158">
        <f>AX158/2</f>
        <v>2</v>
      </c>
      <c r="AZ158" s="19" t="s">
        <v>515</v>
      </c>
      <c r="BA158" s="19">
        <v>6</v>
      </c>
      <c r="BB158" s="19"/>
      <c r="BC158" s="19"/>
      <c r="BD158" s="19"/>
      <c r="BE158" s="19"/>
      <c r="BF158" s="19"/>
      <c r="BG158" s="108">
        <f>AU158/AU174</f>
        <v>1</v>
      </c>
      <c r="BU158" s="100"/>
    </row>
    <row r="159" x14ac:dyDescent="0.25">
      <c r="B159" s="1"/>
      <c r="C159">
        <f>0.9*C30</f>
        <v>18</v>
      </c>
      <c r="D159" t="s">
        <v>532</v>
      </c>
      <c r="P159" s="93"/>
      <c r="Q159" s="109" t="str">
        <f>R144&amp;".02"</f>
        <v>A.02</v>
      </c>
      <c r="R159" s="19"/>
      <c r="S159" s="19"/>
      <c r="T159">
        <f t="shared" ref="T159:T173" si="118">S159/2</f>
        <v>0</v>
      </c>
      <c r="U159" s="19"/>
      <c r="V159">
        <f t="shared" ref="V159:V173" si="119">U159/2</f>
        <v>0</v>
      </c>
      <c r="W159" s="19"/>
      <c r="X159" s="19"/>
      <c r="Y159" s="19"/>
      <c r="Z159" s="19"/>
      <c r="AA159" s="19"/>
      <c r="AB159" s="19"/>
      <c r="AC159" s="19"/>
      <c r="AR159" s="100"/>
      <c r="AS159" s="93"/>
      <c r="AT159" s="109" t="str">
        <f>AU$144&amp;".02"</f>
        <v>1.02</v>
      </c>
      <c r="AU159" s="19"/>
      <c r="AV159" s="19"/>
      <c r="AW159">
        <f t="shared" ref="AW159:AW173" si="120">AV159/2</f>
        <v>0</v>
      </c>
      <c r="AX159" s="19"/>
      <c r="AY159">
        <f t="shared" ref="AY159:AY173" si="121">AX159/2</f>
        <v>0</v>
      </c>
      <c r="AZ159" s="19"/>
      <c r="BA159" s="19"/>
      <c r="BB159" s="19"/>
      <c r="BC159" s="19"/>
      <c r="BD159" s="19"/>
      <c r="BE159" s="19"/>
      <c r="BF159" s="19"/>
      <c r="BU159" s="100"/>
    </row>
    <row r="160" x14ac:dyDescent="0.25">
      <c r="B160" s="1" t="s">
        <v>514</v>
      </c>
      <c r="C160" s="19">
        <v>26</v>
      </c>
      <c r="D160" t="s">
        <v>512</v>
      </c>
      <c r="P160" s="93"/>
      <c r="Q160" s="109" t="str">
        <f>R144&amp;".03"</f>
        <v>A.03</v>
      </c>
      <c r="R160" s="19"/>
      <c r="S160" s="19"/>
      <c r="T160">
        <f t="shared" si="118"/>
        <v>0</v>
      </c>
      <c r="U160" s="19"/>
      <c r="V160">
        <f t="shared" si="119"/>
        <v>0</v>
      </c>
      <c r="W160" s="19"/>
      <c r="X160" s="19"/>
      <c r="Y160" s="19"/>
      <c r="Z160" s="19"/>
      <c r="AA160" s="19"/>
      <c r="AB160" s="19"/>
      <c r="AC160" s="19"/>
      <c r="AR160" s="100"/>
      <c r="AS160" s="93"/>
      <c r="AT160" s="109" t="str">
        <f>AU$144&amp;".03"</f>
        <v>1.03</v>
      </c>
      <c r="AU160" s="19"/>
      <c r="AV160" s="19"/>
      <c r="AW160">
        <f t="shared" si="120"/>
        <v>0</v>
      </c>
      <c r="AX160" s="19"/>
      <c r="AY160">
        <f t="shared" si="121"/>
        <v>0</v>
      </c>
      <c r="AZ160" s="19"/>
      <c r="BA160" s="19"/>
      <c r="BB160" s="19"/>
      <c r="BC160" s="19"/>
      <c r="BD160" s="19"/>
      <c r="BE160" s="19"/>
      <c r="BF160" s="19"/>
      <c r="BU160" s="100"/>
    </row>
    <row r="161" x14ac:dyDescent="0.25">
      <c r="B161" s="1" t="s">
        <v>477</v>
      </c>
      <c r="C161" s="19">
        <v>11</v>
      </c>
      <c r="D161" t="s">
        <v>509</v>
      </c>
      <c r="P161" s="93"/>
      <c r="Q161" s="109" t="str">
        <f>R144&amp;".04"</f>
        <v>A.04</v>
      </c>
      <c r="R161" s="19"/>
      <c r="S161" s="19"/>
      <c r="T161">
        <f t="shared" si="118"/>
        <v>0</v>
      </c>
      <c r="U161" s="19"/>
      <c r="V161">
        <f t="shared" si="119"/>
        <v>0</v>
      </c>
      <c r="W161" s="19"/>
      <c r="X161" s="19"/>
      <c r="Y161" s="19"/>
      <c r="Z161" s="19"/>
      <c r="AA161" s="19"/>
      <c r="AB161" s="19"/>
      <c r="AC161" s="19"/>
      <c r="AR161" s="100"/>
      <c r="AS161" s="93"/>
      <c r="AT161" s="109" t="str">
        <f>AU$144&amp;".04"</f>
        <v>1.04</v>
      </c>
      <c r="AU161" s="19"/>
      <c r="AV161" s="19"/>
      <c r="AW161">
        <f t="shared" si="120"/>
        <v>0</v>
      </c>
      <c r="AX161" s="19"/>
      <c r="AY161">
        <f t="shared" si="121"/>
        <v>0</v>
      </c>
      <c r="AZ161" s="19"/>
      <c r="BA161" s="19"/>
      <c r="BB161" s="19"/>
      <c r="BC161" s="19"/>
      <c r="BD161" s="19"/>
      <c r="BE161" s="19"/>
      <c r="BF161" s="19"/>
      <c r="BU161" s="100"/>
    </row>
    <row r="162" x14ac:dyDescent="0.25">
      <c r="B162" s="1" t="s">
        <v>478</v>
      </c>
      <c r="C162" s="19">
        <v>13</v>
      </c>
      <c r="D162" t="s">
        <v>510</v>
      </c>
      <c r="P162" s="93"/>
      <c r="Q162" s="109" t="str">
        <f>R144&amp;".05"</f>
        <v>A.05</v>
      </c>
      <c r="R162" s="19"/>
      <c r="S162" s="19"/>
      <c r="T162">
        <f t="shared" si="118"/>
        <v>0</v>
      </c>
      <c r="U162" s="19"/>
      <c r="V162">
        <f t="shared" si="119"/>
        <v>0</v>
      </c>
      <c r="W162" s="19"/>
      <c r="X162" s="19"/>
      <c r="Y162" s="19"/>
      <c r="Z162" s="19"/>
      <c r="AA162" s="19"/>
      <c r="AB162" s="19"/>
      <c r="AC162" s="19"/>
      <c r="AR162" s="100"/>
      <c r="AS162" s="93"/>
      <c r="AT162" s="109" t="str">
        <f>AU$144&amp;".05"</f>
        <v>1.05</v>
      </c>
      <c r="AU162" s="19"/>
      <c r="AV162" s="19"/>
      <c r="AW162">
        <f t="shared" si="120"/>
        <v>0</v>
      </c>
      <c r="AX162" s="19"/>
      <c r="AY162">
        <f t="shared" si="121"/>
        <v>0</v>
      </c>
      <c r="AZ162" s="19"/>
      <c r="BA162" s="19"/>
      <c r="BB162" s="19"/>
      <c r="BC162" s="19"/>
      <c r="BD162" s="19"/>
      <c r="BE162" s="19"/>
      <c r="BF162" s="19"/>
      <c r="BU162" s="100"/>
    </row>
    <row r="163" x14ac:dyDescent="0.25">
      <c r="B163" s="1" t="s">
        <v>515</v>
      </c>
      <c r="C163" s="19">
        <v>18</v>
      </c>
      <c r="D163" t="s">
        <v>511</v>
      </c>
      <c r="P163" s="93"/>
      <c r="Q163" s="109" t="str">
        <f>R144&amp;".06"</f>
        <v>A.06</v>
      </c>
      <c r="R163" s="19"/>
      <c r="S163" s="19"/>
      <c r="T163">
        <f t="shared" si="118"/>
        <v>0</v>
      </c>
      <c r="U163" s="19"/>
      <c r="V163">
        <f t="shared" si="119"/>
        <v>0</v>
      </c>
      <c r="W163" s="19"/>
      <c r="X163" s="19"/>
      <c r="Y163" s="19"/>
      <c r="Z163" s="19"/>
      <c r="AA163" s="19"/>
      <c r="AB163" s="19"/>
      <c r="AC163" s="19"/>
      <c r="AR163" s="100"/>
      <c r="AS163" s="93"/>
      <c r="AT163" s="109" t="str">
        <f>AU$144&amp;".06"</f>
        <v>1.06</v>
      </c>
      <c r="AU163" s="19"/>
      <c r="AV163" s="19"/>
      <c r="AW163">
        <f t="shared" si="120"/>
        <v>0</v>
      </c>
      <c r="AX163" s="19"/>
      <c r="AY163">
        <f t="shared" si="121"/>
        <v>0</v>
      </c>
      <c r="AZ163" s="19"/>
      <c r="BA163" s="19"/>
      <c r="BB163" s="19"/>
      <c r="BC163" s="19"/>
      <c r="BD163" s="19"/>
      <c r="BE163" s="19"/>
      <c r="BF163" s="19"/>
      <c r="BU163" s="100"/>
    </row>
    <row r="164" x14ac:dyDescent="0.25">
      <c r="B164" s="1" t="s">
        <v>516</v>
      </c>
      <c r="P164" s="93"/>
      <c r="Q164" s="109" t="str">
        <f>R144&amp;".07"</f>
        <v>A.07</v>
      </c>
      <c r="R164" s="19"/>
      <c r="S164" s="19"/>
      <c r="T164">
        <f t="shared" si="118"/>
        <v>0</v>
      </c>
      <c r="U164" s="19"/>
      <c r="V164">
        <f t="shared" si="119"/>
        <v>0</v>
      </c>
      <c r="W164" s="19"/>
      <c r="X164" s="19"/>
      <c r="Y164" s="19"/>
      <c r="Z164" s="19"/>
      <c r="AA164" s="19"/>
      <c r="AB164" s="19"/>
      <c r="AC164" s="19"/>
      <c r="AF164" s="109"/>
      <c r="AR164" s="100"/>
      <c r="AS164" s="93"/>
      <c r="AT164" s="109" t="str">
        <f>AU$144&amp;".07"</f>
        <v>1.07</v>
      </c>
      <c r="AU164" s="19"/>
      <c r="AV164" s="19"/>
      <c r="AW164">
        <f t="shared" si="120"/>
        <v>0</v>
      </c>
      <c r="AX164" s="19"/>
      <c r="AY164">
        <f t="shared" si="121"/>
        <v>0</v>
      </c>
      <c r="AZ164" s="19"/>
      <c r="BA164" s="19"/>
      <c r="BB164" s="19"/>
      <c r="BC164" s="19"/>
      <c r="BD164" s="19"/>
      <c r="BE164" s="19"/>
      <c r="BF164" s="19"/>
      <c r="BI164" s="109"/>
      <c r="BU164" s="100"/>
    </row>
    <row r="165" x14ac:dyDescent="0.25">
      <c r="B165" s="1" t="s">
        <v>517</v>
      </c>
      <c r="P165" s="93"/>
      <c r="Q165" s="109" t="str">
        <f>R144&amp;".08"</f>
        <v>A.08</v>
      </c>
      <c r="R165" s="19"/>
      <c r="S165" s="19"/>
      <c r="T165">
        <f t="shared" si="118"/>
        <v>0</v>
      </c>
      <c r="U165" s="19"/>
      <c r="V165">
        <f t="shared" si="119"/>
        <v>0</v>
      </c>
      <c r="W165" s="19"/>
      <c r="X165" s="19"/>
      <c r="Y165" s="19"/>
      <c r="Z165" s="19"/>
      <c r="AA165" s="19"/>
      <c r="AB165" s="19"/>
      <c r="AC165" s="19"/>
      <c r="AF165" s="109"/>
      <c r="AR165" s="100"/>
      <c r="AS165" s="93"/>
      <c r="AT165" s="109" t="str">
        <f>AU$144&amp;".08"</f>
        <v>1.08</v>
      </c>
      <c r="AU165" s="19"/>
      <c r="AV165" s="19"/>
      <c r="AW165">
        <f t="shared" si="120"/>
        <v>0</v>
      </c>
      <c r="AX165" s="19"/>
      <c r="AY165">
        <f t="shared" si="121"/>
        <v>0</v>
      </c>
      <c r="AZ165" s="19"/>
      <c r="BA165" s="19"/>
      <c r="BB165" s="19"/>
      <c r="BC165" s="19"/>
      <c r="BD165" s="19"/>
      <c r="BE165" s="19"/>
      <c r="BF165" s="19"/>
      <c r="BI165" s="109"/>
      <c r="BU165" s="100"/>
    </row>
    <row r="166" x14ac:dyDescent="0.25">
      <c r="B166" s="1" t="s">
        <v>518</v>
      </c>
      <c r="P166" s="93"/>
      <c r="Q166" s="109" t="str">
        <f>R144&amp;".09"</f>
        <v>A.09</v>
      </c>
      <c r="R166" s="19"/>
      <c r="S166" s="19"/>
      <c r="T166">
        <f t="shared" si="118"/>
        <v>0</v>
      </c>
      <c r="U166" s="19"/>
      <c r="V166">
        <f t="shared" si="119"/>
        <v>0</v>
      </c>
      <c r="W166" s="19"/>
      <c r="X166" s="19"/>
      <c r="Y166" s="19"/>
      <c r="Z166" s="19"/>
      <c r="AA166" s="19"/>
      <c r="AB166" s="19"/>
      <c r="AC166" s="19"/>
      <c r="AF166" s="109"/>
      <c r="AR166" s="100"/>
      <c r="AS166" s="93"/>
      <c r="AT166" s="109" t="str">
        <f>AU$144&amp;".09"</f>
        <v>1.09</v>
      </c>
      <c r="AU166" s="19"/>
      <c r="AV166" s="19"/>
      <c r="AW166">
        <f t="shared" si="120"/>
        <v>0</v>
      </c>
      <c r="AX166" s="19"/>
      <c r="AY166">
        <f t="shared" si="121"/>
        <v>0</v>
      </c>
      <c r="AZ166" s="19"/>
      <c r="BA166" s="19"/>
      <c r="BB166" s="19"/>
      <c r="BC166" s="19"/>
      <c r="BD166" s="19"/>
      <c r="BE166" s="19"/>
      <c r="BF166" s="19"/>
      <c r="BI166" s="109"/>
      <c r="BU166" s="100"/>
    </row>
    <row r="167" x14ac:dyDescent="0.25">
      <c r="P167" s="93"/>
      <c r="Q167" s="109" t="str">
        <f>R144&amp;".10"</f>
        <v>A.10</v>
      </c>
      <c r="R167" s="19"/>
      <c r="S167" s="19"/>
      <c r="T167">
        <f t="shared" si="118"/>
        <v>0</v>
      </c>
      <c r="U167" s="19"/>
      <c r="V167">
        <f t="shared" si="119"/>
        <v>0</v>
      </c>
      <c r="W167" s="19"/>
      <c r="X167" s="19"/>
      <c r="Y167" s="19"/>
      <c r="Z167" s="19"/>
      <c r="AA167" s="19"/>
      <c r="AB167" s="19"/>
      <c r="AC167" s="19"/>
      <c r="AF167" s="109"/>
      <c r="AR167" s="100"/>
      <c r="AS167" s="93"/>
      <c r="AT167" s="109" t="str">
        <f>AU$144&amp;".10"</f>
        <v>1.10</v>
      </c>
      <c r="AU167" s="19"/>
      <c r="AV167" s="19"/>
      <c r="AW167">
        <f t="shared" si="120"/>
        <v>0</v>
      </c>
      <c r="AX167" s="19"/>
      <c r="AY167">
        <f t="shared" si="121"/>
        <v>0</v>
      </c>
      <c r="AZ167" s="19"/>
      <c r="BA167" s="19"/>
      <c r="BB167" s="19"/>
      <c r="BC167" s="19"/>
      <c r="BD167" s="19"/>
      <c r="BE167" s="19"/>
      <c r="BF167" s="19"/>
      <c r="BI167" s="109"/>
      <c r="BU167" s="100"/>
    </row>
    <row r="168" x14ac:dyDescent="0.25">
      <c r="C168" s="112" t="s">
        <v>495</v>
      </c>
      <c r="D168" s="112"/>
      <c r="E168" s="112"/>
      <c r="I168" s="112" t="s">
        <v>495</v>
      </c>
      <c r="J168" s="112"/>
      <c r="K168" s="112"/>
      <c r="P168" s="93"/>
      <c r="Q168" s="109" t="str">
        <f>R144&amp;".11"</f>
        <v>A.11</v>
      </c>
      <c r="R168" s="19"/>
      <c r="S168" s="19"/>
      <c r="T168">
        <f t="shared" si="118"/>
        <v>0</v>
      </c>
      <c r="U168" s="19"/>
      <c r="V168">
        <f t="shared" si="119"/>
        <v>0</v>
      </c>
      <c r="W168" s="19"/>
      <c r="X168" s="19"/>
      <c r="Y168" s="19"/>
      <c r="Z168" s="19"/>
      <c r="AA168" s="19"/>
      <c r="AB168" s="19"/>
      <c r="AC168" s="19"/>
      <c r="AF168" s="109"/>
      <c r="AR168" s="100"/>
      <c r="AS168" s="93"/>
      <c r="AT168" s="109" t="str">
        <f>AU$144&amp;".11"</f>
        <v>1.11</v>
      </c>
      <c r="AU168" s="19"/>
      <c r="AV168" s="19"/>
      <c r="AW168">
        <f t="shared" si="120"/>
        <v>0</v>
      </c>
      <c r="AX168" s="19"/>
      <c r="AY168">
        <f t="shared" si="121"/>
        <v>0</v>
      </c>
      <c r="AZ168" s="19"/>
      <c r="BA168" s="19"/>
      <c r="BB168" s="19"/>
      <c r="BC168" s="19"/>
      <c r="BD168" s="19"/>
      <c r="BE168" s="19"/>
      <c r="BF168" s="19"/>
      <c r="BI168" s="109"/>
      <c r="BU168" s="100"/>
    </row>
    <row r="169" x14ac:dyDescent="0.25">
      <c r="B169" t="s">
        <v>474</v>
      </c>
      <c r="C169" t="s">
        <v>492</v>
      </c>
      <c r="D169" t="s">
        <v>493</v>
      </c>
      <c r="E169" t="s">
        <v>494</v>
      </c>
      <c r="H169" t="s">
        <v>455</v>
      </c>
      <c r="I169" t="s">
        <v>492</v>
      </c>
      <c r="J169" t="s">
        <v>493</v>
      </c>
      <c r="K169" t="s">
        <v>494</v>
      </c>
      <c r="P169" s="93"/>
      <c r="Q169" s="109" t="str">
        <f>R144&amp;".12"</f>
        <v>A.12</v>
      </c>
      <c r="R169" s="19"/>
      <c r="S169" s="19"/>
      <c r="T169">
        <f t="shared" si="118"/>
        <v>0</v>
      </c>
      <c r="U169" s="19"/>
      <c r="V169">
        <f t="shared" si="119"/>
        <v>0</v>
      </c>
      <c r="W169" s="19"/>
      <c r="X169" s="19"/>
      <c r="Y169" s="19"/>
      <c r="Z169" s="19"/>
      <c r="AA169" s="19"/>
      <c r="AB169" s="19"/>
      <c r="AC169" s="19"/>
      <c r="AF169" s="109"/>
      <c r="AR169" s="100"/>
      <c r="AS169" s="93"/>
      <c r="AT169" s="109" t="str">
        <f>AU$144&amp;".12"</f>
        <v>1.12</v>
      </c>
      <c r="AU169" s="19"/>
      <c r="AV169" s="19"/>
      <c r="AW169">
        <f t="shared" si="120"/>
        <v>0</v>
      </c>
      <c r="AX169" s="19"/>
      <c r="AY169">
        <f t="shared" si="121"/>
        <v>0</v>
      </c>
      <c r="AZ169" s="19"/>
      <c r="BA169" s="19"/>
      <c r="BB169" s="19"/>
      <c r="BC169" s="19"/>
      <c r="BD169" s="19"/>
      <c r="BE169" s="19"/>
      <c r="BF169" s="19"/>
      <c r="BI169" s="109"/>
      <c r="BU169" s="100"/>
    </row>
    <row r="170" x14ac:dyDescent="0.25">
      <c r="B170" t="s">
        <v>274</v>
      </c>
      <c r="C170" s="19">
        <v>0</v>
      </c>
      <c r="D170" s="19">
        <v>29</v>
      </c>
      <c r="E170">
        <f>C43+D43</f>
        <v>29</v>
      </c>
      <c r="H170">
        <v>1</v>
      </c>
      <c r="I170" s="19">
        <v>0</v>
      </c>
      <c r="J170" s="19">
        <v>27</v>
      </c>
      <c r="K170">
        <f>I43+J43</f>
        <v>27</v>
      </c>
      <c r="P170" s="93"/>
      <c r="Q170" s="109" t="str">
        <f>R144&amp;".13"</f>
        <v>A.13</v>
      </c>
      <c r="R170" s="19"/>
      <c r="S170" s="19"/>
      <c r="T170">
        <f t="shared" si="118"/>
        <v>0</v>
      </c>
      <c r="U170" s="19"/>
      <c r="V170">
        <f t="shared" si="119"/>
        <v>0</v>
      </c>
      <c r="W170" s="19"/>
      <c r="X170" s="19"/>
      <c r="Y170" s="19"/>
      <c r="Z170" s="19"/>
      <c r="AA170" s="19"/>
      <c r="AB170" s="19"/>
      <c r="AC170" s="19"/>
      <c r="AF170" s="109"/>
      <c r="AR170" s="100"/>
      <c r="AS170" s="93"/>
      <c r="AT170" s="109" t="str">
        <f>AU$144&amp;".13"</f>
        <v>1.13</v>
      </c>
      <c r="AU170" s="19"/>
      <c r="AV170" s="19"/>
      <c r="AW170">
        <f t="shared" si="120"/>
        <v>0</v>
      </c>
      <c r="AX170" s="19"/>
      <c r="AY170">
        <f t="shared" si="121"/>
        <v>0</v>
      </c>
      <c r="AZ170" s="19"/>
      <c r="BA170" s="19"/>
      <c r="BB170" s="19"/>
      <c r="BC170" s="19"/>
      <c r="BD170" s="19"/>
      <c r="BE170" s="19"/>
      <c r="BF170" s="19"/>
      <c r="BI170" s="109"/>
      <c r="BU170" s="100"/>
    </row>
    <row r="171" x14ac:dyDescent="0.25">
      <c r="B171" t="s">
        <v>279</v>
      </c>
      <c r="C171" s="19">
        <v>29</v>
      </c>
      <c r="D171" s="19">
        <v>6</v>
      </c>
      <c r="E171">
        <f t="shared" ref="E43:E67" si="122">C43+D43</f>
        <v>35</v>
      </c>
      <c r="H171">
        <v>2</v>
      </c>
      <c r="I171" s="19">
        <v>27</v>
      </c>
      <c r="J171" s="19">
        <v>14</v>
      </c>
      <c r="K171">
        <f t="shared" ref="K43:K67" si="123">I43+J43</f>
        <v>41</v>
      </c>
      <c r="P171" s="93"/>
      <c r="Q171" s="109" t="str">
        <f>R144&amp;".14"</f>
        <v>A.14</v>
      </c>
      <c r="R171" s="19"/>
      <c r="S171" s="19"/>
      <c r="T171">
        <f t="shared" si="118"/>
        <v>0</v>
      </c>
      <c r="U171" s="19"/>
      <c r="V171">
        <f t="shared" si="119"/>
        <v>0</v>
      </c>
      <c r="W171" s="19"/>
      <c r="X171" s="19"/>
      <c r="Y171" s="19"/>
      <c r="Z171" s="19"/>
      <c r="AA171" s="19"/>
      <c r="AB171" s="19"/>
      <c r="AC171" s="19"/>
      <c r="AF171" s="109"/>
      <c r="AR171" s="100"/>
      <c r="AS171" s="93"/>
      <c r="AT171" s="109" t="str">
        <f>AU$144&amp;".14"</f>
        <v>1.14</v>
      </c>
      <c r="AU171" s="19"/>
      <c r="AV171" s="19"/>
      <c r="AW171">
        <f t="shared" si="120"/>
        <v>0</v>
      </c>
      <c r="AX171" s="19"/>
      <c r="AY171">
        <f t="shared" si="121"/>
        <v>0</v>
      </c>
      <c r="AZ171" s="19"/>
      <c r="BA171" s="19"/>
      <c r="BB171" s="19"/>
      <c r="BC171" s="19"/>
      <c r="BD171" s="19"/>
      <c r="BE171" s="19"/>
      <c r="BF171" s="19"/>
      <c r="BI171" s="109"/>
      <c r="BU171" s="100"/>
    </row>
    <row r="172" x14ac:dyDescent="0.25">
      <c r="B172" t="s">
        <v>283</v>
      </c>
      <c r="C172" s="19">
        <v>6</v>
      </c>
      <c r="D172" s="19">
        <v>29</v>
      </c>
      <c r="E172">
        <f t="shared" si="122"/>
        <v>35</v>
      </c>
      <c r="H172">
        <v>3</v>
      </c>
      <c r="I172" s="19">
        <v>14</v>
      </c>
      <c r="J172" s="19">
        <v>13</v>
      </c>
      <c r="K172">
        <f t="shared" si="123"/>
        <v>27</v>
      </c>
      <c r="P172" s="93"/>
      <c r="Q172" s="109" t="str">
        <f>R144&amp;".15"</f>
        <v>A.15</v>
      </c>
      <c r="R172" s="19"/>
      <c r="S172" s="19"/>
      <c r="T172">
        <f t="shared" si="118"/>
        <v>0</v>
      </c>
      <c r="U172" s="19"/>
      <c r="V172">
        <f t="shared" si="119"/>
        <v>0</v>
      </c>
      <c r="W172" s="19"/>
      <c r="X172" s="19"/>
      <c r="Y172" s="19"/>
      <c r="Z172" s="19"/>
      <c r="AA172" s="19"/>
      <c r="AB172" s="19"/>
      <c r="AC172" s="19"/>
      <c r="AF172" s="109"/>
      <c r="AR172" s="100"/>
      <c r="AS172" s="93"/>
      <c r="AT172" s="109" t="str">
        <f>AU$144&amp;".15"</f>
        <v>1.15</v>
      </c>
      <c r="AU172" s="19"/>
      <c r="AV172" s="19"/>
      <c r="AW172">
        <f t="shared" si="120"/>
        <v>0</v>
      </c>
      <c r="AX172" s="19"/>
      <c r="AY172">
        <f t="shared" si="121"/>
        <v>0</v>
      </c>
      <c r="AZ172" s="19"/>
      <c r="BA172" s="19"/>
      <c r="BB172" s="19"/>
      <c r="BC172" s="19"/>
      <c r="BD172" s="19"/>
      <c r="BE172" s="19"/>
      <c r="BF172" s="19"/>
      <c r="BI172" s="109"/>
      <c r="BU172" s="100"/>
    </row>
    <row r="173" x14ac:dyDescent="0.25">
      <c r="B173" t="s">
        <v>287</v>
      </c>
      <c r="C173" s="19">
        <v>26</v>
      </c>
      <c r="D173" s="19">
        <v>26</v>
      </c>
      <c r="E173">
        <f t="shared" si="122"/>
        <v>52</v>
      </c>
      <c r="F173" t="s">
        <v>506</v>
      </c>
      <c r="H173">
        <v>4</v>
      </c>
      <c r="I173" s="19">
        <v>13</v>
      </c>
      <c r="J173" s="19">
        <v>27</v>
      </c>
      <c r="K173">
        <f t="shared" si="123"/>
        <v>40</v>
      </c>
      <c r="P173" s="93"/>
      <c r="Q173" s="109" t="str">
        <f>R144&amp;".16"</f>
        <v>A.16</v>
      </c>
      <c r="R173" s="19"/>
      <c r="S173" s="19"/>
      <c r="T173">
        <f t="shared" si="118"/>
        <v>0</v>
      </c>
      <c r="U173" s="19"/>
      <c r="V173">
        <f t="shared" si="119"/>
        <v>0</v>
      </c>
      <c r="W173" s="19"/>
      <c r="X173" s="19"/>
      <c r="Y173" s="19"/>
      <c r="Z173" s="19"/>
      <c r="AA173" s="19"/>
      <c r="AB173" s="19"/>
      <c r="AC173" s="19"/>
      <c r="AF173" s="109"/>
      <c r="AR173" s="100"/>
      <c r="AS173" s="93"/>
      <c r="AT173" s="109" t="str">
        <f>AU$144&amp;".16"</f>
        <v>1.16</v>
      </c>
      <c r="AU173" s="19"/>
      <c r="AV173" s="19"/>
      <c r="AW173">
        <f t="shared" si="120"/>
        <v>0</v>
      </c>
      <c r="AX173" s="19"/>
      <c r="AY173">
        <f t="shared" si="121"/>
        <v>0</v>
      </c>
      <c r="AZ173" s="19"/>
      <c r="BA173" s="19"/>
      <c r="BB173" s="19"/>
      <c r="BC173" s="19"/>
      <c r="BD173" s="19"/>
      <c r="BE173" s="19"/>
      <c r="BF173" s="19"/>
      <c r="BI173" s="109"/>
      <c r="BU173" s="100"/>
    </row>
    <row r="174" x14ac:dyDescent="0.25">
      <c r="B174" t="s">
        <v>288</v>
      </c>
      <c r="C174" s="19">
        <v>29</v>
      </c>
      <c r="D174" s="19">
        <v>0</v>
      </c>
      <c r="E174">
        <f t="shared" si="122"/>
        <v>29</v>
      </c>
      <c r="H174">
        <v>5</v>
      </c>
      <c r="I174" s="19">
        <v>27</v>
      </c>
      <c r="J174" s="19">
        <v>11</v>
      </c>
      <c r="K174">
        <f t="shared" si="123"/>
        <v>38</v>
      </c>
      <c r="P174" s="93"/>
      <c r="R174">
        <f>SUM(R158:R173)</f>
        <v>29</v>
      </c>
      <c r="AR174" s="100"/>
      <c r="AS174" s="93"/>
      <c r="AU174">
        <f>SUM(AU158:AU173)</f>
        <v>29</v>
      </c>
      <c r="BU174" s="100"/>
    </row>
    <row r="175" x14ac:dyDescent="0.25">
      <c r="B175" t="s">
        <v>293</v>
      </c>
      <c r="C175" s="19">
        <v>17</v>
      </c>
      <c r="D175" s="19">
        <v>27</v>
      </c>
      <c r="E175">
        <f t="shared" si="122"/>
        <v>44</v>
      </c>
      <c r="H175">
        <v>6</v>
      </c>
      <c r="I175" s="19">
        <v>11</v>
      </c>
      <c r="J175" s="19">
        <v>6</v>
      </c>
      <c r="K175">
        <f t="shared" si="123"/>
        <v>17</v>
      </c>
      <c r="P175" s="93"/>
      <c r="AP175" t="s">
        <v>746</v>
      </c>
      <c r="AR175" s="100"/>
      <c r="AS175" s="93"/>
      <c r="BS175" t="s">
        <v>746</v>
      </c>
      <c r="BU175" s="100"/>
    </row>
    <row r="176" x14ac:dyDescent="0.25">
      <c r="B176" t="s">
        <v>456</v>
      </c>
      <c r="C176" s="19">
        <v>27</v>
      </c>
      <c r="D176" s="19">
        <v>27</v>
      </c>
      <c r="E176">
        <f t="shared" si="122"/>
        <v>54</v>
      </c>
      <c r="H176">
        <v>7</v>
      </c>
      <c r="I176" s="19">
        <v>6</v>
      </c>
      <c r="J176" s="19">
        <v>11</v>
      </c>
      <c r="K176">
        <f t="shared" si="123"/>
        <v>17</v>
      </c>
      <c r="P176" s="93"/>
      <c r="Q176" t="s">
        <v>525</v>
      </c>
      <c r="R176" t="s">
        <v>263</v>
      </c>
      <c r="S176" t="s">
        <v>526</v>
      </c>
      <c r="T176" t="s">
        <v>570</v>
      </c>
      <c r="U176" t="s">
        <v>571</v>
      </c>
      <c r="V176" t="s">
        <v>572</v>
      </c>
      <c r="W176" t="s">
        <v>539</v>
      </c>
      <c r="X176" t="s">
        <v>538</v>
      </c>
      <c r="Z176" t="s">
        <v>522</v>
      </c>
      <c r="AA176" t="s">
        <v>523</v>
      </c>
      <c r="AB176" t="s">
        <v>541</v>
      </c>
      <c r="AC176" t="s">
        <v>540</v>
      </c>
      <c r="AD176" t="s">
        <v>542</v>
      </c>
      <c r="AE176" t="s">
        <v>520</v>
      </c>
      <c r="AF176" t="s">
        <v>521</v>
      </c>
      <c r="AG176" t="s">
        <v>527</v>
      </c>
      <c r="AH176" t="s">
        <v>528</v>
      </c>
      <c r="AI176" t="s">
        <v>543</v>
      </c>
      <c r="AJ176" t="s">
        <v>744</v>
      </c>
      <c r="AK176" t="s">
        <v>745</v>
      </c>
      <c r="AL176" t="s">
        <v>749</v>
      </c>
      <c r="AM176" t="s">
        <v>750</v>
      </c>
      <c r="AN176" t="s">
        <v>751</v>
      </c>
      <c r="AP176" t="s">
        <v>747</v>
      </c>
      <c r="AQ176" t="s">
        <v>748</v>
      </c>
      <c r="AR176" s="100"/>
      <c r="AS176" s="93"/>
      <c r="AT176" t="s">
        <v>525</v>
      </c>
      <c r="AU176" t="s">
        <v>263</v>
      </c>
      <c r="AV176" t="s">
        <v>526</v>
      </c>
      <c r="AW176" t="s">
        <v>570</v>
      </c>
      <c r="AX176" t="s">
        <v>571</v>
      </c>
      <c r="AY176" t="s">
        <v>572</v>
      </c>
      <c r="AZ176" t="s">
        <v>539</v>
      </c>
      <c r="BA176" t="s">
        <v>538</v>
      </c>
      <c r="BC176" t="s">
        <v>522</v>
      </c>
      <c r="BD176" t="s">
        <v>523</v>
      </c>
      <c r="BE176" t="s">
        <v>541</v>
      </c>
      <c r="BF176" t="s">
        <v>540</v>
      </c>
      <c r="BG176" t="s">
        <v>542</v>
      </c>
      <c r="BH176" t="s">
        <v>520</v>
      </c>
      <c r="BI176" t="s">
        <v>521</v>
      </c>
      <c r="BJ176" t="s">
        <v>527</v>
      </c>
      <c r="BK176" t="s">
        <v>528</v>
      </c>
      <c r="BL176" t="s">
        <v>543</v>
      </c>
      <c r="BM176" t="s">
        <v>744</v>
      </c>
      <c r="BN176" t="s">
        <v>745</v>
      </c>
      <c r="BO176" t="s">
        <v>749</v>
      </c>
      <c r="BP176" t="s">
        <v>750</v>
      </c>
      <c r="BQ176" t="s">
        <v>751</v>
      </c>
      <c r="BS176" t="s">
        <v>747</v>
      </c>
      <c r="BT176" t="s">
        <v>748</v>
      </c>
      <c r="BU176" s="100"/>
    </row>
    <row r="177" x14ac:dyDescent="0.25">
      <c r="B177" t="s">
        <v>457</v>
      </c>
      <c r="C177" s="19">
        <v>27</v>
      </c>
      <c r="D177" s="19">
        <v>27</v>
      </c>
      <c r="E177">
        <f t="shared" si="122"/>
        <v>54</v>
      </c>
      <c r="H177">
        <v>8</v>
      </c>
      <c r="I177" s="19">
        <v>20</v>
      </c>
      <c r="J177" s="19">
        <v>0</v>
      </c>
      <c r="K177">
        <f t="shared" si="123"/>
        <v>20</v>
      </c>
      <c r="L177" t="s">
        <v>506</v>
      </c>
      <c r="P177" s="93"/>
      <c r="Q177" s="110" t="str">
        <f>$Q$158</f>
        <v>A.01</v>
      </c>
      <c r="R177" t="str">
        <f>$Q$149</f>
        <v>L2</v>
      </c>
      <c r="S177">
        <f>$E$21</f>
        <v>10.6875</v>
      </c>
      <c r="T177" cm="1">
        <f t="array" ref="T177">IFERROR(IF(S177=0,0,(INDEX($C$33:$C$38,MATCH($W$158,$B$33:$B$38,0),0)*(S181+$X$158)+$T$158*COUNTIF(S177:S180,"&gt;0")*$C$32+$V$158*$C$31)*$R$158),0)</f>
        <v>30539.71875</v>
      </c>
      <c r="U177">
        <f>IF(S177=0,0,-(COUNTIF(S177:S180,"&gt;0")*$T$158*$C$32+$V$158*$C$31)*$H$27*$R$158)</f>
        <v>-363.31199999999995</v>
      </c>
      <c r="V177">
        <f>IF(S177=0,0,$V$158*$H$26*$R$158)</f>
        <v>-1328.1999999999998</v>
      </c>
      <c r="W177">
        <f>(0.6*T177+0.7*U177)*$R$158/2</f>
        <v>262007.93632499999</v>
      </c>
      <c r="X177">
        <f>(0.6*T177+0.6*V177)*$R$158/2</f>
        <v>254140.21312500001</v>
      </c>
      <c r="Z177">
        <f>IF(S177=0,0,$AD$158*$AP$149)</f>
        <v>343.06999999999994</v>
      </c>
      <c r="AA177">
        <f>IFERROR(Z177/$R$158,0)</f>
        <v>11.829999999999998</v>
      </c>
      <c r="AB177">
        <f>Z177*($F$21+IF($F$21=0,0,($C$14+$C$15+IF($C$13="single",1.5,3)+3)/12))</f>
        <v>3666.5606249999992</v>
      </c>
      <c r="AC177">
        <f>AB177-W177</f>
        <v>-258341.37569999998</v>
      </c>
      <c r="AD177" cm="1">
        <f t="array" ref="AD177">IFERROR(IF(AC177&lt;0,0,AC177/($R$158-INDEX(hd_off,MATCH(AQ177,hd_mark,0),0)/12)),0)</f>
        <v>0</v>
      </c>
      <c r="AE177">
        <f>IF(S177=0,0,$AD$158*$AM$149)</f>
        <v>7899.5999999999995</v>
      </c>
      <c r="AF177">
        <f>IFERROR(AE177/$R$158,0)</f>
        <v>272.39999999999998</v>
      </c>
      <c r="AG177">
        <f>AE177*($F$21+IF($F$21=0,0,($C$14+$C$15+IF($C$13="single",1.5,3)+3)/12))</f>
        <v>84426.974999999991</v>
      </c>
      <c r="AH177">
        <f>AG177-X177</f>
        <v>-169713.23812500003</v>
      </c>
      <c r="AI177" cm="1">
        <f t="array" ref="AI177">IFERROR(IF(AH177&lt;0,0,AH177/($R$158-INDEX(hd_off,MATCH(AQ177,hd_mark,0),0)/12)),0)</f>
        <v>0</v>
      </c>
      <c r="AJ177">
        <f>MAX($F$21,$Y$158)/$Q$180</f>
        <v>0.30172413793103448</v>
      </c>
      <c r="AK177">
        <f>IF(AJ177=0,0,IF(AJ177&gt;2,1.25-0.125*AJ177,1))</f>
        <v>1</v>
      </c>
      <c r="AL177" cm="1">
        <f t="array" ref="AL177">IFERROR(INDEX(sheath_ecap_asd,MATCH(AP177,sheath_mark,0),0)*AK177,0)</f>
        <v>239.85714285714286</v>
      </c>
      <c r="AM177" cm="1">
        <f t="array" ref="AM177">IFERROR(INDEX(sheath_wcap_asd,MATCH(AP177,sheath_mark,0),0)*AK177,0)</f>
        <v>335.8</v>
      </c>
      <c r="AN177" cm="1">
        <f t="array" ref="AN177">IFERROR(INDEX(hd_cap,MATCH(AQ177,hd_mark,0),0),0)</f>
        <v>0</v>
      </c>
      <c r="AP177" s="19">
        <v>21</v>
      </c>
      <c r="AQ177" s="19"/>
      <c r="AR177" s="100"/>
      <c r="AS177" s="93"/>
      <c r="AT177" s="110" t="str">
        <f>$AT$158</f>
        <v>1.01</v>
      </c>
      <c r="AU177" t="str">
        <f>$Q$149</f>
        <v>L2</v>
      </c>
      <c r="AV177">
        <f>$E$21</f>
        <v>10.6875</v>
      </c>
      <c r="AW177" cm="1">
        <f t="array" ref="AW177">IFERROR(IF(AV177=0,0,(INDEX($C$33:$C$38,MATCH($AZ$158,$B$33:$B$38,0),0)*(AV181+$BA$158)+$AW$158*COUNTIF(AV177:AV180,"&gt;0")*$C$32+$AY$158*$C$31)*$AU$158),0)</f>
        <v>30539.71875</v>
      </c>
      <c r="AX177">
        <f>IF(AV177=0,0,-(COUNTIF(AV177:AV180,"&gt;0")*$AW$158*$C$32+$AY$158*$C$31)*$H$27*$AU$158)</f>
        <v>-363.31199999999995</v>
      </c>
      <c r="AY177">
        <f>IF(AV177=0,0,$AY$158*$H$26*$AU$158)</f>
        <v>-1328.1999999999998</v>
      </c>
      <c r="AZ177">
        <f>(0.6*AW177+0.7*AX177)*$AU$158/2</f>
        <v>262007.93632499999</v>
      </c>
      <c r="BA177">
        <f>(0.6*AW177+0.6*AY177)*$AU$158/2</f>
        <v>254140.21312500001</v>
      </c>
      <c r="BC177">
        <f>IF(AV177=0,0,$BG$158*$AP$149)</f>
        <v>343.06999999999994</v>
      </c>
      <c r="BD177">
        <f>IFERROR(BC177/$AU$158,0)</f>
        <v>11.829999999999998</v>
      </c>
      <c r="BE177">
        <f>BC177*($F$21+IF($F$21=0,0,($C$14+$C$15+IF($C$13="single",1.5,3)+3)/12))</f>
        <v>3666.5606249999992</v>
      </c>
      <c r="BF177">
        <f>BE177-AZ177</f>
        <v>-258341.37569999998</v>
      </c>
      <c r="BG177" cm="1">
        <f t="array" ref="BG177">IFERROR(IF(BF177&lt;0,0,BF177/($AU$158-INDEX(hd_off,MATCH(BT177,hd_mark,0),0)/12)),0)</f>
        <v>0</v>
      </c>
      <c r="BH177">
        <f>IF(AV177=0,0,$BG$158*$AM$149)</f>
        <v>7899.5999999999995</v>
      </c>
      <c r="BI177">
        <f>IFERROR(BH177/$AU$158,0)</f>
        <v>272.39999999999998</v>
      </c>
      <c r="BJ177">
        <f>BH177*($F$21+IF($F$21=0,0,($C$14+$C$15+IF($C$13="single",1.5,3)+3)/12))</f>
        <v>84426.974999999991</v>
      </c>
      <c r="BK177">
        <f>BJ177-BA177</f>
        <v>-169713.23812500003</v>
      </c>
      <c r="BL177" cm="1">
        <f t="array" ref="BL177">IFERROR(IF(BK177&lt;0,0,BK177/($AU$158-INDEX(hd_off,MATCH(BT177,hd_mark,0),0)/12)),0)</f>
        <v>0</v>
      </c>
      <c r="BM177">
        <f>MAX($F$21,$BB$158)/$Q$180</f>
        <v>0.30172413793103448</v>
      </c>
      <c r="BN177">
        <f>IF(BM177=0,0,IF(BM177&gt;2,1.25-0.125*BM177,1))</f>
        <v>1</v>
      </c>
      <c r="BO177" cm="1">
        <f t="array" ref="BO177">IFERROR(INDEX(sheath_ecap_asd,MATCH(BS177,sheath_mark,0),0)*BN177,0)</f>
        <v>239.85714285714286</v>
      </c>
      <c r="BP177" cm="1">
        <f t="array" ref="BP177">IFERROR(INDEX(sheath_wcap_asd,MATCH(BS177,sheath_mark,0),0)*BN177,0)</f>
        <v>335.8</v>
      </c>
      <c r="BQ177" cm="1">
        <f t="array" ref="BQ177">IFERROR(INDEX(hd_cap,MATCH(BT177,hd_mark,0),0),0)</f>
        <v>0</v>
      </c>
      <c r="BS177" s="19">
        <v>21</v>
      </c>
      <c r="BT177" s="19"/>
      <c r="BU177" s="100"/>
    </row>
    <row r="178" x14ac:dyDescent="0.25">
      <c r="B178" t="s">
        <v>458</v>
      </c>
      <c r="C178" s="19">
        <v>27</v>
      </c>
      <c r="D178" s="19">
        <v>27</v>
      </c>
      <c r="E178">
        <f t="shared" si="122"/>
        <v>54</v>
      </c>
      <c r="H178">
        <v>9</v>
      </c>
      <c r="I178" s="19">
        <v>30</v>
      </c>
      <c r="J178" s="19">
        <v>0</v>
      </c>
      <c r="K178">
        <f t="shared" si="123"/>
        <v>30</v>
      </c>
      <c r="P178" s="93"/>
      <c r="Q178" s="109"/>
      <c r="R178" t="str">
        <f>$Q$150</f>
        <v>L3</v>
      </c>
      <c r="S178">
        <f>$E$22</f>
        <v>21.375</v>
      </c>
      <c r="T178" cm="1">
        <f t="array" ref="T178">IFERROR(IF(S178=0,0,(INDEX($C$33:$C$38,MATCH($W$158,$B$33:$B$38,0),0)*(S181+$X$158)+$T$158*COUNTIF(S178:S180,"&gt;0")*$C$32+$V$158*$C$31)*$R$158),0)</f>
        <v>26015.71875</v>
      </c>
      <c r="U178">
        <f>IF(S178=0,0,-(COUNTIF(S178:S180,"&gt;0")*$T$158*$C$32+$V$158*$C$31)*$H$27*$R$158)</f>
        <v>-200.44799999999998</v>
      </c>
      <c r="V178">
        <f>IF(S178=0,0,$V$158*$H$26*$R$158)</f>
        <v>-1328.1999999999998</v>
      </c>
      <c r="W178">
        <f t="shared" ref="W178:W180" si="124">(0.6*T178+0.7*U178)*$R$158/2</f>
        <v>224302.20592500002</v>
      </c>
      <c r="X178">
        <f>T178*$R$158/2</f>
        <v>377227.921875</v>
      </c>
      <c r="Z178">
        <f>IF(S178=0,0,$AD$158*$AP$150)</f>
        <v>376.565</v>
      </c>
      <c r="AA178">
        <f>IFERROR(Z178/$R$158,0)</f>
        <v>12.984999999999999</v>
      </c>
      <c r="AB178">
        <f>Z178*($F$22+IF($F$22=0,0,($C$14+$C$15+IF($C$13="single",1.5,3)+3)/12))</f>
        <v>4024.5384374999999</v>
      </c>
      <c r="AC178">
        <f>AB178-W178</f>
        <v>-220277.6674875</v>
      </c>
      <c r="AD178" cm="1">
        <f t="array" ref="AD178">IFERROR(IF(AC178&lt;0,0,AC178/($R$158-INDEX(hd_off,MATCH(AQ178,hd_mark,0),0)/12)),0)</f>
        <v>0</v>
      </c>
      <c r="AE178">
        <f>IF(S178=0,0,$AD$158*$AM$150)</f>
        <v>5846.4</v>
      </c>
      <c r="AF178">
        <f>IFERROR(AE178/$R$158,0)</f>
        <v>201.6</v>
      </c>
      <c r="AG178">
        <f>AE178*($F$22+IF($F$22=0,0,($C$14+$C$15+IF($C$13="single",1.5,3)+3)/12))</f>
        <v>62483.399999999994</v>
      </c>
      <c r="AH178">
        <f>AG178-X178</f>
        <v>-314744.52187499998</v>
      </c>
      <c r="AI178" cm="1">
        <f t="array" ref="AI178">IFERROR(IF(AH178&lt;0,0,AH178/($R$158-INDEX(hd_off,MATCH(AQ178,hd_mark,0),0)/12)),0)</f>
        <v>0</v>
      </c>
      <c r="AJ178">
        <f>MAX($F$22,$Z$158)/$Q$180</f>
        <v>0.30172413793103448</v>
      </c>
      <c r="AK178">
        <f t="shared" ref="AK178:AK181" si="125">IF(AJ178=0,0,IF(AJ178&gt;2,1.25-0.125*AJ178,1))</f>
        <v>1</v>
      </c>
      <c r="AL178" cm="1">
        <f t="array" ref="AL178">IFERROR(INDEX(sheath_ecap_asd,MATCH(AP178,sheath_mark,0),0)*AK178,0)</f>
        <v>239.85714285714286</v>
      </c>
      <c r="AM178" cm="1">
        <f t="array" ref="AM178">IFERROR(INDEX(sheath_wcap_asd,MATCH(AP178,sheath_mark,0),0)*AK178,0)</f>
        <v>335.8</v>
      </c>
      <c r="AN178" cm="1">
        <f t="array" ref="AN178">IFERROR(INDEX(hd_cap,MATCH(AQ178,hd_mark,0),0),0)</f>
        <v>0</v>
      </c>
      <c r="AP178" s="19">
        <v>21</v>
      </c>
      <c r="AQ178" s="19"/>
      <c r="AR178" s="100"/>
      <c r="AS178" s="93"/>
      <c r="AT178" s="109"/>
      <c r="AU178" t="str">
        <f>$Q$150</f>
        <v>L3</v>
      </c>
      <c r="AV178">
        <f>$E$22</f>
        <v>21.375</v>
      </c>
      <c r="AW178" cm="1">
        <f t="array" ref="AW178">IFERROR(IF(AV178=0,0,(INDEX($C$33:$C$38,MATCH($AZ$158,$B$33:$B$38,0),0)*(AV181+$BA$158)+$AW$158*COUNTIF(AV178:AV180,"&gt;0")*$C$32+$AY$158*$C$31)*$AU$158),0)</f>
        <v>26015.71875</v>
      </c>
      <c r="AX178">
        <f>IF(AV178=0,0,-(COUNTIF(AV178:AV180,"&gt;0")*$AW$158*$C$32+$AY$158*$C$31)*$H$27*$AU$158)</f>
        <v>-200.44799999999998</v>
      </c>
      <c r="AY178">
        <f>IF(AV178=0,0,$AY$158*$H$26*$AU$158)</f>
        <v>-1328.1999999999998</v>
      </c>
      <c r="AZ178">
        <f>(0.6*AW178+0.7*AX178)*$AU$158/2</f>
        <v>224302.20592500002</v>
      </c>
      <c r="BA178">
        <f>AW178*$AU$158/2</f>
        <v>377227.921875</v>
      </c>
      <c r="BC178">
        <f>IF(AV178=0,0,$BG$158*$AP$150)</f>
        <v>376.565</v>
      </c>
      <c r="BD178">
        <f>IFERROR(BC178/$AU$158,0)</f>
        <v>12.984999999999999</v>
      </c>
      <c r="BE178">
        <f>BC178*($F$22+IF($F$22=0,0,($C$14+$C$15+IF($C$13="single",1.5,3)+3)/12))</f>
        <v>4024.5384374999999</v>
      </c>
      <c r="BF178">
        <f>BE178-AZ178</f>
        <v>-220277.6674875</v>
      </c>
      <c r="BG178" cm="1">
        <f t="array" ref="BG178">IFERROR(IF(BF178&lt;0,0,BF178/($AU$158-INDEX(hd_off,MATCH(BT178,hd_mark,0),0)/12)),0)</f>
        <v>0</v>
      </c>
      <c r="BH178">
        <f>IF(AV178=0,0,$BG$158*$AM$150)</f>
        <v>5846.4</v>
      </c>
      <c r="BI178">
        <f>IFERROR(BH178/$AU$158,0)</f>
        <v>201.6</v>
      </c>
      <c r="BJ178">
        <f>BH178*($F$22+IF($F$22=0,0,($C$14+$C$15+IF($C$13="single",1.5,3)+3)/12))</f>
        <v>62483.399999999994</v>
      </c>
      <c r="BK178">
        <f>BJ178-BA178</f>
        <v>-314744.52187499998</v>
      </c>
      <c r="BL178" cm="1">
        <f t="array" ref="BL178">IFERROR(IF(BK178&lt;0,0,BK178/($AU$158-INDEX(hd_off,MATCH(BT178,hd_mark,0),0)/12)),0)</f>
        <v>0</v>
      </c>
      <c r="BM178">
        <f>MAX($F$22,$BC$158)/$Q$180</f>
        <v>0.30172413793103448</v>
      </c>
      <c r="BN178">
        <f t="shared" ref="BN178:BN181" si="126">IF(BM178=0,0,IF(BM178&gt;2,1.25-0.125*BM178,1))</f>
        <v>1</v>
      </c>
      <c r="BO178" cm="1">
        <f t="array" ref="BO178">IFERROR(INDEX(sheath_ecap_asd,MATCH(BS178,sheath_mark,0),0)*BN178,0)</f>
        <v>239.85714285714286</v>
      </c>
      <c r="BP178" cm="1">
        <f t="array" ref="BP178">IFERROR(INDEX(sheath_wcap_asd,MATCH(BS178,sheath_mark,0),0)*BN178,0)</f>
        <v>335.8</v>
      </c>
      <c r="BQ178" cm="1">
        <f t="array" ref="BQ178">IFERROR(INDEX(hd_cap,MATCH(BT178,hd_mark,0),0),0)</f>
        <v>0</v>
      </c>
      <c r="BS178" s="19">
        <v>21</v>
      </c>
      <c r="BT178" s="19"/>
      <c r="BU178" s="100"/>
    </row>
    <row r="179" x14ac:dyDescent="0.25">
      <c r="B179" t="s">
        <v>459</v>
      </c>
      <c r="C179" s="19">
        <v>27</v>
      </c>
      <c r="D179" s="19">
        <v>41</v>
      </c>
      <c r="E179">
        <f t="shared" si="122"/>
        <v>68</v>
      </c>
      <c r="F179" t="s">
        <v>506</v>
      </c>
      <c r="H179">
        <v>10</v>
      </c>
      <c r="I179" s="19">
        <v>30</v>
      </c>
      <c r="J179" s="19">
        <v>0</v>
      </c>
      <c r="K179">
        <f t="shared" si="123"/>
        <v>30</v>
      </c>
      <c r="P179" s="93"/>
      <c r="Q179" s="109" t="s">
        <v>491</v>
      </c>
      <c r="R179" t="str">
        <f>$Q$151</f>
        <v>L4</v>
      </c>
      <c r="S179">
        <f>$E$23</f>
        <v>0</v>
      </c>
      <c r="T179" cm="1">
        <f t="array" ref="T179">IFERROR(IF(S179=0,0,(INDEX($C$33:$C$38,MATCH($W$158,$B$33:$B$38,0),0)*(S181+$X$158)+$T$158*COUNTIF(S179:S180,"&gt;0")*$C$32+$V$158*$C$31)*$R$158),0)</f>
        <v>0</v>
      </c>
      <c r="U179">
        <f>IF(S179=0,0,-(COUNTIF(S179:S180,"&gt;0")*$T$158*$C$32+$V$158*$C$31)*$H$27*$R$158)</f>
        <v>0</v>
      </c>
      <c r="V179">
        <f>IF(S179=0,0,$V$158*$H$26*$R$158)</f>
        <v>0</v>
      </c>
      <c r="W179">
        <f t="shared" si="124"/>
        <v>0</v>
      </c>
      <c r="X179">
        <f>T179*$R$158/2</f>
        <v>0</v>
      </c>
      <c r="Z179">
        <f>IF(S179=0,0,$AD$158*$AP$151)</f>
        <v>0</v>
      </c>
      <c r="AA179">
        <f>IFERROR(Z179/$R$158,0)</f>
        <v>0</v>
      </c>
      <c r="AB179">
        <f>Z179*($F$23+IF($F$23=0,0,($C$14+$C$15+IF($C$13="single",1.5,3)+3)/12))</f>
        <v>0</v>
      </c>
      <c r="AC179">
        <f>AB179-W179</f>
        <v>0</v>
      </c>
      <c r="AD179" cm="1">
        <f t="array" ref="AD179">IFERROR(IF(AC179&lt;0,0,AC179/($R$158-INDEX(hd_off,MATCH(AQ179,hd_mark,0),0)/12)),0)</f>
        <v>0</v>
      </c>
      <c r="AE179">
        <f>IF(S179=0,0,$AD$158*$AM$151)</f>
        <v>0</v>
      </c>
      <c r="AF179">
        <f>IFERROR(AE179/$R$158,0)</f>
        <v>0</v>
      </c>
      <c r="AG179">
        <f>AE179*($F$23+IF($F$23=0,0,($C$14+$C$15+IF($C$13="single",1.5,3)+3)/12))</f>
        <v>0</v>
      </c>
      <c r="AH179">
        <f>AG179-X179</f>
        <v>0</v>
      </c>
      <c r="AI179" cm="1">
        <f t="array" ref="AI179">IFERROR(IF(AH179&lt;0,0,AH179/($R$158-INDEX(hd_off,MATCH(AQ179,hd_mark,0),0)/12)),0)</f>
        <v>0</v>
      </c>
      <c r="AJ179">
        <f>MAX($F$23,$AA$158)/$Q$180</f>
        <v>0</v>
      </c>
      <c r="AK179">
        <f t="shared" si="125"/>
        <v>0</v>
      </c>
      <c r="AL179" cm="1">
        <f t="array" ref="AL179">IFERROR(INDEX(sheath_ecap_asd,MATCH(AP179,sheath_mark,0),0)*AK179,0)</f>
        <v>0</v>
      </c>
      <c r="AM179" cm="1">
        <f t="array" ref="AM179">IFERROR(INDEX(sheath_wcap_asd,MATCH(AP179,sheath_mark,0),0)*AK179,0)</f>
        <v>0</v>
      </c>
      <c r="AN179" cm="1">
        <f t="array" ref="AN179">IFERROR(INDEX(hd_cap,MATCH(AQ179,hd_mark,0),0),0)</f>
        <v>0</v>
      </c>
      <c r="AP179" s="19"/>
      <c r="AQ179" s="19"/>
      <c r="AR179" s="100"/>
      <c r="AS179" s="93"/>
      <c r="AT179" s="109" t="s">
        <v>491</v>
      </c>
      <c r="AU179" t="str">
        <f>$Q$151</f>
        <v>L4</v>
      </c>
      <c r="AV179">
        <f>$E$23</f>
        <v>0</v>
      </c>
      <c r="AW179" cm="1">
        <f t="array" ref="AW179">IFERROR(IF(AV179=0,0,(INDEX($C$33:$C$38,MATCH($AZ$158,$B$33:$B$38,0),0)*(AV181+$BA$158)+$AW$158*COUNTIF(AV179:AV180,"&gt;0")*$C$32+$AY$158*$C$31)*$AU$158),0)</f>
        <v>0</v>
      </c>
      <c r="AX179">
        <f>IF(AV179=0,0,-(COUNTIF(AV179:AV180,"&gt;0")*$AW$158*$C$32+$AY$158*$C$31)*$H$27*$AU$158)</f>
        <v>0</v>
      </c>
      <c r="AY179">
        <f>IF(AV179=0,0,$AY$158*$H$26*$AU$158)</f>
        <v>0</v>
      </c>
      <c r="AZ179">
        <f>(0.6*AW179+0.7*AX179)*$AU$158/2</f>
        <v>0</v>
      </c>
      <c r="BA179">
        <f>AW179*$AU$158/2</f>
        <v>0</v>
      </c>
      <c r="BC179">
        <f>IF(AV179=0,0,$BG$158*$AP$151)</f>
        <v>0</v>
      </c>
      <c r="BD179">
        <f>IFERROR(BC179/$AU$158,0)</f>
        <v>0</v>
      </c>
      <c r="BE179">
        <f>BC179*($F$23+IF($F$23=0,0,($C$14+$C$15+IF($C$13="single",1.5,3)+3)/12))</f>
        <v>0</v>
      </c>
      <c r="BF179">
        <f>BE179-AZ179</f>
        <v>0</v>
      </c>
      <c r="BG179" cm="1">
        <f t="array" ref="BG179">IFERROR(IF(BF179&lt;0,0,BF179/($AU$158-INDEX(hd_off,MATCH(BT179,hd_mark,0),0)/12)),0)</f>
        <v>0</v>
      </c>
      <c r="BH179">
        <f>IF(AV179=0,0,$BG$158*$AM$151)</f>
        <v>0</v>
      </c>
      <c r="BI179">
        <f>IFERROR(BH179/$AU$158,0)</f>
        <v>0</v>
      </c>
      <c r="BJ179">
        <f>BH179*($F$23+IF($F$23=0,0,($C$14+$C$15+IF($C$13="single",1.5,3)+3)/12))</f>
        <v>0</v>
      </c>
      <c r="BK179">
        <f>BJ179-BA179</f>
        <v>0</v>
      </c>
      <c r="BL179" cm="1">
        <f t="array" ref="BL179">IFERROR(IF(BK179&lt;0,0,BK179/($AU$158-INDEX(hd_off,MATCH(BT179,hd_mark,0),0)/12)),0)</f>
        <v>0</v>
      </c>
      <c r="BM179">
        <f>MAX($F$23,$BD$158)/$Q$180</f>
        <v>0</v>
      </c>
      <c r="BN179">
        <f t="shared" si="126"/>
        <v>0</v>
      </c>
      <c r="BO179" cm="1">
        <f t="array" ref="BO179">IFERROR(INDEX(sheath_ecap_asd,MATCH(BS179,sheath_mark,0),0)*BN179,0)</f>
        <v>0</v>
      </c>
      <c r="BP179" cm="1">
        <f t="array" ref="BP179">IFERROR(INDEX(sheath_wcap_asd,MATCH(BS179,sheath_mark,0),0)*BN179,0)</f>
        <v>0</v>
      </c>
      <c r="BQ179" cm="1">
        <f t="array" ref="BQ179">IFERROR(INDEX(hd_cap,MATCH(BT179,hd_mark,0),0),0)</f>
        <v>0</v>
      </c>
      <c r="BS179" s="19"/>
      <c r="BT179" s="19"/>
      <c r="BU179" s="100"/>
    </row>
    <row r="180" x14ac:dyDescent="0.25">
      <c r="B180" t="s">
        <v>171</v>
      </c>
      <c r="C180" s="19">
        <v>0</v>
      </c>
      <c r="D180" s="19">
        <v>29</v>
      </c>
      <c r="E180">
        <f t="shared" si="122"/>
        <v>29</v>
      </c>
      <c r="H180">
        <v>11</v>
      </c>
      <c r="I180" s="19">
        <v>0</v>
      </c>
      <c r="J180" s="19">
        <v>27</v>
      </c>
      <c r="K180">
        <f t="shared" si="123"/>
        <v>27</v>
      </c>
      <c r="P180" s="93"/>
      <c r="Q180" s="111">
        <f>$R$158</f>
        <v>29</v>
      </c>
      <c r="R180" t="str">
        <f>$Q$152</f>
        <v>L5</v>
      </c>
      <c r="S180">
        <f>$E$24</f>
        <v>0</v>
      </c>
      <c r="T180" cm="1">
        <f t="array" ref="T180">IFERROR(IF(S180=0,0,(INDEX($C$33:$C$38,MATCH($W$158,$B$33:$B$38,0),0)*(S181+$X$158)+$T$158*COUNTIF(S180:S180,"&gt;0")*$C$32+$V$158*$C$31)*$R$158),0)</f>
        <v>0</v>
      </c>
      <c r="U180">
        <f>IF(S180=0,0,-(COUNTIF(S180:S180,"&gt;0")*$T$158*$C$32+$V$158*$C$31)*$H$27*$R$158)</f>
        <v>0</v>
      </c>
      <c r="V180">
        <f>IF(S180=0,0,$V$158*$H$26*$R$158)</f>
        <v>0</v>
      </c>
      <c r="W180">
        <f t="shared" si="124"/>
        <v>0</v>
      </c>
      <c r="X180">
        <f>T180*$R$158/2</f>
        <v>0</v>
      </c>
      <c r="Z180">
        <f>IF(S180=0,0,$AD$158*$AP$152)</f>
        <v>0</v>
      </c>
      <c r="AA180">
        <f>IFERROR(Z180/$R$158,0)</f>
        <v>0</v>
      </c>
      <c r="AB180">
        <f>Z180*($F$24+IF($F$24=0,0,($C$14+$C$15+IF($C$13="single",1.5,3)+3)/12))</f>
        <v>0</v>
      </c>
      <c r="AC180">
        <f>AB180-W180</f>
        <v>0</v>
      </c>
      <c r="AD180" cm="1">
        <f t="array" ref="AD180">IFERROR(IF(AC180&lt;0,0,AC180/($R$158-INDEX(hd_off,MATCH(AQ180,hd_mark,0),0)/12)),0)</f>
        <v>0</v>
      </c>
      <c r="AE180">
        <f>IF(S180=0,0,$AD$158*$AM$152)</f>
        <v>0</v>
      </c>
      <c r="AF180">
        <f>IFERROR(AE180/$R$158,0)</f>
        <v>0</v>
      </c>
      <c r="AG180">
        <f>AE180*($F$24+IF($F$24=0,0,($C$14+$C$15+IF($C$13="single",1.5,3)+3)/12))</f>
        <v>0</v>
      </c>
      <c r="AH180">
        <f>AG180-X180</f>
        <v>0</v>
      </c>
      <c r="AI180" cm="1">
        <f t="array" ref="AI180">IFERROR(IF(AH180&lt;0,0,AH180/($R$158-INDEX(hd_off,MATCH(AQ180,hd_mark,0),0)/12)),0)</f>
        <v>0</v>
      </c>
      <c r="AJ180">
        <f>MAX($F$24,$AB$158)/$Q$180</f>
        <v>0</v>
      </c>
      <c r="AK180">
        <f t="shared" si="125"/>
        <v>0</v>
      </c>
      <c r="AL180" cm="1">
        <f t="array" ref="AL180">IFERROR(INDEX(sheath_ecap_asd,MATCH(AP180,sheath_mark,0),0)*AK180,0)</f>
        <v>0</v>
      </c>
      <c r="AM180" cm="1">
        <f t="array" ref="AM180">IFERROR(INDEX(sheath_wcap_asd,MATCH(AP180,sheath_mark,0),0)*AK180,0)</f>
        <v>0</v>
      </c>
      <c r="AN180" cm="1">
        <f t="array" ref="AN180">IFERROR(INDEX(hd_cap,MATCH(AQ180,hd_mark,0),0),0)</f>
        <v>0</v>
      </c>
      <c r="AP180" s="19"/>
      <c r="AQ180" s="19"/>
      <c r="AR180" s="100"/>
      <c r="AS180" s="93"/>
      <c r="AT180" s="111">
        <f>$R$158</f>
        <v>29</v>
      </c>
      <c r="AU180" t="str">
        <f>$Q$152</f>
        <v>L5</v>
      </c>
      <c r="AV180">
        <f>$E$24</f>
        <v>0</v>
      </c>
      <c r="AW180" cm="1">
        <f t="array" ref="AW180">IFERROR(IF(AV180=0,0,(INDEX($C$33:$C$38,MATCH($AZ$158,$B$33:$B$38,0),0)*(AV181+$BA$158)+$AW$158*COUNTIF(AV180:AV180,"&gt;0")*$C$32+$AY$158*$C$31)*$AU$158),0)</f>
        <v>0</v>
      </c>
      <c r="AX180">
        <f>IF(AV180=0,0,-(COUNTIF(AV180:AV180,"&gt;0")*$AW$158*$C$32+$AY$158*$C$31)*$H$27*$AU$158)</f>
        <v>0</v>
      </c>
      <c r="AY180">
        <f>IF(AV180=0,0,$AY$158*$H$26*$AU$158)</f>
        <v>0</v>
      </c>
      <c r="AZ180">
        <f>(0.6*AW180+0.7*AX180)*$AU$158/2</f>
        <v>0</v>
      </c>
      <c r="BA180">
        <f>AW180*$AU$158/2</f>
        <v>0</v>
      </c>
      <c r="BC180">
        <f>IF(AV180=0,0,$BG$158*$AP$152)</f>
        <v>0</v>
      </c>
      <c r="BD180">
        <f>IFERROR(BC180/$AU$158,0)</f>
        <v>0</v>
      </c>
      <c r="BE180">
        <f>BC180*($F$24+IF($F$24=0,0,($C$14+$C$15+IF($C$13="single",1.5,3)+3)/12))</f>
        <v>0</v>
      </c>
      <c r="BF180">
        <f>BE180-AZ180</f>
        <v>0</v>
      </c>
      <c r="BG180" cm="1">
        <f t="array" ref="BG180">IFERROR(IF(BF180&lt;0,0,BF180/($AU$158-INDEX(hd_off,MATCH(BT180,hd_mark,0),0)/12)),0)</f>
        <v>0</v>
      </c>
      <c r="BH180">
        <f>IF(AV180=0,0,$BG$158*$AM$152)</f>
        <v>0</v>
      </c>
      <c r="BI180">
        <f>IFERROR(BH180/$AU$158,0)</f>
        <v>0</v>
      </c>
      <c r="BJ180">
        <f>BH180*($F$24+IF($F$24=0,0,($C$14+$C$15+IF($C$13="single",1.5,3)+3)/12))</f>
        <v>0</v>
      </c>
      <c r="BK180">
        <f>BJ180-BA180</f>
        <v>0</v>
      </c>
      <c r="BL180" cm="1">
        <f t="array" ref="BL180">IFERROR(IF(BK180&lt;0,0,BK180/($AU$158-INDEX(hd_off,MATCH(BT180,hd_mark,0),0)/12)),0)</f>
        <v>0</v>
      </c>
      <c r="BM180">
        <f>MAX($F$24,$BE$158)/$Q$180</f>
        <v>0</v>
      </c>
      <c r="BN180">
        <f t="shared" si="126"/>
        <v>0</v>
      </c>
      <c r="BO180" cm="1">
        <f t="array" ref="BO180">IFERROR(INDEX(sheath_ecap_asd,MATCH(BS180,sheath_mark,0),0)*BN180,0)</f>
        <v>0</v>
      </c>
      <c r="BP180" cm="1">
        <f t="array" ref="BP180">IFERROR(INDEX(sheath_wcap_asd,MATCH(BS180,sheath_mark,0),0)*BN180,0)</f>
        <v>0</v>
      </c>
      <c r="BQ180" cm="1">
        <f t="array" ref="BQ180">IFERROR(INDEX(hd_cap,MATCH(BT180,hd_mark,0),0),0)</f>
        <v>0</v>
      </c>
      <c r="BS180" s="19"/>
      <c r="BT180" s="19"/>
      <c r="BU180" s="100"/>
    </row>
    <row r="181" x14ac:dyDescent="0.25">
      <c r="B181" t="s">
        <v>460</v>
      </c>
      <c r="C181" s="19">
        <v>29</v>
      </c>
      <c r="D181" s="19">
        <v>6</v>
      </c>
      <c r="E181">
        <f t="shared" si="122"/>
        <v>35</v>
      </c>
      <c r="H181">
        <v>12</v>
      </c>
      <c r="I181" s="19">
        <v>27</v>
      </c>
      <c r="J181" s="19">
        <v>14</v>
      </c>
      <c r="K181">
        <f t="shared" si="123"/>
        <v>41</v>
      </c>
      <c r="P181" s="93"/>
      <c r="Q181" s="109"/>
      <c r="R181" t="str">
        <f>$Q$153</f>
        <v>Roof</v>
      </c>
      <c r="S181">
        <f>$E$25</f>
        <v>33.171875</v>
      </c>
      <c r="T181" cm="1">
        <f t="array" ref="T181">IFERROR(IF(S181=0,0,(INDEX($C$33:$C$38,MATCH($W$158,$B$33:$B$38,0),0)*(S181+$X$158)+$V$158*$C$31)*$R$158),0)</f>
        <v>21491.71875</v>
      </c>
      <c r="U181">
        <f>IF(S181=0,0,-$V$158*$C$31*$H$27*$R$158)</f>
        <v>-37.583999999999996</v>
      </c>
      <c r="V181">
        <f>IF(S181=0,0,$V$158*$H$26*$R$158)</f>
        <v>-1328.1999999999998</v>
      </c>
      <c r="W181">
        <f>(0.6*T181+0.7*U181)*$R$158/2</f>
        <v>186596.47552499999</v>
      </c>
      <c r="X181">
        <f>T181*$R$158/2</f>
        <v>311629.921875</v>
      </c>
      <c r="Z181">
        <f>IF(S181=0,0,$AD$158*$AP$153)</f>
        <v>191.83499999999995</v>
      </c>
      <c r="AA181">
        <f>IFERROR(Z181/$R$158,0)</f>
        <v>6.6149999999999984</v>
      </c>
      <c r="AB181">
        <f>Z181*($F$25+($C$16+$C$17+IF($C$13="single",1.5,3)+3)/12)</f>
        <v>2263.0535156249989</v>
      </c>
      <c r="AC181">
        <f>AB181-W181</f>
        <v>-184333.42200937498</v>
      </c>
      <c r="AD181" cm="1">
        <f t="array" ref="AD181">IFERROR(IF(AC181&lt;0,0,AC181/($R$158-INDEX(hd_off,MATCH(AQ181,hd_mark,0),0)/12)),0)</f>
        <v>0</v>
      </c>
      <c r="AE181">
        <f>IF(S181=0,0,$AD$158*$AM$153)</f>
        <v>3854.1</v>
      </c>
      <c r="AF181">
        <f>IFERROR(AE181/$R$158,0)</f>
        <v>132.9</v>
      </c>
      <c r="AG181">
        <f>AE181*($F$25+($C$16+$C$17+IF($C$13="single",1.5,3)+3)/12)</f>
        <v>45466.335937499993</v>
      </c>
      <c r="AH181">
        <f>AG181-X181</f>
        <v>-266163.5859375</v>
      </c>
      <c r="AI181" cm="1">
        <f t="array" ref="AI181">IFERROR(IF(AH181&lt;0,0,AH181/($R$158-INDEX(hd_off,MATCH(AQ181,hd_mark,0),0)/12)),0)</f>
        <v>0</v>
      </c>
      <c r="AJ181">
        <f>MAX($F$25,$AC$158)/$Q$180</f>
        <v>0.29920977011494249</v>
      </c>
      <c r="AK181">
        <f t="shared" si="125"/>
        <v>1</v>
      </c>
      <c r="AL181" cm="1">
        <f t="array" ref="AL181">IFERROR(INDEX(sheath_ecap_asd,MATCH(AP181,sheath_mark,0),0)*AK181,0)</f>
        <v>95.285714285714306</v>
      </c>
      <c r="AM181" cm="1">
        <f t="array" ref="AM181">IFERROR(INDEX(sheath_wcap_asd,MATCH(AP181,sheath_mark,0),0)*AK181,0)</f>
        <v>133.4</v>
      </c>
      <c r="AN181" cm="1">
        <f t="array" ref="AN181">IFERROR(INDEX(hd_cap,MATCH(AQ181,hd_mark,0),0),0)</f>
        <v>0</v>
      </c>
      <c r="AP181" s="19">
        <v>11</v>
      </c>
      <c r="AQ181" s="19"/>
      <c r="AR181" s="100"/>
      <c r="AS181" s="93"/>
      <c r="AT181" s="109"/>
      <c r="AU181" t="str">
        <f>$Q$153</f>
        <v>Roof</v>
      </c>
      <c r="AV181">
        <f>$E$25</f>
        <v>33.171875</v>
      </c>
      <c r="AW181" cm="1">
        <f t="array" ref="AW181">IFERROR(IF(AV181=0,0,(INDEX($C$33:$C$38,MATCH($AZ$158,$B$33:$B$38,0),0)*(AV181+$BA$158)+$AY$158*$C$31)*$AU$158),0)</f>
        <v>21491.71875</v>
      </c>
      <c r="AX181">
        <f>IF(AV181=0,0,-$AY$158*$C$31*$H$27*$AU$158)</f>
        <v>-37.583999999999996</v>
      </c>
      <c r="AY181">
        <f>IF(AV181=0,0,$AY$158*$H$26*$AU$158)</f>
        <v>-1328.1999999999998</v>
      </c>
      <c r="AZ181">
        <f>(0.6*AW181+0.7*AX181)*$AU$158/2</f>
        <v>186596.47552499999</v>
      </c>
      <c r="BA181">
        <f>AW181*$AU$158/2</f>
        <v>311629.921875</v>
      </c>
      <c r="BC181">
        <f>IF(AV181=0,0,$BG$158*$AP$153)</f>
        <v>191.83499999999995</v>
      </c>
      <c r="BD181">
        <f>IFERROR(BC181/$AU$158,0)</f>
        <v>6.6149999999999984</v>
      </c>
      <c r="BE181">
        <f>BC181*($F$25+($C$16+$C$17+IF($C$13="single",1.5,3)+3)/12)</f>
        <v>2263.0535156249989</v>
      </c>
      <c r="BF181">
        <f>BE181-AZ181</f>
        <v>-184333.42200937498</v>
      </c>
      <c r="BG181" cm="1">
        <f t="array" ref="BG181">IFERROR(IF(BF181&lt;0,0,BF181/($AU$158-INDEX(hd_off,MATCH(BT181,hd_mark,0),0)/12)),0)</f>
        <v>0</v>
      </c>
      <c r="BH181">
        <f>IF(AV181=0,0,$BG$158*$AM$153)</f>
        <v>3854.1</v>
      </c>
      <c r="BI181">
        <f>IFERROR(BH181/$AU$158,0)</f>
        <v>132.9</v>
      </c>
      <c r="BJ181">
        <f>BH181*($F$25+($C$16+$C$17+IF($C$13="single",1.5,3)+3)/12)</f>
        <v>45466.335937499993</v>
      </c>
      <c r="BK181">
        <f>BJ181-BA181</f>
        <v>-266163.5859375</v>
      </c>
      <c r="BL181" cm="1">
        <f t="array" ref="BL181">IFERROR(IF(BK181&lt;0,0,BK181/($AU$158-INDEX(hd_off,MATCH(BT181,hd_mark,0),0)/12)),0)</f>
        <v>0</v>
      </c>
      <c r="BM181">
        <f>MAX($F$25,$BF$158)/$Q$180</f>
        <v>0.29920977011494249</v>
      </c>
      <c r="BN181">
        <f t="shared" si="126"/>
        <v>1</v>
      </c>
      <c r="BO181" cm="1">
        <f t="array" ref="BO181">IFERROR(INDEX(sheath_ecap_asd,MATCH(BS181,sheath_mark,0),0)*BN181,0)</f>
        <v>95.285714285714306</v>
      </c>
      <c r="BP181" cm="1">
        <f t="array" ref="BP181">IFERROR(INDEX(sheath_wcap_asd,MATCH(BS181,sheath_mark,0),0)*BN181,0)</f>
        <v>133.4</v>
      </c>
      <c r="BQ181" cm="1">
        <f t="array" ref="BQ181">IFERROR(INDEX(hd_cap,MATCH(BT181,hd_mark,0),0),0)</f>
        <v>0</v>
      </c>
      <c r="BS181" s="19">
        <v>11</v>
      </c>
      <c r="BT181" s="19"/>
      <c r="BU181" s="100"/>
    </row>
    <row r="182" x14ac:dyDescent="0.25">
      <c r="B182" t="s">
        <v>461</v>
      </c>
      <c r="C182" s="19">
        <v>6</v>
      </c>
      <c r="D182" s="19">
        <v>29</v>
      </c>
      <c r="E182">
        <f t="shared" si="122"/>
        <v>35</v>
      </c>
      <c r="H182">
        <v>13</v>
      </c>
      <c r="I182" s="19">
        <v>14</v>
      </c>
      <c r="J182" s="19">
        <v>12</v>
      </c>
      <c r="K182">
        <f t="shared" si="123"/>
        <v>26</v>
      </c>
      <c r="P182" s="93"/>
      <c r="Q182" s="109"/>
      <c r="AR182" s="100"/>
      <c r="AS182" s="93"/>
      <c r="AT182" s="109"/>
      <c r="BU182" s="100"/>
    </row>
    <row r="183" x14ac:dyDescent="0.25">
      <c r="B183" t="s">
        <v>462</v>
      </c>
      <c r="C183" s="19">
        <v>29</v>
      </c>
      <c r="D183" s="19">
        <v>0</v>
      </c>
      <c r="E183">
        <f t="shared" si="122"/>
        <v>29</v>
      </c>
      <c r="H183">
        <v>14</v>
      </c>
      <c r="I183" s="19">
        <v>12</v>
      </c>
      <c r="J183" s="19">
        <v>27</v>
      </c>
      <c r="K183">
        <f t="shared" si="123"/>
        <v>39</v>
      </c>
      <c r="P183" s="93"/>
      <c r="Q183" s="110" t="str">
        <f>$Q$159</f>
        <v>A.02</v>
      </c>
      <c r="R183" t="str">
        <f>$Q$149</f>
        <v>L2</v>
      </c>
      <c r="S183">
        <f>$E$21</f>
        <v>10.6875</v>
      </c>
      <c r="T183" cm="1">
        <f t="array" ref="T183">IFERROR(IF(S183=0,0,(INDEX($C$33:$C$38,MATCH($W$159,$B$33:$B$38,0),0)*(S187+$X$159)+$T$159*COUNTIF(S183:S186,"&gt;0")*$C$32+$V$159*$C$31)*$R$159),0)</f>
        <v>0</v>
      </c>
      <c r="U183">
        <f>IF(S183=0,0,-(COUNTIF(S183:S186,"&gt;0")*$T$159*$C$32+$V$159*$C$31)*$H$27*$R$159)</f>
        <v>0</v>
      </c>
      <c r="V183">
        <f>IF(S183=0,0,$V$159*$H$26*$R$159)</f>
        <v>0</v>
      </c>
      <c r="W183">
        <f>(0.6*T183+0.7*U183)*$R$159/2</f>
        <v>0</v>
      </c>
      <c r="X183">
        <f>(0.6*T183+0.6*V183)*$R$159/2</f>
        <v>0</v>
      </c>
      <c r="Z183">
        <f>IF(S183=0,0,$AD$159*$AP$149)</f>
        <v>0</v>
      </c>
      <c r="AA183">
        <f>IFERROR(Z183/$R$159,0)</f>
        <v>0</v>
      </c>
      <c r="AB183">
        <f>Z183*($F$21+IF($F$21=0,0,($C$14+$C$15+IF($C$13="single",1.5,3)+3)/12))</f>
        <v>0</v>
      </c>
      <c r="AC183">
        <f>AB183-W183</f>
        <v>0</v>
      </c>
      <c r="AD183" cm="1">
        <f t="array" ref="AD183">IFERROR(IF(AC183&lt;0,0,AC183/($R$159-INDEX(hd_off,MATCH(AQ183,hd_mark,0),0)/12)),0)</f>
        <v>0</v>
      </c>
      <c r="AE183">
        <f>IF(S183=0,0,$AD$159*$AM$149)</f>
        <v>0</v>
      </c>
      <c r="AF183">
        <f>IFERROR(AE183/$R$159,0)</f>
        <v>0</v>
      </c>
      <c r="AG183">
        <f>AE183*($F$21+IF($F$21=0,0,($C$14+$C$15+IF($C$13="single",1.5,3)+3)/12))</f>
        <v>0</v>
      </c>
      <c r="AH183">
        <f>AG183-X183</f>
        <v>0</v>
      </c>
      <c r="AI183" cm="1">
        <f t="array" ref="AI183">IFERROR(IF(AH183&lt;0,0,AH183/($R$159-INDEX(hd_off,MATCH(AQ183,hd_mark,0),0)/12)),0)</f>
        <v>0</v>
      </c>
      <c r="AJ183">
        <f>MAX($F$21,$Y$159)/$Q$180</f>
        <v>0.30172413793103448</v>
      </c>
      <c r="AK183">
        <f>IF(AJ183=0,0,IF(AJ183&gt;2,1.25-0.125*AJ183,1))</f>
        <v>1</v>
      </c>
      <c r="AL183" cm="1">
        <f t="array" ref="AL183">IFERROR(INDEX(sheath_ecap_asd,MATCH(AP183,sheath_mark,0),0)*AK183,0)</f>
        <v>0</v>
      </c>
      <c r="AM183" cm="1">
        <f t="array" ref="AM183">IFERROR(INDEX(sheath_wcap_asd,MATCH(AP183,sheath_mark,0),0)*AK183,0)</f>
        <v>0</v>
      </c>
      <c r="AN183" cm="1">
        <f t="array" ref="AN183">IFERROR(INDEX(hd_cap,MATCH(AQ183,hd_mark,0),0),0)</f>
        <v>0</v>
      </c>
      <c r="AP183" s="19"/>
      <c r="AQ183" s="19"/>
      <c r="AR183" s="100"/>
      <c r="AS183" s="93"/>
      <c r="AT183" s="110" t="str">
        <f>$AT$159</f>
        <v>1.02</v>
      </c>
      <c r="AU183" t="str">
        <f>$Q$149</f>
        <v>L2</v>
      </c>
      <c r="AV183">
        <f>$E$21</f>
        <v>10.6875</v>
      </c>
      <c r="AW183" cm="1">
        <f t="array" ref="AW183">IFERROR(IF(AV183=0,0,(INDEX($C$33:$C$38,MATCH($AZ$159,$B$33:$B$38,0),0)*(AV187+$BA$159)+$AW$159*COUNTIF(AV183:AV186,"&gt;0")*$C$32+$AY$159*$C$31)*$AU$159),0)</f>
        <v>0</v>
      </c>
      <c r="AX183">
        <f>IF(AV183=0,0,-(COUNTIF(AV183:AV186,"&gt;0")*$AW$159*$C$32+$AY$159*$C$31)*$H$27*$AU$159)</f>
        <v>0</v>
      </c>
      <c r="AY183">
        <f>IF(AV183=0,0,$AY$159*$H$26*$AU$159)</f>
        <v>0</v>
      </c>
      <c r="AZ183">
        <f>(0.6*AW183+0.7*AX183)*$AU$159/2</f>
        <v>0</v>
      </c>
      <c r="BA183">
        <f>(0.6*AW183+0.6*AY183)*$AU$159/2</f>
        <v>0</v>
      </c>
      <c r="BC183">
        <f>IF(AV183=0,0,$BG$159*$AP$149)</f>
        <v>0</v>
      </c>
      <c r="BD183">
        <f>IFERROR(BC183/$AU$159,0)</f>
        <v>0</v>
      </c>
      <c r="BE183">
        <f>BC183*($F$21+IF($F$21=0,0,($C$14+$C$15+IF($C$13="single",1.5,3)+3)/12))</f>
        <v>0</v>
      </c>
      <c r="BF183">
        <f>BE183-AZ183</f>
        <v>0</v>
      </c>
      <c r="BG183" cm="1">
        <f t="array" ref="BG183">IFERROR(IF(BF183&lt;0,0,BF183/($AU$159-INDEX(hd_off,MATCH(BT183,hd_mark,0),0)/12)),0)</f>
        <v>0</v>
      </c>
      <c r="BH183">
        <f>IF(AV183=0,0,$BG$159*$AM$149)</f>
        <v>0</v>
      </c>
      <c r="BI183">
        <f>IFERROR(BH183/$AU$159,0)</f>
        <v>0</v>
      </c>
      <c r="BJ183">
        <f>BH183*($F$21+IF($F$21=0,0,($C$14+$C$15+IF($C$13="single",1.5,3)+3)/12))</f>
        <v>0</v>
      </c>
      <c r="BK183">
        <f>BJ183-BA183</f>
        <v>0</v>
      </c>
      <c r="BL183" cm="1">
        <f t="array" ref="BL183">IFERROR(IF(BK183&lt;0,0,BK183/($AU$159-INDEX(hd_off,MATCH(BT183,hd_mark,0),0)/12)),0)</f>
        <v>0</v>
      </c>
      <c r="BM183">
        <f>MAX($F$21,$BB$159)/$Q$180</f>
        <v>0.30172413793103448</v>
      </c>
      <c r="BN183">
        <f>IF(BM183=0,0,IF(BM183&gt;2,1.25-0.125*BM183,1))</f>
        <v>1</v>
      </c>
      <c r="BO183" cm="1">
        <f t="array" ref="BO183">IFERROR(INDEX(sheath_ecap_asd,MATCH(BS183,sheath_mark,0),0)*BN183,0)</f>
        <v>0</v>
      </c>
      <c r="BP183" cm="1">
        <f t="array" ref="BP183">IFERROR(INDEX(sheath_wcap_asd,MATCH(BS183,sheath_mark,0),0)*BN183,0)</f>
        <v>0</v>
      </c>
      <c r="BQ183" cm="1">
        <f t="array" ref="BQ183">IFERROR(INDEX(hd_cap,MATCH(BT183,hd_mark,0),0),0)</f>
        <v>0</v>
      </c>
      <c r="BS183" s="19"/>
      <c r="BT183" s="19"/>
      <c r="BU183" s="100"/>
    </row>
    <row r="184" x14ac:dyDescent="0.25">
      <c r="B184" t="s">
        <v>463</v>
      </c>
      <c r="C184" s="19"/>
      <c r="D184" s="19"/>
      <c r="E184">
        <f t="shared" si="122"/>
        <v>0</v>
      </c>
      <c r="H184">
        <v>15</v>
      </c>
      <c r="I184" s="19">
        <v>27</v>
      </c>
      <c r="J184" s="19">
        <v>18</v>
      </c>
      <c r="K184">
        <f t="shared" si="123"/>
        <v>45</v>
      </c>
      <c r="P184" s="93"/>
      <c r="Q184" s="109"/>
      <c r="R184" t="str">
        <f>$Q$150</f>
        <v>L3</v>
      </c>
      <c r="S184">
        <f>$E$22</f>
        <v>21.375</v>
      </c>
      <c r="T184" cm="1">
        <f t="array" ref="T184">IFERROR(IF(S184=0,0,(INDEX($C$33:$C$38,MATCH($W$159,$B$33:$B$38,0),0)*(S187+$X$159)+$T$159*COUNTIF(S184:S186,"&gt;0")*$C$32+$V$159*$C$31)*$R$159),0)</f>
        <v>0</v>
      </c>
      <c r="U184">
        <f>IF(S184=0,0,-(COUNTIF(S184:S186,"&gt;0")*$T$159*$C$32+$V$159*$C$31)*$H$27*$R$159)</f>
        <v>0</v>
      </c>
      <c r="V184">
        <f>IF(S184=0,0,$V$159*$H$26*$R$159)</f>
        <v>0</v>
      </c>
      <c r="W184">
        <f>(0.6*T184+0.7*U184)*$R$159/2</f>
        <v>0</v>
      </c>
      <c r="X184">
        <f>T184*$R$159/2</f>
        <v>0</v>
      </c>
      <c r="Z184">
        <f>IF(S184=0,0,$AD$159*$AP$150)</f>
        <v>0</v>
      </c>
      <c r="AA184">
        <f>IFERROR(Z184/$R$159,0)</f>
        <v>0</v>
      </c>
      <c r="AB184">
        <f>Z184*($F$22+IF($F$22=0,0,($C$14+$C$15+IF($C$13="single",1.5,3)+3)/12))</f>
        <v>0</v>
      </c>
      <c r="AC184">
        <f>AB184-W184</f>
        <v>0</v>
      </c>
      <c r="AD184" cm="1">
        <f t="array" ref="AD184">IFERROR(IF(AC184&lt;0,0,AC184/($R$159-INDEX(hd_off,MATCH(AQ184,hd_mark,0),0)/12)),0)</f>
        <v>0</v>
      </c>
      <c r="AE184">
        <f>IF(S184=0,0,$AD$159*$AM$150)</f>
        <v>0</v>
      </c>
      <c r="AF184">
        <f>IFERROR(AE184/$R$159,0)</f>
        <v>0</v>
      </c>
      <c r="AG184">
        <f>AE184*($F$22+IF($F$22=0,0,($C$14+$C$15+IF($C$13="single",1.5,3)+3)/12))</f>
        <v>0</v>
      </c>
      <c r="AH184">
        <f>AG184-X184</f>
        <v>0</v>
      </c>
      <c r="AI184" cm="1">
        <f t="array" ref="AI184">IFERROR(IF(AH184&lt;0,0,AH184/($R$159-INDEX(hd_off,MATCH(AQ184,hd_mark,0),0)/12)),0)</f>
        <v>0</v>
      </c>
      <c r="AJ184">
        <f>MAX($F$22,$Z$159)/$Q$180</f>
        <v>0.30172413793103448</v>
      </c>
      <c r="AK184">
        <f t="shared" ref="AK184:AK187" si="127">IF(AJ184=0,0,IF(AJ184&gt;2,1.25-0.125*AJ184,1))</f>
        <v>1</v>
      </c>
      <c r="AL184" cm="1">
        <f t="array" ref="AL184">IFERROR(INDEX(sheath_ecap_asd,MATCH(AP184,sheath_mark,0),0)*AK184,0)</f>
        <v>0</v>
      </c>
      <c r="AM184" cm="1">
        <f t="array" ref="AM184">IFERROR(INDEX(sheath_wcap_asd,MATCH(AP184,sheath_mark,0),0)*AK184,0)</f>
        <v>0</v>
      </c>
      <c r="AN184" cm="1">
        <f t="array" ref="AN184">IFERROR(INDEX(hd_cap,MATCH(AQ184,hd_mark,0),0),0)</f>
        <v>0</v>
      </c>
      <c r="AP184" s="19"/>
      <c r="AQ184" s="19"/>
      <c r="AR184" s="100"/>
      <c r="AS184" s="93"/>
      <c r="AT184" s="109"/>
      <c r="AU184" t="str">
        <f>$Q$150</f>
        <v>L3</v>
      </c>
      <c r="AV184">
        <f>$E$22</f>
        <v>21.375</v>
      </c>
      <c r="AW184" cm="1">
        <f t="array" ref="AW184">IFERROR(IF(AV184=0,0,(INDEX($C$33:$C$38,MATCH($AZ$159,$B$33:$B$38,0),0)*(AV187+$BA$159)+$AW$159*COUNTIF(AV184:AV186,"&gt;0")*$C$32+$AY$159*$C$31)*$AU$159),0)</f>
        <v>0</v>
      </c>
      <c r="AX184">
        <f>IF(AV184=0,0,-(COUNTIF(AV184:AV186,"&gt;0")*$AW$159*$C$32+$AY$159*$C$31)*$H$27*$AU$159)</f>
        <v>0</v>
      </c>
      <c r="AY184">
        <f>IF(AV184=0,0,$AY$159*$H$26*$AU$159)</f>
        <v>0</v>
      </c>
      <c r="AZ184">
        <f>(0.6*AW184+0.7*AX184)*$AU$159/2</f>
        <v>0</v>
      </c>
      <c r="BA184">
        <f>AW184*$AU$159/2</f>
        <v>0</v>
      </c>
      <c r="BC184">
        <f>IF(AV184=0,0,$BG$159*$AP$150)</f>
        <v>0</v>
      </c>
      <c r="BD184">
        <f>IFERROR(BC184/$AU$159,0)</f>
        <v>0</v>
      </c>
      <c r="BE184">
        <f>BC184*($F$22+IF($F$22=0,0,($C$14+$C$15+IF($C$13="single",1.5,3)+3)/12))</f>
        <v>0</v>
      </c>
      <c r="BF184">
        <f>BE184-AZ184</f>
        <v>0</v>
      </c>
      <c r="BG184" cm="1">
        <f t="array" ref="BG184">IFERROR(IF(BF184&lt;0,0,BF184/($AU$159-INDEX(hd_off,MATCH(BT184,hd_mark,0),0)/12)),0)</f>
        <v>0</v>
      </c>
      <c r="BH184">
        <f>IF(AV184=0,0,$BG$159*$AM$150)</f>
        <v>0</v>
      </c>
      <c r="BI184">
        <f>IFERROR(BH184/$AU$159,0)</f>
        <v>0</v>
      </c>
      <c r="BJ184">
        <f>BH184*($F$22+IF($F$22=0,0,($C$14+$C$15+IF($C$13="single",1.5,3)+3)/12))</f>
        <v>0</v>
      </c>
      <c r="BK184">
        <f>BJ184-BA184</f>
        <v>0</v>
      </c>
      <c r="BL184" cm="1">
        <f t="array" ref="BL184">IFERROR(IF(BK184&lt;0,0,BK184/($AU$159-INDEX(hd_off,MATCH(BT184,hd_mark,0),0)/12)),0)</f>
        <v>0</v>
      </c>
      <c r="BM184">
        <f>MAX($F$22,$BC$159)/$Q$180</f>
        <v>0.30172413793103448</v>
      </c>
      <c r="BN184">
        <f t="shared" ref="BN184:BN187" si="128">IF(BM184=0,0,IF(BM184&gt;2,1.25-0.125*BM184,1))</f>
        <v>1</v>
      </c>
      <c r="BO184" cm="1">
        <f t="array" ref="BO184">IFERROR(INDEX(sheath_ecap_asd,MATCH(BS184,sheath_mark,0),0)*BN184,0)</f>
        <v>0</v>
      </c>
      <c r="BP184" cm="1">
        <f t="array" ref="BP184">IFERROR(INDEX(sheath_wcap_asd,MATCH(BS184,sheath_mark,0),0)*BN184,0)</f>
        <v>0</v>
      </c>
      <c r="BQ184" cm="1">
        <f t="array" ref="BQ184">IFERROR(INDEX(hd_cap,MATCH(BT184,hd_mark,0),0),0)</f>
        <v>0</v>
      </c>
      <c r="BS184" s="19"/>
      <c r="BT184" s="19"/>
      <c r="BU184" s="100"/>
    </row>
    <row r="185" x14ac:dyDescent="0.25">
      <c r="B185" t="s">
        <v>464</v>
      </c>
      <c r="C185" s="19"/>
      <c r="D185" s="19"/>
      <c r="E185">
        <f t="shared" si="122"/>
        <v>0</v>
      </c>
      <c r="H185">
        <v>16</v>
      </c>
      <c r="I185" s="19"/>
      <c r="J185" s="19"/>
      <c r="K185">
        <f t="shared" si="123"/>
        <v>0</v>
      </c>
      <c r="P185" s="93"/>
      <c r="Q185" s="109" t="s">
        <v>491</v>
      </c>
      <c r="R185" t="str">
        <f>$Q$151</f>
        <v>L4</v>
      </c>
      <c r="S185">
        <f>$E$23</f>
        <v>0</v>
      </c>
      <c r="T185" cm="1">
        <f t="array" ref="T185">IFERROR(IF(S185=0,0,(INDEX($C$33:$C$38,MATCH($W$159,$B$33:$B$38,0),0)*(S187+$X$159)+$T$159*COUNTIF(S185:S186,"&gt;0")*$C$32+$V$159*$C$31)*$R$159),0)</f>
        <v>0</v>
      </c>
      <c r="U185">
        <f>IF(S185=0,0,-(COUNTIF(S185:S186,"&gt;0")*$T$159*$C$32+$V$159*$C$31)*$H$27*$R$159)</f>
        <v>0</v>
      </c>
      <c r="V185">
        <f>IF(S185=0,0,$V$159*$H$26*$R$159)</f>
        <v>0</v>
      </c>
      <c r="W185">
        <f>(0.6*T185+0.7*U185)*$R$159/2</f>
        <v>0</v>
      </c>
      <c r="X185">
        <f>T185*$R$159/2</f>
        <v>0</v>
      </c>
      <c r="Z185">
        <f>IF(S185=0,0,$AD$159*$AP$151)</f>
        <v>0</v>
      </c>
      <c r="AA185">
        <f>IFERROR(Z185/$R$159,0)</f>
        <v>0</v>
      </c>
      <c r="AB185">
        <f>Z185*($F$23+IF($F$23=0,0,($C$14+$C$15+IF($C$13="single",1.5,3)+3)/12))</f>
        <v>0</v>
      </c>
      <c r="AC185">
        <f>AB185-W185</f>
        <v>0</v>
      </c>
      <c r="AD185" cm="1">
        <f t="array" ref="AD185">IFERROR(IF(AC185&lt;0,0,AC185/($R$159-INDEX(hd_off,MATCH(AQ185,hd_mark,0),0)/12)),0)</f>
        <v>0</v>
      </c>
      <c r="AE185">
        <f>IF(S185=0,0,$AD$159*$AM$151)</f>
        <v>0</v>
      </c>
      <c r="AF185">
        <f>IFERROR(AE185/$R$159,0)</f>
        <v>0</v>
      </c>
      <c r="AG185">
        <f>AE185*($F$23+IF($F$23=0,0,($C$14+$C$15+IF($C$13="single",1.5,3)+3)/12))</f>
        <v>0</v>
      </c>
      <c r="AH185">
        <f>AG185-X185</f>
        <v>0</v>
      </c>
      <c r="AI185" cm="1">
        <f t="array" ref="AI185">IFERROR(IF(AH185&lt;0,0,AH185/($R$159-INDEX(hd_off,MATCH(AQ185,hd_mark,0),0)/12)),0)</f>
        <v>0</v>
      </c>
      <c r="AJ185">
        <f>MAX($F$23,$AA$159)/$Q$180</f>
        <v>0</v>
      </c>
      <c r="AK185">
        <f t="shared" si="127"/>
        <v>0</v>
      </c>
      <c r="AL185" cm="1">
        <f t="array" ref="AL185">IFERROR(INDEX(sheath_ecap_asd,MATCH(AP185,sheath_mark,0),0)*AK185,0)</f>
        <v>0</v>
      </c>
      <c r="AM185" cm="1">
        <f t="array" ref="AM185">IFERROR(INDEX(sheath_wcap_asd,MATCH(AP185,sheath_mark,0),0)*AK185,0)</f>
        <v>0</v>
      </c>
      <c r="AN185" cm="1">
        <f t="array" ref="AN185">IFERROR(INDEX(hd_cap,MATCH(AQ185,hd_mark,0),0),0)</f>
        <v>0</v>
      </c>
      <c r="AP185" s="19"/>
      <c r="AQ185" s="19"/>
      <c r="AR185" s="100"/>
      <c r="AS185" s="93"/>
      <c r="AT185" s="109" t="s">
        <v>491</v>
      </c>
      <c r="AU185" t="str">
        <f>$Q$151</f>
        <v>L4</v>
      </c>
      <c r="AV185">
        <f>$E$23</f>
        <v>0</v>
      </c>
      <c r="AW185" cm="1">
        <f t="array" ref="AW185">IFERROR(IF(AV185=0,0,(INDEX($C$33:$C$38,MATCH($AZ$159,$B$33:$B$38,0),0)*(AV187+$BA$159)+$AW$159*COUNTIF(AV185:AV186,"&gt;0")*$C$32+$AY$159*$C$31)*$AU$159),0)</f>
        <v>0</v>
      </c>
      <c r="AX185">
        <f>IF(AV185=0,0,-(COUNTIF(AV185:AV186,"&gt;0")*$AW$159*$C$32+$AY$159*$C$31)*$H$27*$AU$159)</f>
        <v>0</v>
      </c>
      <c r="AY185">
        <f>IF(AV185=0,0,$AY$159*$H$26*$AU$159)</f>
        <v>0</v>
      </c>
      <c r="AZ185">
        <f>(0.6*AW185+0.7*AX185)*$AU$159/2</f>
        <v>0</v>
      </c>
      <c r="BA185">
        <f>AW185*$AU$159/2</f>
        <v>0</v>
      </c>
      <c r="BC185">
        <f>IF(AV185=0,0,$BG$159*$AP$151)</f>
        <v>0</v>
      </c>
      <c r="BD185">
        <f>IFERROR(BC185/$AU$159,0)</f>
        <v>0</v>
      </c>
      <c r="BE185">
        <f>BC185*($F$23+IF($F$23=0,0,($C$14+$C$15+IF($C$13="single",1.5,3)+3)/12))</f>
        <v>0</v>
      </c>
      <c r="BF185">
        <f>BE185-AZ185</f>
        <v>0</v>
      </c>
      <c r="BG185" cm="1">
        <f t="array" ref="BG185">IFERROR(IF(BF185&lt;0,0,BF185/($AU$159-INDEX(hd_off,MATCH(BT185,hd_mark,0),0)/12)),0)</f>
        <v>0</v>
      </c>
      <c r="BH185">
        <f>IF(AV185=0,0,$BG$159*$AM$151)</f>
        <v>0</v>
      </c>
      <c r="BI185">
        <f>IFERROR(BH185/$AU$159,0)</f>
        <v>0</v>
      </c>
      <c r="BJ185">
        <f>BH185*($F$23+IF($F$23=0,0,($C$14+$C$15+IF($C$13="single",1.5,3)+3)/12))</f>
        <v>0</v>
      </c>
      <c r="BK185">
        <f>BJ185-BA185</f>
        <v>0</v>
      </c>
      <c r="BL185" cm="1">
        <f t="array" ref="BL185">IFERROR(IF(BK185&lt;0,0,BK185/($AU$159-INDEX(hd_off,MATCH(BT185,hd_mark,0),0)/12)),0)</f>
        <v>0</v>
      </c>
      <c r="BM185">
        <f>MAX($F$23,$BD$159)/$Q$180</f>
        <v>0</v>
      </c>
      <c r="BN185">
        <f t="shared" si="128"/>
        <v>0</v>
      </c>
      <c r="BO185" cm="1">
        <f t="array" ref="BO185">IFERROR(INDEX(sheath_ecap_asd,MATCH(BS185,sheath_mark,0),0)*BN185,0)</f>
        <v>0</v>
      </c>
      <c r="BP185" cm="1">
        <f t="array" ref="BP185">IFERROR(INDEX(sheath_wcap_asd,MATCH(BS185,sheath_mark,0),0)*BN185,0)</f>
        <v>0</v>
      </c>
      <c r="BQ185" cm="1">
        <f t="array" ref="BQ185">IFERROR(INDEX(hd_cap,MATCH(BT185,hd_mark,0),0),0)</f>
        <v>0</v>
      </c>
      <c r="BS185" s="19"/>
      <c r="BT185" s="19"/>
      <c r="BU185" s="100"/>
    </row>
    <row r="186" x14ac:dyDescent="0.25">
      <c r="B186" t="s">
        <v>465</v>
      </c>
      <c r="C186" s="19"/>
      <c r="D186" s="19"/>
      <c r="E186">
        <f t="shared" si="122"/>
        <v>0</v>
      </c>
      <c r="H186">
        <v>17</v>
      </c>
      <c r="I186" s="19"/>
      <c r="J186" s="19"/>
      <c r="K186">
        <f t="shared" si="123"/>
        <v>0</v>
      </c>
      <c r="P186" s="93"/>
      <c r="Q186" s="111">
        <f>$R$159</f>
        <v>0</v>
      </c>
      <c r="R186" t="str">
        <f>$Q$152</f>
        <v>L5</v>
      </c>
      <c r="S186">
        <f>$E$24</f>
        <v>0</v>
      </c>
      <c r="T186" cm="1">
        <f t="array" ref="T186">IFERROR(IF(S186=0,0,(INDEX($C$33:$C$38,MATCH($W$159,$B$33:$B$38,0),0)*(S187+$X$159)+$T$159*COUNTIF(S186:S186,"&gt;0")*$C$32+$V$159*$C$31)*$R$159),0)</f>
        <v>0</v>
      </c>
      <c r="U186">
        <f>IF(S186=0,0,-(COUNTIF(S186:S186,"&gt;0")*$T$159*$C$32+$V$159*$C$31)*$H$27*$R$159)</f>
        <v>0</v>
      </c>
      <c r="V186">
        <f>IF(S186=0,0,$V$159*$H$26*$R$159)</f>
        <v>0</v>
      </c>
      <c r="W186">
        <f>(0.6*T186+0.7*U186)*$R$159/2</f>
        <v>0</v>
      </c>
      <c r="X186">
        <f>T186*$R$159/2</f>
        <v>0</v>
      </c>
      <c r="Z186">
        <f>IF(S186=0,0,$AD$159*$AP$152)</f>
        <v>0</v>
      </c>
      <c r="AA186">
        <f>IFERROR(Z186/$R$159,0)</f>
        <v>0</v>
      </c>
      <c r="AB186">
        <f>Z186*($F$24+IF($F$24=0,0,($C$14+$C$15+IF($C$13="single",1.5,3)+3)/12))</f>
        <v>0</v>
      </c>
      <c r="AC186">
        <f>AB186-W186</f>
        <v>0</v>
      </c>
      <c r="AD186" cm="1">
        <f t="array" ref="AD186">IFERROR(IF(AC186&lt;0,0,AC186/($R$159-INDEX(hd_off,MATCH(AQ186,hd_mark,0),0)/12)),0)</f>
        <v>0</v>
      </c>
      <c r="AE186">
        <f>IF(S186=0,0,$AD$159*$AM$152)</f>
        <v>0</v>
      </c>
      <c r="AF186">
        <f>IFERROR(AE186/$R$159,0)</f>
        <v>0</v>
      </c>
      <c r="AG186">
        <f>AE186*($F$24+IF($F$24=0,0,($C$14+$C$15+IF($C$13="single",1.5,3)+3)/12))</f>
        <v>0</v>
      </c>
      <c r="AH186">
        <f>AG186-X186</f>
        <v>0</v>
      </c>
      <c r="AI186" cm="1">
        <f t="array" ref="AI186">IFERROR(IF(AH186&lt;0,0,AH186/($R$159-INDEX(hd_off,MATCH(AQ186,hd_mark,0),0)/12)),0)</f>
        <v>0</v>
      </c>
      <c r="AJ186">
        <f>MAX($F$24,$AB$159)/$Q$180</f>
        <v>0</v>
      </c>
      <c r="AK186">
        <f t="shared" si="127"/>
        <v>0</v>
      </c>
      <c r="AL186" cm="1">
        <f t="array" ref="AL186">IFERROR(INDEX(sheath_ecap_asd,MATCH(AP186,sheath_mark,0),0)*AK186,0)</f>
        <v>0</v>
      </c>
      <c r="AM186" cm="1">
        <f t="array" ref="AM186">IFERROR(INDEX(sheath_wcap_asd,MATCH(AP186,sheath_mark,0),0)*AK186,0)</f>
        <v>0</v>
      </c>
      <c r="AN186" cm="1">
        <f t="array" ref="AN186">IFERROR(INDEX(hd_cap,MATCH(AQ186,hd_mark,0),0),0)</f>
        <v>0</v>
      </c>
      <c r="AP186" s="19"/>
      <c r="AQ186" s="19"/>
      <c r="AR186" s="100"/>
      <c r="AS186" s="93"/>
      <c r="AT186" s="111">
        <f>$R$159</f>
        <v>0</v>
      </c>
      <c r="AU186" t="str">
        <f>$Q$152</f>
        <v>L5</v>
      </c>
      <c r="AV186">
        <f>$E$24</f>
        <v>0</v>
      </c>
      <c r="AW186" cm="1">
        <f t="array" ref="AW186">IFERROR(IF(AV186=0,0,(INDEX($C$33:$C$38,MATCH($AZ$159,$B$33:$B$38,0),0)*(AV187+$BA$159)+$AW$159*COUNTIF(AV186:AV186,"&gt;0")*$C$32+$AY$159*$C$31)*$AU$159),0)</f>
        <v>0</v>
      </c>
      <c r="AX186">
        <f>IF(AV186=0,0,-(COUNTIF(AV186:AV186,"&gt;0")*$AW$159*$C$32+$AY$159*$C$31)*$H$27*$AU$159)</f>
        <v>0</v>
      </c>
      <c r="AY186">
        <f>IF(AV186=0,0,$AY$159*$H$26*$AU$159)</f>
        <v>0</v>
      </c>
      <c r="AZ186">
        <f>(0.6*AW186+0.7*AX186)*$AU$159/2</f>
        <v>0</v>
      </c>
      <c r="BA186">
        <f>AW186*$AU$159/2</f>
        <v>0</v>
      </c>
      <c r="BC186">
        <f>IF(AV186=0,0,$BG$159*$AP$152)</f>
        <v>0</v>
      </c>
      <c r="BD186">
        <f>IFERROR(BC186/$AU$159,0)</f>
        <v>0</v>
      </c>
      <c r="BE186">
        <f>BC186*($F$24+IF($F$24=0,0,($C$14+$C$15+IF($C$13="single",1.5,3)+3)/12))</f>
        <v>0</v>
      </c>
      <c r="BF186">
        <f>BE186-AZ186</f>
        <v>0</v>
      </c>
      <c r="BG186" cm="1">
        <f t="array" ref="BG186">IFERROR(IF(BF186&lt;0,0,BF186/($AU$159-INDEX(hd_off,MATCH(BT186,hd_mark,0),0)/12)),0)</f>
        <v>0</v>
      </c>
      <c r="BH186">
        <f>IF(AV186=0,0,$BG$159*$AM$152)</f>
        <v>0</v>
      </c>
      <c r="BI186">
        <f>IFERROR(BH186/$AU$159,0)</f>
        <v>0</v>
      </c>
      <c r="BJ186">
        <f>BH186*($F$24+IF($F$24=0,0,($C$14+$C$15+IF($C$13="single",1.5,3)+3)/12))</f>
        <v>0</v>
      </c>
      <c r="BK186">
        <f>BJ186-BA186</f>
        <v>0</v>
      </c>
      <c r="BL186" cm="1">
        <f t="array" ref="BL186">IFERROR(IF(BK186&lt;0,0,BK186/($AU$159-INDEX(hd_off,MATCH(BT186,hd_mark,0),0)/12)),0)</f>
        <v>0</v>
      </c>
      <c r="BM186">
        <f>MAX($F$24,$BE$159)/$Q$180</f>
        <v>0</v>
      </c>
      <c r="BN186">
        <f t="shared" si="128"/>
        <v>0</v>
      </c>
      <c r="BO186" cm="1">
        <f t="array" ref="BO186">IFERROR(INDEX(sheath_ecap_asd,MATCH(BS186,sheath_mark,0),0)*BN186,0)</f>
        <v>0</v>
      </c>
      <c r="BP186" cm="1">
        <f t="array" ref="BP186">IFERROR(INDEX(sheath_wcap_asd,MATCH(BS186,sheath_mark,0),0)*BN186,0)</f>
        <v>0</v>
      </c>
      <c r="BQ186" cm="1">
        <f t="array" ref="BQ186">IFERROR(INDEX(hd_cap,MATCH(BT186,hd_mark,0),0),0)</f>
        <v>0</v>
      </c>
      <c r="BS186" s="19"/>
      <c r="BT186" s="19"/>
      <c r="BU186" s="100"/>
    </row>
    <row r="187" x14ac:dyDescent="0.25">
      <c r="B187" t="s">
        <v>466</v>
      </c>
      <c r="C187" s="19"/>
      <c r="D187" s="19"/>
      <c r="E187">
        <f t="shared" si="122"/>
        <v>0</v>
      </c>
      <c r="H187">
        <v>18</v>
      </c>
      <c r="I187" s="19"/>
      <c r="J187" s="19"/>
      <c r="K187">
        <f t="shared" si="123"/>
        <v>0</v>
      </c>
      <c r="P187" s="93"/>
      <c r="Q187" s="109"/>
      <c r="R187" t="str">
        <f>$Q$153</f>
        <v>Roof</v>
      </c>
      <c r="S187">
        <f>$E$25</f>
        <v>33.171875</v>
      </c>
      <c r="T187" cm="1">
        <f t="array" ref="T187">IFERROR(IF(S187=0,0,(INDEX($C$33:$C$38,MATCH($W$159,$B$33:$B$38,0),0)*(S187+$X$159)+$V$159*$C$31)*$R$159),0)</f>
        <v>0</v>
      </c>
      <c r="U187">
        <f>IF(S187=0,0,-$V$159*$C$31*$H$27*$R$159)</f>
        <v>0</v>
      </c>
      <c r="V187">
        <f>IF(S187=0,0,$V$159*$H$26*$R$159)</f>
        <v>0</v>
      </c>
      <c r="W187">
        <f>(0.6*T187+0.7*U187)*$R$159/2</f>
        <v>0</v>
      </c>
      <c r="X187">
        <f>T187*$R$159/2</f>
        <v>0</v>
      </c>
      <c r="Z187">
        <f>IF(S187=0,0,$AD$159*$AP$153)</f>
        <v>0</v>
      </c>
      <c r="AA187">
        <f>IFERROR(Z187/$R$159,0)</f>
        <v>0</v>
      </c>
      <c r="AB187">
        <f>Z187*($F$25+($C$16+$C$17+IF($C$13="single",1.5,3)+3)/12)</f>
        <v>0</v>
      </c>
      <c r="AC187">
        <f>AB187-W187</f>
        <v>0</v>
      </c>
      <c r="AD187" cm="1">
        <f t="array" ref="AD187">IFERROR(IF(AC187&lt;0,0,AC187/($R$159-INDEX(hd_off,MATCH(AQ187,hd_mark,0),0)/12)),0)</f>
        <v>0</v>
      </c>
      <c r="AE187">
        <f>IF(S187=0,0,$AD$159*$AM$153)</f>
        <v>0</v>
      </c>
      <c r="AF187">
        <f>IFERROR(AE187/$R$159,0)</f>
        <v>0</v>
      </c>
      <c r="AG187">
        <f>AE187*($F$25+($C$16+$C$17+IF($C$13="single",1.5,3)+3)/12)</f>
        <v>0</v>
      </c>
      <c r="AH187">
        <f>AG187-X187</f>
        <v>0</v>
      </c>
      <c r="AI187" cm="1">
        <f t="array" ref="AI187">IFERROR(IF(AH187&lt;0,0,AH187/($R$159-INDEX(hd_off,MATCH(AQ187,hd_mark,0),0)/12)),0)</f>
        <v>0</v>
      </c>
      <c r="AJ187">
        <f>MAX($F$25,$AC$159)/$Q$180</f>
        <v>0.29920977011494249</v>
      </c>
      <c r="AK187">
        <f t="shared" si="127"/>
        <v>1</v>
      </c>
      <c r="AL187" cm="1">
        <f t="array" ref="AL187">IFERROR(INDEX(sheath_ecap_asd,MATCH(AP187,sheath_mark,0),0)*AK187,0)</f>
        <v>0</v>
      </c>
      <c r="AM187" cm="1">
        <f t="array" ref="AM187">IFERROR(INDEX(sheath_wcap_asd,MATCH(AP187,sheath_mark,0),0)*AK187,0)</f>
        <v>0</v>
      </c>
      <c r="AN187" cm="1">
        <f t="array" ref="AN187">IFERROR(INDEX(hd_cap,MATCH(AQ187,hd_mark,0),0),0)</f>
        <v>0</v>
      </c>
      <c r="AP187" s="19"/>
      <c r="AQ187" s="19"/>
      <c r="AR187" s="100"/>
      <c r="AS187" s="93"/>
      <c r="AT187" s="109"/>
      <c r="AU187" t="str">
        <f>$Q$153</f>
        <v>Roof</v>
      </c>
      <c r="AV187">
        <f>$E$25</f>
        <v>33.171875</v>
      </c>
      <c r="AW187" cm="1">
        <f t="array" ref="AW187">IFERROR(IF(AV187=0,0,(INDEX($C$33:$C$38,MATCH($AZ$159,$B$33:$B$38,0),0)*(AV187+$BA$159)+$AY$159*$C$31)*$AU$159),0)</f>
        <v>0</v>
      </c>
      <c r="AX187">
        <f>IF(AV187=0,0,-$AY$159*$C$31*$H$27*$AU$159)</f>
        <v>0</v>
      </c>
      <c r="AY187">
        <f>IF(AV187=0,0,$AY$159*$H$26*$AU$159)</f>
        <v>0</v>
      </c>
      <c r="AZ187">
        <f>(0.6*AW187+0.7*AX187)*$AU$159/2</f>
        <v>0</v>
      </c>
      <c r="BA187">
        <f>AW187*$AU$159/2</f>
        <v>0</v>
      </c>
      <c r="BC187">
        <f>IF(AV187=0,0,$BG$159*$AP$153)</f>
        <v>0</v>
      </c>
      <c r="BD187">
        <f>IFERROR(BC187/$AU$159,0)</f>
        <v>0</v>
      </c>
      <c r="BE187">
        <f>BC187*($F$25+($C$16+$C$17+IF($C$13="single",1.5,3)+3)/12)</f>
        <v>0</v>
      </c>
      <c r="BF187">
        <f>BE187-AZ187</f>
        <v>0</v>
      </c>
      <c r="BG187" cm="1">
        <f t="array" ref="BG187">IFERROR(IF(BF187&lt;0,0,BF187/($AU$159-INDEX(hd_off,MATCH(BT187,hd_mark,0),0)/12)),0)</f>
        <v>0</v>
      </c>
      <c r="BH187">
        <f>IF(AV187=0,0,$BG$159*$AM$153)</f>
        <v>0</v>
      </c>
      <c r="BI187">
        <f>IFERROR(BH187/$AU$159,0)</f>
        <v>0</v>
      </c>
      <c r="BJ187">
        <f>BH187*($F$25+($C$16+$C$17+IF($C$13="single",1.5,3)+3)/12)</f>
        <v>0</v>
      </c>
      <c r="BK187">
        <f>BJ187-BA187</f>
        <v>0</v>
      </c>
      <c r="BL187" cm="1">
        <f t="array" ref="BL187">IFERROR(IF(BK187&lt;0,0,BK187/($AU$159-INDEX(hd_off,MATCH(BT187,hd_mark,0),0)/12)),0)</f>
        <v>0</v>
      </c>
      <c r="BM187">
        <f>MAX($F$25,$BF$159)/$Q$180</f>
        <v>0.29920977011494249</v>
      </c>
      <c r="BN187">
        <f t="shared" si="128"/>
        <v>1</v>
      </c>
      <c r="BO187" cm="1">
        <f t="array" ref="BO187">IFERROR(INDEX(sheath_ecap_asd,MATCH(BS187,sheath_mark,0),0)*BN187,0)</f>
        <v>0</v>
      </c>
      <c r="BP187" cm="1">
        <f t="array" ref="BP187">IFERROR(INDEX(sheath_wcap_asd,MATCH(BS187,sheath_mark,0),0)*BN187,0)</f>
        <v>0</v>
      </c>
      <c r="BQ187" cm="1">
        <f t="array" ref="BQ187">IFERROR(INDEX(hd_cap,MATCH(BT187,hd_mark,0),0),0)</f>
        <v>0</v>
      </c>
      <c r="BS187" s="19"/>
      <c r="BT187" s="19"/>
      <c r="BU187" s="100"/>
    </row>
    <row r="188" x14ac:dyDescent="0.25">
      <c r="B188" t="s">
        <v>467</v>
      </c>
      <c r="C188" s="19"/>
      <c r="D188" s="19"/>
      <c r="E188">
        <f t="shared" si="122"/>
        <v>0</v>
      </c>
      <c r="H188">
        <v>19</v>
      </c>
      <c r="I188" s="19"/>
      <c r="J188" s="19"/>
      <c r="K188">
        <f t="shared" si="123"/>
        <v>0</v>
      </c>
      <c r="P188" s="93"/>
      <c r="AR188" s="100"/>
      <c r="AS188" s="93"/>
      <c r="BU188" s="100"/>
    </row>
    <row r="189" x14ac:dyDescent="0.25">
      <c r="B189" t="s">
        <v>468</v>
      </c>
      <c r="C189" s="19"/>
      <c r="D189" s="19"/>
      <c r="E189">
        <f t="shared" si="122"/>
        <v>0</v>
      </c>
      <c r="H189">
        <v>20</v>
      </c>
      <c r="I189" s="19"/>
      <c r="J189" s="19"/>
      <c r="K189">
        <f t="shared" si="123"/>
        <v>0</v>
      </c>
      <c r="P189" s="93"/>
      <c r="Q189" s="110" t="str">
        <f>$Q$160</f>
        <v>A.03</v>
      </c>
      <c r="R189" t="str">
        <f>$Q$149</f>
        <v>L2</v>
      </c>
      <c r="S189">
        <f>$E$21</f>
        <v>10.6875</v>
      </c>
      <c r="T189" cm="1">
        <f t="array" ref="T189">IFERROR(IF(S189=0,0,(INDEX($C$33:$C$38,MATCH($W$160,$B$33:$B$38,0),0)*(S193+$X$160)+$T$160*COUNTIF(S189:S192,"&gt;0")*$C$32+$V$160*$C$31)*$R$160),0)</f>
        <v>0</v>
      </c>
      <c r="U189">
        <f>IF(S189=0,0,-(COUNTIF(S189:S192,"&gt;0")*$T$160*$C$32+$V$160*$C$31)*$H$27*$R$160)</f>
        <v>0</v>
      </c>
      <c r="V189">
        <f>IF(S189=0,0,$V$160*$H$26*$R$160)</f>
        <v>0</v>
      </c>
      <c r="W189">
        <f>(0.6*T189+0.7*U189)*$R$160/2</f>
        <v>0</v>
      </c>
      <c r="X189">
        <f>(0.6*T189+0.6*V189)*$R$160/2</f>
        <v>0</v>
      </c>
      <c r="Z189">
        <f>IF(S189=0,0,$AD$160*$AP$149)</f>
        <v>0</v>
      </c>
      <c r="AA189">
        <f>IFERROR(Z189/$R$160,0)</f>
        <v>0</v>
      </c>
      <c r="AB189">
        <f>Z189*($F$21+IF($F$21=0,0,($C$14+$C$15+IF($C$13="single",1.5,3)+3)/12))</f>
        <v>0</v>
      </c>
      <c r="AC189">
        <f>AB189-W189</f>
        <v>0</v>
      </c>
      <c r="AD189" cm="1">
        <f t="array" ref="AD189">IFERROR(IF(AC189&lt;0,0,AC189/($R$160-INDEX(hd_off,MATCH(AQ189,hd_mark,0),0)/12)),0)</f>
        <v>0</v>
      </c>
      <c r="AE189">
        <f>IF(S189=0,0,$AD$160*$AM$149)</f>
        <v>0</v>
      </c>
      <c r="AF189">
        <f>IFERROR(AE189/$R$160,0)</f>
        <v>0</v>
      </c>
      <c r="AG189">
        <f>AE189*($F$21+IF($F$21=0,0,($C$14+$C$15+IF($C$13="single",1.5,3)+3)/12))</f>
        <v>0</v>
      </c>
      <c r="AH189">
        <f>AG189-X189</f>
        <v>0</v>
      </c>
      <c r="AI189" cm="1">
        <f t="array" ref="AI189">IFERROR(IF(AH189&lt;0,0,AH189/($R$160-INDEX(hd_off,MATCH(AQ189,hd_mark,0),0)/12)),0)</f>
        <v>0</v>
      </c>
      <c r="AJ189">
        <f>MAX($F$21,$Y$160)/$Q$180</f>
        <v>0.30172413793103448</v>
      </c>
      <c r="AK189">
        <f>IF(AJ189=0,0,IF(AJ189&gt;2,1.25-0.125*AJ189,1))</f>
        <v>1</v>
      </c>
      <c r="AL189" cm="1">
        <f t="array" ref="AL189">IFERROR(INDEX(sheath_ecap_asd,MATCH(AP189,sheath_mark,0),0)*AK189,0)</f>
        <v>0</v>
      </c>
      <c r="AM189" cm="1">
        <f t="array" ref="AM189">IFERROR(INDEX(sheath_wcap_asd,MATCH(AP189,sheath_mark,0),0)*AK189,0)</f>
        <v>0</v>
      </c>
      <c r="AN189" cm="1">
        <f t="array" ref="AN189">IFERROR(INDEX(hd_cap,MATCH(AQ189,hd_mark,0),0),0)</f>
        <v>0</v>
      </c>
      <c r="AP189" s="19"/>
      <c r="AQ189" s="19"/>
      <c r="AR189" s="100"/>
      <c r="AS189" s="93"/>
      <c r="AT189" s="110" t="str">
        <f>$AT$160</f>
        <v>1.03</v>
      </c>
      <c r="AU189" t="str">
        <f>$Q$149</f>
        <v>L2</v>
      </c>
      <c r="AV189">
        <f>$E$21</f>
        <v>10.6875</v>
      </c>
      <c r="AW189" cm="1">
        <f t="array" ref="AW189">IFERROR(IF(AV189=0,0,(INDEX($C$33:$C$38,MATCH($AZ$160,$B$33:$B$38,0),0)*(AV193+$BA$160)+$AW$160*COUNTIF(AV189:AV192,"&gt;0")*$C$32+$AY$160*$C$31)*$AU$160),0)</f>
        <v>0</v>
      </c>
      <c r="AX189">
        <f>IF(AV189=0,0,-(COUNTIF(AV189:AV192,"&gt;0")*$AW$160*$C$32+$AY$160*$C$31)*$H$27*$AU$160)</f>
        <v>0</v>
      </c>
      <c r="AY189">
        <f>IF(AV189=0,0,$AY$160*$H$26*$AU$160)</f>
        <v>0</v>
      </c>
      <c r="AZ189">
        <f>(0.6*AW189+0.7*AX189)*$AU$160/2</f>
        <v>0</v>
      </c>
      <c r="BA189">
        <f>(0.6*AW189+0.6*AY189)*$AU$160/2</f>
        <v>0</v>
      </c>
      <c r="BC189">
        <f>IF(AV189=0,0,$BG$160*$AP$149)</f>
        <v>0</v>
      </c>
      <c r="BD189">
        <f>IFERROR(BC189/$AU$160,0)</f>
        <v>0</v>
      </c>
      <c r="BE189">
        <f>BC189*($F$21+IF($F$21=0,0,($C$14+$C$15+IF($C$13="single",1.5,3)+3)/12))</f>
        <v>0</v>
      </c>
      <c r="BF189">
        <f>BE189-AZ189</f>
        <v>0</v>
      </c>
      <c r="BG189" cm="1">
        <f t="array" ref="BG189">IFERROR(IF(BF189&lt;0,0,BF189/($AU$160-INDEX(hd_off,MATCH(BT189,hd_mark,0),0)/12)),0)</f>
        <v>0</v>
      </c>
      <c r="BH189">
        <f>IF(AV189=0,0,$BG$160*$AM$149)</f>
        <v>0</v>
      </c>
      <c r="BI189">
        <f>IFERROR(BH189/$AU$160,0)</f>
        <v>0</v>
      </c>
      <c r="BJ189">
        <f>BH189*($F$21+IF($F$21=0,0,($C$14+$C$15+IF($C$13="single",1.5,3)+3)/12))</f>
        <v>0</v>
      </c>
      <c r="BK189">
        <f>BJ189-BA189</f>
        <v>0</v>
      </c>
      <c r="BL189" cm="1">
        <f t="array" ref="BL189">IFERROR(IF(BK189&lt;0,0,BK189/($AU$160-INDEX(hd_off,MATCH(BT189,hd_mark,0),0)/12)),0)</f>
        <v>0</v>
      </c>
      <c r="BM189">
        <f>MAX($F$21,$BB$160)/$Q$180</f>
        <v>0.30172413793103448</v>
      </c>
      <c r="BN189">
        <f>IF(BM189=0,0,IF(BM189&gt;2,1.25-0.125*BM189,1))</f>
        <v>1</v>
      </c>
      <c r="BO189" cm="1">
        <f t="array" ref="BO189">IFERROR(INDEX(sheath_ecap_asd,MATCH(BS189,sheath_mark,0),0)*BN189,0)</f>
        <v>0</v>
      </c>
      <c r="BP189" cm="1">
        <f t="array" ref="BP189">IFERROR(INDEX(sheath_wcap_asd,MATCH(BS189,sheath_mark,0),0)*BN189,0)</f>
        <v>0</v>
      </c>
      <c r="BQ189" cm="1">
        <f t="array" ref="BQ189">IFERROR(INDEX(hd_cap,MATCH(BT189,hd_mark,0),0),0)</f>
        <v>0</v>
      </c>
      <c r="BS189" s="19"/>
      <c r="BT189" s="19"/>
      <c r="BU189" s="100"/>
    </row>
    <row r="190" x14ac:dyDescent="0.25">
      <c r="B190" t="s">
        <v>469</v>
      </c>
      <c r="C190" s="19"/>
      <c r="D190" s="19"/>
      <c r="E190">
        <f t="shared" si="122"/>
        <v>0</v>
      </c>
      <c r="H190">
        <v>21</v>
      </c>
      <c r="I190" s="19"/>
      <c r="J190" s="19"/>
      <c r="K190">
        <f t="shared" si="123"/>
        <v>0</v>
      </c>
      <c r="P190" s="93"/>
      <c r="Q190" s="109"/>
      <c r="R190" t="str">
        <f>$Q$150</f>
        <v>L3</v>
      </c>
      <c r="S190">
        <f>$E$22</f>
        <v>21.375</v>
      </c>
      <c r="T190" cm="1">
        <f t="array" ref="T190">IFERROR(IF(S190=0,0,(INDEX($C$33:$C$38,MATCH($W$160,$B$33:$B$38,0),0)*(S193+$X$160)+$T$160*COUNTIF(S190:S192,"&gt;0")*$C$32+$V$160*$C$31)*$R$160),0)</f>
        <v>0</v>
      </c>
      <c r="U190">
        <f>IF(S190=0,0,-(COUNTIF(S190:S192,"&gt;0")*$T$160*$C$32+$V$160*$C$31)*$H$27*$R$160)</f>
        <v>0</v>
      </c>
      <c r="V190">
        <f>IF(S190=0,0,$V$160*$H$26*$R$160)</f>
        <v>0</v>
      </c>
      <c r="W190">
        <f>(0.6*T190+0.7*U190)*$R$160/2</f>
        <v>0</v>
      </c>
      <c r="X190">
        <f>T190*$R$160/2</f>
        <v>0</v>
      </c>
      <c r="Z190">
        <f>IF(S190=0,0,$AD$160*$AP$150)</f>
        <v>0</v>
      </c>
      <c r="AA190">
        <f>IFERROR(Z190/$R$160,0)</f>
        <v>0</v>
      </c>
      <c r="AB190">
        <f>Z190*($F$22+IF($F$22=0,0,($C$14+$C$15+IF($C$13="single",1.5,3)+3)/12))</f>
        <v>0</v>
      </c>
      <c r="AC190">
        <f>AB190-W190</f>
        <v>0</v>
      </c>
      <c r="AD190" cm="1">
        <f t="array" ref="AD190">IFERROR(IF(AC190&lt;0,0,AC190/($R$160-INDEX(hd_off,MATCH(AQ190,hd_mark,0),0)/12)),0)</f>
        <v>0</v>
      </c>
      <c r="AE190">
        <f>IF(S190=0,0,$AD$160*$AM$150)</f>
        <v>0</v>
      </c>
      <c r="AF190">
        <f>IFERROR(AE190/$R$160,0)</f>
        <v>0</v>
      </c>
      <c r="AG190">
        <f>AE190*($F$22+IF($F$22=0,0,($C$14+$C$15+IF($C$13="single",1.5,3)+3)/12))</f>
        <v>0</v>
      </c>
      <c r="AH190">
        <f>AG190-X190</f>
        <v>0</v>
      </c>
      <c r="AI190" cm="1">
        <f t="array" ref="AI190">IFERROR(IF(AH190&lt;0,0,AH190/($R$160-INDEX(hd_off,MATCH(AQ190,hd_mark,0),0)/12)),0)</f>
        <v>0</v>
      </c>
      <c r="AJ190">
        <f>MAX($F$22,$Z$160)/$Q$180</f>
        <v>0.30172413793103448</v>
      </c>
      <c r="AK190">
        <f t="shared" ref="AK190:AK193" si="129">IF(AJ190=0,0,IF(AJ190&gt;2,1.25-0.125*AJ190,1))</f>
        <v>1</v>
      </c>
      <c r="AL190" cm="1">
        <f t="array" ref="AL190">IFERROR(INDEX(sheath_ecap_asd,MATCH(AP190,sheath_mark,0),0)*AK190,0)</f>
        <v>0</v>
      </c>
      <c r="AM190" cm="1">
        <f t="array" ref="AM190">IFERROR(INDEX(sheath_wcap_asd,MATCH(AP190,sheath_mark,0),0)*AK190,0)</f>
        <v>0</v>
      </c>
      <c r="AN190" cm="1">
        <f t="array" ref="AN190">IFERROR(INDEX(hd_cap,MATCH(AQ190,hd_mark,0),0),0)</f>
        <v>0</v>
      </c>
      <c r="AP190" s="19"/>
      <c r="AQ190" s="19"/>
      <c r="AR190" s="100"/>
      <c r="AS190" s="93"/>
      <c r="AT190" s="109"/>
      <c r="AU190" t="str">
        <f>$Q$150</f>
        <v>L3</v>
      </c>
      <c r="AV190">
        <f>$E$22</f>
        <v>21.375</v>
      </c>
      <c r="AW190" cm="1">
        <f t="array" ref="AW190">IFERROR(IF(AV190=0,0,(INDEX($C$33:$C$38,MATCH($AZ$160,$B$33:$B$38,0),0)*(AV193+$BA$160)+$AW$160*COUNTIF(AV190:AV192,"&gt;0")*$C$32+$AY$160*$C$31)*$AU$160),0)</f>
        <v>0</v>
      </c>
      <c r="AX190">
        <f>IF(AV190=0,0,-(COUNTIF(AV190:AV192,"&gt;0")*$AW$160*$C$32+$AY$160*$C$31)*$H$27*$AU$160)</f>
        <v>0</v>
      </c>
      <c r="AY190">
        <f>IF(AV190=0,0,$AY$160*$H$26*$AU$160)</f>
        <v>0</v>
      </c>
      <c r="AZ190">
        <f>(0.6*AW190+0.7*AX190)*$AU$160/2</f>
        <v>0</v>
      </c>
      <c r="BA190">
        <f>AW190*$AU$160/2</f>
        <v>0</v>
      </c>
      <c r="BC190">
        <f>IF(AV190=0,0,$BG$160*$AP$150)</f>
        <v>0</v>
      </c>
      <c r="BD190">
        <f>IFERROR(BC190/$AU$160,0)</f>
        <v>0</v>
      </c>
      <c r="BE190">
        <f>BC190*($F$22+IF($F$22=0,0,($C$14+$C$15+IF($C$13="single",1.5,3)+3)/12))</f>
        <v>0</v>
      </c>
      <c r="BF190">
        <f>BE190-AZ190</f>
        <v>0</v>
      </c>
      <c r="BG190" cm="1">
        <f t="array" ref="BG190">IFERROR(IF(BF190&lt;0,0,BF190/($AU$160-INDEX(hd_off,MATCH(BT190,hd_mark,0),0)/12)),0)</f>
        <v>0</v>
      </c>
      <c r="BH190">
        <f>IF(AV190=0,0,$BG$160*$AM$150)</f>
        <v>0</v>
      </c>
      <c r="BI190">
        <f>IFERROR(BH190/$AU$160,0)</f>
        <v>0</v>
      </c>
      <c r="BJ190">
        <f>BH190*($F$22+IF($F$22=0,0,($C$14+$C$15+IF($C$13="single",1.5,3)+3)/12))</f>
        <v>0</v>
      </c>
      <c r="BK190">
        <f>BJ190-BA190</f>
        <v>0</v>
      </c>
      <c r="BL190" cm="1">
        <f t="array" ref="BL190">IFERROR(IF(BK190&lt;0,0,BK190/($AU$160-INDEX(hd_off,MATCH(BT190,hd_mark,0),0)/12)),0)</f>
        <v>0</v>
      </c>
      <c r="BM190">
        <f>MAX($F$22,$BC$160)/$Q$180</f>
        <v>0.30172413793103448</v>
      </c>
      <c r="BN190">
        <f t="shared" ref="BN190:BN193" si="130">IF(BM190=0,0,IF(BM190&gt;2,1.25-0.125*BM190,1))</f>
        <v>1</v>
      </c>
      <c r="BO190" cm="1">
        <f t="array" ref="BO190">IFERROR(INDEX(sheath_ecap_asd,MATCH(BS190,sheath_mark,0),0)*BN190,0)</f>
        <v>0</v>
      </c>
      <c r="BP190" cm="1">
        <f t="array" ref="BP190">IFERROR(INDEX(sheath_wcap_asd,MATCH(BS190,sheath_mark,0),0)*BN190,0)</f>
        <v>0</v>
      </c>
      <c r="BQ190" cm="1">
        <f t="array" ref="BQ190">IFERROR(INDEX(hd_cap,MATCH(BT190,hd_mark,0),0),0)</f>
        <v>0</v>
      </c>
      <c r="BS190" s="19"/>
      <c r="BT190" s="19"/>
      <c r="BU190" s="100"/>
    </row>
    <row r="191" x14ac:dyDescent="0.25">
      <c r="B191" t="s">
        <v>285</v>
      </c>
      <c r="C191" s="19"/>
      <c r="D191" s="19"/>
      <c r="E191">
        <f t="shared" si="122"/>
        <v>0</v>
      </c>
      <c r="H191">
        <v>22</v>
      </c>
      <c r="I191" s="19"/>
      <c r="J191" s="19"/>
      <c r="K191">
        <f t="shared" si="123"/>
        <v>0</v>
      </c>
      <c r="P191" s="93"/>
      <c r="Q191" s="109" t="s">
        <v>491</v>
      </c>
      <c r="R191" t="str">
        <f>$Q$151</f>
        <v>L4</v>
      </c>
      <c r="S191">
        <f>$E$23</f>
        <v>0</v>
      </c>
      <c r="T191" cm="1">
        <f t="array" ref="T191">IFERROR(IF(S191=0,0,(INDEX($C$33:$C$38,MATCH($W$160,$B$33:$B$38,0),0)*(S193+$X$160)+$T$160*COUNTIF(S191:S192,"&gt;0")*$C$32+$V$160*$C$31)*$R$160),0)</f>
        <v>0</v>
      </c>
      <c r="U191">
        <f>IF(S191=0,0,-(COUNTIF(S191:S192,"&gt;0")*$T$160*$C$32+$V$160*$C$31)*$H$27*$R$160)</f>
        <v>0</v>
      </c>
      <c r="V191">
        <f>IF(S191=0,0,$V$160*$H$26*$R$160)</f>
        <v>0</v>
      </c>
      <c r="W191">
        <f>(0.6*T191+0.7*U191)*$R$160/2</f>
        <v>0</v>
      </c>
      <c r="X191">
        <f>T191*$R$160/2</f>
        <v>0</v>
      </c>
      <c r="Z191">
        <f>IF(S191=0,0,$AD$160*$AP$151)</f>
        <v>0</v>
      </c>
      <c r="AA191">
        <f>IFERROR(Z191/$R$160,0)</f>
        <v>0</v>
      </c>
      <c r="AB191">
        <f>Z191*($F$23+IF($F$23=0,0,($C$14+$C$15+IF($C$13="single",1.5,3)+3)/12))</f>
        <v>0</v>
      </c>
      <c r="AC191">
        <f>AB191-W191</f>
        <v>0</v>
      </c>
      <c r="AD191" cm="1">
        <f t="array" ref="AD191">IFERROR(IF(AC191&lt;0,0,AC191/($R$160-INDEX(hd_off,MATCH(AQ191,hd_mark,0),0)/12)),0)</f>
        <v>0</v>
      </c>
      <c r="AE191">
        <f>IF(S191=0,0,$AD$160*$AM$151)</f>
        <v>0</v>
      </c>
      <c r="AF191">
        <f>IFERROR(AE191/$R$160,0)</f>
        <v>0</v>
      </c>
      <c r="AG191">
        <f>AE191*($F$23+IF($F$23=0,0,($C$14+$C$15+IF($C$13="single",1.5,3)+3)/12))</f>
        <v>0</v>
      </c>
      <c r="AH191">
        <f>AG191-X191</f>
        <v>0</v>
      </c>
      <c r="AI191" cm="1">
        <f t="array" ref="AI191">IFERROR(IF(AH191&lt;0,0,AH191/($R$160-INDEX(hd_off,MATCH(AQ191,hd_mark,0),0)/12)),0)</f>
        <v>0</v>
      </c>
      <c r="AJ191">
        <f>MAX($F$23,$AA$160)/$Q$180</f>
        <v>0</v>
      </c>
      <c r="AK191">
        <f t="shared" si="129"/>
        <v>0</v>
      </c>
      <c r="AL191" cm="1">
        <f t="array" ref="AL191">IFERROR(INDEX(sheath_ecap_asd,MATCH(AP191,sheath_mark,0),0)*AK191,0)</f>
        <v>0</v>
      </c>
      <c r="AM191" cm="1">
        <f t="array" ref="AM191">IFERROR(INDEX(sheath_wcap_asd,MATCH(AP191,sheath_mark,0),0)*AK191,0)</f>
        <v>0</v>
      </c>
      <c r="AN191" cm="1">
        <f t="array" ref="AN191">IFERROR(INDEX(hd_cap,MATCH(AQ191,hd_mark,0),0),0)</f>
        <v>0</v>
      </c>
      <c r="AP191" s="19"/>
      <c r="AQ191" s="19"/>
      <c r="AR191" s="100"/>
      <c r="AS191" s="93"/>
      <c r="AT191" s="109" t="s">
        <v>491</v>
      </c>
      <c r="AU191" t="str">
        <f>$Q$151</f>
        <v>L4</v>
      </c>
      <c r="AV191">
        <f>$E$23</f>
        <v>0</v>
      </c>
      <c r="AW191" cm="1">
        <f t="array" ref="AW191">IFERROR(IF(AV191=0,0,(INDEX($C$33:$C$38,MATCH($AZ$160,$B$33:$B$38,0),0)*(AV193+$BA$160)+$AW$160*COUNTIF(AV191:AV192,"&gt;0")*$C$32+$AY$160*$C$31)*$AU$160),0)</f>
        <v>0</v>
      </c>
      <c r="AX191">
        <f>IF(AV191=0,0,-(COUNTIF(AV191:AV192,"&gt;0")*$AW$160*$C$32+$AY$160*$C$31)*$H$27*$AU$160)</f>
        <v>0</v>
      </c>
      <c r="AY191">
        <f>IF(AV191=0,0,$AY$160*$H$26*$AU$160)</f>
        <v>0</v>
      </c>
      <c r="AZ191">
        <f>(0.6*AW191+0.7*AX191)*$AU$160/2</f>
        <v>0</v>
      </c>
      <c r="BA191">
        <f>AW191*$AU$160/2</f>
        <v>0</v>
      </c>
      <c r="BC191">
        <f>IF(AV191=0,0,$BG$160*$AP$151)</f>
        <v>0</v>
      </c>
      <c r="BD191">
        <f>IFERROR(BC191/$AU$160,0)</f>
        <v>0</v>
      </c>
      <c r="BE191">
        <f>BC191*($F$23+IF($F$23=0,0,($C$14+$C$15+IF($C$13="single",1.5,3)+3)/12))</f>
        <v>0</v>
      </c>
      <c r="BF191">
        <f>BE191-AZ191</f>
        <v>0</v>
      </c>
      <c r="BG191" cm="1">
        <f t="array" ref="BG191">IFERROR(IF(BF191&lt;0,0,BF191/($AU$160-INDEX(hd_off,MATCH(BT191,hd_mark,0),0)/12)),0)</f>
        <v>0</v>
      </c>
      <c r="BH191">
        <f>IF(AV191=0,0,$BG$160*$AM$151)</f>
        <v>0</v>
      </c>
      <c r="BI191">
        <f>IFERROR(BH191/$AU$160,0)</f>
        <v>0</v>
      </c>
      <c r="BJ191">
        <f>BH191*($F$23+IF($F$23=0,0,($C$14+$C$15+IF($C$13="single",1.5,3)+3)/12))</f>
        <v>0</v>
      </c>
      <c r="BK191">
        <f>BJ191-BA191</f>
        <v>0</v>
      </c>
      <c r="BL191" cm="1">
        <f t="array" ref="BL191">IFERROR(IF(BK191&lt;0,0,BK191/($AU$160-INDEX(hd_off,MATCH(BT191,hd_mark,0),0)/12)),0)</f>
        <v>0</v>
      </c>
      <c r="BM191">
        <f>MAX($F$23,$BD$160)/$Q$180</f>
        <v>0</v>
      </c>
      <c r="BN191">
        <f t="shared" si="130"/>
        <v>0</v>
      </c>
      <c r="BO191" cm="1">
        <f t="array" ref="BO191">IFERROR(INDEX(sheath_ecap_asd,MATCH(BS191,sheath_mark,0),0)*BN191,0)</f>
        <v>0</v>
      </c>
      <c r="BP191" cm="1">
        <f t="array" ref="BP191">IFERROR(INDEX(sheath_wcap_asd,MATCH(BS191,sheath_mark,0),0)*BN191,0)</f>
        <v>0</v>
      </c>
      <c r="BQ191" cm="1">
        <f t="array" ref="BQ191">IFERROR(INDEX(hd_cap,MATCH(BT191,hd_mark,0),0),0)</f>
        <v>0</v>
      </c>
      <c r="BS191" s="19"/>
      <c r="BT191" s="19"/>
      <c r="BU191" s="100"/>
    </row>
    <row r="192" x14ac:dyDescent="0.25">
      <c r="B192" t="s">
        <v>470</v>
      </c>
      <c r="C192" s="19"/>
      <c r="D192" s="19"/>
      <c r="E192">
        <f t="shared" si="122"/>
        <v>0</v>
      </c>
      <c r="H192">
        <v>23</v>
      </c>
      <c r="I192" s="19"/>
      <c r="J192" s="19"/>
      <c r="K192">
        <f t="shared" si="123"/>
        <v>0</v>
      </c>
      <c r="P192" s="93"/>
      <c r="Q192" s="111">
        <f>$R$160</f>
        <v>0</v>
      </c>
      <c r="R192" t="str">
        <f>$Q$152</f>
        <v>L5</v>
      </c>
      <c r="S192">
        <f>$E$24</f>
        <v>0</v>
      </c>
      <c r="T192" cm="1">
        <f t="array" ref="T192">IFERROR(IF(S192=0,0,(INDEX($C$33:$C$38,MATCH($W$160,$B$33:$B$38,0),0)*(S193+$X$160)+$T$160*COUNTIF(S192:S192,"&gt;0")*$C$32+$V$160*$C$31)*$R$160),0)</f>
        <v>0</v>
      </c>
      <c r="U192">
        <f>IF(S192=0,0,-(COUNTIF(S192:S192,"&gt;0")*$T$160*$C$32+$V$160*$C$31)*$H$27*$R$160)</f>
        <v>0</v>
      </c>
      <c r="V192">
        <f>IF(S192=0,0,$V$160*$H$26*$R$160)</f>
        <v>0</v>
      </c>
      <c r="W192">
        <f>(0.6*T192+0.7*U192)*$R$160/2</f>
        <v>0</v>
      </c>
      <c r="X192">
        <f>T192*$R$160/2</f>
        <v>0</v>
      </c>
      <c r="Z192">
        <f>IF(S192=0,0,$AD$160*$AP$152)</f>
        <v>0</v>
      </c>
      <c r="AA192">
        <f>IFERROR(Z192/$R$160,0)</f>
        <v>0</v>
      </c>
      <c r="AB192">
        <f>Z192*($F$24+IF($F$24=0,0,($C$14+$C$15+IF($C$13="single",1.5,3)+3)/12))</f>
        <v>0</v>
      </c>
      <c r="AC192">
        <f>AB192-W192</f>
        <v>0</v>
      </c>
      <c r="AD192" cm="1">
        <f t="array" ref="AD192">IFERROR(IF(AC192&lt;0,0,AC192/($R$160-INDEX(hd_off,MATCH(AQ192,hd_mark,0),0)/12)),0)</f>
        <v>0</v>
      </c>
      <c r="AE192">
        <f>IF(S192=0,0,$AD$160*$AM$152)</f>
        <v>0</v>
      </c>
      <c r="AF192">
        <f>IFERROR(AE192/$R$160,0)</f>
        <v>0</v>
      </c>
      <c r="AG192">
        <f>AE192*($F$24+IF($F$24=0,0,($C$14+$C$15+IF($C$13="single",1.5,3)+3)/12))</f>
        <v>0</v>
      </c>
      <c r="AH192">
        <f>AG192-X192</f>
        <v>0</v>
      </c>
      <c r="AI192" cm="1">
        <f t="array" ref="AI192">IFERROR(IF(AH192&lt;0,0,AH192/($R$160-INDEX(hd_off,MATCH(AQ192,hd_mark,0),0)/12)),0)</f>
        <v>0</v>
      </c>
      <c r="AJ192">
        <f>MAX($F$24,$AB$160)/$Q$180</f>
        <v>0</v>
      </c>
      <c r="AK192">
        <f t="shared" si="129"/>
        <v>0</v>
      </c>
      <c r="AL192" cm="1">
        <f t="array" ref="AL192">IFERROR(INDEX(sheath_ecap_asd,MATCH(AP192,sheath_mark,0),0)*AK192,0)</f>
        <v>0</v>
      </c>
      <c r="AM192" cm="1">
        <f t="array" ref="AM192">IFERROR(INDEX(sheath_wcap_asd,MATCH(AP192,sheath_mark,0),0)*AK192,0)</f>
        <v>0</v>
      </c>
      <c r="AN192" cm="1">
        <f t="array" ref="AN192">IFERROR(INDEX(hd_cap,MATCH(AQ192,hd_mark,0),0),0)</f>
        <v>0</v>
      </c>
      <c r="AP192" s="19"/>
      <c r="AQ192" s="19"/>
      <c r="AR192" s="100"/>
      <c r="AS192" s="93"/>
      <c r="AT192" s="111">
        <f>$R$160</f>
        <v>0</v>
      </c>
      <c r="AU192" t="str">
        <f>$Q$152</f>
        <v>L5</v>
      </c>
      <c r="AV192">
        <f>$E$24</f>
        <v>0</v>
      </c>
      <c r="AW192" cm="1">
        <f t="array" ref="AW192">IFERROR(IF(AV192=0,0,(INDEX($C$33:$C$38,MATCH($AZ$160,$B$33:$B$38,0),0)*(AV193+$BA$160)+$AW$160*COUNTIF(AV192:AV192,"&gt;0")*$C$32+$AY$160*$C$31)*$AU$160),0)</f>
        <v>0</v>
      </c>
      <c r="AX192">
        <f>IF(AV192=0,0,-(COUNTIF(AV192:AV192,"&gt;0")*$AW$160*$C$32+$AY$160*$C$31)*$H$27*$AU$160)</f>
        <v>0</v>
      </c>
      <c r="AY192">
        <f>IF(AV192=0,0,$AY$160*$H$26*$AU$160)</f>
        <v>0</v>
      </c>
      <c r="AZ192">
        <f>(0.6*AW192+0.7*AX192)*$AU$160/2</f>
        <v>0</v>
      </c>
      <c r="BA192">
        <f>AW192*$AU$160/2</f>
        <v>0</v>
      </c>
      <c r="BC192">
        <f>IF(AV192=0,0,$BG$160*$AP$152)</f>
        <v>0</v>
      </c>
      <c r="BD192">
        <f>IFERROR(BC192/$AU$160,0)</f>
        <v>0</v>
      </c>
      <c r="BE192">
        <f>BC192*($F$24+IF($F$24=0,0,($C$14+$C$15+IF($C$13="single",1.5,3)+3)/12))</f>
        <v>0</v>
      </c>
      <c r="BF192">
        <f>BE192-AZ192</f>
        <v>0</v>
      </c>
      <c r="BG192" cm="1">
        <f t="array" ref="BG192">IFERROR(IF(BF192&lt;0,0,BF192/($AU$160-INDEX(hd_off,MATCH(BT192,hd_mark,0),0)/12)),0)</f>
        <v>0</v>
      </c>
      <c r="BH192">
        <f>IF(AV192=0,0,$BG$160*$AM$152)</f>
        <v>0</v>
      </c>
      <c r="BI192">
        <f>IFERROR(BH192/$AU$160,0)</f>
        <v>0</v>
      </c>
      <c r="BJ192">
        <f>BH192*($F$24+IF($F$24=0,0,($C$14+$C$15+IF($C$13="single",1.5,3)+3)/12))</f>
        <v>0</v>
      </c>
      <c r="BK192">
        <f>BJ192-BA192</f>
        <v>0</v>
      </c>
      <c r="BL192" cm="1">
        <f t="array" ref="BL192">IFERROR(IF(BK192&lt;0,0,BK192/($AU$160-INDEX(hd_off,MATCH(BT192,hd_mark,0),0)/12)),0)</f>
        <v>0</v>
      </c>
      <c r="BM192">
        <f>MAX($F$24,$BE$160)/$Q$180</f>
        <v>0</v>
      </c>
      <c r="BN192">
        <f t="shared" si="130"/>
        <v>0</v>
      </c>
      <c r="BO192" cm="1">
        <f t="array" ref="BO192">IFERROR(INDEX(sheath_ecap_asd,MATCH(BS192,sheath_mark,0),0)*BN192,0)</f>
        <v>0</v>
      </c>
      <c r="BP192" cm="1">
        <f t="array" ref="BP192">IFERROR(INDEX(sheath_wcap_asd,MATCH(BS192,sheath_mark,0),0)*BN192,0)</f>
        <v>0</v>
      </c>
      <c r="BQ192" cm="1">
        <f t="array" ref="BQ192">IFERROR(INDEX(hd_cap,MATCH(BT192,hd_mark,0),0),0)</f>
        <v>0</v>
      </c>
      <c r="BS192" s="19"/>
      <c r="BT192" s="19"/>
      <c r="BU192" s="100"/>
    </row>
    <row r="193" x14ac:dyDescent="0.25">
      <c r="B193" t="s">
        <v>471</v>
      </c>
      <c r="C193" s="19"/>
      <c r="D193" s="19"/>
      <c r="E193">
        <f t="shared" si="122"/>
        <v>0</v>
      </c>
      <c r="H193">
        <v>24</v>
      </c>
      <c r="I193" s="19"/>
      <c r="J193" s="19"/>
      <c r="K193">
        <f t="shared" si="123"/>
        <v>0</v>
      </c>
      <c r="P193" s="93"/>
      <c r="Q193" s="109"/>
      <c r="R193" t="str">
        <f>$Q$153</f>
        <v>Roof</v>
      </c>
      <c r="S193">
        <f>$E$25</f>
        <v>33.171875</v>
      </c>
      <c r="T193" cm="1">
        <f t="array" ref="T193">IFERROR(IF(S193=0,0,(INDEX($C$33:$C$38,MATCH($W$160,$B$33:$B$38,0),0)*(S193+$X$160)+$V$160*$C$31)*$R$160),0)</f>
        <v>0</v>
      </c>
      <c r="U193">
        <f>IF(S193=0,0,-$V$160*$C$31*$H$27*$R$160)</f>
        <v>0</v>
      </c>
      <c r="V193">
        <f>IF(S193=0,0,$V$160*$H$26*$R$160)</f>
        <v>0</v>
      </c>
      <c r="W193">
        <f>(0.6*T193+0.7*U193)*$R$160/2</f>
        <v>0</v>
      </c>
      <c r="X193">
        <f>T193*$R$160/2</f>
        <v>0</v>
      </c>
      <c r="Z193">
        <f>IF(S193=0,0,$AD$160*$AP$153)</f>
        <v>0</v>
      </c>
      <c r="AA193">
        <f>IFERROR(Z193/$R$160,0)</f>
        <v>0</v>
      </c>
      <c r="AB193">
        <f>Z193*($F$25+($C$16+$C$17+IF($C$13="single",1.5,3)+3)/12)</f>
        <v>0</v>
      </c>
      <c r="AC193">
        <f>AB193-W193</f>
        <v>0</v>
      </c>
      <c r="AD193" cm="1">
        <f t="array" ref="AD193">IFERROR(IF(AC193&lt;0,0,AC193/($R$160-INDEX(hd_off,MATCH(AQ193,hd_mark,0),0)/12)),0)</f>
        <v>0</v>
      </c>
      <c r="AE193">
        <f>IF(S193=0,0,$AD$160*$AM$153)</f>
        <v>0</v>
      </c>
      <c r="AF193">
        <f>IFERROR(AE193/$R$160,0)</f>
        <v>0</v>
      </c>
      <c r="AG193">
        <f>AE193*($F$25+($C$16+$C$17+IF($C$13="single",1.5,3)+3)/12)</f>
        <v>0</v>
      </c>
      <c r="AH193">
        <f>AG193-X193</f>
        <v>0</v>
      </c>
      <c r="AI193" cm="1">
        <f t="array" ref="AI193">IFERROR(IF(AH193&lt;0,0,AH193/($R$160-INDEX(hd_off,MATCH(AQ193,hd_mark,0),0)/12)),0)</f>
        <v>0</v>
      </c>
      <c r="AJ193">
        <f>MAX($F$25,$AC$160)/$Q$180</f>
        <v>0.29920977011494249</v>
      </c>
      <c r="AK193">
        <f t="shared" si="129"/>
        <v>1</v>
      </c>
      <c r="AL193" cm="1">
        <f t="array" ref="AL193">IFERROR(INDEX(sheath_ecap_asd,MATCH(AP193,sheath_mark,0),0)*AK193,0)</f>
        <v>0</v>
      </c>
      <c r="AM193" cm="1">
        <f t="array" ref="AM193">IFERROR(INDEX(sheath_wcap_asd,MATCH(AP193,sheath_mark,0),0)*AK193,0)</f>
        <v>0</v>
      </c>
      <c r="AN193" cm="1">
        <f t="array" ref="AN193">IFERROR(INDEX(hd_cap,MATCH(AQ193,hd_mark,0),0),0)</f>
        <v>0</v>
      </c>
      <c r="AP193" s="19"/>
      <c r="AQ193" s="19"/>
      <c r="AR193" s="100"/>
      <c r="AS193" s="93"/>
      <c r="AT193" s="109"/>
      <c r="AU193" t="str">
        <f>$Q$153</f>
        <v>Roof</v>
      </c>
      <c r="AV193">
        <f>$E$25</f>
        <v>33.171875</v>
      </c>
      <c r="AW193" cm="1">
        <f t="array" ref="AW193">IFERROR(IF(AV193=0,0,(INDEX($C$33:$C$38,MATCH($AZ$160,$B$33:$B$38,0),0)*(AV193+$BA$160)+$AY$160*$C$31)*$AU$160),0)</f>
        <v>0</v>
      </c>
      <c r="AX193">
        <f>IF(AV193=0,0,-$AY$160*$C$31*$H$27*$AU$160)</f>
        <v>0</v>
      </c>
      <c r="AY193">
        <f>IF(AV193=0,0,$AY$160*$H$26*$AU$160)</f>
        <v>0</v>
      </c>
      <c r="AZ193">
        <f>(0.6*AW193+0.7*AX193)*$AU$160/2</f>
        <v>0</v>
      </c>
      <c r="BA193">
        <f>AW193*$AU$160/2</f>
        <v>0</v>
      </c>
      <c r="BC193">
        <f>IF(AV193=0,0,$BG$160*$AP$153)</f>
        <v>0</v>
      </c>
      <c r="BD193">
        <f>IFERROR(BC193/$AU$160,0)</f>
        <v>0</v>
      </c>
      <c r="BE193">
        <f>BC193*($F$25+($C$16+$C$17+IF($C$13="single",1.5,3)+3)/12)</f>
        <v>0</v>
      </c>
      <c r="BF193">
        <f>BE193-AZ193</f>
        <v>0</v>
      </c>
      <c r="BG193" cm="1">
        <f t="array" ref="BG193">IFERROR(IF(BF193&lt;0,0,BF193/($AU$160-INDEX(hd_off,MATCH(BT193,hd_mark,0),0)/12)),0)</f>
        <v>0</v>
      </c>
      <c r="BH193">
        <f>IF(AV193=0,0,$BG$160*$AM$153)</f>
        <v>0</v>
      </c>
      <c r="BI193">
        <f>IFERROR(BH193/$AU$160,0)</f>
        <v>0</v>
      </c>
      <c r="BJ193">
        <f>BH193*($F$25+($C$16+$C$17+IF($C$13="single",1.5,3)+3)/12)</f>
        <v>0</v>
      </c>
      <c r="BK193">
        <f>BJ193-BA193</f>
        <v>0</v>
      </c>
      <c r="BL193" cm="1">
        <f t="array" ref="BL193">IFERROR(IF(BK193&lt;0,0,BK193/($AU$160-INDEX(hd_off,MATCH(BT193,hd_mark,0),0)/12)),0)</f>
        <v>0</v>
      </c>
      <c r="BM193">
        <f>MAX($F$25,$BF$160)/$Q$180</f>
        <v>0.29920977011494249</v>
      </c>
      <c r="BN193">
        <f t="shared" si="130"/>
        <v>1</v>
      </c>
      <c r="BO193" cm="1">
        <f t="array" ref="BO193">IFERROR(INDEX(sheath_ecap_asd,MATCH(BS193,sheath_mark,0),0)*BN193,0)</f>
        <v>0</v>
      </c>
      <c r="BP193" cm="1">
        <f t="array" ref="BP193">IFERROR(INDEX(sheath_wcap_asd,MATCH(BS193,sheath_mark,0),0)*BN193,0)</f>
        <v>0</v>
      </c>
      <c r="BQ193" cm="1">
        <f t="array" ref="BQ193">IFERROR(INDEX(hd_cap,MATCH(BT193,hd_mark,0),0),0)</f>
        <v>0</v>
      </c>
      <c r="BS193" s="19"/>
      <c r="BT193" s="19"/>
      <c r="BU193" s="100"/>
    </row>
    <row r="194" x14ac:dyDescent="0.25">
      <c r="B194" t="s">
        <v>472</v>
      </c>
      <c r="C194" s="19"/>
      <c r="D194" s="19"/>
      <c r="E194">
        <f t="shared" si="122"/>
        <v>0</v>
      </c>
      <c r="H194">
        <v>25</v>
      </c>
      <c r="I194" s="19"/>
      <c r="J194" s="19"/>
      <c r="K194">
        <f t="shared" si="123"/>
        <v>0</v>
      </c>
      <c r="P194" s="93"/>
      <c r="AR194" s="100"/>
      <c r="AS194" s="93"/>
      <c r="BU194" s="100"/>
    </row>
    <row r="195" x14ac:dyDescent="0.25">
      <c r="B195" t="s">
        <v>473</v>
      </c>
      <c r="C195" s="19"/>
      <c r="D195" s="19"/>
      <c r="E195">
        <f t="shared" si="122"/>
        <v>0</v>
      </c>
      <c r="H195">
        <v>26</v>
      </c>
      <c r="I195" s="19"/>
      <c r="J195" s="19"/>
      <c r="K195">
        <f t="shared" si="123"/>
        <v>0</v>
      </c>
      <c r="P195" s="93"/>
      <c r="Q195" s="110" t="str">
        <f>$Q$161</f>
        <v>A.04</v>
      </c>
      <c r="R195" t="str">
        <f>$Q$149</f>
        <v>L2</v>
      </c>
      <c r="S195">
        <f>$E$21</f>
        <v>10.6875</v>
      </c>
      <c r="T195" cm="1">
        <f t="array" ref="T195">IFERROR(IF(S195=0,0,(INDEX($C$33:$C$38,MATCH($W$161,$B$33:$B$38,0),0)*(S199+$X$161)+$T$161*COUNTIF(S195:S198,"&gt;0")*$C$32+$V$161*$C$31)*$R$161),0)</f>
        <v>0</v>
      </c>
      <c r="U195">
        <f>IF(S195=0,0,-(COUNTIF(S195:S198,"&gt;0")*$T$161*$C$32+$V$161*$C$31)*$H$27*$R$161)</f>
        <v>0</v>
      </c>
      <c r="V195">
        <f>IF(S195=0,0,$V$161*$H$26*$R$161)</f>
        <v>0</v>
      </c>
      <c r="W195">
        <f>(0.6*T195+0.7*U195)*$R$161/2</f>
        <v>0</v>
      </c>
      <c r="X195">
        <f>(0.6*T195+0.6*V195)*$R$161/2</f>
        <v>0</v>
      </c>
      <c r="Z195">
        <f>IF(S195=0,0,$AD$161*$AP$149)</f>
        <v>0</v>
      </c>
      <c r="AA195">
        <f>IFERROR(Z195/$R$161,0)</f>
        <v>0</v>
      </c>
      <c r="AB195">
        <f>Z195*($F$21+IF($F$21=0,0,($C$14+$C$15+IF($C$13="single",1.5,3)+3)/12))</f>
        <v>0</v>
      </c>
      <c r="AC195">
        <f>AB195-W195</f>
        <v>0</v>
      </c>
      <c r="AD195" cm="1">
        <f t="array" ref="AD195">IFERROR(IF(AC195&lt;0,0,AC195/($R$161-INDEX(hd_off,MATCH(AQ195,hd_mark,0),0)/12)),0)</f>
        <v>0</v>
      </c>
      <c r="AE195">
        <f>IF(S195=0,0,$AD$161*$AM$149)</f>
        <v>0</v>
      </c>
      <c r="AF195">
        <f>IFERROR(AE195/$R$161,0)</f>
        <v>0</v>
      </c>
      <c r="AG195">
        <f>AE195*($F$21+IF($F$21=0,0,($C$14+$C$15+IF($C$13="single",1.5,3)+3)/12))</f>
        <v>0</v>
      </c>
      <c r="AH195">
        <f>AG195-X195</f>
        <v>0</v>
      </c>
      <c r="AI195" cm="1">
        <f t="array" ref="AI195">IFERROR(IF(AH195&lt;0,0,AH195/($R$161-INDEX(hd_off,MATCH(AQ195,hd_mark,0),0)/12)),0)</f>
        <v>0</v>
      </c>
      <c r="AJ195">
        <f>MAX($F$21,$Y$161)/$Q$180</f>
        <v>0.30172413793103448</v>
      </c>
      <c r="AK195">
        <f>IF(AJ195=0,0,IF(AJ195&gt;2,1.25-0.125*AJ195,1))</f>
        <v>1</v>
      </c>
      <c r="AL195" cm="1">
        <f t="array" ref="AL195">IFERROR(INDEX(sheath_ecap_asd,MATCH(AP195,sheath_mark,0),0)*AK195,0)</f>
        <v>0</v>
      </c>
      <c r="AM195" cm="1">
        <f t="array" ref="AM195">IFERROR(INDEX(sheath_wcap_asd,MATCH(AP195,sheath_mark,0),0)*AK195,0)</f>
        <v>0</v>
      </c>
      <c r="AN195" cm="1">
        <f t="array" ref="AN195">IFERROR(INDEX(hd_cap,MATCH(AQ195,hd_mark,0),0),0)</f>
        <v>0</v>
      </c>
      <c r="AP195" s="19"/>
      <c r="AQ195" s="19"/>
      <c r="AR195" s="100"/>
      <c r="AS195" s="93"/>
      <c r="AT195" s="110" t="str">
        <f>$AT$161</f>
        <v>1.04</v>
      </c>
      <c r="AU195" t="str">
        <f>$Q$149</f>
        <v>L2</v>
      </c>
      <c r="AV195">
        <f>$E$21</f>
        <v>10.6875</v>
      </c>
      <c r="AW195" cm="1">
        <f t="array" ref="AW195">IFERROR(IF(AV195=0,0,(INDEX($C$33:$C$38,MATCH($AZ$161,$B$33:$B$38,0),0)*(AV199+$BA$161)+$AW$161*COUNTIF(AV195:AV198,"&gt;0")*$C$32+$AY$161*$C$31)*$AU$161),0)</f>
        <v>0</v>
      </c>
      <c r="AX195">
        <f>IF(AV195=0,0,-(COUNTIF(AV195:AV198,"&gt;0")*$AW$161*$C$32+$AY$161*$C$31)*$H$27*$AU$161)</f>
        <v>0</v>
      </c>
      <c r="AY195">
        <f>IF(AV195=0,0,$AY$161*$H$26*$AU$161)</f>
        <v>0</v>
      </c>
      <c r="AZ195">
        <f>(0.6*AW195+0.7*AX195)*$AU$161/2</f>
        <v>0</v>
      </c>
      <c r="BA195">
        <f>(0.6*AW195+0.6*AY195)*$AU$161/2</f>
        <v>0</v>
      </c>
      <c r="BC195">
        <f>IF(AV195=0,0,$BG$161*$AP$149)</f>
        <v>0</v>
      </c>
      <c r="BD195">
        <f>IFERROR(BC195/$AU$161,0)</f>
        <v>0</v>
      </c>
      <c r="BE195">
        <f>BC195*($F$21+IF($F$21=0,0,($C$14+$C$15+IF($C$13="single",1.5,3)+3)/12))</f>
        <v>0</v>
      </c>
      <c r="BF195">
        <f>BE195-AZ195</f>
        <v>0</v>
      </c>
      <c r="BG195" cm="1">
        <f t="array" ref="BG195">IFERROR(IF(BF195&lt;0,0,BF195/($AU$161-INDEX(hd_off,MATCH(BT195,hd_mark,0),0)/12)),0)</f>
        <v>0</v>
      </c>
      <c r="BH195">
        <f>IF(AV195=0,0,$BG$161*$AM$149)</f>
        <v>0</v>
      </c>
      <c r="BI195">
        <f>IFERROR(BH195/$AU$161,0)</f>
        <v>0</v>
      </c>
      <c r="BJ195">
        <f>BH195*($F$21+IF($F$21=0,0,($C$14+$C$15+IF($C$13="single",1.5,3)+3)/12))</f>
        <v>0</v>
      </c>
      <c r="BK195">
        <f>BJ195-BA195</f>
        <v>0</v>
      </c>
      <c r="BL195" cm="1">
        <f t="array" ref="BL195">IFERROR(IF(BK195&lt;0,0,BK195/($AU$161-INDEX(hd_off,MATCH(BT195,hd_mark,0),0)/12)),0)</f>
        <v>0</v>
      </c>
      <c r="BM195">
        <f>MAX($F$21,$BB$161)/$Q$180</f>
        <v>0.30172413793103448</v>
      </c>
      <c r="BN195">
        <f>IF(BM195=0,0,IF(BM195&gt;2,1.25-0.125*BM195,1))</f>
        <v>1</v>
      </c>
      <c r="BO195" cm="1">
        <f t="array" ref="BO195">IFERROR(INDEX(sheath_ecap_asd,MATCH(BS195,sheath_mark,0),0)*BN195,0)</f>
        <v>0</v>
      </c>
      <c r="BP195" cm="1">
        <f t="array" ref="BP195">IFERROR(INDEX(sheath_wcap_asd,MATCH(BS195,sheath_mark,0),0)*BN195,0)</f>
        <v>0</v>
      </c>
      <c r="BQ195" cm="1">
        <f t="array" ref="BQ195">IFERROR(INDEX(hd_cap,MATCH(BT195,hd_mark,0),0),0)</f>
        <v>0</v>
      </c>
      <c r="BS195" s="19"/>
      <c r="BT195" s="19"/>
      <c r="BU195" s="100"/>
    </row>
    <row r="196" x14ac:dyDescent="0.25">
      <c r="P196" s="93"/>
      <c r="Q196" s="109"/>
      <c r="R196" t="str">
        <f>$Q$150</f>
        <v>L3</v>
      </c>
      <c r="S196">
        <f>$E$22</f>
        <v>21.375</v>
      </c>
      <c r="T196" cm="1">
        <f t="array" ref="T196">IFERROR(IF(S196=0,0,(INDEX($C$33:$C$38,MATCH($W$161,$B$33:$B$38,0),0)*(S199+$X$161)+$T$161*COUNTIF(S196:S198,"&gt;0")*$C$32+$V$161*$C$31)*$R$161),0)</f>
        <v>0</v>
      </c>
      <c r="U196">
        <f>IF(S196=0,0,-(COUNTIF(S196:S198,"&gt;0")*$T$161*$C$32+$V$161*$C$31)*$H$27*$R$161)</f>
        <v>0</v>
      </c>
      <c r="V196">
        <f>IF(S196=0,0,$V$161*$H$26*$R$161)</f>
        <v>0</v>
      </c>
      <c r="W196">
        <f>(0.6*T196+0.7*U196)*$R$161/2</f>
        <v>0</v>
      </c>
      <c r="X196">
        <f>T196*$R$161/2</f>
        <v>0</v>
      </c>
      <c r="Z196">
        <f>IF(S196=0,0,$AD$161*$AP$150)</f>
        <v>0</v>
      </c>
      <c r="AA196">
        <f>IFERROR(Z196/$R$161,0)</f>
        <v>0</v>
      </c>
      <c r="AB196">
        <f>Z196*($F$22+IF($F$22=0,0,($C$14+$C$15+IF($C$13="single",1.5,3)+3)/12))</f>
        <v>0</v>
      </c>
      <c r="AC196">
        <f>AB196-W196</f>
        <v>0</v>
      </c>
      <c r="AD196" cm="1">
        <f t="array" ref="AD196">IFERROR(IF(AC196&lt;0,0,AC196/($R$161-INDEX(hd_off,MATCH(AQ196,hd_mark,0),0)/12)),0)</f>
        <v>0</v>
      </c>
      <c r="AE196">
        <f>IF(S196=0,0,$AD$161*$AM$150)</f>
        <v>0</v>
      </c>
      <c r="AF196">
        <f>IFERROR(AE196/$R$161,0)</f>
        <v>0</v>
      </c>
      <c r="AG196">
        <f>AE196*($F$22+IF($F$22=0,0,($C$14+$C$15+IF($C$13="single",1.5,3)+3)/12))</f>
        <v>0</v>
      </c>
      <c r="AH196">
        <f>AG196-X196</f>
        <v>0</v>
      </c>
      <c r="AI196" cm="1">
        <f t="array" ref="AI196">IFERROR(IF(AH196&lt;0,0,AH196/($R$161-INDEX(hd_off,MATCH(AQ196,hd_mark,0),0)/12)),0)</f>
        <v>0</v>
      </c>
      <c r="AJ196">
        <f>MAX($F$22,$Z$161)/$Q$180</f>
        <v>0.30172413793103448</v>
      </c>
      <c r="AK196">
        <f t="shared" ref="AK196:AK199" si="131">IF(AJ196=0,0,IF(AJ196&gt;2,1.25-0.125*AJ196,1))</f>
        <v>1</v>
      </c>
      <c r="AL196" cm="1">
        <f t="array" ref="AL196">IFERROR(INDEX(sheath_ecap_asd,MATCH(AP196,sheath_mark,0),0)*AK196,0)</f>
        <v>0</v>
      </c>
      <c r="AM196" cm="1">
        <f t="array" ref="AM196">IFERROR(INDEX(sheath_wcap_asd,MATCH(AP196,sheath_mark,0),0)*AK196,0)</f>
        <v>0</v>
      </c>
      <c r="AN196" cm="1">
        <f t="array" ref="AN196">IFERROR(INDEX(hd_cap,MATCH(AQ196,hd_mark,0),0),0)</f>
        <v>0</v>
      </c>
      <c r="AP196" s="19"/>
      <c r="AQ196" s="19"/>
      <c r="AR196" s="100"/>
      <c r="AS196" s="93"/>
      <c r="AT196" s="109"/>
      <c r="AU196" t="str">
        <f>$Q$150</f>
        <v>L3</v>
      </c>
      <c r="AV196">
        <f>$E$22</f>
        <v>21.375</v>
      </c>
      <c r="AW196" cm="1">
        <f t="array" ref="AW196">IFERROR(IF(AV196=0,0,(INDEX($C$33:$C$38,MATCH($AZ$161,$B$33:$B$38,0),0)*(AV199+$BA$161)+$AW$161*COUNTIF(AV196:AV198,"&gt;0")*$C$32+$AY$161*$C$31)*$AU$161),0)</f>
        <v>0</v>
      </c>
      <c r="AX196">
        <f>IF(AV196=0,0,-(COUNTIF(AV196:AV198,"&gt;0")*$AW$161*$C$32+$AY$161*$C$31)*$H$27*$AU$161)</f>
        <v>0</v>
      </c>
      <c r="AY196">
        <f>IF(AV196=0,0,$AY$161*$H$26*$AU$161)</f>
        <v>0</v>
      </c>
      <c r="AZ196">
        <f>(0.6*AW196+0.7*AX196)*$AU$161/2</f>
        <v>0</v>
      </c>
      <c r="BA196">
        <f>AW196*$AU$161/2</f>
        <v>0</v>
      </c>
      <c r="BC196">
        <f>IF(AV196=0,0,$BG$161*$AP$150)</f>
        <v>0</v>
      </c>
      <c r="BD196">
        <f>IFERROR(BC196/$AU$161,0)</f>
        <v>0</v>
      </c>
      <c r="BE196">
        <f>BC196*($F$22+IF($F$22=0,0,($C$14+$C$15+IF($C$13="single",1.5,3)+3)/12))</f>
        <v>0</v>
      </c>
      <c r="BF196">
        <f>BE196-AZ196</f>
        <v>0</v>
      </c>
      <c r="BG196" cm="1">
        <f t="array" ref="BG196">IFERROR(IF(BF196&lt;0,0,BF196/($AU$161-INDEX(hd_off,MATCH(BT196,hd_mark,0),0)/12)),0)</f>
        <v>0</v>
      </c>
      <c r="BH196">
        <f>IF(AV196=0,0,$BG$161*$AM$150)</f>
        <v>0</v>
      </c>
      <c r="BI196">
        <f>IFERROR(BH196/$AU$161,0)</f>
        <v>0</v>
      </c>
      <c r="BJ196">
        <f>BH196*($F$22+IF($F$22=0,0,($C$14+$C$15+IF($C$13="single",1.5,3)+3)/12))</f>
        <v>0</v>
      </c>
      <c r="BK196">
        <f>BJ196-BA196</f>
        <v>0</v>
      </c>
      <c r="BL196" cm="1">
        <f t="array" ref="BL196">IFERROR(IF(BK196&lt;0,0,BK196/($AU$161-INDEX(hd_off,MATCH(BT196,hd_mark,0),0)/12)),0)</f>
        <v>0</v>
      </c>
      <c r="BM196">
        <f>MAX($F$22,$BC$161)/$Q$180</f>
        <v>0.30172413793103448</v>
      </c>
      <c r="BN196">
        <f t="shared" ref="BN196:BN199" si="132">IF(BM196=0,0,IF(BM196&gt;2,1.25-0.125*BM196,1))</f>
        <v>1</v>
      </c>
      <c r="BO196" cm="1">
        <f t="array" ref="BO196">IFERROR(INDEX(sheath_ecap_asd,MATCH(BS196,sheath_mark,0),0)*BN196,0)</f>
        <v>0</v>
      </c>
      <c r="BP196" cm="1">
        <f t="array" ref="BP196">IFERROR(INDEX(sheath_wcap_asd,MATCH(BS196,sheath_mark,0),0)*BN196,0)</f>
        <v>0</v>
      </c>
      <c r="BQ196" cm="1">
        <f t="array" ref="BQ196">IFERROR(INDEX(hd_cap,MATCH(BT196,hd_mark,0),0),0)</f>
        <v>0</v>
      </c>
      <c r="BS196" s="19"/>
      <c r="BT196" s="19"/>
      <c r="BU196" s="100"/>
    </row>
    <row r="197" x14ac:dyDescent="0.25">
      <c r="B197" s="1"/>
      <c r="P197" s="93"/>
      <c r="Q197" s="109" t="s">
        <v>491</v>
      </c>
      <c r="R197" t="str">
        <f>$Q$151</f>
        <v>L4</v>
      </c>
      <c r="S197">
        <f>$E$23</f>
        <v>0</v>
      </c>
      <c r="T197" cm="1">
        <f t="array" ref="T197">IFERROR(IF(S197=0,0,(INDEX($C$33:$C$38,MATCH($W$161,$B$33:$B$38,0),0)*(S199+$X$161)+$T$161*COUNTIF(S197:S198,"&gt;0")*$C$32+$V$161*$C$31)*$R$161),0)</f>
        <v>0</v>
      </c>
      <c r="U197">
        <f>IF(S197=0,0,-(COUNTIF(S197:S198,"&gt;0")*$T$161*$C$32+$V$161*$C$31)*$H$27*$R$161)</f>
        <v>0</v>
      </c>
      <c r="V197">
        <f>IF(S197=0,0,$V$161*$H$26*$R$161)</f>
        <v>0</v>
      </c>
      <c r="W197">
        <f>(0.6*T197+0.7*U197)*$R$161/2</f>
        <v>0</v>
      </c>
      <c r="X197">
        <f>T197*$R$161/2</f>
        <v>0</v>
      </c>
      <c r="Z197">
        <f>IF(S197=0,0,$AD$161*$AP$151)</f>
        <v>0</v>
      </c>
      <c r="AA197">
        <f>IFERROR(Z197/$R$161,0)</f>
        <v>0</v>
      </c>
      <c r="AB197">
        <f>Z197*($F$23+IF($F$23=0,0,($C$14+$C$15+IF($C$13="single",1.5,3)+3)/12))</f>
        <v>0</v>
      </c>
      <c r="AC197">
        <f>AB197-W197</f>
        <v>0</v>
      </c>
      <c r="AD197" cm="1">
        <f t="array" ref="AD197">IFERROR(IF(AC197&lt;0,0,AC197/($R$161-INDEX(hd_off,MATCH(AQ197,hd_mark,0),0)/12)),0)</f>
        <v>0</v>
      </c>
      <c r="AE197">
        <f>IF(S197=0,0,$AD$161*$AM$151)</f>
        <v>0</v>
      </c>
      <c r="AF197">
        <f>IFERROR(AE197/$R$161,0)</f>
        <v>0</v>
      </c>
      <c r="AG197">
        <f>AE197*($F$23+IF($F$23=0,0,($C$14+$C$15+IF($C$13="single",1.5,3)+3)/12))</f>
        <v>0</v>
      </c>
      <c r="AH197">
        <f>AG197-X197</f>
        <v>0</v>
      </c>
      <c r="AI197" cm="1">
        <f t="array" ref="AI197">IFERROR(IF(AH197&lt;0,0,AH197/($R$161-INDEX(hd_off,MATCH(AQ197,hd_mark,0),0)/12)),0)</f>
        <v>0</v>
      </c>
      <c r="AJ197">
        <f>MAX($F$23,$AA$161)/$Q$180</f>
        <v>0</v>
      </c>
      <c r="AK197">
        <f t="shared" si="131"/>
        <v>0</v>
      </c>
      <c r="AL197" cm="1">
        <f t="array" ref="AL197">IFERROR(INDEX(sheath_ecap_asd,MATCH(AP197,sheath_mark,0),0)*AK197,0)</f>
        <v>0</v>
      </c>
      <c r="AM197" cm="1">
        <f t="array" ref="AM197">IFERROR(INDEX(sheath_wcap_asd,MATCH(AP197,sheath_mark,0),0)*AK197,0)</f>
        <v>0</v>
      </c>
      <c r="AN197" cm="1">
        <f t="array" ref="AN197">IFERROR(INDEX(hd_cap,MATCH(AQ197,hd_mark,0),0),0)</f>
        <v>0</v>
      </c>
      <c r="AP197" s="19"/>
      <c r="AQ197" s="19"/>
      <c r="AR197" s="100"/>
      <c r="AS197" s="93"/>
      <c r="AT197" s="109" t="s">
        <v>491</v>
      </c>
      <c r="AU197" t="str">
        <f>$Q$151</f>
        <v>L4</v>
      </c>
      <c r="AV197">
        <f>$E$23</f>
        <v>0</v>
      </c>
      <c r="AW197" cm="1">
        <f t="array" ref="AW197">IFERROR(IF(AV197=0,0,(INDEX($C$33:$C$38,MATCH($AZ$161,$B$33:$B$38,0),0)*(AV199+$BA$161)+$AW$161*COUNTIF(AV197:AV198,"&gt;0")*$C$32+$AY$161*$C$31)*$AU$161),0)</f>
        <v>0</v>
      </c>
      <c r="AX197">
        <f>IF(AV197=0,0,-(COUNTIF(AV197:AV198,"&gt;0")*$AW$161*$C$32+$AY$161*$C$31)*$H$27*$AU$161)</f>
        <v>0</v>
      </c>
      <c r="AY197">
        <f>IF(AV197=0,0,$AY$161*$H$26*$AU$161)</f>
        <v>0</v>
      </c>
      <c r="AZ197">
        <f>(0.6*AW197+0.7*AX197)*$AU$161/2</f>
        <v>0</v>
      </c>
      <c r="BA197">
        <f>AW197*$AU$161/2</f>
        <v>0</v>
      </c>
      <c r="BC197">
        <f>IF(AV197=0,0,$BG$161*$AP$151)</f>
        <v>0</v>
      </c>
      <c r="BD197">
        <f>IFERROR(BC197/$AU$161,0)</f>
        <v>0</v>
      </c>
      <c r="BE197">
        <f>BC197*($F$23+IF($F$23=0,0,($C$14+$C$15+IF($C$13="single",1.5,3)+3)/12))</f>
        <v>0</v>
      </c>
      <c r="BF197">
        <f>BE197-AZ197</f>
        <v>0</v>
      </c>
      <c r="BG197" cm="1">
        <f t="array" ref="BG197">IFERROR(IF(BF197&lt;0,0,BF197/($AU$161-INDEX(hd_off,MATCH(BT197,hd_mark,0),0)/12)),0)</f>
        <v>0</v>
      </c>
      <c r="BH197">
        <f>IF(AV197=0,0,$BG$161*$AM$151)</f>
        <v>0</v>
      </c>
      <c r="BI197">
        <f>IFERROR(BH197/$AU$161,0)</f>
        <v>0</v>
      </c>
      <c r="BJ197">
        <f>BH197*($F$23+IF($F$23=0,0,($C$14+$C$15+IF($C$13="single",1.5,3)+3)/12))</f>
        <v>0</v>
      </c>
      <c r="BK197">
        <f>BJ197-BA197</f>
        <v>0</v>
      </c>
      <c r="BL197" cm="1">
        <f t="array" ref="BL197">IFERROR(IF(BK197&lt;0,0,BK197/($AU$161-INDEX(hd_off,MATCH(BT197,hd_mark,0),0)/12)),0)</f>
        <v>0</v>
      </c>
      <c r="BM197">
        <f>MAX($F$23,$BD$161)/$Q$180</f>
        <v>0</v>
      </c>
      <c r="BN197">
        <f t="shared" si="132"/>
        <v>0</v>
      </c>
      <c r="BO197" cm="1">
        <f t="array" ref="BO197">IFERROR(INDEX(sheath_ecap_asd,MATCH(BS197,sheath_mark,0),0)*BN197,0)</f>
        <v>0</v>
      </c>
      <c r="BP197" cm="1">
        <f t="array" ref="BP197">IFERROR(INDEX(sheath_wcap_asd,MATCH(BS197,sheath_mark,0),0)*BN197,0)</f>
        <v>0</v>
      </c>
      <c r="BQ197" cm="1">
        <f t="array" ref="BQ197">IFERROR(INDEX(hd_cap,MATCH(BT197,hd_mark,0),0),0)</f>
        <v>0</v>
      </c>
      <c r="BS197" s="19"/>
      <c r="BT197" s="19"/>
      <c r="BU197" s="100"/>
    </row>
    <row r="198" x14ac:dyDescent="0.25">
      <c r="P198" s="93"/>
      <c r="Q198" s="111">
        <f>$R$161</f>
        <v>0</v>
      </c>
      <c r="R198" t="str">
        <f>$Q$152</f>
        <v>L5</v>
      </c>
      <c r="S198">
        <f>$E$24</f>
        <v>0</v>
      </c>
      <c r="T198" cm="1">
        <f t="array" ref="T198">IFERROR(IF(S198=0,0,(INDEX($C$33:$C$38,MATCH($W$161,$B$33:$B$38,0),0)*(S199+$X$161)+$T$161*COUNTIF(S198:S198,"&gt;0")*$C$32+$V$161*$C$31)*$R$161),0)</f>
        <v>0</v>
      </c>
      <c r="U198">
        <f>IF(S198=0,0,-(COUNTIF(S198:S198,"&gt;0")*$T$161*$C$32+$V$161*$C$31)*$H$27*$R$161)</f>
        <v>0</v>
      </c>
      <c r="V198">
        <f>IF(S198=0,0,$V$161*$H$26*$R$161)</f>
        <v>0</v>
      </c>
      <c r="W198">
        <f>(0.6*T198+0.7*U198)*$R$161/2</f>
        <v>0</v>
      </c>
      <c r="X198">
        <f>T198*$R$161/2</f>
        <v>0</v>
      </c>
      <c r="Z198">
        <f>IF(S198=0,0,$AD$161*$AP$152)</f>
        <v>0</v>
      </c>
      <c r="AA198">
        <f>IFERROR(Z198/$R$161,0)</f>
        <v>0</v>
      </c>
      <c r="AB198">
        <f>Z198*($F$24+IF($F$24=0,0,($C$14+$C$15+IF($C$13="single",1.5,3)+3)/12))</f>
        <v>0</v>
      </c>
      <c r="AC198">
        <f>AB198-W198</f>
        <v>0</v>
      </c>
      <c r="AD198" cm="1">
        <f t="array" ref="AD198">IFERROR(IF(AC198&lt;0,0,AC198/($R$161-INDEX(hd_off,MATCH(AQ198,hd_mark,0),0)/12)),0)</f>
        <v>0</v>
      </c>
      <c r="AE198">
        <f>IF(S198=0,0,$AD$161*$AM$152)</f>
        <v>0</v>
      </c>
      <c r="AF198">
        <f>IFERROR(AE198/$R$161,0)</f>
        <v>0</v>
      </c>
      <c r="AG198">
        <f>AE198*($F$24+IF($F$24=0,0,($C$14+$C$15+IF($C$13="single",1.5,3)+3)/12))</f>
        <v>0</v>
      </c>
      <c r="AH198">
        <f>AG198-X198</f>
        <v>0</v>
      </c>
      <c r="AI198" cm="1">
        <f t="array" ref="AI198">IFERROR(IF(AH198&lt;0,0,AH198/($R$161-INDEX(hd_off,MATCH(AQ198,hd_mark,0),0)/12)),0)</f>
        <v>0</v>
      </c>
      <c r="AJ198">
        <f>MAX($F$24,$AB$161)/$Q$180</f>
        <v>0</v>
      </c>
      <c r="AK198">
        <f t="shared" si="131"/>
        <v>0</v>
      </c>
      <c r="AL198" cm="1">
        <f t="array" ref="AL198">IFERROR(INDEX(sheath_ecap_asd,MATCH(AP198,sheath_mark,0),0)*AK198,0)</f>
        <v>0</v>
      </c>
      <c r="AM198" cm="1">
        <f t="array" ref="AM198">IFERROR(INDEX(sheath_wcap_asd,MATCH(AP198,sheath_mark,0),0)*AK198,0)</f>
        <v>0</v>
      </c>
      <c r="AN198" cm="1">
        <f t="array" ref="AN198">IFERROR(INDEX(hd_cap,MATCH(AQ198,hd_mark,0),0),0)</f>
        <v>0</v>
      </c>
      <c r="AP198" s="19"/>
      <c r="AQ198" s="19"/>
      <c r="AR198" s="100"/>
      <c r="AS198" s="93"/>
      <c r="AT198" s="111">
        <f>$R$161</f>
        <v>0</v>
      </c>
      <c r="AU198" t="str">
        <f>$Q$152</f>
        <v>L5</v>
      </c>
      <c r="AV198">
        <f>$E$24</f>
        <v>0</v>
      </c>
      <c r="AW198" cm="1">
        <f t="array" ref="AW198">IFERROR(IF(AV198=0,0,(INDEX($C$33:$C$38,MATCH($AZ$161,$B$33:$B$38,0),0)*(AV199+$BA$161)+$AW$161*COUNTIF(AV198:AV198,"&gt;0")*$C$32+$AY$161*$C$31)*$AU$161),0)</f>
        <v>0</v>
      </c>
      <c r="AX198">
        <f>IF(AV198=0,0,-(COUNTIF(AV198:AV198,"&gt;0")*$AW$161*$C$32+$AY$161*$C$31)*$H$27*$AU$161)</f>
        <v>0</v>
      </c>
      <c r="AY198">
        <f>IF(AV198=0,0,$AY$161*$H$26*$AU$161)</f>
        <v>0</v>
      </c>
      <c r="AZ198">
        <f>(0.6*AW198+0.7*AX198)*$AU$161/2</f>
        <v>0</v>
      </c>
      <c r="BA198">
        <f>AW198*$AU$161/2</f>
        <v>0</v>
      </c>
      <c r="BC198">
        <f>IF(AV198=0,0,$BG$161*$AP$152)</f>
        <v>0</v>
      </c>
      <c r="BD198">
        <f>IFERROR(BC198/$AU$161,0)</f>
        <v>0</v>
      </c>
      <c r="BE198">
        <f>BC198*($F$24+IF($F$24=0,0,($C$14+$C$15+IF($C$13="single",1.5,3)+3)/12))</f>
        <v>0</v>
      </c>
      <c r="BF198">
        <f>BE198-AZ198</f>
        <v>0</v>
      </c>
      <c r="BG198" cm="1">
        <f t="array" ref="BG198">IFERROR(IF(BF198&lt;0,0,BF198/($AU$161-INDEX(hd_off,MATCH(BT198,hd_mark,0),0)/12)),0)</f>
        <v>0</v>
      </c>
      <c r="BH198">
        <f>IF(AV198=0,0,$BG$161*$AM$152)</f>
        <v>0</v>
      </c>
      <c r="BI198">
        <f>IFERROR(BH198/$AU$161,0)</f>
        <v>0</v>
      </c>
      <c r="BJ198">
        <f>BH198*($F$24+IF($F$24=0,0,($C$14+$C$15+IF($C$13="single",1.5,3)+3)/12))</f>
        <v>0</v>
      </c>
      <c r="BK198">
        <f>BJ198-BA198</f>
        <v>0</v>
      </c>
      <c r="BL198" cm="1">
        <f t="array" ref="BL198">IFERROR(IF(BK198&lt;0,0,BK198/($AU$161-INDEX(hd_off,MATCH(BT198,hd_mark,0),0)/12)),0)</f>
        <v>0</v>
      </c>
      <c r="BM198">
        <f>MAX($F$24,$BE$161)/$Q$180</f>
        <v>0</v>
      </c>
      <c r="BN198">
        <f t="shared" si="132"/>
        <v>0</v>
      </c>
      <c r="BO198" cm="1">
        <f t="array" ref="BO198">IFERROR(INDEX(sheath_ecap_asd,MATCH(BS198,sheath_mark,0),0)*BN198,0)</f>
        <v>0</v>
      </c>
      <c r="BP198" cm="1">
        <f t="array" ref="BP198">IFERROR(INDEX(sheath_wcap_asd,MATCH(BS198,sheath_mark,0),0)*BN198,0)</f>
        <v>0</v>
      </c>
      <c r="BQ198" cm="1">
        <f t="array" ref="BQ198">IFERROR(INDEX(hd_cap,MATCH(BT198,hd_mark,0),0),0)</f>
        <v>0</v>
      </c>
      <c r="BS198" s="19"/>
      <c r="BT198" s="19"/>
      <c r="BU198" s="100"/>
    </row>
    <row r="199" x14ac:dyDescent="0.25">
      <c r="P199" s="93"/>
      <c r="Q199" s="109"/>
      <c r="R199" t="str">
        <f>$Q$153</f>
        <v>Roof</v>
      </c>
      <c r="S199">
        <f>$E$25</f>
        <v>33.171875</v>
      </c>
      <c r="T199" cm="1">
        <f t="array" ref="T199">IFERROR(IF(S199=0,0,(INDEX($C$33:$C$38,MATCH($W$161,$B$33:$B$38,0),0)*(S199+$X$161)+$V$161*$C$31)*$R$161),0)</f>
        <v>0</v>
      </c>
      <c r="U199">
        <f>IF(S199=0,0,-$V$161*$C$31*$H$27*$R$161)</f>
        <v>0</v>
      </c>
      <c r="V199">
        <f>IF(S199=0,0,$V$161*$H$26*$R$161)</f>
        <v>0</v>
      </c>
      <c r="W199">
        <f>(0.6*T199+0.7*U199)*$R$161/2</f>
        <v>0</v>
      </c>
      <c r="X199">
        <f>T199*$R$161/2</f>
        <v>0</v>
      </c>
      <c r="Z199">
        <f>IF(S199=0,0,$AD$161*$AP$153)</f>
        <v>0</v>
      </c>
      <c r="AA199">
        <f>IFERROR(Z199/$R$161,0)</f>
        <v>0</v>
      </c>
      <c r="AB199">
        <f>Z199*($F$25+($C$16+$C$17+IF($C$13="single",1.5,3)+3)/12)</f>
        <v>0</v>
      </c>
      <c r="AC199">
        <f>AB199-W199</f>
        <v>0</v>
      </c>
      <c r="AD199" cm="1">
        <f t="array" ref="AD199">IFERROR(IF(AC199&lt;0,0,AC199/($R$161-INDEX(hd_off,MATCH(AQ199,hd_mark,0),0)/12)),0)</f>
        <v>0</v>
      </c>
      <c r="AE199">
        <f>IF(S199=0,0,$AD$161*$AM$153)</f>
        <v>0</v>
      </c>
      <c r="AF199">
        <f>IFERROR(AE199/$R$161,0)</f>
        <v>0</v>
      </c>
      <c r="AG199">
        <f>AE199*($F$25+($C$16+$C$17+IF($C$13="single",1.5,3)+3)/12)</f>
        <v>0</v>
      </c>
      <c r="AH199">
        <f>AG199-X199</f>
        <v>0</v>
      </c>
      <c r="AI199" cm="1">
        <f t="array" ref="AI199">IFERROR(IF(AH199&lt;0,0,AH199/($R$161-INDEX(hd_off,MATCH(AQ199,hd_mark,0),0)/12)),0)</f>
        <v>0</v>
      </c>
      <c r="AJ199">
        <f>MAX($F$25,$AC$161)/$Q$180</f>
        <v>0.29920977011494249</v>
      </c>
      <c r="AK199">
        <f t="shared" si="131"/>
        <v>1</v>
      </c>
      <c r="AL199" cm="1">
        <f t="array" ref="AL199">IFERROR(INDEX(sheath_ecap_asd,MATCH(AP199,sheath_mark,0),0)*AK199,0)</f>
        <v>0</v>
      </c>
      <c r="AM199" cm="1">
        <f t="array" ref="AM199">IFERROR(INDEX(sheath_wcap_asd,MATCH(AP199,sheath_mark,0),0)*AK199,0)</f>
        <v>0</v>
      </c>
      <c r="AN199" cm="1">
        <f t="array" ref="AN199">IFERROR(INDEX(hd_cap,MATCH(AQ199,hd_mark,0),0),0)</f>
        <v>0</v>
      </c>
      <c r="AP199" s="19"/>
      <c r="AQ199" s="19"/>
      <c r="AR199" s="100"/>
      <c r="AS199" s="93"/>
      <c r="AT199" s="109"/>
      <c r="AU199" t="str">
        <f>$Q$153</f>
        <v>Roof</v>
      </c>
      <c r="AV199">
        <f>$E$25</f>
        <v>33.171875</v>
      </c>
      <c r="AW199" cm="1">
        <f t="array" ref="AW199">IFERROR(IF(AV199=0,0,(INDEX($C$33:$C$38,MATCH($AZ$161,$B$33:$B$38,0),0)*(AV199+$BA$161)+$AY$161*$C$31)*$AU$161),0)</f>
        <v>0</v>
      </c>
      <c r="AX199">
        <f>IF(AV199=0,0,-$AY$161*$C$31*$H$27*$AU$161)</f>
        <v>0</v>
      </c>
      <c r="AY199">
        <f>IF(AV199=0,0,$AY$161*$H$26*$AU$161)</f>
        <v>0</v>
      </c>
      <c r="AZ199">
        <f>(0.6*AW199+0.7*AX199)*$AU$161/2</f>
        <v>0</v>
      </c>
      <c r="BA199">
        <f>AW199*$AU$161/2</f>
        <v>0</v>
      </c>
      <c r="BC199">
        <f>IF(AV199=0,0,$BG$161*$AP$153)</f>
        <v>0</v>
      </c>
      <c r="BD199">
        <f>IFERROR(BC199/$AU$161,0)</f>
        <v>0</v>
      </c>
      <c r="BE199">
        <f>BC199*($F$25+($C$16+$C$17+IF($C$13="single",1.5,3)+3)/12)</f>
        <v>0</v>
      </c>
      <c r="BF199">
        <f>BE199-AZ199</f>
        <v>0</v>
      </c>
      <c r="BG199" cm="1">
        <f t="array" ref="BG199">IFERROR(IF(BF199&lt;0,0,BF199/($AU$161-INDEX(hd_off,MATCH(BT199,hd_mark,0),0)/12)),0)</f>
        <v>0</v>
      </c>
      <c r="BH199">
        <f>IF(AV199=0,0,$BG$161*$AM$153)</f>
        <v>0</v>
      </c>
      <c r="BI199">
        <f>IFERROR(BH199/$AU$161,0)</f>
        <v>0</v>
      </c>
      <c r="BJ199">
        <f>BH199*($F$25+($C$16+$C$17+IF($C$13="single",1.5,3)+3)/12)</f>
        <v>0</v>
      </c>
      <c r="BK199">
        <f>BJ199-BA199</f>
        <v>0</v>
      </c>
      <c r="BL199" cm="1">
        <f t="array" ref="BL199">IFERROR(IF(BK199&lt;0,0,BK199/($AU$161-INDEX(hd_off,MATCH(BT199,hd_mark,0),0)/12)),0)</f>
        <v>0</v>
      </c>
      <c r="BM199">
        <f>MAX($F$25,$BF$161)/$Q$180</f>
        <v>0.29920977011494249</v>
      </c>
      <c r="BN199">
        <f t="shared" si="132"/>
        <v>1</v>
      </c>
      <c r="BO199" cm="1">
        <f t="array" ref="BO199">IFERROR(INDEX(sheath_ecap_asd,MATCH(BS199,sheath_mark,0),0)*BN199,0)</f>
        <v>0</v>
      </c>
      <c r="BP199" cm="1">
        <f t="array" ref="BP199">IFERROR(INDEX(sheath_wcap_asd,MATCH(BS199,sheath_mark,0),0)*BN199,0)</f>
        <v>0</v>
      </c>
      <c r="BQ199" cm="1">
        <f t="array" ref="BQ199">IFERROR(INDEX(hd_cap,MATCH(BT199,hd_mark,0),0),0)</f>
        <v>0</v>
      </c>
      <c r="BS199" s="19"/>
      <c r="BT199" s="19"/>
      <c r="BU199" s="100"/>
    </row>
    <row r="200" x14ac:dyDescent="0.25">
      <c r="P200" s="93"/>
      <c r="AR200" s="100"/>
      <c r="AS200" s="93"/>
      <c r="BU200" s="100"/>
    </row>
    <row r="201" x14ac:dyDescent="0.25">
      <c r="P201" s="93"/>
      <c r="Q201" s="110" t="str">
        <f>$Q$162</f>
        <v>A.05</v>
      </c>
      <c r="R201" t="str">
        <f>$Q$149</f>
        <v>L2</v>
      </c>
      <c r="S201">
        <f>$E$21</f>
        <v>10.6875</v>
      </c>
      <c r="T201" cm="1">
        <f t="array" ref="T201">IFERROR(IF(S201=0,0,(INDEX($C$33:$C$38,MATCH($W$162,$B$33:$B$38,0),0)*(S205+$X$162)+$T$162*COUNTIF(S201:S204,"&gt;0")*$C$32+$V$162*$C$31)*$R$162),0)</f>
        <v>0</v>
      </c>
      <c r="U201">
        <f>IF(S201=0,0,-(COUNTIF(S201:S204,"&gt;0")*$T$162*$C$32+$V$162*$C$31)*$H$27*$R$162)</f>
        <v>0</v>
      </c>
      <c r="V201">
        <f>IF(S201=0,0,$V$162*$H$26*$R$162)</f>
        <v>0</v>
      </c>
      <c r="W201">
        <f>(0.6*T201+0.7*U201)*$R$162/2</f>
        <v>0</v>
      </c>
      <c r="X201">
        <f>(0.6*T201+0.6*V201)*$R$162/2</f>
        <v>0</v>
      </c>
      <c r="Z201">
        <f>IF(S201=0,0,$AD$162*$AP$149)</f>
        <v>0</v>
      </c>
      <c r="AA201">
        <f>IFERROR(Z201/$R$162,0)</f>
        <v>0</v>
      </c>
      <c r="AB201">
        <f>Z201*($F$21+IF($F$21=0,0,($C$14+$C$15+IF($C$13="single",1.5,3)+3)/12))</f>
        <v>0</v>
      </c>
      <c r="AC201">
        <f>AB201-W201</f>
        <v>0</v>
      </c>
      <c r="AD201" cm="1">
        <f t="array" ref="AD201">IFERROR(IF(AC201&lt;0,0,AC201/($R$162-INDEX(hd_off,MATCH(AQ201,hd_mark,0),0)/12)),0)</f>
        <v>0</v>
      </c>
      <c r="AE201">
        <f>IF(S201=0,0,$AD$162*$AM$149)</f>
        <v>0</v>
      </c>
      <c r="AF201">
        <f>IFERROR(AE201/$R$162,0)</f>
        <v>0</v>
      </c>
      <c r="AG201">
        <f>AE201*($F$21+IF($F$21=0,0,($C$14+$C$15+IF($C$13="single",1.5,3)+3)/12))</f>
        <v>0</v>
      </c>
      <c r="AH201">
        <f>AG201-X201</f>
        <v>0</v>
      </c>
      <c r="AI201" cm="1">
        <f t="array" ref="AI201">IFERROR(IF(AH201&lt;0,0,AH201/($R$162-INDEX(hd_off,MATCH(AQ201,hd_mark,0),0)/12)),0)</f>
        <v>0</v>
      </c>
      <c r="AJ201">
        <f>MAX($F$21,$Y$162)/$Q$180</f>
        <v>0.30172413793103448</v>
      </c>
      <c r="AK201">
        <f>IF(AJ201=0,0,IF(AJ201&gt;2,1.25-0.125*AJ201,1))</f>
        <v>1</v>
      </c>
      <c r="AL201" cm="1">
        <f t="array" ref="AL201">IFERROR(INDEX(sheath_ecap_asd,MATCH(AP201,sheath_mark,0),0)*AK201,0)</f>
        <v>0</v>
      </c>
      <c r="AM201" cm="1">
        <f t="array" ref="AM201">IFERROR(INDEX(sheath_wcap_asd,MATCH(AP201,sheath_mark,0),0)*AK201,0)</f>
        <v>0</v>
      </c>
      <c r="AN201" cm="1">
        <f t="array" ref="AN201">IFERROR(INDEX(hd_cap,MATCH(AQ201,hd_mark,0),0),0)</f>
        <v>0</v>
      </c>
      <c r="AP201" s="19"/>
      <c r="AQ201" s="19"/>
      <c r="AR201" s="100"/>
      <c r="AS201" s="93"/>
      <c r="AT201" s="110" t="str">
        <f>$AT$162</f>
        <v>1.05</v>
      </c>
      <c r="AU201" t="str">
        <f>$Q$149</f>
        <v>L2</v>
      </c>
      <c r="AV201">
        <f>$E$21</f>
        <v>10.6875</v>
      </c>
      <c r="AW201" cm="1">
        <f t="array" ref="AW201">IFERROR(IF(AV201=0,0,(INDEX($C$33:$C$38,MATCH($AZ$162,$B$33:$B$38,0),0)*(AV205+$BA$162)+$AW$162*COUNTIF(AV201:AV204,"&gt;0")*$C$32+$AY$162*$C$31)*$AU$162),0)</f>
        <v>0</v>
      </c>
      <c r="AX201">
        <f>IF(AV201=0,0,-(COUNTIF(AV201:AV204,"&gt;0")*$AW$162*$C$32+$AY$162*$C$31)*$H$27*$AU$162)</f>
        <v>0</v>
      </c>
      <c r="AY201">
        <f>IF(AV201=0,0,$AY$162*$H$26*$AU$162)</f>
        <v>0</v>
      </c>
      <c r="AZ201">
        <f>(0.6*AW201+0.7*AX201)*$AU$162/2</f>
        <v>0</v>
      </c>
      <c r="BA201">
        <f>(0.6*AW201+0.6*AY201)*$AU$162/2</f>
        <v>0</v>
      </c>
      <c r="BC201">
        <f>IF(AV201=0,0,$BG$162*$AP$149)</f>
        <v>0</v>
      </c>
      <c r="BD201">
        <f>IFERROR(BC201/$AU$162,0)</f>
        <v>0</v>
      </c>
      <c r="BE201">
        <f>BC201*($F$21+IF($F$21=0,0,($C$14+$C$15+IF($C$13="single",1.5,3)+3)/12))</f>
        <v>0</v>
      </c>
      <c r="BF201">
        <f>BE201-AZ201</f>
        <v>0</v>
      </c>
      <c r="BG201" cm="1">
        <f t="array" ref="BG201">IFERROR(IF(BF201&lt;0,0,BF201/($AU$162-INDEX(hd_off,MATCH(BT201,hd_mark,0),0)/12)),0)</f>
        <v>0</v>
      </c>
      <c r="BH201">
        <f>IF(AV201=0,0,$BG$162*$AM$149)</f>
        <v>0</v>
      </c>
      <c r="BI201">
        <f>IFERROR(BH201/$AU$162,0)</f>
        <v>0</v>
      </c>
      <c r="BJ201">
        <f>BH201*($F$21+IF($F$21=0,0,($C$14+$C$15+IF($C$13="single",1.5,3)+3)/12))</f>
        <v>0</v>
      </c>
      <c r="BK201">
        <f>BJ201-BA201</f>
        <v>0</v>
      </c>
      <c r="BL201" cm="1">
        <f t="array" ref="BL201">IFERROR(IF(BK201&lt;0,0,BK201/($AU$162-INDEX(hd_off,MATCH(BT201,hd_mark,0),0)/12)),0)</f>
        <v>0</v>
      </c>
      <c r="BM201">
        <f>MAX($F$21,$BB$162)/$Q$180</f>
        <v>0.30172413793103448</v>
      </c>
      <c r="BN201">
        <f>IF(BM201=0,0,IF(BM201&gt;2,1.25-0.125*BM201,1))</f>
        <v>1</v>
      </c>
      <c r="BO201" cm="1">
        <f t="array" ref="BO201">IFERROR(INDEX(sheath_ecap_asd,MATCH(BS201,sheath_mark,0),0)*BN201,0)</f>
        <v>0</v>
      </c>
      <c r="BP201" cm="1">
        <f t="array" ref="BP201">IFERROR(INDEX(sheath_wcap_asd,MATCH(BS201,sheath_mark,0),0)*BN201,0)</f>
        <v>0</v>
      </c>
      <c r="BQ201" cm="1">
        <f t="array" ref="BQ201">IFERROR(INDEX(hd_cap,MATCH(BT201,hd_mark,0),0),0)</f>
        <v>0</v>
      </c>
      <c r="BS201" s="19"/>
      <c r="BT201" s="19"/>
      <c r="BU201" s="100"/>
    </row>
    <row r="202" x14ac:dyDescent="0.25">
      <c r="B202" s="1"/>
      <c r="P202" s="93"/>
      <c r="Q202" s="109"/>
      <c r="R202" t="str">
        <f>$Q$150</f>
        <v>L3</v>
      </c>
      <c r="S202">
        <f>$E$22</f>
        <v>21.375</v>
      </c>
      <c r="T202" cm="1">
        <f t="array" ref="T202">IFERROR(IF(S202=0,0,(INDEX($C$33:$C$38,MATCH($W$162,$B$33:$B$38,0),0)*(S205+$X$162)+$T$162*COUNTIF(S202:S204,"&gt;0")*$C$32+$V$162*$C$31)*$R$162),0)</f>
        <v>0</v>
      </c>
      <c r="U202">
        <f>IF(S202=0,0,-(COUNTIF(S202:S204,"&gt;0")*$T$162*$C$32+$V$162*$C$31)*$H$27*$R$162)</f>
        <v>0</v>
      </c>
      <c r="V202">
        <f>IF(S202=0,0,$V$162*$H$26*$R$162)</f>
        <v>0</v>
      </c>
      <c r="W202">
        <f>(0.6*T202+0.7*U202)*$R$162/2</f>
        <v>0</v>
      </c>
      <c r="X202">
        <f>T202*$R$162/2</f>
        <v>0</v>
      </c>
      <c r="Z202">
        <f>IF(S202=0,0,$AD$162*$AP$150)</f>
        <v>0</v>
      </c>
      <c r="AA202">
        <f>IFERROR(Z202/$R$162,0)</f>
        <v>0</v>
      </c>
      <c r="AB202">
        <f>Z202*($F$22+IF($F$22=0,0,($C$14+$C$15+IF($C$13="single",1.5,3)+3)/12))</f>
        <v>0</v>
      </c>
      <c r="AC202">
        <f>AB202-W202</f>
        <v>0</v>
      </c>
      <c r="AD202" cm="1">
        <f t="array" ref="AD202">IFERROR(IF(AC202&lt;0,0,AC202/($R$162-INDEX(hd_off,MATCH(AQ202,hd_mark,0),0)/12)),0)</f>
        <v>0</v>
      </c>
      <c r="AE202">
        <f>IF(S202=0,0,$AD$162*$AM$150)</f>
        <v>0</v>
      </c>
      <c r="AF202">
        <f>IFERROR(AE202/$R$162,0)</f>
        <v>0</v>
      </c>
      <c r="AG202">
        <f>AE202*($F$22+IF($F$22=0,0,($C$14+$C$15+IF($C$13="single",1.5,3)+3)/12))</f>
        <v>0</v>
      </c>
      <c r="AH202">
        <f>AG202-X202</f>
        <v>0</v>
      </c>
      <c r="AI202" cm="1">
        <f t="array" ref="AI202">IFERROR(IF(AH202&lt;0,0,AH202/($R$162-INDEX(hd_off,MATCH(AQ202,hd_mark,0),0)/12)),0)</f>
        <v>0</v>
      </c>
      <c r="AJ202">
        <f>MAX($F$22,$Z$162)/$Q$180</f>
        <v>0.30172413793103448</v>
      </c>
      <c r="AK202">
        <f t="shared" ref="AK202:AK205" si="133">IF(AJ202=0,0,IF(AJ202&gt;2,1.25-0.125*AJ202,1))</f>
        <v>1</v>
      </c>
      <c r="AL202" cm="1">
        <f t="array" ref="AL202">IFERROR(INDEX(sheath_ecap_asd,MATCH(AP202,sheath_mark,0),0)*AK202,0)</f>
        <v>0</v>
      </c>
      <c r="AM202" cm="1">
        <f t="array" ref="AM202">IFERROR(INDEX(sheath_wcap_asd,MATCH(AP202,sheath_mark,0),0)*AK202,0)</f>
        <v>0</v>
      </c>
      <c r="AN202" cm="1">
        <f t="array" ref="AN202">IFERROR(INDEX(hd_cap,MATCH(AQ202,hd_mark,0),0),0)</f>
        <v>0</v>
      </c>
      <c r="AP202" s="19"/>
      <c r="AQ202" s="19"/>
      <c r="AR202" s="100"/>
      <c r="AS202" s="93"/>
      <c r="AT202" s="109"/>
      <c r="AU202" t="str">
        <f>$Q$150</f>
        <v>L3</v>
      </c>
      <c r="AV202">
        <f>$E$22</f>
        <v>21.375</v>
      </c>
      <c r="AW202" cm="1">
        <f t="array" ref="AW202">IFERROR(IF(AV202=0,0,(INDEX($C$33:$C$38,MATCH($AZ$162,$B$33:$B$38,0),0)*(AV205+$BA$162)+$AW$162*COUNTIF(AV202:AV204,"&gt;0")*$C$32+$AY$162*$C$31)*$AU$162),0)</f>
        <v>0</v>
      </c>
      <c r="AX202">
        <f>IF(AV202=0,0,-(COUNTIF(AV202:AV204,"&gt;0")*$AW$162*$C$32+$AY$162*$C$31)*$H$27*$AU$162)</f>
        <v>0</v>
      </c>
      <c r="AY202">
        <f>IF(AV202=0,0,$AY$162*$H$26*$AU$162)</f>
        <v>0</v>
      </c>
      <c r="AZ202">
        <f>(0.6*AW202+0.7*AX202)*$AU$162/2</f>
        <v>0</v>
      </c>
      <c r="BA202">
        <f>AW202*$AU$162/2</f>
        <v>0</v>
      </c>
      <c r="BC202">
        <f>IF(AV202=0,0,$BG$162*$AP$150)</f>
        <v>0</v>
      </c>
      <c r="BD202">
        <f>IFERROR(BC202/$AU$162,0)</f>
        <v>0</v>
      </c>
      <c r="BE202">
        <f>BC202*($F$22+IF($F$22=0,0,($C$14+$C$15+IF($C$13="single",1.5,3)+3)/12))</f>
        <v>0</v>
      </c>
      <c r="BF202">
        <f>BE202-AZ202</f>
        <v>0</v>
      </c>
      <c r="BG202" cm="1">
        <f t="array" ref="BG202">IFERROR(IF(BF202&lt;0,0,BF202/($AU$162-INDEX(hd_off,MATCH(BT202,hd_mark,0),0)/12)),0)</f>
        <v>0</v>
      </c>
      <c r="BH202">
        <f>IF(AV202=0,0,$BG$162*$AM$150)</f>
        <v>0</v>
      </c>
      <c r="BI202">
        <f>IFERROR(BH202/$AU$162,0)</f>
        <v>0</v>
      </c>
      <c r="BJ202">
        <f>BH202*($F$22+IF($F$22=0,0,($C$14+$C$15+IF($C$13="single",1.5,3)+3)/12))</f>
        <v>0</v>
      </c>
      <c r="BK202">
        <f>BJ202-BA202</f>
        <v>0</v>
      </c>
      <c r="BL202" cm="1">
        <f t="array" ref="BL202">IFERROR(IF(BK202&lt;0,0,BK202/($AU$162-INDEX(hd_off,MATCH(BT202,hd_mark,0),0)/12)),0)</f>
        <v>0</v>
      </c>
      <c r="BM202">
        <f>MAX($F$22,$BC$162)/$Q$180</f>
        <v>0.30172413793103448</v>
      </c>
      <c r="BN202">
        <f t="shared" ref="BN202:BN205" si="134">IF(BM202=0,0,IF(BM202&gt;2,1.25-0.125*BM202,1))</f>
        <v>1</v>
      </c>
      <c r="BO202" cm="1">
        <f t="array" ref="BO202">IFERROR(INDEX(sheath_ecap_asd,MATCH(BS202,sheath_mark,0),0)*BN202,0)</f>
        <v>0</v>
      </c>
      <c r="BP202" cm="1">
        <f t="array" ref="BP202">IFERROR(INDEX(sheath_wcap_asd,MATCH(BS202,sheath_mark,0),0)*BN202,0)</f>
        <v>0</v>
      </c>
      <c r="BQ202" cm="1">
        <f t="array" ref="BQ202">IFERROR(INDEX(hd_cap,MATCH(BT202,hd_mark,0),0),0)</f>
        <v>0</v>
      </c>
      <c r="BS202" s="19"/>
      <c r="BT202" s="19"/>
      <c r="BU202" s="100"/>
    </row>
    <row r="203" x14ac:dyDescent="0.25">
      <c r="P203" s="93"/>
      <c r="Q203" s="109" t="s">
        <v>491</v>
      </c>
      <c r="R203" t="str">
        <f>$Q$151</f>
        <v>L4</v>
      </c>
      <c r="S203">
        <f>$E$23</f>
        <v>0</v>
      </c>
      <c r="T203" cm="1">
        <f t="array" ref="T203">IFERROR(IF(S203=0,0,(INDEX($C$33:$C$38,MATCH($W$162,$B$33:$B$38,0),0)*(S205+$X$162)+$T$162*COUNTIF(S203:S204,"&gt;0")*$C$32+$V$162*$C$31)*$R$162),0)</f>
        <v>0</v>
      </c>
      <c r="U203">
        <f>IF(S203=0,0,-(COUNTIF(S203:S204,"&gt;0")*$T$162*$C$32+$V$162*$C$31)*$H$27*$R$162)</f>
        <v>0</v>
      </c>
      <c r="V203">
        <f>IF(S203=0,0,$V$162*$H$26*$R$162)</f>
        <v>0</v>
      </c>
      <c r="W203">
        <f>(0.6*T203+0.7*U203)*$R$162/2</f>
        <v>0</v>
      </c>
      <c r="X203">
        <f>T203*$R$162/2</f>
        <v>0</v>
      </c>
      <c r="Z203">
        <f>IF(S203=0,0,$AD$162*$AP$151)</f>
        <v>0</v>
      </c>
      <c r="AA203">
        <f>IFERROR(Z203/$R$162,0)</f>
        <v>0</v>
      </c>
      <c r="AB203">
        <f>Z203*($F$23+IF($F$23=0,0,($C$14+$C$15+IF($C$13="single",1.5,3)+3)/12))</f>
        <v>0</v>
      </c>
      <c r="AC203">
        <f>AB203-W203</f>
        <v>0</v>
      </c>
      <c r="AD203" cm="1">
        <f t="array" ref="AD203">IFERROR(IF(AC203&lt;0,0,AC203/($R$162-INDEX(hd_off,MATCH(AQ203,hd_mark,0),0)/12)),0)</f>
        <v>0</v>
      </c>
      <c r="AE203">
        <f>IF(S203=0,0,$AD$162*$AM$151)</f>
        <v>0</v>
      </c>
      <c r="AF203">
        <f>IFERROR(AE203/$R$162,0)</f>
        <v>0</v>
      </c>
      <c r="AG203">
        <f>AE203*($F$23+IF($F$23=0,0,($C$14+$C$15+IF($C$13="single",1.5,3)+3)/12))</f>
        <v>0</v>
      </c>
      <c r="AH203">
        <f>AG203-X203</f>
        <v>0</v>
      </c>
      <c r="AI203" cm="1">
        <f t="array" ref="AI203">IFERROR(IF(AH203&lt;0,0,AH203/($R$162-INDEX(hd_off,MATCH(AQ203,hd_mark,0),0)/12)),0)</f>
        <v>0</v>
      </c>
      <c r="AJ203">
        <f>MAX($F$23,$AA$162)/$Q$180</f>
        <v>0</v>
      </c>
      <c r="AK203">
        <f t="shared" si="133"/>
        <v>0</v>
      </c>
      <c r="AL203" cm="1">
        <f t="array" ref="AL203">IFERROR(INDEX(sheath_ecap_asd,MATCH(AP203,sheath_mark,0),0)*AK203,0)</f>
        <v>0</v>
      </c>
      <c r="AM203" cm="1">
        <f t="array" ref="AM203">IFERROR(INDEX(sheath_wcap_asd,MATCH(AP203,sheath_mark,0),0)*AK203,0)</f>
        <v>0</v>
      </c>
      <c r="AN203" cm="1">
        <f t="array" ref="AN203">IFERROR(INDEX(hd_cap,MATCH(AQ203,hd_mark,0),0),0)</f>
        <v>0</v>
      </c>
      <c r="AP203" s="19"/>
      <c r="AQ203" s="19"/>
      <c r="AR203" s="100"/>
      <c r="AS203" s="93"/>
      <c r="AT203" s="109" t="s">
        <v>491</v>
      </c>
      <c r="AU203" t="str">
        <f>$Q$151</f>
        <v>L4</v>
      </c>
      <c r="AV203">
        <f>$E$23</f>
        <v>0</v>
      </c>
      <c r="AW203" cm="1">
        <f t="array" ref="AW203">IFERROR(IF(AV203=0,0,(INDEX($C$33:$C$38,MATCH($AZ$162,$B$33:$B$38,0),0)*(AV205+$BA$162)+$AW$162*COUNTIF(AV203:AV204,"&gt;0")*$C$32+$AY$162*$C$31)*$AU$162),0)</f>
        <v>0</v>
      </c>
      <c r="AX203">
        <f>IF(AV203=0,0,-(COUNTIF(AV203:AV204,"&gt;0")*$AW$162*$C$32+$AY$162*$C$31)*$H$27*$AU$162)</f>
        <v>0</v>
      </c>
      <c r="AY203">
        <f>IF(AV203=0,0,$AY$162*$H$26*$AU$162)</f>
        <v>0</v>
      </c>
      <c r="AZ203">
        <f>(0.6*AW203+0.7*AX203)*$AU$162/2</f>
        <v>0</v>
      </c>
      <c r="BA203">
        <f>AW203*$AU$162/2</f>
        <v>0</v>
      </c>
      <c r="BC203">
        <f>IF(AV203=0,0,$BG$162*$AP$151)</f>
        <v>0</v>
      </c>
      <c r="BD203">
        <f>IFERROR(BC203/$AU$162,0)</f>
        <v>0</v>
      </c>
      <c r="BE203">
        <f>BC203*($F$23+IF($F$23=0,0,($C$14+$C$15+IF($C$13="single",1.5,3)+3)/12))</f>
        <v>0</v>
      </c>
      <c r="BF203">
        <f>BE203-AZ203</f>
        <v>0</v>
      </c>
      <c r="BG203" cm="1">
        <f t="array" ref="BG203">IFERROR(IF(BF203&lt;0,0,BF203/($AU$162-INDEX(hd_off,MATCH(BT203,hd_mark,0),0)/12)),0)</f>
        <v>0</v>
      </c>
      <c r="BH203">
        <f>IF(AV203=0,0,$BG$162*$AM$151)</f>
        <v>0</v>
      </c>
      <c r="BI203">
        <f>IFERROR(BH203/$AU$162,0)</f>
        <v>0</v>
      </c>
      <c r="BJ203">
        <f>BH203*($F$23+IF($F$23=0,0,($C$14+$C$15+IF($C$13="single",1.5,3)+3)/12))</f>
        <v>0</v>
      </c>
      <c r="BK203">
        <f>BJ203-BA203</f>
        <v>0</v>
      </c>
      <c r="BL203" cm="1">
        <f t="array" ref="BL203">IFERROR(IF(BK203&lt;0,0,BK203/($AU$162-INDEX(hd_off,MATCH(BT203,hd_mark,0),0)/12)),0)</f>
        <v>0</v>
      </c>
      <c r="BM203">
        <f>MAX($F$23,$BD$162)/$Q$180</f>
        <v>0</v>
      </c>
      <c r="BN203">
        <f t="shared" si="134"/>
        <v>0</v>
      </c>
      <c r="BO203" cm="1">
        <f t="array" ref="BO203">IFERROR(INDEX(sheath_ecap_asd,MATCH(BS203,sheath_mark,0),0)*BN203,0)</f>
        <v>0</v>
      </c>
      <c r="BP203" cm="1">
        <f t="array" ref="BP203">IFERROR(INDEX(sheath_wcap_asd,MATCH(BS203,sheath_mark,0),0)*BN203,0)</f>
        <v>0</v>
      </c>
      <c r="BQ203" cm="1">
        <f t="array" ref="BQ203">IFERROR(INDEX(hd_cap,MATCH(BT203,hd_mark,0),0),0)</f>
        <v>0</v>
      </c>
      <c r="BS203" s="19"/>
      <c r="BT203" s="19"/>
      <c r="BU203" s="100"/>
    </row>
    <row r="204" x14ac:dyDescent="0.25">
      <c r="P204" s="93"/>
      <c r="Q204" s="111">
        <f>$R$162</f>
        <v>0</v>
      </c>
      <c r="R204" t="str">
        <f>$Q$152</f>
        <v>L5</v>
      </c>
      <c r="S204">
        <f>$E$24</f>
        <v>0</v>
      </c>
      <c r="T204" cm="1">
        <f t="array" ref="T204">IFERROR(IF(S204=0,0,(INDEX($C$33:$C$38,MATCH($W$162,$B$33:$B$38,0),0)*(S205+$X$162)+$T$162*COUNTIF(S204:S204,"&gt;0")*$C$32+$V$162*$C$31)*$R$162),0)</f>
        <v>0</v>
      </c>
      <c r="U204">
        <f>IF(S204=0,0,-(COUNTIF(S204:S204,"&gt;0")*$T$162*$C$32+$V$162*$C$31)*$H$27*$R$162)</f>
        <v>0</v>
      </c>
      <c r="V204">
        <f>IF(S204=0,0,$V$162*$H$26*$R$162)</f>
        <v>0</v>
      </c>
      <c r="W204">
        <f>(0.6*T204+0.7*U204)*$R$162/2</f>
        <v>0</v>
      </c>
      <c r="X204">
        <f>T204*$R$162/2</f>
        <v>0</v>
      </c>
      <c r="Z204">
        <f>IF(S204=0,0,$AD$162*$AP$152)</f>
        <v>0</v>
      </c>
      <c r="AA204">
        <f>IFERROR(Z204/$R$162,0)</f>
        <v>0</v>
      </c>
      <c r="AB204">
        <f>Z204*($F$24+IF($F$24=0,0,($C$14+$C$15+IF($C$13="single",1.5,3)+3)/12))</f>
        <v>0</v>
      </c>
      <c r="AC204">
        <f>AB204-W204</f>
        <v>0</v>
      </c>
      <c r="AD204" cm="1">
        <f t="array" ref="AD204">IFERROR(IF(AC204&lt;0,0,AC204/($R$162-INDEX(hd_off,MATCH(AQ204,hd_mark,0),0)/12)),0)</f>
        <v>0</v>
      </c>
      <c r="AE204">
        <f>IF(S204=0,0,$AD$162*$AM$152)</f>
        <v>0</v>
      </c>
      <c r="AF204">
        <f>IFERROR(AE204/$R$162,0)</f>
        <v>0</v>
      </c>
      <c r="AG204">
        <f>AE204*($F$24+IF($F$24=0,0,($C$14+$C$15+IF($C$13="single",1.5,3)+3)/12))</f>
        <v>0</v>
      </c>
      <c r="AH204">
        <f>AG204-X204</f>
        <v>0</v>
      </c>
      <c r="AI204" cm="1">
        <f t="array" ref="AI204">IFERROR(IF(AH204&lt;0,0,AH204/($R$162-INDEX(hd_off,MATCH(AQ204,hd_mark,0),0)/12)),0)</f>
        <v>0</v>
      </c>
      <c r="AJ204">
        <f>MAX($F$24,$AB$162)/$Q$180</f>
        <v>0</v>
      </c>
      <c r="AK204">
        <f t="shared" si="133"/>
        <v>0</v>
      </c>
      <c r="AL204" cm="1">
        <f t="array" ref="AL204">IFERROR(INDEX(sheath_ecap_asd,MATCH(AP204,sheath_mark,0),0)*AK204,0)</f>
        <v>0</v>
      </c>
      <c r="AM204" cm="1">
        <f t="array" ref="AM204">IFERROR(INDEX(sheath_wcap_asd,MATCH(AP204,sheath_mark,0),0)*AK204,0)</f>
        <v>0</v>
      </c>
      <c r="AN204" cm="1">
        <f t="array" ref="AN204">IFERROR(INDEX(hd_cap,MATCH(AQ204,hd_mark,0),0),0)</f>
        <v>0</v>
      </c>
      <c r="AP204" s="19"/>
      <c r="AQ204" s="19"/>
      <c r="AR204" s="100"/>
      <c r="AS204" s="93"/>
      <c r="AT204" s="111">
        <f>$R$162</f>
        <v>0</v>
      </c>
      <c r="AU204" t="str">
        <f>$Q$152</f>
        <v>L5</v>
      </c>
      <c r="AV204">
        <f>$E$24</f>
        <v>0</v>
      </c>
      <c r="AW204" cm="1">
        <f t="array" ref="AW204">IFERROR(IF(AV204=0,0,(INDEX($C$33:$C$38,MATCH($AZ$162,$B$33:$B$38,0),0)*(AV205+$BA$162)+$AW$162*COUNTIF(AV204:AV204,"&gt;0")*$C$32+$AY$162*$C$31)*$AU$162),0)</f>
        <v>0</v>
      </c>
      <c r="AX204">
        <f>IF(AV204=0,0,-(COUNTIF(AV204:AV204,"&gt;0")*$AW$162*$C$32+$AY$162*$C$31)*$H$27*$AU$162)</f>
        <v>0</v>
      </c>
      <c r="AY204">
        <f>IF(AV204=0,0,$AY$162*$H$26*$AU$162)</f>
        <v>0</v>
      </c>
      <c r="AZ204">
        <f>(0.6*AW204+0.7*AX204)*$AU$162/2</f>
        <v>0</v>
      </c>
      <c r="BA204">
        <f>AW204*$AU$162/2</f>
        <v>0</v>
      </c>
      <c r="BC204">
        <f>IF(AV204=0,0,$BG$162*$AP$152)</f>
        <v>0</v>
      </c>
      <c r="BD204">
        <f>IFERROR(BC204/$AU$162,0)</f>
        <v>0</v>
      </c>
      <c r="BE204">
        <f>BC204*($F$24+IF($F$24=0,0,($C$14+$C$15+IF($C$13="single",1.5,3)+3)/12))</f>
        <v>0</v>
      </c>
      <c r="BF204">
        <f>BE204-AZ204</f>
        <v>0</v>
      </c>
      <c r="BG204" cm="1">
        <f t="array" ref="BG204">IFERROR(IF(BF204&lt;0,0,BF204/($AU$162-INDEX(hd_off,MATCH(BT204,hd_mark,0),0)/12)),0)</f>
        <v>0</v>
      </c>
      <c r="BH204">
        <f>IF(AV204=0,0,$BG$162*$AM$152)</f>
        <v>0</v>
      </c>
      <c r="BI204">
        <f>IFERROR(BH204/$AU$162,0)</f>
        <v>0</v>
      </c>
      <c r="BJ204">
        <f>BH204*($F$24+IF($F$24=0,0,($C$14+$C$15+IF($C$13="single",1.5,3)+3)/12))</f>
        <v>0</v>
      </c>
      <c r="BK204">
        <f>BJ204-BA204</f>
        <v>0</v>
      </c>
      <c r="BL204" cm="1">
        <f t="array" ref="BL204">IFERROR(IF(BK204&lt;0,0,BK204/($AU$162-INDEX(hd_off,MATCH(BT204,hd_mark,0),0)/12)),0)</f>
        <v>0</v>
      </c>
      <c r="BM204">
        <f>MAX($F$24,$BE$162)/$Q$180</f>
        <v>0</v>
      </c>
      <c r="BN204">
        <f t="shared" si="134"/>
        <v>0</v>
      </c>
      <c r="BO204" cm="1">
        <f t="array" ref="BO204">IFERROR(INDEX(sheath_ecap_asd,MATCH(BS204,sheath_mark,0),0)*BN204,0)</f>
        <v>0</v>
      </c>
      <c r="BP204" cm="1">
        <f t="array" ref="BP204">IFERROR(INDEX(sheath_wcap_asd,MATCH(BS204,sheath_mark,0),0)*BN204,0)</f>
        <v>0</v>
      </c>
      <c r="BQ204" cm="1">
        <f t="array" ref="BQ204">IFERROR(INDEX(hd_cap,MATCH(BT204,hd_mark,0),0),0)</f>
        <v>0</v>
      </c>
      <c r="BS204" s="19"/>
      <c r="BT204" s="19"/>
      <c r="BU204" s="100"/>
    </row>
    <row r="205" x14ac:dyDescent="0.25">
      <c r="P205" s="93"/>
      <c r="Q205" s="109"/>
      <c r="R205" t="str">
        <f>$Q$153</f>
        <v>Roof</v>
      </c>
      <c r="S205">
        <f>$E$25</f>
        <v>33.171875</v>
      </c>
      <c r="T205" cm="1">
        <f t="array" ref="T205">IFERROR(IF(S205=0,0,(INDEX($C$33:$C$38,MATCH($W$162,$B$33:$B$38,0),0)*(S205+$X$162)+$V$162*$C$31)*$R$162),0)</f>
        <v>0</v>
      </c>
      <c r="U205">
        <f>IF(S205=0,0,-$V$162*$C$31*$H$27*$R$162)</f>
        <v>0</v>
      </c>
      <c r="V205">
        <f>IF(S205=0,0,$V$162*$H$26*$R$162)</f>
        <v>0</v>
      </c>
      <c r="W205">
        <f>(0.6*T205+0.7*U205)*$R$162/2</f>
        <v>0</v>
      </c>
      <c r="X205">
        <f>T205*$R$162/2</f>
        <v>0</v>
      </c>
      <c r="Z205">
        <f>IF(S205=0,0,$AD$162*$AP$153)</f>
        <v>0</v>
      </c>
      <c r="AA205">
        <f>IFERROR(Z205/$R$162,0)</f>
        <v>0</v>
      </c>
      <c r="AB205">
        <f>Z205*($F$25+($C$16+$C$17+IF($C$13="single",1.5,3)+3)/12)</f>
        <v>0</v>
      </c>
      <c r="AC205">
        <f>AB205-W205</f>
        <v>0</v>
      </c>
      <c r="AD205" cm="1">
        <f t="array" ref="AD205">IFERROR(IF(AC205&lt;0,0,AC205/($R$162-INDEX(hd_off,MATCH(AQ205,hd_mark,0),0)/12)),0)</f>
        <v>0</v>
      </c>
      <c r="AE205">
        <f>IF(S205=0,0,$AD$162*$AM$153)</f>
        <v>0</v>
      </c>
      <c r="AF205">
        <f>IFERROR(AE205/$R$162,0)</f>
        <v>0</v>
      </c>
      <c r="AG205">
        <f>AE205*($F$25+($C$16+$C$17+IF($C$13="single",1.5,3)+3)/12)</f>
        <v>0</v>
      </c>
      <c r="AH205">
        <f>AG205-X205</f>
        <v>0</v>
      </c>
      <c r="AI205" cm="1">
        <f t="array" ref="AI205">IFERROR(IF(AH205&lt;0,0,AH205/($R$162-INDEX(hd_off,MATCH(AQ205,hd_mark,0),0)/12)),0)</f>
        <v>0</v>
      </c>
      <c r="AJ205">
        <f>MAX($F$25,$AC$162)/$Q$180</f>
        <v>0.29920977011494249</v>
      </c>
      <c r="AK205">
        <f t="shared" si="133"/>
        <v>1</v>
      </c>
      <c r="AL205" cm="1">
        <f t="array" ref="AL205">IFERROR(INDEX(sheath_ecap_asd,MATCH(AP205,sheath_mark,0),0)*AK205,0)</f>
        <v>0</v>
      </c>
      <c r="AM205" cm="1">
        <f t="array" ref="AM205">IFERROR(INDEX(sheath_wcap_asd,MATCH(AP205,sheath_mark,0),0)*AK205,0)</f>
        <v>0</v>
      </c>
      <c r="AN205" cm="1">
        <f t="array" ref="AN205">IFERROR(INDEX(hd_cap,MATCH(AQ205,hd_mark,0),0),0)</f>
        <v>0</v>
      </c>
      <c r="AP205" s="19"/>
      <c r="AQ205" s="19"/>
      <c r="AR205" s="100"/>
      <c r="AS205" s="93"/>
      <c r="AT205" s="109"/>
      <c r="AU205" t="str">
        <f>$Q$153</f>
        <v>Roof</v>
      </c>
      <c r="AV205">
        <f>$E$25</f>
        <v>33.171875</v>
      </c>
      <c r="AW205" cm="1">
        <f t="array" ref="AW205">IFERROR(IF(AV205=0,0,(INDEX($C$33:$C$38,MATCH($AZ$162,$B$33:$B$38,0),0)*(AV205+$BA$162)+$AY$162*$C$31)*$AU$162),0)</f>
        <v>0</v>
      </c>
      <c r="AX205">
        <f>IF(AV205=0,0,-$AY$162*$C$31*$H$27*$AU$162)</f>
        <v>0</v>
      </c>
      <c r="AY205">
        <f>IF(AV205=0,0,$AY$162*$H$26*$AU$162)</f>
        <v>0</v>
      </c>
      <c r="AZ205">
        <f>(0.6*AW205+0.7*AX205)*$AU$162/2</f>
        <v>0</v>
      </c>
      <c r="BA205">
        <f>AW205*$AU$162/2</f>
        <v>0</v>
      </c>
      <c r="BC205">
        <f>IF(AV205=0,0,$BG$162*$AP$153)</f>
        <v>0</v>
      </c>
      <c r="BD205">
        <f>IFERROR(BC205/$AU$162,0)</f>
        <v>0</v>
      </c>
      <c r="BE205">
        <f>BC205*($F$25+($C$16+$C$17+IF($C$13="single",1.5,3)+3)/12)</f>
        <v>0</v>
      </c>
      <c r="BF205">
        <f>BE205-AZ205</f>
        <v>0</v>
      </c>
      <c r="BG205" cm="1">
        <f t="array" ref="BG205">IFERROR(IF(BF205&lt;0,0,BF205/($AU$162-INDEX(hd_off,MATCH(BT205,hd_mark,0),0)/12)),0)</f>
        <v>0</v>
      </c>
      <c r="BH205">
        <f>IF(AV205=0,0,$BG$162*$AM$153)</f>
        <v>0</v>
      </c>
      <c r="BI205">
        <f>IFERROR(BH205/$AU$162,0)</f>
        <v>0</v>
      </c>
      <c r="BJ205">
        <f>BH205*($F$25+($C$16+$C$17+IF($C$13="single",1.5,3)+3)/12)</f>
        <v>0</v>
      </c>
      <c r="BK205">
        <f>BJ205-BA205</f>
        <v>0</v>
      </c>
      <c r="BL205" cm="1">
        <f t="array" ref="BL205">IFERROR(IF(BK205&lt;0,0,BK205/($AU$162-INDEX(hd_off,MATCH(BT205,hd_mark,0),0)/12)),0)</f>
        <v>0</v>
      </c>
      <c r="BM205">
        <f>MAX($F$25,$BF$162)/$Q$180</f>
        <v>0.29920977011494249</v>
      </c>
      <c r="BN205">
        <f t="shared" si="134"/>
        <v>1</v>
      </c>
      <c r="BO205" cm="1">
        <f t="array" ref="BO205">IFERROR(INDEX(sheath_ecap_asd,MATCH(BS205,sheath_mark,0),0)*BN205,0)</f>
        <v>0</v>
      </c>
      <c r="BP205" cm="1">
        <f t="array" ref="BP205">IFERROR(INDEX(sheath_wcap_asd,MATCH(BS205,sheath_mark,0),0)*BN205,0)</f>
        <v>0</v>
      </c>
      <c r="BQ205" cm="1">
        <f t="array" ref="BQ205">IFERROR(INDEX(hd_cap,MATCH(BT205,hd_mark,0),0),0)</f>
        <v>0</v>
      </c>
      <c r="BS205" s="19"/>
      <c r="BT205" s="19"/>
      <c r="BU205" s="100"/>
    </row>
    <row r="206" x14ac:dyDescent="0.25">
      <c r="P206" s="93"/>
      <c r="AR206" s="100"/>
      <c r="AS206" s="93"/>
      <c r="BU206" s="100"/>
    </row>
    <row r="207" x14ac:dyDescent="0.25">
      <c r="P207" s="93"/>
      <c r="Q207" s="110" t="str">
        <f>$Q$163</f>
        <v>A.06</v>
      </c>
      <c r="R207" t="str">
        <f>$Q$149</f>
        <v>L2</v>
      </c>
      <c r="S207">
        <f>$E$21</f>
        <v>10.6875</v>
      </c>
      <c r="T207" cm="1">
        <f t="array" ref="T207">IFERROR(IF(S207=0,0,(INDEX($C$33:$C$38,MATCH($W$163,$B$33:$B$38,0),0)*(S211+$X$163)+$T$163*COUNTIF(S207:S210,"&gt;0")*$C$32+$V$163*$C$31)*$R$163),0)</f>
        <v>0</v>
      </c>
      <c r="U207">
        <f>IF(S207=0,0,-(COUNTIF(S207:S210,"&gt;0")*$T$163*$C$32+$V$163*$C$31)*$H$27*$R$163)</f>
        <v>0</v>
      </c>
      <c r="V207">
        <f>IF(S207=0,0,$V$163*$H$26*$R$163)</f>
        <v>0</v>
      </c>
      <c r="W207">
        <f>(0.6*T207+0.7*U207)*$R$163/2</f>
        <v>0</v>
      </c>
      <c r="X207">
        <f>(0.6*T207+0.6*V207)*$R$163/2</f>
        <v>0</v>
      </c>
      <c r="Z207">
        <f>IF(S207=0,0,$AD$163*$AP$149)</f>
        <v>0</v>
      </c>
      <c r="AA207">
        <f>IFERROR(Z207/$R$163,0)</f>
        <v>0</v>
      </c>
      <c r="AB207">
        <f>Z207*($F$21+IF($F$21=0,0,($C$14+$C$15+IF($C$13="single",1.5,3)+3)/12))</f>
        <v>0</v>
      </c>
      <c r="AC207">
        <f>AB207-W207</f>
        <v>0</v>
      </c>
      <c r="AD207" cm="1">
        <f t="array" ref="AD207">IFERROR(IF(AC207&lt;0,0,AC207/($R$163-INDEX(hd_off,MATCH(AQ207,hd_mark,0),0)/12)),0)</f>
        <v>0</v>
      </c>
      <c r="AE207">
        <f>IF(S207=0,0,$AD$163*$AM$149)</f>
        <v>0</v>
      </c>
      <c r="AF207">
        <f>IFERROR(AE207/$R$163,0)</f>
        <v>0</v>
      </c>
      <c r="AG207">
        <f>AE207*($F$21+IF($F$21=0,0,($C$14+$C$15+IF($C$13="single",1.5,3)+3)/12))</f>
        <v>0</v>
      </c>
      <c r="AH207">
        <f>AG207-X207</f>
        <v>0</v>
      </c>
      <c r="AI207" cm="1">
        <f t="array" ref="AI207">IFERROR(IF(AH207&lt;0,0,AH207/($R$163-INDEX(hd_off,MATCH(AQ207,hd_mark,0),0)/12)),0)</f>
        <v>0</v>
      </c>
      <c r="AJ207">
        <f>MAX($F$21,$Y$163)/$Q$180</f>
        <v>0.30172413793103448</v>
      </c>
      <c r="AK207">
        <f>IF(AJ207=0,0,IF(AJ207&gt;2,1.25-0.125*AJ207,1))</f>
        <v>1</v>
      </c>
      <c r="AL207" cm="1">
        <f t="array" ref="AL207">IFERROR(INDEX(sheath_ecap_asd,MATCH(AP207,sheath_mark,0),0)*AK207,0)</f>
        <v>0</v>
      </c>
      <c r="AM207" cm="1">
        <f t="array" ref="AM207">IFERROR(INDEX(sheath_wcap_asd,MATCH(AP207,sheath_mark,0),0)*AK207,0)</f>
        <v>0</v>
      </c>
      <c r="AN207" cm="1">
        <f t="array" ref="AN207">IFERROR(INDEX(hd_cap,MATCH(AQ207,hd_mark,0),0),0)</f>
        <v>0</v>
      </c>
      <c r="AP207" s="19"/>
      <c r="AQ207" s="19"/>
      <c r="AR207" s="100"/>
      <c r="AS207" s="93"/>
      <c r="AT207" s="110" t="str">
        <f>$AT$163</f>
        <v>1.06</v>
      </c>
      <c r="AU207" t="str">
        <f>$Q$149</f>
        <v>L2</v>
      </c>
      <c r="AV207">
        <f>$E$21</f>
        <v>10.6875</v>
      </c>
      <c r="AW207" cm="1">
        <f t="array" ref="AW207">IFERROR(IF(AV207=0,0,(INDEX($C$33:$C$38,MATCH($AZ$163,$B$33:$B$38,0),0)*(AV211+$BA$163)+$AW$163*COUNTIF(AV207:AV210,"&gt;0")*$C$32+$AY$163*$C$31)*$AU$163),0)</f>
        <v>0</v>
      </c>
      <c r="AX207">
        <f>IF(AV207=0,0,-(COUNTIF(AV207:AV210,"&gt;0")*$AW$163*$C$32+$AY$163*$C$31)*$H$27*$AU$163)</f>
        <v>0</v>
      </c>
      <c r="AY207">
        <f>IF(AV207=0,0,$AY$163*$H$26*$AU$163)</f>
        <v>0</v>
      </c>
      <c r="AZ207">
        <f>(0.6*AW207+0.7*AX207)*$AU$163/2</f>
        <v>0</v>
      </c>
      <c r="BA207">
        <f>(0.6*AW207+0.6*AY207)*$AU$163/2</f>
        <v>0</v>
      </c>
      <c r="BC207">
        <f>IF(AV207=0,0,$BG$163*$AP$149)</f>
        <v>0</v>
      </c>
      <c r="BD207">
        <f>IFERROR(BC207/$AU$163,0)</f>
        <v>0</v>
      </c>
      <c r="BE207">
        <f>BC207*($F$21+IF($F$21=0,0,($C$14+$C$15+IF($C$13="single",1.5,3)+3)/12))</f>
        <v>0</v>
      </c>
      <c r="BF207">
        <f>BE207-AZ207</f>
        <v>0</v>
      </c>
      <c r="BG207" cm="1">
        <f t="array" ref="BG207">IFERROR(IF(BF207&lt;0,0,BF207/($AU$163-INDEX(hd_off,MATCH(BT207,hd_mark,0),0)/12)),0)</f>
        <v>0</v>
      </c>
      <c r="BH207">
        <f>IF(AV207=0,0,$BG$163*$AM$149)</f>
        <v>0</v>
      </c>
      <c r="BI207">
        <f>IFERROR(BH207/$AU$163,0)</f>
        <v>0</v>
      </c>
      <c r="BJ207">
        <f>BH207*($F$21+IF($F$21=0,0,($C$14+$C$15+IF($C$13="single",1.5,3)+3)/12))</f>
        <v>0</v>
      </c>
      <c r="BK207">
        <f>BJ207-BA207</f>
        <v>0</v>
      </c>
      <c r="BL207" cm="1">
        <f t="array" ref="BL207">IFERROR(IF(BK207&lt;0,0,BK207/($AU$163-INDEX(hd_off,MATCH(BT207,hd_mark,0),0)/12)),0)</f>
        <v>0</v>
      </c>
      <c r="BM207">
        <f>MAX($F$21,$BB$163)/$Q$180</f>
        <v>0.30172413793103448</v>
      </c>
      <c r="BN207">
        <f>IF(BM207=0,0,IF(BM207&gt;2,1.25-0.125*BM207,1))</f>
        <v>1</v>
      </c>
      <c r="BO207" cm="1">
        <f t="array" ref="BO207">IFERROR(INDEX(sheath_ecap_asd,MATCH(BS207,sheath_mark,0),0)*BN207,0)</f>
        <v>0</v>
      </c>
      <c r="BP207" cm="1">
        <f t="array" ref="BP207">IFERROR(INDEX(sheath_wcap_asd,MATCH(BS207,sheath_mark,0),0)*BN207,0)</f>
        <v>0</v>
      </c>
      <c r="BQ207" cm="1">
        <f t="array" ref="BQ207">IFERROR(INDEX(hd_cap,MATCH(BT207,hd_mark,0),0),0)</f>
        <v>0</v>
      </c>
      <c r="BS207" s="19"/>
      <c r="BT207" s="19"/>
      <c r="BU207" s="100"/>
    </row>
    <row r="208" x14ac:dyDescent="0.25">
      <c r="P208" s="93"/>
      <c r="Q208" s="109"/>
      <c r="R208" t="str">
        <f>$Q$150</f>
        <v>L3</v>
      </c>
      <c r="S208">
        <f>$E$22</f>
        <v>21.375</v>
      </c>
      <c r="T208" cm="1">
        <f t="array" ref="T208">IFERROR(IF(S208=0,0,(INDEX($C$33:$C$38,MATCH($W$163,$B$33:$B$38,0),0)*(S211+$X$163)+$T$163*COUNTIF(S208:S210,"&gt;0")*$C$32+$V$163*$C$31)*$R$163),0)</f>
        <v>0</v>
      </c>
      <c r="U208">
        <f>IF(S208=0,0,-(COUNTIF(S208:S210,"&gt;0")*$T$163*$C$32+$V$163*$C$31)*$H$27*$R$163)</f>
        <v>0</v>
      </c>
      <c r="V208">
        <f>IF(S208=0,0,$V$163*$H$26*$R$163)</f>
        <v>0</v>
      </c>
      <c r="W208">
        <f>(0.6*T208+0.7*U208)*$R$163/2</f>
        <v>0</v>
      </c>
      <c r="X208">
        <f>T208*$R$163/2</f>
        <v>0</v>
      </c>
      <c r="Z208">
        <f>IF(S208=0,0,$AD$163*$AP$150)</f>
        <v>0</v>
      </c>
      <c r="AA208">
        <f>IFERROR(Z208/$R$163,0)</f>
        <v>0</v>
      </c>
      <c r="AB208">
        <f>Z208*($F$22+IF($F$22=0,0,($C$14+$C$15+IF($C$13="single",1.5,3)+3)/12))</f>
        <v>0</v>
      </c>
      <c r="AC208">
        <f>AB208-W208</f>
        <v>0</v>
      </c>
      <c r="AD208" cm="1">
        <f t="array" ref="AD208">IFERROR(IF(AC208&lt;0,0,AC208/($R$163-INDEX(hd_off,MATCH(AQ208,hd_mark,0),0)/12)),0)</f>
        <v>0</v>
      </c>
      <c r="AE208">
        <f>IF(S208=0,0,$AD$163*$AM$150)</f>
        <v>0</v>
      </c>
      <c r="AF208">
        <f>IFERROR(AE208/$R$163,0)</f>
        <v>0</v>
      </c>
      <c r="AG208">
        <f>AE208*($F$22+IF($F$22=0,0,($C$14+$C$15+IF($C$13="single",1.5,3)+3)/12))</f>
        <v>0</v>
      </c>
      <c r="AH208">
        <f>AG208-X208</f>
        <v>0</v>
      </c>
      <c r="AI208" cm="1">
        <f t="array" ref="AI208">IFERROR(IF(AH208&lt;0,0,AH208/($R$163-INDEX(hd_off,MATCH(AQ208,hd_mark,0),0)/12)),0)</f>
        <v>0</v>
      </c>
      <c r="AJ208">
        <f>MAX($F$22,$Z$163)/$Q$180</f>
        <v>0.30172413793103448</v>
      </c>
      <c r="AK208">
        <f t="shared" ref="AK208:AK211" si="135">IF(AJ208=0,0,IF(AJ208&gt;2,1.25-0.125*AJ208,1))</f>
        <v>1</v>
      </c>
      <c r="AL208" cm="1">
        <f t="array" ref="AL208">IFERROR(INDEX(sheath_ecap_asd,MATCH(AP208,sheath_mark,0),0)*AK208,0)</f>
        <v>0</v>
      </c>
      <c r="AM208" cm="1">
        <f t="array" ref="AM208">IFERROR(INDEX(sheath_wcap_asd,MATCH(AP208,sheath_mark,0),0)*AK208,0)</f>
        <v>0</v>
      </c>
      <c r="AN208" cm="1">
        <f t="array" ref="AN208">IFERROR(INDEX(hd_cap,MATCH(AQ208,hd_mark,0),0),0)</f>
        <v>0</v>
      </c>
      <c r="AP208" s="19"/>
      <c r="AQ208" s="19"/>
      <c r="AR208" s="100"/>
      <c r="AS208" s="93"/>
      <c r="AT208" s="109"/>
      <c r="AU208" t="str">
        <f>$Q$150</f>
        <v>L3</v>
      </c>
      <c r="AV208">
        <f>$E$22</f>
        <v>21.375</v>
      </c>
      <c r="AW208" cm="1">
        <f t="array" ref="AW208">IFERROR(IF(AV208=0,0,(INDEX($C$33:$C$38,MATCH($AZ$163,$B$33:$B$38,0),0)*(AV211+$BA$163)+$AW$163*COUNTIF(AV208:AV210,"&gt;0")*$C$32+$AY$163*$C$31)*$AU$163),0)</f>
        <v>0</v>
      </c>
      <c r="AX208">
        <f>IF(AV208=0,0,-(COUNTIF(AV208:AV210,"&gt;0")*$AW$163*$C$32+$AY$163*$C$31)*$H$27*$AU$163)</f>
        <v>0</v>
      </c>
      <c r="AY208">
        <f>IF(AV208=0,0,$AY$163*$H$26*$AU$163)</f>
        <v>0</v>
      </c>
      <c r="AZ208">
        <f>(0.6*AW208+0.7*AX208)*$AU$163/2</f>
        <v>0</v>
      </c>
      <c r="BA208">
        <f>AW208*$AU$163/2</f>
        <v>0</v>
      </c>
      <c r="BC208">
        <f>IF(AV208=0,0,$BG$163*$AP$150)</f>
        <v>0</v>
      </c>
      <c r="BD208">
        <f>IFERROR(BC208/$AU$163,0)</f>
        <v>0</v>
      </c>
      <c r="BE208">
        <f>BC208*($F$22+IF($F$22=0,0,($C$14+$C$15+IF($C$13="single",1.5,3)+3)/12))</f>
        <v>0</v>
      </c>
      <c r="BF208">
        <f>BE208-AZ208</f>
        <v>0</v>
      </c>
      <c r="BG208" cm="1">
        <f t="array" ref="BG208">IFERROR(IF(BF208&lt;0,0,BF208/($AU$163-INDEX(hd_off,MATCH(BT208,hd_mark,0),0)/12)),0)</f>
        <v>0</v>
      </c>
      <c r="BH208">
        <f>IF(AV208=0,0,$BG$163*$AM$150)</f>
        <v>0</v>
      </c>
      <c r="BI208">
        <f>IFERROR(BH208/$AU$163,0)</f>
        <v>0</v>
      </c>
      <c r="BJ208">
        <f>BH208*($F$22+IF($F$22=0,0,($C$14+$C$15+IF($C$13="single",1.5,3)+3)/12))</f>
        <v>0</v>
      </c>
      <c r="BK208">
        <f>BJ208-BA208</f>
        <v>0</v>
      </c>
      <c r="BL208" cm="1">
        <f t="array" ref="BL208">IFERROR(IF(BK208&lt;0,0,BK208/($AU$163-INDEX(hd_off,MATCH(BT208,hd_mark,0),0)/12)),0)</f>
        <v>0</v>
      </c>
      <c r="BM208">
        <f>MAX($F$22,$BC$163)/$Q$180</f>
        <v>0.30172413793103448</v>
      </c>
      <c r="BN208">
        <f t="shared" ref="BN208:BN211" si="136">IF(BM208=0,0,IF(BM208&gt;2,1.25-0.125*BM208,1))</f>
        <v>1</v>
      </c>
      <c r="BO208" cm="1">
        <f t="array" ref="BO208">IFERROR(INDEX(sheath_ecap_asd,MATCH(BS208,sheath_mark,0),0)*BN208,0)</f>
        <v>0</v>
      </c>
      <c r="BP208" cm="1">
        <f t="array" ref="BP208">IFERROR(INDEX(sheath_wcap_asd,MATCH(BS208,sheath_mark,0),0)*BN208,0)</f>
        <v>0</v>
      </c>
      <c r="BQ208" cm="1">
        <f t="array" ref="BQ208">IFERROR(INDEX(hd_cap,MATCH(BT208,hd_mark,0),0),0)</f>
        <v>0</v>
      </c>
      <c r="BS208" s="19"/>
      <c r="BT208" s="19"/>
      <c r="BU208" s="100"/>
    </row>
    <row r="209" x14ac:dyDescent="0.25">
      <c r="P209" s="93"/>
      <c r="Q209" s="109" t="s">
        <v>491</v>
      </c>
      <c r="R209" t="str">
        <f>$Q$151</f>
        <v>L4</v>
      </c>
      <c r="S209">
        <f>$E$23</f>
        <v>0</v>
      </c>
      <c r="T209" cm="1">
        <f t="array" ref="T209">IFERROR(IF(S209=0,0,(INDEX($C$33:$C$38,MATCH($W$163,$B$33:$B$38,0),0)*(S211+$X$163)+$T$163*COUNTIF(S209:S210,"&gt;0")*$C$32+$V$163*$C$31)*$R$163),0)</f>
        <v>0</v>
      </c>
      <c r="U209">
        <f>IF(S209=0,0,-(COUNTIF(S209:S210,"&gt;0")*$T$163*$C$32+$V$163*$C$31)*$H$27*$R$163)</f>
        <v>0</v>
      </c>
      <c r="V209">
        <f>IF(S209=0,0,$V$163*$H$26*$R$163)</f>
        <v>0</v>
      </c>
      <c r="W209">
        <f>(0.6*T209+0.7*U209)*$R$163/2</f>
        <v>0</v>
      </c>
      <c r="X209">
        <f>T209*$R$163/2</f>
        <v>0</v>
      </c>
      <c r="Z209">
        <f>IF(S209=0,0,$AD$163*$AP$151)</f>
        <v>0</v>
      </c>
      <c r="AA209">
        <f>IFERROR(Z209/$R$163,0)</f>
        <v>0</v>
      </c>
      <c r="AB209">
        <f>Z209*($F$23+IF($F$23=0,0,($C$14+$C$15+IF($C$13="single",1.5,3)+3)/12))</f>
        <v>0</v>
      </c>
      <c r="AC209">
        <f>AB209-W209</f>
        <v>0</v>
      </c>
      <c r="AD209" cm="1">
        <f t="array" ref="AD209">IFERROR(IF(AC209&lt;0,0,AC209/($R$163-INDEX(hd_off,MATCH(AQ209,hd_mark,0),0)/12)),0)</f>
        <v>0</v>
      </c>
      <c r="AE209">
        <f>IF(S209=0,0,$AD$163*$AM$151)</f>
        <v>0</v>
      </c>
      <c r="AF209">
        <f>IFERROR(AE209/$R$163,0)</f>
        <v>0</v>
      </c>
      <c r="AG209">
        <f>AE209*($F$23+IF($F$23=0,0,($C$14+$C$15+IF($C$13="single",1.5,3)+3)/12))</f>
        <v>0</v>
      </c>
      <c r="AH209">
        <f>AG209-X209</f>
        <v>0</v>
      </c>
      <c r="AI209" cm="1">
        <f t="array" ref="AI209">IFERROR(IF(AH209&lt;0,0,AH209/($R$163-INDEX(hd_off,MATCH(AQ209,hd_mark,0),0)/12)),0)</f>
        <v>0</v>
      </c>
      <c r="AJ209">
        <f>MAX($F$23,$AA$163)/$Q$180</f>
        <v>0</v>
      </c>
      <c r="AK209">
        <f t="shared" si="135"/>
        <v>0</v>
      </c>
      <c r="AL209" cm="1">
        <f t="array" ref="AL209">IFERROR(INDEX(sheath_ecap_asd,MATCH(AP209,sheath_mark,0),0)*AK209,0)</f>
        <v>0</v>
      </c>
      <c r="AM209" cm="1">
        <f t="array" ref="AM209">IFERROR(INDEX(sheath_wcap_asd,MATCH(AP209,sheath_mark,0),0)*AK209,0)</f>
        <v>0</v>
      </c>
      <c r="AN209" cm="1">
        <f t="array" ref="AN209">IFERROR(INDEX(hd_cap,MATCH(AQ209,hd_mark,0),0),0)</f>
        <v>0</v>
      </c>
      <c r="AP209" s="19"/>
      <c r="AQ209" s="19"/>
      <c r="AR209" s="100"/>
      <c r="AS209" s="93"/>
      <c r="AT209" s="109" t="s">
        <v>491</v>
      </c>
      <c r="AU209" t="str">
        <f>$Q$151</f>
        <v>L4</v>
      </c>
      <c r="AV209">
        <f>$E$23</f>
        <v>0</v>
      </c>
      <c r="AW209" cm="1">
        <f t="array" ref="AW209">IFERROR(IF(AV209=0,0,(INDEX($C$33:$C$38,MATCH($AZ$163,$B$33:$B$38,0),0)*(AV211+$BA$163)+$AW$163*COUNTIF(AV209:AV210,"&gt;0")*$C$32+$AY$163*$C$31)*$AU$163),0)</f>
        <v>0</v>
      </c>
      <c r="AX209">
        <f>IF(AV209=0,0,-(COUNTIF(AV209:AV210,"&gt;0")*$AW$163*$C$32+$AY$163*$C$31)*$H$27*$AU$163)</f>
        <v>0</v>
      </c>
      <c r="AY209">
        <f>IF(AV209=0,0,$AY$163*$H$26*$AU$163)</f>
        <v>0</v>
      </c>
      <c r="AZ209">
        <f>(0.6*AW209+0.7*AX209)*$AU$163/2</f>
        <v>0</v>
      </c>
      <c r="BA209">
        <f>AW209*$AU$163/2</f>
        <v>0</v>
      </c>
      <c r="BC209">
        <f>IF(AV209=0,0,$BG$163*$AP$151)</f>
        <v>0</v>
      </c>
      <c r="BD209">
        <f>IFERROR(BC209/$AU$163,0)</f>
        <v>0</v>
      </c>
      <c r="BE209">
        <f>BC209*($F$23+IF($F$23=0,0,($C$14+$C$15+IF($C$13="single",1.5,3)+3)/12))</f>
        <v>0</v>
      </c>
      <c r="BF209">
        <f>BE209-AZ209</f>
        <v>0</v>
      </c>
      <c r="BG209" cm="1">
        <f t="array" ref="BG209">IFERROR(IF(BF209&lt;0,0,BF209/($AU$163-INDEX(hd_off,MATCH(BT209,hd_mark,0),0)/12)),0)</f>
        <v>0</v>
      </c>
      <c r="BH209">
        <f>IF(AV209=0,0,$BG$163*$AM$151)</f>
        <v>0</v>
      </c>
      <c r="BI209">
        <f>IFERROR(BH209/$AU$163,0)</f>
        <v>0</v>
      </c>
      <c r="BJ209">
        <f>BH209*($F$23+IF($F$23=0,0,($C$14+$C$15+IF($C$13="single",1.5,3)+3)/12))</f>
        <v>0</v>
      </c>
      <c r="BK209">
        <f>BJ209-BA209</f>
        <v>0</v>
      </c>
      <c r="BL209" cm="1">
        <f t="array" ref="BL209">IFERROR(IF(BK209&lt;0,0,BK209/($AU$163-INDEX(hd_off,MATCH(BT209,hd_mark,0),0)/12)),0)</f>
        <v>0</v>
      </c>
      <c r="BM209">
        <f>MAX($F$23,$BD$163)/$Q$180</f>
        <v>0</v>
      </c>
      <c r="BN209">
        <f t="shared" si="136"/>
        <v>0</v>
      </c>
      <c r="BO209" cm="1">
        <f t="array" ref="BO209">IFERROR(INDEX(sheath_ecap_asd,MATCH(BS209,sheath_mark,0),0)*BN209,0)</f>
        <v>0</v>
      </c>
      <c r="BP209" cm="1">
        <f t="array" ref="BP209">IFERROR(INDEX(sheath_wcap_asd,MATCH(BS209,sheath_mark,0),0)*BN209,0)</f>
        <v>0</v>
      </c>
      <c r="BQ209" cm="1">
        <f t="array" ref="BQ209">IFERROR(INDEX(hd_cap,MATCH(BT209,hd_mark,0),0),0)</f>
        <v>0</v>
      </c>
      <c r="BS209" s="19"/>
      <c r="BT209" s="19"/>
      <c r="BU209" s="100"/>
    </row>
    <row r="210" x14ac:dyDescent="0.25">
      <c r="P210" s="93"/>
      <c r="Q210" s="111">
        <f>$R$163</f>
        <v>0</v>
      </c>
      <c r="R210" t="str">
        <f>$Q$152</f>
        <v>L5</v>
      </c>
      <c r="S210">
        <f>$E$24</f>
        <v>0</v>
      </c>
      <c r="T210" cm="1">
        <f t="array" ref="T210">IFERROR(IF(S210=0,0,(INDEX($C$33:$C$38,MATCH($W$163,$B$33:$B$38,0),0)*(S211+$X$163)+$T$163*COUNTIF(S210:S210,"&gt;0")*$C$32+$V$163*$C$31)*$R$163),0)</f>
        <v>0</v>
      </c>
      <c r="U210">
        <f>IF(S210=0,0,-(COUNTIF(S210:S210,"&gt;0")*$T$163*$C$32+$V$163*$C$31)*$H$27*$R$163)</f>
        <v>0</v>
      </c>
      <c r="V210">
        <f>IF(S210=0,0,$V$163*$H$26*$R$163)</f>
        <v>0</v>
      </c>
      <c r="W210">
        <f>(0.6*T210+0.7*U210)*$R$163/2</f>
        <v>0</v>
      </c>
      <c r="X210">
        <f>T210*$R$163/2</f>
        <v>0</v>
      </c>
      <c r="Z210">
        <f>IF(S210=0,0,$AD$163*$AP$152)</f>
        <v>0</v>
      </c>
      <c r="AA210">
        <f>IFERROR(Z210/$R$163,0)</f>
        <v>0</v>
      </c>
      <c r="AB210">
        <f>Z210*($F$24+IF($F$24=0,0,($C$14+$C$15+IF($C$13="single",1.5,3)+3)/12))</f>
        <v>0</v>
      </c>
      <c r="AC210">
        <f>AB210-W210</f>
        <v>0</v>
      </c>
      <c r="AD210" cm="1">
        <f t="array" ref="AD210">IFERROR(IF(AC210&lt;0,0,AC210/($R$163-INDEX(hd_off,MATCH(AQ210,hd_mark,0),0)/12)),0)</f>
        <v>0</v>
      </c>
      <c r="AE210">
        <f>IF(S210=0,0,$AD$163*$AM$152)</f>
        <v>0</v>
      </c>
      <c r="AF210">
        <f>IFERROR(AE210/$R$163,0)</f>
        <v>0</v>
      </c>
      <c r="AG210">
        <f>AE210*($F$24+IF($F$24=0,0,($C$14+$C$15+IF($C$13="single",1.5,3)+3)/12))</f>
        <v>0</v>
      </c>
      <c r="AH210">
        <f>AG210-X210</f>
        <v>0</v>
      </c>
      <c r="AI210" cm="1">
        <f t="array" ref="AI210">IFERROR(IF(AH210&lt;0,0,AH210/($R$163-INDEX(hd_off,MATCH(AQ210,hd_mark,0),0)/12)),0)</f>
        <v>0</v>
      </c>
      <c r="AJ210">
        <f>MAX($F$24,$AB$163)/$Q$180</f>
        <v>0</v>
      </c>
      <c r="AK210">
        <f t="shared" si="135"/>
        <v>0</v>
      </c>
      <c r="AL210" cm="1">
        <f t="array" ref="AL210">IFERROR(INDEX(sheath_ecap_asd,MATCH(AP210,sheath_mark,0),0)*AK210,0)</f>
        <v>0</v>
      </c>
      <c r="AM210" cm="1">
        <f t="array" ref="AM210">IFERROR(INDEX(sheath_wcap_asd,MATCH(AP210,sheath_mark,0),0)*AK210,0)</f>
        <v>0</v>
      </c>
      <c r="AN210" cm="1">
        <f t="array" ref="AN210">IFERROR(INDEX(hd_cap,MATCH(AQ210,hd_mark,0),0),0)</f>
        <v>0</v>
      </c>
      <c r="AP210" s="19"/>
      <c r="AQ210" s="19"/>
      <c r="AR210" s="100"/>
      <c r="AS210" s="93"/>
      <c r="AT210" s="111">
        <f>$R$163</f>
        <v>0</v>
      </c>
      <c r="AU210" t="str">
        <f>$Q$152</f>
        <v>L5</v>
      </c>
      <c r="AV210">
        <f>$E$24</f>
        <v>0</v>
      </c>
      <c r="AW210" cm="1">
        <f t="array" ref="AW210">IFERROR(IF(AV210=0,0,(INDEX($C$33:$C$38,MATCH($AZ$163,$B$33:$B$38,0),0)*(AV211+$BA$163)+$AW$163*COUNTIF(AV210:AV210,"&gt;0")*$C$32+$AY$163*$C$31)*$AU$163),0)</f>
        <v>0</v>
      </c>
      <c r="AX210">
        <f>IF(AV210=0,0,-(COUNTIF(AV210:AV210,"&gt;0")*$AW$163*$C$32+$AY$163*$C$31)*$H$27*$AU$163)</f>
        <v>0</v>
      </c>
      <c r="AY210">
        <f>IF(AV210=0,0,$AY$163*$H$26*$AU$163)</f>
        <v>0</v>
      </c>
      <c r="AZ210">
        <f>(0.6*AW210+0.7*AX210)*$AU$163/2</f>
        <v>0</v>
      </c>
      <c r="BA210">
        <f>AW210*$AU$163/2</f>
        <v>0</v>
      </c>
      <c r="BC210">
        <f>IF(AV210=0,0,$BG$163*$AP$152)</f>
        <v>0</v>
      </c>
      <c r="BD210">
        <f>IFERROR(BC210/$AU$163,0)</f>
        <v>0</v>
      </c>
      <c r="BE210">
        <f>BC210*($F$24+IF($F$24=0,0,($C$14+$C$15+IF($C$13="single",1.5,3)+3)/12))</f>
        <v>0</v>
      </c>
      <c r="BF210">
        <f>BE210-AZ210</f>
        <v>0</v>
      </c>
      <c r="BG210" cm="1">
        <f t="array" ref="BG210">IFERROR(IF(BF210&lt;0,0,BF210/($AU$163-INDEX(hd_off,MATCH(BT210,hd_mark,0),0)/12)),0)</f>
        <v>0</v>
      </c>
      <c r="BH210">
        <f>IF(AV210=0,0,$BG$163*$AM$152)</f>
        <v>0</v>
      </c>
      <c r="BI210">
        <f>IFERROR(BH210/$AU$163,0)</f>
        <v>0</v>
      </c>
      <c r="BJ210">
        <f>BH210*($F$24+IF($F$24=0,0,($C$14+$C$15+IF($C$13="single",1.5,3)+3)/12))</f>
        <v>0</v>
      </c>
      <c r="BK210">
        <f>BJ210-BA210</f>
        <v>0</v>
      </c>
      <c r="BL210" cm="1">
        <f t="array" ref="BL210">IFERROR(IF(BK210&lt;0,0,BK210/($AU$163-INDEX(hd_off,MATCH(BT210,hd_mark,0),0)/12)),0)</f>
        <v>0</v>
      </c>
      <c r="BM210">
        <f>MAX($F$24,$BE$163)/$Q$180</f>
        <v>0</v>
      </c>
      <c r="BN210">
        <f t="shared" si="136"/>
        <v>0</v>
      </c>
      <c r="BO210" cm="1">
        <f t="array" ref="BO210">IFERROR(INDEX(sheath_ecap_asd,MATCH(BS210,sheath_mark,0),0)*BN210,0)</f>
        <v>0</v>
      </c>
      <c r="BP210" cm="1">
        <f t="array" ref="BP210">IFERROR(INDEX(sheath_wcap_asd,MATCH(BS210,sheath_mark,0),0)*BN210,0)</f>
        <v>0</v>
      </c>
      <c r="BQ210" cm="1">
        <f t="array" ref="BQ210">IFERROR(INDEX(hd_cap,MATCH(BT210,hd_mark,0),0),0)</f>
        <v>0</v>
      </c>
      <c r="BS210" s="19"/>
      <c r="BT210" s="19"/>
      <c r="BU210" s="100"/>
    </row>
    <row r="211" x14ac:dyDescent="0.25">
      <c r="P211" s="93"/>
      <c r="Q211" s="109"/>
      <c r="R211" t="str">
        <f>$Q$153</f>
        <v>Roof</v>
      </c>
      <c r="S211">
        <f>$E$25</f>
        <v>33.171875</v>
      </c>
      <c r="T211" cm="1">
        <f t="array" ref="T211">IFERROR(IF(S211=0,0,(INDEX($C$33:$C$38,MATCH($W$163,$B$33:$B$38,0),0)*(S211+$X$163)+$V$163*$C$31)*$R$163),0)</f>
        <v>0</v>
      </c>
      <c r="U211">
        <f>IF(S211=0,0,-$V$163*$C$31*$H$27*$R$163)</f>
        <v>0</v>
      </c>
      <c r="V211">
        <f>IF(S211=0,0,$V$163*$H$26*$R$163)</f>
        <v>0</v>
      </c>
      <c r="W211">
        <f>(0.6*T211+0.7*U211)*$R$163/2</f>
        <v>0</v>
      </c>
      <c r="X211">
        <f>T211*$R$163/2</f>
        <v>0</v>
      </c>
      <c r="Z211">
        <f>IF(S211=0,0,$AD$163*$AP$153)</f>
        <v>0</v>
      </c>
      <c r="AA211">
        <f>IFERROR(Z211/$R$163,0)</f>
        <v>0</v>
      </c>
      <c r="AB211">
        <f>Z211*($F$25+($C$16+$C$17+IF($C$13="single",1.5,3)+3)/12)</f>
        <v>0</v>
      </c>
      <c r="AC211">
        <f>AB211-W211</f>
        <v>0</v>
      </c>
      <c r="AD211" cm="1">
        <f t="array" ref="AD211">IFERROR(IF(AC211&lt;0,0,AC211/($R$163-INDEX(hd_off,MATCH(AQ211,hd_mark,0),0)/12)),0)</f>
        <v>0</v>
      </c>
      <c r="AE211">
        <f>IF(S211=0,0,$AD$163*$AM$153)</f>
        <v>0</v>
      </c>
      <c r="AF211">
        <f>IFERROR(AE211/$R$163,0)</f>
        <v>0</v>
      </c>
      <c r="AG211">
        <f>AE211*($F$25+($C$16+$C$17+IF($C$13="single",1.5,3)+3)/12)</f>
        <v>0</v>
      </c>
      <c r="AH211">
        <f>AG211-X211</f>
        <v>0</v>
      </c>
      <c r="AI211" cm="1">
        <f t="array" ref="AI211">IFERROR(IF(AH211&lt;0,0,AH211/($R$163-INDEX(hd_off,MATCH(AQ211,hd_mark,0),0)/12)),0)</f>
        <v>0</v>
      </c>
      <c r="AJ211">
        <f>MAX($F$25,$AC$163)/$Q$180</f>
        <v>0.29920977011494249</v>
      </c>
      <c r="AK211">
        <f t="shared" si="135"/>
        <v>1</v>
      </c>
      <c r="AL211" cm="1">
        <f t="array" ref="AL211">IFERROR(INDEX(sheath_ecap_asd,MATCH(AP211,sheath_mark,0),0)*AK211,0)</f>
        <v>0</v>
      </c>
      <c r="AM211" cm="1">
        <f t="array" ref="AM211">IFERROR(INDEX(sheath_wcap_asd,MATCH(AP211,sheath_mark,0),0)*AK211,0)</f>
        <v>0</v>
      </c>
      <c r="AN211" cm="1">
        <f t="array" ref="AN211">IFERROR(INDEX(hd_cap,MATCH(AQ211,hd_mark,0),0),0)</f>
        <v>0</v>
      </c>
      <c r="AP211" s="19"/>
      <c r="AQ211" s="19"/>
      <c r="AR211" s="100"/>
      <c r="AS211" s="93"/>
      <c r="AT211" s="109"/>
      <c r="AU211" t="str">
        <f>$Q$153</f>
        <v>Roof</v>
      </c>
      <c r="AV211">
        <f>$E$25</f>
        <v>33.171875</v>
      </c>
      <c r="AW211" cm="1">
        <f t="array" ref="AW211">IFERROR(IF(AV211=0,0,(INDEX($C$33:$C$38,MATCH($AZ$163,$B$33:$B$38,0),0)*(AV211+$BA$163)+$AY$163*$C$31)*$AU$163),0)</f>
        <v>0</v>
      </c>
      <c r="AX211">
        <f>IF(AV211=0,0,-$AY$163*$C$31*$H$27*$AU$163)</f>
        <v>0</v>
      </c>
      <c r="AY211">
        <f>IF(AV211=0,0,$AY$163*$H$26*$AU$163)</f>
        <v>0</v>
      </c>
      <c r="AZ211">
        <f>(0.6*AW211+0.7*AX211)*$AU$163/2</f>
        <v>0</v>
      </c>
      <c r="BA211">
        <f>AW211*$AU$163/2</f>
        <v>0</v>
      </c>
      <c r="BC211">
        <f>IF(AV211=0,0,$BG$163*$AP$153)</f>
        <v>0</v>
      </c>
      <c r="BD211">
        <f>IFERROR(BC211/$AU$163,0)</f>
        <v>0</v>
      </c>
      <c r="BE211">
        <f>BC211*($F$25+($C$16+$C$17+IF($C$13="single",1.5,3)+3)/12)</f>
        <v>0</v>
      </c>
      <c r="BF211">
        <f>BE211-AZ211</f>
        <v>0</v>
      </c>
      <c r="BG211" cm="1">
        <f t="array" ref="BG211">IFERROR(IF(BF211&lt;0,0,BF211/($AU$163-INDEX(hd_off,MATCH(BT211,hd_mark,0),0)/12)),0)</f>
        <v>0</v>
      </c>
      <c r="BH211">
        <f>IF(AV211=0,0,$BG$163*$AM$153)</f>
        <v>0</v>
      </c>
      <c r="BI211">
        <f>IFERROR(BH211/$AU$163,0)</f>
        <v>0</v>
      </c>
      <c r="BJ211">
        <f>BH211*($F$25+($C$16+$C$17+IF($C$13="single",1.5,3)+3)/12)</f>
        <v>0</v>
      </c>
      <c r="BK211">
        <f>BJ211-BA211</f>
        <v>0</v>
      </c>
      <c r="BL211" cm="1">
        <f t="array" ref="BL211">IFERROR(IF(BK211&lt;0,0,BK211/($AU$163-INDEX(hd_off,MATCH(BT211,hd_mark,0),0)/12)),0)</f>
        <v>0</v>
      </c>
      <c r="BM211">
        <f>MAX($F$25,$BF$163)/$Q$180</f>
        <v>0.29920977011494249</v>
      </c>
      <c r="BN211">
        <f t="shared" si="136"/>
        <v>1</v>
      </c>
      <c r="BO211" cm="1">
        <f t="array" ref="BO211">IFERROR(INDEX(sheath_ecap_asd,MATCH(BS211,sheath_mark,0),0)*BN211,0)</f>
        <v>0</v>
      </c>
      <c r="BP211" cm="1">
        <f t="array" ref="BP211">IFERROR(INDEX(sheath_wcap_asd,MATCH(BS211,sheath_mark,0),0)*BN211,0)</f>
        <v>0</v>
      </c>
      <c r="BQ211" cm="1">
        <f t="array" ref="BQ211">IFERROR(INDEX(hd_cap,MATCH(BT211,hd_mark,0),0),0)</f>
        <v>0</v>
      </c>
      <c r="BS211" s="19"/>
      <c r="BT211" s="19"/>
      <c r="BU211" s="100"/>
    </row>
    <row r="212" x14ac:dyDescent="0.25">
      <c r="P212" s="93"/>
      <c r="AR212" s="100"/>
      <c r="AS212" s="93"/>
      <c r="BU212" s="100"/>
    </row>
    <row r="213" x14ac:dyDescent="0.25">
      <c r="P213" s="93"/>
      <c r="Q213" s="110" t="str">
        <f>$Q$164</f>
        <v>A.07</v>
      </c>
      <c r="R213" t="str">
        <f>$Q$149</f>
        <v>L2</v>
      </c>
      <c r="S213">
        <f>$E$21</f>
        <v>10.6875</v>
      </c>
      <c r="T213" cm="1">
        <f t="array" ref="T213">IFERROR(IF(S213=0,0,(INDEX($C$33:$C$38,MATCH($W$164,$B$33:$B$38,0),0)*(S217+$X$164)+$T$164*COUNTIF(S213:S216,"&gt;0")*$C$32+$V$164*$C$31)*$R$164),0)</f>
        <v>0</v>
      </c>
      <c r="U213">
        <f>IF(S213=0,0,-(COUNTIF(S213:S216,"&gt;0")*$T$164*$C$32+$V$164*$C$31)*$H$27*$R$164)</f>
        <v>0</v>
      </c>
      <c r="V213">
        <f>IF(S213=0,0,$V$164*$H$26*$R$164)</f>
        <v>0</v>
      </c>
      <c r="W213">
        <f>(0.6*T213+0.7*U213)*$R$164/2</f>
        <v>0</v>
      </c>
      <c r="X213">
        <f>(0.6*T213+0.6*V213)*$R$164/2</f>
        <v>0</v>
      </c>
      <c r="Z213">
        <f>IF(S213=0,0,$AD$164*$AP$149)</f>
        <v>0</v>
      </c>
      <c r="AA213">
        <f>IFERROR(Z213/$R$164,0)</f>
        <v>0</v>
      </c>
      <c r="AB213">
        <f>Z213*($F$21+IF($F$21=0,0,($C$14+$C$15+IF($C$13="single",1.5,3)+3)/12))</f>
        <v>0</v>
      </c>
      <c r="AC213">
        <f>AB213-W213</f>
        <v>0</v>
      </c>
      <c r="AD213" cm="1">
        <f t="array" ref="AD213">IFERROR(IF(AC213&lt;0,0,AC213/($R$164-INDEX(hd_off,MATCH(AQ213,hd_mark,0),0)/12)),0)</f>
        <v>0</v>
      </c>
      <c r="AE213">
        <f>IF(S213=0,0,$AD$164*$AM$149)</f>
        <v>0</v>
      </c>
      <c r="AF213">
        <f>IFERROR(AE213/$R$164,0)</f>
        <v>0</v>
      </c>
      <c r="AG213">
        <f>AE213*($F$21+IF($F$21=0,0,($C$14+$C$15+IF($C$13="single",1.5,3)+3)/12))</f>
        <v>0</v>
      </c>
      <c r="AH213">
        <f>AG213-X213</f>
        <v>0</v>
      </c>
      <c r="AI213" cm="1">
        <f t="array" ref="AI213">IFERROR(IF(AH213&lt;0,0,AH213/($R$164-INDEX(hd_off,MATCH(AQ213,hd_mark,0),0)/12)),0)</f>
        <v>0</v>
      </c>
      <c r="AJ213">
        <f>MAX($F$21,$Y$164)/$Q$180</f>
        <v>0.30172413793103448</v>
      </c>
      <c r="AK213">
        <f>IF(AJ213=0,0,IF(AJ213&gt;2,1.25-0.125*AJ213,1))</f>
        <v>1</v>
      </c>
      <c r="AL213" cm="1">
        <f t="array" ref="AL213">IFERROR(INDEX(sheath_ecap_asd,MATCH(AP213,sheath_mark,0),0)*AK213,0)</f>
        <v>0</v>
      </c>
      <c r="AM213" cm="1">
        <f t="array" ref="AM213">IFERROR(INDEX(sheath_wcap_asd,MATCH(AP213,sheath_mark,0),0)*AK213,0)</f>
        <v>0</v>
      </c>
      <c r="AN213" cm="1">
        <f t="array" ref="AN213">IFERROR(INDEX(hd_cap,MATCH(AQ213,hd_mark,0),0),0)</f>
        <v>0</v>
      </c>
      <c r="AP213" s="19"/>
      <c r="AQ213" s="19"/>
      <c r="AR213" s="100"/>
      <c r="AS213" s="93"/>
      <c r="AT213" s="110" t="str">
        <f>$AT$164</f>
        <v>1.07</v>
      </c>
      <c r="AU213" t="str">
        <f>$Q$149</f>
        <v>L2</v>
      </c>
      <c r="AV213">
        <f>$E$21</f>
        <v>10.6875</v>
      </c>
      <c r="AW213" cm="1">
        <f t="array" ref="AW213">IFERROR(IF(AV213=0,0,(INDEX($C$33:$C$38,MATCH($AZ$164,$B$33:$B$38,0),0)*(AV217+$BA$164)+$AW$164*COUNTIF(AV213:AV216,"&gt;0")*$C$32+$AY$164*$C$31)*$AU$164),0)</f>
        <v>0</v>
      </c>
      <c r="AX213">
        <f>IF(AV213=0,0,-(COUNTIF(AV213:AV216,"&gt;0")*$AW$164*$C$32+$AY$164*$C$31)*$H$27*$AU$164)</f>
        <v>0</v>
      </c>
      <c r="AY213">
        <f>IF(AV213=0,0,$AY$164*$H$26*$AU$164)</f>
        <v>0</v>
      </c>
      <c r="AZ213">
        <f>(0.6*AW213+0.7*AX213)*$AU$164/2</f>
        <v>0</v>
      </c>
      <c r="BA213">
        <f>(0.6*AW213+0.6*AY213)*$AU$164/2</f>
        <v>0</v>
      </c>
      <c r="BC213">
        <f>IF(AV213=0,0,$BG$164*$AP$149)</f>
        <v>0</v>
      </c>
      <c r="BD213">
        <f>IFERROR(BC213/$AU$164,0)</f>
        <v>0</v>
      </c>
      <c r="BE213">
        <f>BC213*($F$21+IF($F$21=0,0,($C$14+$C$15+IF($C$13="single",1.5,3)+3)/12))</f>
        <v>0</v>
      </c>
      <c r="BF213">
        <f>BE213-AZ213</f>
        <v>0</v>
      </c>
      <c r="BG213" cm="1">
        <f t="array" ref="BG213">IFERROR(IF(BF213&lt;0,0,BF213/($AU$164-INDEX(hd_off,MATCH(BT213,hd_mark,0),0)/12)),0)</f>
        <v>0</v>
      </c>
      <c r="BH213">
        <f>IF(AV213=0,0,$BG$164*$AM$149)</f>
        <v>0</v>
      </c>
      <c r="BI213">
        <f>IFERROR(BH213/$AU$164,0)</f>
        <v>0</v>
      </c>
      <c r="BJ213">
        <f>BH213*($F$21+IF($F$21=0,0,($C$14+$C$15+IF($C$13="single",1.5,3)+3)/12))</f>
        <v>0</v>
      </c>
      <c r="BK213">
        <f>BJ213-BA213</f>
        <v>0</v>
      </c>
      <c r="BL213" cm="1">
        <f t="array" ref="BL213">IFERROR(IF(BK213&lt;0,0,BK213/($AU$164-INDEX(hd_off,MATCH(BT213,hd_mark,0),0)/12)),0)</f>
        <v>0</v>
      </c>
      <c r="BM213">
        <f>MAX($F$21,$BB$164)/$Q$180</f>
        <v>0.30172413793103448</v>
      </c>
      <c r="BN213">
        <f>IF(BM213=0,0,IF(BM213&gt;2,1.25-0.125*BM213,1))</f>
        <v>1</v>
      </c>
      <c r="BO213" cm="1">
        <f t="array" ref="BO213">IFERROR(INDEX(sheath_ecap_asd,MATCH(BS213,sheath_mark,0),0)*BN213,0)</f>
        <v>0</v>
      </c>
      <c r="BP213" cm="1">
        <f t="array" ref="BP213">IFERROR(INDEX(sheath_wcap_asd,MATCH(BS213,sheath_mark,0),0)*BN213,0)</f>
        <v>0</v>
      </c>
      <c r="BQ213" cm="1">
        <f t="array" ref="BQ213">IFERROR(INDEX(hd_cap,MATCH(BT213,hd_mark,0),0),0)</f>
        <v>0</v>
      </c>
      <c r="BS213" s="19"/>
      <c r="BT213" s="19"/>
      <c r="BU213" s="100"/>
    </row>
    <row r="214" x14ac:dyDescent="0.25">
      <c r="P214" s="93"/>
      <c r="Q214" s="109"/>
      <c r="R214" t="str">
        <f>$Q$150</f>
        <v>L3</v>
      </c>
      <c r="S214">
        <f>$E$22</f>
        <v>21.375</v>
      </c>
      <c r="T214" cm="1">
        <f t="array" ref="T214">IFERROR(IF(S214=0,0,(INDEX($C$33:$C$38,MATCH($W$164,$B$33:$B$38,0),0)*(S217+$X$164)+$T$164*COUNTIF(S214:S216,"&gt;0")*$C$32+$V$164*$C$31)*$R$164),0)</f>
        <v>0</v>
      </c>
      <c r="U214">
        <f>IF(S214=0,0,-(COUNTIF(S214:S216,"&gt;0")*$T$164*$C$32+$V$164*$C$31)*$H$27*$R$164)</f>
        <v>0</v>
      </c>
      <c r="V214">
        <f>IF(S214=0,0,$V$164*$H$26*$R$164)</f>
        <v>0</v>
      </c>
      <c r="W214">
        <f>(0.6*T214+0.7*U214)*$R$164/2</f>
        <v>0</v>
      </c>
      <c r="X214">
        <f>T214*$R$164/2</f>
        <v>0</v>
      </c>
      <c r="Z214">
        <f>IF(S214=0,0,$AD$164*$AP$150)</f>
        <v>0</v>
      </c>
      <c r="AA214">
        <f>IFERROR(Z214/$R$164,0)</f>
        <v>0</v>
      </c>
      <c r="AB214">
        <f>Z214*($F$22+IF($F$22=0,0,($C$14+$C$15+IF($C$13="single",1.5,3)+3)/12))</f>
        <v>0</v>
      </c>
      <c r="AC214">
        <f>AB214-W214</f>
        <v>0</v>
      </c>
      <c r="AD214" cm="1">
        <f t="array" ref="AD214">IFERROR(IF(AC214&lt;0,0,AC214/($R$164-INDEX(hd_off,MATCH(AQ214,hd_mark,0),0)/12)),0)</f>
        <v>0</v>
      </c>
      <c r="AE214">
        <f>IF(S214=0,0,$AD$164*$AM$150)</f>
        <v>0</v>
      </c>
      <c r="AF214">
        <f>IFERROR(AE214/$R$164,0)</f>
        <v>0</v>
      </c>
      <c r="AG214">
        <f>AE214*($F$22+IF($F$22=0,0,($C$14+$C$15+IF($C$13="single",1.5,3)+3)/12))</f>
        <v>0</v>
      </c>
      <c r="AH214">
        <f>AG214-X214</f>
        <v>0</v>
      </c>
      <c r="AI214" cm="1">
        <f t="array" ref="AI214">IFERROR(IF(AH214&lt;0,0,AH214/($R$164-INDEX(hd_off,MATCH(AQ214,hd_mark,0),0)/12)),0)</f>
        <v>0</v>
      </c>
      <c r="AJ214">
        <f>MAX($F$22,$Z$164)/$Q$180</f>
        <v>0.30172413793103448</v>
      </c>
      <c r="AK214">
        <f t="shared" ref="AK214:AK217" si="137">IF(AJ214=0,0,IF(AJ214&gt;2,1.25-0.125*AJ214,1))</f>
        <v>1</v>
      </c>
      <c r="AL214" cm="1">
        <f t="array" ref="AL214">IFERROR(INDEX(sheath_ecap_asd,MATCH(AP214,sheath_mark,0),0)*AK214,0)</f>
        <v>0</v>
      </c>
      <c r="AM214" cm="1">
        <f t="array" ref="AM214">IFERROR(INDEX(sheath_wcap_asd,MATCH(AP214,sheath_mark,0),0)*AK214,0)</f>
        <v>0</v>
      </c>
      <c r="AN214" cm="1">
        <f t="array" ref="AN214">IFERROR(INDEX(hd_cap,MATCH(AQ214,hd_mark,0),0),0)</f>
        <v>0</v>
      </c>
      <c r="AP214" s="19"/>
      <c r="AQ214" s="19"/>
      <c r="AR214" s="100"/>
      <c r="AS214" s="93"/>
      <c r="AT214" s="109"/>
      <c r="AU214" t="str">
        <f>$Q$150</f>
        <v>L3</v>
      </c>
      <c r="AV214">
        <f>$E$22</f>
        <v>21.375</v>
      </c>
      <c r="AW214" cm="1">
        <f t="array" ref="AW214">IFERROR(IF(AV214=0,0,(INDEX($C$33:$C$38,MATCH($AZ$164,$B$33:$B$38,0),0)*(AV217+$BA$164)+$AW$164*COUNTIF(AV214:AV216,"&gt;0")*$C$32+$AY$164*$C$31)*$AU$164),0)</f>
        <v>0</v>
      </c>
      <c r="AX214">
        <f>IF(AV214=0,0,-(COUNTIF(AV214:AV216,"&gt;0")*$AW$164*$C$32+$AY$164*$C$31)*$H$27*$AU$164)</f>
        <v>0</v>
      </c>
      <c r="AY214">
        <f>IF(AV214=0,0,$AY$164*$H$26*$AU$164)</f>
        <v>0</v>
      </c>
      <c r="AZ214">
        <f>(0.6*AW214+0.7*AX214)*$AU$164/2</f>
        <v>0</v>
      </c>
      <c r="BA214">
        <f>AW214*$AU$164/2</f>
        <v>0</v>
      </c>
      <c r="BC214">
        <f>IF(AV214=0,0,$BG$164*$AP$150)</f>
        <v>0</v>
      </c>
      <c r="BD214">
        <f>IFERROR(BC214/$AU$164,0)</f>
        <v>0</v>
      </c>
      <c r="BE214">
        <f>BC214*($F$22+IF($F$22=0,0,($C$14+$C$15+IF($C$13="single",1.5,3)+3)/12))</f>
        <v>0</v>
      </c>
      <c r="BF214">
        <f>BE214-AZ214</f>
        <v>0</v>
      </c>
      <c r="BG214" cm="1">
        <f t="array" ref="BG214">IFERROR(IF(BF214&lt;0,0,BF214/($AU$164-INDEX(hd_off,MATCH(BT214,hd_mark,0),0)/12)),0)</f>
        <v>0</v>
      </c>
      <c r="BH214">
        <f>IF(AV214=0,0,$BG$164*$AM$150)</f>
        <v>0</v>
      </c>
      <c r="BI214">
        <f>IFERROR(BH214/$AU$164,0)</f>
        <v>0</v>
      </c>
      <c r="BJ214">
        <f>BH214*($F$22+IF($F$22=0,0,($C$14+$C$15+IF($C$13="single",1.5,3)+3)/12))</f>
        <v>0</v>
      </c>
      <c r="BK214">
        <f>BJ214-BA214</f>
        <v>0</v>
      </c>
      <c r="BL214" cm="1">
        <f t="array" ref="BL214">IFERROR(IF(BK214&lt;0,0,BK214/($AU$164-INDEX(hd_off,MATCH(BT214,hd_mark,0),0)/12)),0)</f>
        <v>0</v>
      </c>
      <c r="BM214">
        <f>MAX($F$22,$BC$164)/$Q$180</f>
        <v>0.30172413793103448</v>
      </c>
      <c r="BN214">
        <f t="shared" ref="BN214:BN217" si="138">IF(BM214=0,0,IF(BM214&gt;2,1.25-0.125*BM214,1))</f>
        <v>1</v>
      </c>
      <c r="BO214" cm="1">
        <f t="array" ref="BO214">IFERROR(INDEX(sheath_ecap_asd,MATCH(BS214,sheath_mark,0),0)*BN214,0)</f>
        <v>0</v>
      </c>
      <c r="BP214" cm="1">
        <f t="array" ref="BP214">IFERROR(INDEX(sheath_wcap_asd,MATCH(BS214,sheath_mark,0),0)*BN214,0)</f>
        <v>0</v>
      </c>
      <c r="BQ214" cm="1">
        <f t="array" ref="BQ214">IFERROR(INDEX(hd_cap,MATCH(BT214,hd_mark,0),0),0)</f>
        <v>0</v>
      </c>
      <c r="BS214" s="19"/>
      <c r="BT214" s="19"/>
      <c r="BU214" s="100"/>
    </row>
    <row r="215" x14ac:dyDescent="0.25">
      <c r="P215" s="93"/>
      <c r="Q215" s="109" t="s">
        <v>491</v>
      </c>
      <c r="R215" t="str">
        <f>$Q$151</f>
        <v>L4</v>
      </c>
      <c r="S215">
        <f>$E$23</f>
        <v>0</v>
      </c>
      <c r="T215" cm="1">
        <f t="array" ref="T215">IFERROR(IF(S215=0,0,(INDEX($C$33:$C$38,MATCH($W$164,$B$33:$B$38,0),0)*(S217+$X$164)+$T$164*COUNTIF(S215:S216,"&gt;0")*$C$32+$V$164*$C$31)*$R$164),0)</f>
        <v>0</v>
      </c>
      <c r="U215">
        <f>IF(S215=0,0,-(COUNTIF(S215:S216,"&gt;0")*$T$164*$C$32+$V$164*$C$31)*$H$27*$R$164)</f>
        <v>0</v>
      </c>
      <c r="V215">
        <f>IF(S215=0,0,$V$164*$H$26*$R$164)</f>
        <v>0</v>
      </c>
      <c r="W215">
        <f>(0.6*T215+0.7*U215)*$R$164/2</f>
        <v>0</v>
      </c>
      <c r="X215">
        <f>T215*$R$164/2</f>
        <v>0</v>
      </c>
      <c r="Z215">
        <f>IF(S215=0,0,$AD$164*$AP$151)</f>
        <v>0</v>
      </c>
      <c r="AA215">
        <f>IFERROR(Z215/$R$164,0)</f>
        <v>0</v>
      </c>
      <c r="AB215">
        <f>Z215*($F$23+IF($F$23=0,0,($C$14+$C$15+IF($C$13="single",1.5,3)+3)/12))</f>
        <v>0</v>
      </c>
      <c r="AC215">
        <f>AB215-W215</f>
        <v>0</v>
      </c>
      <c r="AD215" cm="1">
        <f t="array" ref="AD215">IFERROR(IF(AC215&lt;0,0,AC215/($R$164-INDEX(hd_off,MATCH(AQ215,hd_mark,0),0)/12)),0)</f>
        <v>0</v>
      </c>
      <c r="AE215">
        <f>IF(S215=0,0,$AD$164*$AM$151)</f>
        <v>0</v>
      </c>
      <c r="AF215">
        <f>IFERROR(AE215/$R$164,0)</f>
        <v>0</v>
      </c>
      <c r="AG215">
        <f>AE215*($F$23+IF($F$23=0,0,($C$14+$C$15+IF($C$13="single",1.5,3)+3)/12))</f>
        <v>0</v>
      </c>
      <c r="AH215">
        <f>AG215-X215</f>
        <v>0</v>
      </c>
      <c r="AI215" cm="1">
        <f t="array" ref="AI215">IFERROR(IF(AH215&lt;0,0,AH215/($R$164-INDEX(hd_off,MATCH(AQ215,hd_mark,0),0)/12)),0)</f>
        <v>0</v>
      </c>
      <c r="AJ215">
        <f>MAX($F$23,$AA$164)/$Q$180</f>
        <v>0</v>
      </c>
      <c r="AK215">
        <f t="shared" si="137"/>
        <v>0</v>
      </c>
      <c r="AL215" cm="1">
        <f t="array" ref="AL215">IFERROR(INDEX(sheath_ecap_asd,MATCH(AP215,sheath_mark,0),0)*AK215,0)</f>
        <v>0</v>
      </c>
      <c r="AM215" cm="1">
        <f t="array" ref="AM215">IFERROR(INDEX(sheath_wcap_asd,MATCH(AP215,sheath_mark,0),0)*AK215,0)</f>
        <v>0</v>
      </c>
      <c r="AN215" cm="1">
        <f t="array" ref="AN215">IFERROR(INDEX(hd_cap,MATCH(AQ215,hd_mark,0),0),0)</f>
        <v>0</v>
      </c>
      <c r="AP215" s="19"/>
      <c r="AQ215" s="19"/>
      <c r="AR215" s="100"/>
      <c r="AS215" s="93"/>
      <c r="AT215" s="109" t="s">
        <v>491</v>
      </c>
      <c r="AU215" t="str">
        <f>$Q$151</f>
        <v>L4</v>
      </c>
      <c r="AV215">
        <f>$E$23</f>
        <v>0</v>
      </c>
      <c r="AW215" cm="1">
        <f t="array" ref="AW215">IFERROR(IF(AV215=0,0,(INDEX($C$33:$C$38,MATCH($AZ$164,$B$33:$B$38,0),0)*(AV217+$BA$164)+$AW$164*COUNTIF(AV215:AV216,"&gt;0")*$C$32+$AY$164*$C$31)*$AU$164),0)</f>
        <v>0</v>
      </c>
      <c r="AX215">
        <f>IF(AV215=0,0,-(COUNTIF(AV215:AV216,"&gt;0")*$AW$164*$C$32+$AY$164*$C$31)*$H$27*$AU$164)</f>
        <v>0</v>
      </c>
      <c r="AY215">
        <f>IF(AV215=0,0,$AY$164*$H$26*$AU$164)</f>
        <v>0</v>
      </c>
      <c r="AZ215">
        <f>(0.6*AW215+0.7*AX215)*$AU$164/2</f>
        <v>0</v>
      </c>
      <c r="BA215">
        <f>AW215*$AU$164/2</f>
        <v>0</v>
      </c>
      <c r="BC215">
        <f>IF(AV215=0,0,$BG$164*$AP$151)</f>
        <v>0</v>
      </c>
      <c r="BD215">
        <f>IFERROR(BC215/$AU$164,0)</f>
        <v>0</v>
      </c>
      <c r="BE215">
        <f>BC215*($F$23+IF($F$23=0,0,($C$14+$C$15+IF($C$13="single",1.5,3)+3)/12))</f>
        <v>0</v>
      </c>
      <c r="BF215">
        <f>BE215-AZ215</f>
        <v>0</v>
      </c>
      <c r="BG215" cm="1">
        <f t="array" ref="BG215">IFERROR(IF(BF215&lt;0,0,BF215/($AU$164-INDEX(hd_off,MATCH(BT215,hd_mark,0),0)/12)),0)</f>
        <v>0</v>
      </c>
      <c r="BH215">
        <f>IF(AV215=0,0,$BG$164*$AM$151)</f>
        <v>0</v>
      </c>
      <c r="BI215">
        <f>IFERROR(BH215/$AU$164,0)</f>
        <v>0</v>
      </c>
      <c r="BJ215">
        <f>BH215*($F$23+IF($F$23=0,0,($C$14+$C$15+IF($C$13="single",1.5,3)+3)/12))</f>
        <v>0</v>
      </c>
      <c r="BK215">
        <f>BJ215-BA215</f>
        <v>0</v>
      </c>
      <c r="BL215" cm="1">
        <f t="array" ref="BL215">IFERROR(IF(BK215&lt;0,0,BK215/($AU$164-INDEX(hd_off,MATCH(BT215,hd_mark,0),0)/12)),0)</f>
        <v>0</v>
      </c>
      <c r="BM215">
        <f>MAX($F$23,$BD$164)/$Q$180</f>
        <v>0</v>
      </c>
      <c r="BN215">
        <f t="shared" si="138"/>
        <v>0</v>
      </c>
      <c r="BO215" cm="1">
        <f t="array" ref="BO215">IFERROR(INDEX(sheath_ecap_asd,MATCH(BS215,sheath_mark,0),0)*BN215,0)</f>
        <v>0</v>
      </c>
      <c r="BP215" cm="1">
        <f t="array" ref="BP215">IFERROR(INDEX(sheath_wcap_asd,MATCH(BS215,sheath_mark,0),0)*BN215,0)</f>
        <v>0</v>
      </c>
      <c r="BQ215" cm="1">
        <f t="array" ref="BQ215">IFERROR(INDEX(hd_cap,MATCH(BT215,hd_mark,0),0),0)</f>
        <v>0</v>
      </c>
      <c r="BS215" s="19"/>
      <c r="BT215" s="19"/>
      <c r="BU215" s="100"/>
    </row>
    <row r="216" x14ac:dyDescent="0.25">
      <c r="P216" s="93"/>
      <c r="Q216" s="111">
        <f>$R$164</f>
        <v>0</v>
      </c>
      <c r="R216" t="str">
        <f>$Q$152</f>
        <v>L5</v>
      </c>
      <c r="S216">
        <f>$E$24</f>
        <v>0</v>
      </c>
      <c r="T216" cm="1">
        <f t="array" ref="T216">IFERROR(IF(S216=0,0,(INDEX($C$33:$C$38,MATCH($W$164,$B$33:$B$38,0),0)*(S217+$X$164)+$T$164*COUNTIF(S216:S216,"&gt;0")*$C$32+$V$164*$C$31)*$R$164),0)</f>
        <v>0</v>
      </c>
      <c r="U216">
        <f>IF(S216=0,0,-(COUNTIF(S216:S216,"&gt;0")*$T$164*$C$32+$V$164*$C$31)*$H$27*$R$164)</f>
        <v>0</v>
      </c>
      <c r="V216">
        <f>IF(S216=0,0,$V$164*$H$26*$R$164)</f>
        <v>0</v>
      </c>
      <c r="W216">
        <f>(0.6*T216+0.7*U216)*$R$164/2</f>
        <v>0</v>
      </c>
      <c r="X216">
        <f>T216*$R$164/2</f>
        <v>0</v>
      </c>
      <c r="Z216">
        <f>IF(S216=0,0,$AD$164*$AP$152)</f>
        <v>0</v>
      </c>
      <c r="AA216">
        <f>IFERROR(Z216/$R$164,0)</f>
        <v>0</v>
      </c>
      <c r="AB216">
        <f>Z216*($F$24+IF($F$24=0,0,($C$14+$C$15+IF($C$13="single",1.5,3)+3)/12))</f>
        <v>0</v>
      </c>
      <c r="AC216">
        <f>AB216-W216</f>
        <v>0</v>
      </c>
      <c r="AD216" cm="1">
        <f t="array" ref="AD216">IFERROR(IF(AC216&lt;0,0,AC216/($R$164-INDEX(hd_off,MATCH(AQ216,hd_mark,0),0)/12)),0)</f>
        <v>0</v>
      </c>
      <c r="AE216">
        <f>IF(S216=0,0,$AD$164*$AM$152)</f>
        <v>0</v>
      </c>
      <c r="AF216">
        <f>IFERROR(AE216/$R$164,0)</f>
        <v>0</v>
      </c>
      <c r="AG216">
        <f>AE216*($F$24+IF($F$24=0,0,($C$14+$C$15+IF($C$13="single",1.5,3)+3)/12))</f>
        <v>0</v>
      </c>
      <c r="AH216">
        <f>AG216-X216</f>
        <v>0</v>
      </c>
      <c r="AI216" cm="1">
        <f t="array" ref="AI216">IFERROR(IF(AH216&lt;0,0,AH216/($R$164-INDEX(hd_off,MATCH(AQ216,hd_mark,0),0)/12)),0)</f>
        <v>0</v>
      </c>
      <c r="AJ216">
        <f>MAX($F$24,$AB$164)/$Q$180</f>
        <v>0</v>
      </c>
      <c r="AK216">
        <f t="shared" si="137"/>
        <v>0</v>
      </c>
      <c r="AL216" cm="1">
        <f t="array" ref="AL216">IFERROR(INDEX(sheath_ecap_asd,MATCH(AP216,sheath_mark,0),0)*AK216,0)</f>
        <v>0</v>
      </c>
      <c r="AM216" cm="1">
        <f t="array" ref="AM216">IFERROR(INDEX(sheath_wcap_asd,MATCH(AP216,sheath_mark,0),0)*AK216,0)</f>
        <v>0</v>
      </c>
      <c r="AN216" cm="1">
        <f t="array" ref="AN216">IFERROR(INDEX(hd_cap,MATCH(AQ216,hd_mark,0),0),0)</f>
        <v>0</v>
      </c>
      <c r="AP216" s="19"/>
      <c r="AQ216" s="19"/>
      <c r="AR216" s="100"/>
      <c r="AS216" s="93"/>
      <c r="AT216" s="111">
        <f>$R$164</f>
        <v>0</v>
      </c>
      <c r="AU216" t="str">
        <f>$Q$152</f>
        <v>L5</v>
      </c>
      <c r="AV216">
        <f>$E$24</f>
        <v>0</v>
      </c>
      <c r="AW216" cm="1">
        <f t="array" ref="AW216">IFERROR(IF(AV216=0,0,(INDEX($C$33:$C$38,MATCH($AZ$164,$B$33:$B$38,0),0)*(AV217+$BA$164)+$AW$164*COUNTIF(AV216:AV216,"&gt;0")*$C$32+$AY$164*$C$31)*$AU$164),0)</f>
        <v>0</v>
      </c>
      <c r="AX216">
        <f>IF(AV216=0,0,-(COUNTIF(AV216:AV216,"&gt;0")*$AW$164*$C$32+$AY$164*$C$31)*$H$27*$AU$164)</f>
        <v>0</v>
      </c>
      <c r="AY216">
        <f>IF(AV216=0,0,$AY$164*$H$26*$AU$164)</f>
        <v>0</v>
      </c>
      <c r="AZ216">
        <f>(0.6*AW216+0.7*AX216)*$AU$164/2</f>
        <v>0</v>
      </c>
      <c r="BA216">
        <f>AW216*$AU$164/2</f>
        <v>0</v>
      </c>
      <c r="BC216">
        <f>IF(AV216=0,0,$BG$164*$AP$152)</f>
        <v>0</v>
      </c>
      <c r="BD216">
        <f>IFERROR(BC216/$AU$164,0)</f>
        <v>0</v>
      </c>
      <c r="BE216">
        <f>BC216*($F$24+IF($F$24=0,0,($C$14+$C$15+IF($C$13="single",1.5,3)+3)/12))</f>
        <v>0</v>
      </c>
      <c r="BF216">
        <f>BE216-AZ216</f>
        <v>0</v>
      </c>
      <c r="BG216" cm="1">
        <f t="array" ref="BG216">IFERROR(IF(BF216&lt;0,0,BF216/($AU$164-INDEX(hd_off,MATCH(BT216,hd_mark,0),0)/12)),0)</f>
        <v>0</v>
      </c>
      <c r="BH216">
        <f>IF(AV216=0,0,$BG$164*$AM$152)</f>
        <v>0</v>
      </c>
      <c r="BI216">
        <f>IFERROR(BH216/$AU$164,0)</f>
        <v>0</v>
      </c>
      <c r="BJ216">
        <f>BH216*($F$24+IF($F$24=0,0,($C$14+$C$15+IF($C$13="single",1.5,3)+3)/12))</f>
        <v>0</v>
      </c>
      <c r="BK216">
        <f>BJ216-BA216</f>
        <v>0</v>
      </c>
      <c r="BL216" cm="1">
        <f t="array" ref="BL216">IFERROR(IF(BK216&lt;0,0,BK216/($AU$164-INDEX(hd_off,MATCH(BT216,hd_mark,0),0)/12)),0)</f>
        <v>0</v>
      </c>
      <c r="BM216">
        <f>MAX($F$24,$BE$164)/$Q$180</f>
        <v>0</v>
      </c>
      <c r="BN216">
        <f t="shared" si="138"/>
        <v>0</v>
      </c>
      <c r="BO216" cm="1">
        <f t="array" ref="BO216">IFERROR(INDEX(sheath_ecap_asd,MATCH(BS216,sheath_mark,0),0)*BN216,0)</f>
        <v>0</v>
      </c>
      <c r="BP216" cm="1">
        <f t="array" ref="BP216">IFERROR(INDEX(sheath_wcap_asd,MATCH(BS216,sheath_mark,0),0)*BN216,0)</f>
        <v>0</v>
      </c>
      <c r="BQ216" cm="1">
        <f t="array" ref="BQ216">IFERROR(INDEX(hd_cap,MATCH(BT216,hd_mark,0),0),0)</f>
        <v>0</v>
      </c>
      <c r="BS216" s="19"/>
      <c r="BT216" s="19"/>
      <c r="BU216" s="100"/>
    </row>
    <row r="217" x14ac:dyDescent="0.25">
      <c r="P217" s="93"/>
      <c r="Q217" s="109"/>
      <c r="R217" t="str">
        <f>$Q$153</f>
        <v>Roof</v>
      </c>
      <c r="S217">
        <f>$E$25</f>
        <v>33.171875</v>
      </c>
      <c r="T217" cm="1">
        <f t="array" ref="T217">IFERROR(IF(S217=0,0,(INDEX($C$33:$C$38,MATCH($W$164,$B$33:$B$38,0),0)*(S217+$X$164)+$V$164*$C$31)*$R$164),0)</f>
        <v>0</v>
      </c>
      <c r="U217">
        <f>IF(S217=0,0,-$V$164*$C$31*$H$27*$R$164)</f>
        <v>0</v>
      </c>
      <c r="V217">
        <f>IF(S217=0,0,$V$164*$H$26*$R$164)</f>
        <v>0</v>
      </c>
      <c r="W217">
        <f>(0.6*T217+0.7*U217)*$R$164/2</f>
        <v>0</v>
      </c>
      <c r="X217">
        <f>T217*$R$164/2</f>
        <v>0</v>
      </c>
      <c r="Z217">
        <f>IF(S217=0,0,$AD$164*$AP$153)</f>
        <v>0</v>
      </c>
      <c r="AA217">
        <f>IFERROR(Z217/$R$164,0)</f>
        <v>0</v>
      </c>
      <c r="AB217">
        <f>Z217*($F$25+($C$16+$C$17+IF($C$13="single",1.5,3)+3)/12)</f>
        <v>0</v>
      </c>
      <c r="AC217">
        <f>AB217-W217</f>
        <v>0</v>
      </c>
      <c r="AD217" cm="1">
        <f t="array" ref="AD217">IFERROR(IF(AC217&lt;0,0,AC217/($R$164-INDEX(hd_off,MATCH(AQ217,hd_mark,0),0)/12)),0)</f>
        <v>0</v>
      </c>
      <c r="AE217">
        <f>IF(S217=0,0,$AD$164*$AM$153)</f>
        <v>0</v>
      </c>
      <c r="AF217">
        <f>IFERROR(AE217/$R$164,0)</f>
        <v>0</v>
      </c>
      <c r="AG217">
        <f>AE217*($F$25+($C$16+$C$17+IF($C$13="single",1.5,3)+3)/12)</f>
        <v>0</v>
      </c>
      <c r="AH217">
        <f>AG217-X217</f>
        <v>0</v>
      </c>
      <c r="AI217" cm="1">
        <f t="array" ref="AI217">IFERROR(IF(AH217&lt;0,0,AH217/($R$164-INDEX(hd_off,MATCH(AQ217,hd_mark,0),0)/12)),0)</f>
        <v>0</v>
      </c>
      <c r="AJ217">
        <f>MAX($F$25,$AC$164)/$Q$180</f>
        <v>0.29920977011494249</v>
      </c>
      <c r="AK217">
        <f t="shared" si="137"/>
        <v>1</v>
      </c>
      <c r="AL217" cm="1">
        <f t="array" ref="AL217">IFERROR(INDEX(sheath_ecap_asd,MATCH(AP217,sheath_mark,0),0)*AK217,0)</f>
        <v>0</v>
      </c>
      <c r="AM217" cm="1">
        <f t="array" ref="AM217">IFERROR(INDEX(sheath_wcap_asd,MATCH(AP217,sheath_mark,0),0)*AK217,0)</f>
        <v>0</v>
      </c>
      <c r="AN217" cm="1">
        <f t="array" ref="AN217">IFERROR(INDEX(hd_cap,MATCH(AQ217,hd_mark,0),0),0)</f>
        <v>0</v>
      </c>
      <c r="AP217" s="19"/>
      <c r="AQ217" s="19"/>
      <c r="AR217" s="100"/>
      <c r="AS217" s="93"/>
      <c r="AT217" s="109"/>
      <c r="AU217" t="str">
        <f>$Q$153</f>
        <v>Roof</v>
      </c>
      <c r="AV217">
        <f>$E$25</f>
        <v>33.171875</v>
      </c>
      <c r="AW217" cm="1">
        <f t="array" ref="AW217">IFERROR(IF(AV217=0,0,(INDEX($C$33:$C$38,MATCH($AZ$164,$B$33:$B$38,0),0)*(AV217+$BA$164)+$AY$164*$C$31)*$AU$164),0)</f>
        <v>0</v>
      </c>
      <c r="AX217">
        <f>IF(AV217=0,0,-$AY$164*$C$31*$H$27*$AU$164)</f>
        <v>0</v>
      </c>
      <c r="AY217">
        <f>IF(AV217=0,0,$AY$164*$H$26*$AU$164)</f>
        <v>0</v>
      </c>
      <c r="AZ217">
        <f>(0.6*AW217+0.7*AX217)*$AU$164/2</f>
        <v>0</v>
      </c>
      <c r="BA217">
        <f>AW217*$AU$164/2</f>
        <v>0</v>
      </c>
      <c r="BC217">
        <f>IF(AV217=0,0,$BG$164*$AP$153)</f>
        <v>0</v>
      </c>
      <c r="BD217">
        <f>IFERROR(BC217/$AU$164,0)</f>
        <v>0</v>
      </c>
      <c r="BE217">
        <f>BC217*($F$25+($C$16+$C$17+IF($C$13="single",1.5,3)+3)/12)</f>
        <v>0</v>
      </c>
      <c r="BF217">
        <f>BE217-AZ217</f>
        <v>0</v>
      </c>
      <c r="BG217" cm="1">
        <f t="array" ref="BG217">IFERROR(IF(BF217&lt;0,0,BF217/($AU$164-INDEX(hd_off,MATCH(BT217,hd_mark,0),0)/12)),0)</f>
        <v>0</v>
      </c>
      <c r="BH217">
        <f>IF(AV217=0,0,$BG$164*$AM$153)</f>
        <v>0</v>
      </c>
      <c r="BI217">
        <f>IFERROR(BH217/$AU$164,0)</f>
        <v>0</v>
      </c>
      <c r="BJ217">
        <f>BH217*($F$25+($C$16+$C$17+IF($C$13="single",1.5,3)+3)/12)</f>
        <v>0</v>
      </c>
      <c r="BK217">
        <f>BJ217-BA217</f>
        <v>0</v>
      </c>
      <c r="BL217" cm="1">
        <f t="array" ref="BL217">IFERROR(IF(BK217&lt;0,0,BK217/($AU$164-INDEX(hd_off,MATCH(BT217,hd_mark,0),0)/12)),0)</f>
        <v>0</v>
      </c>
      <c r="BM217">
        <f>MAX($F$25,$BF$164)/$Q$180</f>
        <v>0.29920977011494249</v>
      </c>
      <c r="BN217">
        <f t="shared" si="138"/>
        <v>1</v>
      </c>
      <c r="BO217" cm="1">
        <f t="array" ref="BO217">IFERROR(INDEX(sheath_ecap_asd,MATCH(BS217,sheath_mark,0),0)*BN217,0)</f>
        <v>0</v>
      </c>
      <c r="BP217" cm="1">
        <f t="array" ref="BP217">IFERROR(INDEX(sheath_wcap_asd,MATCH(BS217,sheath_mark,0),0)*BN217,0)</f>
        <v>0</v>
      </c>
      <c r="BQ217" cm="1">
        <f t="array" ref="BQ217">IFERROR(INDEX(hd_cap,MATCH(BT217,hd_mark,0),0),0)</f>
        <v>0</v>
      </c>
      <c r="BS217" s="19"/>
      <c r="BT217" s="19"/>
      <c r="BU217" s="100"/>
    </row>
    <row r="218" x14ac:dyDescent="0.25">
      <c r="P218" s="93"/>
      <c r="AR218" s="100"/>
      <c r="AS218" s="93"/>
      <c r="BU218" s="100"/>
    </row>
    <row r="219" x14ac:dyDescent="0.25">
      <c r="P219" s="93"/>
      <c r="Q219" s="110" t="str">
        <f>$Q$165</f>
        <v>A.08</v>
      </c>
      <c r="R219" t="str">
        <f>$Q$149</f>
        <v>L2</v>
      </c>
      <c r="S219">
        <f>$E$21</f>
        <v>10.6875</v>
      </c>
      <c r="T219" cm="1">
        <f t="array" ref="T219">IFERROR(IF(S219=0,0,(INDEX($C$33:$C$38,MATCH($W$165,$B$33:$B$38,0),0)*(S223+$X$165)+$T$165*COUNTIF(S219:S222,"&gt;0")*$C$32+$V$165*$C$31)*$R$165),0)</f>
        <v>0</v>
      </c>
      <c r="U219">
        <f>IF(S219=0,0,-(COUNTIF(S219:S222,"&gt;0")*$T$165*$C$32+$V$165*$C$31)*$H$27*$R$165)</f>
        <v>0</v>
      </c>
      <c r="V219">
        <f>IF(S219=0,0,$V$165*$H$26*$R$165)</f>
        <v>0</v>
      </c>
      <c r="W219">
        <f>(0.6*T219+0.7*U219)*$R$165/2</f>
        <v>0</v>
      </c>
      <c r="X219">
        <f>(0.6*T219+0.6*V219)*$R$165/2</f>
        <v>0</v>
      </c>
      <c r="Z219">
        <f>IF(S219=0,0,$AD$165*$AP$149)</f>
        <v>0</v>
      </c>
      <c r="AA219">
        <f>IFERROR(Z219/$R$165,0)</f>
        <v>0</v>
      </c>
      <c r="AB219">
        <f>Z219*($F$21+IF($F$21=0,0,($C$14+$C$15+IF($C$13="single",1.5,3)+3)/12))</f>
        <v>0</v>
      </c>
      <c r="AC219">
        <f>AB219-W219</f>
        <v>0</v>
      </c>
      <c r="AD219" cm="1">
        <f t="array" ref="AD219">IFERROR(IF(AC219&lt;0,0,AC219/($R$165-INDEX(hd_off,MATCH(AQ219,hd_mark,0),0)/12)),0)</f>
        <v>0</v>
      </c>
      <c r="AE219">
        <f>IF(S219=0,0,$AD$165*$AM$149)</f>
        <v>0</v>
      </c>
      <c r="AF219">
        <f>IFERROR(AE219/$R$165,0)</f>
        <v>0</v>
      </c>
      <c r="AG219">
        <f>AE219*($F$21+IF($F$21=0,0,($C$14+$C$15+IF($C$13="single",1.5,3)+3)/12))</f>
        <v>0</v>
      </c>
      <c r="AH219">
        <f>AG219-X219</f>
        <v>0</v>
      </c>
      <c r="AI219" cm="1">
        <f t="array" ref="AI219">IFERROR(IF(AH219&lt;0,0,AH219/($R$165-INDEX(hd_off,MATCH(AQ219,hd_mark,0),0)/12)),0)</f>
        <v>0</v>
      </c>
      <c r="AJ219">
        <f>MAX($F$21,$Y$165)/$Q$180</f>
        <v>0.30172413793103448</v>
      </c>
      <c r="AK219">
        <f>IF(AJ219=0,0,IF(AJ219&gt;2,1.25-0.125*AJ219,1))</f>
        <v>1</v>
      </c>
      <c r="AL219" cm="1">
        <f t="array" ref="AL219">IFERROR(INDEX(sheath_ecap_asd,MATCH(AP219,sheath_mark,0),0)*AK219,0)</f>
        <v>0</v>
      </c>
      <c r="AM219" cm="1">
        <f t="array" ref="AM219">IFERROR(INDEX(sheath_wcap_asd,MATCH(AP219,sheath_mark,0),0)*AK219,0)</f>
        <v>0</v>
      </c>
      <c r="AN219" cm="1">
        <f t="array" ref="AN219">IFERROR(INDEX(hd_cap,MATCH(AQ219,hd_mark,0),0),0)</f>
        <v>0</v>
      </c>
      <c r="AP219" s="19"/>
      <c r="AQ219" s="19"/>
      <c r="AR219" s="100"/>
      <c r="AS219" s="93"/>
      <c r="AT219" s="110" t="str">
        <f>$AT$165</f>
        <v>1.08</v>
      </c>
      <c r="AU219" t="str">
        <f>$Q$149</f>
        <v>L2</v>
      </c>
      <c r="AV219">
        <f>$E$21</f>
        <v>10.6875</v>
      </c>
      <c r="AW219" cm="1">
        <f t="array" ref="AW219">IFERROR(IF(AV219=0,0,(INDEX($C$33:$C$38,MATCH($AZ$165,$B$33:$B$38,0),0)*(AV223+$BA$165)+$AW$165*COUNTIF(AV219:AV222,"&gt;0")*$C$32+$AY$165*$C$31)*$AU$165),0)</f>
        <v>0</v>
      </c>
      <c r="AX219">
        <f>IF(AV219=0,0,-(COUNTIF(AV219:AV222,"&gt;0")*$AW$165*$C$32+$AY$165*$C$31)*$H$27*$AU$165)</f>
        <v>0</v>
      </c>
      <c r="AY219">
        <f>IF(AV219=0,0,$AY$165*$H$26*$AU$165)</f>
        <v>0</v>
      </c>
      <c r="AZ219">
        <f>(0.6*AW219+0.7*AX219)*$AU$165/2</f>
        <v>0</v>
      </c>
      <c r="BA219">
        <f>(0.6*AW219+0.6*AY219)*$AU$165/2</f>
        <v>0</v>
      </c>
      <c r="BC219">
        <f>IF(AV219=0,0,$BG$165*$AP$149)</f>
        <v>0</v>
      </c>
      <c r="BD219">
        <f>IFERROR(BC219/$AU$165,0)</f>
        <v>0</v>
      </c>
      <c r="BE219">
        <f>BC219*($F$21+IF($F$21=0,0,($C$14+$C$15+IF($C$13="single",1.5,3)+3)/12))</f>
        <v>0</v>
      </c>
      <c r="BF219">
        <f>BE219-AZ219</f>
        <v>0</v>
      </c>
      <c r="BG219" cm="1">
        <f t="array" ref="BG219">IFERROR(IF(BF219&lt;0,0,BF219/($AU$165-INDEX(hd_off,MATCH(BT219,hd_mark,0),0)/12)),0)</f>
        <v>0</v>
      </c>
      <c r="BH219">
        <f>IF(AV219=0,0,$BG$165*$AM$149)</f>
        <v>0</v>
      </c>
      <c r="BI219">
        <f>IFERROR(BH219/$AU$165,0)</f>
        <v>0</v>
      </c>
      <c r="BJ219">
        <f>BH219*($F$21+IF($F$21=0,0,($C$14+$C$15+IF($C$13="single",1.5,3)+3)/12))</f>
        <v>0</v>
      </c>
      <c r="BK219">
        <f>BJ219-BA219</f>
        <v>0</v>
      </c>
      <c r="BL219" cm="1">
        <f t="array" ref="BL219">IFERROR(IF(BK219&lt;0,0,BK219/($AU$165-INDEX(hd_off,MATCH(BT219,hd_mark,0),0)/12)),0)</f>
        <v>0</v>
      </c>
      <c r="BM219">
        <f>MAX($F$21,$BB$165)/$Q$180</f>
        <v>0.30172413793103448</v>
      </c>
      <c r="BN219">
        <f>IF(BM219=0,0,IF(BM219&gt;2,1.25-0.125*BM219,1))</f>
        <v>1</v>
      </c>
      <c r="BO219" cm="1">
        <f t="array" ref="BO219">IFERROR(INDEX(sheath_ecap_asd,MATCH(BS219,sheath_mark,0),0)*BN219,0)</f>
        <v>0</v>
      </c>
      <c r="BP219" cm="1">
        <f t="array" ref="BP219">IFERROR(INDEX(sheath_wcap_asd,MATCH(BS219,sheath_mark,0),0)*BN219,0)</f>
        <v>0</v>
      </c>
      <c r="BQ219" cm="1">
        <f t="array" ref="BQ219">IFERROR(INDEX(hd_cap,MATCH(BT219,hd_mark,0),0),0)</f>
        <v>0</v>
      </c>
      <c r="BS219" s="19"/>
      <c r="BT219" s="19"/>
      <c r="BU219" s="100"/>
    </row>
    <row r="220" x14ac:dyDescent="0.25">
      <c r="P220" s="93"/>
      <c r="Q220" s="109"/>
      <c r="R220" t="str">
        <f>$Q$150</f>
        <v>L3</v>
      </c>
      <c r="S220">
        <f>$E$22</f>
        <v>21.375</v>
      </c>
      <c r="T220" cm="1">
        <f t="array" ref="T220">IFERROR(IF(S220=0,0,(INDEX($C$33:$C$38,MATCH($W$165,$B$33:$B$38,0),0)*(S223+$X$165)+$T$165*COUNTIF(S220:S222,"&gt;0")*$C$32+$V$165*$C$31)*$R$165),0)</f>
        <v>0</v>
      </c>
      <c r="U220">
        <f>IF(S220=0,0,-(COUNTIF(S220:S222,"&gt;0")*$T$165*$C$32+$V$165*$C$31)*$H$27*$R$165)</f>
        <v>0</v>
      </c>
      <c r="V220">
        <f>IF(S220=0,0,$V$165*$H$26*$R$165)</f>
        <v>0</v>
      </c>
      <c r="W220">
        <f>(0.6*T220+0.7*U220)*$R$165/2</f>
        <v>0</v>
      </c>
      <c r="X220">
        <f>T220*$R$165/2</f>
        <v>0</v>
      </c>
      <c r="Z220">
        <f>IF(S220=0,0,$AD$165*$AP$150)</f>
        <v>0</v>
      </c>
      <c r="AA220">
        <f>IFERROR(Z220/$R$165,0)</f>
        <v>0</v>
      </c>
      <c r="AB220">
        <f>Z220*($F$22+IF($F$22=0,0,($C$14+$C$15+IF($C$13="single",1.5,3)+3)/12))</f>
        <v>0</v>
      </c>
      <c r="AC220">
        <f>AB220-W220</f>
        <v>0</v>
      </c>
      <c r="AD220" cm="1">
        <f t="array" ref="AD220">IFERROR(IF(AC220&lt;0,0,AC220/($R$165-INDEX(hd_off,MATCH(AQ220,hd_mark,0),0)/12)),0)</f>
        <v>0</v>
      </c>
      <c r="AE220">
        <f>IF(S220=0,0,$AD$165*$AM$150)</f>
        <v>0</v>
      </c>
      <c r="AF220">
        <f>IFERROR(AE220/$R$165,0)</f>
        <v>0</v>
      </c>
      <c r="AG220">
        <f>AE220*($F$22+IF($F$22=0,0,($C$14+$C$15+IF($C$13="single",1.5,3)+3)/12))</f>
        <v>0</v>
      </c>
      <c r="AH220">
        <f>AG220-X220</f>
        <v>0</v>
      </c>
      <c r="AI220" cm="1">
        <f t="array" ref="AI220">IFERROR(IF(AH220&lt;0,0,AH220/($R$165-INDEX(hd_off,MATCH(AQ220,hd_mark,0),0)/12)),0)</f>
        <v>0</v>
      </c>
      <c r="AJ220">
        <f>MAX($F$22,$Z$165)/$Q$180</f>
        <v>0.30172413793103448</v>
      </c>
      <c r="AK220">
        <f t="shared" ref="AK220:AK223" si="139">IF(AJ220=0,0,IF(AJ220&gt;2,1.25-0.125*AJ220,1))</f>
        <v>1</v>
      </c>
      <c r="AL220" cm="1">
        <f t="array" ref="AL220">IFERROR(INDEX(sheath_ecap_asd,MATCH(AP220,sheath_mark,0),0)*AK220,0)</f>
        <v>0</v>
      </c>
      <c r="AM220" cm="1">
        <f t="array" ref="AM220">IFERROR(INDEX(sheath_wcap_asd,MATCH(AP220,sheath_mark,0),0)*AK220,0)</f>
        <v>0</v>
      </c>
      <c r="AN220" cm="1">
        <f t="array" ref="AN220">IFERROR(INDEX(hd_cap,MATCH(AQ220,hd_mark,0),0),0)</f>
        <v>0</v>
      </c>
      <c r="AP220" s="19"/>
      <c r="AQ220" s="19"/>
      <c r="AR220" s="100"/>
      <c r="AS220" s="93"/>
      <c r="AT220" s="109"/>
      <c r="AU220" t="str">
        <f>$Q$150</f>
        <v>L3</v>
      </c>
      <c r="AV220">
        <f>$E$22</f>
        <v>21.375</v>
      </c>
      <c r="AW220" cm="1">
        <f t="array" ref="AW220">IFERROR(IF(AV220=0,0,(INDEX($C$33:$C$38,MATCH($AZ$165,$B$33:$B$38,0),0)*(AV223+$BA$165)+$AW$165*COUNTIF(AV220:AV222,"&gt;0")*$C$32+$AY$165*$C$31)*$AU$165),0)</f>
        <v>0</v>
      </c>
      <c r="AX220">
        <f>IF(AV220=0,0,-(COUNTIF(AV220:AV222,"&gt;0")*$AW$165*$C$32+$AY$165*$C$31)*$H$27*$AU$165)</f>
        <v>0</v>
      </c>
      <c r="AY220">
        <f>IF(AV220=0,0,$AY$165*$H$26*$AU$165)</f>
        <v>0</v>
      </c>
      <c r="AZ220">
        <f>(0.6*AW220+0.7*AX220)*$AU$165/2</f>
        <v>0</v>
      </c>
      <c r="BA220">
        <f>AW220*$AU$165/2</f>
        <v>0</v>
      </c>
      <c r="BC220">
        <f>IF(AV220=0,0,$BG$165*$AP$150)</f>
        <v>0</v>
      </c>
      <c r="BD220">
        <f>IFERROR(BC220/$AU$165,0)</f>
        <v>0</v>
      </c>
      <c r="BE220">
        <f>BC220*($F$22+IF($F$22=0,0,($C$14+$C$15+IF($C$13="single",1.5,3)+3)/12))</f>
        <v>0</v>
      </c>
      <c r="BF220">
        <f>BE220-AZ220</f>
        <v>0</v>
      </c>
      <c r="BG220" cm="1">
        <f t="array" ref="BG220">IFERROR(IF(BF220&lt;0,0,BF220/($AU$165-INDEX(hd_off,MATCH(BT220,hd_mark,0),0)/12)),0)</f>
        <v>0</v>
      </c>
      <c r="BH220">
        <f>IF(AV220=0,0,$BG$165*$AM$150)</f>
        <v>0</v>
      </c>
      <c r="BI220">
        <f>IFERROR(BH220/$AU$165,0)</f>
        <v>0</v>
      </c>
      <c r="BJ220">
        <f>BH220*($F$22+IF($F$22=0,0,($C$14+$C$15+IF($C$13="single",1.5,3)+3)/12))</f>
        <v>0</v>
      </c>
      <c r="BK220">
        <f>BJ220-BA220</f>
        <v>0</v>
      </c>
      <c r="BL220" cm="1">
        <f t="array" ref="BL220">IFERROR(IF(BK220&lt;0,0,BK220/($AU$165-INDEX(hd_off,MATCH(BT220,hd_mark,0),0)/12)),0)</f>
        <v>0</v>
      </c>
      <c r="BM220">
        <f>MAX($F$22,$BC$165)/$Q$180</f>
        <v>0.30172413793103448</v>
      </c>
      <c r="BN220">
        <f t="shared" ref="BN220:BN223" si="140">IF(BM220=0,0,IF(BM220&gt;2,1.25-0.125*BM220,1))</f>
        <v>1</v>
      </c>
      <c r="BO220" cm="1">
        <f t="array" ref="BO220">IFERROR(INDEX(sheath_ecap_asd,MATCH(BS220,sheath_mark,0),0)*BN220,0)</f>
        <v>0</v>
      </c>
      <c r="BP220" cm="1">
        <f t="array" ref="BP220">IFERROR(INDEX(sheath_wcap_asd,MATCH(BS220,sheath_mark,0),0)*BN220,0)</f>
        <v>0</v>
      </c>
      <c r="BQ220" cm="1">
        <f t="array" ref="BQ220">IFERROR(INDEX(hd_cap,MATCH(BT220,hd_mark,0),0),0)</f>
        <v>0</v>
      </c>
      <c r="BS220" s="19"/>
      <c r="BT220" s="19"/>
      <c r="BU220" s="100"/>
    </row>
    <row r="221" x14ac:dyDescent="0.25">
      <c r="P221" s="93"/>
      <c r="Q221" s="109" t="s">
        <v>491</v>
      </c>
      <c r="R221" t="str">
        <f>$Q$151</f>
        <v>L4</v>
      </c>
      <c r="S221">
        <f>$E$23</f>
        <v>0</v>
      </c>
      <c r="T221" cm="1">
        <f t="array" ref="T221">IFERROR(IF(S221=0,0,(INDEX($C$33:$C$38,MATCH($W$165,$B$33:$B$38,0),0)*(S223+$X$165)+$T$165*COUNTIF(S221:S222,"&gt;0")*$C$32+$V$165*$C$31)*$R$165),0)</f>
        <v>0</v>
      </c>
      <c r="U221">
        <f>IF(S221=0,0,-(COUNTIF(S221:S222,"&gt;0")*$T$165*$C$32+$V$165*$C$31)*$H$27*$R$165)</f>
        <v>0</v>
      </c>
      <c r="V221">
        <f>IF(S221=0,0,$V$165*$H$26*$R$165)</f>
        <v>0</v>
      </c>
      <c r="W221">
        <f>(0.6*T221+0.7*U221)*$R$165/2</f>
        <v>0</v>
      </c>
      <c r="X221">
        <f>T221*$R$165/2</f>
        <v>0</v>
      </c>
      <c r="Z221">
        <f>IF(S221=0,0,$AD$165*$AP$151)</f>
        <v>0</v>
      </c>
      <c r="AA221">
        <f>IFERROR(Z221/$R$165,0)</f>
        <v>0</v>
      </c>
      <c r="AB221">
        <f>Z221*($F$23+IF($F$23=0,0,($C$14+$C$15+IF($C$13="single",1.5,3)+3)/12))</f>
        <v>0</v>
      </c>
      <c r="AC221">
        <f>AB221-W221</f>
        <v>0</v>
      </c>
      <c r="AD221" cm="1">
        <f t="array" ref="AD221">IFERROR(IF(AC221&lt;0,0,AC221/($R$165-INDEX(hd_off,MATCH(AQ221,hd_mark,0),0)/12)),0)</f>
        <v>0</v>
      </c>
      <c r="AE221">
        <f>IF(S221=0,0,$AD$165*$AM$151)</f>
        <v>0</v>
      </c>
      <c r="AF221">
        <f>IFERROR(AE221/$R$165,0)</f>
        <v>0</v>
      </c>
      <c r="AG221">
        <f>AE221*($F$23+IF($F$23=0,0,($C$14+$C$15+IF($C$13="single",1.5,3)+3)/12))</f>
        <v>0</v>
      </c>
      <c r="AH221">
        <f>AG221-X221</f>
        <v>0</v>
      </c>
      <c r="AI221" cm="1">
        <f t="array" ref="AI221">IFERROR(IF(AH221&lt;0,0,AH221/($R$165-INDEX(hd_off,MATCH(AQ221,hd_mark,0),0)/12)),0)</f>
        <v>0</v>
      </c>
      <c r="AJ221">
        <f>MAX($F$23,$AA$165)/$Q$180</f>
        <v>0</v>
      </c>
      <c r="AK221">
        <f t="shared" si="139"/>
        <v>0</v>
      </c>
      <c r="AL221" cm="1">
        <f t="array" ref="AL221">IFERROR(INDEX(sheath_ecap_asd,MATCH(AP221,sheath_mark,0),0)*AK221,0)</f>
        <v>0</v>
      </c>
      <c r="AM221" cm="1">
        <f t="array" ref="AM221">IFERROR(INDEX(sheath_wcap_asd,MATCH(AP221,sheath_mark,0),0)*AK221,0)</f>
        <v>0</v>
      </c>
      <c r="AN221" cm="1">
        <f t="array" ref="AN221">IFERROR(INDEX(hd_cap,MATCH(AQ221,hd_mark,0),0),0)</f>
        <v>0</v>
      </c>
      <c r="AP221" s="19"/>
      <c r="AQ221" s="19"/>
      <c r="AR221" s="100"/>
      <c r="AS221" s="93"/>
      <c r="AT221" s="109" t="s">
        <v>491</v>
      </c>
      <c r="AU221" t="str">
        <f>$Q$151</f>
        <v>L4</v>
      </c>
      <c r="AV221">
        <f>$E$23</f>
        <v>0</v>
      </c>
      <c r="AW221" cm="1">
        <f t="array" ref="AW221">IFERROR(IF(AV221=0,0,(INDEX($C$33:$C$38,MATCH($AZ$165,$B$33:$B$38,0),0)*(AV223+$BA$165)+$AW$165*COUNTIF(AV221:AV222,"&gt;0")*$C$32+$AY$165*$C$31)*$AU$165),0)</f>
        <v>0</v>
      </c>
      <c r="AX221">
        <f>IF(AV221=0,0,-(COUNTIF(AV221:AV222,"&gt;0")*$AW$165*$C$32+$AY$165*$C$31)*$H$27*$AU$165)</f>
        <v>0</v>
      </c>
      <c r="AY221">
        <f>IF(AV221=0,0,$AY$165*$H$26*$AU$165)</f>
        <v>0</v>
      </c>
      <c r="AZ221">
        <f>(0.6*AW221+0.7*AX221)*$AU$165/2</f>
        <v>0</v>
      </c>
      <c r="BA221">
        <f>AW221*$AU$165/2</f>
        <v>0</v>
      </c>
      <c r="BC221">
        <f>IF(AV221=0,0,$BG$165*$AP$151)</f>
        <v>0</v>
      </c>
      <c r="BD221">
        <f>IFERROR(BC221/$AU$165,0)</f>
        <v>0</v>
      </c>
      <c r="BE221">
        <f>BC221*($F$23+IF($F$23=0,0,($C$14+$C$15+IF($C$13="single",1.5,3)+3)/12))</f>
        <v>0</v>
      </c>
      <c r="BF221">
        <f>BE221-AZ221</f>
        <v>0</v>
      </c>
      <c r="BG221" cm="1">
        <f t="array" ref="BG221">IFERROR(IF(BF221&lt;0,0,BF221/($AU$165-INDEX(hd_off,MATCH(BT221,hd_mark,0),0)/12)),0)</f>
        <v>0</v>
      </c>
      <c r="BH221">
        <f>IF(AV221=0,0,$BG$165*$AM$151)</f>
        <v>0</v>
      </c>
      <c r="BI221">
        <f>IFERROR(BH221/$AU$165,0)</f>
        <v>0</v>
      </c>
      <c r="BJ221">
        <f>BH221*($F$23+IF($F$23=0,0,($C$14+$C$15+IF($C$13="single",1.5,3)+3)/12))</f>
        <v>0</v>
      </c>
      <c r="BK221">
        <f>BJ221-BA221</f>
        <v>0</v>
      </c>
      <c r="BL221" cm="1">
        <f t="array" ref="BL221">IFERROR(IF(BK221&lt;0,0,BK221/($AU$165-INDEX(hd_off,MATCH(BT221,hd_mark,0),0)/12)),0)</f>
        <v>0</v>
      </c>
      <c r="BM221">
        <f>MAX($F$23,$BD$165)/$Q$180</f>
        <v>0</v>
      </c>
      <c r="BN221">
        <f t="shared" si="140"/>
        <v>0</v>
      </c>
      <c r="BO221" cm="1">
        <f t="array" ref="BO221">IFERROR(INDEX(sheath_ecap_asd,MATCH(BS221,sheath_mark,0),0)*BN221,0)</f>
        <v>0</v>
      </c>
      <c r="BP221" cm="1">
        <f t="array" ref="BP221">IFERROR(INDEX(sheath_wcap_asd,MATCH(BS221,sheath_mark,0),0)*BN221,0)</f>
        <v>0</v>
      </c>
      <c r="BQ221" cm="1">
        <f t="array" ref="BQ221">IFERROR(INDEX(hd_cap,MATCH(BT221,hd_mark,0),0),0)</f>
        <v>0</v>
      </c>
      <c r="BS221" s="19"/>
      <c r="BT221" s="19"/>
      <c r="BU221" s="100"/>
    </row>
    <row r="222" x14ac:dyDescent="0.25">
      <c r="P222" s="93"/>
      <c r="Q222" s="111">
        <f>$R$165</f>
        <v>0</v>
      </c>
      <c r="R222" t="str">
        <f>$Q$152</f>
        <v>L5</v>
      </c>
      <c r="S222">
        <f>$E$24</f>
        <v>0</v>
      </c>
      <c r="T222" cm="1">
        <f t="array" ref="T222">IFERROR(IF(S222=0,0,(INDEX($C$33:$C$38,MATCH($W$165,$B$33:$B$38,0),0)*(S223+$X$165)+$T$165*COUNTIF(S222:S222,"&gt;0")*$C$32+$V$165*$C$31)*$R$165),0)</f>
        <v>0</v>
      </c>
      <c r="U222">
        <f>IF(S222=0,0,-(COUNTIF(S222:S222,"&gt;0")*$T$165*$C$32+$V$165*$C$31)*$H$27*$R$165)</f>
        <v>0</v>
      </c>
      <c r="V222">
        <f>IF(S222=0,0,$V$165*$H$26*$R$165)</f>
        <v>0</v>
      </c>
      <c r="W222">
        <f>(0.6*T222+0.7*U222)*$R$165/2</f>
        <v>0</v>
      </c>
      <c r="X222">
        <f>T222*$R$165/2</f>
        <v>0</v>
      </c>
      <c r="Z222">
        <f>IF(S222=0,0,$AD$165*$AP$152)</f>
        <v>0</v>
      </c>
      <c r="AA222">
        <f>IFERROR(Z222/$R$165,0)</f>
        <v>0</v>
      </c>
      <c r="AB222">
        <f>Z222*($F$24+IF($F$24=0,0,($C$14+$C$15+IF($C$13="single",1.5,3)+3)/12))</f>
        <v>0</v>
      </c>
      <c r="AC222">
        <f>AB222-W222</f>
        <v>0</v>
      </c>
      <c r="AD222" cm="1">
        <f t="array" ref="AD222">IFERROR(IF(AC222&lt;0,0,AC222/($R$165-INDEX(hd_off,MATCH(AQ222,hd_mark,0),0)/12)),0)</f>
        <v>0</v>
      </c>
      <c r="AE222">
        <f>IF(S222=0,0,$AD$165*$AM$152)</f>
        <v>0</v>
      </c>
      <c r="AF222">
        <f>IFERROR(AE222/$R$165,0)</f>
        <v>0</v>
      </c>
      <c r="AG222">
        <f>AE222*($F$24+IF($F$24=0,0,($C$14+$C$15+IF($C$13="single",1.5,3)+3)/12))</f>
        <v>0</v>
      </c>
      <c r="AH222">
        <f>AG222-X222</f>
        <v>0</v>
      </c>
      <c r="AI222" cm="1">
        <f t="array" ref="AI222">IFERROR(IF(AH222&lt;0,0,AH222/($R$165-INDEX(hd_off,MATCH(AQ222,hd_mark,0),0)/12)),0)</f>
        <v>0</v>
      </c>
      <c r="AJ222">
        <f>MAX($F$24,$AB$165)/$Q$180</f>
        <v>0</v>
      </c>
      <c r="AK222">
        <f t="shared" si="139"/>
        <v>0</v>
      </c>
      <c r="AL222" cm="1">
        <f t="array" ref="AL222">IFERROR(INDEX(sheath_ecap_asd,MATCH(AP222,sheath_mark,0),0)*AK222,0)</f>
        <v>0</v>
      </c>
      <c r="AM222" cm="1">
        <f t="array" ref="AM222">IFERROR(INDEX(sheath_wcap_asd,MATCH(AP222,sheath_mark,0),0)*AK222,0)</f>
        <v>0</v>
      </c>
      <c r="AN222" cm="1">
        <f t="array" ref="AN222">IFERROR(INDEX(hd_cap,MATCH(AQ222,hd_mark,0),0),0)</f>
        <v>0</v>
      </c>
      <c r="AP222" s="19"/>
      <c r="AQ222" s="19"/>
      <c r="AR222" s="100"/>
      <c r="AS222" s="93"/>
      <c r="AT222" s="111">
        <f>$R$165</f>
        <v>0</v>
      </c>
      <c r="AU222" t="str">
        <f>$Q$152</f>
        <v>L5</v>
      </c>
      <c r="AV222">
        <f>$E$24</f>
        <v>0</v>
      </c>
      <c r="AW222" cm="1">
        <f t="array" ref="AW222">IFERROR(IF(AV222=0,0,(INDEX($C$33:$C$38,MATCH($AZ$165,$B$33:$B$38,0),0)*(AV223+$BA$165)+$AW$165*COUNTIF(AV222:AV222,"&gt;0")*$C$32+$AY$165*$C$31)*$AU$165),0)</f>
        <v>0</v>
      </c>
      <c r="AX222">
        <f>IF(AV222=0,0,-(COUNTIF(AV222:AV222,"&gt;0")*$AW$165*$C$32+$AY$165*$C$31)*$H$27*$AU$165)</f>
        <v>0</v>
      </c>
      <c r="AY222">
        <f>IF(AV222=0,0,$AY$165*$H$26*$AU$165)</f>
        <v>0</v>
      </c>
      <c r="AZ222">
        <f>(0.6*AW222+0.7*AX222)*$AU$165/2</f>
        <v>0</v>
      </c>
      <c r="BA222">
        <f>AW222*$AU$165/2</f>
        <v>0</v>
      </c>
      <c r="BC222">
        <f>IF(AV222=0,0,$BG$165*$AP$152)</f>
        <v>0</v>
      </c>
      <c r="BD222">
        <f>IFERROR(BC222/$AU$165,0)</f>
        <v>0</v>
      </c>
      <c r="BE222">
        <f>BC222*($F$24+IF($F$24=0,0,($C$14+$C$15+IF($C$13="single",1.5,3)+3)/12))</f>
        <v>0</v>
      </c>
      <c r="BF222">
        <f>BE222-AZ222</f>
        <v>0</v>
      </c>
      <c r="BG222" cm="1">
        <f t="array" ref="BG222">IFERROR(IF(BF222&lt;0,0,BF222/($AU$165-INDEX(hd_off,MATCH(BT222,hd_mark,0),0)/12)),0)</f>
        <v>0</v>
      </c>
      <c r="BH222">
        <f>IF(AV222=0,0,$BG$165*$AM$152)</f>
        <v>0</v>
      </c>
      <c r="BI222">
        <f>IFERROR(BH222/$AU$165,0)</f>
        <v>0</v>
      </c>
      <c r="BJ222">
        <f>BH222*($F$24+IF($F$24=0,0,($C$14+$C$15+IF($C$13="single",1.5,3)+3)/12))</f>
        <v>0</v>
      </c>
      <c r="BK222">
        <f>BJ222-BA222</f>
        <v>0</v>
      </c>
      <c r="BL222" cm="1">
        <f t="array" ref="BL222">IFERROR(IF(BK222&lt;0,0,BK222/($AU$165-INDEX(hd_off,MATCH(BT222,hd_mark,0),0)/12)),0)</f>
        <v>0</v>
      </c>
      <c r="BM222">
        <f>MAX($F$24,$BE$165)/$Q$180</f>
        <v>0</v>
      </c>
      <c r="BN222">
        <f t="shared" si="140"/>
        <v>0</v>
      </c>
      <c r="BO222" cm="1">
        <f t="array" ref="BO222">IFERROR(INDEX(sheath_ecap_asd,MATCH(BS222,sheath_mark,0),0)*BN222,0)</f>
        <v>0</v>
      </c>
      <c r="BP222" cm="1">
        <f t="array" ref="BP222">IFERROR(INDEX(sheath_wcap_asd,MATCH(BS222,sheath_mark,0),0)*BN222,0)</f>
        <v>0</v>
      </c>
      <c r="BQ222" cm="1">
        <f t="array" ref="BQ222">IFERROR(INDEX(hd_cap,MATCH(BT222,hd_mark,0),0),0)</f>
        <v>0</v>
      </c>
      <c r="BS222" s="19"/>
      <c r="BT222" s="19"/>
      <c r="BU222" s="100"/>
    </row>
    <row r="223" x14ac:dyDescent="0.25">
      <c r="P223" s="93"/>
      <c r="Q223" s="109"/>
      <c r="R223" t="str">
        <f>$Q$153</f>
        <v>Roof</v>
      </c>
      <c r="S223">
        <f>$E$25</f>
        <v>33.171875</v>
      </c>
      <c r="T223" cm="1">
        <f t="array" ref="T223">IFERROR(IF(S223=0,0,(INDEX($C$33:$C$38,MATCH($W$165,$B$33:$B$38,0),0)*(S223+$X$165)+$V$165*$C$31)*$R$165),0)</f>
        <v>0</v>
      </c>
      <c r="U223">
        <f>IF(S223=0,0,-$V$165*$C$31*$H$27*$R$165)</f>
        <v>0</v>
      </c>
      <c r="V223">
        <f>IF(S223=0,0,$V$165*$H$26*$R$165)</f>
        <v>0</v>
      </c>
      <c r="W223">
        <f>(0.6*T223+0.7*U223)*$R$165/2</f>
        <v>0</v>
      </c>
      <c r="X223">
        <f>T223*$R$165/2</f>
        <v>0</v>
      </c>
      <c r="Z223">
        <f>IF(S223=0,0,$AD$165*$AP$153)</f>
        <v>0</v>
      </c>
      <c r="AA223">
        <f>IFERROR(Z223/$R$165,0)</f>
        <v>0</v>
      </c>
      <c r="AB223">
        <f>Z223*($F$25+($C$16+$C$17+IF($C$13="single",1.5,3)+3)/12)</f>
        <v>0</v>
      </c>
      <c r="AC223">
        <f>AB223-W223</f>
        <v>0</v>
      </c>
      <c r="AD223" cm="1">
        <f t="array" ref="AD223">IFERROR(IF(AC223&lt;0,0,AC223/($R$165-INDEX(hd_off,MATCH(AQ223,hd_mark,0),0)/12)),0)</f>
        <v>0</v>
      </c>
      <c r="AE223">
        <f>IF(S223=0,0,$AD$165*$AM$153)</f>
        <v>0</v>
      </c>
      <c r="AF223">
        <f>IFERROR(AE223/$R$165,0)</f>
        <v>0</v>
      </c>
      <c r="AG223">
        <f>AE223*($F$25+($C$16+$C$17+IF($C$13="single",1.5,3)+3)/12)</f>
        <v>0</v>
      </c>
      <c r="AH223">
        <f>AG223-X223</f>
        <v>0</v>
      </c>
      <c r="AI223" cm="1">
        <f t="array" ref="AI223">IFERROR(IF(AH223&lt;0,0,AH223/($R$165-INDEX(hd_off,MATCH(AQ223,hd_mark,0),0)/12)),0)</f>
        <v>0</v>
      </c>
      <c r="AJ223">
        <f>MAX($F$25,$AC$165)/$Q$180</f>
        <v>0.29920977011494249</v>
      </c>
      <c r="AK223">
        <f t="shared" si="139"/>
        <v>1</v>
      </c>
      <c r="AL223" cm="1">
        <f t="array" ref="AL223">IFERROR(INDEX(sheath_ecap_asd,MATCH(AP223,sheath_mark,0),0)*AK223,0)</f>
        <v>0</v>
      </c>
      <c r="AM223" cm="1">
        <f t="array" ref="AM223">IFERROR(INDEX(sheath_wcap_asd,MATCH(AP223,sheath_mark,0),0)*AK223,0)</f>
        <v>0</v>
      </c>
      <c r="AN223" cm="1">
        <f t="array" ref="AN223">IFERROR(INDEX(hd_cap,MATCH(AQ223,hd_mark,0),0),0)</f>
        <v>0</v>
      </c>
      <c r="AP223" s="19"/>
      <c r="AQ223" s="19"/>
      <c r="AR223" s="100"/>
      <c r="AS223" s="93"/>
      <c r="AT223" s="109"/>
      <c r="AU223" t="str">
        <f>$Q$153</f>
        <v>Roof</v>
      </c>
      <c r="AV223">
        <f>$E$25</f>
        <v>33.171875</v>
      </c>
      <c r="AW223" cm="1">
        <f t="array" ref="AW223">IFERROR(IF(AV223=0,0,(INDEX($C$33:$C$38,MATCH($AZ$165,$B$33:$B$38,0),0)*(AV223+$BA$165)+$AY$165*$C$31)*$AU$165),0)</f>
        <v>0</v>
      </c>
      <c r="AX223">
        <f>IF(AV223=0,0,-$AY$165*$C$31*$H$27*$AU$165)</f>
        <v>0</v>
      </c>
      <c r="AY223">
        <f>IF(AV223=0,0,$AY$165*$H$26*$AU$165)</f>
        <v>0</v>
      </c>
      <c r="AZ223">
        <f>(0.6*AW223+0.7*AX223)*$AU$165/2</f>
        <v>0</v>
      </c>
      <c r="BA223">
        <f>AW223*$AU$165/2</f>
        <v>0</v>
      </c>
      <c r="BC223">
        <f>IF(AV223=0,0,$BG$165*$AP$153)</f>
        <v>0</v>
      </c>
      <c r="BD223">
        <f>IFERROR(BC223/$AU$165,0)</f>
        <v>0</v>
      </c>
      <c r="BE223">
        <f>BC223*($F$25+($C$16+$C$17+IF($C$13="single",1.5,3)+3)/12)</f>
        <v>0</v>
      </c>
      <c r="BF223">
        <f>BE223-AZ223</f>
        <v>0</v>
      </c>
      <c r="BG223" cm="1">
        <f t="array" ref="BG223">IFERROR(IF(BF223&lt;0,0,BF223/($AU$165-INDEX(hd_off,MATCH(BT223,hd_mark,0),0)/12)),0)</f>
        <v>0</v>
      </c>
      <c r="BH223">
        <f>IF(AV223=0,0,$BG$165*$AM$153)</f>
        <v>0</v>
      </c>
      <c r="BI223">
        <f>IFERROR(BH223/$AU$165,0)</f>
        <v>0</v>
      </c>
      <c r="BJ223">
        <f>BH223*($F$25+($C$16+$C$17+IF($C$13="single",1.5,3)+3)/12)</f>
        <v>0</v>
      </c>
      <c r="BK223">
        <f>BJ223-BA223</f>
        <v>0</v>
      </c>
      <c r="BL223" cm="1">
        <f t="array" ref="BL223">IFERROR(IF(BK223&lt;0,0,BK223/($AU$165-INDEX(hd_off,MATCH(BT223,hd_mark,0),0)/12)),0)</f>
        <v>0</v>
      </c>
      <c r="BM223">
        <f>MAX($F$25,$BF$165)/$Q$180</f>
        <v>0.29920977011494249</v>
      </c>
      <c r="BN223">
        <f t="shared" si="140"/>
        <v>1</v>
      </c>
      <c r="BO223" cm="1">
        <f t="array" ref="BO223">IFERROR(INDEX(sheath_ecap_asd,MATCH(BS223,sheath_mark,0),0)*BN223,0)</f>
        <v>0</v>
      </c>
      <c r="BP223" cm="1">
        <f t="array" ref="BP223">IFERROR(INDEX(sheath_wcap_asd,MATCH(BS223,sheath_mark,0),0)*BN223,0)</f>
        <v>0</v>
      </c>
      <c r="BQ223" cm="1">
        <f t="array" ref="BQ223">IFERROR(INDEX(hd_cap,MATCH(BT223,hd_mark,0),0),0)</f>
        <v>0</v>
      </c>
      <c r="BS223" s="19"/>
      <c r="BT223" s="19"/>
      <c r="BU223" s="100"/>
    </row>
    <row r="224" x14ac:dyDescent="0.25">
      <c r="P224" s="93"/>
      <c r="AR224" s="100"/>
      <c r="AS224" s="93"/>
      <c r="BU224" s="100"/>
    </row>
    <row r="225" x14ac:dyDescent="0.25">
      <c r="P225" s="93"/>
      <c r="Q225" s="110" t="str">
        <f>$Q$166</f>
        <v>A.09</v>
      </c>
      <c r="R225" t="str">
        <f>$Q$149</f>
        <v>L2</v>
      </c>
      <c r="S225">
        <f>$E$21</f>
        <v>10.6875</v>
      </c>
      <c r="T225" cm="1">
        <f t="array" ref="T225">IFERROR(IF(S225=0,0,(INDEX($C$33:$C$38,MATCH($W$166,$B$33:$B$38,0),0)*(S229+$X$166)+$T$166*COUNTIF(S225:S228,"&gt;0")*$C$32+$V$166*$C$31)*$R$166),0)</f>
        <v>0</v>
      </c>
      <c r="U225">
        <f>IF(S225=0,0,-(COUNTIF(S225:S228,"&gt;0")*$T$166*$C$32+$V$166*$C$31)*$H$27*$R$166)</f>
        <v>0</v>
      </c>
      <c r="V225">
        <f>IF(S225=0,0,$V$166*$H$26*$R$166)</f>
        <v>0</v>
      </c>
      <c r="W225">
        <f>(0.6*T225+0.7*U225)*$R$166/2</f>
        <v>0</v>
      </c>
      <c r="X225">
        <f>(0.6*T225+0.6*V225)*$R$166/2</f>
        <v>0</v>
      </c>
      <c r="Z225">
        <f>IF(S225=0,0,$AD$166*$AP$149)</f>
        <v>0</v>
      </c>
      <c r="AA225">
        <f>IFERROR(Z225/$R$166,0)</f>
        <v>0</v>
      </c>
      <c r="AB225">
        <f>Z225*($F$21+IF($F$21=0,0,($C$14+$C$15+IF($C$13="single",1.5,3)+3)/12))</f>
        <v>0</v>
      </c>
      <c r="AC225">
        <f>AB225-W225</f>
        <v>0</v>
      </c>
      <c r="AD225" cm="1">
        <f t="array" ref="AD225">IFERROR(IF(AC225&lt;0,0,AC225/($R$166-INDEX(hd_off,MATCH(AQ225,hd_mark,0),0)/12)),0)</f>
        <v>0</v>
      </c>
      <c r="AE225">
        <f>IF(S225=0,0,$AD$166*$AM$149)</f>
        <v>0</v>
      </c>
      <c r="AF225">
        <f>IFERROR(AE225/$R$166,0)</f>
        <v>0</v>
      </c>
      <c r="AG225">
        <f>AE225*($F$21+IF($F$21=0,0,($C$14+$C$15+IF($C$13="single",1.5,3)+3)/12))</f>
        <v>0</v>
      </c>
      <c r="AH225">
        <f>AG225-X225</f>
        <v>0</v>
      </c>
      <c r="AI225" cm="1">
        <f t="array" ref="AI225">IFERROR(IF(AH225&lt;0,0,AH225/($R$166-INDEX(hd_off,MATCH(AQ225,hd_mark,0),0)/12)),0)</f>
        <v>0</v>
      </c>
      <c r="AJ225">
        <f>MAX($F$21,$Y$166)/$Q$180</f>
        <v>0.30172413793103448</v>
      </c>
      <c r="AK225">
        <f>IF(AJ225=0,0,IF(AJ225&gt;2,1.25-0.125*AJ225,1))</f>
        <v>1</v>
      </c>
      <c r="AL225" cm="1">
        <f t="array" ref="AL225">IFERROR(INDEX(sheath_ecap_asd,MATCH(AP225,sheath_mark,0),0)*AK225,0)</f>
        <v>0</v>
      </c>
      <c r="AM225" cm="1">
        <f t="array" ref="AM225">IFERROR(INDEX(sheath_wcap_asd,MATCH(AP225,sheath_mark,0),0)*AK225,0)</f>
        <v>0</v>
      </c>
      <c r="AN225" cm="1">
        <f t="array" ref="AN225">IFERROR(INDEX(hd_cap,MATCH(AQ225,hd_mark,0),0),0)</f>
        <v>0</v>
      </c>
      <c r="AP225" s="19"/>
      <c r="AQ225" s="19"/>
      <c r="AR225" s="100"/>
      <c r="AS225" s="93"/>
      <c r="AT225" s="110" t="str">
        <f>$AT$166</f>
        <v>1.09</v>
      </c>
      <c r="AU225" t="str">
        <f>$Q$149</f>
        <v>L2</v>
      </c>
      <c r="AV225">
        <f>$E$21</f>
        <v>10.6875</v>
      </c>
      <c r="AW225" cm="1">
        <f t="array" ref="AW225">IFERROR(IF(AV225=0,0,(INDEX($C$33:$C$38,MATCH($AZ$166,$B$33:$B$38,0),0)*(AV229+$BA$166)+$AW$166*COUNTIF(AV225:AV228,"&gt;0")*$C$32+$AY$166*$C$31)*$AU$166),0)</f>
        <v>0</v>
      </c>
      <c r="AX225">
        <f>IF(AV225=0,0,-(COUNTIF(AV225:AV228,"&gt;0")*$AW$166*$C$32+$AY$166*$C$31)*$H$27*$AU$166)</f>
        <v>0</v>
      </c>
      <c r="AY225">
        <f>IF(AV225=0,0,$AY$166*$H$26*$AU$166)</f>
        <v>0</v>
      </c>
      <c r="AZ225">
        <f>(0.6*AW225+0.7*AX225)*$AU$166/2</f>
        <v>0</v>
      </c>
      <c r="BA225">
        <f>(0.6*AW225+0.6*AY225)*$AU$166/2</f>
        <v>0</v>
      </c>
      <c r="BC225">
        <f>IF(AV225=0,0,$BG$166*$AP$149)</f>
        <v>0</v>
      </c>
      <c r="BD225">
        <f>IFERROR(BC225/$AU$166,0)</f>
        <v>0</v>
      </c>
      <c r="BE225">
        <f>BC225*($F$21+IF($F$21=0,0,($C$14+$C$15+IF($C$13="single",1.5,3)+3)/12))</f>
        <v>0</v>
      </c>
      <c r="BF225">
        <f>BE225-AZ225</f>
        <v>0</v>
      </c>
      <c r="BG225" cm="1">
        <f t="array" ref="BG225">IFERROR(IF(BF225&lt;0,0,BF225/($AU$166-INDEX(hd_off,MATCH(BT225,hd_mark,0),0)/12)),0)</f>
        <v>0</v>
      </c>
      <c r="BH225">
        <f>IF(AV225=0,0,$BG$166*$AM$149)</f>
        <v>0</v>
      </c>
      <c r="BI225">
        <f>IFERROR(BH225/$AU$166,0)</f>
        <v>0</v>
      </c>
      <c r="BJ225">
        <f>BH225*($F$21+IF($F$21=0,0,($C$14+$C$15+IF($C$13="single",1.5,3)+3)/12))</f>
        <v>0</v>
      </c>
      <c r="BK225">
        <f>BJ225-BA225</f>
        <v>0</v>
      </c>
      <c r="BL225" cm="1">
        <f t="array" ref="BL225">IFERROR(IF(BK225&lt;0,0,BK225/($AU$166-INDEX(hd_off,MATCH(BT225,hd_mark,0),0)/12)),0)</f>
        <v>0</v>
      </c>
      <c r="BM225">
        <f>MAX($F$21,$BB$166)/$Q$180</f>
        <v>0.30172413793103448</v>
      </c>
      <c r="BN225">
        <f>IF(BM225=0,0,IF(BM225&gt;2,1.25-0.125*BM225,1))</f>
        <v>1</v>
      </c>
      <c r="BO225" cm="1">
        <f t="array" ref="BO225">IFERROR(INDEX(sheath_ecap_asd,MATCH(BS225,sheath_mark,0),0)*BN225,0)</f>
        <v>0</v>
      </c>
      <c r="BP225" cm="1">
        <f t="array" ref="BP225">IFERROR(INDEX(sheath_wcap_asd,MATCH(BS225,sheath_mark,0),0)*BN225,0)</f>
        <v>0</v>
      </c>
      <c r="BQ225" cm="1">
        <f t="array" ref="BQ225">IFERROR(INDEX(hd_cap,MATCH(BT225,hd_mark,0),0),0)</f>
        <v>0</v>
      </c>
      <c r="BS225" s="19"/>
      <c r="BT225" s="19"/>
      <c r="BU225" s="100"/>
    </row>
    <row r="226" x14ac:dyDescent="0.25">
      <c r="P226" s="93"/>
      <c r="Q226" s="109"/>
      <c r="R226" t="str">
        <f>$Q$150</f>
        <v>L3</v>
      </c>
      <c r="S226">
        <f>$E$22</f>
        <v>21.375</v>
      </c>
      <c r="T226" cm="1">
        <f t="array" ref="T226">IFERROR(IF(S226=0,0,(INDEX($C$33:$C$38,MATCH($W$166,$B$33:$B$38,0),0)*(S229+$X$166)+$T$166*COUNTIF(S226:S228,"&gt;0")*$C$32+$V$166*$C$31)*$R$166),0)</f>
        <v>0</v>
      </c>
      <c r="U226">
        <f>IF(S226=0,0,-(COUNTIF(S226:S228,"&gt;0")*$T$166*$C$32+$V$166*$C$31)*$H$27*$R$166)</f>
        <v>0</v>
      </c>
      <c r="V226">
        <f>IF(S226=0,0,$V$166*$H$26*$R$166)</f>
        <v>0</v>
      </c>
      <c r="W226">
        <f>(0.6*T226+0.7*U226)*$R$166/2</f>
        <v>0</v>
      </c>
      <c r="X226">
        <f>T226*$R$166/2</f>
        <v>0</v>
      </c>
      <c r="Z226">
        <f>IF(S226=0,0,$AD$166*$AP$150)</f>
        <v>0</v>
      </c>
      <c r="AA226">
        <f>IFERROR(Z226/$R$166,0)</f>
        <v>0</v>
      </c>
      <c r="AB226">
        <f>Z226*($F$22+IF($F$22=0,0,($C$14+$C$15+IF($C$13="single",1.5,3)+3)/12))</f>
        <v>0</v>
      </c>
      <c r="AC226">
        <f>AB226-W226</f>
        <v>0</v>
      </c>
      <c r="AD226" cm="1">
        <f t="array" ref="AD226">IFERROR(IF(AC226&lt;0,0,AC226/($R$166-INDEX(hd_off,MATCH(AQ226,hd_mark,0),0)/12)),0)</f>
        <v>0</v>
      </c>
      <c r="AE226">
        <f>IF(S226=0,0,$AD$166*$AM$150)</f>
        <v>0</v>
      </c>
      <c r="AF226">
        <f>IFERROR(AE226/$R$166,0)</f>
        <v>0</v>
      </c>
      <c r="AG226">
        <f>AE226*($F$22+IF($F$22=0,0,($C$14+$C$15+IF($C$13="single",1.5,3)+3)/12))</f>
        <v>0</v>
      </c>
      <c r="AH226">
        <f>AG226-X226</f>
        <v>0</v>
      </c>
      <c r="AI226" cm="1">
        <f t="array" ref="AI226">IFERROR(IF(AH226&lt;0,0,AH226/($R$166-INDEX(hd_off,MATCH(AQ226,hd_mark,0),0)/12)),0)</f>
        <v>0</v>
      </c>
      <c r="AJ226">
        <f>MAX($F$22,$Z$166)/$Q$180</f>
        <v>0.30172413793103448</v>
      </c>
      <c r="AK226">
        <f t="shared" ref="AK226:AK229" si="141">IF(AJ226=0,0,IF(AJ226&gt;2,1.25-0.125*AJ226,1))</f>
        <v>1</v>
      </c>
      <c r="AL226" cm="1">
        <f t="array" ref="AL226">IFERROR(INDEX(sheath_ecap_asd,MATCH(AP226,sheath_mark,0),0)*AK226,0)</f>
        <v>0</v>
      </c>
      <c r="AM226" cm="1">
        <f t="array" ref="AM226">IFERROR(INDEX(sheath_wcap_asd,MATCH(AP226,sheath_mark,0),0)*AK226,0)</f>
        <v>0</v>
      </c>
      <c r="AN226" cm="1">
        <f t="array" ref="AN226">IFERROR(INDEX(hd_cap,MATCH(AQ226,hd_mark,0),0),0)</f>
        <v>0</v>
      </c>
      <c r="AP226" s="19"/>
      <c r="AQ226" s="19"/>
      <c r="AR226" s="100"/>
      <c r="AS226" s="93"/>
      <c r="AT226" s="109"/>
      <c r="AU226" t="str">
        <f>$Q$150</f>
        <v>L3</v>
      </c>
      <c r="AV226">
        <f>$E$22</f>
        <v>21.375</v>
      </c>
      <c r="AW226" cm="1">
        <f t="array" ref="AW226">IFERROR(IF(AV226=0,0,(INDEX($C$33:$C$38,MATCH($AZ$166,$B$33:$B$38,0),0)*(AV229+$BA$166)+$AW$166*COUNTIF(AV226:AV228,"&gt;0")*$C$32+$AY$166*$C$31)*$AU$166),0)</f>
        <v>0</v>
      </c>
      <c r="AX226">
        <f>IF(AV226=0,0,-(COUNTIF(AV226:AV228,"&gt;0")*$AW$166*$C$32+$AY$166*$C$31)*$H$27*$AU$166)</f>
        <v>0</v>
      </c>
      <c r="AY226">
        <f>IF(AV226=0,0,$AY$166*$H$26*$AU$166)</f>
        <v>0</v>
      </c>
      <c r="AZ226">
        <f>(0.6*AW226+0.7*AX226)*$AU$166/2</f>
        <v>0</v>
      </c>
      <c r="BA226">
        <f>AW226*$AU$166/2</f>
        <v>0</v>
      </c>
      <c r="BC226">
        <f>IF(AV226=0,0,$BG$166*$AP$150)</f>
        <v>0</v>
      </c>
      <c r="BD226">
        <f>IFERROR(BC226/$AU$166,0)</f>
        <v>0</v>
      </c>
      <c r="BE226">
        <f>BC226*($F$22+IF($F$22=0,0,($C$14+$C$15+IF($C$13="single",1.5,3)+3)/12))</f>
        <v>0</v>
      </c>
      <c r="BF226">
        <f>BE226-AZ226</f>
        <v>0</v>
      </c>
      <c r="BG226" cm="1">
        <f t="array" ref="BG226">IFERROR(IF(BF226&lt;0,0,BF226/($AU$166-INDEX(hd_off,MATCH(BT226,hd_mark,0),0)/12)),0)</f>
        <v>0</v>
      </c>
      <c r="BH226">
        <f>IF(AV226=0,0,$BG$166*$AM$150)</f>
        <v>0</v>
      </c>
      <c r="BI226">
        <f>IFERROR(BH226/$AU$166,0)</f>
        <v>0</v>
      </c>
      <c r="BJ226">
        <f>BH226*($F$22+IF($F$22=0,0,($C$14+$C$15+IF($C$13="single",1.5,3)+3)/12))</f>
        <v>0</v>
      </c>
      <c r="BK226">
        <f>BJ226-BA226</f>
        <v>0</v>
      </c>
      <c r="BL226" cm="1">
        <f t="array" ref="BL226">IFERROR(IF(BK226&lt;0,0,BK226/($AU$166-INDEX(hd_off,MATCH(BT226,hd_mark,0),0)/12)),0)</f>
        <v>0</v>
      </c>
      <c r="BM226">
        <f>MAX($F$22,$BC$166)/$Q$180</f>
        <v>0.30172413793103448</v>
      </c>
      <c r="BN226">
        <f t="shared" ref="BN226:BN229" si="142">IF(BM226=0,0,IF(BM226&gt;2,1.25-0.125*BM226,1))</f>
        <v>1</v>
      </c>
      <c r="BO226" cm="1">
        <f t="array" ref="BO226">IFERROR(INDEX(sheath_ecap_asd,MATCH(BS226,sheath_mark,0),0)*BN226,0)</f>
        <v>0</v>
      </c>
      <c r="BP226" cm="1">
        <f t="array" ref="BP226">IFERROR(INDEX(sheath_wcap_asd,MATCH(BS226,sheath_mark,0),0)*BN226,0)</f>
        <v>0</v>
      </c>
      <c r="BQ226" cm="1">
        <f t="array" ref="BQ226">IFERROR(INDEX(hd_cap,MATCH(BT226,hd_mark,0),0),0)</f>
        <v>0</v>
      </c>
      <c r="BS226" s="19"/>
      <c r="BT226" s="19"/>
      <c r="BU226" s="100"/>
    </row>
    <row r="227" x14ac:dyDescent="0.25">
      <c r="P227" s="93"/>
      <c r="Q227" s="109" t="s">
        <v>491</v>
      </c>
      <c r="R227" t="str">
        <f>$Q$151</f>
        <v>L4</v>
      </c>
      <c r="S227">
        <f>$E$23</f>
        <v>0</v>
      </c>
      <c r="T227" cm="1">
        <f t="array" ref="T227">IFERROR(IF(S227=0,0,(INDEX($C$33:$C$38,MATCH($W$166,$B$33:$B$38,0),0)*(S229+$X$166)+$T$166*COUNTIF(S227:S228,"&gt;0")*$C$32+$V$166*$C$31)*$R$166),0)</f>
        <v>0</v>
      </c>
      <c r="U227">
        <f>IF(S227=0,0,-(COUNTIF(S227:S228,"&gt;0")*$T$166*$C$32+$V$166*$C$31)*$H$27*$R$166)</f>
        <v>0</v>
      </c>
      <c r="V227">
        <f>IF(S227=0,0,$V$166*$H$26*$R$166)</f>
        <v>0</v>
      </c>
      <c r="W227">
        <f>(0.6*T227+0.7*U227)*$R$166/2</f>
        <v>0</v>
      </c>
      <c r="X227">
        <f>T227*$R$166/2</f>
        <v>0</v>
      </c>
      <c r="Z227">
        <f>IF(S227=0,0,$AD$166*$AP$151)</f>
        <v>0</v>
      </c>
      <c r="AA227">
        <f>IFERROR(Z227/$R$166,0)</f>
        <v>0</v>
      </c>
      <c r="AB227">
        <f>Z227*($F$23+IF($F$23=0,0,($C$14+$C$15+IF($C$13="single",1.5,3)+3)/12))</f>
        <v>0</v>
      </c>
      <c r="AC227">
        <f>AB227-W227</f>
        <v>0</v>
      </c>
      <c r="AD227" cm="1">
        <f t="array" ref="AD227">IFERROR(IF(AC227&lt;0,0,AC227/($R$166-INDEX(hd_off,MATCH(AQ227,hd_mark,0),0)/12)),0)</f>
        <v>0</v>
      </c>
      <c r="AE227">
        <f>IF(S227=0,0,$AD$166*$AM$151)</f>
        <v>0</v>
      </c>
      <c r="AF227">
        <f>IFERROR(AE227/$R$166,0)</f>
        <v>0</v>
      </c>
      <c r="AG227">
        <f>AE227*($F$23+IF($F$23=0,0,($C$14+$C$15+IF($C$13="single",1.5,3)+3)/12))</f>
        <v>0</v>
      </c>
      <c r="AH227">
        <f>AG227-X227</f>
        <v>0</v>
      </c>
      <c r="AI227" cm="1">
        <f t="array" ref="AI227">IFERROR(IF(AH227&lt;0,0,AH227/($R$166-INDEX(hd_off,MATCH(AQ227,hd_mark,0),0)/12)),0)</f>
        <v>0</v>
      </c>
      <c r="AJ227">
        <f>MAX($F$23,$AA$166)/$Q$180</f>
        <v>0</v>
      </c>
      <c r="AK227">
        <f t="shared" si="141"/>
        <v>0</v>
      </c>
      <c r="AL227" cm="1">
        <f t="array" ref="AL227">IFERROR(INDEX(sheath_ecap_asd,MATCH(AP227,sheath_mark,0),0)*AK227,0)</f>
        <v>0</v>
      </c>
      <c r="AM227" cm="1">
        <f t="array" ref="AM227">IFERROR(INDEX(sheath_wcap_asd,MATCH(AP227,sheath_mark,0),0)*AK227,0)</f>
        <v>0</v>
      </c>
      <c r="AN227" cm="1">
        <f t="array" ref="AN227">IFERROR(INDEX(hd_cap,MATCH(AQ227,hd_mark,0),0),0)</f>
        <v>0</v>
      </c>
      <c r="AP227" s="19"/>
      <c r="AQ227" s="19"/>
      <c r="AR227" s="100"/>
      <c r="AS227" s="93"/>
      <c r="AT227" s="109" t="s">
        <v>491</v>
      </c>
      <c r="AU227" t="str">
        <f>$Q$151</f>
        <v>L4</v>
      </c>
      <c r="AV227">
        <f>$E$23</f>
        <v>0</v>
      </c>
      <c r="AW227" cm="1">
        <f t="array" ref="AW227">IFERROR(IF(AV227=0,0,(INDEX($C$33:$C$38,MATCH($AZ$166,$B$33:$B$38,0),0)*(AV229+$BA$166)+$AW$166*COUNTIF(AV227:AV228,"&gt;0")*$C$32+$AY$166*$C$31)*$AU$166),0)</f>
        <v>0</v>
      </c>
      <c r="AX227">
        <f>IF(AV227=0,0,-(COUNTIF(AV227:AV228,"&gt;0")*$AW$166*$C$32+$AY$166*$C$31)*$H$27*$AU$166)</f>
        <v>0</v>
      </c>
      <c r="AY227">
        <f>IF(AV227=0,0,$AY$166*$H$26*$AU$166)</f>
        <v>0</v>
      </c>
      <c r="AZ227">
        <f>(0.6*AW227+0.7*AX227)*$AU$166/2</f>
        <v>0</v>
      </c>
      <c r="BA227">
        <f>AW227*$AU$166/2</f>
        <v>0</v>
      </c>
      <c r="BC227">
        <f>IF(AV227=0,0,$BG$166*$AP$151)</f>
        <v>0</v>
      </c>
      <c r="BD227">
        <f>IFERROR(BC227/$AU$166,0)</f>
        <v>0</v>
      </c>
      <c r="BE227">
        <f>BC227*($F$23+IF($F$23=0,0,($C$14+$C$15+IF($C$13="single",1.5,3)+3)/12))</f>
        <v>0</v>
      </c>
      <c r="BF227">
        <f>BE227-AZ227</f>
        <v>0</v>
      </c>
      <c r="BG227" cm="1">
        <f t="array" ref="BG227">IFERROR(IF(BF227&lt;0,0,BF227/($AU$166-INDEX(hd_off,MATCH(BT227,hd_mark,0),0)/12)),0)</f>
        <v>0</v>
      </c>
      <c r="BH227">
        <f>IF(AV227=0,0,$BG$166*$AM$151)</f>
        <v>0</v>
      </c>
      <c r="BI227">
        <f>IFERROR(BH227/$AU$166,0)</f>
        <v>0</v>
      </c>
      <c r="BJ227">
        <f>BH227*($F$23+IF($F$23=0,0,($C$14+$C$15+IF($C$13="single",1.5,3)+3)/12))</f>
        <v>0</v>
      </c>
      <c r="BK227">
        <f>BJ227-BA227</f>
        <v>0</v>
      </c>
      <c r="BL227" cm="1">
        <f t="array" ref="BL227">IFERROR(IF(BK227&lt;0,0,BK227/($AU$166-INDEX(hd_off,MATCH(BT227,hd_mark,0),0)/12)),0)</f>
        <v>0</v>
      </c>
      <c r="BM227">
        <f>MAX($F$23,$BD$166)/$Q$180</f>
        <v>0</v>
      </c>
      <c r="BN227">
        <f t="shared" si="142"/>
        <v>0</v>
      </c>
      <c r="BO227" cm="1">
        <f t="array" ref="BO227">IFERROR(INDEX(sheath_ecap_asd,MATCH(BS227,sheath_mark,0),0)*BN227,0)</f>
        <v>0</v>
      </c>
      <c r="BP227" cm="1">
        <f t="array" ref="BP227">IFERROR(INDEX(sheath_wcap_asd,MATCH(BS227,sheath_mark,0),0)*BN227,0)</f>
        <v>0</v>
      </c>
      <c r="BQ227" cm="1">
        <f t="array" ref="BQ227">IFERROR(INDEX(hd_cap,MATCH(BT227,hd_mark,0),0),0)</f>
        <v>0</v>
      </c>
      <c r="BS227" s="19"/>
      <c r="BT227" s="19"/>
      <c r="BU227" s="100"/>
    </row>
    <row r="228" x14ac:dyDescent="0.25">
      <c r="P228" s="93"/>
      <c r="Q228" s="111">
        <f>$R$166</f>
        <v>0</v>
      </c>
      <c r="R228" t="str">
        <f>$Q$152</f>
        <v>L5</v>
      </c>
      <c r="S228">
        <f>$E$24</f>
        <v>0</v>
      </c>
      <c r="T228" cm="1">
        <f t="array" ref="T228">IFERROR(IF(S228=0,0,(INDEX($C$33:$C$38,MATCH($W$166,$B$33:$B$38,0),0)*(S229+$X$166)+$T$166*COUNTIF(S228:S228,"&gt;0")*$C$32+$V$166*$C$31)*$R$166),0)</f>
        <v>0</v>
      </c>
      <c r="U228">
        <f>IF(S228=0,0,-(COUNTIF(S228:S228,"&gt;0")*$T$166*$C$32+$V$166*$C$31)*$H$27*$R$166)</f>
        <v>0</v>
      </c>
      <c r="V228">
        <f>IF(S228=0,0,$V$166*$H$26*$R$166)</f>
        <v>0</v>
      </c>
      <c r="W228">
        <f>(0.6*T228+0.7*U228)*$R$166/2</f>
        <v>0</v>
      </c>
      <c r="X228">
        <f>T228*$R$166/2</f>
        <v>0</v>
      </c>
      <c r="Z228">
        <f>IF(S228=0,0,$AD$166*$AP$152)</f>
        <v>0</v>
      </c>
      <c r="AA228">
        <f>IFERROR(Z228/$R$166,0)</f>
        <v>0</v>
      </c>
      <c r="AB228">
        <f>Z228*($F$24+IF($F$24=0,0,($C$14+$C$15+IF($C$13="single",1.5,3)+3)/12))</f>
        <v>0</v>
      </c>
      <c r="AC228">
        <f>AB228-W228</f>
        <v>0</v>
      </c>
      <c r="AD228" cm="1">
        <f t="array" ref="AD228">IFERROR(IF(AC228&lt;0,0,AC228/($R$166-INDEX(hd_off,MATCH(AQ228,hd_mark,0),0)/12)),0)</f>
        <v>0</v>
      </c>
      <c r="AE228">
        <f>IF(S228=0,0,$AD$166*$AM$152)</f>
        <v>0</v>
      </c>
      <c r="AF228">
        <f>IFERROR(AE228/$R$166,0)</f>
        <v>0</v>
      </c>
      <c r="AG228">
        <f>AE228*($F$24+IF($F$24=0,0,($C$14+$C$15+IF($C$13="single",1.5,3)+3)/12))</f>
        <v>0</v>
      </c>
      <c r="AH228">
        <f>AG228-X228</f>
        <v>0</v>
      </c>
      <c r="AI228" cm="1">
        <f t="array" ref="AI228">IFERROR(IF(AH228&lt;0,0,AH228/($R$166-INDEX(hd_off,MATCH(AQ228,hd_mark,0),0)/12)),0)</f>
        <v>0</v>
      </c>
      <c r="AJ228">
        <f>MAX($F$24,$AB$166)/$Q$180</f>
        <v>0</v>
      </c>
      <c r="AK228">
        <f t="shared" si="141"/>
        <v>0</v>
      </c>
      <c r="AL228" cm="1">
        <f t="array" ref="AL228">IFERROR(INDEX(sheath_ecap_asd,MATCH(AP228,sheath_mark,0),0)*AK228,0)</f>
        <v>0</v>
      </c>
      <c r="AM228" cm="1">
        <f t="array" ref="AM228">IFERROR(INDEX(sheath_wcap_asd,MATCH(AP228,sheath_mark,0),0)*AK228,0)</f>
        <v>0</v>
      </c>
      <c r="AN228" cm="1">
        <f t="array" ref="AN228">IFERROR(INDEX(hd_cap,MATCH(AQ228,hd_mark,0),0),0)</f>
        <v>0</v>
      </c>
      <c r="AP228" s="19"/>
      <c r="AQ228" s="19"/>
      <c r="AR228" s="100"/>
      <c r="AS228" s="93"/>
      <c r="AT228" s="111">
        <f>$R$166</f>
        <v>0</v>
      </c>
      <c r="AU228" t="str">
        <f>$Q$152</f>
        <v>L5</v>
      </c>
      <c r="AV228">
        <f>$E$24</f>
        <v>0</v>
      </c>
      <c r="AW228" cm="1">
        <f t="array" ref="AW228">IFERROR(IF(AV228=0,0,(INDEX($C$33:$C$38,MATCH($AZ$166,$B$33:$B$38,0),0)*(AV229+$BA$166)+$AW$166*COUNTIF(AV228:AV228,"&gt;0")*$C$32+$AY$166*$C$31)*$AU$166),0)</f>
        <v>0</v>
      </c>
      <c r="AX228">
        <f>IF(AV228=0,0,-(COUNTIF(AV228:AV228,"&gt;0")*$AW$166*$C$32+$AY$166*$C$31)*$H$27*$AU$166)</f>
        <v>0</v>
      </c>
      <c r="AY228">
        <f>IF(AV228=0,0,$AY$166*$H$26*$AU$166)</f>
        <v>0</v>
      </c>
      <c r="AZ228">
        <f>(0.6*AW228+0.7*AX228)*$AU$166/2</f>
        <v>0</v>
      </c>
      <c r="BA228">
        <f>AW228*$AU$166/2</f>
        <v>0</v>
      </c>
      <c r="BC228">
        <f>IF(AV228=0,0,$BG$166*$AP$152)</f>
        <v>0</v>
      </c>
      <c r="BD228">
        <f>IFERROR(BC228/$AU$166,0)</f>
        <v>0</v>
      </c>
      <c r="BE228">
        <f>BC228*($F$24+IF($F$24=0,0,($C$14+$C$15+IF($C$13="single",1.5,3)+3)/12))</f>
        <v>0</v>
      </c>
      <c r="BF228">
        <f>BE228-AZ228</f>
        <v>0</v>
      </c>
      <c r="BG228" cm="1">
        <f t="array" ref="BG228">IFERROR(IF(BF228&lt;0,0,BF228/($AU$166-INDEX(hd_off,MATCH(BT228,hd_mark,0),0)/12)),0)</f>
        <v>0</v>
      </c>
      <c r="BH228">
        <f>IF(AV228=0,0,$BG$166*$AM$152)</f>
        <v>0</v>
      </c>
      <c r="BI228">
        <f>IFERROR(BH228/$AU$166,0)</f>
        <v>0</v>
      </c>
      <c r="BJ228">
        <f>BH228*($F$24+IF($F$24=0,0,($C$14+$C$15+IF($C$13="single",1.5,3)+3)/12))</f>
        <v>0</v>
      </c>
      <c r="BK228">
        <f>BJ228-BA228</f>
        <v>0</v>
      </c>
      <c r="BL228" cm="1">
        <f t="array" ref="BL228">IFERROR(IF(BK228&lt;0,0,BK228/($AU$166-INDEX(hd_off,MATCH(BT228,hd_mark,0),0)/12)),0)</f>
        <v>0</v>
      </c>
      <c r="BM228">
        <f>MAX($F$24,$BE$166)/$Q$180</f>
        <v>0</v>
      </c>
      <c r="BN228">
        <f t="shared" si="142"/>
        <v>0</v>
      </c>
      <c r="BO228" cm="1">
        <f t="array" ref="BO228">IFERROR(INDEX(sheath_ecap_asd,MATCH(BS228,sheath_mark,0),0)*BN228,0)</f>
        <v>0</v>
      </c>
      <c r="BP228" cm="1">
        <f t="array" ref="BP228">IFERROR(INDEX(sheath_wcap_asd,MATCH(BS228,sheath_mark,0),0)*BN228,0)</f>
        <v>0</v>
      </c>
      <c r="BQ228" cm="1">
        <f t="array" ref="BQ228">IFERROR(INDEX(hd_cap,MATCH(BT228,hd_mark,0),0),0)</f>
        <v>0</v>
      </c>
      <c r="BS228" s="19"/>
      <c r="BT228" s="19"/>
      <c r="BU228" s="100"/>
    </row>
    <row r="229" x14ac:dyDescent="0.25">
      <c r="P229" s="93"/>
      <c r="Q229" s="109"/>
      <c r="R229" t="str">
        <f>$Q$153</f>
        <v>Roof</v>
      </c>
      <c r="S229">
        <f>$E$25</f>
        <v>33.171875</v>
      </c>
      <c r="T229" cm="1">
        <f t="array" ref="T229">IFERROR(IF(S229=0,0,(INDEX($C$33:$C$38,MATCH($W$166,$B$33:$B$38,0),0)*(S229+$X$166)+$V$166*$C$31)*$R$166),0)</f>
        <v>0</v>
      </c>
      <c r="U229">
        <f>IF(S229=0,0,-$V$166*$C$31*$H$27*$R$166)</f>
        <v>0</v>
      </c>
      <c r="V229">
        <f>IF(S229=0,0,$V$166*$H$26*$R$166)</f>
        <v>0</v>
      </c>
      <c r="W229">
        <f>(0.6*T229+0.7*U229)*$R$166/2</f>
        <v>0</v>
      </c>
      <c r="X229">
        <f>T229*$R$166/2</f>
        <v>0</v>
      </c>
      <c r="Z229">
        <f>IF(S229=0,0,$AD$166*$AP$153)</f>
        <v>0</v>
      </c>
      <c r="AA229">
        <f>IFERROR(Z229/$R$166,0)</f>
        <v>0</v>
      </c>
      <c r="AB229">
        <f>Z229*($F$25+($C$16+$C$17+IF($C$13="single",1.5,3)+3)/12)</f>
        <v>0</v>
      </c>
      <c r="AC229">
        <f>AB229-W229</f>
        <v>0</v>
      </c>
      <c r="AD229" cm="1">
        <f t="array" ref="AD229">IFERROR(IF(AC229&lt;0,0,AC229/($R$166-INDEX(hd_off,MATCH(AQ229,hd_mark,0),0)/12)),0)</f>
        <v>0</v>
      </c>
      <c r="AE229">
        <f>IF(S229=0,0,$AD$166*$AM$153)</f>
        <v>0</v>
      </c>
      <c r="AF229">
        <f>IFERROR(AE229/$R$166,0)</f>
        <v>0</v>
      </c>
      <c r="AG229">
        <f>AE229*($F$25+($C$16+$C$17+IF($C$13="single",1.5,3)+3)/12)</f>
        <v>0</v>
      </c>
      <c r="AH229">
        <f>AG229-X229</f>
        <v>0</v>
      </c>
      <c r="AI229" cm="1">
        <f t="array" ref="AI229">IFERROR(IF(AH229&lt;0,0,AH229/($R$166-INDEX(hd_off,MATCH(AQ229,hd_mark,0),0)/12)),0)</f>
        <v>0</v>
      </c>
      <c r="AJ229">
        <f>MAX($F$25,$AC$166)/$Q$180</f>
        <v>0.29920977011494249</v>
      </c>
      <c r="AK229">
        <f t="shared" si="141"/>
        <v>1</v>
      </c>
      <c r="AL229" cm="1">
        <f t="array" ref="AL229">IFERROR(INDEX(sheath_ecap_asd,MATCH(AP229,sheath_mark,0),0)*AK229,0)</f>
        <v>0</v>
      </c>
      <c r="AM229" cm="1">
        <f t="array" ref="AM229">IFERROR(INDEX(sheath_wcap_asd,MATCH(AP229,sheath_mark,0),0)*AK229,0)</f>
        <v>0</v>
      </c>
      <c r="AN229" cm="1">
        <f t="array" ref="AN229">IFERROR(INDEX(hd_cap,MATCH(AQ229,hd_mark,0),0),0)</f>
        <v>0</v>
      </c>
      <c r="AP229" s="19"/>
      <c r="AQ229" s="19"/>
      <c r="AR229" s="100"/>
      <c r="AS229" s="93"/>
      <c r="AT229" s="109"/>
      <c r="AU229" t="str">
        <f>$Q$153</f>
        <v>Roof</v>
      </c>
      <c r="AV229">
        <f>$E$25</f>
        <v>33.171875</v>
      </c>
      <c r="AW229" cm="1">
        <f t="array" ref="AW229">IFERROR(IF(AV229=0,0,(INDEX($C$33:$C$38,MATCH($AZ$166,$B$33:$B$38,0),0)*(AV229+$BA$166)+$AY$166*$C$31)*$AU$166),0)</f>
        <v>0</v>
      </c>
      <c r="AX229">
        <f>IF(AV229=0,0,-$AY$166*$C$31*$H$27*$AU$166)</f>
        <v>0</v>
      </c>
      <c r="AY229">
        <f>IF(AV229=0,0,$AY$166*$H$26*$AU$166)</f>
        <v>0</v>
      </c>
      <c r="AZ229">
        <f>(0.6*AW229+0.7*AX229)*$AU$166/2</f>
        <v>0</v>
      </c>
      <c r="BA229">
        <f>AW229*$AU$166/2</f>
        <v>0</v>
      </c>
      <c r="BC229">
        <f>IF(AV229=0,0,$BG$166*$AP$153)</f>
        <v>0</v>
      </c>
      <c r="BD229">
        <f>IFERROR(BC229/$AU$166,0)</f>
        <v>0</v>
      </c>
      <c r="BE229">
        <f>BC229*($F$25+($C$16+$C$17+IF($C$13="single",1.5,3)+3)/12)</f>
        <v>0</v>
      </c>
      <c r="BF229">
        <f>BE229-AZ229</f>
        <v>0</v>
      </c>
      <c r="BG229" cm="1">
        <f t="array" ref="BG229">IFERROR(IF(BF229&lt;0,0,BF229/($AU$166-INDEX(hd_off,MATCH(BT229,hd_mark,0),0)/12)),0)</f>
        <v>0</v>
      </c>
      <c r="BH229">
        <f>IF(AV229=0,0,$BG$166*$AM$153)</f>
        <v>0</v>
      </c>
      <c r="BI229">
        <f>IFERROR(BH229/$AU$166,0)</f>
        <v>0</v>
      </c>
      <c r="BJ229">
        <f>BH229*($F$25+($C$16+$C$17+IF($C$13="single",1.5,3)+3)/12)</f>
        <v>0</v>
      </c>
      <c r="BK229">
        <f>BJ229-BA229</f>
        <v>0</v>
      </c>
      <c r="BL229" cm="1">
        <f t="array" ref="BL229">IFERROR(IF(BK229&lt;0,0,BK229/($AU$166-INDEX(hd_off,MATCH(BT229,hd_mark,0),0)/12)),0)</f>
        <v>0</v>
      </c>
      <c r="BM229">
        <f>MAX($F$25,$BF$166)/$Q$180</f>
        <v>0.29920977011494249</v>
      </c>
      <c r="BN229">
        <f t="shared" si="142"/>
        <v>1</v>
      </c>
      <c r="BO229" cm="1">
        <f t="array" ref="BO229">IFERROR(INDEX(sheath_ecap_asd,MATCH(BS229,sheath_mark,0),0)*BN229,0)</f>
        <v>0</v>
      </c>
      <c r="BP229" cm="1">
        <f t="array" ref="BP229">IFERROR(INDEX(sheath_wcap_asd,MATCH(BS229,sheath_mark,0),0)*BN229,0)</f>
        <v>0</v>
      </c>
      <c r="BQ229" cm="1">
        <f t="array" ref="BQ229">IFERROR(INDEX(hd_cap,MATCH(BT229,hd_mark,0),0),0)</f>
        <v>0</v>
      </c>
      <c r="BS229" s="19"/>
      <c r="BT229" s="19"/>
      <c r="BU229" s="100"/>
    </row>
    <row r="230" x14ac:dyDescent="0.25">
      <c r="P230" s="93"/>
      <c r="AR230" s="100"/>
      <c r="AS230" s="93"/>
      <c r="BU230" s="100"/>
    </row>
    <row r="231" x14ac:dyDescent="0.25">
      <c r="P231" s="93"/>
      <c r="Q231" s="110" t="str">
        <f>$Q$167</f>
        <v>A.10</v>
      </c>
      <c r="R231" t="str">
        <f>$Q$149</f>
        <v>L2</v>
      </c>
      <c r="S231">
        <f>$E$21</f>
        <v>10.6875</v>
      </c>
      <c r="T231" cm="1">
        <f t="array" ref="T231">IFERROR(IF(S231=0,0,(INDEX($C$33:$C$38,MATCH($W$167,$B$33:$B$38,0),0)*(S235+$X$167)+$T$167*COUNTIF(S231:S234,"&gt;0")*$C$32+$V$167*$C$31)*$R$167),0)</f>
        <v>0</v>
      </c>
      <c r="U231">
        <f>IF(S231=0,0,-(COUNTIF(S231:S234,"&gt;0")*$T$167*$C$32+$V$167*$C$31)*$H$27*$R$167)</f>
        <v>0</v>
      </c>
      <c r="V231">
        <f>IF(S231=0,0,$V$167*$H$26*$R$167)</f>
        <v>0</v>
      </c>
      <c r="W231">
        <f>(0.6*T231+0.7*U231)*$R$167/2</f>
        <v>0</v>
      </c>
      <c r="X231">
        <f>(0.6*T231+0.6*V231)*$R$167/2</f>
        <v>0</v>
      </c>
      <c r="Z231">
        <f>IF(S231=0,0,$AD$167*$AP$149)</f>
        <v>0</v>
      </c>
      <c r="AA231">
        <f>IFERROR(Z231/$R$167,0)</f>
        <v>0</v>
      </c>
      <c r="AB231">
        <f>Z231*($F$21+IF($F$21=0,0,($C$14+$C$15+IF($C$13="single",1.5,3)+3)/12))</f>
        <v>0</v>
      </c>
      <c r="AC231">
        <f>AB231-W231</f>
        <v>0</v>
      </c>
      <c r="AD231" cm="1">
        <f t="array" ref="AD231">IFERROR(IF(AC231&lt;0,0,AC231/($R$167-INDEX(hd_off,MATCH(AQ231,hd_mark,0),0)/12)),0)</f>
        <v>0</v>
      </c>
      <c r="AE231">
        <f>IF(S231=0,0,$AD$167*$AM$149)</f>
        <v>0</v>
      </c>
      <c r="AF231">
        <f>IFERROR(AE231/$R$167,0)</f>
        <v>0</v>
      </c>
      <c r="AG231">
        <f>AE231*($F$21+IF($F$21=0,0,($C$14+$C$15+IF($C$13="single",1.5,3)+3)/12))</f>
        <v>0</v>
      </c>
      <c r="AH231">
        <f>AG231-X231</f>
        <v>0</v>
      </c>
      <c r="AI231" cm="1">
        <f t="array" ref="AI231">IFERROR(IF(AH231&lt;0,0,AH231/($R$167-INDEX(hd_off,MATCH(AQ231,hd_mark,0),0)/12)),0)</f>
        <v>0</v>
      </c>
      <c r="AJ231">
        <f>MAX($F$21,$Y$167)/$Q$180</f>
        <v>0.30172413793103448</v>
      </c>
      <c r="AK231">
        <f>IF(AJ231=0,0,IF(AJ231&gt;2,1.25-0.125*AJ231,1))</f>
        <v>1</v>
      </c>
      <c r="AL231" cm="1">
        <f t="array" ref="AL231">IFERROR(INDEX(sheath_ecap_asd,MATCH(AP231,sheath_mark,0),0)*AK231,0)</f>
        <v>0</v>
      </c>
      <c r="AM231" cm="1">
        <f t="array" ref="AM231">IFERROR(INDEX(sheath_wcap_asd,MATCH(AP231,sheath_mark,0),0)*AK231,0)</f>
        <v>0</v>
      </c>
      <c r="AN231" cm="1">
        <f t="array" ref="AN231">IFERROR(INDEX(hd_cap,MATCH(AQ231,hd_mark,0),0),0)</f>
        <v>0</v>
      </c>
      <c r="AP231" s="19"/>
      <c r="AQ231" s="19"/>
      <c r="AR231" s="100"/>
      <c r="AS231" s="93"/>
      <c r="AT231" s="110" t="str">
        <f>$AT$167</f>
        <v>1.10</v>
      </c>
      <c r="AU231" t="str">
        <f>$Q$149</f>
        <v>L2</v>
      </c>
      <c r="AV231">
        <f>$E$21</f>
        <v>10.6875</v>
      </c>
      <c r="AW231" cm="1">
        <f t="array" ref="AW231">IFERROR(IF(AV231=0,0,(INDEX($C$33:$C$38,MATCH($AZ$167,$B$33:$B$38,0),0)*(AV235+$BA$167)+$AW$167*COUNTIF(AV231:AV234,"&gt;0")*$C$32+$AY$167*$C$31)*$AU$167),0)</f>
        <v>0</v>
      </c>
      <c r="AX231">
        <f>IF(AV231=0,0,-(COUNTIF(AV231:AV234,"&gt;0")*$AW$167*$C$32+$AY$167*$C$31)*$H$27*$AU$167)</f>
        <v>0</v>
      </c>
      <c r="AY231">
        <f>IF(AV231=0,0,$AY$167*$H$26*$AU$167)</f>
        <v>0</v>
      </c>
      <c r="AZ231">
        <f>(0.6*AW231+0.7*AX231)*$AU$167/2</f>
        <v>0</v>
      </c>
      <c r="BA231">
        <f>(0.6*AW231+0.6*AY231)*$AU$167/2</f>
        <v>0</v>
      </c>
      <c r="BC231">
        <f>IF(AV231=0,0,$BG$167*$AP$149)</f>
        <v>0</v>
      </c>
      <c r="BD231">
        <f>IFERROR(BC231/$AU$167,0)</f>
        <v>0</v>
      </c>
      <c r="BE231">
        <f>BC231*($F$21+IF($F$21=0,0,($C$14+$C$15+IF($C$13="single",1.5,3)+3)/12))</f>
        <v>0</v>
      </c>
      <c r="BF231">
        <f>BE231-AZ231</f>
        <v>0</v>
      </c>
      <c r="BG231" cm="1">
        <f t="array" ref="BG231">IFERROR(IF(BF231&lt;0,0,BF231/($AU$167-INDEX(hd_off,MATCH(BT231,hd_mark,0),0)/12)),0)</f>
        <v>0</v>
      </c>
      <c r="BH231">
        <f>IF(AV231=0,0,$BG$167*$AM$149)</f>
        <v>0</v>
      </c>
      <c r="BI231">
        <f>IFERROR(BH231/$AU$167,0)</f>
        <v>0</v>
      </c>
      <c r="BJ231">
        <f>BH231*($F$21+IF($F$21=0,0,($C$14+$C$15+IF($C$13="single",1.5,3)+3)/12))</f>
        <v>0</v>
      </c>
      <c r="BK231">
        <f>BJ231-BA231</f>
        <v>0</v>
      </c>
      <c r="BL231" cm="1">
        <f t="array" ref="BL231">IFERROR(IF(BK231&lt;0,0,BK231/($AU$167-INDEX(hd_off,MATCH(BT231,hd_mark,0),0)/12)),0)</f>
        <v>0</v>
      </c>
      <c r="BM231">
        <f>MAX($F$21,$BB$167)/$Q$180</f>
        <v>0.30172413793103448</v>
      </c>
      <c r="BN231">
        <f>IF(BM231=0,0,IF(BM231&gt;2,1.25-0.125*BM231,1))</f>
        <v>1</v>
      </c>
      <c r="BO231" cm="1">
        <f t="array" ref="BO231">IFERROR(INDEX(sheath_ecap_asd,MATCH(BS231,sheath_mark,0),0)*BN231,0)</f>
        <v>0</v>
      </c>
      <c r="BP231" cm="1">
        <f t="array" ref="BP231">IFERROR(INDEX(sheath_wcap_asd,MATCH(BS231,sheath_mark,0),0)*BN231,0)</f>
        <v>0</v>
      </c>
      <c r="BQ231" cm="1">
        <f t="array" ref="BQ231">IFERROR(INDEX(hd_cap,MATCH(BT231,hd_mark,0),0),0)</f>
        <v>0</v>
      </c>
      <c r="BS231" s="19"/>
      <c r="BT231" s="19"/>
      <c r="BU231" s="100"/>
    </row>
    <row r="232" x14ac:dyDescent="0.25">
      <c r="P232" s="93"/>
      <c r="Q232" s="109"/>
      <c r="R232" t="str">
        <f>$Q$150</f>
        <v>L3</v>
      </c>
      <c r="S232">
        <f>$E$22</f>
        <v>21.375</v>
      </c>
      <c r="T232" cm="1">
        <f t="array" ref="T232">IFERROR(IF(S232=0,0,(INDEX($C$33:$C$38,MATCH($W$167,$B$33:$B$38,0),0)*(S235+$X$167)+$T$167*COUNTIF(S232:S234,"&gt;0")*$C$32+$V$167*$C$31)*$R$167),0)</f>
        <v>0</v>
      </c>
      <c r="U232">
        <f>IF(S232=0,0,-(COUNTIF(S232:S234,"&gt;0")*$T$167*$C$32+$V$167*$C$31)*$H$27*$R$167)</f>
        <v>0</v>
      </c>
      <c r="V232">
        <f>IF(S232=0,0,$V$167*$H$26*$R$167)</f>
        <v>0</v>
      </c>
      <c r="W232">
        <f>(0.6*T232+0.7*U232)*$R$167/2</f>
        <v>0</v>
      </c>
      <c r="X232">
        <f>T232*$R$167/2</f>
        <v>0</v>
      </c>
      <c r="Z232">
        <f>IF(S232=0,0,$AD$167*$AP$150)</f>
        <v>0</v>
      </c>
      <c r="AA232">
        <f>IFERROR(Z232/$R$167,0)</f>
        <v>0</v>
      </c>
      <c r="AB232">
        <f>Z232*($F$22+IF($F$22=0,0,($C$14+$C$15+IF($C$13="single",1.5,3)+3)/12))</f>
        <v>0</v>
      </c>
      <c r="AC232">
        <f>AB232-W232</f>
        <v>0</v>
      </c>
      <c r="AD232" cm="1">
        <f t="array" ref="AD232">IFERROR(IF(AC232&lt;0,0,AC232/($R$167-INDEX(hd_off,MATCH(AQ232,hd_mark,0),0)/12)),0)</f>
        <v>0</v>
      </c>
      <c r="AE232">
        <f>IF(S232=0,0,$AD$167*$AM$150)</f>
        <v>0</v>
      </c>
      <c r="AF232">
        <f>IFERROR(AE232/$R$167,0)</f>
        <v>0</v>
      </c>
      <c r="AG232">
        <f>AE232*($F$22+IF($F$22=0,0,($C$14+$C$15+IF($C$13="single",1.5,3)+3)/12))</f>
        <v>0</v>
      </c>
      <c r="AH232">
        <f>AG232-X232</f>
        <v>0</v>
      </c>
      <c r="AI232" cm="1">
        <f t="array" ref="AI232">IFERROR(IF(AH232&lt;0,0,AH232/($R$167-INDEX(hd_off,MATCH(AQ232,hd_mark,0),0)/12)),0)</f>
        <v>0</v>
      </c>
      <c r="AJ232">
        <f>MAX($F$22,$Z$167)/$Q$180</f>
        <v>0.30172413793103448</v>
      </c>
      <c r="AK232">
        <f t="shared" ref="AK232:AK235" si="143">IF(AJ232=0,0,IF(AJ232&gt;2,1.25-0.125*AJ232,1))</f>
        <v>1</v>
      </c>
      <c r="AL232" cm="1">
        <f t="array" ref="AL232">IFERROR(INDEX(sheath_ecap_asd,MATCH(AP232,sheath_mark,0),0)*AK232,0)</f>
        <v>0</v>
      </c>
      <c r="AM232" cm="1">
        <f t="array" ref="AM232">IFERROR(INDEX(sheath_wcap_asd,MATCH(AP232,sheath_mark,0),0)*AK232,0)</f>
        <v>0</v>
      </c>
      <c r="AN232" cm="1">
        <f t="array" ref="AN232">IFERROR(INDEX(hd_cap,MATCH(AQ232,hd_mark,0),0),0)</f>
        <v>0</v>
      </c>
      <c r="AP232" s="19"/>
      <c r="AQ232" s="19"/>
      <c r="AR232" s="100"/>
      <c r="AS232" s="93"/>
      <c r="AT232" s="109"/>
      <c r="AU232" t="str">
        <f>$Q$150</f>
        <v>L3</v>
      </c>
      <c r="AV232">
        <f>$E$22</f>
        <v>21.375</v>
      </c>
      <c r="AW232" cm="1">
        <f t="array" ref="AW232">IFERROR(IF(AV232=0,0,(INDEX($C$33:$C$38,MATCH($AZ$167,$B$33:$B$38,0),0)*(AV235+$BA$167)+$AW$167*COUNTIF(AV232:AV234,"&gt;0")*$C$32+$AY$167*$C$31)*$AU$167),0)</f>
        <v>0</v>
      </c>
      <c r="AX232">
        <f>IF(AV232=0,0,-(COUNTIF(AV232:AV234,"&gt;0")*$AW$167*$C$32+$AY$167*$C$31)*$H$27*$AU$167)</f>
        <v>0</v>
      </c>
      <c r="AY232">
        <f>IF(AV232=0,0,$AY$167*$H$26*$AU$167)</f>
        <v>0</v>
      </c>
      <c r="AZ232">
        <f>(0.6*AW232+0.7*AX232)*$AU$167/2</f>
        <v>0</v>
      </c>
      <c r="BA232">
        <f>AW232*$AU$167/2</f>
        <v>0</v>
      </c>
      <c r="BC232">
        <f>IF(AV232=0,0,$BG$167*$AP$150)</f>
        <v>0</v>
      </c>
      <c r="BD232">
        <f>IFERROR(BC232/$AU$167,0)</f>
        <v>0</v>
      </c>
      <c r="BE232">
        <f>BC232*($F$22+IF($F$22=0,0,($C$14+$C$15+IF($C$13="single",1.5,3)+3)/12))</f>
        <v>0</v>
      </c>
      <c r="BF232">
        <f>BE232-AZ232</f>
        <v>0</v>
      </c>
      <c r="BG232" cm="1">
        <f t="array" ref="BG232">IFERROR(IF(BF232&lt;0,0,BF232/($AU$167-INDEX(hd_off,MATCH(BT232,hd_mark,0),0)/12)),0)</f>
        <v>0</v>
      </c>
      <c r="BH232">
        <f>IF(AV232=0,0,$BG$167*$AM$150)</f>
        <v>0</v>
      </c>
      <c r="BI232">
        <f>IFERROR(BH232/$AU$167,0)</f>
        <v>0</v>
      </c>
      <c r="BJ232">
        <f>BH232*($F$22+IF($F$22=0,0,($C$14+$C$15+IF($C$13="single",1.5,3)+3)/12))</f>
        <v>0</v>
      </c>
      <c r="BK232">
        <f>BJ232-BA232</f>
        <v>0</v>
      </c>
      <c r="BL232" cm="1">
        <f t="array" ref="BL232">IFERROR(IF(BK232&lt;0,0,BK232/($AU$167-INDEX(hd_off,MATCH(BT232,hd_mark,0),0)/12)),0)</f>
        <v>0</v>
      </c>
      <c r="BM232">
        <f>MAX($F$22,$BC$167)/$Q$180</f>
        <v>0.30172413793103448</v>
      </c>
      <c r="BN232">
        <f t="shared" ref="BN232:BN235" si="144">IF(BM232=0,0,IF(BM232&gt;2,1.25-0.125*BM232,1))</f>
        <v>1</v>
      </c>
      <c r="BO232" cm="1">
        <f t="array" ref="BO232">IFERROR(INDEX(sheath_ecap_asd,MATCH(BS232,sheath_mark,0),0)*BN232,0)</f>
        <v>0</v>
      </c>
      <c r="BP232" cm="1">
        <f t="array" ref="BP232">IFERROR(INDEX(sheath_wcap_asd,MATCH(BS232,sheath_mark,0),0)*BN232,0)</f>
        <v>0</v>
      </c>
      <c r="BQ232" cm="1">
        <f t="array" ref="BQ232">IFERROR(INDEX(hd_cap,MATCH(BT232,hd_mark,0),0),0)</f>
        <v>0</v>
      </c>
      <c r="BS232" s="19"/>
      <c r="BT232" s="19"/>
      <c r="BU232" s="100"/>
    </row>
    <row r="233" x14ac:dyDescent="0.25">
      <c r="P233" s="93"/>
      <c r="Q233" s="109" t="s">
        <v>491</v>
      </c>
      <c r="R233" t="str">
        <f>$Q$151</f>
        <v>L4</v>
      </c>
      <c r="S233">
        <f>$E$23</f>
        <v>0</v>
      </c>
      <c r="T233" cm="1">
        <f t="array" ref="T233">IFERROR(IF(S233=0,0,(INDEX($C$33:$C$38,MATCH($W$167,$B$33:$B$38,0),0)*(S235+$X$167)+$T$167*COUNTIF(S233:S234,"&gt;0")*$C$32+$V$167*$C$31)*$R$167),0)</f>
        <v>0</v>
      </c>
      <c r="U233">
        <f>IF(S233=0,0,-(COUNTIF(S233:S234,"&gt;0")*$T$167*$C$32+$V$167*$C$31)*$H$27*$R$167)</f>
        <v>0</v>
      </c>
      <c r="V233">
        <f>IF(S233=0,0,$V$167*$H$26*$R$167)</f>
        <v>0</v>
      </c>
      <c r="W233">
        <f>(0.6*T233+0.7*U233)*$R$167/2</f>
        <v>0</v>
      </c>
      <c r="X233">
        <f>T233*$R$167/2</f>
        <v>0</v>
      </c>
      <c r="Z233">
        <f>IF(S233=0,0,$AD$167*$AP$151)</f>
        <v>0</v>
      </c>
      <c r="AA233">
        <f>IFERROR(Z233/$R$167,0)</f>
        <v>0</v>
      </c>
      <c r="AB233">
        <f>Z233*($F$23+IF($F$23=0,0,($C$14+$C$15+IF($C$13="single",1.5,3)+3)/12))</f>
        <v>0</v>
      </c>
      <c r="AC233">
        <f>AB233-W233</f>
        <v>0</v>
      </c>
      <c r="AD233" cm="1">
        <f t="array" ref="AD233">IFERROR(IF(AC233&lt;0,0,AC233/($R$167-INDEX(hd_off,MATCH(AQ233,hd_mark,0),0)/12)),0)</f>
        <v>0</v>
      </c>
      <c r="AE233">
        <f>IF(S233=0,0,$AD$167*$AM$151)</f>
        <v>0</v>
      </c>
      <c r="AF233">
        <f>IFERROR(AE233/$R$167,0)</f>
        <v>0</v>
      </c>
      <c r="AG233">
        <f>AE233*($F$23+IF($F$23=0,0,($C$14+$C$15+IF($C$13="single",1.5,3)+3)/12))</f>
        <v>0</v>
      </c>
      <c r="AH233">
        <f>AG233-X233</f>
        <v>0</v>
      </c>
      <c r="AI233" cm="1">
        <f t="array" ref="AI233">IFERROR(IF(AH233&lt;0,0,AH233/($R$167-INDEX(hd_off,MATCH(AQ233,hd_mark,0),0)/12)),0)</f>
        <v>0</v>
      </c>
      <c r="AJ233">
        <f>MAX($F$23,$AA$167)/$Q$180</f>
        <v>0</v>
      </c>
      <c r="AK233">
        <f t="shared" si="143"/>
        <v>0</v>
      </c>
      <c r="AL233" cm="1">
        <f t="array" ref="AL233">IFERROR(INDEX(sheath_ecap_asd,MATCH(AP233,sheath_mark,0),0)*AK233,0)</f>
        <v>0</v>
      </c>
      <c r="AM233" cm="1">
        <f t="array" ref="AM233">IFERROR(INDEX(sheath_wcap_asd,MATCH(AP233,sheath_mark,0),0)*AK233,0)</f>
        <v>0</v>
      </c>
      <c r="AN233" cm="1">
        <f t="array" ref="AN233">IFERROR(INDEX(hd_cap,MATCH(AQ233,hd_mark,0),0),0)</f>
        <v>0</v>
      </c>
      <c r="AP233" s="19"/>
      <c r="AQ233" s="19"/>
      <c r="AR233" s="100"/>
      <c r="AS233" s="93"/>
      <c r="AT233" s="109" t="s">
        <v>491</v>
      </c>
      <c r="AU233" t="str">
        <f>$Q$151</f>
        <v>L4</v>
      </c>
      <c r="AV233">
        <f>$E$23</f>
        <v>0</v>
      </c>
      <c r="AW233" cm="1">
        <f t="array" ref="AW233">IFERROR(IF(AV233=0,0,(INDEX($C$33:$C$38,MATCH($AZ$167,$B$33:$B$38,0),0)*(AV235+$BA$167)+$AW$167*COUNTIF(AV233:AV234,"&gt;0")*$C$32+$AY$167*$C$31)*$AU$167),0)</f>
        <v>0</v>
      </c>
      <c r="AX233">
        <f>IF(AV233=0,0,-(COUNTIF(AV233:AV234,"&gt;0")*$AW$167*$C$32+$AY$167*$C$31)*$H$27*$AU$167)</f>
        <v>0</v>
      </c>
      <c r="AY233">
        <f>IF(AV233=0,0,$AY$167*$H$26*$AU$167)</f>
        <v>0</v>
      </c>
      <c r="AZ233">
        <f>(0.6*AW233+0.7*AX233)*$AU$167/2</f>
        <v>0</v>
      </c>
      <c r="BA233">
        <f>AW233*$AU$167/2</f>
        <v>0</v>
      </c>
      <c r="BC233">
        <f>IF(AV233=0,0,$BG$167*$AP$151)</f>
        <v>0</v>
      </c>
      <c r="BD233">
        <f>IFERROR(BC233/$AU$167,0)</f>
        <v>0</v>
      </c>
      <c r="BE233">
        <f>BC233*($F$23+IF($F$23=0,0,($C$14+$C$15+IF($C$13="single",1.5,3)+3)/12))</f>
        <v>0</v>
      </c>
      <c r="BF233">
        <f>BE233-AZ233</f>
        <v>0</v>
      </c>
      <c r="BG233" cm="1">
        <f t="array" ref="BG233">IFERROR(IF(BF233&lt;0,0,BF233/($AU$167-INDEX(hd_off,MATCH(BT233,hd_mark,0),0)/12)),0)</f>
        <v>0</v>
      </c>
      <c r="BH233">
        <f>IF(AV233=0,0,$BG$167*$AM$151)</f>
        <v>0</v>
      </c>
      <c r="BI233">
        <f>IFERROR(BH233/$AU$167,0)</f>
        <v>0</v>
      </c>
      <c r="BJ233">
        <f>BH233*($F$23+IF($F$23=0,0,($C$14+$C$15+IF($C$13="single",1.5,3)+3)/12))</f>
        <v>0</v>
      </c>
      <c r="BK233">
        <f>BJ233-BA233</f>
        <v>0</v>
      </c>
      <c r="BL233" cm="1">
        <f t="array" ref="BL233">IFERROR(IF(BK233&lt;0,0,BK233/($AU$167-INDEX(hd_off,MATCH(BT233,hd_mark,0),0)/12)),0)</f>
        <v>0</v>
      </c>
      <c r="BM233">
        <f>MAX($F$23,$BD$167)/$Q$180</f>
        <v>0</v>
      </c>
      <c r="BN233">
        <f t="shared" si="144"/>
        <v>0</v>
      </c>
      <c r="BO233" cm="1">
        <f t="array" ref="BO233">IFERROR(INDEX(sheath_ecap_asd,MATCH(BS233,sheath_mark,0),0)*BN233,0)</f>
        <v>0</v>
      </c>
      <c r="BP233" cm="1">
        <f t="array" ref="BP233">IFERROR(INDEX(sheath_wcap_asd,MATCH(BS233,sheath_mark,0),0)*BN233,0)</f>
        <v>0</v>
      </c>
      <c r="BQ233" cm="1">
        <f t="array" ref="BQ233">IFERROR(INDEX(hd_cap,MATCH(BT233,hd_mark,0),0),0)</f>
        <v>0</v>
      </c>
      <c r="BS233" s="19"/>
      <c r="BT233" s="19"/>
      <c r="BU233" s="100"/>
    </row>
    <row r="234" x14ac:dyDescent="0.25">
      <c r="P234" s="93"/>
      <c r="Q234" s="111">
        <f>$R$167</f>
        <v>0</v>
      </c>
      <c r="R234" t="str">
        <f>$Q$152</f>
        <v>L5</v>
      </c>
      <c r="S234">
        <f>$E$24</f>
        <v>0</v>
      </c>
      <c r="T234" cm="1">
        <f t="array" ref="T234">IFERROR(IF(S234=0,0,(INDEX($C$33:$C$38,MATCH($W$167,$B$33:$B$38,0),0)*(S235+$X$167)+$T$167*COUNTIF(S234:S234,"&gt;0")*$C$32+$V$167*$C$31)*$R$167),0)</f>
        <v>0</v>
      </c>
      <c r="U234">
        <f>IF(S234=0,0,-(COUNTIF(S234:S234,"&gt;0")*$T$167*$C$32+$V$167*$C$31)*$H$27*$R$167)</f>
        <v>0</v>
      </c>
      <c r="V234">
        <f>IF(S234=0,0,$V$167*$H$26*$R$167)</f>
        <v>0</v>
      </c>
      <c r="W234">
        <f>(0.6*T234+0.7*U234)*$R$167/2</f>
        <v>0</v>
      </c>
      <c r="X234">
        <f>T234*$R$167/2</f>
        <v>0</v>
      </c>
      <c r="Z234">
        <f>IF(S234=0,0,$AD$167*$AP$152)</f>
        <v>0</v>
      </c>
      <c r="AA234">
        <f>IFERROR(Z234/$R$167,0)</f>
        <v>0</v>
      </c>
      <c r="AB234">
        <f>Z234*($F$24+IF($F$24=0,0,($C$14+$C$15+IF($C$13="single",1.5,3)+3)/12))</f>
        <v>0</v>
      </c>
      <c r="AC234">
        <f>AB234-W234</f>
        <v>0</v>
      </c>
      <c r="AD234" cm="1">
        <f t="array" ref="AD234">IFERROR(IF(AC234&lt;0,0,AC234/($R$167-INDEX(hd_off,MATCH(AQ234,hd_mark,0),0)/12)),0)</f>
        <v>0</v>
      </c>
      <c r="AE234">
        <f>IF(S234=0,0,$AD$167*$AM$152)</f>
        <v>0</v>
      </c>
      <c r="AF234">
        <f>IFERROR(AE234/$R$167,0)</f>
        <v>0</v>
      </c>
      <c r="AG234">
        <f>AE234*($F$24+IF($F$24=0,0,($C$14+$C$15+IF($C$13="single",1.5,3)+3)/12))</f>
        <v>0</v>
      </c>
      <c r="AH234">
        <f>AG234-X234</f>
        <v>0</v>
      </c>
      <c r="AI234" cm="1">
        <f t="array" ref="AI234">IFERROR(IF(AH234&lt;0,0,AH234/($R$167-INDEX(hd_off,MATCH(AQ234,hd_mark,0),0)/12)),0)</f>
        <v>0</v>
      </c>
      <c r="AJ234">
        <f>MAX($F$24,$AB$167)/$Q$180</f>
        <v>0</v>
      </c>
      <c r="AK234">
        <f t="shared" si="143"/>
        <v>0</v>
      </c>
      <c r="AL234" cm="1">
        <f t="array" ref="AL234">IFERROR(INDEX(sheath_ecap_asd,MATCH(AP234,sheath_mark,0),0)*AK234,0)</f>
        <v>0</v>
      </c>
      <c r="AM234" cm="1">
        <f t="array" ref="AM234">IFERROR(INDEX(sheath_wcap_asd,MATCH(AP234,sheath_mark,0),0)*AK234,0)</f>
        <v>0</v>
      </c>
      <c r="AN234" cm="1">
        <f t="array" ref="AN234">IFERROR(INDEX(hd_cap,MATCH(AQ234,hd_mark,0),0),0)</f>
        <v>0</v>
      </c>
      <c r="AP234" s="19"/>
      <c r="AQ234" s="19"/>
      <c r="AR234" s="100"/>
      <c r="AS234" s="93"/>
      <c r="AT234" s="111">
        <f>$R$167</f>
        <v>0</v>
      </c>
      <c r="AU234" t="str">
        <f>$Q$152</f>
        <v>L5</v>
      </c>
      <c r="AV234">
        <f>$E$24</f>
        <v>0</v>
      </c>
      <c r="AW234" cm="1">
        <f t="array" ref="AW234">IFERROR(IF(AV234=0,0,(INDEX($C$33:$C$38,MATCH($AZ$167,$B$33:$B$38,0),0)*(AV235+$BA$167)+$AW$167*COUNTIF(AV234:AV234,"&gt;0")*$C$32+$AY$167*$C$31)*$AU$167),0)</f>
        <v>0</v>
      </c>
      <c r="AX234">
        <f>IF(AV234=0,0,-(COUNTIF(AV234:AV234,"&gt;0")*$AW$167*$C$32+$AY$167*$C$31)*$H$27*$AU$167)</f>
        <v>0</v>
      </c>
      <c r="AY234">
        <f>IF(AV234=0,0,$AY$167*$H$26*$AU$167)</f>
        <v>0</v>
      </c>
      <c r="AZ234">
        <f>(0.6*AW234+0.7*AX234)*$AU$167/2</f>
        <v>0</v>
      </c>
      <c r="BA234">
        <f>AW234*$AU$167/2</f>
        <v>0</v>
      </c>
      <c r="BC234">
        <f>IF(AV234=0,0,$BG$167*$AP$152)</f>
        <v>0</v>
      </c>
      <c r="BD234">
        <f>IFERROR(BC234/$AU$167,0)</f>
        <v>0</v>
      </c>
      <c r="BE234">
        <f>BC234*($F$24+IF($F$24=0,0,($C$14+$C$15+IF($C$13="single",1.5,3)+3)/12))</f>
        <v>0</v>
      </c>
      <c r="BF234">
        <f>BE234-AZ234</f>
        <v>0</v>
      </c>
      <c r="BG234" cm="1">
        <f t="array" ref="BG234">IFERROR(IF(BF234&lt;0,0,BF234/($AU$167-INDEX(hd_off,MATCH(BT234,hd_mark,0),0)/12)),0)</f>
        <v>0</v>
      </c>
      <c r="BH234">
        <f>IF(AV234=0,0,$BG$167*$AM$152)</f>
        <v>0</v>
      </c>
      <c r="BI234">
        <f>IFERROR(BH234/$AU$167,0)</f>
        <v>0</v>
      </c>
      <c r="BJ234">
        <f>BH234*($F$24+IF($F$24=0,0,($C$14+$C$15+IF($C$13="single",1.5,3)+3)/12))</f>
        <v>0</v>
      </c>
      <c r="BK234">
        <f>BJ234-BA234</f>
        <v>0</v>
      </c>
      <c r="BL234" cm="1">
        <f t="array" ref="BL234">IFERROR(IF(BK234&lt;0,0,BK234/($AU$167-INDEX(hd_off,MATCH(BT234,hd_mark,0),0)/12)),0)</f>
        <v>0</v>
      </c>
      <c r="BM234">
        <f>MAX($F$24,$BE$167)/$Q$180</f>
        <v>0</v>
      </c>
      <c r="BN234">
        <f t="shared" si="144"/>
        <v>0</v>
      </c>
      <c r="BO234" cm="1">
        <f t="array" ref="BO234">IFERROR(INDEX(sheath_ecap_asd,MATCH(BS234,sheath_mark,0),0)*BN234,0)</f>
        <v>0</v>
      </c>
      <c r="BP234" cm="1">
        <f t="array" ref="BP234">IFERROR(INDEX(sheath_wcap_asd,MATCH(BS234,sheath_mark,0),0)*BN234,0)</f>
        <v>0</v>
      </c>
      <c r="BQ234" cm="1">
        <f t="array" ref="BQ234">IFERROR(INDEX(hd_cap,MATCH(BT234,hd_mark,0),0),0)</f>
        <v>0</v>
      </c>
      <c r="BS234" s="19"/>
      <c r="BT234" s="19"/>
      <c r="BU234" s="100"/>
    </row>
    <row r="235" x14ac:dyDescent="0.25">
      <c r="P235" s="93"/>
      <c r="Q235" s="109"/>
      <c r="R235" t="str">
        <f>$Q$153</f>
        <v>Roof</v>
      </c>
      <c r="S235">
        <f>$E$25</f>
        <v>33.171875</v>
      </c>
      <c r="T235" cm="1">
        <f t="array" ref="T235">IFERROR(IF(S235=0,0,(INDEX($C$33:$C$38,MATCH($W$167,$B$33:$B$38,0),0)*(S235+$X$167)+$V$167*$C$31)*$R$167),0)</f>
        <v>0</v>
      </c>
      <c r="U235">
        <f>IF(S235=0,0,-$V$167*$C$31*$H$27*$R$167)</f>
        <v>0</v>
      </c>
      <c r="V235">
        <f>IF(S235=0,0,$V$167*$H$26*$R$167)</f>
        <v>0</v>
      </c>
      <c r="W235">
        <f>(0.6*T235+0.7*U235)*$R$167/2</f>
        <v>0</v>
      </c>
      <c r="X235">
        <f>T235*$R$167/2</f>
        <v>0</v>
      </c>
      <c r="Z235">
        <f>IF(S235=0,0,$AD$167*$AP$153)</f>
        <v>0</v>
      </c>
      <c r="AA235">
        <f>IFERROR(Z235/$R$167,0)</f>
        <v>0</v>
      </c>
      <c r="AB235">
        <f>Z235*($F$25+($C$16+$C$17+IF($C$13="single",1.5,3)+3)/12)</f>
        <v>0</v>
      </c>
      <c r="AC235">
        <f>AB235-W235</f>
        <v>0</v>
      </c>
      <c r="AD235" cm="1">
        <f t="array" ref="AD235">IFERROR(IF(AC235&lt;0,0,AC235/($R$167-INDEX(hd_off,MATCH(AQ235,hd_mark,0),0)/12)),0)</f>
        <v>0</v>
      </c>
      <c r="AE235">
        <f>IF(S235=0,0,$AD$167*$AM$153)</f>
        <v>0</v>
      </c>
      <c r="AF235">
        <f>IFERROR(AE235/$R$167,0)</f>
        <v>0</v>
      </c>
      <c r="AG235">
        <f>AE235*($F$25+($C$16+$C$17+IF($C$13="single",1.5,3)+3)/12)</f>
        <v>0</v>
      </c>
      <c r="AH235">
        <f>AG235-X235</f>
        <v>0</v>
      </c>
      <c r="AI235" cm="1">
        <f t="array" ref="AI235">IFERROR(IF(AH235&lt;0,0,AH235/($R$167-INDEX(hd_off,MATCH(AQ235,hd_mark,0),0)/12)),0)</f>
        <v>0</v>
      </c>
      <c r="AJ235">
        <f>MAX($F$25,$AC$167)/$Q$180</f>
        <v>0.29920977011494249</v>
      </c>
      <c r="AK235">
        <f t="shared" si="143"/>
        <v>1</v>
      </c>
      <c r="AL235" cm="1">
        <f t="array" ref="AL235">IFERROR(INDEX(sheath_ecap_asd,MATCH(AP235,sheath_mark,0),0)*AK235,0)</f>
        <v>0</v>
      </c>
      <c r="AM235" cm="1">
        <f t="array" ref="AM235">IFERROR(INDEX(sheath_wcap_asd,MATCH(AP235,sheath_mark,0),0)*AK235,0)</f>
        <v>0</v>
      </c>
      <c r="AN235" cm="1">
        <f t="array" ref="AN235">IFERROR(INDEX(hd_cap,MATCH(AQ235,hd_mark,0),0),0)</f>
        <v>0</v>
      </c>
      <c r="AP235" s="19"/>
      <c r="AQ235" s="19"/>
      <c r="AR235" s="100"/>
      <c r="AS235" s="93"/>
      <c r="AT235" s="109"/>
      <c r="AU235" t="str">
        <f>$Q$153</f>
        <v>Roof</v>
      </c>
      <c r="AV235">
        <f>$E$25</f>
        <v>33.171875</v>
      </c>
      <c r="AW235" cm="1">
        <f t="array" ref="AW235">IFERROR(IF(AV235=0,0,(INDEX($C$33:$C$38,MATCH($AZ$167,$B$33:$B$38,0),0)*(AV235+$BA$167)+$AY$167*$C$31)*$AU$167),0)</f>
        <v>0</v>
      </c>
      <c r="AX235">
        <f>IF(AV235=0,0,-$AY$167*$C$31*$H$27*$AU$167)</f>
        <v>0</v>
      </c>
      <c r="AY235">
        <f>IF(AV235=0,0,$AY$167*$H$26*$AU$167)</f>
        <v>0</v>
      </c>
      <c r="AZ235">
        <f>(0.6*AW235+0.7*AX235)*$AU$167/2</f>
        <v>0</v>
      </c>
      <c r="BA235">
        <f>AW235*$AU$167/2</f>
        <v>0</v>
      </c>
      <c r="BC235">
        <f>IF(AV235=0,0,$BG$167*$AP$153)</f>
        <v>0</v>
      </c>
      <c r="BD235">
        <f>IFERROR(BC235/$AU$167,0)</f>
        <v>0</v>
      </c>
      <c r="BE235">
        <f>BC235*($F$25+($C$16+$C$17+IF($C$13="single",1.5,3)+3)/12)</f>
        <v>0</v>
      </c>
      <c r="BF235">
        <f>BE235-AZ235</f>
        <v>0</v>
      </c>
      <c r="BG235" cm="1">
        <f t="array" ref="BG235">IFERROR(IF(BF235&lt;0,0,BF235/($AU$167-INDEX(hd_off,MATCH(BT235,hd_mark,0),0)/12)),0)</f>
        <v>0</v>
      </c>
      <c r="BH235">
        <f>IF(AV235=0,0,$BG$167*$AM$153)</f>
        <v>0</v>
      </c>
      <c r="BI235">
        <f>IFERROR(BH235/$AU$167,0)</f>
        <v>0</v>
      </c>
      <c r="BJ235">
        <f>BH235*($F$25+($C$16+$C$17+IF($C$13="single",1.5,3)+3)/12)</f>
        <v>0</v>
      </c>
      <c r="BK235">
        <f>BJ235-BA235</f>
        <v>0</v>
      </c>
      <c r="BL235" cm="1">
        <f t="array" ref="BL235">IFERROR(IF(BK235&lt;0,0,BK235/($AU$167-INDEX(hd_off,MATCH(BT235,hd_mark,0),0)/12)),0)</f>
        <v>0</v>
      </c>
      <c r="BM235">
        <f>MAX($F$25,$BF$167)/$Q$180</f>
        <v>0.29920977011494249</v>
      </c>
      <c r="BN235">
        <f t="shared" si="144"/>
        <v>1</v>
      </c>
      <c r="BO235" cm="1">
        <f t="array" ref="BO235">IFERROR(INDEX(sheath_ecap_asd,MATCH(BS235,sheath_mark,0),0)*BN235,0)</f>
        <v>0</v>
      </c>
      <c r="BP235" cm="1">
        <f t="array" ref="BP235">IFERROR(INDEX(sheath_wcap_asd,MATCH(BS235,sheath_mark,0),0)*BN235,0)</f>
        <v>0</v>
      </c>
      <c r="BQ235" cm="1">
        <f t="array" ref="BQ235">IFERROR(INDEX(hd_cap,MATCH(BT235,hd_mark,0),0),0)</f>
        <v>0</v>
      </c>
      <c r="BS235" s="19"/>
      <c r="BT235" s="19"/>
      <c r="BU235" s="100"/>
    </row>
    <row r="236" x14ac:dyDescent="0.25">
      <c r="P236" s="93"/>
      <c r="AR236" s="100"/>
      <c r="AS236" s="93"/>
      <c r="BU236" s="100"/>
    </row>
    <row r="237" x14ac:dyDescent="0.25">
      <c r="P237" s="93"/>
      <c r="Q237" s="110" t="str">
        <f>$Q$168</f>
        <v>A.11</v>
      </c>
      <c r="R237" t="str">
        <f>$Q$149</f>
        <v>L2</v>
      </c>
      <c r="S237">
        <f>$E$21</f>
        <v>10.6875</v>
      </c>
      <c r="T237" cm="1">
        <f t="array" ref="T237">IFERROR(IF(S237=0,0,(INDEX($C$33:$C$38,MATCH($W$168,$B$33:$B$38,0),0)*(S241+$X$168)+$T$168*COUNTIF(S237:S240,"&gt;0")*$C$32+$V$168*$C$31)*$R$168),0)</f>
        <v>0</v>
      </c>
      <c r="U237">
        <f>IF(S237=0,0,-(COUNTIF(S237:S240,"&gt;0")*$T$168*$C$32+$V$168*$C$31)*$H$27*$R$168)</f>
        <v>0</v>
      </c>
      <c r="V237">
        <f>IF(S237=0,0,$V$168*$H$26*$R$168)</f>
        <v>0</v>
      </c>
      <c r="W237">
        <f>(0.6*T237+0.7*U237)*$R$168/2</f>
        <v>0</v>
      </c>
      <c r="X237">
        <f>(0.6*T237+0.6*V237)*$R$168/2</f>
        <v>0</v>
      </c>
      <c r="Z237">
        <f>IF(S237=0,0,$AD$168*$AP$149)</f>
        <v>0</v>
      </c>
      <c r="AA237">
        <f>IFERROR(Z237/$R$168,0)</f>
        <v>0</v>
      </c>
      <c r="AB237">
        <f>Z237*($F$21+IF($F$21=0,0,($C$14+$C$15+IF($C$13="single",1.5,3)+3)/12))</f>
        <v>0</v>
      </c>
      <c r="AC237">
        <f>AB237-W237</f>
        <v>0</v>
      </c>
      <c r="AD237" cm="1">
        <f t="array" ref="AD237">IFERROR(IF(AC237&lt;0,0,AC237/($R$168-INDEX(hd_off,MATCH(AQ237,hd_mark,0),0)/12)),0)</f>
        <v>0</v>
      </c>
      <c r="AE237">
        <f>IF(S237=0,0,$AD$168*$AM$149)</f>
        <v>0</v>
      </c>
      <c r="AF237">
        <f>IFERROR(AE237/$R$168,0)</f>
        <v>0</v>
      </c>
      <c r="AG237">
        <f>AE237*($F$21+IF($F$21=0,0,($C$14+$C$15+IF($C$13="single",1.5,3)+3)/12))</f>
        <v>0</v>
      </c>
      <c r="AH237">
        <f>AG237-X237</f>
        <v>0</v>
      </c>
      <c r="AI237" cm="1">
        <f t="array" ref="AI237">IFERROR(IF(AH237&lt;0,0,AH237/($R$168-INDEX(hd_off,MATCH(AQ237,hd_mark,0),0)/12)),0)</f>
        <v>0</v>
      </c>
      <c r="AJ237">
        <f>MAX($F$21,$Y$168)/$Q$180</f>
        <v>0.30172413793103448</v>
      </c>
      <c r="AK237">
        <f>IF(AJ237=0,0,IF(AJ237&gt;2,1.25-0.125*AJ237,1))</f>
        <v>1</v>
      </c>
      <c r="AL237" cm="1">
        <f t="array" ref="AL237">IFERROR(INDEX(sheath_ecap_asd,MATCH(AP237,sheath_mark,0),0)*AK237,0)</f>
        <v>0</v>
      </c>
      <c r="AM237" cm="1">
        <f t="array" ref="AM237">IFERROR(INDEX(sheath_wcap_asd,MATCH(AP237,sheath_mark,0),0)*AK237,0)</f>
        <v>0</v>
      </c>
      <c r="AN237" cm="1">
        <f t="array" ref="AN237">IFERROR(INDEX(hd_cap,MATCH(AQ237,hd_mark,0),0),0)</f>
        <v>0</v>
      </c>
      <c r="AP237" s="19"/>
      <c r="AQ237" s="19"/>
      <c r="AR237" s="100"/>
      <c r="AS237" s="93"/>
      <c r="AT237" s="110" t="str">
        <f>$AT$168</f>
        <v>1.11</v>
      </c>
      <c r="AU237" t="str">
        <f>$Q$149</f>
        <v>L2</v>
      </c>
      <c r="AV237">
        <f>$E$21</f>
        <v>10.6875</v>
      </c>
      <c r="AW237" cm="1">
        <f t="array" ref="AW237">IFERROR(IF(AV237=0,0,(INDEX($C$33:$C$38,MATCH($AZ$168,$B$33:$B$38,0),0)*(AV241+$BA$168)+$AW$168*COUNTIF(AV237:AV240,"&gt;0")*$C$32+$AY$168*$C$31)*$AU$168),0)</f>
        <v>0</v>
      </c>
      <c r="AX237">
        <f>IF(AV237=0,0,-(COUNTIF(AV237:AV240,"&gt;0")*$AW$168*$C$32+$AY$168*$C$31)*$H$27*$AU$168)</f>
        <v>0</v>
      </c>
      <c r="AY237">
        <f>IF(AV237=0,0,$AY$168*$H$26*$AU$168)</f>
        <v>0</v>
      </c>
      <c r="AZ237">
        <f>(0.6*AW237+0.7*AX237)*$AU$168/2</f>
        <v>0</v>
      </c>
      <c r="BA237">
        <f>(0.6*AW237+0.6*AY237)*$AU$168/2</f>
        <v>0</v>
      </c>
      <c r="BC237">
        <f>IF(AV237=0,0,$BG$168*$AP$149)</f>
        <v>0</v>
      </c>
      <c r="BD237">
        <f>IFERROR(BC237/$AU$168,0)</f>
        <v>0</v>
      </c>
      <c r="BE237">
        <f>BC237*($F$21+IF($F$21=0,0,($C$14+$C$15+IF($C$13="single",1.5,3)+3)/12))</f>
        <v>0</v>
      </c>
      <c r="BF237">
        <f>BE237-AZ237</f>
        <v>0</v>
      </c>
      <c r="BG237" cm="1">
        <f t="array" ref="BG237">IFERROR(IF(BF237&lt;0,0,BF237/($AU$168-INDEX(hd_off,MATCH(BT237,hd_mark,0),0)/12)),0)</f>
        <v>0</v>
      </c>
      <c r="BH237">
        <f>IF(AV237=0,0,$BG$168*$AM$149)</f>
        <v>0</v>
      </c>
      <c r="BI237">
        <f>IFERROR(BH237/$AU$168,0)</f>
        <v>0</v>
      </c>
      <c r="BJ237">
        <f>BH237*($F$21+IF($F$21=0,0,($C$14+$C$15+IF($C$13="single",1.5,3)+3)/12))</f>
        <v>0</v>
      </c>
      <c r="BK237">
        <f>BJ237-BA237</f>
        <v>0</v>
      </c>
      <c r="BL237" cm="1">
        <f t="array" ref="BL237">IFERROR(IF(BK237&lt;0,0,BK237/($AU$168-INDEX(hd_off,MATCH(BT237,hd_mark,0),0)/12)),0)</f>
        <v>0</v>
      </c>
      <c r="BM237">
        <f>MAX($F$21,$BB$168)/$Q$180</f>
        <v>0.30172413793103448</v>
      </c>
      <c r="BN237">
        <f>IF(BM237=0,0,IF(BM237&gt;2,1.25-0.125*BM237,1))</f>
        <v>1</v>
      </c>
      <c r="BO237" cm="1">
        <f t="array" ref="BO237">IFERROR(INDEX(sheath_ecap_asd,MATCH(BS237,sheath_mark,0),0)*BN237,0)</f>
        <v>0</v>
      </c>
      <c r="BP237" cm="1">
        <f t="array" ref="BP237">IFERROR(INDEX(sheath_wcap_asd,MATCH(BS237,sheath_mark,0),0)*BN237,0)</f>
        <v>0</v>
      </c>
      <c r="BQ237" cm="1">
        <f t="array" ref="BQ237">IFERROR(INDEX(hd_cap,MATCH(BT237,hd_mark,0),0),0)</f>
        <v>0</v>
      </c>
      <c r="BS237" s="19"/>
      <c r="BT237" s="19"/>
      <c r="BU237" s="100"/>
    </row>
    <row r="238" x14ac:dyDescent="0.25">
      <c r="P238" s="93"/>
      <c r="Q238" s="109"/>
      <c r="R238" t="str">
        <f>$Q$150</f>
        <v>L3</v>
      </c>
      <c r="S238">
        <f>$E$22</f>
        <v>21.375</v>
      </c>
      <c r="T238" cm="1">
        <f t="array" ref="T238">IFERROR(IF(S238=0,0,(INDEX($C$33:$C$38,MATCH($W$168,$B$33:$B$38,0),0)*(S241+$X$168)+$T$168*COUNTIF(S238:S240,"&gt;0")*$C$32+$V$168*$C$31)*$R$168),0)</f>
        <v>0</v>
      </c>
      <c r="U238">
        <f>IF(S238=0,0,-(COUNTIF(S238:S240,"&gt;0")*$T$168*$C$32+$V$168*$C$31)*$H$27*$R$168)</f>
        <v>0</v>
      </c>
      <c r="V238">
        <f>IF(S238=0,0,$V$168*$H$26*$R$168)</f>
        <v>0</v>
      </c>
      <c r="W238">
        <f>(0.6*T238+0.7*U238)*$R$168/2</f>
        <v>0</v>
      </c>
      <c r="X238">
        <f>T238*$R$168/2</f>
        <v>0</v>
      </c>
      <c r="Z238">
        <f>IF(S238=0,0,$AD$168*$AP$150)</f>
        <v>0</v>
      </c>
      <c r="AA238">
        <f>IFERROR(Z238/$R$168,0)</f>
        <v>0</v>
      </c>
      <c r="AB238">
        <f>Z238*($F$22+IF($F$22=0,0,($C$14+$C$15+IF($C$13="single",1.5,3)+3)/12))</f>
        <v>0</v>
      </c>
      <c r="AC238">
        <f>AB238-W238</f>
        <v>0</v>
      </c>
      <c r="AD238" cm="1">
        <f t="array" ref="AD238">IFERROR(IF(AC238&lt;0,0,AC238/($R$168-INDEX(hd_off,MATCH(AQ238,hd_mark,0),0)/12)),0)</f>
        <v>0</v>
      </c>
      <c r="AE238">
        <f>IF(S238=0,0,$AD$168*$AM$150)</f>
        <v>0</v>
      </c>
      <c r="AF238">
        <f>IFERROR(AE238/$R$168,0)</f>
        <v>0</v>
      </c>
      <c r="AG238">
        <f>AE238*($F$22+IF($F$22=0,0,($C$14+$C$15+IF($C$13="single",1.5,3)+3)/12))</f>
        <v>0</v>
      </c>
      <c r="AH238">
        <f>AG238-X238</f>
        <v>0</v>
      </c>
      <c r="AI238" cm="1">
        <f t="array" ref="AI238">IFERROR(IF(AH238&lt;0,0,AH238/($R$168-INDEX(hd_off,MATCH(AQ238,hd_mark,0),0)/12)),0)</f>
        <v>0</v>
      </c>
      <c r="AJ238">
        <f>MAX($F$22,$Z$168)/$Q$180</f>
        <v>0.30172413793103448</v>
      </c>
      <c r="AK238">
        <f t="shared" ref="AK238:AK241" si="145">IF(AJ238=0,0,IF(AJ238&gt;2,1.25-0.125*AJ238,1))</f>
        <v>1</v>
      </c>
      <c r="AL238" cm="1">
        <f t="array" ref="AL238">IFERROR(INDEX(sheath_ecap_asd,MATCH(AP238,sheath_mark,0),0)*AK238,0)</f>
        <v>0</v>
      </c>
      <c r="AM238" cm="1">
        <f t="array" ref="AM238">IFERROR(INDEX(sheath_wcap_asd,MATCH(AP238,sheath_mark,0),0)*AK238,0)</f>
        <v>0</v>
      </c>
      <c r="AN238" cm="1">
        <f t="array" ref="AN238">IFERROR(INDEX(hd_cap,MATCH(AQ238,hd_mark,0),0),0)</f>
        <v>0</v>
      </c>
      <c r="AP238" s="19"/>
      <c r="AQ238" s="19"/>
      <c r="AR238" s="100"/>
      <c r="AS238" s="93"/>
      <c r="AT238" s="109"/>
      <c r="AU238" t="str">
        <f>$Q$150</f>
        <v>L3</v>
      </c>
      <c r="AV238">
        <f>$E$22</f>
        <v>21.375</v>
      </c>
      <c r="AW238" cm="1">
        <f t="array" ref="AW238">IFERROR(IF(AV238=0,0,(INDEX($C$33:$C$38,MATCH($AZ$168,$B$33:$B$38,0),0)*(AV241+$BA$168)+$AW$168*COUNTIF(AV238:AV240,"&gt;0")*$C$32+$AY$168*$C$31)*$AU$168),0)</f>
        <v>0</v>
      </c>
      <c r="AX238">
        <f>IF(AV238=0,0,-(COUNTIF(AV238:AV240,"&gt;0")*$AW$168*$C$32+$AY$168*$C$31)*$H$27*$AU$168)</f>
        <v>0</v>
      </c>
      <c r="AY238">
        <f>IF(AV238=0,0,$AY$168*$H$26*$AU$168)</f>
        <v>0</v>
      </c>
      <c r="AZ238">
        <f>(0.6*AW238+0.7*AX238)*$AU$168/2</f>
        <v>0</v>
      </c>
      <c r="BA238">
        <f>AW238*$AU$168/2</f>
        <v>0</v>
      </c>
      <c r="BC238">
        <f>IF(AV238=0,0,$BG$168*$AP$150)</f>
        <v>0</v>
      </c>
      <c r="BD238">
        <f>IFERROR(BC238/$AU$168,0)</f>
        <v>0</v>
      </c>
      <c r="BE238">
        <f>BC238*($F$22+IF($F$22=0,0,($C$14+$C$15+IF($C$13="single",1.5,3)+3)/12))</f>
        <v>0</v>
      </c>
      <c r="BF238">
        <f>BE238-AZ238</f>
        <v>0</v>
      </c>
      <c r="BG238" cm="1">
        <f t="array" ref="BG238">IFERROR(IF(BF238&lt;0,0,BF238/($AU$168-INDEX(hd_off,MATCH(BT238,hd_mark,0),0)/12)),0)</f>
        <v>0</v>
      </c>
      <c r="BH238">
        <f>IF(AV238=0,0,$BG$168*$AM$150)</f>
        <v>0</v>
      </c>
      <c r="BI238">
        <f>IFERROR(BH238/$AU$168,0)</f>
        <v>0</v>
      </c>
      <c r="BJ238">
        <f>BH238*($F$22+IF($F$22=0,0,($C$14+$C$15+IF($C$13="single",1.5,3)+3)/12))</f>
        <v>0</v>
      </c>
      <c r="BK238">
        <f>BJ238-BA238</f>
        <v>0</v>
      </c>
      <c r="BL238" cm="1">
        <f t="array" ref="BL238">IFERROR(IF(BK238&lt;0,0,BK238/($AU$168-INDEX(hd_off,MATCH(BT238,hd_mark,0),0)/12)),0)</f>
        <v>0</v>
      </c>
      <c r="BM238">
        <f>MAX($F$22,$BC$168)/$Q$180</f>
        <v>0.30172413793103448</v>
      </c>
      <c r="BN238">
        <f t="shared" ref="BN238:BN241" si="146">IF(BM238=0,0,IF(BM238&gt;2,1.25-0.125*BM238,1))</f>
        <v>1</v>
      </c>
      <c r="BO238" cm="1">
        <f t="array" ref="BO238">IFERROR(INDEX(sheath_ecap_asd,MATCH(BS238,sheath_mark,0),0)*BN238,0)</f>
        <v>0</v>
      </c>
      <c r="BP238" cm="1">
        <f t="array" ref="BP238">IFERROR(INDEX(sheath_wcap_asd,MATCH(BS238,sheath_mark,0),0)*BN238,0)</f>
        <v>0</v>
      </c>
      <c r="BQ238" cm="1">
        <f t="array" ref="BQ238">IFERROR(INDEX(hd_cap,MATCH(BT238,hd_mark,0),0),0)</f>
        <v>0</v>
      </c>
      <c r="BS238" s="19"/>
      <c r="BT238" s="19"/>
      <c r="BU238" s="100"/>
    </row>
    <row r="239" x14ac:dyDescent="0.25">
      <c r="P239" s="93"/>
      <c r="Q239" s="109" t="s">
        <v>491</v>
      </c>
      <c r="R239" t="str">
        <f>$Q$151</f>
        <v>L4</v>
      </c>
      <c r="S239">
        <f>$E$23</f>
        <v>0</v>
      </c>
      <c r="T239" cm="1">
        <f t="array" ref="T239">IFERROR(IF(S239=0,0,(INDEX($C$33:$C$38,MATCH($W$168,$B$33:$B$38,0),0)*(S241+$X$168)+$T$168*COUNTIF(S239:S240,"&gt;0")*$C$32+$V$168*$C$31)*$R$168),0)</f>
        <v>0</v>
      </c>
      <c r="U239">
        <f>IF(S239=0,0,-(COUNTIF(S239:S240,"&gt;0")*$T$168*$C$32+$V$168*$C$31)*$H$27*$R$168)</f>
        <v>0</v>
      </c>
      <c r="V239">
        <f>IF(S239=0,0,$V$168*$H$26*$R$168)</f>
        <v>0</v>
      </c>
      <c r="W239">
        <f>(0.6*T239+0.7*U239)*$R$168/2</f>
        <v>0</v>
      </c>
      <c r="X239">
        <f>T239*$R$168/2</f>
        <v>0</v>
      </c>
      <c r="Z239">
        <f>IF(S239=0,0,$AD$168*$AP$151)</f>
        <v>0</v>
      </c>
      <c r="AA239">
        <f>IFERROR(Z239/$R$168,0)</f>
        <v>0</v>
      </c>
      <c r="AB239">
        <f>Z239*($F$23+IF($F$23=0,0,($C$14+$C$15+IF($C$13="single",1.5,3)+3)/12))</f>
        <v>0</v>
      </c>
      <c r="AC239">
        <f>AB239-W239</f>
        <v>0</v>
      </c>
      <c r="AD239" cm="1">
        <f t="array" ref="AD239">IFERROR(IF(AC239&lt;0,0,AC239/($R$168-INDEX(hd_off,MATCH(AQ239,hd_mark,0),0)/12)),0)</f>
        <v>0</v>
      </c>
      <c r="AE239">
        <f>IF(S239=0,0,$AD$168*$AM$151)</f>
        <v>0</v>
      </c>
      <c r="AF239">
        <f>IFERROR(AE239/$R$168,0)</f>
        <v>0</v>
      </c>
      <c r="AG239">
        <f>AE239*($F$23+IF($F$23=0,0,($C$14+$C$15+IF($C$13="single",1.5,3)+3)/12))</f>
        <v>0</v>
      </c>
      <c r="AH239">
        <f>AG239-X239</f>
        <v>0</v>
      </c>
      <c r="AI239" cm="1">
        <f t="array" ref="AI239">IFERROR(IF(AH239&lt;0,0,AH239/($R$168-INDEX(hd_off,MATCH(AQ239,hd_mark,0),0)/12)),0)</f>
        <v>0</v>
      </c>
      <c r="AJ239">
        <f>MAX($F$23,$AA$168)/$Q$180</f>
        <v>0</v>
      </c>
      <c r="AK239">
        <f t="shared" si="145"/>
        <v>0</v>
      </c>
      <c r="AL239" cm="1">
        <f t="array" ref="AL239">IFERROR(INDEX(sheath_ecap_asd,MATCH(AP239,sheath_mark,0),0)*AK239,0)</f>
        <v>0</v>
      </c>
      <c r="AM239" cm="1">
        <f t="array" ref="AM239">IFERROR(INDEX(sheath_wcap_asd,MATCH(AP239,sheath_mark,0),0)*AK239,0)</f>
        <v>0</v>
      </c>
      <c r="AN239" cm="1">
        <f t="array" ref="AN239">IFERROR(INDEX(hd_cap,MATCH(AQ239,hd_mark,0),0),0)</f>
        <v>0</v>
      </c>
      <c r="AP239" s="19"/>
      <c r="AQ239" s="19"/>
      <c r="AR239" s="100"/>
      <c r="AS239" s="93"/>
      <c r="AT239" s="109" t="s">
        <v>491</v>
      </c>
      <c r="AU239" t="str">
        <f>$Q$151</f>
        <v>L4</v>
      </c>
      <c r="AV239">
        <f>$E$23</f>
        <v>0</v>
      </c>
      <c r="AW239" cm="1">
        <f t="array" ref="AW239">IFERROR(IF(AV239=0,0,(INDEX($C$33:$C$38,MATCH($AZ$168,$B$33:$B$38,0),0)*(AV241+$BA$168)+$AW$168*COUNTIF(AV239:AV240,"&gt;0")*$C$32+$AY$168*$C$31)*$AU$168),0)</f>
        <v>0</v>
      </c>
      <c r="AX239">
        <f>IF(AV239=0,0,-(COUNTIF(AV239:AV240,"&gt;0")*$AW$168*$C$32+$AY$168*$C$31)*$H$27*$AU$168)</f>
        <v>0</v>
      </c>
      <c r="AY239">
        <f>IF(AV239=0,0,$AY$168*$H$26*$AU$168)</f>
        <v>0</v>
      </c>
      <c r="AZ239">
        <f>(0.6*AW239+0.7*AX239)*$AU$168/2</f>
        <v>0</v>
      </c>
      <c r="BA239">
        <f>AW239*$AU$168/2</f>
        <v>0</v>
      </c>
      <c r="BC239">
        <f>IF(AV239=0,0,$BG$168*$AP$151)</f>
        <v>0</v>
      </c>
      <c r="BD239">
        <f>IFERROR(BC239/$AU$168,0)</f>
        <v>0</v>
      </c>
      <c r="BE239">
        <f>BC239*($F$23+IF($F$23=0,0,($C$14+$C$15+IF($C$13="single",1.5,3)+3)/12))</f>
        <v>0</v>
      </c>
      <c r="BF239">
        <f>BE239-AZ239</f>
        <v>0</v>
      </c>
      <c r="BG239" cm="1">
        <f t="array" ref="BG239">IFERROR(IF(BF239&lt;0,0,BF239/($AU$168-INDEX(hd_off,MATCH(BT239,hd_mark,0),0)/12)),0)</f>
        <v>0</v>
      </c>
      <c r="BH239">
        <f>IF(AV239=0,0,$BG$168*$AM$151)</f>
        <v>0</v>
      </c>
      <c r="BI239">
        <f>IFERROR(BH239/$AU$168,0)</f>
        <v>0</v>
      </c>
      <c r="BJ239">
        <f>BH239*($F$23+IF($F$23=0,0,($C$14+$C$15+IF($C$13="single",1.5,3)+3)/12))</f>
        <v>0</v>
      </c>
      <c r="BK239">
        <f>BJ239-BA239</f>
        <v>0</v>
      </c>
      <c r="BL239" cm="1">
        <f t="array" ref="BL239">IFERROR(IF(BK239&lt;0,0,BK239/($AU$168-INDEX(hd_off,MATCH(BT239,hd_mark,0),0)/12)),0)</f>
        <v>0</v>
      </c>
      <c r="BM239">
        <f>MAX($F$23,$BD$168)/$Q$180</f>
        <v>0</v>
      </c>
      <c r="BN239">
        <f t="shared" si="146"/>
        <v>0</v>
      </c>
      <c r="BO239" cm="1">
        <f t="array" ref="BO239">IFERROR(INDEX(sheath_ecap_asd,MATCH(BS239,sheath_mark,0),0)*BN239,0)</f>
        <v>0</v>
      </c>
      <c r="BP239" cm="1">
        <f t="array" ref="BP239">IFERROR(INDEX(sheath_wcap_asd,MATCH(BS239,sheath_mark,0),0)*BN239,0)</f>
        <v>0</v>
      </c>
      <c r="BQ239" cm="1">
        <f t="array" ref="BQ239">IFERROR(INDEX(hd_cap,MATCH(BT239,hd_mark,0),0),0)</f>
        <v>0</v>
      </c>
      <c r="BS239" s="19"/>
      <c r="BT239" s="19"/>
      <c r="BU239" s="100"/>
    </row>
    <row r="240" x14ac:dyDescent="0.25">
      <c r="P240" s="93"/>
      <c r="Q240" s="111">
        <f>$R$168</f>
        <v>0</v>
      </c>
      <c r="R240" t="str">
        <f>$Q$152</f>
        <v>L5</v>
      </c>
      <c r="S240">
        <f>$E$24</f>
        <v>0</v>
      </c>
      <c r="T240" cm="1">
        <f t="array" ref="T240">IFERROR(IF(S240=0,0,(INDEX($C$33:$C$38,MATCH($W$168,$B$33:$B$38,0),0)*(S241+$X$168)+$T$168*COUNTIF(S240:S240,"&gt;0")*$C$32+$V$168*$C$31)*$R$168),0)</f>
        <v>0</v>
      </c>
      <c r="U240">
        <f>IF(S240=0,0,-(COUNTIF(S240:S240,"&gt;0")*$T$168*$C$32+$V$168*$C$31)*$H$27*$R$168)</f>
        <v>0</v>
      </c>
      <c r="V240">
        <f>IF(S240=0,0,$V$168*$H$26*$R$168)</f>
        <v>0</v>
      </c>
      <c r="W240">
        <f>(0.6*T240+0.7*U240)*$R$168/2</f>
        <v>0</v>
      </c>
      <c r="X240">
        <f>T240*$R$168/2</f>
        <v>0</v>
      </c>
      <c r="Z240">
        <f>IF(S240=0,0,$AD$168*$AP$152)</f>
        <v>0</v>
      </c>
      <c r="AA240">
        <f>IFERROR(Z240/$R$168,0)</f>
        <v>0</v>
      </c>
      <c r="AB240">
        <f>Z240*($F$24+IF($F$24=0,0,($C$14+$C$15+IF($C$13="single",1.5,3)+3)/12))</f>
        <v>0</v>
      </c>
      <c r="AC240">
        <f>AB240-W240</f>
        <v>0</v>
      </c>
      <c r="AD240" cm="1">
        <f t="array" ref="AD240">IFERROR(IF(AC240&lt;0,0,AC240/($R$168-INDEX(hd_off,MATCH(AQ240,hd_mark,0),0)/12)),0)</f>
        <v>0</v>
      </c>
      <c r="AE240">
        <f>IF(S240=0,0,$AD$168*$AM$152)</f>
        <v>0</v>
      </c>
      <c r="AF240">
        <f>IFERROR(AE240/$R$168,0)</f>
        <v>0</v>
      </c>
      <c r="AG240">
        <f>AE240*($F$24+IF($F$24=0,0,($C$14+$C$15+IF($C$13="single",1.5,3)+3)/12))</f>
        <v>0</v>
      </c>
      <c r="AH240">
        <f>AG240-X240</f>
        <v>0</v>
      </c>
      <c r="AI240" cm="1">
        <f t="array" ref="AI240">IFERROR(IF(AH240&lt;0,0,AH240/($R$168-INDEX(hd_off,MATCH(AQ240,hd_mark,0),0)/12)),0)</f>
        <v>0</v>
      </c>
      <c r="AJ240">
        <f>MAX($F$24,$AB$168)/$Q$180</f>
        <v>0</v>
      </c>
      <c r="AK240">
        <f t="shared" si="145"/>
        <v>0</v>
      </c>
      <c r="AL240" cm="1">
        <f t="array" ref="AL240">IFERROR(INDEX(sheath_ecap_asd,MATCH(AP240,sheath_mark,0),0)*AK240,0)</f>
        <v>0</v>
      </c>
      <c r="AM240" cm="1">
        <f t="array" ref="AM240">IFERROR(INDEX(sheath_wcap_asd,MATCH(AP240,sheath_mark,0),0)*AK240,0)</f>
        <v>0</v>
      </c>
      <c r="AN240" cm="1">
        <f t="array" ref="AN240">IFERROR(INDEX(hd_cap,MATCH(AQ240,hd_mark,0),0),0)</f>
        <v>0</v>
      </c>
      <c r="AP240" s="19"/>
      <c r="AQ240" s="19"/>
      <c r="AR240" s="100"/>
      <c r="AS240" s="93"/>
      <c r="AT240" s="111">
        <f>$R$168</f>
        <v>0</v>
      </c>
      <c r="AU240" t="str">
        <f>$Q$152</f>
        <v>L5</v>
      </c>
      <c r="AV240">
        <f>$E$24</f>
        <v>0</v>
      </c>
      <c r="AW240" cm="1">
        <f t="array" ref="AW240">IFERROR(IF(AV240=0,0,(INDEX($C$33:$C$38,MATCH($AZ$168,$B$33:$B$38,0),0)*(AV241+$BA$168)+$AW$168*COUNTIF(AV240:AV240,"&gt;0")*$C$32+$AY$168*$C$31)*$AU$168),0)</f>
        <v>0</v>
      </c>
      <c r="AX240">
        <f>IF(AV240=0,0,-(COUNTIF(AV240:AV240,"&gt;0")*$AW$168*$C$32+$AY$168*$C$31)*$H$27*$AU$168)</f>
        <v>0</v>
      </c>
      <c r="AY240">
        <f>IF(AV240=0,0,$AY$168*$H$26*$AU$168)</f>
        <v>0</v>
      </c>
      <c r="AZ240">
        <f>(0.6*AW240+0.7*AX240)*$AU$168/2</f>
        <v>0</v>
      </c>
      <c r="BA240">
        <f>AW240*$AU$168/2</f>
        <v>0</v>
      </c>
      <c r="BC240">
        <f>IF(AV240=0,0,$BG$168*$AP$152)</f>
        <v>0</v>
      </c>
      <c r="BD240">
        <f>IFERROR(BC240/$AU$168,0)</f>
        <v>0</v>
      </c>
      <c r="BE240">
        <f>BC240*($F$24+IF($F$24=0,0,($C$14+$C$15+IF($C$13="single",1.5,3)+3)/12))</f>
        <v>0</v>
      </c>
      <c r="BF240">
        <f>BE240-AZ240</f>
        <v>0</v>
      </c>
      <c r="BG240" cm="1">
        <f t="array" ref="BG240">IFERROR(IF(BF240&lt;0,0,BF240/($AU$168-INDEX(hd_off,MATCH(BT240,hd_mark,0),0)/12)),0)</f>
        <v>0</v>
      </c>
      <c r="BH240">
        <f>IF(AV240=0,0,$BG$168*$AM$152)</f>
        <v>0</v>
      </c>
      <c r="BI240">
        <f>IFERROR(BH240/$AU$168,0)</f>
        <v>0</v>
      </c>
      <c r="BJ240">
        <f>BH240*($F$24+IF($F$24=0,0,($C$14+$C$15+IF($C$13="single",1.5,3)+3)/12))</f>
        <v>0</v>
      </c>
      <c r="BK240">
        <f>BJ240-BA240</f>
        <v>0</v>
      </c>
      <c r="BL240" cm="1">
        <f t="array" ref="BL240">IFERROR(IF(BK240&lt;0,0,BK240/($AU$168-INDEX(hd_off,MATCH(BT240,hd_mark,0),0)/12)),0)</f>
        <v>0</v>
      </c>
      <c r="BM240">
        <f>MAX($F$24,$BE$168)/$Q$180</f>
        <v>0</v>
      </c>
      <c r="BN240">
        <f t="shared" si="146"/>
        <v>0</v>
      </c>
      <c r="BO240" cm="1">
        <f t="array" ref="BO240">IFERROR(INDEX(sheath_ecap_asd,MATCH(BS240,sheath_mark,0),0)*BN240,0)</f>
        <v>0</v>
      </c>
      <c r="BP240" cm="1">
        <f t="array" ref="BP240">IFERROR(INDEX(sheath_wcap_asd,MATCH(BS240,sheath_mark,0),0)*BN240,0)</f>
        <v>0</v>
      </c>
      <c r="BQ240" cm="1">
        <f t="array" ref="BQ240">IFERROR(INDEX(hd_cap,MATCH(BT240,hd_mark,0),0),0)</f>
        <v>0</v>
      </c>
      <c r="BS240" s="19"/>
      <c r="BT240" s="19"/>
      <c r="BU240" s="100"/>
    </row>
    <row r="241" x14ac:dyDescent="0.25">
      <c r="P241" s="93"/>
      <c r="Q241" s="109"/>
      <c r="R241" t="str">
        <f>$Q$153</f>
        <v>Roof</v>
      </c>
      <c r="S241">
        <f>$E$25</f>
        <v>33.171875</v>
      </c>
      <c r="T241" cm="1">
        <f t="array" ref="T241">IFERROR(IF(S241=0,0,(INDEX($C$33:$C$38,MATCH($W$168,$B$33:$B$38,0),0)*(S241+$X$168)+$V$168*$C$31)*$R$168),0)</f>
        <v>0</v>
      </c>
      <c r="U241">
        <f>IF(S241=0,0,-$V$168*$C$31*$H$27*$R$168)</f>
        <v>0</v>
      </c>
      <c r="V241">
        <f>IF(S241=0,0,$V$168*$H$26*$R$168)</f>
        <v>0</v>
      </c>
      <c r="W241">
        <f>(0.6*T241+0.7*U241)*$R$168/2</f>
        <v>0</v>
      </c>
      <c r="X241">
        <f>T241*$R$168/2</f>
        <v>0</v>
      </c>
      <c r="Z241">
        <f>IF(S241=0,0,$AD$168*$AP$153)</f>
        <v>0</v>
      </c>
      <c r="AA241">
        <f>IFERROR(Z241/$R$168,0)</f>
        <v>0</v>
      </c>
      <c r="AB241">
        <f>Z241*($F$25+($C$16+$C$17+IF($C$13="single",1.5,3)+3)/12)</f>
        <v>0</v>
      </c>
      <c r="AC241">
        <f>AB241-W241</f>
        <v>0</v>
      </c>
      <c r="AD241" cm="1">
        <f t="array" ref="AD241">IFERROR(IF(AC241&lt;0,0,AC241/($R$168-INDEX(hd_off,MATCH(AQ241,hd_mark,0),0)/12)),0)</f>
        <v>0</v>
      </c>
      <c r="AE241">
        <f>IF(S241=0,0,$AD$168*$AM$153)</f>
        <v>0</v>
      </c>
      <c r="AF241">
        <f>IFERROR(AE241/$R$168,0)</f>
        <v>0</v>
      </c>
      <c r="AG241">
        <f>AE241*($F$25+($C$16+$C$17+IF($C$13="single",1.5,3)+3)/12)</f>
        <v>0</v>
      </c>
      <c r="AH241">
        <f>AG241-X241</f>
        <v>0</v>
      </c>
      <c r="AI241" cm="1">
        <f t="array" ref="AI241">IFERROR(IF(AH241&lt;0,0,AH241/($R$168-INDEX(hd_off,MATCH(AQ241,hd_mark,0),0)/12)),0)</f>
        <v>0</v>
      </c>
      <c r="AJ241">
        <f>MAX($F$25,$AC$168)/$Q$180</f>
        <v>0.29920977011494249</v>
      </c>
      <c r="AK241">
        <f t="shared" si="145"/>
        <v>1</v>
      </c>
      <c r="AL241" cm="1">
        <f t="array" ref="AL241">IFERROR(INDEX(sheath_ecap_asd,MATCH(AP241,sheath_mark,0),0)*AK241,0)</f>
        <v>0</v>
      </c>
      <c r="AM241" cm="1">
        <f t="array" ref="AM241">IFERROR(INDEX(sheath_wcap_asd,MATCH(AP241,sheath_mark,0),0)*AK241,0)</f>
        <v>0</v>
      </c>
      <c r="AN241" cm="1">
        <f t="array" ref="AN241">IFERROR(INDEX(hd_cap,MATCH(AQ241,hd_mark,0),0),0)</f>
        <v>0</v>
      </c>
      <c r="AP241" s="19"/>
      <c r="AQ241" s="19"/>
      <c r="AR241" s="100"/>
      <c r="AS241" s="93"/>
      <c r="AT241" s="109"/>
      <c r="AU241" t="str">
        <f>$Q$153</f>
        <v>Roof</v>
      </c>
      <c r="AV241">
        <f>$E$25</f>
        <v>33.171875</v>
      </c>
      <c r="AW241" cm="1">
        <f t="array" ref="AW241">IFERROR(IF(AV241=0,0,(INDEX($C$33:$C$38,MATCH($AZ$168,$B$33:$B$38,0),0)*(AV241+$BA$168)+$AY$168*$C$31)*$AU$168),0)</f>
        <v>0</v>
      </c>
      <c r="AX241">
        <f>IF(AV241=0,0,-$AY$168*$C$31*$H$27*$AU$168)</f>
        <v>0</v>
      </c>
      <c r="AY241">
        <f>IF(AV241=0,0,$AY$168*$H$26*$AU$168)</f>
        <v>0</v>
      </c>
      <c r="AZ241">
        <f>(0.6*AW241+0.7*AX241)*$AU$168/2</f>
        <v>0</v>
      </c>
      <c r="BA241">
        <f>AW241*$AU$168/2</f>
        <v>0</v>
      </c>
      <c r="BC241">
        <f>IF(AV241=0,0,$BG$168*$AP$153)</f>
        <v>0</v>
      </c>
      <c r="BD241">
        <f>IFERROR(BC241/$AU$168,0)</f>
        <v>0</v>
      </c>
      <c r="BE241">
        <f>BC241*($F$25+($C$16+$C$17+IF($C$13="single",1.5,3)+3)/12)</f>
        <v>0</v>
      </c>
      <c r="BF241">
        <f>BE241-AZ241</f>
        <v>0</v>
      </c>
      <c r="BG241" cm="1">
        <f t="array" ref="BG241">IFERROR(IF(BF241&lt;0,0,BF241/($AU$168-INDEX(hd_off,MATCH(BT241,hd_mark,0),0)/12)),0)</f>
        <v>0</v>
      </c>
      <c r="BH241">
        <f>IF(AV241=0,0,$BG$168*$AM$153)</f>
        <v>0</v>
      </c>
      <c r="BI241">
        <f>IFERROR(BH241/$AU$168,0)</f>
        <v>0</v>
      </c>
      <c r="BJ241">
        <f>BH241*($F$25+($C$16+$C$17+IF($C$13="single",1.5,3)+3)/12)</f>
        <v>0</v>
      </c>
      <c r="BK241">
        <f>BJ241-BA241</f>
        <v>0</v>
      </c>
      <c r="BL241" cm="1">
        <f t="array" ref="BL241">IFERROR(IF(BK241&lt;0,0,BK241/($AU$168-INDEX(hd_off,MATCH(BT241,hd_mark,0),0)/12)),0)</f>
        <v>0</v>
      </c>
      <c r="BM241">
        <f>MAX($F$25,$BF$168)/$Q$180</f>
        <v>0.29920977011494249</v>
      </c>
      <c r="BN241">
        <f t="shared" si="146"/>
        <v>1</v>
      </c>
      <c r="BO241" cm="1">
        <f t="array" ref="BO241">IFERROR(INDEX(sheath_ecap_asd,MATCH(BS241,sheath_mark,0),0)*BN241,0)</f>
        <v>0</v>
      </c>
      <c r="BP241" cm="1">
        <f t="array" ref="BP241">IFERROR(INDEX(sheath_wcap_asd,MATCH(BS241,sheath_mark,0),0)*BN241,0)</f>
        <v>0</v>
      </c>
      <c r="BQ241" cm="1">
        <f t="array" ref="BQ241">IFERROR(INDEX(hd_cap,MATCH(BT241,hd_mark,0),0),0)</f>
        <v>0</v>
      </c>
      <c r="BS241" s="19"/>
      <c r="BT241" s="19"/>
      <c r="BU241" s="100"/>
    </row>
    <row r="242" x14ac:dyDescent="0.25">
      <c r="P242" s="93"/>
      <c r="AR242" s="100"/>
      <c r="AS242" s="93"/>
      <c r="BU242" s="100"/>
    </row>
    <row r="243" x14ac:dyDescent="0.25">
      <c r="P243" s="93"/>
      <c r="Q243" s="110" t="str">
        <f>$Q$169</f>
        <v>A.12</v>
      </c>
      <c r="R243" t="str">
        <f>$Q$149</f>
        <v>L2</v>
      </c>
      <c r="S243">
        <f>$E$21</f>
        <v>10.6875</v>
      </c>
      <c r="T243" cm="1">
        <f t="array" ref="T243">IFERROR(IF(S243=0,0,(INDEX($C$33:$C$38,MATCH($W$169,$B$33:$B$38,0),0)*(S247+$X$169)+$T$169*COUNTIF(S243:S246,"&gt;0")*$C$32+$V$169*$C$31)*$R$169),0)</f>
        <v>0</v>
      </c>
      <c r="U243">
        <f>IF(S243=0,0,-(COUNTIF(S243:S246,"&gt;0")*$T$169*$C$32+$V$169*$C$31)*$H$27*$R$169)</f>
        <v>0</v>
      </c>
      <c r="V243">
        <f>IF(S243=0,0,$V$169*$H$26*$R$169)</f>
        <v>0</v>
      </c>
      <c r="W243">
        <f>(0.6*T243+0.7*U243)*$R$169/2</f>
        <v>0</v>
      </c>
      <c r="X243">
        <f>(0.6*T243+0.6*V243)*$R$169/2</f>
        <v>0</v>
      </c>
      <c r="Z243">
        <f>IF(S243=0,0,$AD$169*$AP$149)</f>
        <v>0</v>
      </c>
      <c r="AA243">
        <f>IFERROR(Z243/$R$169,0)</f>
        <v>0</v>
      </c>
      <c r="AB243">
        <f>Z243*($F$21+IF($F$21=0,0,($C$14+$C$15+IF($C$13="single",1.5,3)+3)/12))</f>
        <v>0</v>
      </c>
      <c r="AC243">
        <f>AB243-W243</f>
        <v>0</v>
      </c>
      <c r="AD243" cm="1">
        <f t="array" ref="AD243">IFERROR(IF(AC243&lt;0,0,AC243/($R$169-INDEX(hd_off,MATCH(AQ243,hd_mark,0),0)/12)),0)</f>
        <v>0</v>
      </c>
      <c r="AE243">
        <f>IF(S243=0,0,$AD$169*$AM$149)</f>
        <v>0</v>
      </c>
      <c r="AF243">
        <f>IFERROR(AE243/$R$169,0)</f>
        <v>0</v>
      </c>
      <c r="AG243">
        <f>AE243*($F$21+IF($F$21=0,0,($C$14+$C$15+IF($C$13="single",1.5,3)+3)/12))</f>
        <v>0</v>
      </c>
      <c r="AH243">
        <f>AG243-X243</f>
        <v>0</v>
      </c>
      <c r="AI243" cm="1">
        <f t="array" ref="AI243">IFERROR(IF(AH243&lt;0,0,AH243/($R$169-INDEX(hd_off,MATCH(AQ243,hd_mark,0),0)/12)),0)</f>
        <v>0</v>
      </c>
      <c r="AJ243">
        <f>MAX($F$21,$Y$169)/$Q$180</f>
        <v>0.30172413793103448</v>
      </c>
      <c r="AK243">
        <f>IF(AJ243=0,0,IF(AJ243&gt;2,1.25-0.125*AJ243,1))</f>
        <v>1</v>
      </c>
      <c r="AL243" cm="1">
        <f t="array" ref="AL243">IFERROR(INDEX(sheath_ecap_asd,MATCH(AP243,sheath_mark,0),0)*AK243,0)</f>
        <v>0</v>
      </c>
      <c r="AM243" cm="1">
        <f t="array" ref="AM243">IFERROR(INDEX(sheath_wcap_asd,MATCH(AP243,sheath_mark,0),0)*AK243,0)</f>
        <v>0</v>
      </c>
      <c r="AN243" cm="1">
        <f t="array" ref="AN243">IFERROR(INDEX(hd_cap,MATCH(AQ243,hd_mark,0),0),0)</f>
        <v>0</v>
      </c>
      <c r="AP243" s="19"/>
      <c r="AQ243" s="19"/>
      <c r="AR243" s="100"/>
      <c r="AS243" s="93"/>
      <c r="AT243" s="110" t="str">
        <f>$AT$169</f>
        <v>1.12</v>
      </c>
      <c r="AU243" t="str">
        <f>$Q$149</f>
        <v>L2</v>
      </c>
      <c r="AV243">
        <f>$E$21</f>
        <v>10.6875</v>
      </c>
      <c r="AW243" cm="1">
        <f t="array" ref="AW243">IFERROR(IF(AV243=0,0,(INDEX($C$33:$C$38,MATCH($AZ$169,$B$33:$B$38,0),0)*(AV247+$BA$169)+$AW$169*COUNTIF(AV243:AV246,"&gt;0")*$C$32+$AY$169*$C$31)*$AU$169),0)</f>
        <v>0</v>
      </c>
      <c r="AX243">
        <f>IF(AV243=0,0,-(COUNTIF(AV243:AV246,"&gt;0")*$AW$169*$C$32+$AY$169*$C$31)*$H$27*$AU$169)</f>
        <v>0</v>
      </c>
      <c r="AY243">
        <f>IF(AV243=0,0,$AY$169*$H$26*$AU$169)</f>
        <v>0</v>
      </c>
      <c r="AZ243">
        <f>(0.6*AW243+0.7*AX243)*$AU$169/2</f>
        <v>0</v>
      </c>
      <c r="BA243">
        <f>(0.6*AW243+0.6*AY243)*$AU$169/2</f>
        <v>0</v>
      </c>
      <c r="BC243">
        <f>IF(AV243=0,0,$BG$169*$AP$149)</f>
        <v>0</v>
      </c>
      <c r="BD243">
        <f>IFERROR(BC243/$AU$169,0)</f>
        <v>0</v>
      </c>
      <c r="BE243">
        <f>BC243*($F$21+IF($F$21=0,0,($C$14+$C$15+IF($C$13="single",1.5,3)+3)/12))</f>
        <v>0</v>
      </c>
      <c r="BF243">
        <f>BE243-AZ243</f>
        <v>0</v>
      </c>
      <c r="BG243" cm="1">
        <f t="array" ref="BG243">IFERROR(IF(BF243&lt;0,0,BF243/($AU$169-INDEX(hd_off,MATCH(BT243,hd_mark,0),0)/12)),0)</f>
        <v>0</v>
      </c>
      <c r="BH243">
        <f>IF(AV243=0,0,$BG$169*$AM$149)</f>
        <v>0</v>
      </c>
      <c r="BI243">
        <f>IFERROR(BH243/$AU$169,0)</f>
        <v>0</v>
      </c>
      <c r="BJ243">
        <f>BH243*($F$21+IF($F$21=0,0,($C$14+$C$15+IF($C$13="single",1.5,3)+3)/12))</f>
        <v>0</v>
      </c>
      <c r="BK243">
        <f>BJ243-BA243</f>
        <v>0</v>
      </c>
      <c r="BL243" cm="1">
        <f t="array" ref="BL243">IFERROR(IF(BK243&lt;0,0,BK243/($AU$169-INDEX(hd_off,MATCH(BT243,hd_mark,0),0)/12)),0)</f>
        <v>0</v>
      </c>
      <c r="BM243">
        <f>MAX($F$21,$BB$169)/$Q$180</f>
        <v>0.30172413793103448</v>
      </c>
      <c r="BN243">
        <f>IF(BM243=0,0,IF(BM243&gt;2,1.25-0.125*BM243,1))</f>
        <v>1</v>
      </c>
      <c r="BO243" cm="1">
        <f t="array" ref="BO243">IFERROR(INDEX(sheath_ecap_asd,MATCH(BS243,sheath_mark,0),0)*BN243,0)</f>
        <v>0</v>
      </c>
      <c r="BP243" cm="1">
        <f t="array" ref="BP243">IFERROR(INDEX(sheath_wcap_asd,MATCH(BS243,sheath_mark,0),0)*BN243,0)</f>
        <v>0</v>
      </c>
      <c r="BQ243" cm="1">
        <f t="array" ref="BQ243">IFERROR(INDEX(hd_cap,MATCH(BT243,hd_mark,0),0),0)</f>
        <v>0</v>
      </c>
      <c r="BS243" s="19"/>
      <c r="BT243" s="19"/>
      <c r="BU243" s="100"/>
    </row>
    <row r="244" x14ac:dyDescent="0.25">
      <c r="P244" s="93"/>
      <c r="Q244" s="109"/>
      <c r="R244" t="str">
        <f>$Q$150</f>
        <v>L3</v>
      </c>
      <c r="S244">
        <f>$E$22</f>
        <v>21.375</v>
      </c>
      <c r="T244" cm="1">
        <f t="array" ref="T244">IFERROR(IF(S244=0,0,(INDEX($C$33:$C$38,MATCH($W$169,$B$33:$B$38,0),0)*(S247+$X$169)+$T$169*COUNTIF(S244:S246,"&gt;0")*$C$32+$V$169*$C$31)*$R$169),0)</f>
        <v>0</v>
      </c>
      <c r="U244">
        <f>IF(S244=0,0,-(COUNTIF(S244:S246,"&gt;0")*$T$169*$C$32+$V$169*$C$31)*$H$27*$R$169)</f>
        <v>0</v>
      </c>
      <c r="V244">
        <f>IF(S244=0,0,$V$169*$H$26*$R$169)</f>
        <v>0</v>
      </c>
      <c r="W244">
        <f>(0.6*T244+0.7*U244)*$R$169/2</f>
        <v>0</v>
      </c>
      <c r="X244">
        <f>T244*$R$169/2</f>
        <v>0</v>
      </c>
      <c r="Z244">
        <f>IF(S244=0,0,$AD$169*$AP$150)</f>
        <v>0</v>
      </c>
      <c r="AA244">
        <f>IFERROR(Z244/$R$169,0)</f>
        <v>0</v>
      </c>
      <c r="AB244">
        <f>Z244*($F$22+IF($F$22=0,0,($C$14+$C$15+IF($C$13="single",1.5,3)+3)/12))</f>
        <v>0</v>
      </c>
      <c r="AC244">
        <f>AB244-W244</f>
        <v>0</v>
      </c>
      <c r="AD244" cm="1">
        <f t="array" ref="AD244">IFERROR(IF(AC244&lt;0,0,AC244/($R$169-INDEX(hd_off,MATCH(AQ244,hd_mark,0),0)/12)),0)</f>
        <v>0</v>
      </c>
      <c r="AE244">
        <f>IF(S244=0,0,$AD$169*$AM$150)</f>
        <v>0</v>
      </c>
      <c r="AF244">
        <f>IFERROR(AE244/$R$169,0)</f>
        <v>0</v>
      </c>
      <c r="AG244">
        <f>AE244*($F$22+IF($F$22=0,0,($C$14+$C$15+IF($C$13="single",1.5,3)+3)/12))</f>
        <v>0</v>
      </c>
      <c r="AH244">
        <f>AG244-X244</f>
        <v>0</v>
      </c>
      <c r="AI244" cm="1">
        <f t="array" ref="AI244">IFERROR(IF(AH244&lt;0,0,AH244/($R$169-INDEX(hd_off,MATCH(AQ244,hd_mark,0),0)/12)),0)</f>
        <v>0</v>
      </c>
      <c r="AJ244">
        <f>MAX($F$22,$Z$169)/$Q$180</f>
        <v>0.30172413793103448</v>
      </c>
      <c r="AK244">
        <f t="shared" ref="AK244:AK247" si="147">IF(AJ244=0,0,IF(AJ244&gt;2,1.25-0.125*AJ244,1))</f>
        <v>1</v>
      </c>
      <c r="AL244" cm="1">
        <f t="array" ref="AL244">IFERROR(INDEX(sheath_ecap_asd,MATCH(AP244,sheath_mark,0),0)*AK244,0)</f>
        <v>0</v>
      </c>
      <c r="AM244" cm="1">
        <f t="array" ref="AM244">IFERROR(INDEX(sheath_wcap_asd,MATCH(AP244,sheath_mark,0),0)*AK244,0)</f>
        <v>0</v>
      </c>
      <c r="AN244" cm="1">
        <f t="array" ref="AN244">IFERROR(INDEX(hd_cap,MATCH(AQ244,hd_mark,0),0),0)</f>
        <v>0</v>
      </c>
      <c r="AP244" s="19"/>
      <c r="AQ244" s="19"/>
      <c r="AR244" s="100"/>
      <c r="AS244" s="93"/>
      <c r="AT244" s="109"/>
      <c r="AU244" t="str">
        <f>$Q$150</f>
        <v>L3</v>
      </c>
      <c r="AV244">
        <f>$E$22</f>
        <v>21.375</v>
      </c>
      <c r="AW244" cm="1">
        <f t="array" ref="AW244">IFERROR(IF(AV244=0,0,(INDEX($C$33:$C$38,MATCH($AZ$169,$B$33:$B$38,0),0)*(AV247+$BA$169)+$AW$169*COUNTIF(AV244:AV246,"&gt;0")*$C$32+$AY$169*$C$31)*$AU$169),0)</f>
        <v>0</v>
      </c>
      <c r="AX244">
        <f>IF(AV244=0,0,-(COUNTIF(AV244:AV246,"&gt;0")*$AW$169*$C$32+$AY$169*$C$31)*$H$27*$AU$169)</f>
        <v>0</v>
      </c>
      <c r="AY244">
        <f>IF(AV244=0,0,$AY$169*$H$26*$AU$169)</f>
        <v>0</v>
      </c>
      <c r="AZ244">
        <f>(0.6*AW244+0.7*AX244)*$AU$169/2</f>
        <v>0</v>
      </c>
      <c r="BA244">
        <f>AW244*$AU$169/2</f>
        <v>0</v>
      </c>
      <c r="BC244">
        <f>IF(AV244=0,0,$BG$169*$AP$150)</f>
        <v>0</v>
      </c>
      <c r="BD244">
        <f>IFERROR(BC244/$AU$169,0)</f>
        <v>0</v>
      </c>
      <c r="BE244">
        <f>BC244*($F$22+IF($F$22=0,0,($C$14+$C$15+IF($C$13="single",1.5,3)+3)/12))</f>
        <v>0</v>
      </c>
      <c r="BF244">
        <f>BE244-AZ244</f>
        <v>0</v>
      </c>
      <c r="BG244" cm="1">
        <f t="array" ref="BG244">IFERROR(IF(BF244&lt;0,0,BF244/($AU$169-INDEX(hd_off,MATCH(BT244,hd_mark,0),0)/12)),0)</f>
        <v>0</v>
      </c>
      <c r="BH244">
        <f>IF(AV244=0,0,$BG$169*$AM$150)</f>
        <v>0</v>
      </c>
      <c r="BI244">
        <f>IFERROR(BH244/$AU$169,0)</f>
        <v>0</v>
      </c>
      <c r="BJ244">
        <f>BH244*($F$22+IF($F$22=0,0,($C$14+$C$15+IF($C$13="single",1.5,3)+3)/12))</f>
        <v>0</v>
      </c>
      <c r="BK244">
        <f>BJ244-BA244</f>
        <v>0</v>
      </c>
      <c r="BL244" cm="1">
        <f t="array" ref="BL244">IFERROR(IF(BK244&lt;0,0,BK244/($AU$169-INDEX(hd_off,MATCH(BT244,hd_mark,0),0)/12)),0)</f>
        <v>0</v>
      </c>
      <c r="BM244">
        <f>MAX($F$22,$BC$169)/$Q$180</f>
        <v>0.30172413793103448</v>
      </c>
      <c r="BN244">
        <f t="shared" ref="BN244:BN247" si="148">IF(BM244=0,0,IF(BM244&gt;2,1.25-0.125*BM244,1))</f>
        <v>1</v>
      </c>
      <c r="BO244" cm="1">
        <f t="array" ref="BO244">IFERROR(INDEX(sheath_ecap_asd,MATCH(BS244,sheath_mark,0),0)*BN244,0)</f>
        <v>0</v>
      </c>
      <c r="BP244" cm="1">
        <f t="array" ref="BP244">IFERROR(INDEX(sheath_wcap_asd,MATCH(BS244,sheath_mark,0),0)*BN244,0)</f>
        <v>0</v>
      </c>
      <c r="BQ244" cm="1">
        <f t="array" ref="BQ244">IFERROR(INDEX(hd_cap,MATCH(BT244,hd_mark,0),0),0)</f>
        <v>0</v>
      </c>
      <c r="BS244" s="19"/>
      <c r="BT244" s="19"/>
      <c r="BU244" s="100"/>
    </row>
    <row r="245" x14ac:dyDescent="0.25">
      <c r="P245" s="93"/>
      <c r="Q245" s="109" t="s">
        <v>491</v>
      </c>
      <c r="R245" t="str">
        <f>$Q$151</f>
        <v>L4</v>
      </c>
      <c r="S245">
        <f>$E$23</f>
        <v>0</v>
      </c>
      <c r="T245" cm="1">
        <f t="array" ref="T245">IFERROR(IF(S245=0,0,(INDEX($C$33:$C$38,MATCH($W$169,$B$33:$B$38,0),0)*(S247+$X$169)+$T$169*COUNTIF(S245:S246,"&gt;0")*$C$32+$V$169*$C$31)*$R$169),0)</f>
        <v>0</v>
      </c>
      <c r="U245">
        <f>IF(S245=0,0,-(COUNTIF(S245:S246,"&gt;0")*$T$169*$C$32+$V$169*$C$31)*$H$27*$R$169)</f>
        <v>0</v>
      </c>
      <c r="V245">
        <f>IF(S245=0,0,$V$169*$H$26*$R$169)</f>
        <v>0</v>
      </c>
      <c r="W245">
        <f>(0.6*T245+0.7*U245)*$R$169/2</f>
        <v>0</v>
      </c>
      <c r="X245">
        <f>T245*$R$169/2</f>
        <v>0</v>
      </c>
      <c r="Z245">
        <f>IF(S245=0,0,$AD$169*$AP$151)</f>
        <v>0</v>
      </c>
      <c r="AA245">
        <f>IFERROR(Z245/$R$169,0)</f>
        <v>0</v>
      </c>
      <c r="AB245">
        <f>Z245*($F$23+IF($F$23=0,0,($C$14+$C$15+IF($C$13="single",1.5,3)+3)/12))</f>
        <v>0</v>
      </c>
      <c r="AC245">
        <f>AB245-W245</f>
        <v>0</v>
      </c>
      <c r="AD245" cm="1">
        <f t="array" ref="AD245">IFERROR(IF(AC245&lt;0,0,AC245/($R$169-INDEX(hd_off,MATCH(AQ245,hd_mark,0),0)/12)),0)</f>
        <v>0</v>
      </c>
      <c r="AE245">
        <f>IF(S245=0,0,$AD$169*$AM$151)</f>
        <v>0</v>
      </c>
      <c r="AF245">
        <f>IFERROR(AE245/$R$169,0)</f>
        <v>0</v>
      </c>
      <c r="AG245">
        <f>AE245*($F$23+IF($F$23=0,0,($C$14+$C$15+IF($C$13="single",1.5,3)+3)/12))</f>
        <v>0</v>
      </c>
      <c r="AH245">
        <f>AG245-X245</f>
        <v>0</v>
      </c>
      <c r="AI245" cm="1">
        <f t="array" ref="AI245">IFERROR(IF(AH245&lt;0,0,AH245/($R$169-INDEX(hd_off,MATCH(AQ245,hd_mark,0),0)/12)),0)</f>
        <v>0</v>
      </c>
      <c r="AJ245">
        <f>MAX($F$23,$AA$169)/$Q$180</f>
        <v>0</v>
      </c>
      <c r="AK245">
        <f t="shared" si="147"/>
        <v>0</v>
      </c>
      <c r="AL245" cm="1">
        <f t="array" ref="AL245">IFERROR(INDEX(sheath_ecap_asd,MATCH(AP245,sheath_mark,0),0)*AK245,0)</f>
        <v>0</v>
      </c>
      <c r="AM245" cm="1">
        <f t="array" ref="AM245">IFERROR(INDEX(sheath_wcap_asd,MATCH(AP245,sheath_mark,0),0)*AK245,0)</f>
        <v>0</v>
      </c>
      <c r="AN245" cm="1">
        <f t="array" ref="AN245">IFERROR(INDEX(hd_cap,MATCH(AQ245,hd_mark,0),0),0)</f>
        <v>0</v>
      </c>
      <c r="AP245" s="19"/>
      <c r="AQ245" s="19"/>
      <c r="AR245" s="100"/>
      <c r="AS245" s="93"/>
      <c r="AT245" s="109" t="s">
        <v>491</v>
      </c>
      <c r="AU245" t="str">
        <f>$Q$151</f>
        <v>L4</v>
      </c>
      <c r="AV245">
        <f>$E$23</f>
        <v>0</v>
      </c>
      <c r="AW245" cm="1">
        <f t="array" ref="AW245">IFERROR(IF(AV245=0,0,(INDEX($C$33:$C$38,MATCH($AZ$169,$B$33:$B$38,0),0)*(AV247+$BA$169)+$AW$169*COUNTIF(AV245:AV246,"&gt;0")*$C$32+$AY$169*$C$31)*$AU$169),0)</f>
        <v>0</v>
      </c>
      <c r="AX245">
        <f>IF(AV245=0,0,-(COUNTIF(AV245:AV246,"&gt;0")*$AW$169*$C$32+$AY$169*$C$31)*$H$27*$AU$169)</f>
        <v>0</v>
      </c>
      <c r="AY245">
        <f>IF(AV245=0,0,$AY$169*$H$26*$AU$169)</f>
        <v>0</v>
      </c>
      <c r="AZ245">
        <f>(0.6*AW245+0.7*AX245)*$AU$169/2</f>
        <v>0</v>
      </c>
      <c r="BA245">
        <f>AW245*$AU$169/2</f>
        <v>0</v>
      </c>
      <c r="BC245">
        <f>IF(AV245=0,0,$BG$169*$AP$151)</f>
        <v>0</v>
      </c>
      <c r="BD245">
        <f>IFERROR(BC245/$AU$169,0)</f>
        <v>0</v>
      </c>
      <c r="BE245">
        <f>BC245*($F$23+IF($F$23=0,0,($C$14+$C$15+IF($C$13="single",1.5,3)+3)/12))</f>
        <v>0</v>
      </c>
      <c r="BF245">
        <f>BE245-AZ245</f>
        <v>0</v>
      </c>
      <c r="BG245" cm="1">
        <f t="array" ref="BG245">IFERROR(IF(BF245&lt;0,0,BF245/($AU$169-INDEX(hd_off,MATCH(BT245,hd_mark,0),0)/12)),0)</f>
        <v>0</v>
      </c>
      <c r="BH245">
        <f>IF(AV245=0,0,$BG$169*$AM$151)</f>
        <v>0</v>
      </c>
      <c r="BI245">
        <f>IFERROR(BH245/$AU$169,0)</f>
        <v>0</v>
      </c>
      <c r="BJ245">
        <f>BH245*($F$23+IF($F$23=0,0,($C$14+$C$15+IF($C$13="single",1.5,3)+3)/12))</f>
        <v>0</v>
      </c>
      <c r="BK245">
        <f>BJ245-BA245</f>
        <v>0</v>
      </c>
      <c r="BL245" cm="1">
        <f t="array" ref="BL245">IFERROR(IF(BK245&lt;0,0,BK245/($AU$169-INDEX(hd_off,MATCH(BT245,hd_mark,0),0)/12)),0)</f>
        <v>0</v>
      </c>
      <c r="BM245">
        <f>MAX($F$23,$BD$169)/$Q$180</f>
        <v>0</v>
      </c>
      <c r="BN245">
        <f t="shared" si="148"/>
        <v>0</v>
      </c>
      <c r="BO245" cm="1">
        <f t="array" ref="BO245">IFERROR(INDEX(sheath_ecap_asd,MATCH(BS245,sheath_mark,0),0)*BN245,0)</f>
        <v>0</v>
      </c>
      <c r="BP245" cm="1">
        <f t="array" ref="BP245">IFERROR(INDEX(sheath_wcap_asd,MATCH(BS245,sheath_mark,0),0)*BN245,0)</f>
        <v>0</v>
      </c>
      <c r="BQ245" cm="1">
        <f t="array" ref="BQ245">IFERROR(INDEX(hd_cap,MATCH(BT245,hd_mark,0),0),0)</f>
        <v>0</v>
      </c>
      <c r="BS245" s="19"/>
      <c r="BT245" s="19"/>
      <c r="BU245" s="100"/>
    </row>
    <row r="246" x14ac:dyDescent="0.25">
      <c r="P246" s="93"/>
      <c r="Q246" s="111">
        <f>$R$169</f>
        <v>0</v>
      </c>
      <c r="R246" t="str">
        <f>$Q$152</f>
        <v>L5</v>
      </c>
      <c r="S246">
        <f>$E$24</f>
        <v>0</v>
      </c>
      <c r="T246" cm="1">
        <f t="array" ref="T246">IFERROR(IF(S246=0,0,(INDEX($C$33:$C$38,MATCH($W$169,$B$33:$B$38,0),0)*(S247+$X$169)+$T$169*COUNTIF(S246:S246,"&gt;0")*$C$32+$V$169*$C$31)*$R$169),0)</f>
        <v>0</v>
      </c>
      <c r="U246">
        <f>IF(S246=0,0,-(COUNTIF(S246:S246,"&gt;0")*$T$169*$C$32+$V$169*$C$31)*$H$27*$R$169)</f>
        <v>0</v>
      </c>
      <c r="V246">
        <f>IF(S246=0,0,$V$169*$H$26*$R$169)</f>
        <v>0</v>
      </c>
      <c r="W246">
        <f>(0.6*T246+0.7*U246)*$R$169/2</f>
        <v>0</v>
      </c>
      <c r="X246">
        <f>T246*$R$169/2</f>
        <v>0</v>
      </c>
      <c r="Z246">
        <f>IF(S246=0,0,$AD$169*$AP$152)</f>
        <v>0</v>
      </c>
      <c r="AA246">
        <f>IFERROR(Z246/$R$169,0)</f>
        <v>0</v>
      </c>
      <c r="AB246">
        <f>Z246*($F$24+IF($F$24=0,0,($C$14+$C$15+IF($C$13="single",1.5,3)+3)/12))</f>
        <v>0</v>
      </c>
      <c r="AC246">
        <f>AB246-W246</f>
        <v>0</v>
      </c>
      <c r="AD246" cm="1">
        <f t="array" ref="AD246">IFERROR(IF(AC246&lt;0,0,AC246/($R$169-INDEX(hd_off,MATCH(AQ246,hd_mark,0),0)/12)),0)</f>
        <v>0</v>
      </c>
      <c r="AE246">
        <f>IF(S246=0,0,$AD$169*$AM$152)</f>
        <v>0</v>
      </c>
      <c r="AF246">
        <f>IFERROR(AE246/$R$169,0)</f>
        <v>0</v>
      </c>
      <c r="AG246">
        <f>AE246*($F$24+IF($F$24=0,0,($C$14+$C$15+IF($C$13="single",1.5,3)+3)/12))</f>
        <v>0</v>
      </c>
      <c r="AH246">
        <f>AG246-X246</f>
        <v>0</v>
      </c>
      <c r="AI246" cm="1">
        <f t="array" ref="AI246">IFERROR(IF(AH246&lt;0,0,AH246/($R$169-INDEX(hd_off,MATCH(AQ246,hd_mark,0),0)/12)),0)</f>
        <v>0</v>
      </c>
      <c r="AJ246">
        <f>MAX($F$24,$AB$169)/$Q$180</f>
        <v>0</v>
      </c>
      <c r="AK246">
        <f t="shared" si="147"/>
        <v>0</v>
      </c>
      <c r="AL246" cm="1">
        <f t="array" ref="AL246">IFERROR(INDEX(sheath_ecap_asd,MATCH(AP246,sheath_mark,0),0)*AK246,0)</f>
        <v>0</v>
      </c>
      <c r="AM246" cm="1">
        <f t="array" ref="AM246">IFERROR(INDEX(sheath_wcap_asd,MATCH(AP246,sheath_mark,0),0)*AK246,0)</f>
        <v>0</v>
      </c>
      <c r="AN246" cm="1">
        <f t="array" ref="AN246">IFERROR(INDEX(hd_cap,MATCH(AQ246,hd_mark,0),0),0)</f>
        <v>0</v>
      </c>
      <c r="AP246" s="19"/>
      <c r="AQ246" s="19"/>
      <c r="AR246" s="100"/>
      <c r="AS246" s="93"/>
      <c r="AT246" s="111">
        <f>$R$169</f>
        <v>0</v>
      </c>
      <c r="AU246" t="str">
        <f>$Q$152</f>
        <v>L5</v>
      </c>
      <c r="AV246">
        <f>$E$24</f>
        <v>0</v>
      </c>
      <c r="AW246" cm="1">
        <f t="array" ref="AW246">IFERROR(IF(AV246=0,0,(INDEX($C$33:$C$38,MATCH($AZ$169,$B$33:$B$38,0),0)*(AV247+$BA$169)+$AW$169*COUNTIF(AV246:AV246,"&gt;0")*$C$32+$AY$169*$C$31)*$AU$169),0)</f>
        <v>0</v>
      </c>
      <c r="AX246">
        <f>IF(AV246=0,0,-(COUNTIF(AV246:AV246,"&gt;0")*$AW$169*$C$32+$AY$169*$C$31)*$H$27*$AU$169)</f>
        <v>0</v>
      </c>
      <c r="AY246">
        <f>IF(AV246=0,0,$AY$169*$H$26*$AU$169)</f>
        <v>0</v>
      </c>
      <c r="AZ246">
        <f>(0.6*AW246+0.7*AX246)*$AU$169/2</f>
        <v>0</v>
      </c>
      <c r="BA246">
        <f>AW246*$AU$169/2</f>
        <v>0</v>
      </c>
      <c r="BC246">
        <f>IF(AV246=0,0,$BG$169*$AP$152)</f>
        <v>0</v>
      </c>
      <c r="BD246">
        <f>IFERROR(BC246/$AU$169,0)</f>
        <v>0</v>
      </c>
      <c r="BE246">
        <f>BC246*($F$24+IF($F$24=0,0,($C$14+$C$15+IF($C$13="single",1.5,3)+3)/12))</f>
        <v>0</v>
      </c>
      <c r="BF246">
        <f>BE246-AZ246</f>
        <v>0</v>
      </c>
      <c r="BG246" cm="1">
        <f t="array" ref="BG246">IFERROR(IF(BF246&lt;0,0,BF246/($AU$169-INDEX(hd_off,MATCH(BT246,hd_mark,0),0)/12)),0)</f>
        <v>0</v>
      </c>
      <c r="BH246">
        <f>IF(AV246=0,0,$BG$169*$AM$152)</f>
        <v>0</v>
      </c>
      <c r="BI246">
        <f>IFERROR(BH246/$AU$169,0)</f>
        <v>0</v>
      </c>
      <c r="BJ246">
        <f>BH246*($F$24+IF($F$24=0,0,($C$14+$C$15+IF($C$13="single",1.5,3)+3)/12))</f>
        <v>0</v>
      </c>
      <c r="BK246">
        <f>BJ246-BA246</f>
        <v>0</v>
      </c>
      <c r="BL246" cm="1">
        <f t="array" ref="BL246">IFERROR(IF(BK246&lt;0,0,BK246/($AU$169-INDEX(hd_off,MATCH(BT246,hd_mark,0),0)/12)),0)</f>
        <v>0</v>
      </c>
      <c r="BM246">
        <f>MAX($F$24,$BE$169)/$Q$180</f>
        <v>0</v>
      </c>
      <c r="BN246">
        <f t="shared" si="148"/>
        <v>0</v>
      </c>
      <c r="BO246" cm="1">
        <f t="array" ref="BO246">IFERROR(INDEX(sheath_ecap_asd,MATCH(BS246,sheath_mark,0),0)*BN246,0)</f>
        <v>0</v>
      </c>
      <c r="BP246" cm="1">
        <f t="array" ref="BP246">IFERROR(INDEX(sheath_wcap_asd,MATCH(BS246,sheath_mark,0),0)*BN246,0)</f>
        <v>0</v>
      </c>
      <c r="BQ246" cm="1">
        <f t="array" ref="BQ246">IFERROR(INDEX(hd_cap,MATCH(BT246,hd_mark,0),0),0)</f>
        <v>0</v>
      </c>
      <c r="BS246" s="19"/>
      <c r="BT246" s="19"/>
      <c r="BU246" s="100"/>
    </row>
    <row r="247" x14ac:dyDescent="0.25">
      <c r="P247" s="93"/>
      <c r="Q247" s="109"/>
      <c r="R247" t="str">
        <f>$Q$153</f>
        <v>Roof</v>
      </c>
      <c r="S247">
        <f>$E$25</f>
        <v>33.171875</v>
      </c>
      <c r="T247" cm="1">
        <f t="array" ref="T247">IFERROR(IF(S247=0,0,(INDEX($C$33:$C$38,MATCH($W$169,$B$33:$B$38,0),0)*(S247+$X$169)+$V$169*$C$31)*$R$169),0)</f>
        <v>0</v>
      </c>
      <c r="U247">
        <f>IF(S247=0,0,-$V$169*$C$31*$H$27*$R$169)</f>
        <v>0</v>
      </c>
      <c r="V247">
        <f>IF(S247=0,0,$V$169*$H$26*$R$169)</f>
        <v>0</v>
      </c>
      <c r="W247">
        <f>(0.6*T247+0.7*U247)*$R$169/2</f>
        <v>0</v>
      </c>
      <c r="X247">
        <f>T247*$R$169/2</f>
        <v>0</v>
      </c>
      <c r="Z247">
        <f>IF(S247=0,0,$AD$169*$AP$153)</f>
        <v>0</v>
      </c>
      <c r="AA247">
        <f>IFERROR(Z247/$R$169,0)</f>
        <v>0</v>
      </c>
      <c r="AB247">
        <f>Z247*($F$25+($C$16+$C$17+IF($C$13="single",1.5,3)+3)/12)</f>
        <v>0</v>
      </c>
      <c r="AC247">
        <f>AB247-W247</f>
        <v>0</v>
      </c>
      <c r="AD247" cm="1">
        <f t="array" ref="AD247">IFERROR(IF(AC247&lt;0,0,AC247/($R$169-INDEX(hd_off,MATCH(AQ247,hd_mark,0),0)/12)),0)</f>
        <v>0</v>
      </c>
      <c r="AE247">
        <f>IF(S247=0,0,$AD$169*$AM$153)</f>
        <v>0</v>
      </c>
      <c r="AF247">
        <f>IFERROR(AE247/$R$169,0)</f>
        <v>0</v>
      </c>
      <c r="AG247">
        <f>AE247*($F$25+($C$16+$C$17+IF($C$13="single",1.5,3)+3)/12)</f>
        <v>0</v>
      </c>
      <c r="AH247">
        <f>AG247-X247</f>
        <v>0</v>
      </c>
      <c r="AI247" cm="1">
        <f t="array" ref="AI247">IFERROR(IF(AH247&lt;0,0,AH247/($R$169-INDEX(hd_off,MATCH(AQ247,hd_mark,0),0)/12)),0)</f>
        <v>0</v>
      </c>
      <c r="AJ247">
        <f>MAX($F$25,$AC$169)/$Q$180</f>
        <v>0.29920977011494249</v>
      </c>
      <c r="AK247">
        <f t="shared" si="147"/>
        <v>1</v>
      </c>
      <c r="AL247" cm="1">
        <f t="array" ref="AL247">IFERROR(INDEX(sheath_ecap_asd,MATCH(AP247,sheath_mark,0),0)*AK247,0)</f>
        <v>0</v>
      </c>
      <c r="AM247" cm="1">
        <f t="array" ref="AM247">IFERROR(INDEX(sheath_wcap_asd,MATCH(AP247,sheath_mark,0),0)*AK247,0)</f>
        <v>0</v>
      </c>
      <c r="AN247" cm="1">
        <f t="array" ref="AN247">IFERROR(INDEX(hd_cap,MATCH(AQ247,hd_mark,0),0),0)</f>
        <v>0</v>
      </c>
      <c r="AP247" s="19"/>
      <c r="AQ247" s="19"/>
      <c r="AR247" s="100"/>
      <c r="AS247" s="93"/>
      <c r="AT247" s="109"/>
      <c r="AU247" t="str">
        <f>$Q$153</f>
        <v>Roof</v>
      </c>
      <c r="AV247">
        <f>$E$25</f>
        <v>33.171875</v>
      </c>
      <c r="AW247" cm="1">
        <f t="array" ref="AW247">IFERROR(IF(AV247=0,0,(INDEX($C$33:$C$38,MATCH($AZ$169,$B$33:$B$38,0),0)*(AV247+$BA$169)+$AY$169*$C$31)*$AU$169),0)</f>
        <v>0</v>
      </c>
      <c r="AX247">
        <f>IF(AV247=0,0,-$AY$169*$C$31*$H$27*$AU$169)</f>
        <v>0</v>
      </c>
      <c r="AY247">
        <f>IF(AV247=0,0,$AY$169*$H$26*$AU$169)</f>
        <v>0</v>
      </c>
      <c r="AZ247">
        <f>(0.6*AW247+0.7*AX247)*$AU$169/2</f>
        <v>0</v>
      </c>
      <c r="BA247">
        <f>AW247*$AU$169/2</f>
        <v>0</v>
      </c>
      <c r="BC247">
        <f>IF(AV247=0,0,$BG$169*$AP$153)</f>
        <v>0</v>
      </c>
      <c r="BD247">
        <f>IFERROR(BC247/$AU$169,0)</f>
        <v>0</v>
      </c>
      <c r="BE247">
        <f>BC247*($F$25+($C$16+$C$17+IF($C$13="single",1.5,3)+3)/12)</f>
        <v>0</v>
      </c>
      <c r="BF247">
        <f>BE247-AZ247</f>
        <v>0</v>
      </c>
      <c r="BG247" cm="1">
        <f t="array" ref="BG247">IFERROR(IF(BF247&lt;0,0,BF247/($AU$169-INDEX(hd_off,MATCH(BT247,hd_mark,0),0)/12)),0)</f>
        <v>0</v>
      </c>
      <c r="BH247">
        <f>IF(AV247=0,0,$BG$169*$AM$153)</f>
        <v>0</v>
      </c>
      <c r="BI247">
        <f>IFERROR(BH247/$AU$169,0)</f>
        <v>0</v>
      </c>
      <c r="BJ247">
        <f>BH247*($F$25+($C$16+$C$17+IF($C$13="single",1.5,3)+3)/12)</f>
        <v>0</v>
      </c>
      <c r="BK247">
        <f>BJ247-BA247</f>
        <v>0</v>
      </c>
      <c r="BL247" cm="1">
        <f t="array" ref="BL247">IFERROR(IF(BK247&lt;0,0,BK247/($AU$169-INDEX(hd_off,MATCH(BT247,hd_mark,0),0)/12)),0)</f>
        <v>0</v>
      </c>
      <c r="BM247">
        <f>MAX($F$25,$BF$169)/$Q$180</f>
        <v>0.29920977011494249</v>
      </c>
      <c r="BN247">
        <f t="shared" si="148"/>
        <v>1</v>
      </c>
      <c r="BO247" cm="1">
        <f t="array" ref="BO247">IFERROR(INDEX(sheath_ecap_asd,MATCH(BS247,sheath_mark,0),0)*BN247,0)</f>
        <v>0</v>
      </c>
      <c r="BP247" cm="1">
        <f t="array" ref="BP247">IFERROR(INDEX(sheath_wcap_asd,MATCH(BS247,sheath_mark,0),0)*BN247,0)</f>
        <v>0</v>
      </c>
      <c r="BQ247" cm="1">
        <f t="array" ref="BQ247">IFERROR(INDEX(hd_cap,MATCH(BT247,hd_mark,0),0),0)</f>
        <v>0</v>
      </c>
      <c r="BS247" s="19"/>
      <c r="BT247" s="19"/>
      <c r="BU247" s="100"/>
    </row>
    <row r="248" x14ac:dyDescent="0.25">
      <c r="P248" s="93"/>
      <c r="AR248" s="100"/>
      <c r="AS248" s="93"/>
      <c r="BU248" s="100"/>
    </row>
    <row r="249" x14ac:dyDescent="0.25">
      <c r="P249" s="93"/>
      <c r="Q249" s="110" t="str">
        <f>$Q$170</f>
        <v>A.13</v>
      </c>
      <c r="R249" t="str">
        <f>$Q$149</f>
        <v>L2</v>
      </c>
      <c r="S249">
        <f>$E$21</f>
        <v>10.6875</v>
      </c>
      <c r="T249" cm="1">
        <f t="array" ref="T249">IFERROR(IF(S249=0,0,(INDEX($C$33:$C$38,MATCH($W$170,$B$33:$B$38,0),0)*(S253+$X$170)+$T$170*COUNTIF(S249:S252,"&gt;0")*$C$32+$V$170*$C$31)*$R$170),0)</f>
        <v>0</v>
      </c>
      <c r="U249">
        <f>IF(S249=0,0,-(COUNTIF(S249:S252,"&gt;0")*$T$170*$C$32+$V$170*$C$31)*$H$27*$R$170)</f>
        <v>0</v>
      </c>
      <c r="V249">
        <f>IF(S249=0,0,$V$170*$H$26*$R$170)</f>
        <v>0</v>
      </c>
      <c r="W249">
        <f>(0.6*T249+0.7*U249)*$R$170/2</f>
        <v>0</v>
      </c>
      <c r="X249">
        <f>(0.6*T249+0.6*V249)*$R$170/2</f>
        <v>0</v>
      </c>
      <c r="Z249">
        <f>IF(S249=0,0,$AD$170*$AP$149)</f>
        <v>0</v>
      </c>
      <c r="AA249">
        <f>IFERROR(Z249/$R$170,0)</f>
        <v>0</v>
      </c>
      <c r="AB249">
        <f>Z249*($F$21+IF($F$21=0,0,($C$14+$C$15+IF($C$13="single",1.5,3)+3)/12))</f>
        <v>0</v>
      </c>
      <c r="AC249">
        <f>AB249-W249</f>
        <v>0</v>
      </c>
      <c r="AD249" cm="1">
        <f t="array" ref="AD249">IFERROR(IF(AC249&lt;0,0,AC249/($R$170-INDEX(hd_off,MATCH(AQ249,hd_mark,0),0)/12)),0)</f>
        <v>0</v>
      </c>
      <c r="AE249">
        <f>IF(S249=0,0,$AD$170*$AM$149)</f>
        <v>0</v>
      </c>
      <c r="AF249">
        <f>IFERROR(AE249/$R$170,0)</f>
        <v>0</v>
      </c>
      <c r="AG249">
        <f>AE249*($F$21+IF($F$21=0,0,($C$14+$C$15+IF($C$13="single",1.5,3)+3)/12))</f>
        <v>0</v>
      </c>
      <c r="AH249">
        <f>AG249-X249</f>
        <v>0</v>
      </c>
      <c r="AI249" cm="1">
        <f t="array" ref="AI249">IFERROR(IF(AH249&lt;0,0,AH249/($R$170-INDEX(hd_off,MATCH(AQ249,hd_mark,0),0)/12)),0)</f>
        <v>0</v>
      </c>
      <c r="AJ249">
        <f>MAX($F$21,$Y$170)/$Q$180</f>
        <v>0.30172413793103448</v>
      </c>
      <c r="AK249">
        <f>IF(AJ249=0,0,IF(AJ249&gt;2,1.25-0.125*AJ249,1))</f>
        <v>1</v>
      </c>
      <c r="AL249" cm="1">
        <f t="array" ref="AL249">IFERROR(INDEX(sheath_ecap_asd,MATCH(AP249,sheath_mark,0),0)*AK249,0)</f>
        <v>0</v>
      </c>
      <c r="AM249" cm="1">
        <f t="array" ref="AM249">IFERROR(INDEX(sheath_wcap_asd,MATCH(AP249,sheath_mark,0),0)*AK249,0)</f>
        <v>0</v>
      </c>
      <c r="AN249" cm="1">
        <f t="array" ref="AN249">IFERROR(INDEX(hd_cap,MATCH(AQ249,hd_mark,0),0),0)</f>
        <v>0</v>
      </c>
      <c r="AP249" s="19"/>
      <c r="AQ249" s="19"/>
      <c r="AR249" s="100"/>
      <c r="AS249" s="93"/>
      <c r="AT249" s="110" t="str">
        <f>$AT$170</f>
        <v>1.13</v>
      </c>
      <c r="AU249" t="str">
        <f>$Q$149</f>
        <v>L2</v>
      </c>
      <c r="AV249">
        <f>$E$21</f>
        <v>10.6875</v>
      </c>
      <c r="AW249" cm="1">
        <f t="array" ref="AW249">IFERROR(IF(AV249=0,0,(INDEX($C$33:$C$38,MATCH($AZ$170,$B$33:$B$38,0),0)*(AV253+$BA$170)+$AW$170*COUNTIF(AV249:AV252,"&gt;0")*$C$32+$AY$170*$C$31)*$AU$170),0)</f>
        <v>0</v>
      </c>
      <c r="AX249">
        <f>IF(AV249=0,0,-(COUNTIF(AV249:AV252,"&gt;0")*$AW$170*$C$32+$AY$170*$C$31)*$H$27*$AU$170)</f>
        <v>0</v>
      </c>
      <c r="AY249">
        <f>IF(AV249=0,0,$AY$170*$H$26*$AU$170)</f>
        <v>0</v>
      </c>
      <c r="AZ249">
        <f>(0.6*AW249+0.7*AX249)*$AU$170/2</f>
        <v>0</v>
      </c>
      <c r="BA249">
        <f>(0.6*AW249+0.6*AY249)*$AU$170/2</f>
        <v>0</v>
      </c>
      <c r="BC249">
        <f>IF(AV249=0,0,$BG$170*$AP$149)</f>
        <v>0</v>
      </c>
      <c r="BD249">
        <f>IFERROR(BC249/$AU$170,0)</f>
        <v>0</v>
      </c>
      <c r="BE249">
        <f>BC249*($F$21+IF($F$21=0,0,($C$14+$C$15+IF($C$13="single",1.5,3)+3)/12))</f>
        <v>0</v>
      </c>
      <c r="BF249">
        <f>BE249-AZ249</f>
        <v>0</v>
      </c>
      <c r="BG249" cm="1">
        <f t="array" ref="BG249">IFERROR(IF(BF249&lt;0,0,BF249/($AU$170-INDEX(hd_off,MATCH(BT249,hd_mark,0),0)/12)),0)</f>
        <v>0</v>
      </c>
      <c r="BH249">
        <f>IF(AV249=0,0,$BG$170*$AM$149)</f>
        <v>0</v>
      </c>
      <c r="BI249">
        <f>IFERROR(BH249/$AU$170,0)</f>
        <v>0</v>
      </c>
      <c r="BJ249">
        <f>BH249*($F$21+IF($F$21=0,0,($C$14+$C$15+IF($C$13="single",1.5,3)+3)/12))</f>
        <v>0</v>
      </c>
      <c r="BK249">
        <f>BJ249-BA249</f>
        <v>0</v>
      </c>
      <c r="BL249" cm="1">
        <f t="array" ref="BL249">IFERROR(IF(BK249&lt;0,0,BK249/($AU$170-INDEX(hd_off,MATCH(BT249,hd_mark,0),0)/12)),0)</f>
        <v>0</v>
      </c>
      <c r="BM249">
        <f>MAX($F$21,$BB$170)/$Q$180</f>
        <v>0.30172413793103448</v>
      </c>
      <c r="BN249">
        <f>IF(BM249=0,0,IF(BM249&gt;2,1.25-0.125*BM249,1))</f>
        <v>1</v>
      </c>
      <c r="BO249" cm="1">
        <f t="array" ref="BO249">IFERROR(INDEX(sheath_ecap_asd,MATCH(BS249,sheath_mark,0),0)*BN249,0)</f>
        <v>0</v>
      </c>
      <c r="BP249" cm="1">
        <f t="array" ref="BP249">IFERROR(INDEX(sheath_wcap_asd,MATCH(BS249,sheath_mark,0),0)*BN249,0)</f>
        <v>0</v>
      </c>
      <c r="BQ249" cm="1">
        <f t="array" ref="BQ249">IFERROR(INDEX(hd_cap,MATCH(BT249,hd_mark,0),0),0)</f>
        <v>0</v>
      </c>
      <c r="BS249" s="19"/>
      <c r="BT249" s="19"/>
      <c r="BU249" s="100"/>
    </row>
    <row r="250" x14ac:dyDescent="0.25">
      <c r="P250" s="93"/>
      <c r="Q250" s="109"/>
      <c r="R250" t="str">
        <f>$Q$150</f>
        <v>L3</v>
      </c>
      <c r="S250">
        <f>$E$22</f>
        <v>21.375</v>
      </c>
      <c r="T250" cm="1">
        <f t="array" ref="T250">IFERROR(IF(S250=0,0,(INDEX($C$33:$C$38,MATCH($W$170,$B$33:$B$38,0),0)*(S253+$X$170)+$T$170*COUNTIF(S250:S252,"&gt;0")*$C$32+$V$170*$C$31)*$R$170),0)</f>
        <v>0</v>
      </c>
      <c r="U250">
        <f>IF(S250=0,0,-(COUNTIF(S250:S252,"&gt;0")*$T$170*$C$32+$V$170*$C$31)*$H$27*$R$170)</f>
        <v>0</v>
      </c>
      <c r="V250">
        <f>IF(S250=0,0,$V$170*$H$26*$R$170)</f>
        <v>0</v>
      </c>
      <c r="W250">
        <f>(0.6*T250+0.7*U250)*$R$170/2</f>
        <v>0</v>
      </c>
      <c r="X250">
        <f>T250*$R$170/2</f>
        <v>0</v>
      </c>
      <c r="Z250">
        <f>IF(S250=0,0,$AD$170*$AP$150)</f>
        <v>0</v>
      </c>
      <c r="AA250">
        <f>IFERROR(Z250/$R$170,0)</f>
        <v>0</v>
      </c>
      <c r="AB250">
        <f>Z250*($F$22+IF($F$22=0,0,($C$14+$C$15+IF($C$13="single",1.5,3)+3)/12))</f>
        <v>0</v>
      </c>
      <c r="AC250">
        <f>AB250-W250</f>
        <v>0</v>
      </c>
      <c r="AD250" cm="1">
        <f t="array" ref="AD250">IFERROR(IF(AC250&lt;0,0,AC250/($R$170-INDEX(hd_off,MATCH(AQ250,hd_mark,0),0)/12)),0)</f>
        <v>0</v>
      </c>
      <c r="AE250">
        <f>IF(S250=0,0,$AD$170*$AM$150)</f>
        <v>0</v>
      </c>
      <c r="AF250">
        <f>IFERROR(AE250/$R$170,0)</f>
        <v>0</v>
      </c>
      <c r="AG250">
        <f>AE250*($F$22+IF($F$22=0,0,($C$14+$C$15+IF($C$13="single",1.5,3)+3)/12))</f>
        <v>0</v>
      </c>
      <c r="AH250">
        <f>AG250-X250</f>
        <v>0</v>
      </c>
      <c r="AI250" cm="1">
        <f t="array" ref="AI250">IFERROR(IF(AH250&lt;0,0,AH250/($R$170-INDEX(hd_off,MATCH(AQ250,hd_mark,0),0)/12)),0)</f>
        <v>0</v>
      </c>
      <c r="AJ250">
        <f>MAX($F$22,$Z$170)/$Q$180</f>
        <v>0.30172413793103448</v>
      </c>
      <c r="AK250">
        <f t="shared" ref="AK250:AK253" si="149">IF(AJ250=0,0,IF(AJ250&gt;2,1.25-0.125*AJ250,1))</f>
        <v>1</v>
      </c>
      <c r="AL250" cm="1">
        <f t="array" ref="AL250">IFERROR(INDEX(sheath_ecap_asd,MATCH(AP250,sheath_mark,0),0)*AK250,0)</f>
        <v>0</v>
      </c>
      <c r="AM250" cm="1">
        <f t="array" ref="AM250">IFERROR(INDEX(sheath_wcap_asd,MATCH(AP250,sheath_mark,0),0)*AK250,0)</f>
        <v>0</v>
      </c>
      <c r="AN250" cm="1">
        <f t="array" ref="AN250">IFERROR(INDEX(hd_cap,MATCH(AQ250,hd_mark,0),0),0)</f>
        <v>0</v>
      </c>
      <c r="AP250" s="19"/>
      <c r="AQ250" s="19"/>
      <c r="AR250" s="100"/>
      <c r="AS250" s="93"/>
      <c r="AT250" s="109"/>
      <c r="AU250" t="str">
        <f>$Q$150</f>
        <v>L3</v>
      </c>
      <c r="AV250">
        <f>$E$22</f>
        <v>21.375</v>
      </c>
      <c r="AW250" cm="1">
        <f t="array" ref="AW250">IFERROR(IF(AV250=0,0,(INDEX($C$33:$C$38,MATCH($AZ$170,$B$33:$B$38,0),0)*(AV253+$BA$170)+$AW$170*COUNTIF(AV250:AV252,"&gt;0")*$C$32+$AY$170*$C$31)*$AU$170),0)</f>
        <v>0</v>
      </c>
      <c r="AX250">
        <f>IF(AV250=0,0,-(COUNTIF(AV250:AV252,"&gt;0")*$AW$170*$C$32+$AY$170*$C$31)*$H$27*$AU$170)</f>
        <v>0</v>
      </c>
      <c r="AY250">
        <f>IF(AV250=0,0,$AY$170*$H$26*$AU$170)</f>
        <v>0</v>
      </c>
      <c r="AZ250">
        <f>(0.6*AW250+0.7*AX250)*$AU$170/2</f>
        <v>0</v>
      </c>
      <c r="BA250">
        <f>AW250*$AU$170/2</f>
        <v>0</v>
      </c>
      <c r="BC250">
        <f>IF(AV250=0,0,$BG$170*$AP$150)</f>
        <v>0</v>
      </c>
      <c r="BD250">
        <f>IFERROR(BC250/$AU$170,0)</f>
        <v>0</v>
      </c>
      <c r="BE250">
        <f>BC250*($F$22+IF($F$22=0,0,($C$14+$C$15+IF($C$13="single",1.5,3)+3)/12))</f>
        <v>0</v>
      </c>
      <c r="BF250">
        <f>BE250-AZ250</f>
        <v>0</v>
      </c>
      <c r="BG250" cm="1">
        <f t="array" ref="BG250">IFERROR(IF(BF250&lt;0,0,BF250/($AU$170-INDEX(hd_off,MATCH(BT250,hd_mark,0),0)/12)),0)</f>
        <v>0</v>
      </c>
      <c r="BH250">
        <f>IF(AV250=0,0,$BG$170*$AM$150)</f>
        <v>0</v>
      </c>
      <c r="BI250">
        <f>IFERROR(BH250/$AU$170,0)</f>
        <v>0</v>
      </c>
      <c r="BJ250">
        <f>BH250*($F$22+IF($F$22=0,0,($C$14+$C$15+IF($C$13="single",1.5,3)+3)/12))</f>
        <v>0</v>
      </c>
      <c r="BK250">
        <f>BJ250-BA250</f>
        <v>0</v>
      </c>
      <c r="BL250" cm="1">
        <f t="array" ref="BL250">IFERROR(IF(BK250&lt;0,0,BK250/($AU$170-INDEX(hd_off,MATCH(BT250,hd_mark,0),0)/12)),0)</f>
        <v>0</v>
      </c>
      <c r="BM250">
        <f>MAX($F$22,$BC$170)/$Q$180</f>
        <v>0.30172413793103448</v>
      </c>
      <c r="BN250">
        <f t="shared" ref="BN250:BN253" si="150">IF(BM250=0,0,IF(BM250&gt;2,1.25-0.125*BM250,1))</f>
        <v>1</v>
      </c>
      <c r="BO250" cm="1">
        <f t="array" ref="BO250">IFERROR(INDEX(sheath_ecap_asd,MATCH(BS250,sheath_mark,0),0)*BN250,0)</f>
        <v>0</v>
      </c>
      <c r="BP250" cm="1">
        <f t="array" ref="BP250">IFERROR(INDEX(sheath_wcap_asd,MATCH(BS250,sheath_mark,0),0)*BN250,0)</f>
        <v>0</v>
      </c>
      <c r="BQ250" cm="1">
        <f t="array" ref="BQ250">IFERROR(INDEX(hd_cap,MATCH(BT250,hd_mark,0),0),0)</f>
        <v>0</v>
      </c>
      <c r="BS250" s="19"/>
      <c r="BT250" s="19"/>
      <c r="BU250" s="100"/>
    </row>
    <row r="251" x14ac:dyDescent="0.25">
      <c r="P251" s="93"/>
      <c r="Q251" s="109" t="s">
        <v>491</v>
      </c>
      <c r="R251" t="str">
        <f>$Q$151</f>
        <v>L4</v>
      </c>
      <c r="S251">
        <f>$E$23</f>
        <v>0</v>
      </c>
      <c r="T251" cm="1">
        <f t="array" ref="T251">IFERROR(IF(S251=0,0,(INDEX($C$33:$C$38,MATCH($W$170,$B$33:$B$38,0),0)*(S253+$X$170)+$T$170*COUNTIF(S251:S252,"&gt;0")*$C$32+$V$170*$C$31)*$R$170),0)</f>
        <v>0</v>
      </c>
      <c r="U251">
        <f>IF(S251=0,0,-(COUNTIF(S251:S252,"&gt;0")*$T$170*$C$32+$V$170*$C$31)*$H$27*$R$170)</f>
        <v>0</v>
      </c>
      <c r="V251">
        <f>IF(S251=0,0,$V$170*$H$26*$R$170)</f>
        <v>0</v>
      </c>
      <c r="W251">
        <f>(0.6*T251+0.7*U251)*$R$170/2</f>
        <v>0</v>
      </c>
      <c r="X251">
        <f>T251*$R$170/2</f>
        <v>0</v>
      </c>
      <c r="Z251">
        <f>IF(S251=0,0,$AD$170*$AP$151)</f>
        <v>0</v>
      </c>
      <c r="AA251">
        <f>IFERROR(Z251/$R$170,0)</f>
        <v>0</v>
      </c>
      <c r="AB251">
        <f>Z251*($F$23+IF($F$23=0,0,($C$14+$C$15+IF($C$13="single",1.5,3)+3)/12))</f>
        <v>0</v>
      </c>
      <c r="AC251">
        <f>AB251-W251</f>
        <v>0</v>
      </c>
      <c r="AD251" cm="1">
        <f t="array" ref="AD251">IFERROR(IF(AC251&lt;0,0,AC251/($R$170-INDEX(hd_off,MATCH(AQ251,hd_mark,0),0)/12)),0)</f>
        <v>0</v>
      </c>
      <c r="AE251">
        <f>IF(S251=0,0,$AD$170*$AM$151)</f>
        <v>0</v>
      </c>
      <c r="AF251">
        <f>IFERROR(AE251/$R$170,0)</f>
        <v>0</v>
      </c>
      <c r="AG251">
        <f>AE251*($F$23+IF($F$23=0,0,($C$14+$C$15+IF($C$13="single",1.5,3)+3)/12))</f>
        <v>0</v>
      </c>
      <c r="AH251">
        <f>AG251-X251</f>
        <v>0</v>
      </c>
      <c r="AI251" cm="1">
        <f t="array" ref="AI251">IFERROR(IF(AH251&lt;0,0,AH251/($R$170-INDEX(hd_off,MATCH(AQ251,hd_mark,0),0)/12)),0)</f>
        <v>0</v>
      </c>
      <c r="AJ251">
        <f>MAX($F$23,$AA$170)/$Q$180</f>
        <v>0</v>
      </c>
      <c r="AK251">
        <f t="shared" si="149"/>
        <v>0</v>
      </c>
      <c r="AL251" cm="1">
        <f t="array" ref="AL251">IFERROR(INDEX(sheath_ecap_asd,MATCH(AP251,sheath_mark,0),0)*AK251,0)</f>
        <v>0</v>
      </c>
      <c r="AM251" cm="1">
        <f t="array" ref="AM251">IFERROR(INDEX(sheath_wcap_asd,MATCH(AP251,sheath_mark,0),0)*AK251,0)</f>
        <v>0</v>
      </c>
      <c r="AN251" cm="1">
        <f t="array" ref="AN251">IFERROR(INDEX(hd_cap,MATCH(AQ251,hd_mark,0),0),0)</f>
        <v>0</v>
      </c>
      <c r="AP251" s="19"/>
      <c r="AQ251" s="19"/>
      <c r="AR251" s="100"/>
      <c r="AS251" s="93"/>
      <c r="AT251" s="109" t="s">
        <v>491</v>
      </c>
      <c r="AU251" t="str">
        <f>$Q$151</f>
        <v>L4</v>
      </c>
      <c r="AV251">
        <f>$E$23</f>
        <v>0</v>
      </c>
      <c r="AW251" cm="1">
        <f t="array" ref="AW251">IFERROR(IF(AV251=0,0,(INDEX($C$33:$C$38,MATCH($AZ$170,$B$33:$B$38,0),0)*(AV253+$BA$170)+$AW$170*COUNTIF(AV251:AV252,"&gt;0")*$C$32+$AY$170*$C$31)*$AU$170),0)</f>
        <v>0</v>
      </c>
      <c r="AX251">
        <f>IF(AV251=0,0,-(COUNTIF(AV251:AV252,"&gt;0")*$AW$170*$C$32+$AY$170*$C$31)*$H$27*$AU$170)</f>
        <v>0</v>
      </c>
      <c r="AY251">
        <f>IF(AV251=0,0,$AY$170*$H$26*$AU$170)</f>
        <v>0</v>
      </c>
      <c r="AZ251">
        <f>(0.6*AW251+0.7*AX251)*$AU$170/2</f>
        <v>0</v>
      </c>
      <c r="BA251">
        <f>AW251*$AU$170/2</f>
        <v>0</v>
      </c>
      <c r="BC251">
        <f>IF(AV251=0,0,$BG$170*$AP$151)</f>
        <v>0</v>
      </c>
      <c r="BD251">
        <f>IFERROR(BC251/$AU$170,0)</f>
        <v>0</v>
      </c>
      <c r="BE251">
        <f>BC251*($F$23+IF($F$23=0,0,($C$14+$C$15+IF($C$13="single",1.5,3)+3)/12))</f>
        <v>0</v>
      </c>
      <c r="BF251">
        <f>BE251-AZ251</f>
        <v>0</v>
      </c>
      <c r="BG251" cm="1">
        <f t="array" ref="BG251">IFERROR(IF(BF251&lt;0,0,BF251/($AU$170-INDEX(hd_off,MATCH(BT251,hd_mark,0),0)/12)),0)</f>
        <v>0</v>
      </c>
      <c r="BH251">
        <f>IF(AV251=0,0,$BG$170*$AM$151)</f>
        <v>0</v>
      </c>
      <c r="BI251">
        <f>IFERROR(BH251/$AU$170,0)</f>
        <v>0</v>
      </c>
      <c r="BJ251">
        <f>BH251*($F$23+IF($F$23=0,0,($C$14+$C$15+IF($C$13="single",1.5,3)+3)/12))</f>
        <v>0</v>
      </c>
      <c r="BK251">
        <f>BJ251-BA251</f>
        <v>0</v>
      </c>
      <c r="BL251" cm="1">
        <f t="array" ref="BL251">IFERROR(IF(BK251&lt;0,0,BK251/($AU$170-INDEX(hd_off,MATCH(BT251,hd_mark,0),0)/12)),0)</f>
        <v>0</v>
      </c>
      <c r="BM251">
        <f>MAX($F$23,$BD$170)/$Q$180</f>
        <v>0</v>
      </c>
      <c r="BN251">
        <f t="shared" si="150"/>
        <v>0</v>
      </c>
      <c r="BO251" cm="1">
        <f t="array" ref="BO251">IFERROR(INDEX(sheath_ecap_asd,MATCH(BS251,sheath_mark,0),0)*BN251,0)</f>
        <v>0</v>
      </c>
      <c r="BP251" cm="1">
        <f t="array" ref="BP251">IFERROR(INDEX(sheath_wcap_asd,MATCH(BS251,sheath_mark,0),0)*BN251,0)</f>
        <v>0</v>
      </c>
      <c r="BQ251" cm="1">
        <f t="array" ref="BQ251">IFERROR(INDEX(hd_cap,MATCH(BT251,hd_mark,0),0),0)</f>
        <v>0</v>
      </c>
      <c r="BS251" s="19"/>
      <c r="BT251" s="19"/>
      <c r="BU251" s="100"/>
    </row>
    <row r="252" x14ac:dyDescent="0.25">
      <c r="P252" s="93"/>
      <c r="Q252" s="111">
        <f>$R$170</f>
        <v>0</v>
      </c>
      <c r="R252" t="str">
        <f>$Q$152</f>
        <v>L5</v>
      </c>
      <c r="S252">
        <f>$E$24</f>
        <v>0</v>
      </c>
      <c r="T252" cm="1">
        <f t="array" ref="T252">IFERROR(IF(S252=0,0,(INDEX($C$33:$C$38,MATCH($W$170,$B$33:$B$38,0),0)*(S253+$X$170)+$T$170*COUNTIF(S252:S252,"&gt;0")*$C$32+$V$170*$C$31)*$R$170),0)</f>
        <v>0</v>
      </c>
      <c r="U252">
        <f>IF(S252=0,0,-(COUNTIF(S252:S252,"&gt;0")*$T$170*$C$32+$V$170*$C$31)*$H$27*$R$170)</f>
        <v>0</v>
      </c>
      <c r="V252">
        <f>IF(S252=0,0,$V$170*$H$26*$R$170)</f>
        <v>0</v>
      </c>
      <c r="W252">
        <f>(0.6*T252+0.7*U252)*$R$170/2</f>
        <v>0</v>
      </c>
      <c r="X252">
        <f>T252*$R$170/2</f>
        <v>0</v>
      </c>
      <c r="Z252">
        <f>IF(S252=0,0,$AD$170*$AP$152)</f>
        <v>0</v>
      </c>
      <c r="AA252">
        <f>IFERROR(Z252/$R$170,0)</f>
        <v>0</v>
      </c>
      <c r="AB252">
        <f>Z252*($F$24+IF($F$24=0,0,($C$14+$C$15+IF($C$13="single",1.5,3)+3)/12))</f>
        <v>0</v>
      </c>
      <c r="AC252">
        <f>AB252-W252</f>
        <v>0</v>
      </c>
      <c r="AD252" cm="1">
        <f t="array" ref="AD252">IFERROR(IF(AC252&lt;0,0,AC252/($R$170-INDEX(hd_off,MATCH(AQ252,hd_mark,0),0)/12)),0)</f>
        <v>0</v>
      </c>
      <c r="AE252">
        <f>IF(S252=0,0,$AD$170*$AM$152)</f>
        <v>0</v>
      </c>
      <c r="AF252">
        <f>IFERROR(AE252/$R$170,0)</f>
        <v>0</v>
      </c>
      <c r="AG252">
        <f>AE252*($F$24+IF($F$24=0,0,($C$14+$C$15+IF($C$13="single",1.5,3)+3)/12))</f>
        <v>0</v>
      </c>
      <c r="AH252">
        <f>AG252-X252</f>
        <v>0</v>
      </c>
      <c r="AI252" cm="1">
        <f t="array" ref="AI252">IFERROR(IF(AH252&lt;0,0,AH252/($R$170-INDEX(hd_off,MATCH(AQ252,hd_mark,0),0)/12)),0)</f>
        <v>0</v>
      </c>
      <c r="AJ252">
        <f>MAX($F$24,$AB$170)/$Q$180</f>
        <v>0</v>
      </c>
      <c r="AK252">
        <f t="shared" si="149"/>
        <v>0</v>
      </c>
      <c r="AL252" cm="1">
        <f t="array" ref="AL252">IFERROR(INDEX(sheath_ecap_asd,MATCH(AP252,sheath_mark,0),0)*AK252,0)</f>
        <v>0</v>
      </c>
      <c r="AM252" cm="1">
        <f t="array" ref="AM252">IFERROR(INDEX(sheath_wcap_asd,MATCH(AP252,sheath_mark,0),0)*AK252,0)</f>
        <v>0</v>
      </c>
      <c r="AN252" cm="1">
        <f t="array" ref="AN252">IFERROR(INDEX(hd_cap,MATCH(AQ252,hd_mark,0),0),0)</f>
        <v>0</v>
      </c>
      <c r="AP252" s="19"/>
      <c r="AQ252" s="19"/>
      <c r="AR252" s="100"/>
      <c r="AS252" s="93"/>
      <c r="AT252" s="111">
        <f>$R$170</f>
        <v>0</v>
      </c>
      <c r="AU252" t="str">
        <f>$Q$152</f>
        <v>L5</v>
      </c>
      <c r="AV252">
        <f>$E$24</f>
        <v>0</v>
      </c>
      <c r="AW252" cm="1">
        <f t="array" ref="AW252">IFERROR(IF(AV252=0,0,(INDEX($C$33:$C$38,MATCH($AZ$170,$B$33:$B$38,0),0)*(AV253+$BA$170)+$AW$170*COUNTIF(AV252:AV252,"&gt;0")*$C$32+$AY$170*$C$31)*$AU$170),0)</f>
        <v>0</v>
      </c>
      <c r="AX252">
        <f>IF(AV252=0,0,-(COUNTIF(AV252:AV252,"&gt;0")*$AW$170*$C$32+$AY$170*$C$31)*$H$27*$AU$170)</f>
        <v>0</v>
      </c>
      <c r="AY252">
        <f>IF(AV252=0,0,$AY$170*$H$26*$AU$170)</f>
        <v>0</v>
      </c>
      <c r="AZ252">
        <f>(0.6*AW252+0.7*AX252)*$AU$170/2</f>
        <v>0</v>
      </c>
      <c r="BA252">
        <f>AW252*$AU$170/2</f>
        <v>0</v>
      </c>
      <c r="BC252">
        <f>IF(AV252=0,0,$BG$170*$AP$152)</f>
        <v>0</v>
      </c>
      <c r="BD252">
        <f>IFERROR(BC252/$AU$170,0)</f>
        <v>0</v>
      </c>
      <c r="BE252">
        <f>BC252*($F$24+IF($F$24=0,0,($C$14+$C$15+IF($C$13="single",1.5,3)+3)/12))</f>
        <v>0</v>
      </c>
      <c r="BF252">
        <f>BE252-AZ252</f>
        <v>0</v>
      </c>
      <c r="BG252" cm="1">
        <f t="array" ref="BG252">IFERROR(IF(BF252&lt;0,0,BF252/($AU$170-INDEX(hd_off,MATCH(BT252,hd_mark,0),0)/12)),0)</f>
        <v>0</v>
      </c>
      <c r="BH252">
        <f>IF(AV252=0,0,$BG$170*$AM$152)</f>
        <v>0</v>
      </c>
      <c r="BI252">
        <f>IFERROR(BH252/$AU$170,0)</f>
        <v>0</v>
      </c>
      <c r="BJ252">
        <f>BH252*($F$24+IF($F$24=0,0,($C$14+$C$15+IF($C$13="single",1.5,3)+3)/12))</f>
        <v>0</v>
      </c>
      <c r="BK252">
        <f>BJ252-BA252</f>
        <v>0</v>
      </c>
      <c r="BL252" cm="1">
        <f t="array" ref="BL252">IFERROR(IF(BK252&lt;0,0,BK252/($AU$170-INDEX(hd_off,MATCH(BT252,hd_mark,0),0)/12)),0)</f>
        <v>0</v>
      </c>
      <c r="BM252">
        <f>MAX($F$24,$BE$170)/$Q$180</f>
        <v>0</v>
      </c>
      <c r="BN252">
        <f t="shared" si="150"/>
        <v>0</v>
      </c>
      <c r="BO252" cm="1">
        <f t="array" ref="BO252">IFERROR(INDEX(sheath_ecap_asd,MATCH(BS252,sheath_mark,0),0)*BN252,0)</f>
        <v>0</v>
      </c>
      <c r="BP252" cm="1">
        <f t="array" ref="BP252">IFERROR(INDEX(sheath_wcap_asd,MATCH(BS252,sheath_mark,0),0)*BN252,0)</f>
        <v>0</v>
      </c>
      <c r="BQ252" cm="1">
        <f t="array" ref="BQ252">IFERROR(INDEX(hd_cap,MATCH(BT252,hd_mark,0),0),0)</f>
        <v>0</v>
      </c>
      <c r="BS252" s="19"/>
      <c r="BT252" s="19"/>
      <c r="BU252" s="100"/>
    </row>
    <row r="253" x14ac:dyDescent="0.25">
      <c r="P253" s="93"/>
      <c r="Q253" s="109"/>
      <c r="R253" t="str">
        <f>$Q$153</f>
        <v>Roof</v>
      </c>
      <c r="S253">
        <f>$E$25</f>
        <v>33.171875</v>
      </c>
      <c r="T253" cm="1">
        <f t="array" ref="T253">IFERROR(IF(S253=0,0,(INDEX($C$33:$C$38,MATCH($W$170,$B$33:$B$38,0),0)*(S253+$X$170)+$V$170*$C$31)*$R$170),0)</f>
        <v>0</v>
      </c>
      <c r="U253">
        <f>IF(S253=0,0,-$V$170*$C$31*$H$27*$R$170)</f>
        <v>0</v>
      </c>
      <c r="V253">
        <f>IF(S253=0,0,$V$170*$H$26*$R$170)</f>
        <v>0</v>
      </c>
      <c r="W253">
        <f>(0.6*T253+0.7*U253)*$R$170/2</f>
        <v>0</v>
      </c>
      <c r="X253">
        <f>T253*$R$170/2</f>
        <v>0</v>
      </c>
      <c r="Z253">
        <f>IF(S253=0,0,$AD$170*$AP$153)</f>
        <v>0</v>
      </c>
      <c r="AA253">
        <f>IFERROR(Z253/$R$170,0)</f>
        <v>0</v>
      </c>
      <c r="AB253">
        <f>Z253*($F$25+($C$16+$C$17+IF($C$13="single",1.5,3)+3)/12)</f>
        <v>0</v>
      </c>
      <c r="AC253">
        <f>AB253-W253</f>
        <v>0</v>
      </c>
      <c r="AD253" cm="1">
        <f t="array" ref="AD253">IFERROR(IF(AC253&lt;0,0,AC253/($R$170-INDEX(hd_off,MATCH(AQ253,hd_mark,0),0)/12)),0)</f>
        <v>0</v>
      </c>
      <c r="AE253">
        <f>IF(S253=0,0,$AD$170*$AM$153)</f>
        <v>0</v>
      </c>
      <c r="AF253">
        <f>IFERROR(AE253/$R$170,0)</f>
        <v>0</v>
      </c>
      <c r="AG253">
        <f>AE253*($F$25+($C$16+$C$17+IF($C$13="single",1.5,3)+3)/12)</f>
        <v>0</v>
      </c>
      <c r="AH253">
        <f>AG253-X253</f>
        <v>0</v>
      </c>
      <c r="AI253" cm="1">
        <f t="array" ref="AI253">IFERROR(IF(AH253&lt;0,0,AH253/($R$170-INDEX(hd_off,MATCH(AQ253,hd_mark,0),0)/12)),0)</f>
        <v>0</v>
      </c>
      <c r="AJ253">
        <f>MAX($F$25,$AC$170)/$Q$180</f>
        <v>0.29920977011494249</v>
      </c>
      <c r="AK253">
        <f t="shared" si="149"/>
        <v>1</v>
      </c>
      <c r="AL253" cm="1">
        <f t="array" ref="AL253">IFERROR(INDEX(sheath_ecap_asd,MATCH(AP253,sheath_mark,0),0)*AK253,0)</f>
        <v>0</v>
      </c>
      <c r="AM253" cm="1">
        <f t="array" ref="AM253">IFERROR(INDEX(sheath_wcap_asd,MATCH(AP253,sheath_mark,0),0)*AK253,0)</f>
        <v>0</v>
      </c>
      <c r="AN253" cm="1">
        <f t="array" ref="AN253">IFERROR(INDEX(hd_cap,MATCH(AQ253,hd_mark,0),0),0)</f>
        <v>0</v>
      </c>
      <c r="AP253" s="19"/>
      <c r="AQ253" s="19"/>
      <c r="AR253" s="100"/>
      <c r="AS253" s="93"/>
      <c r="AT253" s="109"/>
      <c r="AU253" t="str">
        <f>$Q$153</f>
        <v>Roof</v>
      </c>
      <c r="AV253">
        <f>$E$25</f>
        <v>33.171875</v>
      </c>
      <c r="AW253" cm="1">
        <f t="array" ref="AW253">IFERROR(IF(AV253=0,0,(INDEX($C$33:$C$38,MATCH($AZ$170,$B$33:$B$38,0),0)*(AV253+$BA$170)+$AY$170*$C$31)*$AU$170),0)</f>
        <v>0</v>
      </c>
      <c r="AX253">
        <f>IF(AV253=0,0,-$AY$170*$C$31*$H$27*$AU$170)</f>
        <v>0</v>
      </c>
      <c r="AY253">
        <f>IF(AV253=0,0,$AY$170*$H$26*$AU$170)</f>
        <v>0</v>
      </c>
      <c r="AZ253">
        <f>(0.6*AW253+0.7*AX253)*$AU$170/2</f>
        <v>0</v>
      </c>
      <c r="BA253">
        <f>AW253*$AU$170/2</f>
        <v>0</v>
      </c>
      <c r="BC253">
        <f>IF(AV253=0,0,$BG$170*$AP$153)</f>
        <v>0</v>
      </c>
      <c r="BD253">
        <f>IFERROR(BC253/$AU$170,0)</f>
        <v>0</v>
      </c>
      <c r="BE253">
        <f>BC253*($F$25+($C$16+$C$17+IF($C$13="single",1.5,3)+3)/12)</f>
        <v>0</v>
      </c>
      <c r="BF253">
        <f>BE253-AZ253</f>
        <v>0</v>
      </c>
      <c r="BG253" cm="1">
        <f t="array" ref="BG253">IFERROR(IF(BF253&lt;0,0,BF253/($AU$170-INDEX(hd_off,MATCH(BT253,hd_mark,0),0)/12)),0)</f>
        <v>0</v>
      </c>
      <c r="BH253">
        <f>IF(AV253=0,0,$BG$170*$AM$153)</f>
        <v>0</v>
      </c>
      <c r="BI253">
        <f>IFERROR(BH253/$AU$170,0)</f>
        <v>0</v>
      </c>
      <c r="BJ253">
        <f>BH253*($F$25+($C$16+$C$17+IF($C$13="single",1.5,3)+3)/12)</f>
        <v>0</v>
      </c>
      <c r="BK253">
        <f>BJ253-BA253</f>
        <v>0</v>
      </c>
      <c r="BL253" cm="1">
        <f t="array" ref="BL253">IFERROR(IF(BK253&lt;0,0,BK253/($AU$170-INDEX(hd_off,MATCH(BT253,hd_mark,0),0)/12)),0)</f>
        <v>0</v>
      </c>
      <c r="BM253">
        <f>MAX($F$25,$BF$170)/$Q$180</f>
        <v>0.29920977011494249</v>
      </c>
      <c r="BN253">
        <f t="shared" si="150"/>
        <v>1</v>
      </c>
      <c r="BO253" cm="1">
        <f t="array" ref="BO253">IFERROR(INDEX(sheath_ecap_asd,MATCH(BS253,sheath_mark,0),0)*BN253,0)</f>
        <v>0</v>
      </c>
      <c r="BP253" cm="1">
        <f t="array" ref="BP253">IFERROR(INDEX(sheath_wcap_asd,MATCH(BS253,sheath_mark,0),0)*BN253,0)</f>
        <v>0</v>
      </c>
      <c r="BQ253" cm="1">
        <f t="array" ref="BQ253">IFERROR(INDEX(hd_cap,MATCH(BT253,hd_mark,0),0),0)</f>
        <v>0</v>
      </c>
      <c r="BS253" s="19"/>
      <c r="BT253" s="19"/>
      <c r="BU253" s="100"/>
    </row>
    <row r="254" x14ac:dyDescent="0.25">
      <c r="P254" s="93"/>
      <c r="AR254" s="100"/>
      <c r="AS254" s="93"/>
      <c r="BU254" s="100"/>
    </row>
    <row r="255" x14ac:dyDescent="0.25">
      <c r="P255" s="93"/>
      <c r="Q255" s="110" t="str">
        <f>$Q$171</f>
        <v>A.14</v>
      </c>
      <c r="R255" t="str">
        <f>$Q$149</f>
        <v>L2</v>
      </c>
      <c r="S255">
        <f>$E$21</f>
        <v>10.6875</v>
      </c>
      <c r="T255" cm="1">
        <f t="array" ref="T255">IFERROR(IF(S255=0,0,(INDEX($C$33:$C$38,MATCH($W$171,$B$33:$B$38,0),0)*(S259+$X$171)+$T$171*COUNTIF(S255:S271,"&gt;0")*$C$32+$V$171*$C$31)*$R$171),0)</f>
        <v>0</v>
      </c>
      <c r="U255">
        <f>IF(S255=0,0,-(COUNTIF(S255:S271,"&gt;0")*$T$171*$C$32+$V$171*$C$31)*$H$27*$R$171)</f>
        <v>0</v>
      </c>
      <c r="V255">
        <f>IF(S255=0,0,$V$171*$H$26*$R$171)</f>
        <v>0</v>
      </c>
      <c r="W255">
        <f>(0.6*T255+0.7*U255)*$R$171/2</f>
        <v>0</v>
      </c>
      <c r="X255">
        <f>(0.6*T255+0.6*V255)*$R$171/2</f>
        <v>0</v>
      </c>
      <c r="Z255">
        <f>IF(S255=0,0,$AD$171*$AP$149)</f>
        <v>0</v>
      </c>
      <c r="AA255">
        <f>IFERROR(Z255/$R$171,0)</f>
        <v>0</v>
      </c>
      <c r="AB255">
        <f>Z255*($F$21+IF($F$21=0,0,($C$14+$C$15+IF($C$13="single",1.5,3)+3)/12))</f>
        <v>0</v>
      </c>
      <c r="AC255">
        <f>AB255-W255</f>
        <v>0</v>
      </c>
      <c r="AD255" cm="1">
        <f t="array" ref="AD255">IFERROR(IF(AC255&lt;0,0,AC255/($R$171-INDEX(hd_off,MATCH(AQ255,hd_mark,0),0)/12)),0)</f>
        <v>0</v>
      </c>
      <c r="AE255">
        <f>IF(S255=0,0,$AD$171*$AM$149)</f>
        <v>0</v>
      </c>
      <c r="AF255">
        <f>IFERROR(AE255/$R$171,0)</f>
        <v>0</v>
      </c>
      <c r="AG255">
        <f>AE255*($F$21+IF($F$21=0,0,($C$14+$C$15+IF($C$13="single",1.5,3)+3)/12))</f>
        <v>0</v>
      </c>
      <c r="AH255">
        <f>AG255-X255</f>
        <v>0</v>
      </c>
      <c r="AI255" cm="1">
        <f t="array" ref="AI255">IFERROR(IF(AH255&lt;0,0,AH255/($R$171-INDEX(hd_off,MATCH(AQ255,hd_mark,0),0)/12)),0)</f>
        <v>0</v>
      </c>
      <c r="AJ255">
        <f>MAX($F$21,$Y$171)/$Q$180</f>
        <v>0.30172413793103448</v>
      </c>
      <c r="AK255">
        <f>IF(AJ255=0,0,IF(AJ255&gt;2,1.25-0.125*AJ255,1))</f>
        <v>1</v>
      </c>
      <c r="AL255" cm="1">
        <f t="array" ref="AL255">IFERROR(INDEX(sheath_ecap_asd,MATCH(AP255,sheath_mark,0),0)*AK255,0)</f>
        <v>0</v>
      </c>
      <c r="AM255" cm="1">
        <f t="array" ref="AM255">IFERROR(INDEX(sheath_wcap_asd,MATCH(AP255,sheath_mark,0),0)*AK255,0)</f>
        <v>0</v>
      </c>
      <c r="AN255" cm="1">
        <f t="array" ref="AN255">IFERROR(INDEX(hd_cap,MATCH(AQ255,hd_mark,0),0),0)</f>
        <v>0</v>
      </c>
      <c r="AP255" s="19"/>
      <c r="AQ255" s="19"/>
      <c r="AR255" s="100"/>
      <c r="AS255" s="93"/>
      <c r="AT255" s="110" t="str">
        <f>$AT$171</f>
        <v>1.14</v>
      </c>
      <c r="AU255" t="str">
        <f>$Q$149</f>
        <v>L2</v>
      </c>
      <c r="AV255">
        <f>$E$21</f>
        <v>10.6875</v>
      </c>
      <c r="AW255" cm="1">
        <f t="array" ref="AW255">IFERROR(IF(AV255=0,0,(INDEX($C$33:$C$38,MATCH($AZ$171,$B$33:$B$38,0),0)*(AV259+$BA$171)+$AW$171*COUNTIF(AV255:AV271,"&gt;0")*$C$32+$AY$171*$C$31)*$AU$171),0)</f>
        <v>0</v>
      </c>
      <c r="AX255">
        <f>IF(AV255=0,0,-(COUNTIF(AV255:AV271,"&gt;0")*$AW$171*$C$32+$AY$171*$C$31)*$H$27*$AU$171)</f>
        <v>0</v>
      </c>
      <c r="AY255">
        <f>IF(AV255=0,0,$AY$171*$H$26*$AU$171)</f>
        <v>0</v>
      </c>
      <c r="AZ255">
        <f>(0.6*AW255+0.7*AX255)*$AU$171/2</f>
        <v>0</v>
      </c>
      <c r="BA255">
        <f>(0.6*AW255+0.6*AY255)*$AU$171/2</f>
        <v>0</v>
      </c>
      <c r="BC255">
        <f>IF(AV255=0,0,$BG$171*$AP$149)</f>
        <v>0</v>
      </c>
      <c r="BD255">
        <f>IFERROR(BC255/$AU$171,0)</f>
        <v>0</v>
      </c>
      <c r="BE255">
        <f>BC255*($F$21+IF($F$21=0,0,($C$14+$C$15+IF($C$13="single",1.5,3)+3)/12))</f>
        <v>0</v>
      </c>
      <c r="BF255">
        <f>BE255-AZ255</f>
        <v>0</v>
      </c>
      <c r="BG255" cm="1">
        <f t="array" ref="BG255">IFERROR(IF(BF255&lt;0,0,BF255/($AU$171-INDEX(hd_off,MATCH(BT255,hd_mark,0),0)/12)),0)</f>
        <v>0</v>
      </c>
      <c r="BH255">
        <f>IF(AV255=0,0,$BG$171*$AM$149)</f>
        <v>0</v>
      </c>
      <c r="BI255">
        <f>IFERROR(BH255/$AU$171,0)</f>
        <v>0</v>
      </c>
      <c r="BJ255">
        <f>BH255*($F$21+IF($F$21=0,0,($C$14+$C$15+IF($C$13="single",1.5,3)+3)/12))</f>
        <v>0</v>
      </c>
      <c r="BK255">
        <f>BJ255-BA255</f>
        <v>0</v>
      </c>
      <c r="BL255" cm="1">
        <f t="array" ref="BL255">IFERROR(IF(BK255&lt;0,0,BK255/($AU$171-INDEX(hd_off,MATCH(BT255,hd_mark,0),0)/12)),0)</f>
        <v>0</v>
      </c>
      <c r="BM255">
        <f>MAX($F$21,$BB$171)/$Q$180</f>
        <v>0.30172413793103448</v>
      </c>
      <c r="BN255">
        <f>IF(BM255=0,0,IF(BM255&gt;2,1.25-0.125*BM255,1))</f>
        <v>1</v>
      </c>
      <c r="BO255" cm="1">
        <f t="array" ref="BO255">IFERROR(INDEX(sheath_ecap_asd,MATCH(BS255,sheath_mark,0),0)*BN255,0)</f>
        <v>0</v>
      </c>
      <c r="BP255" cm="1">
        <f t="array" ref="BP255">IFERROR(INDEX(sheath_wcap_asd,MATCH(BS255,sheath_mark,0),0)*BN255,0)</f>
        <v>0</v>
      </c>
      <c r="BQ255" cm="1">
        <f t="array" ref="BQ255">IFERROR(INDEX(hd_cap,MATCH(BT255,hd_mark,0),0),0)</f>
        <v>0</v>
      </c>
      <c r="BS255" s="19"/>
      <c r="BT255" s="19"/>
      <c r="BU255" s="100"/>
    </row>
    <row r="256" x14ac:dyDescent="0.25">
      <c r="P256" s="93"/>
      <c r="Q256" s="109"/>
      <c r="R256" t="str">
        <f>$Q$150</f>
        <v>L3</v>
      </c>
      <c r="S256">
        <f>$E$22</f>
        <v>21.375</v>
      </c>
      <c r="T256" cm="1">
        <f t="array" ref="T256">IFERROR(IF(S256=0,0,(INDEX($C$33:$C$38,MATCH($W$171,$B$33:$B$38,0),0)*(S259+$X$171)+$T$171*COUNTIF(S256:S271,"&gt;0")*$C$32+$V$171*$C$31)*$R$171),0)</f>
        <v>0</v>
      </c>
      <c r="U256">
        <f>IF(S256=0,0,-(COUNTIF(S256:S271,"&gt;0")*$T$171*$C$32+$V$171*$C$31)*$H$27*$R$171)</f>
        <v>0</v>
      </c>
      <c r="V256">
        <f>IF(S256=0,0,$V$171*$H$26*$R$171)</f>
        <v>0</v>
      </c>
      <c r="W256">
        <f>(0.6*T256+0.7*U256)*$R$171/2</f>
        <v>0</v>
      </c>
      <c r="X256">
        <f>T256*$R$171/2</f>
        <v>0</v>
      </c>
      <c r="Z256">
        <f>IF(S256=0,0,$AD$171*$AP$150)</f>
        <v>0</v>
      </c>
      <c r="AA256">
        <f>IFERROR(Z256/$R$171,0)</f>
        <v>0</v>
      </c>
      <c r="AB256">
        <f>Z256*($F$22+IF($F$22=0,0,($C$14+$C$15+IF($C$13="single",1.5,3)+3)/12))</f>
        <v>0</v>
      </c>
      <c r="AC256">
        <f>AB256-W256</f>
        <v>0</v>
      </c>
      <c r="AD256" cm="1">
        <f t="array" ref="AD256">IFERROR(IF(AC256&lt;0,0,AC256/($R$171-INDEX(hd_off,MATCH(AQ256,hd_mark,0),0)/12)),0)</f>
        <v>0</v>
      </c>
      <c r="AE256">
        <f>IF(S256=0,0,$AD$171*$AM$150)</f>
        <v>0</v>
      </c>
      <c r="AF256">
        <f>IFERROR(AE256/$R$171,0)</f>
        <v>0</v>
      </c>
      <c r="AG256">
        <f>AE256*($F$22+IF($F$22=0,0,($C$14+$C$15+IF($C$13="single",1.5,3)+3)/12))</f>
        <v>0</v>
      </c>
      <c r="AH256">
        <f>AG256-X256</f>
        <v>0</v>
      </c>
      <c r="AI256" cm="1">
        <f t="array" ref="AI256">IFERROR(IF(AH256&lt;0,0,AH256/($R$171-INDEX(hd_off,MATCH(AQ256,hd_mark,0),0)/12)),0)</f>
        <v>0</v>
      </c>
      <c r="AJ256">
        <f>MAX($F$22,$Z$171)/$Q$180</f>
        <v>0.30172413793103448</v>
      </c>
      <c r="AK256">
        <f t="shared" ref="AK256:AK259" si="151">IF(AJ256=0,0,IF(AJ256&gt;2,1.25-0.125*AJ256,1))</f>
        <v>1</v>
      </c>
      <c r="AL256" cm="1">
        <f t="array" ref="AL256">IFERROR(INDEX(sheath_ecap_asd,MATCH(AP256,sheath_mark,0),0)*AK256,0)</f>
        <v>0</v>
      </c>
      <c r="AM256" cm="1">
        <f t="array" ref="AM256">IFERROR(INDEX(sheath_wcap_asd,MATCH(AP256,sheath_mark,0),0)*AK256,0)</f>
        <v>0</v>
      </c>
      <c r="AN256" cm="1">
        <f t="array" ref="AN256">IFERROR(INDEX(hd_cap,MATCH(AQ256,hd_mark,0),0),0)</f>
        <v>0</v>
      </c>
      <c r="AP256" s="19"/>
      <c r="AQ256" s="19"/>
      <c r="AR256" s="100"/>
      <c r="AS256" s="93"/>
      <c r="AT256" s="109"/>
      <c r="AU256" t="str">
        <f>$Q$150</f>
        <v>L3</v>
      </c>
      <c r="AV256">
        <f>$E$22</f>
        <v>21.375</v>
      </c>
      <c r="AW256" cm="1">
        <f t="array" ref="AW256">IFERROR(IF(AV256=0,0,(INDEX($C$33:$C$38,MATCH($AZ$171,$B$33:$B$38,0),0)*(AV259+$BA$171)+$AW$171*COUNTIF(AV256:AV271,"&gt;0")*$C$32+$AY$171*$C$31)*$AU$171),0)</f>
        <v>0</v>
      </c>
      <c r="AX256">
        <f>IF(AV256=0,0,-(COUNTIF(AV256:AV271,"&gt;0")*$AW$171*$C$32+$AY$171*$C$31)*$H$27*$AU$171)</f>
        <v>0</v>
      </c>
      <c r="AY256">
        <f>IF(AV256=0,0,$AY$171*$H$26*$AU$171)</f>
        <v>0</v>
      </c>
      <c r="AZ256">
        <f>(0.6*AW256+0.7*AX256)*$AU$171/2</f>
        <v>0</v>
      </c>
      <c r="BA256">
        <f>AW256*$AU$171/2</f>
        <v>0</v>
      </c>
      <c r="BC256">
        <f>IF(AV256=0,0,$BG$171*$AP$150)</f>
        <v>0</v>
      </c>
      <c r="BD256">
        <f>IFERROR(BC256/$AU$171,0)</f>
        <v>0</v>
      </c>
      <c r="BE256">
        <f>BC256*($F$22+IF($F$22=0,0,($C$14+$C$15+IF($C$13="single",1.5,3)+3)/12))</f>
        <v>0</v>
      </c>
      <c r="BF256">
        <f>BE256-AZ256</f>
        <v>0</v>
      </c>
      <c r="BG256" cm="1">
        <f t="array" ref="BG256">IFERROR(IF(BF256&lt;0,0,BF256/($AU$171-INDEX(hd_off,MATCH(BT256,hd_mark,0),0)/12)),0)</f>
        <v>0</v>
      </c>
      <c r="BH256">
        <f>IF(AV256=0,0,$BG$171*$AM$150)</f>
        <v>0</v>
      </c>
      <c r="BI256">
        <f>IFERROR(BH256/$AU$171,0)</f>
        <v>0</v>
      </c>
      <c r="BJ256">
        <f>BH256*($F$22+IF($F$22=0,0,($C$14+$C$15+IF($C$13="single",1.5,3)+3)/12))</f>
        <v>0</v>
      </c>
      <c r="BK256">
        <f>BJ256-BA256</f>
        <v>0</v>
      </c>
      <c r="BL256" cm="1">
        <f t="array" ref="BL256">IFERROR(IF(BK256&lt;0,0,BK256/($AU$171-INDEX(hd_off,MATCH(BT256,hd_mark,0),0)/12)),0)</f>
        <v>0</v>
      </c>
      <c r="BM256">
        <f>MAX($F$22,$BC$171)/$Q$180</f>
        <v>0.30172413793103448</v>
      </c>
      <c r="BN256">
        <f t="shared" ref="BN256:BN257" si="152">IF(BM256=0,0,IF(BM256&gt;2,1.25-0.125*BM256,1))</f>
        <v>1</v>
      </c>
      <c r="BO256" cm="1">
        <f t="array" ref="BO256">IFERROR(INDEX(sheath_ecap_asd,MATCH(BS256,sheath_mark,0),0)*BN256,0)</f>
        <v>0</v>
      </c>
      <c r="BP256" cm="1">
        <f t="array" ref="BP256">IFERROR(INDEX(sheath_wcap_asd,MATCH(BS256,sheath_mark,0),0)*BN256,0)</f>
        <v>0</v>
      </c>
      <c r="BQ256" cm="1">
        <f t="array" ref="BQ256">IFERROR(INDEX(hd_cap,MATCH(BT256,hd_mark,0),0),0)</f>
        <v>0</v>
      </c>
      <c r="BS256" s="19"/>
      <c r="BT256" s="19"/>
      <c r="BU256" s="100"/>
    </row>
    <row r="257" x14ac:dyDescent="0.25">
      <c r="P257" s="93"/>
      <c r="Q257" s="109" t="s">
        <v>491</v>
      </c>
      <c r="R257" t="str">
        <f>$Q$151</f>
        <v>L4</v>
      </c>
      <c r="S257">
        <f>$E$23</f>
        <v>0</v>
      </c>
      <c r="T257" cm="1">
        <f t="array" ref="T257">IFERROR(IF(S257=0,0,(INDEX($C$33:$C$38,MATCH($W$171,$B$33:$B$38,0),0)*(S259+$X$171)+$T$171*COUNTIF(S257:S271,"&gt;0")*$C$32+$V$171*$C$31)*$R$171),0)</f>
        <v>0</v>
      </c>
      <c r="U257">
        <f>IF(S257=0,0,-(COUNTIF(S257:S271,"&gt;0")*$T$171*$C$32+$V$171*$C$31)*$H$27*$R$171)</f>
        <v>0</v>
      </c>
      <c r="V257">
        <f>IF(S257=0,0,$V$171*$H$26*$R$171)</f>
        <v>0</v>
      </c>
      <c r="W257">
        <f>(0.6*T257+0.7*U257)*$R$171/2</f>
        <v>0</v>
      </c>
      <c r="X257">
        <f>T257*$R$171/2</f>
        <v>0</v>
      </c>
      <c r="Z257">
        <f>IF(S257=0,0,$AD$171*$AP$151)</f>
        <v>0</v>
      </c>
      <c r="AA257">
        <f>IFERROR(Z257/$R$171,0)</f>
        <v>0</v>
      </c>
      <c r="AB257">
        <f>Z257*($F$23+IF($F$23=0,0,($C$14+$C$15+IF($C$13="single",1.5,3)+3)/12))</f>
        <v>0</v>
      </c>
      <c r="AC257">
        <f>AB257-W257</f>
        <v>0</v>
      </c>
      <c r="AD257" cm="1">
        <f t="array" ref="AD257">IFERROR(IF(AC257&lt;0,0,AC257/($R$171-INDEX(hd_off,MATCH(AQ257,hd_mark,0),0)/12)),0)</f>
        <v>0</v>
      </c>
      <c r="AE257">
        <f>IF(S257=0,0,$AD$171*$AM$151)</f>
        <v>0</v>
      </c>
      <c r="AF257">
        <f>IFERROR(AE257/$R$171,0)</f>
        <v>0</v>
      </c>
      <c r="AG257">
        <f>AE257*($F$23+IF($F$23=0,0,($C$14+$C$15+IF($C$13="single",1.5,3)+3)/12))</f>
        <v>0</v>
      </c>
      <c r="AH257">
        <f>AG257-X257</f>
        <v>0</v>
      </c>
      <c r="AI257" cm="1">
        <f t="array" ref="AI257">IFERROR(IF(AH257&lt;0,0,AH257/($R$171-INDEX(hd_off,MATCH(AQ257,hd_mark,0),0)/12)),0)</f>
        <v>0</v>
      </c>
      <c r="AJ257">
        <f>MAX($F$23,$AA$171)/$Q$180</f>
        <v>0</v>
      </c>
      <c r="AK257">
        <f t="shared" si="151"/>
        <v>0</v>
      </c>
      <c r="AL257" cm="1">
        <f t="array" ref="AL257">IFERROR(INDEX(sheath_ecap_asd,MATCH(AP257,sheath_mark,0),0)*AK257,0)</f>
        <v>0</v>
      </c>
      <c r="AM257" cm="1">
        <f t="array" ref="AM257">IFERROR(INDEX(sheath_wcap_asd,MATCH(AP257,sheath_mark,0),0)*AK257,0)</f>
        <v>0</v>
      </c>
      <c r="AN257" cm="1">
        <f t="array" ref="AN257">IFERROR(INDEX(hd_cap,MATCH(AQ257,hd_mark,0),0),0)</f>
        <v>0</v>
      </c>
      <c r="AP257" s="19"/>
      <c r="AQ257" s="19"/>
      <c r="AR257" s="100"/>
      <c r="AS257" s="93"/>
      <c r="AT257" s="109" t="s">
        <v>491</v>
      </c>
      <c r="AU257" t="str">
        <f>$Q$151</f>
        <v>L4</v>
      </c>
      <c r="AV257">
        <f>$E$23</f>
        <v>0</v>
      </c>
      <c r="AW257" cm="1">
        <f t="array" ref="AW257">IFERROR(IF(AV257=0,0,(INDEX($C$33:$C$38,MATCH($AZ$171,$B$33:$B$38,0),0)*(AV259+$BA$171)+$AW$171*COUNTIF(AV257:AV271,"&gt;0")*$C$32+$AY$171*$C$31)*$AU$171),0)</f>
        <v>0</v>
      </c>
      <c r="AX257">
        <f>IF(AV257=0,0,-(COUNTIF(AV257:AV271,"&gt;0")*$AW$171*$C$32+$AY$171*$C$31)*$H$27*$AU$171)</f>
        <v>0</v>
      </c>
      <c r="AY257">
        <f>IF(AV257=0,0,$AY$171*$H$26*$AU$171)</f>
        <v>0</v>
      </c>
      <c r="AZ257">
        <f>(0.6*AW257+0.7*AX257)*$AU$171/2</f>
        <v>0</v>
      </c>
      <c r="BA257">
        <f>AW257*$AU$171/2</f>
        <v>0</v>
      </c>
      <c r="BC257">
        <f>IF(AV257=0,0,$BG$171*$AP$151)</f>
        <v>0</v>
      </c>
      <c r="BD257">
        <f>IFERROR(BC257/$AU$171,0)</f>
        <v>0</v>
      </c>
      <c r="BE257">
        <f>BC257*($F$23+IF($F$23=0,0,($C$14+$C$15+IF($C$13="single",1.5,3)+3)/12))</f>
        <v>0</v>
      </c>
      <c r="BF257">
        <f>BE257-AZ257</f>
        <v>0</v>
      </c>
      <c r="BG257" cm="1">
        <f t="array" ref="BG257">IFERROR(IF(BF257&lt;0,0,BF257/($AU$171-INDEX(hd_off,MATCH(BT257,hd_mark,0),0)/12)),0)</f>
        <v>0</v>
      </c>
      <c r="BH257">
        <f>IF(AV257=0,0,$BG$171*$AM$151)</f>
        <v>0</v>
      </c>
      <c r="BI257">
        <f>IFERROR(BH257/$AU$171,0)</f>
        <v>0</v>
      </c>
      <c r="BJ257">
        <f>BH257*($F$23+IF($F$23=0,0,($C$14+$C$15+IF($C$13="single",1.5,3)+3)/12))</f>
        <v>0</v>
      </c>
      <c r="BK257">
        <f>BJ257-BA257</f>
        <v>0</v>
      </c>
      <c r="BL257" cm="1">
        <f t="array" ref="BL257">IFERROR(IF(BK257&lt;0,0,BK257/($AU$171-INDEX(hd_off,MATCH(BT257,hd_mark,0),0)/12)),0)</f>
        <v>0</v>
      </c>
      <c r="BM257">
        <f>MAX($F$23,$BD$171)/$Q$180</f>
        <v>0</v>
      </c>
      <c r="BN257">
        <f t="shared" si="152"/>
        <v>0</v>
      </c>
      <c r="BO257" cm="1">
        <f t="array" ref="BO257">IFERROR(INDEX(sheath_ecap_asd,MATCH(BS257,sheath_mark,0),0)*BN257,0)</f>
        <v>0</v>
      </c>
      <c r="BP257" cm="1">
        <f t="array" ref="BP257">IFERROR(INDEX(sheath_wcap_asd,MATCH(BS257,sheath_mark,0),0)*BN257,0)</f>
        <v>0</v>
      </c>
      <c r="BQ257" cm="1">
        <f t="array" ref="BQ257">IFERROR(INDEX(hd_cap,MATCH(BT257,hd_mark,0),0),0)</f>
        <v>0</v>
      </c>
      <c r="BS257" s="19"/>
      <c r="BT257" s="19"/>
      <c r="BU257" s="100"/>
    </row>
    <row r="258" x14ac:dyDescent="0.25">
      <c r="P258" s="93"/>
      <c r="Q258" s="111">
        <f>$R$171</f>
        <v>0</v>
      </c>
      <c r="R258" t="str">
        <f>$Q$152</f>
        <v>L5</v>
      </c>
      <c r="S258">
        <f>$E$24</f>
        <v>0</v>
      </c>
      <c r="T258" cm="1">
        <f t="array" ref="T258">IFERROR(IF(S271=0,0,(INDEX($C$33:$C$38,MATCH($W$171,$B$33:$B$38,0),0)*(S259+$X$171)+$T$171*COUNTIF(S271:S271,"&gt;0")*$C$32+$V$171*$C$31)*$R$171),0)</f>
        <v>0</v>
      </c>
      <c r="U258">
        <f>IF(S271=0,0,-(COUNTIF(S271:S271,"&gt;0")*$T$171*$C$32+$V$171*$C$31)*$H$27*$R$171)</f>
        <v>0</v>
      </c>
      <c r="V258">
        <f>IF(S271=0,0,$V$171*$H$26*$R$171)</f>
        <v>0</v>
      </c>
      <c r="W258">
        <f>(0.6*T271+0.7*U271)*$R$171/2</f>
        <v>0</v>
      </c>
      <c r="X258">
        <f>T271*$R$171/2</f>
        <v>0</v>
      </c>
      <c r="Z258">
        <f>IF(S271=0,0,$AD$171*$AP$152)</f>
        <v>0</v>
      </c>
      <c r="AA258">
        <f>IFERROR(Z271/$R$171,0)</f>
        <v>0</v>
      </c>
      <c r="AB258">
        <f>Z271*($F$24+IF($F$24=0,0,($C$14+$C$15+IF($C$13="single",1.5,3)+3)/12))</f>
        <v>0</v>
      </c>
      <c r="AC258">
        <f>AB271-W271</f>
        <v>0</v>
      </c>
      <c r="AD258" cm="1">
        <f t="array" ref="AD258">IFERROR(IF(AC271&lt;0,0,AC271/($R$171-INDEX(hd_off,MATCH(AQ271,hd_mark,0),0)/12)),0)</f>
        <v>0</v>
      </c>
      <c r="AE258">
        <f>IF(S271=0,0,$AD$171*$AM$152)</f>
        <v>0</v>
      </c>
      <c r="AF258">
        <f>IFERROR(AE271/$R$171,0)</f>
        <v>0</v>
      </c>
      <c r="AG258">
        <f>AE271*($F$24+IF($F$24=0,0,($C$14+$C$15+IF($C$13="single",1.5,3)+3)/12))</f>
        <v>0</v>
      </c>
      <c r="AH258">
        <f>AG271-X271</f>
        <v>0</v>
      </c>
      <c r="AI258" cm="1">
        <f t="array" ref="AI258">IFERROR(IF(AH271&lt;0,0,AH271/($R$171-INDEX(hd_off,MATCH(AQ271,hd_mark,0),0)/12)),0)</f>
        <v>0</v>
      </c>
      <c r="AJ258">
        <f>MAX($F$24,$AB$171)/$Q$180</f>
        <v>0</v>
      </c>
      <c r="AK258">
        <f>IF(AJ271=0,0,IF(AJ271&gt;2,1.25-0.125*AJ271,1))</f>
        <v>1</v>
      </c>
      <c r="AL258" cm="1">
        <f t="array" ref="AL258">IFERROR(INDEX(sheath_ecap_asd,MATCH(AP271,sheath_mark,0),0)*AK271,0)</f>
        <v>0</v>
      </c>
      <c r="AM258" cm="1">
        <f t="array" ref="AM258">IFERROR(INDEX(sheath_wcap_asd,MATCH(AP271,sheath_mark,0),0)*AK271,0)</f>
        <v>0</v>
      </c>
      <c r="AN258" cm="1">
        <f t="array" ref="AN258">IFERROR(INDEX(hd_cap,MATCH(AQ271,hd_mark,0),0),0)</f>
        <v>0</v>
      </c>
      <c r="AP258" s="19"/>
      <c r="AQ258" s="19"/>
      <c r="AR258" s="100"/>
      <c r="AS258" s="93"/>
      <c r="AT258" s="111">
        <f>$R$171</f>
        <v>0</v>
      </c>
      <c r="AU258" t="str">
        <f>$Q$152</f>
        <v>L5</v>
      </c>
      <c r="AV258">
        <f>$E$24</f>
        <v>0</v>
      </c>
      <c r="AW258" cm="1">
        <f t="array" ref="AW258">IFERROR(IF(AV271=0,0,(INDEX($C$33:$C$38,MATCH($AZ$171,$B$33:$B$38,0),0)*(AV259+$BA$171)+$AW$171*COUNTIF(AV271:AV271,"&gt;0")*$C$32+$AY$171*$C$31)*$AU$171),0)</f>
        <v>0</v>
      </c>
      <c r="AX258">
        <f>IF(AV271=0,0,-(COUNTIF(AV271:AV271,"&gt;0")*$AW$171*$C$32+$AY$171*$C$31)*$H$27*$AU$171)</f>
        <v>0</v>
      </c>
      <c r="AY258">
        <f>IF(AV271=0,0,$AY$171*$H$26*$AU$171)</f>
        <v>0</v>
      </c>
      <c r="AZ258">
        <f>(0.6*AW271+0.7*AX271)*$AU$171/2</f>
        <v>0</v>
      </c>
      <c r="BA258">
        <f>AW271*$AU$171/2</f>
        <v>0</v>
      </c>
      <c r="BC258">
        <f>IF(AV271=0,0,$BG$171*$AP$152)</f>
        <v>0</v>
      </c>
      <c r="BD258">
        <f>IFERROR(BC271/$AU$171,0)</f>
        <v>0</v>
      </c>
      <c r="BE258">
        <f>BC271*($F$24+IF($F$24=0,0,($C$14+$C$15+IF($C$13="single",1.5,3)+3)/12))</f>
        <v>0</v>
      </c>
      <c r="BF258">
        <f>BE271-AZ271</f>
        <v>0</v>
      </c>
      <c r="BG258" cm="1">
        <f t="array" ref="BG258">IFERROR(IF(BF271&lt;0,0,BF271/($AU$171-INDEX(hd_off,MATCH(BT271,hd_mark,0),0)/12)),0)</f>
        <v>0</v>
      </c>
      <c r="BH258">
        <f>IF(AV271=0,0,$BG$171*$AM$152)</f>
        <v>0</v>
      </c>
      <c r="BI258">
        <f>IFERROR(BH271/$AU$171,0)</f>
        <v>0</v>
      </c>
      <c r="BJ258">
        <f>BH271*($F$24+IF($F$24=0,0,($C$14+$C$15+IF($C$13="single",1.5,3)+3)/12))</f>
        <v>0</v>
      </c>
      <c r="BK258">
        <f>BJ271-BA271</f>
        <v>0</v>
      </c>
      <c r="BL258" cm="1">
        <f t="array" ref="BL258">IFERROR(IF(BK271&lt;0,0,BK271/($AU$171-INDEX(hd_off,MATCH(BT271,hd_mark,0),0)/12)),0)</f>
        <v>0</v>
      </c>
      <c r="BM258">
        <f>MAX($F$24,$BE$171)/$Q$180</f>
        <v>0</v>
      </c>
      <c r="BN258">
        <f>IF(BM271=0,0,IF(BM271&gt;2,1.25-0.125*BM271,1))</f>
        <v>0</v>
      </c>
      <c r="BO258" cm="1">
        <f t="array" ref="BO258">IFERROR(INDEX(sheath_ecap_asd,MATCH(BS271,sheath_mark,0),0)*BN271,0)</f>
        <v>0</v>
      </c>
      <c r="BP258" cm="1">
        <f t="array" ref="BP258">IFERROR(INDEX(sheath_wcap_asd,MATCH(BS271,sheath_mark,0),0)*BN271,0)</f>
        <v>0</v>
      </c>
      <c r="BQ258" cm="1">
        <f t="array" ref="BQ258">IFERROR(INDEX(hd_cap,MATCH(BT271,hd_mark,0),0),0)</f>
        <v>0</v>
      </c>
      <c r="BS258" s="19"/>
      <c r="BT258" s="19"/>
      <c r="BU258" s="100"/>
    </row>
    <row r="259" x14ac:dyDescent="0.25">
      <c r="P259" s="93"/>
      <c r="Q259" s="109"/>
      <c r="R259" t="str">
        <f>$Q$153</f>
        <v>Roof</v>
      </c>
      <c r="S259">
        <f>$E$25</f>
        <v>33.171875</v>
      </c>
      <c r="T259" cm="1">
        <f t="array" ref="T259">IFERROR(IF(S259=0,0,(INDEX($C$33:$C$38,MATCH($W$171,$B$33:$B$38,0),0)*(S259+$X$171)+$V$171*$C$31)*$R$171),0)</f>
        <v>0</v>
      </c>
      <c r="U259">
        <f>IF(S259=0,0,-$V$171*$C$31*$H$27*$R$171)</f>
        <v>0</v>
      </c>
      <c r="V259">
        <f>IF(S259=0,0,$V$171*$H$26*$R$171)</f>
        <v>0</v>
      </c>
      <c r="W259">
        <f>(0.6*T259+0.7*U259)*$R$171/2</f>
        <v>0</v>
      </c>
      <c r="X259">
        <f>T259*$R$171/2</f>
        <v>0</v>
      </c>
      <c r="Z259">
        <f>IF(S259=0,0,$AD$171*$AP$153)</f>
        <v>0</v>
      </c>
      <c r="AA259">
        <f>IFERROR(Z259/$R$171,0)</f>
        <v>0</v>
      </c>
      <c r="AB259">
        <f>Z259*($F$25+($C$16+$C$17+IF($C$13="single",1.5,3)+3)/12)</f>
        <v>0</v>
      </c>
      <c r="AC259">
        <f>AB259-W259</f>
        <v>0</v>
      </c>
      <c r="AD259" cm="1">
        <f t="array" ref="AD259">IFERROR(IF(AC259&lt;0,0,AC259/($R$171-INDEX(hd_off,MATCH(AQ259,hd_mark,0),0)/12)),0)</f>
        <v>0</v>
      </c>
      <c r="AE259">
        <f>IF(S259=0,0,$AD$171*$AM$153)</f>
        <v>0</v>
      </c>
      <c r="AF259">
        <f>IFERROR(AE259/$R$171,0)</f>
        <v>0</v>
      </c>
      <c r="AG259">
        <f>AE259*($F$25+($C$16+$C$17+IF($C$13="single",1.5,3)+3)/12)</f>
        <v>0</v>
      </c>
      <c r="AH259">
        <f>AG259-X259</f>
        <v>0</v>
      </c>
      <c r="AI259" cm="1">
        <f t="array" ref="AI259">IFERROR(IF(AH259&lt;0,0,AH259/($R$171-INDEX(hd_off,MATCH(AQ259,hd_mark,0),0)/12)),0)</f>
        <v>0</v>
      </c>
      <c r="AJ259">
        <f>MAX($F$25,$AC$171)/$Q$180</f>
        <v>0.29920977011494249</v>
      </c>
      <c r="AK259">
        <f t="shared" si="151"/>
        <v>1</v>
      </c>
      <c r="AL259" cm="1">
        <f t="array" ref="AL259">IFERROR(INDEX(sheath_ecap_asd,MATCH(AP259,sheath_mark,0),0)*AK259,0)</f>
        <v>0</v>
      </c>
      <c r="AM259" cm="1">
        <f t="array" ref="AM259">IFERROR(INDEX(sheath_wcap_asd,MATCH(AP259,sheath_mark,0),0)*AK259,0)</f>
        <v>0</v>
      </c>
      <c r="AN259" cm="1">
        <f t="array" ref="AN259">IFERROR(INDEX(hd_cap,MATCH(AQ259,hd_mark,0),0),0)</f>
        <v>0</v>
      </c>
      <c r="AP259" s="19"/>
      <c r="AQ259" s="19"/>
      <c r="AR259" s="100"/>
      <c r="AS259" s="93"/>
      <c r="AT259" s="109"/>
      <c r="AU259" t="str">
        <f>$Q$153</f>
        <v>Roof</v>
      </c>
      <c r="AV259">
        <f>$E$25</f>
        <v>33.171875</v>
      </c>
      <c r="AW259" cm="1">
        <f t="array" ref="AW259">IFERROR(IF(AV259=0,0,(INDEX($C$33:$C$38,MATCH($AZ$171,$B$33:$B$38,0),0)*(AV259+$BA$171)+$AY$171*$C$31)*$AU$171),0)</f>
        <v>0</v>
      </c>
      <c r="AX259">
        <f>IF(AV259=0,0,-$AY$171*$C$31*$H$27*$AU$171)</f>
        <v>0</v>
      </c>
      <c r="AY259">
        <f>IF(AV259=0,0,$AY$171*$H$26*$AU$171)</f>
        <v>0</v>
      </c>
      <c r="AZ259">
        <f>(0.6*AW259+0.7*AX259)*$AU$171/2</f>
        <v>0</v>
      </c>
      <c r="BA259">
        <f>AW259*$AU$171/2</f>
        <v>0</v>
      </c>
      <c r="BC259">
        <f>IF(AV259=0,0,$BG$171*$AP$153)</f>
        <v>0</v>
      </c>
      <c r="BD259">
        <f>IFERROR(BC259/$AU$171,0)</f>
        <v>0</v>
      </c>
      <c r="BE259">
        <f>BC259*($F$25+($C$16+$C$17+IF($C$13="single",1.5,3)+3)/12)</f>
        <v>0</v>
      </c>
      <c r="BF259">
        <f>BE259-AZ259</f>
        <v>0</v>
      </c>
      <c r="BG259" cm="1">
        <f t="array" ref="BG259">IFERROR(IF(BF259&lt;0,0,BF259/($AU$171-INDEX(hd_off,MATCH(BT259,hd_mark,0),0)/12)),0)</f>
        <v>0</v>
      </c>
      <c r="BH259">
        <f>IF(AV259=0,0,$BG$171*$AM$153)</f>
        <v>0</v>
      </c>
      <c r="BI259">
        <f>IFERROR(BH259/$AU$171,0)</f>
        <v>0</v>
      </c>
      <c r="BJ259">
        <f>BH259*($F$25+($C$16+$C$17+IF($C$13="single",1.5,3)+3)/12)</f>
        <v>0</v>
      </c>
      <c r="BK259">
        <f>BJ259-BA259</f>
        <v>0</v>
      </c>
      <c r="BL259" cm="1">
        <f t="array" ref="BL259">IFERROR(IF(BK259&lt;0,0,BK259/($AU$171-INDEX(hd_off,MATCH(BT259,hd_mark,0),0)/12)),0)</f>
        <v>0</v>
      </c>
      <c r="BM259">
        <f>MAX($F$25,$BF$171)/$Q$180</f>
        <v>0.29920977011494249</v>
      </c>
      <c r="BN259">
        <f t="shared" ref="BN259" si="153">IF(BM259=0,0,IF(BM259&gt;2,1.25-0.125*BM259,1))</f>
        <v>1</v>
      </c>
      <c r="BO259" cm="1">
        <f t="array" ref="BO259">IFERROR(INDEX(sheath_ecap_asd,MATCH(BS259,sheath_mark,0),0)*BN259,0)</f>
        <v>0</v>
      </c>
      <c r="BP259" cm="1">
        <f t="array" ref="BP259">IFERROR(INDEX(sheath_wcap_asd,MATCH(BS259,sheath_mark,0),0)*BN259,0)</f>
        <v>0</v>
      </c>
      <c r="BQ259" cm="1">
        <f t="array" ref="BQ259">IFERROR(INDEX(hd_cap,MATCH(BT259,hd_mark,0),0),0)</f>
        <v>0</v>
      </c>
      <c r="BS259" s="19"/>
      <c r="BT259" s="19"/>
      <c r="BU259" s="100"/>
    </row>
    <row r="260" x14ac:dyDescent="0.25">
      <c r="P260" s="93"/>
      <c r="AR260" s="100"/>
      <c r="AS260" s="93"/>
      <c r="BU260" s="100"/>
    </row>
    <row r="261" x14ac:dyDescent="0.25">
      <c r="P261" s="93"/>
      <c r="Q261" s="110" t="str">
        <f>$Q$172</f>
        <v>A.15</v>
      </c>
      <c r="R261" t="str">
        <f>$Q$149</f>
        <v>L2</v>
      </c>
      <c r="S261">
        <f>$E$21</f>
        <v>10.6875</v>
      </c>
      <c r="T261" cm="1">
        <f t="array" ref="T261">IFERROR(IF(S261=0,0,(INDEX($C$33:$C$38,MATCH($W$172,$B$33:$B$38,0),0)*(S265+$X$172)+$T$172*COUNTIF(S261:S264,"&gt;0")*$C$32+$V$172*$C$31)*$R$172),0)</f>
        <v>0</v>
      </c>
      <c r="U261">
        <f>IF(S261=0,0,-(COUNTIF(S261:S264,"&gt;0")*$T$172*$C$32+$V$172*$C$31)*$H$27*$R$172)</f>
        <v>0</v>
      </c>
      <c r="V261">
        <f>IF(S261=0,0,$V$172*$H$26*$R$172)</f>
        <v>0</v>
      </c>
      <c r="W261">
        <f>(0.6*T261+0.7*U261)*$R$172/2</f>
        <v>0</v>
      </c>
      <c r="X261">
        <f>(0.6*T261+0.6*V261)*$R$172/2</f>
        <v>0</v>
      </c>
      <c r="Z261">
        <f>IF(S261=0,0,$AD$172*$AP$149)</f>
        <v>0</v>
      </c>
      <c r="AA261">
        <f>IFERROR(Z261/$R$172,0)</f>
        <v>0</v>
      </c>
      <c r="AB261">
        <f>Z261*($F$21+IF($F$21=0,0,($C$14+$C$15+IF($C$13="single",1.5,3)+3)/12))</f>
        <v>0</v>
      </c>
      <c r="AC261">
        <f>AB261-W261</f>
        <v>0</v>
      </c>
      <c r="AD261" cm="1">
        <f t="array" ref="AD261">IFERROR(IF(AC261&lt;0,0,AC261/($R$172-INDEX(hd_off,MATCH(AQ261,hd_mark,0),0)/12)),0)</f>
        <v>0</v>
      </c>
      <c r="AE261">
        <f>IF(S261=0,0,$AD$172*$AM$149)</f>
        <v>0</v>
      </c>
      <c r="AF261">
        <f>IFERROR(AE261/$R$172,0)</f>
        <v>0</v>
      </c>
      <c r="AG261">
        <f>AE261*($F$21+IF($F$21=0,0,($C$14+$C$15+IF($C$13="single",1.5,3)+3)/12))</f>
        <v>0</v>
      </c>
      <c r="AH261">
        <f>AG261-X261</f>
        <v>0</v>
      </c>
      <c r="AI261" cm="1">
        <f t="array" ref="AI261">IFERROR(IF(AH261&lt;0,0,AH261/($R$172-INDEX(hd_off,MATCH(AQ261,hd_mark,0),0)/12)),0)</f>
        <v>0</v>
      </c>
      <c r="AJ261">
        <f>MAX($F$21,$Y$172)/$Q$180</f>
        <v>0.30172413793103448</v>
      </c>
      <c r="AK261">
        <f>IF(AJ261=0,0,IF(AJ261&gt;2,1.25-0.125*AJ261,1))</f>
        <v>1</v>
      </c>
      <c r="AL261" cm="1">
        <f t="array" ref="AL261">IFERROR(INDEX(sheath_ecap_asd,MATCH(AP261,sheath_mark,0),0)*AK261,0)</f>
        <v>0</v>
      </c>
      <c r="AM261" cm="1">
        <f t="array" ref="AM261">IFERROR(INDEX(sheath_wcap_asd,MATCH(AP261,sheath_mark,0),0)*AK261,0)</f>
        <v>0</v>
      </c>
      <c r="AN261" cm="1">
        <f t="array" ref="AN261">IFERROR(INDEX(hd_cap,MATCH(AQ261,hd_mark,0),0),0)</f>
        <v>0</v>
      </c>
      <c r="AP261" s="19"/>
      <c r="AQ261" s="19"/>
      <c r="AR261" s="100"/>
      <c r="AS261" s="93"/>
      <c r="AT261" s="110" t="str">
        <f>$AT$172</f>
        <v>1.15</v>
      </c>
      <c r="AU261" t="str">
        <f>$Q$149</f>
        <v>L2</v>
      </c>
      <c r="AV261">
        <f>$E$21</f>
        <v>10.6875</v>
      </c>
      <c r="AW261" cm="1">
        <f t="array" ref="AW261">IFERROR(IF(AV261=0,0,(INDEX($C$33:$C$38,MATCH($AZ$172,$B$33:$B$38,0),0)*(AV265+$BA$172)+$AW$172*COUNTIF(AV261:AV264,"&gt;0")*$C$32+$AY$172*$C$31)*$AU$172),0)</f>
        <v>0</v>
      </c>
      <c r="AX261">
        <f>IF(AV261=0,0,-(COUNTIF(AV261:AV264,"&gt;0")*$AW$172*$C$32+$AY$172*$C$31)*$H$27*$AU$172)</f>
        <v>0</v>
      </c>
      <c r="AY261">
        <f>IF(AV261=0,0,$AY$172*$H$26*$AU$172)</f>
        <v>0</v>
      </c>
      <c r="AZ261">
        <f>(0.6*AW261+0.7*AX261)*$AU$172/2</f>
        <v>0</v>
      </c>
      <c r="BA261">
        <f>(0.6*AW261+0.6*AY261)*$AU$172/2</f>
        <v>0</v>
      </c>
      <c r="BC261">
        <f>IF(AV261=0,0,$BG$172*$AP$149)</f>
        <v>0</v>
      </c>
      <c r="BD261">
        <f>IFERROR(BC261/$AU$172,0)</f>
        <v>0</v>
      </c>
      <c r="BE261">
        <f>BC261*($F$21+IF($F$21=0,0,($C$14+$C$15+IF($C$13="single",1.5,3)+3)/12))</f>
        <v>0</v>
      </c>
      <c r="BF261">
        <f>BE261-AZ261</f>
        <v>0</v>
      </c>
      <c r="BG261" cm="1">
        <f t="array" ref="BG261">IFERROR(IF(BF261&lt;0,0,BF261/($AU$172-INDEX(hd_off,MATCH(BT261,hd_mark,0),0)/12)),0)</f>
        <v>0</v>
      </c>
      <c r="BH261">
        <f>IF(AV261=0,0,$BG$172*$AM$149)</f>
        <v>0</v>
      </c>
      <c r="BI261">
        <f>IFERROR(BH261/$AU$172,0)</f>
        <v>0</v>
      </c>
      <c r="BJ261">
        <f>BH261*($F$21+IF($F$21=0,0,($C$14+$C$15+IF($C$13="single",1.5,3)+3)/12))</f>
        <v>0</v>
      </c>
      <c r="BK261">
        <f>BJ261-BA261</f>
        <v>0</v>
      </c>
      <c r="BL261" cm="1">
        <f t="array" ref="BL261">IFERROR(IF(BK261&lt;0,0,BK261/($AU$172-INDEX(hd_off,MATCH(BT261,hd_mark,0),0)/12)),0)</f>
        <v>0</v>
      </c>
      <c r="BM261">
        <f>MAX($F$21,$BB$172)/$Q$180</f>
        <v>0.30172413793103448</v>
      </c>
      <c r="BN261">
        <f>IF(BM261=0,0,IF(BM261&gt;2,1.25-0.125*BM261,1))</f>
        <v>1</v>
      </c>
      <c r="BO261" cm="1">
        <f t="array" ref="BO261">IFERROR(INDEX(sheath_ecap_asd,MATCH(BS261,sheath_mark,0),0)*BN261,0)</f>
        <v>0</v>
      </c>
      <c r="BP261" cm="1">
        <f t="array" ref="BP261">IFERROR(INDEX(sheath_wcap_asd,MATCH(BS261,sheath_mark,0),0)*BN261,0)</f>
        <v>0</v>
      </c>
      <c r="BQ261" cm="1">
        <f t="array" ref="BQ261">IFERROR(INDEX(hd_cap,MATCH(BT261,hd_mark,0),0),0)</f>
        <v>0</v>
      </c>
      <c r="BS261" s="19"/>
      <c r="BT261" s="19"/>
      <c r="BU261" s="100"/>
    </row>
    <row r="262" x14ac:dyDescent="0.25">
      <c r="P262" s="93"/>
      <c r="Q262" s="109"/>
      <c r="R262" t="str">
        <f>$Q$150</f>
        <v>L3</v>
      </c>
      <c r="S262">
        <f>$E$22</f>
        <v>21.375</v>
      </c>
      <c r="T262" cm="1">
        <f t="array" ref="T262">IFERROR(IF(S262=0,0,(INDEX($C$33:$C$38,MATCH($W$172,$B$33:$B$38,0),0)*(S265+$X$172)+$T$172*COUNTIF(S262:S264,"&gt;0")*$C$32+$V$172*$C$31)*$R$172),0)</f>
        <v>0</v>
      </c>
      <c r="U262">
        <f>IF(S262=0,0,-(COUNTIF(S262:S264,"&gt;0")*$T$172*$C$32+$V$172*$C$31)*$H$27*$R$172)</f>
        <v>0</v>
      </c>
      <c r="V262">
        <f>IF(S262=0,0,$V$172*$H$26*$R$172)</f>
        <v>0</v>
      </c>
      <c r="W262">
        <f>(0.6*T262+0.7*U262)*$R$172/2</f>
        <v>0</v>
      </c>
      <c r="X262">
        <f>T262*$R$172/2</f>
        <v>0</v>
      </c>
      <c r="Z262">
        <f>IF(S262=0,0,$AD$172*$AP$150)</f>
        <v>0</v>
      </c>
      <c r="AA262">
        <f>IFERROR(Z262/$R$172,0)</f>
        <v>0</v>
      </c>
      <c r="AB262">
        <f>Z262*($F$22+IF($F$22=0,0,($C$14+$C$15+IF($C$13="single",1.5,3)+3)/12))</f>
        <v>0</v>
      </c>
      <c r="AC262">
        <f>AB262-W262</f>
        <v>0</v>
      </c>
      <c r="AD262" cm="1">
        <f t="array" ref="AD262">IFERROR(IF(AC262&lt;0,0,AC262/($R$172-INDEX(hd_off,MATCH(AQ262,hd_mark,0),0)/12)),0)</f>
        <v>0</v>
      </c>
      <c r="AE262">
        <f>IF(S262=0,0,$AD$172*$AM$150)</f>
        <v>0</v>
      </c>
      <c r="AF262">
        <f>IFERROR(AE262/$R$172,0)</f>
        <v>0</v>
      </c>
      <c r="AG262">
        <f>AE262*($F$22+IF($F$22=0,0,($C$14+$C$15+IF($C$13="single",1.5,3)+3)/12))</f>
        <v>0</v>
      </c>
      <c r="AH262">
        <f>AG262-X262</f>
        <v>0</v>
      </c>
      <c r="AI262" cm="1">
        <f t="array" ref="AI262">IFERROR(IF(AH262&lt;0,0,AH262/($R$172-INDEX(hd_off,MATCH(AQ262,hd_mark,0),0)/12)),0)</f>
        <v>0</v>
      </c>
      <c r="AJ262">
        <f>MAX($F$22,$Z$172)/$Q$180</f>
        <v>0.30172413793103448</v>
      </c>
      <c r="AK262">
        <f t="shared" ref="AK262:AK265" si="154">IF(AJ262=0,0,IF(AJ262&gt;2,1.25-0.125*AJ262,1))</f>
        <v>1</v>
      </c>
      <c r="AL262" cm="1">
        <f t="array" ref="AL262">IFERROR(INDEX(sheath_ecap_asd,MATCH(AP262,sheath_mark,0),0)*AK262,0)</f>
        <v>0</v>
      </c>
      <c r="AM262" cm="1">
        <f t="array" ref="AM262">IFERROR(INDEX(sheath_wcap_asd,MATCH(AP262,sheath_mark,0),0)*AK262,0)</f>
        <v>0</v>
      </c>
      <c r="AN262" cm="1">
        <f t="array" ref="AN262">IFERROR(INDEX(hd_cap,MATCH(AQ262,hd_mark,0),0),0)</f>
        <v>0</v>
      </c>
      <c r="AP262" s="19"/>
      <c r="AQ262" s="19"/>
      <c r="AR262" s="100"/>
      <c r="AS262" s="93"/>
      <c r="AT262" s="109"/>
      <c r="AU262" t="str">
        <f>$Q$150</f>
        <v>L3</v>
      </c>
      <c r="AV262">
        <f>$E$22</f>
        <v>21.375</v>
      </c>
      <c r="AW262" cm="1">
        <f t="array" ref="AW262">IFERROR(IF(AV262=0,0,(INDEX($C$33:$C$38,MATCH($AZ$172,$B$33:$B$38,0),0)*(AV265+$BA$172)+$AW$172*COUNTIF(AV262:AV264,"&gt;0")*$C$32+$AY$172*$C$31)*$AU$172),0)</f>
        <v>0</v>
      </c>
      <c r="AX262">
        <f>IF(AV262=0,0,-(COUNTIF(AV262:AV264,"&gt;0")*$AW$172*$C$32+$AY$172*$C$31)*$H$27*$AU$172)</f>
        <v>0</v>
      </c>
      <c r="AY262">
        <f>IF(AV262=0,0,$AY$172*$H$26*$AU$172)</f>
        <v>0</v>
      </c>
      <c r="AZ262">
        <f>(0.6*AW262+0.7*AX262)*$AU$172/2</f>
        <v>0</v>
      </c>
      <c r="BA262">
        <f>AW262*$AU$172/2</f>
        <v>0</v>
      </c>
      <c r="BC262">
        <f>IF(AV262=0,0,$BG$172*$AP$150)</f>
        <v>0</v>
      </c>
      <c r="BD262">
        <f>IFERROR(BC262/$AU$172,0)</f>
        <v>0</v>
      </c>
      <c r="BE262">
        <f>BC262*($F$22+IF($F$22=0,0,($C$14+$C$15+IF($C$13="single",1.5,3)+3)/12))</f>
        <v>0</v>
      </c>
      <c r="BF262">
        <f>BE262-AZ262</f>
        <v>0</v>
      </c>
      <c r="BG262" cm="1">
        <f t="array" ref="BG262">IFERROR(IF(BF262&lt;0,0,BF262/($AU$172-INDEX(hd_off,MATCH(BT262,hd_mark,0),0)/12)),0)</f>
        <v>0</v>
      </c>
      <c r="BH262">
        <f>IF(AV262=0,0,$BG$172*$AM$150)</f>
        <v>0</v>
      </c>
      <c r="BI262">
        <f>IFERROR(BH262/$AU$172,0)</f>
        <v>0</v>
      </c>
      <c r="BJ262">
        <f>BH262*($F$22+IF($F$22=0,0,($C$14+$C$15+IF($C$13="single",1.5,3)+3)/12))</f>
        <v>0</v>
      </c>
      <c r="BK262">
        <f>BJ262-BA262</f>
        <v>0</v>
      </c>
      <c r="BL262" cm="1">
        <f t="array" ref="BL262">IFERROR(IF(BK262&lt;0,0,BK262/($AU$172-INDEX(hd_off,MATCH(BT262,hd_mark,0),0)/12)),0)</f>
        <v>0</v>
      </c>
      <c r="BM262">
        <f>MAX($F$22,$BC$172)/$Q$180</f>
        <v>0.30172413793103448</v>
      </c>
      <c r="BN262">
        <f t="shared" ref="BN262:BN265" si="155">IF(BM262=0,0,IF(BM262&gt;2,1.25-0.125*BM262,1))</f>
        <v>1</v>
      </c>
      <c r="BO262" cm="1">
        <f t="array" ref="BO262">IFERROR(INDEX(sheath_ecap_asd,MATCH(BS262,sheath_mark,0),0)*BN262,0)</f>
        <v>0</v>
      </c>
      <c r="BP262" cm="1">
        <f t="array" ref="BP262">IFERROR(INDEX(sheath_wcap_asd,MATCH(BS262,sheath_mark,0),0)*BN262,0)</f>
        <v>0</v>
      </c>
      <c r="BQ262" cm="1">
        <f t="array" ref="BQ262">IFERROR(INDEX(hd_cap,MATCH(BT262,hd_mark,0),0),0)</f>
        <v>0</v>
      </c>
      <c r="BS262" s="19"/>
      <c r="BT262" s="19"/>
      <c r="BU262" s="100"/>
    </row>
    <row r="263" x14ac:dyDescent="0.25">
      <c r="P263" s="93"/>
      <c r="Q263" s="109" t="s">
        <v>491</v>
      </c>
      <c r="R263" t="str">
        <f>$Q$151</f>
        <v>L4</v>
      </c>
      <c r="S263">
        <f>$E$23</f>
        <v>0</v>
      </c>
      <c r="T263" cm="1">
        <f t="array" ref="T263">IFERROR(IF(S263=0,0,(INDEX($C$33:$C$38,MATCH($W$172,$B$33:$B$38,0),0)*(S265+$X$172)+$T$172*COUNTIF(S263:S264,"&gt;0")*$C$32+$V$172*$C$31)*$R$172),0)</f>
        <v>0</v>
      </c>
      <c r="U263">
        <f>IF(S263=0,0,-(COUNTIF(S263:S264,"&gt;0")*$T$172*$C$32+$V$172*$C$31)*$H$27*$R$172)</f>
        <v>0</v>
      </c>
      <c r="V263">
        <f>IF(S263=0,0,$V$172*$H$26*$R$172)</f>
        <v>0</v>
      </c>
      <c r="W263">
        <f>(0.6*T263+0.7*U263)*$R$172/2</f>
        <v>0</v>
      </c>
      <c r="X263">
        <f>T263*$R$172/2</f>
        <v>0</v>
      </c>
      <c r="Z263">
        <f>IF(S263=0,0,$AD$172*$AP$151)</f>
        <v>0</v>
      </c>
      <c r="AA263">
        <f>IFERROR(Z263/$R$172,0)</f>
        <v>0</v>
      </c>
      <c r="AB263">
        <f>Z263*($F$23+IF($F$23=0,0,($C$14+$C$15+IF($C$13="single",1.5,3)+3)/12))</f>
        <v>0</v>
      </c>
      <c r="AC263">
        <f>AB263-W263</f>
        <v>0</v>
      </c>
      <c r="AD263" cm="1">
        <f t="array" ref="AD263">IFERROR(IF(AC263&lt;0,0,AC263/($R$172-INDEX(hd_off,MATCH(AQ263,hd_mark,0),0)/12)),0)</f>
        <v>0</v>
      </c>
      <c r="AE263">
        <f>IF(S263=0,0,$AD$172*$AM$151)</f>
        <v>0</v>
      </c>
      <c r="AF263">
        <f>IFERROR(AE263/$R$172,0)</f>
        <v>0</v>
      </c>
      <c r="AG263">
        <f>AE263*($F$23+IF($F$23=0,0,($C$14+$C$15+IF($C$13="single",1.5,3)+3)/12))</f>
        <v>0</v>
      </c>
      <c r="AH263">
        <f>AG263-X263</f>
        <v>0</v>
      </c>
      <c r="AI263" cm="1">
        <f t="array" ref="AI263">IFERROR(IF(AH263&lt;0,0,AH263/($R$172-INDEX(hd_off,MATCH(AQ263,hd_mark,0),0)/12)),0)</f>
        <v>0</v>
      </c>
      <c r="AJ263">
        <f>MAX($F$23,$AA$172)/$Q$180</f>
        <v>0</v>
      </c>
      <c r="AK263">
        <f t="shared" si="154"/>
        <v>0</v>
      </c>
      <c r="AL263" cm="1">
        <f t="array" ref="AL263">IFERROR(INDEX(sheath_ecap_asd,MATCH(AP263,sheath_mark,0),0)*AK263,0)</f>
        <v>0</v>
      </c>
      <c r="AM263" cm="1">
        <f t="array" ref="AM263">IFERROR(INDEX(sheath_wcap_asd,MATCH(AP263,sheath_mark,0),0)*AK263,0)</f>
        <v>0</v>
      </c>
      <c r="AN263" cm="1">
        <f t="array" ref="AN263">IFERROR(INDEX(hd_cap,MATCH(AQ263,hd_mark,0),0),0)</f>
        <v>0</v>
      </c>
      <c r="AP263" s="19"/>
      <c r="AQ263" s="19"/>
      <c r="AR263" s="100"/>
      <c r="AS263" s="93"/>
      <c r="AT263" s="109" t="s">
        <v>491</v>
      </c>
      <c r="AU263" t="str">
        <f>$Q$151</f>
        <v>L4</v>
      </c>
      <c r="AV263">
        <f>$E$23</f>
        <v>0</v>
      </c>
      <c r="AW263" cm="1">
        <f t="array" ref="AW263">IFERROR(IF(AV263=0,0,(INDEX($C$33:$C$38,MATCH($AZ$172,$B$33:$B$38,0),0)*(AV265+$BA$172)+$AW$172*COUNTIF(AV263:AV264,"&gt;0")*$C$32+$AY$172*$C$31)*$AU$172),0)</f>
        <v>0</v>
      </c>
      <c r="AX263">
        <f>IF(AV263=0,0,-(COUNTIF(AV263:AV264,"&gt;0")*$AW$172*$C$32+$AY$172*$C$31)*$H$27*$AU$172)</f>
        <v>0</v>
      </c>
      <c r="AY263">
        <f>IF(AV263=0,0,$AY$172*$H$26*$AU$172)</f>
        <v>0</v>
      </c>
      <c r="AZ263">
        <f>(0.6*AW263+0.7*AX263)*$AU$172/2</f>
        <v>0</v>
      </c>
      <c r="BA263">
        <f>AW263*$AU$172/2</f>
        <v>0</v>
      </c>
      <c r="BC263">
        <f>IF(AV263=0,0,$BG$172*$AP$151)</f>
        <v>0</v>
      </c>
      <c r="BD263">
        <f>IFERROR(BC263/$AU$172,0)</f>
        <v>0</v>
      </c>
      <c r="BE263">
        <f>BC263*($F$23+IF($F$23=0,0,($C$14+$C$15+IF($C$13="single",1.5,3)+3)/12))</f>
        <v>0</v>
      </c>
      <c r="BF263">
        <f>BE263-AZ263</f>
        <v>0</v>
      </c>
      <c r="BG263" cm="1">
        <f t="array" ref="BG263">IFERROR(IF(BF263&lt;0,0,BF263/($AU$172-INDEX(hd_off,MATCH(BT263,hd_mark,0),0)/12)),0)</f>
        <v>0</v>
      </c>
      <c r="BH263">
        <f>IF(AV263=0,0,$BG$172*$AM$151)</f>
        <v>0</v>
      </c>
      <c r="BI263">
        <f>IFERROR(BH263/$AU$172,0)</f>
        <v>0</v>
      </c>
      <c r="BJ263">
        <f>BH263*($F$23+IF($F$23=0,0,($C$14+$C$15+IF($C$13="single",1.5,3)+3)/12))</f>
        <v>0</v>
      </c>
      <c r="BK263">
        <f>BJ263-BA263</f>
        <v>0</v>
      </c>
      <c r="BL263" cm="1">
        <f t="array" ref="BL263">IFERROR(IF(BK263&lt;0,0,BK263/($AU$172-INDEX(hd_off,MATCH(BT263,hd_mark,0),0)/12)),0)</f>
        <v>0</v>
      </c>
      <c r="BM263">
        <f>MAX($F$23,$BD$172)/$Q$180</f>
        <v>0</v>
      </c>
      <c r="BN263">
        <f t="shared" si="155"/>
        <v>0</v>
      </c>
      <c r="BO263" cm="1">
        <f t="array" ref="BO263">IFERROR(INDEX(sheath_ecap_asd,MATCH(BS263,sheath_mark,0),0)*BN263,0)</f>
        <v>0</v>
      </c>
      <c r="BP263" cm="1">
        <f t="array" ref="BP263">IFERROR(INDEX(sheath_wcap_asd,MATCH(BS263,sheath_mark,0),0)*BN263,0)</f>
        <v>0</v>
      </c>
      <c r="BQ263" cm="1">
        <f t="array" ref="BQ263">IFERROR(INDEX(hd_cap,MATCH(BT263,hd_mark,0),0),0)</f>
        <v>0</v>
      </c>
      <c r="BS263" s="19"/>
      <c r="BT263" s="19"/>
      <c r="BU263" s="100"/>
    </row>
    <row r="264" x14ac:dyDescent="0.25">
      <c r="P264" s="93"/>
      <c r="Q264" s="111">
        <f>$R$172</f>
        <v>0</v>
      </c>
      <c r="R264" t="str">
        <f>$Q$152</f>
        <v>L5</v>
      </c>
      <c r="S264">
        <f>$E$24</f>
        <v>0</v>
      </c>
      <c r="T264" cm="1">
        <f t="array" ref="T264">IFERROR(IF(S264=0,0,(INDEX($C$33:$C$38,MATCH($W$172,$B$33:$B$38,0),0)*(S265+$X$172)+$T$172*COUNTIF(S264:S264,"&gt;0")*$C$32+$V$172*$C$31)*$R$172),0)</f>
        <v>0</v>
      </c>
      <c r="U264">
        <f>IF(S264=0,0,-(COUNTIF(S264:S264,"&gt;0")*$T$172*$C$32+$V$172*$C$31)*$H$27*$R$172)</f>
        <v>0</v>
      </c>
      <c r="V264">
        <f>IF(S264=0,0,$V$172*$H$26*$R$172)</f>
        <v>0</v>
      </c>
      <c r="W264">
        <f>(0.6*T264+0.7*U264)*$R$172/2</f>
        <v>0</v>
      </c>
      <c r="X264">
        <f>T264*$R$172/2</f>
        <v>0</v>
      </c>
      <c r="Z264">
        <f>IF(S264=0,0,$AD$172*$AP$152)</f>
        <v>0</v>
      </c>
      <c r="AA264">
        <f>IFERROR(Z264/$R$172,0)</f>
        <v>0</v>
      </c>
      <c r="AB264">
        <f>Z264*($F$24+IF($F$24=0,0,($C$14+$C$15+IF($C$13="single",1.5,3)+3)/12))</f>
        <v>0</v>
      </c>
      <c r="AC264">
        <f>AB264-W264</f>
        <v>0</v>
      </c>
      <c r="AD264" cm="1">
        <f t="array" ref="AD264">IFERROR(IF(AC264&lt;0,0,AC264/($R$172-INDEX(hd_off,MATCH(AQ264,hd_mark,0),0)/12)),0)</f>
        <v>0</v>
      </c>
      <c r="AE264">
        <f>IF(S264=0,0,$AD$172*$AM$152)</f>
        <v>0</v>
      </c>
      <c r="AF264">
        <f>IFERROR(AE264/$R$172,0)</f>
        <v>0</v>
      </c>
      <c r="AG264">
        <f>AE264*($F$24+IF($F$24=0,0,($C$14+$C$15+IF($C$13="single",1.5,3)+3)/12))</f>
        <v>0</v>
      </c>
      <c r="AH264">
        <f>AG264-X264</f>
        <v>0</v>
      </c>
      <c r="AI264" cm="1">
        <f t="array" ref="AI264">IFERROR(IF(AH264&lt;0,0,AH264/($R$172-INDEX(hd_off,MATCH(AQ264,hd_mark,0),0)/12)),0)</f>
        <v>0</v>
      </c>
      <c r="AJ264">
        <f>MAX($F$24,$AB$172)/$Q$180</f>
        <v>0</v>
      </c>
      <c r="AK264">
        <f t="shared" si="154"/>
        <v>0</v>
      </c>
      <c r="AL264" cm="1">
        <f t="array" ref="AL264">IFERROR(INDEX(sheath_ecap_asd,MATCH(AP264,sheath_mark,0),0)*AK264,0)</f>
        <v>0</v>
      </c>
      <c r="AM264" cm="1">
        <f t="array" ref="AM264">IFERROR(INDEX(sheath_wcap_asd,MATCH(AP264,sheath_mark,0),0)*AK264,0)</f>
        <v>0</v>
      </c>
      <c r="AN264" cm="1">
        <f t="array" ref="AN264">IFERROR(INDEX(hd_cap,MATCH(AQ264,hd_mark,0),0),0)</f>
        <v>0</v>
      </c>
      <c r="AP264" s="19"/>
      <c r="AQ264" s="19"/>
      <c r="AR264" s="100"/>
      <c r="AS264" s="93"/>
      <c r="AT264" s="111">
        <f>$R$172</f>
        <v>0</v>
      </c>
      <c r="AU264" t="str">
        <f>$Q$152</f>
        <v>L5</v>
      </c>
      <c r="AV264">
        <f>$E$24</f>
        <v>0</v>
      </c>
      <c r="AW264" cm="1">
        <f t="array" ref="AW264">IFERROR(IF(AV264=0,0,(INDEX($C$33:$C$38,MATCH($AZ$172,$B$33:$B$38,0),0)*(AV265+$BA$172)+$AW$172*COUNTIF(AV264:AV264,"&gt;0")*$C$32+$AY$172*$C$31)*$AU$172),0)</f>
        <v>0</v>
      </c>
      <c r="AX264">
        <f>IF(AV264=0,0,-(COUNTIF(AV264:AV264,"&gt;0")*$AW$172*$C$32+$AY$172*$C$31)*$H$27*$AU$172)</f>
        <v>0</v>
      </c>
      <c r="AY264">
        <f>IF(AV264=0,0,$AY$172*$H$26*$AU$172)</f>
        <v>0</v>
      </c>
      <c r="AZ264">
        <f>(0.6*AW264+0.7*AX264)*$AU$172/2</f>
        <v>0</v>
      </c>
      <c r="BA264">
        <f>AW264*$AU$172/2</f>
        <v>0</v>
      </c>
      <c r="BC264">
        <f>IF(AV264=0,0,$BG$172*$AP$152)</f>
        <v>0</v>
      </c>
      <c r="BD264">
        <f>IFERROR(BC264/$AU$172,0)</f>
        <v>0</v>
      </c>
      <c r="BE264">
        <f>BC264*($F$24+IF($F$24=0,0,($C$14+$C$15+IF($C$13="single",1.5,3)+3)/12))</f>
        <v>0</v>
      </c>
      <c r="BF264">
        <f>BE264-AZ264</f>
        <v>0</v>
      </c>
      <c r="BG264" cm="1">
        <f t="array" ref="BG264">IFERROR(IF(BF264&lt;0,0,BF264/($AU$172-INDEX(hd_off,MATCH(BT264,hd_mark,0),0)/12)),0)</f>
        <v>0</v>
      </c>
      <c r="BH264">
        <f>IF(AV264=0,0,$BG$172*$AM$152)</f>
        <v>0</v>
      </c>
      <c r="BI264">
        <f>IFERROR(BH264/$AU$172,0)</f>
        <v>0</v>
      </c>
      <c r="BJ264">
        <f>BH264*($F$24+IF($F$24=0,0,($C$14+$C$15+IF($C$13="single",1.5,3)+3)/12))</f>
        <v>0</v>
      </c>
      <c r="BK264">
        <f>BJ264-BA264</f>
        <v>0</v>
      </c>
      <c r="BL264" cm="1">
        <f t="array" ref="BL264">IFERROR(IF(BK264&lt;0,0,BK264/($AU$172-INDEX(hd_off,MATCH(BT264,hd_mark,0),0)/12)),0)</f>
        <v>0</v>
      </c>
      <c r="BM264">
        <f>MAX($F$24,$BE$172)/$Q$180</f>
        <v>0</v>
      </c>
      <c r="BN264">
        <f t="shared" si="155"/>
        <v>0</v>
      </c>
      <c r="BO264" cm="1">
        <f t="array" ref="BO264">IFERROR(INDEX(sheath_ecap_asd,MATCH(BS264,sheath_mark,0),0)*BN264,0)</f>
        <v>0</v>
      </c>
      <c r="BP264" cm="1">
        <f t="array" ref="BP264">IFERROR(INDEX(sheath_wcap_asd,MATCH(BS264,sheath_mark,0),0)*BN264,0)</f>
        <v>0</v>
      </c>
      <c r="BQ264" cm="1">
        <f t="array" ref="BQ264">IFERROR(INDEX(hd_cap,MATCH(BT264,hd_mark,0),0),0)</f>
        <v>0</v>
      </c>
      <c r="BS264" s="19"/>
      <c r="BT264" s="19"/>
      <c r="BU264" s="100"/>
    </row>
    <row r="265" x14ac:dyDescent="0.25">
      <c r="P265" s="93"/>
      <c r="Q265" s="109"/>
      <c r="R265" t="str">
        <f>$Q$153</f>
        <v>Roof</v>
      </c>
      <c r="S265">
        <f>$E$25</f>
        <v>33.171875</v>
      </c>
      <c r="T265" cm="1">
        <f t="array" ref="T265">IFERROR(IF(S265=0,0,(INDEX($C$33:$C$38,MATCH($W$172,$B$33:$B$38,0),0)*(S265+$X$172)+$V$172*$C$31)*$R$172),0)</f>
        <v>0</v>
      </c>
      <c r="U265">
        <f>IF(S265=0,0,-$V$172*$C$31*$H$27*$R$172)</f>
        <v>0</v>
      </c>
      <c r="V265">
        <f>IF(S265=0,0,$V$172*$H$26*$R$172)</f>
        <v>0</v>
      </c>
      <c r="W265">
        <f>(0.6*T265+0.7*U265)*$R$172/2</f>
        <v>0</v>
      </c>
      <c r="X265">
        <f>T265*$R$172/2</f>
        <v>0</v>
      </c>
      <c r="Z265">
        <f>IF(S265=0,0,$AD$172*$AP$153)</f>
        <v>0</v>
      </c>
      <c r="AA265">
        <f>IFERROR(Z265/$R$172,0)</f>
        <v>0</v>
      </c>
      <c r="AB265">
        <f>Z265*($F$25+($C$16+$C$17+IF($C$13="single",1.5,3)+3)/12)</f>
        <v>0</v>
      </c>
      <c r="AC265">
        <f>AB265-W265</f>
        <v>0</v>
      </c>
      <c r="AD265" cm="1">
        <f t="array" ref="AD265">IFERROR(IF(AC265&lt;0,0,AC265/($R$172-INDEX(hd_off,MATCH(AQ265,hd_mark,0),0)/12)),0)</f>
        <v>0</v>
      </c>
      <c r="AE265">
        <f>IF(S265=0,0,$AD$172*$AM$153)</f>
        <v>0</v>
      </c>
      <c r="AF265">
        <f>IFERROR(AE265/$R$172,0)</f>
        <v>0</v>
      </c>
      <c r="AG265">
        <f>AE265*($F$25+($C$16+$C$17+IF($C$13="single",1.5,3)+3)/12)</f>
        <v>0</v>
      </c>
      <c r="AH265">
        <f>AG265-X265</f>
        <v>0</v>
      </c>
      <c r="AI265" cm="1">
        <f t="array" ref="AI265">IFERROR(IF(AH265&lt;0,0,AH265/($R$172-INDEX(hd_off,MATCH(AQ265,hd_mark,0),0)/12)),0)</f>
        <v>0</v>
      </c>
      <c r="AJ265">
        <f>MAX($F$25,$AC$172)/$Q$180</f>
        <v>0.29920977011494249</v>
      </c>
      <c r="AK265">
        <f t="shared" si="154"/>
        <v>1</v>
      </c>
      <c r="AL265" cm="1">
        <f t="array" ref="AL265">IFERROR(INDEX(sheath_ecap_asd,MATCH(AP265,sheath_mark,0),0)*AK265,0)</f>
        <v>0</v>
      </c>
      <c r="AM265" cm="1">
        <f t="array" ref="AM265">IFERROR(INDEX(sheath_wcap_asd,MATCH(AP265,sheath_mark,0),0)*AK265,0)</f>
        <v>0</v>
      </c>
      <c r="AN265" cm="1">
        <f t="array" ref="AN265">IFERROR(INDEX(hd_cap,MATCH(AQ265,hd_mark,0),0),0)</f>
        <v>0</v>
      </c>
      <c r="AP265" s="19"/>
      <c r="AQ265" s="19"/>
      <c r="AR265" s="100"/>
      <c r="AS265" s="93"/>
      <c r="AT265" s="109"/>
      <c r="AU265" t="str">
        <f>$Q$153</f>
        <v>Roof</v>
      </c>
      <c r="AV265">
        <f>$E$25</f>
        <v>33.171875</v>
      </c>
      <c r="AW265" cm="1">
        <f t="array" ref="AW265">IFERROR(IF(AV265=0,0,(INDEX($C$33:$C$38,MATCH($AZ$172,$B$33:$B$38,0),0)*(AV265+$BA$172)+$AY$172*$C$31)*$AU$172),0)</f>
        <v>0</v>
      </c>
      <c r="AX265">
        <f>IF(AV265=0,0,-$AY$172*$C$31*$H$27*$AU$172)</f>
        <v>0</v>
      </c>
      <c r="AY265">
        <f>IF(AV265=0,0,$AY$172*$H$26*$AU$172)</f>
        <v>0</v>
      </c>
      <c r="AZ265">
        <f>(0.6*AW265+0.7*AX265)*$AU$172/2</f>
        <v>0</v>
      </c>
      <c r="BA265">
        <f>AW265*$AU$172/2</f>
        <v>0</v>
      </c>
      <c r="BC265">
        <f>IF(AV265=0,0,$BG$172*$AP$153)</f>
        <v>0</v>
      </c>
      <c r="BD265">
        <f>IFERROR(BC265/$AU$172,0)</f>
        <v>0</v>
      </c>
      <c r="BE265">
        <f>BC265*($F$25+($C$16+$C$17+IF($C$13="single",1.5,3)+3)/12)</f>
        <v>0</v>
      </c>
      <c r="BF265">
        <f>BE265-AZ265</f>
        <v>0</v>
      </c>
      <c r="BG265" cm="1">
        <f t="array" ref="BG265">IFERROR(IF(BF265&lt;0,0,BF265/($AU$172-INDEX(hd_off,MATCH(BT265,hd_mark,0),0)/12)),0)</f>
        <v>0</v>
      </c>
      <c r="BH265">
        <f>IF(AV265=0,0,$BG$172*$AM$153)</f>
        <v>0</v>
      </c>
      <c r="BI265">
        <f>IFERROR(BH265/$AU$172,0)</f>
        <v>0</v>
      </c>
      <c r="BJ265">
        <f>BH265*($F$25+($C$16+$C$17+IF($C$13="single",1.5,3)+3)/12)</f>
        <v>0</v>
      </c>
      <c r="BK265">
        <f>BJ265-BA265</f>
        <v>0</v>
      </c>
      <c r="BL265" cm="1">
        <f t="array" ref="BL265">IFERROR(IF(BK265&lt;0,0,BK265/($AU$172-INDEX(hd_off,MATCH(BT265,hd_mark,0),0)/12)),0)</f>
        <v>0</v>
      </c>
      <c r="BM265">
        <f>MAX($F$25,$BF$172)/$Q$180</f>
        <v>0.29920977011494249</v>
      </c>
      <c r="BN265">
        <f t="shared" si="155"/>
        <v>1</v>
      </c>
      <c r="BO265" cm="1">
        <f t="array" ref="BO265">IFERROR(INDEX(sheath_ecap_asd,MATCH(BS265,sheath_mark,0),0)*BN265,0)</f>
        <v>0</v>
      </c>
      <c r="BP265" cm="1">
        <f t="array" ref="BP265">IFERROR(INDEX(sheath_wcap_asd,MATCH(BS265,sheath_mark,0),0)*BN265,0)</f>
        <v>0</v>
      </c>
      <c r="BQ265" cm="1">
        <f t="array" ref="BQ265">IFERROR(INDEX(hd_cap,MATCH(BT265,hd_mark,0),0),0)</f>
        <v>0</v>
      </c>
      <c r="BS265" s="19"/>
      <c r="BT265" s="19"/>
      <c r="BU265" s="100"/>
    </row>
    <row r="266" x14ac:dyDescent="0.25">
      <c r="P266" s="93"/>
      <c r="AR266" s="100"/>
      <c r="AS266" s="93"/>
      <c r="BU266" s="100"/>
    </row>
    <row r="267" x14ac:dyDescent="0.25">
      <c r="P267" s="93"/>
      <c r="Q267" s="110" t="str">
        <f>$Q$173</f>
        <v>A.16</v>
      </c>
      <c r="R267" t="str">
        <f>$Q$149</f>
        <v>L2</v>
      </c>
      <c r="S267">
        <f>$E$21</f>
        <v>10.6875</v>
      </c>
      <c r="T267" cm="1">
        <f t="array" ref="T267">IFERROR(IF(S267=0,0,(INDEX($C$33:$C$38,MATCH($W$173,$B$33:$B$38,0),0)*(S271+$X$173)+$T$173*COUNTIF(S267:S270,"&gt;0")*$C$32+$V$173*$C$31)*$R$173),0)</f>
        <v>0</v>
      </c>
      <c r="U267">
        <f>IF(S267=0,0,-(COUNTIF(S267:S270,"&gt;0")*$T$173*$C$32+$V$173*$C$31)*$H$27*$R$173)</f>
        <v>0</v>
      </c>
      <c r="V267">
        <f>IF(S267=0,0,$V$173*$H$26*$R$173)</f>
        <v>0</v>
      </c>
      <c r="W267">
        <f>(0.6*T267+0.7*U267)*$R$173/2</f>
        <v>0</v>
      </c>
      <c r="X267">
        <f>(0.6*T267+0.6*V267)*$R$173/2</f>
        <v>0</v>
      </c>
      <c r="Z267">
        <f>IF(S267=0,0,$AD$173*$AP$149)</f>
        <v>0</v>
      </c>
      <c r="AA267">
        <f>IFERROR(Z267/$R$173,0)</f>
        <v>0</v>
      </c>
      <c r="AB267">
        <f>Z267*($F$21+IF($F$21=0,0,($C$14+$C$15+IF($C$13="single",1.5,3)+3)/12))</f>
        <v>0</v>
      </c>
      <c r="AC267">
        <f>AB267-W267</f>
        <v>0</v>
      </c>
      <c r="AD267" cm="1">
        <f t="array" ref="AD267">IFERROR(IF(AC267&lt;0,0,AC267/($R$173-INDEX(hd_off,MATCH(AQ267,hd_mark,0),0)/12)),0)</f>
        <v>0</v>
      </c>
      <c r="AE267">
        <f>IF(S267=0,0,$AD$173*$AM$149)</f>
        <v>0</v>
      </c>
      <c r="AF267">
        <f>IFERROR(AE267/$R$173,0)</f>
        <v>0</v>
      </c>
      <c r="AG267">
        <f>AE267*($F$21+IF($F$21=0,0,($C$14+$C$15+IF($C$13="single",1.5,3)+3)/12))</f>
        <v>0</v>
      </c>
      <c r="AH267">
        <f>AG267-X267</f>
        <v>0</v>
      </c>
      <c r="AI267" cm="1">
        <f t="array" ref="AI267">IFERROR(IF(AH267&lt;0,0,AH267/($R$173-INDEX(hd_off,MATCH(AQ267,hd_mark,0),0)/12)),0)</f>
        <v>0</v>
      </c>
      <c r="AJ267">
        <f>MAX($F$21,$Y$173)/$Q$180</f>
        <v>0.30172413793103448</v>
      </c>
      <c r="AK267">
        <f>IF(AJ267=0,0,IF(AJ267&gt;2,1.25-0.125*AJ267,1))</f>
        <v>1</v>
      </c>
      <c r="AL267" cm="1">
        <f t="array" ref="AL267">IFERROR(INDEX(sheath_ecap_asd,MATCH(AP267,sheath_mark,0),0)*AK267,0)</f>
        <v>0</v>
      </c>
      <c r="AM267" cm="1">
        <f t="array" ref="AM267">IFERROR(INDEX(sheath_wcap_asd,MATCH(AP267,sheath_mark,0),0)*AK267,0)</f>
        <v>0</v>
      </c>
      <c r="AN267" cm="1">
        <f t="array" ref="AN267">IFERROR(INDEX(hd_cap,MATCH(AQ267,hd_mark,0),0),0)</f>
        <v>0</v>
      </c>
      <c r="AP267" s="19"/>
      <c r="AQ267" s="19"/>
      <c r="AR267" s="100"/>
      <c r="AS267" s="93"/>
      <c r="AT267" s="110" t="str">
        <f>$AT$173</f>
        <v>1.16</v>
      </c>
      <c r="AU267" t="str">
        <f>$Q$149</f>
        <v>L2</v>
      </c>
      <c r="AV267">
        <f>$E$21</f>
        <v>10.6875</v>
      </c>
      <c r="AW267" cm="1">
        <f t="array" ref="AW267">IFERROR(IF(AV267=0,0,(INDEX($C$33:$C$38,MATCH($AZ$173,$B$33:$B$38,0),0)*(AV271+$BA$173)+$AW$173*COUNTIF(AV267:AV270,"&gt;0")*$C$32+$AY$173*$C$31)*$AU$173),0)</f>
        <v>0</v>
      </c>
      <c r="AX267">
        <f>IF(AV267=0,0,-(COUNTIF(AV267:AV270,"&gt;0")*$AW$173*$C$32+$AY$173*$C$31)*$H$27*$AU$173)</f>
        <v>0</v>
      </c>
      <c r="AY267">
        <f>IF(AV267=0,0,$AY$173*$H$26*$AU$173)</f>
        <v>0</v>
      </c>
      <c r="AZ267">
        <f>(0.6*AW267+0.7*AX267)*$AU$173/2</f>
        <v>0</v>
      </c>
      <c r="BA267">
        <f>(0.6*AW267+0.6*AY267)*$AU$173/2</f>
        <v>0</v>
      </c>
      <c r="BC267">
        <f>IF(AV267=0,0,$BG$173*$AP$149)</f>
        <v>0</v>
      </c>
      <c r="BD267">
        <f>IFERROR(BC267/$AU$173,0)</f>
        <v>0</v>
      </c>
      <c r="BE267">
        <f>BC267*($F$21+IF($F$21=0,0,($C$14+$C$15+IF($C$13="single",1.5,3)+3)/12))</f>
        <v>0</v>
      </c>
      <c r="BF267">
        <f>BE267-AZ267</f>
        <v>0</v>
      </c>
      <c r="BG267" cm="1">
        <f t="array" ref="BG267">IFERROR(IF(BF267&lt;0,0,BF267/($AU$173-INDEX(hd_off,MATCH(BT267,hd_mark,0),0)/12)),0)</f>
        <v>0</v>
      </c>
      <c r="BH267">
        <f>IF(AV267=0,0,$BG$173*$AM$149)</f>
        <v>0</v>
      </c>
      <c r="BI267">
        <f>IFERROR(BH267/$AU$173,0)</f>
        <v>0</v>
      </c>
      <c r="BJ267">
        <f>BH267*($F$21+IF($F$21=0,0,($C$14+$C$15+IF($C$13="single",1.5,3)+3)/12))</f>
        <v>0</v>
      </c>
      <c r="BK267">
        <f>BJ267-BA267</f>
        <v>0</v>
      </c>
      <c r="BL267" cm="1">
        <f t="array" ref="BL267">IFERROR(IF(BK267&lt;0,0,BK267/($AU$173-INDEX(hd_off,MATCH(BT267,hd_mark,0),0)/12)),0)</f>
        <v>0</v>
      </c>
      <c r="BM267">
        <f>MAX($F$21,$BB$173)/$Q$180</f>
        <v>0.30172413793103448</v>
      </c>
      <c r="BN267">
        <f>IF(BM267=0,0,IF(BM267&gt;2,1.25-0.125*BM267,1))</f>
        <v>1</v>
      </c>
      <c r="BO267" cm="1">
        <f t="array" ref="BO267">IFERROR(INDEX(sheath_ecap_asd,MATCH(BS267,sheath_mark,0),0)*BN267,0)</f>
        <v>0</v>
      </c>
      <c r="BP267" cm="1">
        <f t="array" ref="BP267">IFERROR(INDEX(sheath_wcap_asd,MATCH(BS267,sheath_mark,0),0)*BN267,0)</f>
        <v>0</v>
      </c>
      <c r="BQ267" cm="1">
        <f t="array" ref="BQ267">IFERROR(INDEX(hd_cap,MATCH(BT267,hd_mark,0),0),0)</f>
        <v>0</v>
      </c>
      <c r="BS267" s="19"/>
      <c r="BT267" s="19"/>
      <c r="BU267" s="100"/>
    </row>
    <row r="268" x14ac:dyDescent="0.25">
      <c r="P268" s="93"/>
      <c r="Q268" s="109"/>
      <c r="R268" t="str">
        <f>$Q$150</f>
        <v>L3</v>
      </c>
      <c r="S268">
        <f>$E$22</f>
        <v>21.375</v>
      </c>
      <c r="T268" cm="1">
        <f t="array" ref="T268">IFERROR(IF(S268=0,0,(INDEX($C$33:$C$38,MATCH($W$173,$B$33:$B$38,0),0)*(S271+$X$173)+$T$173*COUNTIF(S268:S270,"&gt;0")*$C$32+$V$173*$C$31)*$R$173),0)</f>
        <v>0</v>
      </c>
      <c r="U268">
        <f>IF(S268=0,0,-(COUNTIF(S268:S270,"&gt;0")*$T$173*$C$32+$V$173*$C$31)*$H$27*$R$173)</f>
        <v>0</v>
      </c>
      <c r="V268">
        <f>IF(S268=0,0,$V$173*$H$26*$R$173)</f>
        <v>0</v>
      </c>
      <c r="W268">
        <f>(0.6*T268+0.7*U268)*$R$173/2</f>
        <v>0</v>
      </c>
      <c r="X268">
        <f>T268*$R$173/2</f>
        <v>0</v>
      </c>
      <c r="Z268">
        <f>IF(S268=0,0,$AD$173*$AP$150)</f>
        <v>0</v>
      </c>
      <c r="AA268">
        <f>IFERROR(Z268/$R$173,0)</f>
        <v>0</v>
      </c>
      <c r="AB268">
        <f>Z268*($F$22+IF($F$22=0,0,($C$14+$C$15+IF($C$13="single",1.5,3)+3)/12))</f>
        <v>0</v>
      </c>
      <c r="AC268">
        <f>AB268-W268</f>
        <v>0</v>
      </c>
      <c r="AD268" cm="1">
        <f t="array" ref="AD268">IFERROR(IF(AC268&lt;0,0,AC268/($R$173-INDEX(hd_off,MATCH(AQ268,hd_mark,0),0)/12)),0)</f>
        <v>0</v>
      </c>
      <c r="AE268">
        <f>IF(S268=0,0,$AD$173*$AM$150)</f>
        <v>0</v>
      </c>
      <c r="AF268">
        <f>IFERROR(AE268/$R$173,0)</f>
        <v>0</v>
      </c>
      <c r="AG268">
        <f>AE268*($F$22+IF($F$22=0,0,($C$14+$C$15+IF($C$13="single",1.5,3)+3)/12))</f>
        <v>0</v>
      </c>
      <c r="AH268">
        <f>AG268-X268</f>
        <v>0</v>
      </c>
      <c r="AI268" cm="1">
        <f t="array" ref="AI268">IFERROR(IF(AH268&lt;0,0,AH268/($R$173-INDEX(hd_off,MATCH(AQ268,hd_mark,0),0)/12)),0)</f>
        <v>0</v>
      </c>
      <c r="AJ268">
        <f>MAX($F$22,$Z$173)/$Q$180</f>
        <v>0.30172413793103448</v>
      </c>
      <c r="AK268">
        <f t="shared" ref="AK268:AK271" si="156">IF(AJ268=0,0,IF(AJ268&gt;2,1.25-0.125*AJ268,1))</f>
        <v>1</v>
      </c>
      <c r="AL268" cm="1">
        <f t="array" ref="AL268">IFERROR(INDEX(sheath_ecap_asd,MATCH(AP268,sheath_mark,0),0)*AK268,0)</f>
        <v>0</v>
      </c>
      <c r="AM268" cm="1">
        <f t="array" ref="AM268">IFERROR(INDEX(sheath_wcap_asd,MATCH(AP268,sheath_mark,0),0)*AK268,0)</f>
        <v>0</v>
      </c>
      <c r="AN268" cm="1">
        <f t="array" ref="AN268">IFERROR(INDEX(hd_cap,MATCH(AQ268,hd_mark,0),0),0)</f>
        <v>0</v>
      </c>
      <c r="AP268" s="19"/>
      <c r="AQ268" s="19"/>
      <c r="AR268" s="100"/>
      <c r="AS268" s="93"/>
      <c r="AT268" s="109"/>
      <c r="AU268" t="str">
        <f>$Q$150</f>
        <v>L3</v>
      </c>
      <c r="AV268">
        <f>$E$22</f>
        <v>21.375</v>
      </c>
      <c r="AW268" cm="1">
        <f t="array" ref="AW268">IFERROR(IF(AV268=0,0,(INDEX($C$33:$C$38,MATCH($AZ$173,$B$33:$B$38,0),0)*(AV271+$BA$173)+$AW$173*COUNTIF(AV268:AV270,"&gt;0")*$C$32+$AY$173*$C$31)*$AU$173),0)</f>
        <v>0</v>
      </c>
      <c r="AX268">
        <f>IF(AV268=0,0,-(COUNTIF(AV268:AV270,"&gt;0")*$AW$173*$C$32+$AY$173*$C$31)*$H$27*$AU$173)</f>
        <v>0</v>
      </c>
      <c r="AY268">
        <f>IF(AV268=0,0,$AY$173*$H$26*$AU$173)</f>
        <v>0</v>
      </c>
      <c r="AZ268">
        <f>(0.6*AW268+0.7*AX268)*$AU$173/2</f>
        <v>0</v>
      </c>
      <c r="BA268">
        <f>AW268*$AU$173/2</f>
        <v>0</v>
      </c>
      <c r="BC268">
        <f>IF(AV268=0,0,$BG$173*$AP$150)</f>
        <v>0</v>
      </c>
      <c r="BD268">
        <f>IFERROR(BC268/$AU$173,0)</f>
        <v>0</v>
      </c>
      <c r="BE268">
        <f>BC268*($F$22+IF($F$22=0,0,($C$14+$C$15+IF($C$13="single",1.5,3)+3)/12))</f>
        <v>0</v>
      </c>
      <c r="BF268">
        <f>BE268-AZ268</f>
        <v>0</v>
      </c>
      <c r="BG268" cm="1">
        <f t="array" ref="BG268">IFERROR(IF(BF268&lt;0,0,BF268/($AU$173-INDEX(hd_off,MATCH(BT268,hd_mark,0),0)/12)),0)</f>
        <v>0</v>
      </c>
      <c r="BH268">
        <f>IF(AV268=0,0,$BG$173*$AM$150)</f>
        <v>0</v>
      </c>
      <c r="BI268">
        <f>IFERROR(BH268/$AU$173,0)</f>
        <v>0</v>
      </c>
      <c r="BJ268">
        <f>BH268*($F$22+IF($F$22=0,0,($C$14+$C$15+IF($C$13="single",1.5,3)+3)/12))</f>
        <v>0</v>
      </c>
      <c r="BK268">
        <f>BJ268-BA268</f>
        <v>0</v>
      </c>
      <c r="BL268" cm="1">
        <f t="array" ref="BL268">IFERROR(IF(BK268&lt;0,0,BK268/($AU$173-INDEX(hd_off,MATCH(BT268,hd_mark,0),0)/12)),0)</f>
        <v>0</v>
      </c>
      <c r="BM268">
        <f>MAX($F$22,$BC$173)/$Q$180</f>
        <v>0.30172413793103448</v>
      </c>
      <c r="BN268">
        <f t="shared" ref="BN268:BN270" si="157">IF(BM268=0,0,IF(BM268&gt;2,1.25-0.125*BM268,1))</f>
        <v>1</v>
      </c>
      <c r="BO268" cm="1">
        <f t="array" ref="BO268">IFERROR(INDEX(sheath_ecap_asd,MATCH(BS268,sheath_mark,0),0)*BN268,0)</f>
        <v>0</v>
      </c>
      <c r="BP268" cm="1">
        <f t="array" ref="BP268">IFERROR(INDEX(sheath_wcap_asd,MATCH(BS268,sheath_mark,0),0)*BN268,0)</f>
        <v>0</v>
      </c>
      <c r="BQ268" cm="1">
        <f t="array" ref="BQ268">IFERROR(INDEX(hd_cap,MATCH(BT268,hd_mark,0),0),0)</f>
        <v>0</v>
      </c>
      <c r="BS268" s="19"/>
      <c r="BT268" s="19"/>
      <c r="BU268" s="100"/>
    </row>
    <row r="269" x14ac:dyDescent="0.25">
      <c r="P269" s="93"/>
      <c r="Q269" s="109" t="s">
        <v>491</v>
      </c>
      <c r="R269" t="str">
        <f>$Q$151</f>
        <v>L4</v>
      </c>
      <c r="S269">
        <f>$E$23</f>
        <v>0</v>
      </c>
      <c r="T269" cm="1">
        <f t="array" ref="T269">IFERROR(IF(S269=0,0,(INDEX($C$33:$C$38,MATCH($W$173,$B$33:$B$38,0),0)*(S271+$X$173)+$T$173*COUNTIF(S269:S270,"&gt;0")*$C$32+$V$173*$C$31)*$R$173),0)</f>
        <v>0</v>
      </c>
      <c r="U269">
        <f>IF(S269=0,0,-(COUNTIF(S269:S270,"&gt;0")*$T$173*$C$32+$V$173*$C$31)*$H$27*$R$173)</f>
        <v>0</v>
      </c>
      <c r="V269">
        <f>IF(S269=0,0,$V$173*$H$26*$R$173)</f>
        <v>0</v>
      </c>
      <c r="W269">
        <f>(0.6*T269+0.7*U269)*$R$173/2</f>
        <v>0</v>
      </c>
      <c r="X269">
        <f>T269*$R$173/2</f>
        <v>0</v>
      </c>
      <c r="Z269">
        <f>IF(S269=0,0,$AD$173*$AP$151)</f>
        <v>0</v>
      </c>
      <c r="AA269">
        <f>IFERROR(Z269/$R$173,0)</f>
        <v>0</v>
      </c>
      <c r="AB269">
        <f>Z269*($F$23+IF($F$23=0,0,($C$14+$C$15+IF($C$13="single",1.5,3)+3)/12))</f>
        <v>0</v>
      </c>
      <c r="AC269">
        <f>AB269-W269</f>
        <v>0</v>
      </c>
      <c r="AD269" cm="1">
        <f t="array" ref="AD269">IFERROR(IF(AC269&lt;0,0,AC269/($R$173-INDEX(hd_off,MATCH(AQ269,hd_mark,0),0)/12)),0)</f>
        <v>0</v>
      </c>
      <c r="AE269">
        <f>IF(S269=0,0,$AD$173*$AM$151)</f>
        <v>0</v>
      </c>
      <c r="AF269">
        <f>IFERROR(AE269/$R$173,0)</f>
        <v>0</v>
      </c>
      <c r="AG269">
        <f>AE269*($F$23+IF($F$23=0,0,($C$14+$C$15+IF($C$13="single",1.5,3)+3)/12))</f>
        <v>0</v>
      </c>
      <c r="AH269">
        <f>AG269-X269</f>
        <v>0</v>
      </c>
      <c r="AI269" cm="1">
        <f t="array" ref="AI269">IFERROR(IF(AH269&lt;0,0,AH269/($R$173-INDEX(hd_off,MATCH(AQ269,hd_mark,0),0)/12)),0)</f>
        <v>0</v>
      </c>
      <c r="AJ269">
        <f>MAX($F$23,$AA$173)/$Q$180</f>
        <v>0</v>
      </c>
      <c r="AK269">
        <f t="shared" si="156"/>
        <v>0</v>
      </c>
      <c r="AL269" cm="1">
        <f t="array" ref="AL269">IFERROR(INDEX(sheath_ecap_asd,MATCH(AP269,sheath_mark,0),0)*AK269,0)</f>
        <v>0</v>
      </c>
      <c r="AM269" cm="1">
        <f t="array" ref="AM269">IFERROR(INDEX(sheath_wcap_asd,MATCH(AP269,sheath_mark,0),0)*AK269,0)</f>
        <v>0</v>
      </c>
      <c r="AN269" cm="1">
        <f t="array" ref="AN269">IFERROR(INDEX(hd_cap,MATCH(AQ269,hd_mark,0),0),0)</f>
        <v>0</v>
      </c>
      <c r="AP269" s="19"/>
      <c r="AQ269" s="19"/>
      <c r="AR269" s="100"/>
      <c r="AS269" s="93"/>
      <c r="AT269" s="109" t="s">
        <v>491</v>
      </c>
      <c r="AU269" t="str">
        <f>$Q$151</f>
        <v>L4</v>
      </c>
      <c r="AV269">
        <f>$E$23</f>
        <v>0</v>
      </c>
      <c r="AW269" cm="1">
        <f t="array" ref="AW269">IFERROR(IF(AV269=0,0,(INDEX($C$33:$C$38,MATCH($AZ$173,$B$33:$B$38,0),0)*(AV271+$BA$173)+$AW$173*COUNTIF(AV269:AV270,"&gt;0")*$C$32+$AY$173*$C$31)*$AU$173),0)</f>
        <v>0</v>
      </c>
      <c r="AX269">
        <f>IF(AV269=0,0,-(COUNTIF(AV269:AV270,"&gt;0")*$AW$173*$C$32+$AY$173*$C$31)*$H$27*$AU$173)</f>
        <v>0</v>
      </c>
      <c r="AY269">
        <f>IF(AV269=0,0,$AY$173*$H$26*$AU$173)</f>
        <v>0</v>
      </c>
      <c r="AZ269">
        <f>(0.6*AW269+0.7*AX269)*$AU$173/2</f>
        <v>0</v>
      </c>
      <c r="BA269">
        <f>AW269*$AU$173/2</f>
        <v>0</v>
      </c>
      <c r="BC269">
        <f>IF(AV269=0,0,$BG$173*$AP$151)</f>
        <v>0</v>
      </c>
      <c r="BD269">
        <f>IFERROR(BC269/$AU$173,0)</f>
        <v>0</v>
      </c>
      <c r="BE269">
        <f>BC269*($F$23+IF($F$23=0,0,($C$14+$C$15+IF($C$13="single",1.5,3)+3)/12))</f>
        <v>0</v>
      </c>
      <c r="BF269">
        <f>BE269-AZ269</f>
        <v>0</v>
      </c>
      <c r="BG269" cm="1">
        <f t="array" ref="BG269">IFERROR(IF(BF269&lt;0,0,BF269/($AU$173-INDEX(hd_off,MATCH(BT269,hd_mark,0),0)/12)),0)</f>
        <v>0</v>
      </c>
      <c r="BH269">
        <f>IF(AV269=0,0,$BG$173*$AM$151)</f>
        <v>0</v>
      </c>
      <c r="BI269">
        <f>IFERROR(BH269/$AU$173,0)</f>
        <v>0</v>
      </c>
      <c r="BJ269">
        <f>BH269*($F$23+IF($F$23=0,0,($C$14+$C$15+IF($C$13="single",1.5,3)+3)/12))</f>
        <v>0</v>
      </c>
      <c r="BK269">
        <f>BJ269-BA269</f>
        <v>0</v>
      </c>
      <c r="BL269" cm="1">
        <f t="array" ref="BL269">IFERROR(IF(BK269&lt;0,0,BK269/($AU$173-INDEX(hd_off,MATCH(BT269,hd_mark,0),0)/12)),0)</f>
        <v>0</v>
      </c>
      <c r="BM269">
        <f>MAX($F$23,$BD$173)/$Q$180</f>
        <v>0</v>
      </c>
      <c r="BN269">
        <f t="shared" si="157"/>
        <v>0</v>
      </c>
      <c r="BO269" cm="1">
        <f t="array" ref="BO269">IFERROR(INDEX(sheath_ecap_asd,MATCH(BS269,sheath_mark,0),0)*BN269,0)</f>
        <v>0</v>
      </c>
      <c r="BP269" cm="1">
        <f t="array" ref="BP269">IFERROR(INDEX(sheath_wcap_asd,MATCH(BS269,sheath_mark,0),0)*BN269,0)</f>
        <v>0</v>
      </c>
      <c r="BQ269" cm="1">
        <f t="array" ref="BQ269">IFERROR(INDEX(hd_cap,MATCH(BT269,hd_mark,0),0),0)</f>
        <v>0</v>
      </c>
      <c r="BS269" s="19"/>
      <c r="BT269" s="19"/>
      <c r="BU269" s="100"/>
    </row>
    <row r="270" x14ac:dyDescent="0.25">
      <c r="P270" s="93"/>
      <c r="Q270" s="111">
        <f>$R$173</f>
        <v>0</v>
      </c>
      <c r="R270" t="str">
        <f>$Q$152</f>
        <v>L5</v>
      </c>
      <c r="S270">
        <f>$E$24</f>
        <v>0</v>
      </c>
      <c r="T270" cm="1">
        <f t="array" ref="T270">IFERROR(IF(S270=0,0,(INDEX($C$33:$C$38,MATCH($W$173,$B$33:$B$38,0),0)*(S271+$X$173)+$T$173*COUNTIF(S270:S270,"&gt;0")*$C$32+$V$173*$C$31)*$R$173),0)</f>
        <v>0</v>
      </c>
      <c r="U270">
        <f>IF(S270=0,0,-(COUNTIF(S270:S270,"&gt;0")*$T$173*$C$32+$V$173*$C$31)*$H$27*$R$173)</f>
        <v>0</v>
      </c>
      <c r="V270">
        <f>IF(S270=0,0,$V$173*$H$26*$R$173)</f>
        <v>0</v>
      </c>
      <c r="W270">
        <f>(0.6*T270+0.7*U270)*$R$173/2</f>
        <v>0</v>
      </c>
      <c r="X270">
        <f>T270*$R$173/2</f>
        <v>0</v>
      </c>
      <c r="Z270">
        <f>IF(S270=0,0,$AD$173*$AP$152)</f>
        <v>0</v>
      </c>
      <c r="AA270">
        <f>IFERROR(Z270/$R$173,0)</f>
        <v>0</v>
      </c>
      <c r="AB270">
        <f>Z270*($F$24+IF($F$24=0,0,($C$14+$C$15+IF($C$13="single",1.5,3)+3)/12))</f>
        <v>0</v>
      </c>
      <c r="AC270">
        <f>AB270-W270</f>
        <v>0</v>
      </c>
      <c r="AD270" cm="1">
        <f t="array" ref="AD270">IFERROR(IF(AC270&lt;0,0,AC270/($R$173-INDEX(hd_off,MATCH(AQ270,hd_mark,0),0)/12)),0)</f>
        <v>0</v>
      </c>
      <c r="AE270">
        <f>IF(S270=0,0,$AD$173*$AM$152)</f>
        <v>0</v>
      </c>
      <c r="AF270">
        <f>IFERROR(AE270/$R$173,0)</f>
        <v>0</v>
      </c>
      <c r="AG270">
        <f>AE270*($F$24+IF($F$24=0,0,($C$14+$C$15+IF($C$13="single",1.5,3)+3)/12))</f>
        <v>0</v>
      </c>
      <c r="AH270">
        <f>AG270-X270</f>
        <v>0</v>
      </c>
      <c r="AI270" cm="1">
        <f t="array" ref="AI270">IFERROR(IF(AH270&lt;0,0,AH270/($R$173-INDEX(hd_off,MATCH(AQ270,hd_mark,0),0)/12)),0)</f>
        <v>0</v>
      </c>
      <c r="AJ270">
        <f>MAX($F$24,$AB$173)/$Q$180</f>
        <v>0</v>
      </c>
      <c r="AK270">
        <f t="shared" si="156"/>
        <v>0</v>
      </c>
      <c r="AL270" cm="1">
        <f t="array" ref="AL270">IFERROR(INDEX(sheath_ecap_asd,MATCH(AP270,sheath_mark,0),0)*AK270,0)</f>
        <v>0</v>
      </c>
      <c r="AM270" cm="1">
        <f t="array" ref="AM270">IFERROR(INDEX(sheath_wcap_asd,MATCH(AP270,sheath_mark,0),0)*AK270,0)</f>
        <v>0</v>
      </c>
      <c r="AN270" cm="1">
        <f t="array" ref="AN270">IFERROR(INDEX(hd_cap,MATCH(AQ270,hd_mark,0),0),0)</f>
        <v>0</v>
      </c>
      <c r="AP270" s="19"/>
      <c r="AQ270" s="19"/>
      <c r="AR270" s="100"/>
      <c r="AS270" s="93"/>
      <c r="AT270" s="111">
        <f>$R$173</f>
        <v>0</v>
      </c>
      <c r="AU270" t="str">
        <f>$Q$152</f>
        <v>L5</v>
      </c>
      <c r="AV270">
        <f>$E$24</f>
        <v>0</v>
      </c>
      <c r="AW270" cm="1">
        <f t="array" ref="AW270">IFERROR(IF(AV270=0,0,(INDEX($C$33:$C$38,MATCH($AZ$173,$B$33:$B$38,0),0)*(AV271+$BA$173)+$AW$173*COUNTIF(AV270:AV270,"&gt;0")*$C$32+$AY$173*$C$31)*$AU$173),0)</f>
        <v>0</v>
      </c>
      <c r="AX270">
        <f>IF(AV270=0,0,-(COUNTIF(AV270:AV270,"&gt;0")*$AW$173*$C$32+$AY$173*$C$31)*$H$27*$AU$173)</f>
        <v>0</v>
      </c>
      <c r="AY270">
        <f>IF(AV270=0,0,$AY$173*$H$26*$AU$173)</f>
        <v>0</v>
      </c>
      <c r="AZ270">
        <f>(0.6*AW270+0.7*AX270)*$AU$173/2</f>
        <v>0</v>
      </c>
      <c r="BA270">
        <f>AW270*$AU$173/2</f>
        <v>0</v>
      </c>
      <c r="BC270">
        <f>IF(AV270=0,0,$BG$173*$AP$152)</f>
        <v>0</v>
      </c>
      <c r="BD270">
        <f>IFERROR(BC270/$AU$173,0)</f>
        <v>0</v>
      </c>
      <c r="BE270">
        <f>BC270*($F$24+IF($F$24=0,0,($C$14+$C$15+IF($C$13="single",1.5,3)+3)/12))</f>
        <v>0</v>
      </c>
      <c r="BF270">
        <f>BE270-AZ270</f>
        <v>0</v>
      </c>
      <c r="BG270" cm="1">
        <f t="array" ref="BG270">IFERROR(IF(BF270&lt;0,0,BF270/($AU$173-INDEX(hd_off,MATCH(BT270,hd_mark,0),0)/12)),0)</f>
        <v>0</v>
      </c>
      <c r="BH270">
        <f>IF(AV270=0,0,$BG$173*$AM$152)</f>
        <v>0</v>
      </c>
      <c r="BI270">
        <f>IFERROR(BH270/$AU$173,0)</f>
        <v>0</v>
      </c>
      <c r="BJ270">
        <f>BH270*($F$24+IF($F$24=0,0,($C$14+$C$15+IF($C$13="single",1.5,3)+3)/12))</f>
        <v>0</v>
      </c>
      <c r="BK270">
        <f>BJ270-BA270</f>
        <v>0</v>
      </c>
      <c r="BL270" cm="1">
        <f t="array" ref="BL270">IFERROR(IF(BK270&lt;0,0,BK270/($AU$173-INDEX(hd_off,MATCH(BT270,hd_mark,0),0)/12)),0)</f>
        <v>0</v>
      </c>
      <c r="BM270">
        <f>MAX($F$24,$BE$173)/$Q$180</f>
        <v>0</v>
      </c>
      <c r="BN270">
        <f t="shared" si="157"/>
        <v>0</v>
      </c>
      <c r="BO270" cm="1">
        <f t="array" ref="BO270">IFERROR(INDEX(sheath_ecap_asd,MATCH(BS270,sheath_mark,0),0)*BN270,0)</f>
        <v>0</v>
      </c>
      <c r="BP270" cm="1">
        <f t="array" ref="BP270">IFERROR(INDEX(sheath_wcap_asd,MATCH(BS270,sheath_mark,0),0)*BN270,0)</f>
        <v>0</v>
      </c>
      <c r="BQ270" cm="1">
        <f t="array" ref="BQ270">IFERROR(INDEX(hd_cap,MATCH(BT270,hd_mark,0),0),0)</f>
        <v>0</v>
      </c>
      <c r="BS270" s="19"/>
      <c r="BT270" s="19"/>
      <c r="BU270" s="100"/>
    </row>
    <row r="271" x14ac:dyDescent="0.25">
      <c r="P271" s="93"/>
      <c r="Q271" s="109"/>
      <c r="R271" t="str">
        <f>$Q$153</f>
        <v>Roof</v>
      </c>
      <c r="S271">
        <f>$E$25</f>
        <v>33.171875</v>
      </c>
      <c r="T271" cm="1">
        <f t="array" ref="T271">IFERROR(IF(S271=0,0,(INDEX($C$33:$C$38,MATCH($W$173,$B$33:$B$38,0),0)*(S271+$X$173)+$V$173*$C$31)*$R$173),0)</f>
        <v>0</v>
      </c>
      <c r="U271">
        <f>IF(S271=0,0,-$V$173*$C$31*$H$27*$R$173)</f>
        <v>0</v>
      </c>
      <c r="V271">
        <f>IF(S271=0,0,$V$173*$H$26*$R$173)</f>
        <v>0</v>
      </c>
      <c r="W271">
        <f>(0.6*T271+0.7*U271)*$R$173/2</f>
        <v>0</v>
      </c>
      <c r="X271">
        <f>T271*$R$173/2</f>
        <v>0</v>
      </c>
      <c r="Z271">
        <f>IF(S271=0,0,$AD$173*$AP$153)</f>
        <v>0</v>
      </c>
      <c r="AA271">
        <f>IFERROR(Z271/$R$173,0)</f>
        <v>0</v>
      </c>
      <c r="AB271">
        <f>Z271*($F$25+($C$16+$C$17+IF($C$13="single",1.5,3)+3)/12)</f>
        <v>0</v>
      </c>
      <c r="AC271">
        <f>AB271-W271</f>
        <v>0</v>
      </c>
      <c r="AD271" cm="1">
        <f t="array" ref="AD271">IFERROR(IF(AC271&lt;0,0,AC271/($R$173-INDEX(hd_off,MATCH(AQ271,hd_mark,0),0)/12)),0)</f>
        <v>0</v>
      </c>
      <c r="AE271">
        <f>IF(S271=0,0,$AD$173*$AM$153)</f>
        <v>0</v>
      </c>
      <c r="AF271">
        <f>IFERROR(AE271/$R$173,0)</f>
        <v>0</v>
      </c>
      <c r="AG271">
        <f>AE271*($F$25+($C$16+$C$17+IF($C$13="single",1.5,3)+3)/12)</f>
        <v>0</v>
      </c>
      <c r="AH271">
        <f>AG271-X271</f>
        <v>0</v>
      </c>
      <c r="AI271" cm="1">
        <f t="array" ref="AI271">IFERROR(IF(AH271&lt;0,0,AH271/($R$173-INDEX(hd_off,MATCH(AQ271,hd_mark,0),0)/12)),0)</f>
        <v>0</v>
      </c>
      <c r="AJ271">
        <f>MAX($F$25,$AC$173)/$Q$180</f>
        <v>0.29920977011494249</v>
      </c>
      <c r="AK271">
        <f t="shared" si="156"/>
        <v>1</v>
      </c>
      <c r="AL271" cm="1">
        <f t="array" ref="AL271">IFERROR(INDEX(sheath_ecap_asd,MATCH(AP271,sheath_mark,0),0)*AK271,0)</f>
        <v>0</v>
      </c>
      <c r="AM271" cm="1">
        <f t="array" ref="AM271">IFERROR(INDEX(sheath_wcap_asd,MATCH(AP271,sheath_mark,0),0)*AK271,0)</f>
        <v>0</v>
      </c>
      <c r="AN271" cm="1">
        <f t="array" ref="AN271">IFERROR(INDEX(hd_cap,MATCH(AQ271,hd_mark,0),0),0)</f>
        <v>0</v>
      </c>
      <c r="AP271" s="19"/>
      <c r="AQ271" s="19"/>
      <c r="AR271" s="100"/>
      <c r="AS271" s="93"/>
      <c r="BU271" s="100"/>
    </row>
    <row r="272" x14ac:dyDescent="0.25">
      <c r="B272" s="1" t="s">
        <v>569</v>
      </c>
      <c r="C272">
        <f>E16+H16*12</f>
        <v>32.4375</v>
      </c>
      <c r="E272" s="19">
        <v>24</v>
      </c>
      <c r="F272" s="19">
        <f>32+5.625/12</f>
        <v>32.46875</v>
      </c>
      <c r="G272" s="19">
        <f>33+10.5/12</f>
        <v>33.875</v>
      </c>
      <c r="H272">
        <f>(G16-F16)/2</f>
        <v>0.703125</v>
      </c>
      <c r="P272" s="93"/>
      <c r="Q272" t="s">
        <v>524</v>
      </c>
      <c r="R272" s="2" t="str">
        <f>$B$44</f>
        <v>A</v>
      </c>
      <c r="AR272" s="100"/>
      <c r="AS272" s="93"/>
      <c r="AT272" t="s">
        <v>524</v>
      </c>
      <c r="AU272" s="2">
        <f>H44</f>
        <v>1</v>
      </c>
      <c r="BU272" s="100"/>
    </row>
    <row r="273" x14ac:dyDescent="0.25">
      <c r="B273" s="1" t="s">
        <v>500</v>
      </c>
      <c r="C273" s="19">
        <v>0.5</v>
      </c>
      <c r="P273" s="93"/>
      <c r="AR273" s="100"/>
      <c r="AS273" s="93"/>
      <c r="BU273" s="100"/>
    </row>
    <row r="274" x14ac:dyDescent="0.25">
      <c r="P274" s="93"/>
      <c r="R274" t="s">
        <v>482</v>
      </c>
      <c r="Z274" t="s">
        <v>483</v>
      </c>
      <c r="AH274" t="s">
        <v>502</v>
      </c>
      <c r="AJ274" t="s">
        <v>454</v>
      </c>
      <c r="AR274" s="100"/>
      <c r="AS274" s="93"/>
      <c r="AU274" t="s">
        <v>482</v>
      </c>
      <c r="BC274" t="s">
        <v>483</v>
      </c>
      <c r="BK274" t="s">
        <v>502</v>
      </c>
      <c r="BM274" t="s">
        <v>454</v>
      </c>
      <c r="BU274" s="100"/>
    </row>
    <row r="275" x14ac:dyDescent="0.25">
      <c r="B275" t="s">
        <v>448</v>
      </c>
      <c r="C275" t="s">
        <v>272</v>
      </c>
      <c r="D275" t="s">
        <v>193</v>
      </c>
      <c r="E275" s="70" t="s">
        <v>454</v>
      </c>
      <c r="F275" s="71" t="s">
        <v>501</v>
      </c>
      <c r="H275" t="s">
        <v>475</v>
      </c>
      <c r="J275" t="s">
        <v>476</v>
      </c>
      <c r="P275" s="93"/>
      <c r="R275" t="s">
        <v>480</v>
      </c>
      <c r="S275" t="s">
        <v>481</v>
      </c>
      <c r="T275" t="s">
        <v>486</v>
      </c>
      <c r="U275" t="s">
        <v>487</v>
      </c>
      <c r="V275" t="s">
        <v>484</v>
      </c>
      <c r="W275" t="s">
        <v>485</v>
      </c>
      <c r="X275" t="s">
        <v>488</v>
      </c>
      <c r="Y275" t="s">
        <v>489</v>
      </c>
      <c r="Z275" t="s">
        <v>480</v>
      </c>
      <c r="AA275" t="s">
        <v>481</v>
      </c>
      <c r="AB275" t="s">
        <v>486</v>
      </c>
      <c r="AC275" t="s">
        <v>487</v>
      </c>
      <c r="AD275" t="s">
        <v>484</v>
      </c>
      <c r="AE275" t="s">
        <v>485</v>
      </c>
      <c r="AF275" t="s">
        <v>488</v>
      </c>
      <c r="AG275" t="s">
        <v>489</v>
      </c>
      <c r="AH275" t="s">
        <v>312</v>
      </c>
      <c r="AI275" t="s">
        <v>258</v>
      </c>
      <c r="AJ275" t="s">
        <v>486</v>
      </c>
      <c r="AK275" t="s">
        <v>490</v>
      </c>
      <c r="AL275" t="s">
        <v>487</v>
      </c>
      <c r="AM275" t="s">
        <v>490</v>
      </c>
      <c r="AN275" t="s">
        <v>488</v>
      </c>
      <c r="AO275" t="s">
        <v>490</v>
      </c>
      <c r="AP275" t="s">
        <v>489</v>
      </c>
      <c r="AQ275" t="s">
        <v>490</v>
      </c>
      <c r="AR275" s="100"/>
      <c r="AS275" s="93"/>
      <c r="AU275" t="s">
        <v>480</v>
      </c>
      <c r="AV275" t="s">
        <v>481</v>
      </c>
      <c r="AW275" t="s">
        <v>486</v>
      </c>
      <c r="AX275" t="s">
        <v>487</v>
      </c>
      <c r="AY275" t="s">
        <v>484</v>
      </c>
      <c r="AZ275" t="s">
        <v>485</v>
      </c>
      <c r="BA275" t="s">
        <v>488</v>
      </c>
      <c r="BB275" t="s">
        <v>489</v>
      </c>
      <c r="BC275" t="s">
        <v>480</v>
      </c>
      <c r="BD275" t="s">
        <v>481</v>
      </c>
      <c r="BE275" t="s">
        <v>486</v>
      </c>
      <c r="BF275" t="s">
        <v>487</v>
      </c>
      <c r="BG275" t="s">
        <v>484</v>
      </c>
      <c r="BH275" t="s">
        <v>485</v>
      </c>
      <c r="BI275" t="s">
        <v>488</v>
      </c>
      <c r="BJ275" t="s">
        <v>489</v>
      </c>
      <c r="BK275" t="s">
        <v>312</v>
      </c>
      <c r="BL275" t="s">
        <v>258</v>
      </c>
      <c r="BM275" t="s">
        <v>486</v>
      </c>
      <c r="BN275" t="s">
        <v>490</v>
      </c>
      <c r="BO275" t="s">
        <v>487</v>
      </c>
      <c r="BP275" t="s">
        <v>490</v>
      </c>
      <c r="BQ275" t="s">
        <v>488</v>
      </c>
      <c r="BR275" t="s">
        <v>490</v>
      </c>
      <c r="BS275" t="s">
        <v>489</v>
      </c>
      <c r="BT275" t="s">
        <v>490</v>
      </c>
      <c r="BU275" s="100"/>
    </row>
    <row r="276" x14ac:dyDescent="0.25">
      <c r="B276" t="s">
        <v>449</v>
      </c>
      <c r="C276" s="19">
        <v>0</v>
      </c>
      <c r="D276" s="19">
        <v>0</v>
      </c>
      <c r="E276" s="66">
        <f>C20+D20/12</f>
        <v>0</v>
      </c>
      <c r="F276" s="67">
        <v>0</v>
      </c>
      <c r="H276" s="19">
        <v>0</v>
      </c>
      <c r="I276" s="64" t="s">
        <v>196</v>
      </c>
      <c r="J276" s="19">
        <v>0</v>
      </c>
      <c r="K276" s="19">
        <v>0</v>
      </c>
      <c r="L276" s="19">
        <v>0</v>
      </c>
      <c r="M276" s="19">
        <v>0</v>
      </c>
      <c r="P276" s="93"/>
      <c r="Q276" t="s">
        <v>449</v>
      </c>
      <c r="R276" s="19">
        <f>$H$20</f>
        <v>0</v>
      </c>
      <c r="S276">
        <f>R276*0.6</f>
        <v>0</v>
      </c>
      <c r="T276">
        <f>$C$44/2*R276</f>
        <v>0</v>
      </c>
      <c r="U276">
        <f>T276*0.6</f>
        <v>0</v>
      </c>
      <c r="V276" s="19">
        <v>0</v>
      </c>
      <c r="W276">
        <f>V276*0.7</f>
        <v>0</v>
      </c>
      <c r="X276">
        <f>$C$44/2*V276</f>
        <v>0</v>
      </c>
      <c r="Y276">
        <f>X276*0.7</f>
        <v>0</v>
      </c>
      <c r="Z276" s="19">
        <f>$H$20</f>
        <v>0</v>
      </c>
      <c r="AA276">
        <f>Z276*0.6</f>
        <v>0</v>
      </c>
      <c r="AB276">
        <f>$D$44/2*Z276</f>
        <v>0</v>
      </c>
      <c r="AC276">
        <f t="shared" ref="AC276:AC282" si="158">0.6*AB276</f>
        <v>0</v>
      </c>
      <c r="AD276" s="19">
        <v>0</v>
      </c>
      <c r="AE276">
        <f>AD276*0.7</f>
        <v>0</v>
      </c>
      <c r="AF276">
        <f>$D$44/2*AD276</f>
        <v>0</v>
      </c>
      <c r="AG276">
        <f>AF276*0.7</f>
        <v>0</v>
      </c>
      <c r="AH276" s="19">
        <v>0</v>
      </c>
      <c r="AI276" s="19">
        <v>0</v>
      </c>
      <c r="AJ276" s="17">
        <f>T276+AB276+AH276</f>
        <v>0</v>
      </c>
      <c r="AK276" s="17">
        <f>AK277+AJ276</f>
        <v>13166</v>
      </c>
      <c r="AL276" s="17">
        <f>AJ276*0.6</f>
        <v>0</v>
      </c>
      <c r="AM276" s="17">
        <f>AM277+AL276</f>
        <v>7899.5999999999995</v>
      </c>
      <c r="AN276" s="17">
        <f>X276+AF276+AI276</f>
        <v>0</v>
      </c>
      <c r="AO276" s="17">
        <f t="shared" ref="AO276:AQ279" si="159">AN276+AO277</f>
        <v>1302.0999999999999</v>
      </c>
      <c r="AP276" s="17">
        <f>AN276*0.7</f>
        <v>0</v>
      </c>
      <c r="AQ276" s="17">
        <f>AP276+AQ277</f>
        <v>911.46999999999991</v>
      </c>
      <c r="AR276" s="100"/>
      <c r="AS276" s="93"/>
      <c r="AT276" t="s">
        <v>449</v>
      </c>
      <c r="AU276" s="19">
        <f>$H$20</f>
        <v>0</v>
      </c>
      <c r="AV276">
        <f>AU276*0.6</f>
        <v>0</v>
      </c>
      <c r="AW276">
        <f t="shared" ref="AW276:AW282" si="160">$I$44/2*AU276</f>
        <v>0</v>
      </c>
      <c r="AX276">
        <f>AW276*0.6</f>
        <v>0</v>
      </c>
      <c r="AY276" s="19">
        <v>0</v>
      </c>
      <c r="AZ276">
        <f>AY276*0.7</f>
        <v>0</v>
      </c>
      <c r="BA276">
        <f t="shared" ref="BA276:BA281" si="161">$I$44/2*AY276</f>
        <v>0</v>
      </c>
      <c r="BB276">
        <f>BA276*0.7</f>
        <v>0</v>
      </c>
      <c r="BC276" s="19">
        <f>$H$20</f>
        <v>0</v>
      </c>
      <c r="BD276">
        <f>BC276*0.6</f>
        <v>0</v>
      </c>
      <c r="BE276">
        <f t="shared" ref="BE276:BE282" si="162">$J$44/2*BC276</f>
        <v>0</v>
      </c>
      <c r="BF276">
        <f t="shared" ref="BF276:BF282" si="163">0.6*BE276</f>
        <v>0</v>
      </c>
      <c r="BG276" s="19">
        <v>0</v>
      </c>
      <c r="BH276">
        <f>BG276*0.7</f>
        <v>0</v>
      </c>
      <c r="BI276">
        <f t="shared" ref="BI276:BI281" si="164">$J$44/2*BG276</f>
        <v>0</v>
      </c>
      <c r="BJ276">
        <f>BI276*0.7</f>
        <v>0</v>
      </c>
      <c r="BK276" s="19">
        <v>0</v>
      </c>
      <c r="BL276" s="19">
        <v>0</v>
      </c>
      <c r="BM276" s="17">
        <f>AW276+BE276+BK276</f>
        <v>0</v>
      </c>
      <c r="BN276" s="17">
        <f>BN277+BM276</f>
        <v>12258</v>
      </c>
      <c r="BO276" s="17">
        <f>BM276*0.6</f>
        <v>0</v>
      </c>
      <c r="BP276" s="17">
        <f>BP277+BO276</f>
        <v>7354.7999999999993</v>
      </c>
      <c r="BQ276" s="17">
        <f>BA276+BI276+BL276</f>
        <v>0</v>
      </c>
      <c r="BR276" s="17">
        <f t="shared" ref="BR276:BR279" si="165">BQ276+BR277</f>
        <v>1212.3</v>
      </c>
      <c r="BS276" s="17">
        <f>BQ276*0.7</f>
        <v>0</v>
      </c>
      <c r="BT276" s="17">
        <f>BS276+BT277</f>
        <v>848.6099999999999</v>
      </c>
      <c r="BU276" s="100"/>
    </row>
    <row r="277" x14ac:dyDescent="0.25">
      <c r="B277" t="s">
        <v>450</v>
      </c>
      <c r="C277" s="19">
        <v>10</v>
      </c>
      <c r="D277" s="19">
        <v>8.25</v>
      </c>
      <c r="E277" s="66">
        <f>C21+D21/12</f>
        <v>10.6875</v>
      </c>
      <c r="F277" s="67">
        <f>IF(E21&gt;0,E21-(C15+C14+2*1.5+IF(C13="single",1.5,3))/12-_xlfn.XLOOKUP(E21,E20,E20,,-1),0)</f>
        <v>8.75</v>
      </c>
      <c r="H277" s="19">
        <v>236</v>
      </c>
      <c r="I277" s="64" t="s">
        <v>196</v>
      </c>
      <c r="J277" s="19">
        <v>33.799999999999997</v>
      </c>
      <c r="K277" s="19">
        <v>65.599999999999994</v>
      </c>
      <c r="L277" s="19">
        <v>19.3</v>
      </c>
      <c r="M277" s="19">
        <v>119.6</v>
      </c>
      <c r="P277" s="93"/>
      <c r="Q277" t="s">
        <v>450</v>
      </c>
      <c r="R277" s="19">
        <f>$H$21</f>
        <v>236</v>
      </c>
      <c r="S277">
        <f t="shared" ref="S277:S282" si="166">R277*0.6</f>
        <v>141.6</v>
      </c>
      <c r="T277">
        <f t="shared" ref="T277:T281" si="167">$C$44/2*R277</f>
        <v>0</v>
      </c>
      <c r="U277">
        <f>T277*0.6</f>
        <v>0</v>
      </c>
      <c r="V277" s="19">
        <v>33.799999999999997</v>
      </c>
      <c r="W277">
        <f t="shared" ref="W277:W281" si="168">V277*0.7</f>
        <v>23.659999999999997</v>
      </c>
      <c r="X277">
        <f t="shared" ref="X277:X281" si="169">$C$44/2*V277</f>
        <v>0</v>
      </c>
      <c r="Y277">
        <f t="shared" ref="Y277:Y281" si="170">X277*0.7</f>
        <v>0</v>
      </c>
      <c r="Z277" s="19">
        <f>$H$21</f>
        <v>236</v>
      </c>
      <c r="AA277">
        <f t="shared" ref="AA277:AA281" si="171">Z277*0.6</f>
        <v>141.6</v>
      </c>
      <c r="AB277">
        <f t="shared" ref="AB277:AB281" si="172">$D$44/2*Z277</f>
        <v>3422</v>
      </c>
      <c r="AC277">
        <f t="shared" si="158"/>
        <v>2053.1999999999998</v>
      </c>
      <c r="AD277" s="19">
        <v>33.799999999999997</v>
      </c>
      <c r="AE277">
        <f t="shared" ref="AE277:AE281" si="173">AD277*0.7</f>
        <v>23.659999999999997</v>
      </c>
      <c r="AF277">
        <f t="shared" ref="AF277:AF281" si="174">$D$44/2*AD277</f>
        <v>490.09999999999997</v>
      </c>
      <c r="AG277">
        <f t="shared" ref="AG277:AG281" si="175">AF277*0.7</f>
        <v>343.06999999999994</v>
      </c>
      <c r="AH277" s="19">
        <v>0</v>
      </c>
      <c r="AI277" s="19">
        <v>0</v>
      </c>
      <c r="AJ277" s="17">
        <f>T277+AB277+AH277</f>
        <v>3422</v>
      </c>
      <c r="AK277" s="17">
        <f>AK278+AJ277</f>
        <v>13166</v>
      </c>
      <c r="AL277" s="17">
        <f t="shared" ref="AL277:AL281" si="176">AJ277*0.6</f>
        <v>2053.1999999999998</v>
      </c>
      <c r="AM277" s="17">
        <f t="shared" ref="AM277:AM279" si="177">AM278+AL277</f>
        <v>7899.5999999999995</v>
      </c>
      <c r="AN277" s="17">
        <f t="shared" ref="AN277:AN280" si="178">X277+AF277+AI277</f>
        <v>490.09999999999997</v>
      </c>
      <c r="AO277" s="17">
        <f t="shared" si="159"/>
        <v>1302.0999999999999</v>
      </c>
      <c r="AP277" s="17">
        <f t="shared" ref="AP277:AP280" si="179">AN277*0.7</f>
        <v>343.06999999999994</v>
      </c>
      <c r="AQ277" s="17">
        <f t="shared" si="159"/>
        <v>911.46999999999991</v>
      </c>
      <c r="AR277" s="100"/>
      <c r="AS277" s="93"/>
      <c r="AT277" t="s">
        <v>450</v>
      </c>
      <c r="AU277" s="19">
        <f>$H$21</f>
        <v>236</v>
      </c>
      <c r="AV277">
        <f t="shared" ref="AV277:AV282" si="180">AU277*0.6</f>
        <v>141.6</v>
      </c>
      <c r="AW277">
        <f t="shared" si="160"/>
        <v>0</v>
      </c>
      <c r="AX277">
        <f>AW277*0.6</f>
        <v>0</v>
      </c>
      <c r="AY277" s="19">
        <v>33.799999999999997</v>
      </c>
      <c r="AZ277">
        <f t="shared" ref="AZ277:AZ281" si="181">AY277*0.7</f>
        <v>23.659999999999997</v>
      </c>
      <c r="BA277">
        <f t="shared" si="161"/>
        <v>0</v>
      </c>
      <c r="BB277">
        <f t="shared" ref="BB277:BB281" si="182">BA277*0.7</f>
        <v>0</v>
      </c>
      <c r="BC277" s="19">
        <f>$H$21</f>
        <v>236</v>
      </c>
      <c r="BD277">
        <f t="shared" ref="BD277:BD281" si="183">BC277*0.6</f>
        <v>141.6</v>
      </c>
      <c r="BE277">
        <f t="shared" si="162"/>
        <v>3186</v>
      </c>
      <c r="BF277">
        <f t="shared" si="163"/>
        <v>1911.6</v>
      </c>
      <c r="BG277" s="19">
        <v>33.799999999999997</v>
      </c>
      <c r="BH277">
        <f t="shared" ref="BH277:BH281" si="184">BG277*0.7</f>
        <v>23.659999999999997</v>
      </c>
      <c r="BI277">
        <f t="shared" si="164"/>
        <v>456.29999999999995</v>
      </c>
      <c r="BJ277">
        <f t="shared" ref="BJ277:BJ281" si="185">BI277*0.7</f>
        <v>319.40999999999997</v>
      </c>
      <c r="BK277" s="19">
        <v>0</v>
      </c>
      <c r="BL277" s="19">
        <v>0</v>
      </c>
      <c r="BM277" s="17">
        <f>AW277+BE277+BK277</f>
        <v>3186</v>
      </c>
      <c r="BN277" s="17">
        <f>BN278+BM277</f>
        <v>12258</v>
      </c>
      <c r="BO277" s="17">
        <f t="shared" ref="BO277" si="186">BM277*0.6</f>
        <v>1911.6</v>
      </c>
      <c r="BP277" s="17">
        <f t="shared" ref="BP277:BP279" si="187">BP278+BO277</f>
        <v>7354.7999999999993</v>
      </c>
      <c r="BQ277" s="17">
        <f t="shared" ref="BQ277:BQ280" si="188">BA277+BI277+BL277</f>
        <v>456.29999999999995</v>
      </c>
      <c r="BR277" s="17">
        <f t="shared" si="165"/>
        <v>1212.3</v>
      </c>
      <c r="BS277" s="17">
        <f t="shared" ref="BS277:BS280" si="189">BQ277*0.7</f>
        <v>319.40999999999997</v>
      </c>
      <c r="BT277" s="17">
        <f t="shared" ref="BT277:BT279" si="190">BS277+BT278</f>
        <v>848.6099999999999</v>
      </c>
      <c r="BU277" s="100"/>
    </row>
    <row r="278" x14ac:dyDescent="0.25">
      <c r="B278" t="s">
        <v>451</v>
      </c>
      <c r="C278" s="19">
        <v>21</v>
      </c>
      <c r="D278" s="19">
        <v>4.5</v>
      </c>
      <c r="E278" s="66">
        <f t="shared" ref="E22:E25" si="191">C22+D22/12</f>
        <v>21.375</v>
      </c>
      <c r="F278" s="67">
        <f>IF(E22&gt;0,E22-(C15+C14+2*1.5+IF(C13="single",1.5,3))/12-_xlfn.XLOOKUP(E22,E20:E21,E20:E21,,-1),0)</f>
        <v>8.75</v>
      </c>
      <c r="H278" s="19">
        <v>229</v>
      </c>
      <c r="I278" s="64" t="s">
        <v>196</v>
      </c>
      <c r="J278" s="19">
        <v>37.1</v>
      </c>
      <c r="K278" s="19">
        <v>71.8</v>
      </c>
      <c r="L278" s="19">
        <v>21.1</v>
      </c>
      <c r="M278" s="19">
        <v>131.1</v>
      </c>
      <c r="P278" s="93"/>
      <c r="Q278" t="s">
        <v>451</v>
      </c>
      <c r="R278" s="19">
        <f>$H$22</f>
        <v>229</v>
      </c>
      <c r="S278">
        <f t="shared" si="166"/>
        <v>137.4</v>
      </c>
      <c r="T278">
        <f t="shared" si="167"/>
        <v>0</v>
      </c>
      <c r="U278">
        <f t="shared" ref="U278:U282" si="192">T278*0.6</f>
        <v>0</v>
      </c>
      <c r="V278" s="19">
        <v>37.1</v>
      </c>
      <c r="W278">
        <f t="shared" si="168"/>
        <v>25.97</v>
      </c>
      <c r="X278">
        <f>$C$44/2*V278</f>
        <v>0</v>
      </c>
      <c r="Y278">
        <f t="shared" si="170"/>
        <v>0</v>
      </c>
      <c r="Z278" s="19">
        <f>$H$22</f>
        <v>229</v>
      </c>
      <c r="AA278">
        <f t="shared" si="171"/>
        <v>137.4</v>
      </c>
      <c r="AB278">
        <f t="shared" si="172"/>
        <v>3320.5</v>
      </c>
      <c r="AC278">
        <f t="shared" si="158"/>
        <v>1992.3</v>
      </c>
      <c r="AD278" s="19">
        <v>37.1</v>
      </c>
      <c r="AE278">
        <f t="shared" si="173"/>
        <v>25.97</v>
      </c>
      <c r="AF278">
        <f t="shared" si="174"/>
        <v>537.95000000000005</v>
      </c>
      <c r="AG278">
        <f t="shared" si="175"/>
        <v>376.565</v>
      </c>
      <c r="AH278" s="19">
        <v>0</v>
      </c>
      <c r="AI278" s="19">
        <v>0</v>
      </c>
      <c r="AJ278" s="17">
        <f t="shared" ref="AJ278:AJ280" si="193">T278+AB278+AH278</f>
        <v>3320.5</v>
      </c>
      <c r="AK278" s="17">
        <f>AK279+AJ278</f>
        <v>9744</v>
      </c>
      <c r="AL278" s="17">
        <f>AJ278*0.6</f>
        <v>1992.3</v>
      </c>
      <c r="AM278" s="17">
        <f t="shared" si="177"/>
        <v>5846.4</v>
      </c>
      <c r="AN278" s="17">
        <f t="shared" si="178"/>
        <v>537.95000000000005</v>
      </c>
      <c r="AO278" s="17">
        <f t="shared" si="159"/>
        <v>812</v>
      </c>
      <c r="AP278" s="17">
        <f t="shared" si="179"/>
        <v>376.565</v>
      </c>
      <c r="AQ278" s="17">
        <f t="shared" si="159"/>
        <v>568.4</v>
      </c>
      <c r="AR278" s="100"/>
      <c r="AS278" s="93"/>
      <c r="AT278" t="s">
        <v>451</v>
      </c>
      <c r="AU278" s="19">
        <f>$H$22</f>
        <v>229</v>
      </c>
      <c r="AV278">
        <f t="shared" si="180"/>
        <v>137.4</v>
      </c>
      <c r="AW278">
        <f t="shared" si="160"/>
        <v>0</v>
      </c>
      <c r="AX278">
        <f t="shared" ref="AX278:AX282" si="194">AW278*0.6</f>
        <v>0</v>
      </c>
      <c r="AY278" s="19">
        <v>37.1</v>
      </c>
      <c r="AZ278">
        <f t="shared" si="181"/>
        <v>25.97</v>
      </c>
      <c r="BA278">
        <f t="shared" si="161"/>
        <v>0</v>
      </c>
      <c r="BB278">
        <f t="shared" si="182"/>
        <v>0</v>
      </c>
      <c r="BC278" s="19">
        <f>$H$22</f>
        <v>229</v>
      </c>
      <c r="BD278">
        <f t="shared" si="183"/>
        <v>137.4</v>
      </c>
      <c r="BE278">
        <f t="shared" si="162"/>
        <v>3091.5</v>
      </c>
      <c r="BF278">
        <f t="shared" si="163"/>
        <v>1854.8999999999999</v>
      </c>
      <c r="BG278" s="19">
        <v>37.1</v>
      </c>
      <c r="BH278">
        <f t="shared" si="184"/>
        <v>25.97</v>
      </c>
      <c r="BI278">
        <f t="shared" si="164"/>
        <v>500.85</v>
      </c>
      <c r="BJ278">
        <f t="shared" si="185"/>
        <v>350.59499999999997</v>
      </c>
      <c r="BK278" s="19">
        <v>0</v>
      </c>
      <c r="BL278" s="19">
        <v>0</v>
      </c>
      <c r="BM278" s="17">
        <f t="shared" ref="BM278:BM280" si="195">AW278+BE278+BK278</f>
        <v>3091.5</v>
      </c>
      <c r="BN278" s="17">
        <f>BN279+BM278</f>
        <v>9072</v>
      </c>
      <c r="BO278" s="17">
        <f>BM278*0.6</f>
        <v>1854.8999999999999</v>
      </c>
      <c r="BP278" s="17">
        <f t="shared" si="187"/>
        <v>5443.2</v>
      </c>
      <c r="BQ278" s="17">
        <f t="shared" si="188"/>
        <v>500.85</v>
      </c>
      <c r="BR278" s="17">
        <f t="shared" si="165"/>
        <v>756</v>
      </c>
      <c r="BS278" s="17">
        <f t="shared" si="189"/>
        <v>350.59499999999997</v>
      </c>
      <c r="BT278" s="17">
        <f t="shared" si="190"/>
        <v>529.19999999999993</v>
      </c>
      <c r="BU278" s="100"/>
    </row>
    <row r="279" x14ac:dyDescent="0.25">
      <c r="B279" t="s">
        <v>452</v>
      </c>
      <c r="C279" s="19">
        <v>0</v>
      </c>
      <c r="D279" s="19">
        <v>0</v>
      </c>
      <c r="E279" s="66">
        <f t="shared" si="191"/>
        <v>0</v>
      </c>
      <c r="F279" s="67">
        <f>IF(E23&gt;0,E23-(C15+C14+2*1.5+IF(C13="single",1.5,3))/12-_xlfn.XLOOKUP(E23,E20:E22,E20:E22,,-1),0)</f>
        <v>0</v>
      </c>
      <c r="H279" s="19">
        <v>0</v>
      </c>
      <c r="I279" s="64" t="s">
        <v>196</v>
      </c>
      <c r="J279" s="19">
        <v>0</v>
      </c>
      <c r="K279" s="19">
        <v>0</v>
      </c>
      <c r="L279" s="19">
        <v>0</v>
      </c>
      <c r="M279" s="19">
        <v>0</v>
      </c>
      <c r="P279" s="93"/>
      <c r="Q279" t="s">
        <v>452</v>
      </c>
      <c r="R279" s="19">
        <f>$H$23</f>
        <v>0</v>
      </c>
      <c r="S279">
        <f t="shared" si="166"/>
        <v>0</v>
      </c>
      <c r="T279">
        <f t="shared" si="167"/>
        <v>0</v>
      </c>
      <c r="U279">
        <f t="shared" si="192"/>
        <v>0</v>
      </c>
      <c r="V279" s="19">
        <v>0</v>
      </c>
      <c r="W279">
        <f t="shared" si="168"/>
        <v>0</v>
      </c>
      <c r="X279">
        <f t="shared" si="169"/>
        <v>0</v>
      </c>
      <c r="Y279">
        <f t="shared" si="170"/>
        <v>0</v>
      </c>
      <c r="Z279" s="19">
        <f>$H$23</f>
        <v>0</v>
      </c>
      <c r="AA279">
        <f t="shared" si="171"/>
        <v>0</v>
      </c>
      <c r="AB279">
        <f t="shared" si="172"/>
        <v>0</v>
      </c>
      <c r="AC279">
        <f t="shared" si="158"/>
        <v>0</v>
      </c>
      <c r="AD279" s="19">
        <v>0</v>
      </c>
      <c r="AE279">
        <f t="shared" si="173"/>
        <v>0</v>
      </c>
      <c r="AF279">
        <f t="shared" si="174"/>
        <v>0</v>
      </c>
      <c r="AG279">
        <f t="shared" si="175"/>
        <v>0</v>
      </c>
      <c r="AH279" s="19">
        <v>0</v>
      </c>
      <c r="AI279" s="19">
        <v>0</v>
      </c>
      <c r="AJ279" s="17">
        <f t="shared" si="193"/>
        <v>0</v>
      </c>
      <c r="AK279" s="17">
        <f>AK280+AJ279</f>
        <v>6423.5</v>
      </c>
      <c r="AL279" s="17">
        <f>AJ279*0.6</f>
        <v>0</v>
      </c>
      <c r="AM279" s="17">
        <f t="shared" si="177"/>
        <v>3854.1</v>
      </c>
      <c r="AN279" s="17">
        <f t="shared" si="178"/>
        <v>0</v>
      </c>
      <c r="AO279" s="17">
        <f t="shared" si="159"/>
        <v>274.04999999999995</v>
      </c>
      <c r="AP279" s="17">
        <f t="shared" si="179"/>
        <v>0</v>
      </c>
      <c r="AQ279" s="17">
        <f t="shared" si="159"/>
        <v>191.83499999999995</v>
      </c>
      <c r="AR279" s="100"/>
      <c r="AS279" s="93"/>
      <c r="AT279" t="s">
        <v>452</v>
      </c>
      <c r="AU279" s="19">
        <f>$H$23</f>
        <v>0</v>
      </c>
      <c r="AV279">
        <f t="shared" si="180"/>
        <v>0</v>
      </c>
      <c r="AW279">
        <f t="shared" si="160"/>
        <v>0</v>
      </c>
      <c r="AX279">
        <f t="shared" si="194"/>
        <v>0</v>
      </c>
      <c r="AY279" s="19">
        <v>0</v>
      </c>
      <c r="AZ279">
        <f t="shared" si="181"/>
        <v>0</v>
      </c>
      <c r="BA279">
        <f t="shared" si="161"/>
        <v>0</v>
      </c>
      <c r="BB279">
        <f t="shared" si="182"/>
        <v>0</v>
      </c>
      <c r="BC279" s="19">
        <f>$H$23</f>
        <v>0</v>
      </c>
      <c r="BD279">
        <f t="shared" si="183"/>
        <v>0</v>
      </c>
      <c r="BE279">
        <f t="shared" si="162"/>
        <v>0</v>
      </c>
      <c r="BF279">
        <f t="shared" si="163"/>
        <v>0</v>
      </c>
      <c r="BG279" s="19">
        <v>0</v>
      </c>
      <c r="BH279">
        <f t="shared" si="184"/>
        <v>0</v>
      </c>
      <c r="BI279">
        <f t="shared" si="164"/>
        <v>0</v>
      </c>
      <c r="BJ279">
        <f t="shared" si="185"/>
        <v>0</v>
      </c>
      <c r="BK279" s="19">
        <v>0</v>
      </c>
      <c r="BL279" s="19">
        <v>0</v>
      </c>
      <c r="BM279" s="17">
        <f t="shared" si="195"/>
        <v>0</v>
      </c>
      <c r="BN279" s="17">
        <f>BN280+BM279</f>
        <v>5980.5</v>
      </c>
      <c r="BO279" s="17">
        <f>BM279*0.6</f>
        <v>0</v>
      </c>
      <c r="BP279" s="17">
        <f t="shared" si="187"/>
        <v>3588.2999999999997</v>
      </c>
      <c r="BQ279" s="17">
        <f t="shared" si="188"/>
        <v>0</v>
      </c>
      <c r="BR279" s="17">
        <f t="shared" si="165"/>
        <v>255.14999999999998</v>
      </c>
      <c r="BS279" s="17">
        <f t="shared" si="189"/>
        <v>0</v>
      </c>
      <c r="BT279" s="17">
        <f t="shared" si="190"/>
        <v>178.60499999999996</v>
      </c>
      <c r="BU279" s="100"/>
    </row>
    <row r="280" x14ac:dyDescent="0.25">
      <c r="B280" t="s">
        <v>453</v>
      </c>
      <c r="C280" s="19">
        <v>0</v>
      </c>
      <c r="D280" s="19">
        <v>0</v>
      </c>
      <c r="E280" s="66">
        <f t="shared" si="191"/>
        <v>0</v>
      </c>
      <c r="F280" s="67">
        <f>IF(E24&gt;0,E24-(C15+C14+2*1.5+IF(C13="single",1.5,3))/12-_xlfn.XLOOKUP(E24,E20:E23,E20:E23,,-1),0)</f>
        <v>0</v>
      </c>
      <c r="H280" s="19">
        <v>0</v>
      </c>
      <c r="I280" s="64" t="s">
        <v>196</v>
      </c>
      <c r="J280" s="19">
        <v>0</v>
      </c>
      <c r="K280" s="19">
        <v>0</v>
      </c>
      <c r="L280" s="19">
        <v>0</v>
      </c>
      <c r="M280" s="19">
        <v>0</v>
      </c>
      <c r="P280" s="93"/>
      <c r="Q280" t="s">
        <v>453</v>
      </c>
      <c r="R280" s="19">
        <f>$H$24</f>
        <v>0</v>
      </c>
      <c r="S280">
        <f t="shared" si="166"/>
        <v>0</v>
      </c>
      <c r="T280">
        <f t="shared" si="167"/>
        <v>0</v>
      </c>
      <c r="U280">
        <f t="shared" si="192"/>
        <v>0</v>
      </c>
      <c r="V280" s="19">
        <v>0</v>
      </c>
      <c r="W280">
        <f t="shared" si="168"/>
        <v>0</v>
      </c>
      <c r="X280">
        <f t="shared" si="169"/>
        <v>0</v>
      </c>
      <c r="Y280">
        <f t="shared" si="170"/>
        <v>0</v>
      </c>
      <c r="Z280" s="19">
        <f>$H$24</f>
        <v>0</v>
      </c>
      <c r="AA280">
        <f t="shared" si="171"/>
        <v>0</v>
      </c>
      <c r="AB280">
        <f t="shared" si="172"/>
        <v>0</v>
      </c>
      <c r="AC280">
        <f t="shared" si="158"/>
        <v>0</v>
      </c>
      <c r="AD280" s="19">
        <v>0</v>
      </c>
      <c r="AE280">
        <f t="shared" si="173"/>
        <v>0</v>
      </c>
      <c r="AF280">
        <f t="shared" si="174"/>
        <v>0</v>
      </c>
      <c r="AG280">
        <f t="shared" si="175"/>
        <v>0</v>
      </c>
      <c r="AH280" s="19">
        <v>0</v>
      </c>
      <c r="AI280" s="19">
        <v>0</v>
      </c>
      <c r="AJ280" s="17">
        <f t="shared" si="193"/>
        <v>0</v>
      </c>
      <c r="AK280" s="17">
        <f>AK281+IF(AJ280=0,0,AJ280)</f>
        <v>6423.5</v>
      </c>
      <c r="AL280" s="17">
        <f t="shared" si="176"/>
        <v>0</v>
      </c>
      <c r="AM280" s="17">
        <f>AM281+AL280</f>
        <v>3854.1</v>
      </c>
      <c r="AN280" s="17">
        <f t="shared" si="178"/>
        <v>0</v>
      </c>
      <c r="AO280" s="17">
        <f>AN280+AO281</f>
        <v>274.04999999999995</v>
      </c>
      <c r="AP280" s="17">
        <f t="shared" si="179"/>
        <v>0</v>
      </c>
      <c r="AQ280" s="17">
        <f>AP280+AQ281</f>
        <v>191.83499999999995</v>
      </c>
      <c r="AR280" s="100"/>
      <c r="AS280" s="93"/>
      <c r="AT280" t="s">
        <v>453</v>
      </c>
      <c r="AU280" s="19">
        <f>$H$24</f>
        <v>0</v>
      </c>
      <c r="AV280">
        <f t="shared" si="180"/>
        <v>0</v>
      </c>
      <c r="AW280">
        <f t="shared" si="160"/>
        <v>0</v>
      </c>
      <c r="AX280">
        <f t="shared" si="194"/>
        <v>0</v>
      </c>
      <c r="AY280" s="19">
        <v>0</v>
      </c>
      <c r="AZ280">
        <f t="shared" si="181"/>
        <v>0</v>
      </c>
      <c r="BA280">
        <f t="shared" si="161"/>
        <v>0</v>
      </c>
      <c r="BB280">
        <f t="shared" si="182"/>
        <v>0</v>
      </c>
      <c r="BC280" s="19">
        <f>$H$24</f>
        <v>0</v>
      </c>
      <c r="BD280">
        <f t="shared" si="183"/>
        <v>0</v>
      </c>
      <c r="BE280">
        <f t="shared" si="162"/>
        <v>0</v>
      </c>
      <c r="BF280">
        <f t="shared" si="163"/>
        <v>0</v>
      </c>
      <c r="BG280" s="19">
        <v>0</v>
      </c>
      <c r="BH280">
        <f t="shared" si="184"/>
        <v>0</v>
      </c>
      <c r="BI280">
        <f t="shared" si="164"/>
        <v>0</v>
      </c>
      <c r="BJ280">
        <f t="shared" si="185"/>
        <v>0</v>
      </c>
      <c r="BK280" s="19">
        <v>0</v>
      </c>
      <c r="BL280" s="19">
        <v>0</v>
      </c>
      <c r="BM280" s="17">
        <f t="shared" si="195"/>
        <v>0</v>
      </c>
      <c r="BN280" s="17">
        <f>BN281+IF(BM280=0,0,BM280)</f>
        <v>5980.5</v>
      </c>
      <c r="BO280" s="17">
        <f t="shared" ref="BO280:BO281" si="196">BM280*0.6</f>
        <v>0</v>
      </c>
      <c r="BP280" s="17">
        <f>BP281+BO280</f>
        <v>3588.2999999999997</v>
      </c>
      <c r="BQ280" s="17">
        <f t="shared" si="188"/>
        <v>0</v>
      </c>
      <c r="BR280" s="17">
        <f>BQ280+BR281</f>
        <v>255.14999999999998</v>
      </c>
      <c r="BS280" s="17">
        <f t="shared" si="189"/>
        <v>0</v>
      </c>
      <c r="BT280" s="17">
        <f>BS280+BT281</f>
        <v>178.60499999999996</v>
      </c>
      <c r="BU280" s="100"/>
    </row>
    <row r="281" x14ac:dyDescent="0.25">
      <c r="B281" t="s">
        <v>275</v>
      </c>
      <c r="C281" s="19">
        <f>(33+32)/2</f>
        <v>32.5</v>
      </c>
      <c r="D281" s="19">
        <f>(10.5+5.625)/2</f>
        <v>8.0625</v>
      </c>
      <c r="E281" s="68">
        <f t="shared" si="191"/>
        <v>33.171875</v>
      </c>
      <c r="F281" s="69">
        <f>E25-(C17+C16+2*1.5+IF(C13="single",1.5,3))/12-_xlfn.XLOOKUP(E25,E20:E24,E20:E24,,-1)</f>
        <v>8.6770833333333321</v>
      </c>
      <c r="H281" s="19">
        <v>443</v>
      </c>
      <c r="I281" s="64" t="s">
        <v>196</v>
      </c>
      <c r="J281" s="19">
        <v>18.899999999999999</v>
      </c>
      <c r="K281" s="19">
        <v>36.6</v>
      </c>
      <c r="L281" s="19">
        <v>10.8</v>
      </c>
      <c r="M281" s="19">
        <v>66.7</v>
      </c>
      <c r="P281" s="93"/>
      <c r="Q281" t="s">
        <v>275</v>
      </c>
      <c r="R281" s="19">
        <f>$H$25</f>
        <v>443</v>
      </c>
      <c r="S281">
        <f t="shared" si="166"/>
        <v>265.8</v>
      </c>
      <c r="T281">
        <f t="shared" si="167"/>
        <v>0</v>
      </c>
      <c r="U281">
        <f t="shared" si="192"/>
        <v>0</v>
      </c>
      <c r="V281" s="19">
        <v>18.899999999999999</v>
      </c>
      <c r="W281">
        <f t="shared" si="168"/>
        <v>13.229999999999999</v>
      </c>
      <c r="X281">
        <f t="shared" si="169"/>
        <v>0</v>
      </c>
      <c r="Y281">
        <f t="shared" si="170"/>
        <v>0</v>
      </c>
      <c r="Z281" s="19">
        <f>$H$25</f>
        <v>443</v>
      </c>
      <c r="AA281">
        <f t="shared" si="171"/>
        <v>265.8</v>
      </c>
      <c r="AB281">
        <f t="shared" si="172"/>
        <v>6423.5</v>
      </c>
      <c r="AC281">
        <f t="shared" si="158"/>
        <v>3854.1</v>
      </c>
      <c r="AD281" s="19">
        <v>18.899999999999999</v>
      </c>
      <c r="AE281">
        <f t="shared" si="173"/>
        <v>13.229999999999999</v>
      </c>
      <c r="AF281">
        <f t="shared" si="174"/>
        <v>274.04999999999995</v>
      </c>
      <c r="AG281">
        <f t="shared" si="175"/>
        <v>191.83499999999995</v>
      </c>
      <c r="AH281" s="19">
        <v>0</v>
      </c>
      <c r="AI281" s="19">
        <v>0</v>
      </c>
      <c r="AJ281" s="17">
        <f>T281+AB281+AH281</f>
        <v>6423.5</v>
      </c>
      <c r="AK281" s="17">
        <f>AJ281</f>
        <v>6423.5</v>
      </c>
      <c r="AL281" s="17">
        <f t="shared" si="176"/>
        <v>3854.1</v>
      </c>
      <c r="AM281" s="17">
        <f>AL281</f>
        <v>3854.1</v>
      </c>
      <c r="AN281" s="17">
        <f>X281+AF281+AI281</f>
        <v>274.04999999999995</v>
      </c>
      <c r="AO281" s="17">
        <f>AN281</f>
        <v>274.04999999999995</v>
      </c>
      <c r="AP281" s="17">
        <f>AN281*0.7</f>
        <v>191.83499999999995</v>
      </c>
      <c r="AQ281" s="17">
        <f>AP281</f>
        <v>191.83499999999995</v>
      </c>
      <c r="AR281" s="100"/>
      <c r="AS281" s="93"/>
      <c r="AT281" t="s">
        <v>275</v>
      </c>
      <c r="AU281" s="19">
        <f>$H$25</f>
        <v>443</v>
      </c>
      <c r="AV281">
        <f t="shared" si="180"/>
        <v>265.8</v>
      </c>
      <c r="AW281">
        <f t="shared" si="160"/>
        <v>0</v>
      </c>
      <c r="AX281">
        <f t="shared" si="194"/>
        <v>0</v>
      </c>
      <c r="AY281" s="19">
        <v>18.899999999999999</v>
      </c>
      <c r="AZ281">
        <f t="shared" si="181"/>
        <v>13.229999999999999</v>
      </c>
      <c r="BA281">
        <f t="shared" si="161"/>
        <v>0</v>
      </c>
      <c r="BB281">
        <f t="shared" si="182"/>
        <v>0</v>
      </c>
      <c r="BC281" s="19">
        <f>$H$25</f>
        <v>443</v>
      </c>
      <c r="BD281">
        <f t="shared" si="183"/>
        <v>265.8</v>
      </c>
      <c r="BE281">
        <f t="shared" si="162"/>
        <v>5980.5</v>
      </c>
      <c r="BF281">
        <f t="shared" si="163"/>
        <v>3588.2999999999997</v>
      </c>
      <c r="BG281" s="19">
        <v>18.899999999999999</v>
      </c>
      <c r="BH281">
        <f t="shared" si="184"/>
        <v>13.229999999999999</v>
      </c>
      <c r="BI281">
        <f t="shared" si="164"/>
        <v>255.14999999999998</v>
      </c>
      <c r="BJ281">
        <f t="shared" si="185"/>
        <v>178.60499999999996</v>
      </c>
      <c r="BK281" s="19">
        <v>0</v>
      </c>
      <c r="BL281" s="19">
        <v>0</v>
      </c>
      <c r="BM281" s="17">
        <f>AW281+BE281+BK281</f>
        <v>5980.5</v>
      </c>
      <c r="BN281" s="17">
        <f>BM281</f>
        <v>5980.5</v>
      </c>
      <c r="BO281" s="17">
        <f t="shared" si="196"/>
        <v>3588.2999999999997</v>
      </c>
      <c r="BP281" s="17">
        <f>BO281</f>
        <v>3588.2999999999997</v>
      </c>
      <c r="BQ281" s="17">
        <f>BA281+BI281+BL281</f>
        <v>255.14999999999998</v>
      </c>
      <c r="BR281" s="17">
        <f>BQ281</f>
        <v>255.14999999999998</v>
      </c>
      <c r="BS281" s="17">
        <f>BQ281*0.7</f>
        <v>178.60499999999996</v>
      </c>
      <c r="BT281" s="17">
        <f>BS281</f>
        <v>178.60499999999996</v>
      </c>
      <c r="BU281" s="100"/>
    </row>
    <row r="282" x14ac:dyDescent="0.25">
      <c r="B282" t="s">
        <v>530</v>
      </c>
      <c r="E282" s="73"/>
      <c r="F282" s="73"/>
      <c r="H282" s="19">
        <v>-22.9</v>
      </c>
      <c r="I282" s="64" t="s">
        <v>270</v>
      </c>
      <c r="P282" s="93"/>
      <c r="R282" s="19">
        <f>$H$26</f>
        <v>-22.9</v>
      </c>
      <c r="S282">
        <f t="shared" si="166"/>
        <v>-13.739999999999998</v>
      </c>
      <c r="T282">
        <f>$I$44/2*R282</f>
        <v>0</v>
      </c>
      <c r="U282">
        <f t="shared" si="192"/>
        <v>0</v>
      </c>
      <c r="Z282" s="19">
        <f>$H$26</f>
        <v>-22.9</v>
      </c>
      <c r="AA282">
        <f>Z282*0.6</f>
        <v>-13.739999999999998</v>
      </c>
      <c r="AB282">
        <f>$J$44/2*Z282</f>
        <v>-309.14999999999998</v>
      </c>
      <c r="AC282">
        <f t="shared" si="158"/>
        <v>-185.48999999999998</v>
      </c>
      <c r="AR282" s="100"/>
      <c r="AS282" s="93"/>
      <c r="AU282" s="19">
        <f>$H$26</f>
        <v>-22.9</v>
      </c>
      <c r="AV282">
        <f t="shared" si="180"/>
        <v>-13.739999999999998</v>
      </c>
      <c r="AW282">
        <f t="shared" si="160"/>
        <v>0</v>
      </c>
      <c r="AX282">
        <f t="shared" si="194"/>
        <v>0</v>
      </c>
      <c r="BC282" s="19">
        <f>$H$26</f>
        <v>-22.9</v>
      </c>
      <c r="BD282">
        <f>BC282*0.6</f>
        <v>-13.739999999999998</v>
      </c>
      <c r="BE282">
        <f t="shared" si="162"/>
        <v>-309.14999999999998</v>
      </c>
      <c r="BF282">
        <f t="shared" si="163"/>
        <v>-185.48999999999998</v>
      </c>
      <c r="BU282" s="100"/>
    </row>
    <row r="283" x14ac:dyDescent="0.25">
      <c r="B283" t="s">
        <v>531</v>
      </c>
      <c r="C283" s="1" t="s">
        <v>533</v>
      </c>
      <c r="D283" s="19">
        <v>0.18</v>
      </c>
      <c r="E283" s="73"/>
      <c r="F283" s="73"/>
      <c r="H283">
        <f>0.2*D27</f>
        <v>3.5999999999999997E-2</v>
      </c>
      <c r="I283" s="64" t="s">
        <v>534</v>
      </c>
      <c r="P283" s="93"/>
      <c r="Q283" s="1"/>
      <c r="AR283" s="100"/>
      <c r="AS283" s="93"/>
      <c r="AT283" s="1"/>
      <c r="BU283" s="100"/>
    </row>
    <row r="284" x14ac:dyDescent="0.25">
      <c r="P284" s="93"/>
      <c r="Y284" s="112" t="s">
        <v>752</v>
      </c>
      <c r="Z284" s="112"/>
      <c r="AA284" s="112"/>
      <c r="AB284" s="112"/>
      <c r="AC284" s="112"/>
      <c r="AR284" s="100"/>
      <c r="AS284" s="93"/>
      <c r="BB284" s="112" t="s">
        <v>752</v>
      </c>
      <c r="BC284" s="112"/>
      <c r="BD284" s="112"/>
      <c r="BE284" s="112"/>
      <c r="BF284" s="112"/>
      <c r="BU284" s="100"/>
    </row>
    <row r="285" x14ac:dyDescent="0.25">
      <c r="B285" t="s">
        <v>513</v>
      </c>
      <c r="P285" s="93"/>
      <c r="Q285" t="s">
        <v>479</v>
      </c>
      <c r="R285" t="s">
        <v>491</v>
      </c>
      <c r="S285" t="s">
        <v>508</v>
      </c>
      <c r="T285" t="s">
        <v>507</v>
      </c>
      <c r="U285" t="s">
        <v>535</v>
      </c>
      <c r="V285" t="s">
        <v>536</v>
      </c>
      <c r="W285" t="s">
        <v>479</v>
      </c>
      <c r="X285" t="s">
        <v>537</v>
      </c>
      <c r="Y285" t="s">
        <v>450</v>
      </c>
      <c r="Z285" t="s">
        <v>451</v>
      </c>
      <c r="AA285" t="s">
        <v>452</v>
      </c>
      <c r="AB285" t="s">
        <v>453</v>
      </c>
      <c r="AC285" t="s">
        <v>753</v>
      </c>
      <c r="AD285" t="s">
        <v>519</v>
      </c>
      <c r="AR285" s="100"/>
      <c r="AS285" s="93"/>
      <c r="AT285" t="s">
        <v>479</v>
      </c>
      <c r="AU285" t="s">
        <v>491</v>
      </c>
      <c r="AV285" t="s">
        <v>508</v>
      </c>
      <c r="AW285" t="s">
        <v>507</v>
      </c>
      <c r="AX285" t="s">
        <v>535</v>
      </c>
      <c r="AY285" t="s">
        <v>536</v>
      </c>
      <c r="AZ285" t="s">
        <v>479</v>
      </c>
      <c r="BA285" t="s">
        <v>537</v>
      </c>
      <c r="BB285" t="s">
        <v>450</v>
      </c>
      <c r="BC285" t="s">
        <v>451</v>
      </c>
      <c r="BD285" t="s">
        <v>452</v>
      </c>
      <c r="BE285" t="s">
        <v>453</v>
      </c>
      <c r="BF285" t="s">
        <v>753</v>
      </c>
      <c r="BG285" t="s">
        <v>519</v>
      </c>
      <c r="BU285" s="100"/>
    </row>
    <row r="286" x14ac:dyDescent="0.25">
      <c r="B286" s="1" t="s">
        <v>275</v>
      </c>
      <c r="C286" s="19">
        <v>20</v>
      </c>
      <c r="D286" t="s">
        <v>567</v>
      </c>
      <c r="P286" s="93"/>
      <c r="Q286" s="109" t="str">
        <f>R272&amp;".01"</f>
        <v>A.01</v>
      </c>
      <c r="R286" s="19">
        <v>29</v>
      </c>
      <c r="S286" s="19">
        <v>12</v>
      </c>
      <c r="T286">
        <f>S286/2</f>
        <v>6</v>
      </c>
      <c r="U286" s="19">
        <v>4</v>
      </c>
      <c r="V286">
        <f>U286/2</f>
        <v>2</v>
      </c>
      <c r="W286" s="19" t="s">
        <v>515</v>
      </c>
      <c r="X286" s="19">
        <v>6</v>
      </c>
      <c r="Y286" s="19"/>
      <c r="Z286" s="19"/>
      <c r="AA286" s="19"/>
      <c r="AB286" s="19"/>
      <c r="AC286" s="19"/>
      <c r="AD286" s="108">
        <f>R286/R302</f>
        <v>1</v>
      </c>
      <c r="AR286" s="100"/>
      <c r="AS286" s="93"/>
      <c r="AT286" s="109" t="str">
        <f>AU$272&amp;".01"</f>
        <v>1.01</v>
      </c>
      <c r="AU286" s="19">
        <v>29</v>
      </c>
      <c r="AV286" s="19">
        <v>12</v>
      </c>
      <c r="AW286">
        <f>AV286/2</f>
        <v>6</v>
      </c>
      <c r="AX286" s="19">
        <v>4</v>
      </c>
      <c r="AY286">
        <f>AX286/2</f>
        <v>2</v>
      </c>
      <c r="AZ286" s="19" t="s">
        <v>515</v>
      </c>
      <c r="BA286" s="19">
        <v>6</v>
      </c>
      <c r="BB286" s="19"/>
      <c r="BC286" s="19"/>
      <c r="BD286" s="19"/>
      <c r="BE286" s="19"/>
      <c r="BF286" s="19"/>
      <c r="BG286" s="108">
        <f>AU286/AU302</f>
        <v>1</v>
      </c>
      <c r="BU286" s="100"/>
    </row>
    <row r="287" x14ac:dyDescent="0.25">
      <c r="B287" s="1"/>
      <c r="C287">
        <f>0.9*C30</f>
        <v>18</v>
      </c>
      <c r="D287" t="s">
        <v>532</v>
      </c>
      <c r="P287" s="93"/>
      <c r="Q287" s="109" t="str">
        <f>R272&amp;".02"</f>
        <v>A.02</v>
      </c>
      <c r="R287" s="19"/>
      <c r="S287" s="19"/>
      <c r="T287">
        <f t="shared" ref="T287:T301" si="197">S287/2</f>
        <v>0</v>
      </c>
      <c r="U287" s="19"/>
      <c r="V287">
        <f t="shared" ref="V287:V301" si="198">U287/2</f>
        <v>0</v>
      </c>
      <c r="W287" s="19"/>
      <c r="X287" s="19"/>
      <c r="Y287" s="19"/>
      <c r="Z287" s="19"/>
      <c r="AA287" s="19"/>
      <c r="AB287" s="19"/>
      <c r="AC287" s="19"/>
      <c r="AR287" s="100"/>
      <c r="AS287" s="93"/>
      <c r="AT287" s="109" t="str">
        <f>AU$272&amp;".02"</f>
        <v>1.02</v>
      </c>
      <c r="AU287" s="19"/>
      <c r="AV287" s="19"/>
      <c r="AW287">
        <f t="shared" ref="AW287:AW301" si="199">AV287/2</f>
        <v>0</v>
      </c>
      <c r="AX287" s="19"/>
      <c r="AY287">
        <f t="shared" ref="AY287:AY301" si="200">AX287/2</f>
        <v>0</v>
      </c>
      <c r="AZ287" s="19"/>
      <c r="BA287" s="19"/>
      <c r="BB287" s="19"/>
      <c r="BC287" s="19"/>
      <c r="BD287" s="19"/>
      <c r="BE287" s="19"/>
      <c r="BF287" s="19"/>
      <c r="BU287" s="100"/>
    </row>
    <row r="288" x14ac:dyDescent="0.25">
      <c r="B288" s="1" t="s">
        <v>514</v>
      </c>
      <c r="C288" s="19">
        <v>26</v>
      </c>
      <c r="D288" t="s">
        <v>512</v>
      </c>
      <c r="P288" s="93"/>
      <c r="Q288" s="109" t="str">
        <f>R272&amp;".03"</f>
        <v>A.03</v>
      </c>
      <c r="R288" s="19"/>
      <c r="S288" s="19"/>
      <c r="T288">
        <f t="shared" si="197"/>
        <v>0</v>
      </c>
      <c r="U288" s="19"/>
      <c r="V288">
        <f t="shared" si="198"/>
        <v>0</v>
      </c>
      <c r="W288" s="19"/>
      <c r="X288" s="19"/>
      <c r="Y288" s="19"/>
      <c r="Z288" s="19"/>
      <c r="AA288" s="19"/>
      <c r="AB288" s="19"/>
      <c r="AC288" s="19"/>
      <c r="AR288" s="100"/>
      <c r="AS288" s="93"/>
      <c r="AT288" s="109" t="str">
        <f>AU$272&amp;".03"</f>
        <v>1.03</v>
      </c>
      <c r="AU288" s="19"/>
      <c r="AV288" s="19"/>
      <c r="AW288">
        <f t="shared" si="199"/>
        <v>0</v>
      </c>
      <c r="AX288" s="19"/>
      <c r="AY288">
        <f t="shared" si="200"/>
        <v>0</v>
      </c>
      <c r="AZ288" s="19"/>
      <c r="BA288" s="19"/>
      <c r="BB288" s="19"/>
      <c r="BC288" s="19"/>
      <c r="BD288" s="19"/>
      <c r="BE288" s="19"/>
      <c r="BF288" s="19"/>
      <c r="BU288" s="100"/>
    </row>
    <row r="289" x14ac:dyDescent="0.25">
      <c r="B289" s="1" t="s">
        <v>477</v>
      </c>
      <c r="C289" s="19">
        <v>11</v>
      </c>
      <c r="D289" t="s">
        <v>509</v>
      </c>
      <c r="P289" s="93"/>
      <c r="Q289" s="109" t="str">
        <f>R272&amp;".04"</f>
        <v>A.04</v>
      </c>
      <c r="R289" s="19"/>
      <c r="S289" s="19"/>
      <c r="T289">
        <f t="shared" si="197"/>
        <v>0</v>
      </c>
      <c r="U289" s="19"/>
      <c r="V289">
        <f t="shared" si="198"/>
        <v>0</v>
      </c>
      <c r="W289" s="19"/>
      <c r="X289" s="19"/>
      <c r="Y289" s="19"/>
      <c r="Z289" s="19"/>
      <c r="AA289" s="19"/>
      <c r="AB289" s="19"/>
      <c r="AC289" s="19"/>
      <c r="AR289" s="100"/>
      <c r="AS289" s="93"/>
      <c r="AT289" s="109" t="str">
        <f>AU$272&amp;".04"</f>
        <v>1.04</v>
      </c>
      <c r="AU289" s="19"/>
      <c r="AV289" s="19"/>
      <c r="AW289">
        <f t="shared" si="199"/>
        <v>0</v>
      </c>
      <c r="AX289" s="19"/>
      <c r="AY289">
        <f t="shared" si="200"/>
        <v>0</v>
      </c>
      <c r="AZ289" s="19"/>
      <c r="BA289" s="19"/>
      <c r="BB289" s="19"/>
      <c r="BC289" s="19"/>
      <c r="BD289" s="19"/>
      <c r="BE289" s="19"/>
      <c r="BF289" s="19"/>
      <c r="BU289" s="100"/>
    </row>
    <row r="290" x14ac:dyDescent="0.25">
      <c r="B290" s="1" t="s">
        <v>478</v>
      </c>
      <c r="C290" s="19">
        <v>13</v>
      </c>
      <c r="D290" t="s">
        <v>510</v>
      </c>
      <c r="P290" s="93"/>
      <c r="Q290" s="109" t="str">
        <f>R272&amp;".05"</f>
        <v>A.05</v>
      </c>
      <c r="R290" s="19"/>
      <c r="S290" s="19"/>
      <c r="T290">
        <f t="shared" si="197"/>
        <v>0</v>
      </c>
      <c r="U290" s="19"/>
      <c r="V290">
        <f t="shared" si="198"/>
        <v>0</v>
      </c>
      <c r="W290" s="19"/>
      <c r="X290" s="19"/>
      <c r="Y290" s="19"/>
      <c r="Z290" s="19"/>
      <c r="AA290" s="19"/>
      <c r="AB290" s="19"/>
      <c r="AC290" s="19"/>
      <c r="AR290" s="100"/>
      <c r="AS290" s="93"/>
      <c r="AT290" s="109" t="str">
        <f>AU$272&amp;".05"</f>
        <v>1.05</v>
      </c>
      <c r="AU290" s="19"/>
      <c r="AV290" s="19"/>
      <c r="AW290">
        <f t="shared" si="199"/>
        <v>0</v>
      </c>
      <c r="AX290" s="19"/>
      <c r="AY290">
        <f t="shared" si="200"/>
        <v>0</v>
      </c>
      <c r="AZ290" s="19"/>
      <c r="BA290" s="19"/>
      <c r="BB290" s="19"/>
      <c r="BC290" s="19"/>
      <c r="BD290" s="19"/>
      <c r="BE290" s="19"/>
      <c r="BF290" s="19"/>
      <c r="BU290" s="100"/>
    </row>
    <row r="291" x14ac:dyDescent="0.25">
      <c r="B291" s="1" t="s">
        <v>515</v>
      </c>
      <c r="C291" s="19">
        <v>18</v>
      </c>
      <c r="D291" t="s">
        <v>511</v>
      </c>
      <c r="P291" s="93"/>
      <c r="Q291" s="109" t="str">
        <f>R272&amp;".06"</f>
        <v>A.06</v>
      </c>
      <c r="R291" s="19"/>
      <c r="S291" s="19"/>
      <c r="T291">
        <f t="shared" si="197"/>
        <v>0</v>
      </c>
      <c r="U291" s="19"/>
      <c r="V291">
        <f t="shared" si="198"/>
        <v>0</v>
      </c>
      <c r="W291" s="19"/>
      <c r="X291" s="19"/>
      <c r="Y291" s="19"/>
      <c r="Z291" s="19"/>
      <c r="AA291" s="19"/>
      <c r="AB291" s="19"/>
      <c r="AC291" s="19"/>
      <c r="AR291" s="100"/>
      <c r="AS291" s="93"/>
      <c r="AT291" s="109" t="str">
        <f>AU$272&amp;".06"</f>
        <v>1.06</v>
      </c>
      <c r="AU291" s="19"/>
      <c r="AV291" s="19"/>
      <c r="AW291">
        <f t="shared" si="199"/>
        <v>0</v>
      </c>
      <c r="AX291" s="19"/>
      <c r="AY291">
        <f t="shared" si="200"/>
        <v>0</v>
      </c>
      <c r="AZ291" s="19"/>
      <c r="BA291" s="19"/>
      <c r="BB291" s="19"/>
      <c r="BC291" s="19"/>
      <c r="BD291" s="19"/>
      <c r="BE291" s="19"/>
      <c r="BF291" s="19"/>
      <c r="BU291" s="100"/>
    </row>
    <row r="292" x14ac:dyDescent="0.25">
      <c r="B292" s="1" t="s">
        <v>516</v>
      </c>
      <c r="P292" s="93"/>
      <c r="Q292" s="109" t="str">
        <f>R272&amp;".07"</f>
        <v>A.07</v>
      </c>
      <c r="R292" s="19"/>
      <c r="S292" s="19"/>
      <c r="T292">
        <f t="shared" si="197"/>
        <v>0</v>
      </c>
      <c r="U292" s="19"/>
      <c r="V292">
        <f t="shared" si="198"/>
        <v>0</v>
      </c>
      <c r="W292" s="19"/>
      <c r="X292" s="19"/>
      <c r="Y292" s="19"/>
      <c r="Z292" s="19"/>
      <c r="AA292" s="19"/>
      <c r="AB292" s="19"/>
      <c r="AC292" s="19"/>
      <c r="AF292" s="109"/>
      <c r="AR292" s="100"/>
      <c r="AS292" s="93"/>
      <c r="AT292" s="109" t="str">
        <f>AU$272&amp;".07"</f>
        <v>1.07</v>
      </c>
      <c r="AU292" s="19"/>
      <c r="AV292" s="19"/>
      <c r="AW292">
        <f t="shared" si="199"/>
        <v>0</v>
      </c>
      <c r="AX292" s="19"/>
      <c r="AY292">
        <f t="shared" si="200"/>
        <v>0</v>
      </c>
      <c r="AZ292" s="19"/>
      <c r="BA292" s="19"/>
      <c r="BB292" s="19"/>
      <c r="BC292" s="19"/>
      <c r="BD292" s="19"/>
      <c r="BE292" s="19"/>
      <c r="BF292" s="19"/>
      <c r="BI292" s="109"/>
      <c r="BU292" s="100"/>
    </row>
    <row r="293" x14ac:dyDescent="0.25">
      <c r="B293" s="1" t="s">
        <v>517</v>
      </c>
      <c r="P293" s="93"/>
      <c r="Q293" s="109" t="str">
        <f>R272&amp;".08"</f>
        <v>A.08</v>
      </c>
      <c r="R293" s="19"/>
      <c r="S293" s="19"/>
      <c r="T293">
        <f t="shared" si="197"/>
        <v>0</v>
      </c>
      <c r="U293" s="19"/>
      <c r="V293">
        <f t="shared" si="198"/>
        <v>0</v>
      </c>
      <c r="W293" s="19"/>
      <c r="X293" s="19"/>
      <c r="Y293" s="19"/>
      <c r="Z293" s="19"/>
      <c r="AA293" s="19"/>
      <c r="AB293" s="19"/>
      <c r="AC293" s="19"/>
      <c r="AF293" s="109"/>
      <c r="AR293" s="100"/>
      <c r="AS293" s="93"/>
      <c r="AT293" s="109" t="str">
        <f>AU$272&amp;".08"</f>
        <v>1.08</v>
      </c>
      <c r="AU293" s="19"/>
      <c r="AV293" s="19"/>
      <c r="AW293">
        <f t="shared" si="199"/>
        <v>0</v>
      </c>
      <c r="AX293" s="19"/>
      <c r="AY293">
        <f t="shared" si="200"/>
        <v>0</v>
      </c>
      <c r="AZ293" s="19"/>
      <c r="BA293" s="19"/>
      <c r="BB293" s="19"/>
      <c r="BC293" s="19"/>
      <c r="BD293" s="19"/>
      <c r="BE293" s="19"/>
      <c r="BF293" s="19"/>
      <c r="BI293" s="109"/>
      <c r="BU293" s="100"/>
    </row>
    <row r="294" x14ac:dyDescent="0.25">
      <c r="B294" s="1" t="s">
        <v>518</v>
      </c>
      <c r="P294" s="93"/>
      <c r="Q294" s="109" t="str">
        <f>R272&amp;".09"</f>
        <v>A.09</v>
      </c>
      <c r="R294" s="19"/>
      <c r="S294" s="19"/>
      <c r="T294">
        <f t="shared" si="197"/>
        <v>0</v>
      </c>
      <c r="U294" s="19"/>
      <c r="V294">
        <f t="shared" si="198"/>
        <v>0</v>
      </c>
      <c r="W294" s="19"/>
      <c r="X294" s="19"/>
      <c r="Y294" s="19"/>
      <c r="Z294" s="19"/>
      <c r="AA294" s="19"/>
      <c r="AB294" s="19"/>
      <c r="AC294" s="19"/>
      <c r="AF294" s="109"/>
      <c r="AR294" s="100"/>
      <c r="AS294" s="93"/>
      <c r="AT294" s="109" t="str">
        <f>AU$272&amp;".09"</f>
        <v>1.09</v>
      </c>
      <c r="AU294" s="19"/>
      <c r="AV294" s="19"/>
      <c r="AW294">
        <f t="shared" si="199"/>
        <v>0</v>
      </c>
      <c r="AX294" s="19"/>
      <c r="AY294">
        <f t="shared" si="200"/>
        <v>0</v>
      </c>
      <c r="AZ294" s="19"/>
      <c r="BA294" s="19"/>
      <c r="BB294" s="19"/>
      <c r="BC294" s="19"/>
      <c r="BD294" s="19"/>
      <c r="BE294" s="19"/>
      <c r="BF294" s="19"/>
      <c r="BI294" s="109"/>
      <c r="BU294" s="100"/>
    </row>
    <row r="295" x14ac:dyDescent="0.25">
      <c r="P295" s="93"/>
      <c r="Q295" s="109" t="str">
        <f>R272&amp;".10"</f>
        <v>A.10</v>
      </c>
      <c r="R295" s="19"/>
      <c r="S295" s="19"/>
      <c r="T295">
        <f t="shared" si="197"/>
        <v>0</v>
      </c>
      <c r="U295" s="19"/>
      <c r="V295">
        <f t="shared" si="198"/>
        <v>0</v>
      </c>
      <c r="W295" s="19"/>
      <c r="X295" s="19"/>
      <c r="Y295" s="19"/>
      <c r="Z295" s="19"/>
      <c r="AA295" s="19"/>
      <c r="AB295" s="19"/>
      <c r="AC295" s="19"/>
      <c r="AF295" s="109"/>
      <c r="AR295" s="100"/>
      <c r="AS295" s="93"/>
      <c r="AT295" s="109" t="str">
        <f>AU$272&amp;".10"</f>
        <v>1.10</v>
      </c>
      <c r="AU295" s="19"/>
      <c r="AV295" s="19"/>
      <c r="AW295">
        <f t="shared" si="199"/>
        <v>0</v>
      </c>
      <c r="AX295" s="19"/>
      <c r="AY295">
        <f t="shared" si="200"/>
        <v>0</v>
      </c>
      <c r="AZ295" s="19"/>
      <c r="BA295" s="19"/>
      <c r="BB295" s="19"/>
      <c r="BC295" s="19"/>
      <c r="BD295" s="19"/>
      <c r="BE295" s="19"/>
      <c r="BF295" s="19"/>
      <c r="BI295" s="109"/>
      <c r="BU295" s="100"/>
    </row>
    <row r="296" x14ac:dyDescent="0.25">
      <c r="C296" s="112" t="s">
        <v>495</v>
      </c>
      <c r="D296" s="112"/>
      <c r="E296" s="112"/>
      <c r="I296" s="112" t="s">
        <v>495</v>
      </c>
      <c r="J296" s="112"/>
      <c r="K296" s="112"/>
      <c r="P296" s="93"/>
      <c r="Q296" s="109" t="str">
        <f>R272&amp;".11"</f>
        <v>A.11</v>
      </c>
      <c r="R296" s="19"/>
      <c r="S296" s="19"/>
      <c r="T296">
        <f t="shared" si="197"/>
        <v>0</v>
      </c>
      <c r="U296" s="19"/>
      <c r="V296">
        <f t="shared" si="198"/>
        <v>0</v>
      </c>
      <c r="W296" s="19"/>
      <c r="X296" s="19"/>
      <c r="Y296" s="19"/>
      <c r="Z296" s="19"/>
      <c r="AA296" s="19"/>
      <c r="AB296" s="19"/>
      <c r="AC296" s="19"/>
      <c r="AF296" s="109"/>
      <c r="AR296" s="100"/>
      <c r="AS296" s="93"/>
      <c r="AT296" s="109" t="str">
        <f>AU$272&amp;".11"</f>
        <v>1.11</v>
      </c>
      <c r="AU296" s="19"/>
      <c r="AV296" s="19"/>
      <c r="AW296">
        <f t="shared" si="199"/>
        <v>0</v>
      </c>
      <c r="AX296" s="19"/>
      <c r="AY296">
        <f t="shared" si="200"/>
        <v>0</v>
      </c>
      <c r="AZ296" s="19"/>
      <c r="BA296" s="19"/>
      <c r="BB296" s="19"/>
      <c r="BC296" s="19"/>
      <c r="BD296" s="19"/>
      <c r="BE296" s="19"/>
      <c r="BF296" s="19"/>
      <c r="BI296" s="109"/>
      <c r="BU296" s="100"/>
    </row>
    <row r="297" x14ac:dyDescent="0.25">
      <c r="B297" t="s">
        <v>474</v>
      </c>
      <c r="C297" t="s">
        <v>492</v>
      </c>
      <c r="D297" t="s">
        <v>493</v>
      </c>
      <c r="E297" t="s">
        <v>494</v>
      </c>
      <c r="H297" t="s">
        <v>455</v>
      </c>
      <c r="I297" t="s">
        <v>492</v>
      </c>
      <c r="J297" t="s">
        <v>493</v>
      </c>
      <c r="K297" t="s">
        <v>494</v>
      </c>
      <c r="P297" s="93"/>
      <c r="Q297" s="109" t="str">
        <f>R272&amp;".12"</f>
        <v>A.12</v>
      </c>
      <c r="R297" s="19"/>
      <c r="S297" s="19"/>
      <c r="T297">
        <f t="shared" si="197"/>
        <v>0</v>
      </c>
      <c r="U297" s="19"/>
      <c r="V297">
        <f t="shared" si="198"/>
        <v>0</v>
      </c>
      <c r="W297" s="19"/>
      <c r="X297" s="19"/>
      <c r="Y297" s="19"/>
      <c r="Z297" s="19"/>
      <c r="AA297" s="19"/>
      <c r="AB297" s="19"/>
      <c r="AC297" s="19"/>
      <c r="AF297" s="109"/>
      <c r="AR297" s="100"/>
      <c r="AS297" s="93"/>
      <c r="AT297" s="109" t="str">
        <f>AU$272&amp;".12"</f>
        <v>1.12</v>
      </c>
      <c r="AU297" s="19"/>
      <c r="AV297" s="19"/>
      <c r="AW297">
        <f t="shared" si="199"/>
        <v>0</v>
      </c>
      <c r="AX297" s="19"/>
      <c r="AY297">
        <f t="shared" si="200"/>
        <v>0</v>
      </c>
      <c r="AZ297" s="19"/>
      <c r="BA297" s="19"/>
      <c r="BB297" s="19"/>
      <c r="BC297" s="19"/>
      <c r="BD297" s="19"/>
      <c r="BE297" s="19"/>
      <c r="BF297" s="19"/>
      <c r="BI297" s="109"/>
      <c r="BU297" s="100"/>
    </row>
    <row r="298" x14ac:dyDescent="0.25">
      <c r="B298" t="s">
        <v>274</v>
      </c>
      <c r="C298" s="19">
        <v>0</v>
      </c>
      <c r="D298" s="19">
        <v>29</v>
      </c>
      <c r="E298">
        <f>C44+D44</f>
        <v>29</v>
      </c>
      <c r="H298">
        <v>1</v>
      </c>
      <c r="I298" s="19">
        <v>0</v>
      </c>
      <c r="J298" s="19">
        <v>27</v>
      </c>
      <c r="K298">
        <f>I44+J44</f>
        <v>27</v>
      </c>
      <c r="P298" s="93"/>
      <c r="Q298" s="109" t="str">
        <f>R272&amp;".13"</f>
        <v>A.13</v>
      </c>
      <c r="R298" s="19"/>
      <c r="S298" s="19"/>
      <c r="T298">
        <f t="shared" si="197"/>
        <v>0</v>
      </c>
      <c r="U298" s="19"/>
      <c r="V298">
        <f t="shared" si="198"/>
        <v>0</v>
      </c>
      <c r="W298" s="19"/>
      <c r="X298" s="19"/>
      <c r="Y298" s="19"/>
      <c r="Z298" s="19"/>
      <c r="AA298" s="19"/>
      <c r="AB298" s="19"/>
      <c r="AC298" s="19"/>
      <c r="AF298" s="109"/>
      <c r="AR298" s="100"/>
      <c r="AS298" s="93"/>
      <c r="AT298" s="109" t="str">
        <f>AU$272&amp;".13"</f>
        <v>1.13</v>
      </c>
      <c r="AU298" s="19"/>
      <c r="AV298" s="19"/>
      <c r="AW298">
        <f t="shared" si="199"/>
        <v>0</v>
      </c>
      <c r="AX298" s="19"/>
      <c r="AY298">
        <f t="shared" si="200"/>
        <v>0</v>
      </c>
      <c r="AZ298" s="19"/>
      <c r="BA298" s="19"/>
      <c r="BB298" s="19"/>
      <c r="BC298" s="19"/>
      <c r="BD298" s="19"/>
      <c r="BE298" s="19"/>
      <c r="BF298" s="19"/>
      <c r="BI298" s="109"/>
      <c r="BU298" s="100"/>
    </row>
    <row r="299" x14ac:dyDescent="0.25">
      <c r="B299" t="s">
        <v>279</v>
      </c>
      <c r="C299" s="19">
        <v>29</v>
      </c>
      <c r="D299" s="19">
        <v>6</v>
      </c>
      <c r="E299">
        <f t="shared" ref="E43:E67" si="201">C43+D43</f>
        <v>35</v>
      </c>
      <c r="H299">
        <v>2</v>
      </c>
      <c r="I299" s="19">
        <v>27</v>
      </c>
      <c r="J299" s="19">
        <v>14</v>
      </c>
      <c r="K299">
        <f t="shared" ref="K43:K67" si="202">I43+J43</f>
        <v>41</v>
      </c>
      <c r="P299" s="93"/>
      <c r="Q299" s="109" t="str">
        <f>R272&amp;".14"</f>
        <v>A.14</v>
      </c>
      <c r="R299" s="19"/>
      <c r="S299" s="19"/>
      <c r="T299">
        <f t="shared" si="197"/>
        <v>0</v>
      </c>
      <c r="U299" s="19"/>
      <c r="V299">
        <f t="shared" si="198"/>
        <v>0</v>
      </c>
      <c r="W299" s="19"/>
      <c r="X299" s="19"/>
      <c r="Y299" s="19"/>
      <c r="Z299" s="19"/>
      <c r="AA299" s="19"/>
      <c r="AB299" s="19"/>
      <c r="AC299" s="19"/>
      <c r="AF299" s="109"/>
      <c r="AR299" s="100"/>
      <c r="AS299" s="93"/>
      <c r="AT299" s="109" t="str">
        <f>AU$272&amp;".14"</f>
        <v>1.14</v>
      </c>
      <c r="AU299" s="19"/>
      <c r="AV299" s="19"/>
      <c r="AW299">
        <f t="shared" si="199"/>
        <v>0</v>
      </c>
      <c r="AX299" s="19"/>
      <c r="AY299">
        <f t="shared" si="200"/>
        <v>0</v>
      </c>
      <c r="AZ299" s="19"/>
      <c r="BA299" s="19"/>
      <c r="BB299" s="19"/>
      <c r="BC299" s="19"/>
      <c r="BD299" s="19"/>
      <c r="BE299" s="19"/>
      <c r="BF299" s="19"/>
      <c r="BI299" s="109"/>
      <c r="BU299" s="100"/>
    </row>
    <row r="300" x14ac:dyDescent="0.25">
      <c r="B300" t="s">
        <v>283</v>
      </c>
      <c r="C300" s="19">
        <v>6</v>
      </c>
      <c r="D300" s="19">
        <v>29</v>
      </c>
      <c r="E300">
        <f t="shared" si="201"/>
        <v>35</v>
      </c>
      <c r="H300">
        <v>3</v>
      </c>
      <c r="I300" s="19">
        <v>14</v>
      </c>
      <c r="J300" s="19">
        <v>13</v>
      </c>
      <c r="K300">
        <f t="shared" si="202"/>
        <v>27</v>
      </c>
      <c r="P300" s="93"/>
      <c r="Q300" s="109" t="str">
        <f>R272&amp;".15"</f>
        <v>A.15</v>
      </c>
      <c r="R300" s="19"/>
      <c r="S300" s="19"/>
      <c r="T300">
        <f t="shared" si="197"/>
        <v>0</v>
      </c>
      <c r="U300" s="19"/>
      <c r="V300">
        <f t="shared" si="198"/>
        <v>0</v>
      </c>
      <c r="W300" s="19"/>
      <c r="X300" s="19"/>
      <c r="Y300" s="19"/>
      <c r="Z300" s="19"/>
      <c r="AA300" s="19"/>
      <c r="AB300" s="19"/>
      <c r="AC300" s="19"/>
      <c r="AF300" s="109"/>
      <c r="AR300" s="100"/>
      <c r="AS300" s="93"/>
      <c r="AT300" s="109" t="str">
        <f>AU$272&amp;".15"</f>
        <v>1.15</v>
      </c>
      <c r="AU300" s="19"/>
      <c r="AV300" s="19"/>
      <c r="AW300">
        <f t="shared" si="199"/>
        <v>0</v>
      </c>
      <c r="AX300" s="19"/>
      <c r="AY300">
        <f t="shared" si="200"/>
        <v>0</v>
      </c>
      <c r="AZ300" s="19"/>
      <c r="BA300" s="19"/>
      <c r="BB300" s="19"/>
      <c r="BC300" s="19"/>
      <c r="BD300" s="19"/>
      <c r="BE300" s="19"/>
      <c r="BF300" s="19"/>
      <c r="BI300" s="109"/>
      <c r="BU300" s="100"/>
    </row>
    <row r="301" x14ac:dyDescent="0.25">
      <c r="B301" t="s">
        <v>287</v>
      </c>
      <c r="C301" s="19">
        <v>26</v>
      </c>
      <c r="D301" s="19">
        <v>26</v>
      </c>
      <c r="E301">
        <f t="shared" si="201"/>
        <v>52</v>
      </c>
      <c r="F301" t="s">
        <v>506</v>
      </c>
      <c r="H301">
        <v>4</v>
      </c>
      <c r="I301" s="19">
        <v>13</v>
      </c>
      <c r="J301" s="19">
        <v>27</v>
      </c>
      <c r="K301">
        <f t="shared" si="202"/>
        <v>40</v>
      </c>
      <c r="P301" s="93"/>
      <c r="Q301" s="109" t="str">
        <f>R272&amp;".16"</f>
        <v>A.16</v>
      </c>
      <c r="R301" s="19"/>
      <c r="S301" s="19"/>
      <c r="T301">
        <f t="shared" si="197"/>
        <v>0</v>
      </c>
      <c r="U301" s="19"/>
      <c r="V301">
        <f t="shared" si="198"/>
        <v>0</v>
      </c>
      <c r="W301" s="19"/>
      <c r="X301" s="19"/>
      <c r="Y301" s="19"/>
      <c r="Z301" s="19"/>
      <c r="AA301" s="19"/>
      <c r="AB301" s="19"/>
      <c r="AC301" s="19"/>
      <c r="AF301" s="109"/>
      <c r="AR301" s="100"/>
      <c r="AS301" s="93"/>
      <c r="AT301" s="109" t="str">
        <f>AU$272&amp;".16"</f>
        <v>1.16</v>
      </c>
      <c r="AU301" s="19"/>
      <c r="AV301" s="19"/>
      <c r="AW301">
        <f t="shared" si="199"/>
        <v>0</v>
      </c>
      <c r="AX301" s="19"/>
      <c r="AY301">
        <f t="shared" si="200"/>
        <v>0</v>
      </c>
      <c r="AZ301" s="19"/>
      <c r="BA301" s="19"/>
      <c r="BB301" s="19"/>
      <c r="BC301" s="19"/>
      <c r="BD301" s="19"/>
      <c r="BE301" s="19"/>
      <c r="BF301" s="19"/>
      <c r="BI301" s="109"/>
      <c r="BU301" s="100"/>
    </row>
    <row r="302" x14ac:dyDescent="0.25">
      <c r="B302" t="s">
        <v>288</v>
      </c>
      <c r="C302" s="19">
        <v>29</v>
      </c>
      <c r="D302" s="19">
        <v>0</v>
      </c>
      <c r="E302">
        <f t="shared" si="201"/>
        <v>29</v>
      </c>
      <c r="H302">
        <v>5</v>
      </c>
      <c r="I302" s="19">
        <v>27</v>
      </c>
      <c r="J302" s="19">
        <v>11</v>
      </c>
      <c r="K302">
        <f t="shared" si="202"/>
        <v>38</v>
      </c>
      <c r="P302" s="93"/>
      <c r="R302">
        <f>SUM(R286:R301)</f>
        <v>29</v>
      </c>
      <c r="AR302" s="100"/>
      <c r="AS302" s="93"/>
      <c r="AU302">
        <f>SUM(AU286:AU301)</f>
        <v>29</v>
      </c>
      <c r="BU302" s="100"/>
    </row>
    <row r="303" x14ac:dyDescent="0.25">
      <c r="B303" t="s">
        <v>293</v>
      </c>
      <c r="C303" s="19">
        <v>17</v>
      </c>
      <c r="D303" s="19">
        <v>27</v>
      </c>
      <c r="E303">
        <f t="shared" si="201"/>
        <v>44</v>
      </c>
      <c r="H303">
        <v>6</v>
      </c>
      <c r="I303" s="19">
        <v>11</v>
      </c>
      <c r="J303" s="19">
        <v>6</v>
      </c>
      <c r="K303">
        <f t="shared" si="202"/>
        <v>17</v>
      </c>
      <c r="P303" s="93"/>
      <c r="AP303" t="s">
        <v>746</v>
      </c>
      <c r="AR303" s="100"/>
      <c r="AS303" s="93"/>
      <c r="BS303" t="s">
        <v>746</v>
      </c>
      <c r="BU303" s="100"/>
    </row>
    <row r="304" x14ac:dyDescent="0.25">
      <c r="B304" t="s">
        <v>456</v>
      </c>
      <c r="C304" s="19">
        <v>27</v>
      </c>
      <c r="D304" s="19">
        <v>27</v>
      </c>
      <c r="E304">
        <f t="shared" si="201"/>
        <v>54</v>
      </c>
      <c r="H304">
        <v>7</v>
      </c>
      <c r="I304" s="19">
        <v>6</v>
      </c>
      <c r="J304" s="19">
        <v>11</v>
      </c>
      <c r="K304">
        <f t="shared" si="202"/>
        <v>17</v>
      </c>
      <c r="P304" s="93"/>
      <c r="Q304" t="s">
        <v>525</v>
      </c>
      <c r="R304" t="s">
        <v>263</v>
      </c>
      <c r="S304" t="s">
        <v>526</v>
      </c>
      <c r="T304" t="s">
        <v>570</v>
      </c>
      <c r="U304" t="s">
        <v>571</v>
      </c>
      <c r="V304" t="s">
        <v>572</v>
      </c>
      <c r="W304" t="s">
        <v>539</v>
      </c>
      <c r="X304" t="s">
        <v>538</v>
      </c>
      <c r="Z304" t="s">
        <v>522</v>
      </c>
      <c r="AA304" t="s">
        <v>523</v>
      </c>
      <c r="AB304" t="s">
        <v>541</v>
      </c>
      <c r="AC304" t="s">
        <v>540</v>
      </c>
      <c r="AD304" t="s">
        <v>542</v>
      </c>
      <c r="AE304" t="s">
        <v>520</v>
      </c>
      <c r="AF304" t="s">
        <v>521</v>
      </c>
      <c r="AG304" t="s">
        <v>527</v>
      </c>
      <c r="AH304" t="s">
        <v>528</v>
      </c>
      <c r="AI304" t="s">
        <v>543</v>
      </c>
      <c r="AJ304" t="s">
        <v>744</v>
      </c>
      <c r="AK304" t="s">
        <v>745</v>
      </c>
      <c r="AL304" t="s">
        <v>749</v>
      </c>
      <c r="AM304" t="s">
        <v>750</v>
      </c>
      <c r="AN304" t="s">
        <v>751</v>
      </c>
      <c r="AP304" t="s">
        <v>747</v>
      </c>
      <c r="AQ304" t="s">
        <v>748</v>
      </c>
      <c r="AR304" s="100"/>
      <c r="AS304" s="93"/>
      <c r="AT304" t="s">
        <v>525</v>
      </c>
      <c r="AU304" t="s">
        <v>263</v>
      </c>
      <c r="AV304" t="s">
        <v>526</v>
      </c>
      <c r="AW304" t="s">
        <v>570</v>
      </c>
      <c r="AX304" t="s">
        <v>571</v>
      </c>
      <c r="AY304" t="s">
        <v>572</v>
      </c>
      <c r="AZ304" t="s">
        <v>539</v>
      </c>
      <c r="BA304" t="s">
        <v>538</v>
      </c>
      <c r="BC304" t="s">
        <v>522</v>
      </c>
      <c r="BD304" t="s">
        <v>523</v>
      </c>
      <c r="BE304" t="s">
        <v>541</v>
      </c>
      <c r="BF304" t="s">
        <v>540</v>
      </c>
      <c r="BG304" t="s">
        <v>542</v>
      </c>
      <c r="BH304" t="s">
        <v>520</v>
      </c>
      <c r="BI304" t="s">
        <v>521</v>
      </c>
      <c r="BJ304" t="s">
        <v>527</v>
      </c>
      <c r="BK304" t="s">
        <v>528</v>
      </c>
      <c r="BL304" t="s">
        <v>543</v>
      </c>
      <c r="BM304" t="s">
        <v>744</v>
      </c>
      <c r="BN304" t="s">
        <v>745</v>
      </c>
      <c r="BO304" t="s">
        <v>749</v>
      </c>
      <c r="BP304" t="s">
        <v>750</v>
      </c>
      <c r="BQ304" t="s">
        <v>751</v>
      </c>
      <c r="BS304" t="s">
        <v>747</v>
      </c>
      <c r="BT304" t="s">
        <v>748</v>
      </c>
      <c r="BU304" s="100"/>
    </row>
    <row r="305" x14ac:dyDescent="0.25">
      <c r="B305" t="s">
        <v>457</v>
      </c>
      <c r="C305" s="19">
        <v>27</v>
      </c>
      <c r="D305" s="19">
        <v>27</v>
      </c>
      <c r="E305">
        <f t="shared" si="201"/>
        <v>54</v>
      </c>
      <c r="H305">
        <v>8</v>
      </c>
      <c r="I305" s="19">
        <v>20</v>
      </c>
      <c r="J305" s="19">
        <v>0</v>
      </c>
      <c r="K305">
        <f t="shared" si="202"/>
        <v>20</v>
      </c>
      <c r="L305" t="s">
        <v>506</v>
      </c>
      <c r="P305" s="93"/>
      <c r="Q305" s="110" t="str">
        <f>$Q$286</f>
        <v>A.01</v>
      </c>
      <c r="R305" t="str">
        <f>$Q$277</f>
        <v>L2</v>
      </c>
      <c r="S305">
        <f>$E$21</f>
        <v>10.6875</v>
      </c>
      <c r="T305" cm="1">
        <f t="array" ref="T305">IFERROR(IF(S305=0,0,(INDEX($C$33:$C$38,MATCH($W$286,$B$33:$B$38,0),0)*(S309+$X$286)+$T$286*COUNTIF(S305:S308,"&gt;0")*$C$32+$V$286*$C$31)*$R$286),0)</f>
        <v>30539.71875</v>
      </c>
      <c r="U305">
        <f>IF(S305=0,0,-(COUNTIF(S305:S308,"&gt;0")*$T$286*$C$32+$V$286*$C$31)*$H$27*$R$286)</f>
        <v>-363.31199999999995</v>
      </c>
      <c r="V305">
        <f>IF(S305=0,0,$V$286*$H$26*$R$286)</f>
        <v>-1328.1999999999998</v>
      </c>
      <c r="W305">
        <f>(0.6*T305+0.7*U305)*$R$286/2</f>
        <v>262007.93632499999</v>
      </c>
      <c r="X305">
        <f>(0.6*T305+0.6*V305)*$R$286/2</f>
        <v>254140.21312500001</v>
      </c>
      <c r="Z305">
        <f>IF(S305=0,0,$AD$286*$AP$277)</f>
        <v>343.06999999999994</v>
      </c>
      <c r="AA305">
        <f>IFERROR(Z305/$R$286,0)</f>
        <v>11.829999999999998</v>
      </c>
      <c r="AB305">
        <f>Z305*($F$21+IF($F$21=0,0,($C$14+$C$15+IF($C$13="single",1.5,3)+3)/12))</f>
        <v>3666.5606249999992</v>
      </c>
      <c r="AC305">
        <f>AB305-W305</f>
        <v>-258341.37569999998</v>
      </c>
      <c r="AD305" cm="1">
        <f t="array" ref="AD305">IFERROR(IF(AC305&lt;0,0,AC305/($R$286-INDEX(hd_off,MATCH(AQ305,hd_mark,0),0)/12)),0)</f>
        <v>0</v>
      </c>
      <c r="AE305">
        <f>IF(S305=0,0,$AD$286*$AM$277)</f>
        <v>7899.5999999999995</v>
      </c>
      <c r="AF305">
        <f>IFERROR(AE305/$R$286,0)</f>
        <v>272.39999999999998</v>
      </c>
      <c r="AG305">
        <f>AE305*($F$21+IF($F$21=0,0,($C$14+$C$15+IF($C$13="single",1.5,3)+3)/12))</f>
        <v>84426.974999999991</v>
      </c>
      <c r="AH305">
        <f>AG305-X305</f>
        <v>-169713.23812500003</v>
      </c>
      <c r="AI305" cm="1">
        <f t="array" ref="AI305">IFERROR(IF(AH305&lt;0,0,AH305/($R$286-INDEX(hd_off,MATCH(AQ305,hd_mark,0),0)/12)),0)</f>
        <v>0</v>
      </c>
      <c r="AJ305">
        <f>MAX($F$21,$Y$286)/$Q$308</f>
        <v>0.30172413793103448</v>
      </c>
      <c r="AK305">
        <f>IF(AJ305=0,0,IF(AJ305&gt;2,1.25-0.125*AJ305,1))</f>
        <v>1</v>
      </c>
      <c r="AL305" cm="1">
        <f t="array" ref="AL305">IFERROR(INDEX(sheath_ecap_asd,MATCH(AP305,sheath_mark,0),0)*AK305,0)</f>
        <v>239.85714285714286</v>
      </c>
      <c r="AM305" cm="1">
        <f t="array" ref="AM305">IFERROR(INDEX(sheath_wcap_asd,MATCH(AP305,sheath_mark,0),0)*AK305,0)</f>
        <v>335.8</v>
      </c>
      <c r="AN305" cm="1">
        <f t="array" ref="AN305">IFERROR(INDEX(hd_cap,MATCH(AQ305,hd_mark,0),0),0)</f>
        <v>0</v>
      </c>
      <c r="AP305" s="19">
        <v>21</v>
      </c>
      <c r="AQ305" s="19"/>
      <c r="AR305" s="100"/>
      <c r="AS305" s="93"/>
      <c r="AT305" s="110" t="str">
        <f>$AT$286</f>
        <v>1.01</v>
      </c>
      <c r="AU305" t="str">
        <f>$Q$277</f>
        <v>L2</v>
      </c>
      <c r="AV305">
        <f>$E$21</f>
        <v>10.6875</v>
      </c>
      <c r="AW305" cm="1">
        <f t="array" ref="AW305">IFERROR(IF(AV305=0,0,(INDEX($C$33:$C$38,MATCH($AZ$286,$B$33:$B$38,0),0)*(AV309+$BA$286)+$AW$286*COUNTIF(AV305:AV308,"&gt;0")*$C$32+$AY$286*$C$31)*$AU$286),0)</f>
        <v>30539.71875</v>
      </c>
      <c r="AX305">
        <f>IF(AV305=0,0,-(COUNTIF(AV305:AV308,"&gt;0")*$AW$286*$C$32+$AY$286*$C$31)*$H$27*$AU$286)</f>
        <v>-363.31199999999995</v>
      </c>
      <c r="AY305">
        <f>IF(AV305=0,0,$AY$286*$H$26*$AU$286)</f>
        <v>-1328.1999999999998</v>
      </c>
      <c r="AZ305">
        <f>(0.6*AW305+0.7*AX305)*$AU$286/2</f>
        <v>262007.93632499999</v>
      </c>
      <c r="BA305">
        <f>(0.6*AW305+0.6*AY305)*$AU$286/2</f>
        <v>254140.21312500001</v>
      </c>
      <c r="BC305">
        <f>IF(AV305=0,0,$BG$286*$AP$277)</f>
        <v>343.06999999999994</v>
      </c>
      <c r="BD305">
        <f>IFERROR(BC305/$AU$286,0)</f>
        <v>11.829999999999998</v>
      </c>
      <c r="BE305">
        <f>BC305*($F$21+IF($F$21=0,0,($C$14+$C$15+IF($C$13="single",1.5,3)+3)/12))</f>
        <v>3666.5606249999992</v>
      </c>
      <c r="BF305">
        <f>BE305-AZ305</f>
        <v>-258341.37569999998</v>
      </c>
      <c r="BG305" cm="1">
        <f t="array" ref="BG305">IFERROR(IF(BF305&lt;0,0,BF305/($AU$286-INDEX(hd_off,MATCH(BT305,hd_mark,0),0)/12)),0)</f>
        <v>0</v>
      </c>
      <c r="BH305">
        <f>IF(AV305=0,0,$BG$286*$AM$277)</f>
        <v>7899.5999999999995</v>
      </c>
      <c r="BI305">
        <f>IFERROR(BH305/$AU$286,0)</f>
        <v>272.39999999999998</v>
      </c>
      <c r="BJ305">
        <f>BH305*($F$21+IF($F$21=0,0,($C$14+$C$15+IF($C$13="single",1.5,3)+3)/12))</f>
        <v>84426.974999999991</v>
      </c>
      <c r="BK305">
        <f>BJ305-BA305</f>
        <v>-169713.23812500003</v>
      </c>
      <c r="BL305" cm="1">
        <f t="array" ref="BL305">IFERROR(IF(BK305&lt;0,0,BK305/($AU$286-INDEX(hd_off,MATCH(BT305,hd_mark,0),0)/12)),0)</f>
        <v>0</v>
      </c>
      <c r="BM305">
        <f>MAX($F$21,$BB$286)/$Q$308</f>
        <v>0.30172413793103448</v>
      </c>
      <c r="BN305">
        <f>IF(BM305=0,0,IF(BM305&gt;2,1.25-0.125*BM305,1))</f>
        <v>1</v>
      </c>
      <c r="BO305" cm="1">
        <f t="array" ref="BO305">IFERROR(INDEX(sheath_ecap_asd,MATCH(BS305,sheath_mark,0),0)*BN305,0)</f>
        <v>239.85714285714286</v>
      </c>
      <c r="BP305" cm="1">
        <f t="array" ref="BP305">IFERROR(INDEX(sheath_wcap_asd,MATCH(BS305,sheath_mark,0),0)*BN305,0)</f>
        <v>335.8</v>
      </c>
      <c r="BQ305" cm="1">
        <f t="array" ref="BQ305">IFERROR(INDEX(hd_cap,MATCH(BT305,hd_mark,0),0),0)</f>
        <v>0</v>
      </c>
      <c r="BS305" s="19">
        <v>21</v>
      </c>
      <c r="BT305" s="19"/>
      <c r="BU305" s="100"/>
    </row>
    <row r="306" x14ac:dyDescent="0.25">
      <c r="B306" t="s">
        <v>458</v>
      </c>
      <c r="C306" s="19">
        <v>27</v>
      </c>
      <c r="D306" s="19">
        <v>27</v>
      </c>
      <c r="E306">
        <f t="shared" si="201"/>
        <v>54</v>
      </c>
      <c r="H306">
        <v>9</v>
      </c>
      <c r="I306" s="19">
        <v>30</v>
      </c>
      <c r="J306" s="19">
        <v>0</v>
      </c>
      <c r="K306">
        <f t="shared" si="202"/>
        <v>30</v>
      </c>
      <c r="P306" s="93"/>
      <c r="Q306" s="109"/>
      <c r="R306" t="str">
        <f>$Q$278</f>
        <v>L3</v>
      </c>
      <c r="S306">
        <f>$E$22</f>
        <v>21.375</v>
      </c>
      <c r="T306" cm="1">
        <f t="array" ref="T306">IFERROR(IF(S306=0,0,(INDEX($C$33:$C$38,MATCH($W$286,$B$33:$B$38,0),0)*(S309+$X$286)+$T$286*COUNTIF(S306:S308,"&gt;0")*$C$32+$V$286*$C$31)*$R$286),0)</f>
        <v>26015.71875</v>
      </c>
      <c r="U306">
        <f>IF(S306=0,0,-(COUNTIF(S306:S308,"&gt;0")*$T$286*$C$32+$V$286*$C$31)*$H$27*$R$286)</f>
        <v>-200.44799999999998</v>
      </c>
      <c r="V306">
        <f>IF(S306=0,0,$V$286*$H$26*$R$286)</f>
        <v>-1328.1999999999998</v>
      </c>
      <c r="W306">
        <f t="shared" ref="W306:W308" si="203">(0.6*T306+0.7*U306)*$R$286/2</f>
        <v>224302.20592500002</v>
      </c>
      <c r="X306">
        <f>T306*$R$286/2</f>
        <v>377227.921875</v>
      </c>
      <c r="Z306">
        <f>IF(S306=0,0,$AD$286*$AP$278)</f>
        <v>376.565</v>
      </c>
      <c r="AA306">
        <f>IFERROR(Z306/$R$286,0)</f>
        <v>12.984999999999999</v>
      </c>
      <c r="AB306">
        <f>Z306*($F$22+IF($F$22=0,0,($C$14+$C$15+IF($C$13="single",1.5,3)+3)/12))</f>
        <v>4024.5384374999999</v>
      </c>
      <c r="AC306">
        <f>AB306-W306</f>
        <v>-220277.6674875</v>
      </c>
      <c r="AD306" cm="1">
        <f t="array" ref="AD306">IFERROR(IF(AC306&lt;0,0,AC306/($R$286-INDEX(hd_off,MATCH(AQ306,hd_mark,0),0)/12)),0)</f>
        <v>0</v>
      </c>
      <c r="AE306">
        <f>IF(S306=0,0,$AD$286*$AM$278)</f>
        <v>5846.4</v>
      </c>
      <c r="AF306">
        <f>IFERROR(AE306/$R$286,0)</f>
        <v>201.6</v>
      </c>
      <c r="AG306">
        <f>AE306*($F$22+IF($F$22=0,0,($C$14+$C$15+IF($C$13="single",1.5,3)+3)/12))</f>
        <v>62483.399999999994</v>
      </c>
      <c r="AH306">
        <f>AG306-X306</f>
        <v>-314744.52187499998</v>
      </c>
      <c r="AI306" cm="1">
        <f t="array" ref="AI306">IFERROR(IF(AH306&lt;0,0,AH306/($R$286-INDEX(hd_off,MATCH(AQ306,hd_mark,0),0)/12)),0)</f>
        <v>0</v>
      </c>
      <c r="AJ306">
        <f>MAX($F$22,$Z$286)/$Q$308</f>
        <v>0.30172413793103448</v>
      </c>
      <c r="AK306">
        <f t="shared" ref="AK306:AK309" si="204">IF(AJ306=0,0,IF(AJ306&gt;2,1.25-0.125*AJ306,1))</f>
        <v>1</v>
      </c>
      <c r="AL306" cm="1">
        <f t="array" ref="AL306">IFERROR(INDEX(sheath_ecap_asd,MATCH(AP306,sheath_mark,0),0)*AK306,0)</f>
        <v>239.85714285714286</v>
      </c>
      <c r="AM306" cm="1">
        <f t="array" ref="AM306">IFERROR(INDEX(sheath_wcap_asd,MATCH(AP306,sheath_mark,0),0)*AK306,0)</f>
        <v>335.8</v>
      </c>
      <c r="AN306" cm="1">
        <f t="array" ref="AN306">IFERROR(INDEX(hd_cap,MATCH(AQ306,hd_mark,0),0),0)</f>
        <v>0</v>
      </c>
      <c r="AP306" s="19">
        <v>21</v>
      </c>
      <c r="AQ306" s="19"/>
      <c r="AR306" s="100"/>
      <c r="AS306" s="93"/>
      <c r="AT306" s="109"/>
      <c r="AU306" t="str">
        <f>$Q$278</f>
        <v>L3</v>
      </c>
      <c r="AV306">
        <f>$E$22</f>
        <v>21.375</v>
      </c>
      <c r="AW306" cm="1">
        <f t="array" ref="AW306">IFERROR(IF(AV306=0,0,(INDEX($C$33:$C$38,MATCH($AZ$286,$B$33:$B$38,0),0)*(AV309+$BA$286)+$AW$286*COUNTIF(AV306:AV308,"&gt;0")*$C$32+$AY$286*$C$31)*$AU$286),0)</f>
        <v>26015.71875</v>
      </c>
      <c r="AX306">
        <f>IF(AV306=0,0,-(COUNTIF(AV306:AV308,"&gt;0")*$AW$286*$C$32+$AY$286*$C$31)*$H$27*$AU$286)</f>
        <v>-200.44799999999998</v>
      </c>
      <c r="AY306">
        <f>IF(AV306=0,0,$AY$286*$H$26*$AU$286)</f>
        <v>-1328.1999999999998</v>
      </c>
      <c r="AZ306">
        <f>(0.6*AW306+0.7*AX306)*$AU$286/2</f>
        <v>224302.20592500002</v>
      </c>
      <c r="BA306">
        <f>AW306*$AU$286/2</f>
        <v>377227.921875</v>
      </c>
      <c r="BC306">
        <f>IF(AV306=0,0,$BG$286*$AP$278)</f>
        <v>376.565</v>
      </c>
      <c r="BD306">
        <f>IFERROR(BC306/$AU$286,0)</f>
        <v>12.984999999999999</v>
      </c>
      <c r="BE306">
        <f>BC306*($F$22+IF($F$22=0,0,($C$14+$C$15+IF($C$13="single",1.5,3)+3)/12))</f>
        <v>4024.5384374999999</v>
      </c>
      <c r="BF306">
        <f>BE306-AZ306</f>
        <v>-220277.6674875</v>
      </c>
      <c r="BG306" cm="1">
        <f t="array" ref="BG306">IFERROR(IF(BF306&lt;0,0,BF306/($AU$286-INDEX(hd_off,MATCH(BT306,hd_mark,0),0)/12)),0)</f>
        <v>0</v>
      </c>
      <c r="BH306">
        <f>IF(AV306=0,0,$BG$286*$AM$278)</f>
        <v>5846.4</v>
      </c>
      <c r="BI306">
        <f>IFERROR(BH306/$AU$286,0)</f>
        <v>201.6</v>
      </c>
      <c r="BJ306">
        <f>BH306*($F$22+IF($F$22=0,0,($C$14+$C$15+IF($C$13="single",1.5,3)+3)/12))</f>
        <v>62483.399999999994</v>
      </c>
      <c r="BK306">
        <f>BJ306-BA306</f>
        <v>-314744.52187499998</v>
      </c>
      <c r="BL306" cm="1">
        <f t="array" ref="BL306">IFERROR(IF(BK306&lt;0,0,BK306/($AU$286-INDEX(hd_off,MATCH(BT306,hd_mark,0),0)/12)),0)</f>
        <v>0</v>
      </c>
      <c r="BM306">
        <f>MAX($F$22,$BC$286)/$Q$308</f>
        <v>0.30172413793103448</v>
      </c>
      <c r="BN306">
        <f t="shared" ref="BN306:BN309" si="205">IF(BM306=0,0,IF(BM306&gt;2,1.25-0.125*BM306,1))</f>
        <v>1</v>
      </c>
      <c r="BO306" cm="1">
        <f t="array" ref="BO306">IFERROR(INDEX(sheath_ecap_asd,MATCH(BS306,sheath_mark,0),0)*BN306,0)</f>
        <v>239.85714285714286</v>
      </c>
      <c r="BP306" cm="1">
        <f t="array" ref="BP306">IFERROR(INDEX(sheath_wcap_asd,MATCH(BS306,sheath_mark,0),0)*BN306,0)</f>
        <v>335.8</v>
      </c>
      <c r="BQ306" cm="1">
        <f t="array" ref="BQ306">IFERROR(INDEX(hd_cap,MATCH(BT306,hd_mark,0),0),0)</f>
        <v>0</v>
      </c>
      <c r="BS306" s="19">
        <v>21</v>
      </c>
      <c r="BT306" s="19"/>
      <c r="BU306" s="100"/>
    </row>
    <row r="307" x14ac:dyDescent="0.25">
      <c r="B307" t="s">
        <v>459</v>
      </c>
      <c r="C307" s="19">
        <v>27</v>
      </c>
      <c r="D307" s="19">
        <v>41</v>
      </c>
      <c r="E307">
        <f t="shared" si="201"/>
        <v>68</v>
      </c>
      <c r="F307" t="s">
        <v>506</v>
      </c>
      <c r="H307">
        <v>10</v>
      </c>
      <c r="I307" s="19">
        <v>30</v>
      </c>
      <c r="J307" s="19">
        <v>0</v>
      </c>
      <c r="K307">
        <f t="shared" si="202"/>
        <v>30</v>
      </c>
      <c r="P307" s="93"/>
      <c r="Q307" s="109" t="s">
        <v>491</v>
      </c>
      <c r="R307" t="str">
        <f>$Q$279</f>
        <v>L4</v>
      </c>
      <c r="S307">
        <f>$E$23</f>
        <v>0</v>
      </c>
      <c r="T307" cm="1">
        <f t="array" ref="T307">IFERROR(IF(S307=0,0,(INDEX($C$33:$C$38,MATCH($W$286,$B$33:$B$38,0),0)*(S309+$X$286)+$T$286*COUNTIF(S307:S308,"&gt;0")*$C$32+$V$286*$C$31)*$R$286),0)</f>
        <v>0</v>
      </c>
      <c r="U307">
        <f>IF(S307=0,0,-(COUNTIF(S307:S308,"&gt;0")*$T$286*$C$32+$V$286*$C$31)*$H$27*$R$286)</f>
        <v>0</v>
      </c>
      <c r="V307">
        <f>IF(S307=0,0,$V$286*$H$26*$R$286)</f>
        <v>0</v>
      </c>
      <c r="W307">
        <f t="shared" si="203"/>
        <v>0</v>
      </c>
      <c r="X307">
        <f>T307*$R$286/2</f>
        <v>0</v>
      </c>
      <c r="Z307">
        <f>IF(S307=0,0,$AD$286*$AP$279)</f>
        <v>0</v>
      </c>
      <c r="AA307">
        <f>IFERROR(Z307/$R$286,0)</f>
        <v>0</v>
      </c>
      <c r="AB307">
        <f>Z307*($F$23+IF($F$23=0,0,($C$14+$C$15+IF($C$13="single",1.5,3)+3)/12))</f>
        <v>0</v>
      </c>
      <c r="AC307">
        <f>AB307-W307</f>
        <v>0</v>
      </c>
      <c r="AD307" cm="1">
        <f t="array" ref="AD307">IFERROR(IF(AC307&lt;0,0,AC307/($R$286-INDEX(hd_off,MATCH(AQ307,hd_mark,0),0)/12)),0)</f>
        <v>0</v>
      </c>
      <c r="AE307">
        <f>IF(S307=0,0,$AD$286*$AM$279)</f>
        <v>0</v>
      </c>
      <c r="AF307">
        <f>IFERROR(AE307/$R$286,0)</f>
        <v>0</v>
      </c>
      <c r="AG307">
        <f>AE307*($F$23+IF($F$23=0,0,($C$14+$C$15+IF($C$13="single",1.5,3)+3)/12))</f>
        <v>0</v>
      </c>
      <c r="AH307">
        <f>AG307-X307</f>
        <v>0</v>
      </c>
      <c r="AI307" cm="1">
        <f t="array" ref="AI307">IFERROR(IF(AH307&lt;0,0,AH307/($R$286-INDEX(hd_off,MATCH(AQ307,hd_mark,0),0)/12)),0)</f>
        <v>0</v>
      </c>
      <c r="AJ307">
        <f>MAX($F$23,$AA$286)/$Q$308</f>
        <v>0</v>
      </c>
      <c r="AK307">
        <f t="shared" si="204"/>
        <v>0</v>
      </c>
      <c r="AL307" cm="1">
        <f t="array" ref="AL307">IFERROR(INDEX(sheath_ecap_asd,MATCH(AP307,sheath_mark,0),0)*AK307,0)</f>
        <v>0</v>
      </c>
      <c r="AM307" cm="1">
        <f t="array" ref="AM307">IFERROR(INDEX(sheath_wcap_asd,MATCH(AP307,sheath_mark,0),0)*AK307,0)</f>
        <v>0</v>
      </c>
      <c r="AN307" cm="1">
        <f t="array" ref="AN307">IFERROR(INDEX(hd_cap,MATCH(AQ307,hd_mark,0),0),0)</f>
        <v>0</v>
      </c>
      <c r="AP307" s="19"/>
      <c r="AQ307" s="19"/>
      <c r="AR307" s="100"/>
      <c r="AS307" s="93"/>
      <c r="AT307" s="109" t="s">
        <v>491</v>
      </c>
      <c r="AU307" t="str">
        <f>$Q$279</f>
        <v>L4</v>
      </c>
      <c r="AV307">
        <f>$E$23</f>
        <v>0</v>
      </c>
      <c r="AW307" cm="1">
        <f t="array" ref="AW307">IFERROR(IF(AV307=0,0,(INDEX($C$33:$C$38,MATCH($AZ$286,$B$33:$B$38,0),0)*(AV309+$BA$286)+$AW$286*COUNTIF(AV307:AV308,"&gt;0")*$C$32+$AY$286*$C$31)*$AU$286),0)</f>
        <v>0</v>
      </c>
      <c r="AX307">
        <f>IF(AV307=0,0,-(COUNTIF(AV307:AV308,"&gt;0")*$AW$286*$C$32+$AY$286*$C$31)*$H$27*$AU$286)</f>
        <v>0</v>
      </c>
      <c r="AY307">
        <f>IF(AV307=0,0,$AY$286*$H$26*$AU$286)</f>
        <v>0</v>
      </c>
      <c r="AZ307">
        <f>(0.6*AW307+0.7*AX307)*$AU$286/2</f>
        <v>0</v>
      </c>
      <c r="BA307">
        <f>AW307*$AU$286/2</f>
        <v>0</v>
      </c>
      <c r="BC307">
        <f>IF(AV307=0,0,$BG$286*$AP$279)</f>
        <v>0</v>
      </c>
      <c r="BD307">
        <f>IFERROR(BC307/$AU$286,0)</f>
        <v>0</v>
      </c>
      <c r="BE307">
        <f>BC307*($F$23+IF($F$23=0,0,($C$14+$C$15+IF($C$13="single",1.5,3)+3)/12))</f>
        <v>0</v>
      </c>
      <c r="BF307">
        <f>BE307-AZ307</f>
        <v>0</v>
      </c>
      <c r="BG307" cm="1">
        <f t="array" ref="BG307">IFERROR(IF(BF307&lt;0,0,BF307/($AU$286-INDEX(hd_off,MATCH(BT307,hd_mark,0),0)/12)),0)</f>
        <v>0</v>
      </c>
      <c r="BH307">
        <f>IF(AV307=0,0,$BG$286*$AM$279)</f>
        <v>0</v>
      </c>
      <c r="BI307">
        <f>IFERROR(BH307/$AU$286,0)</f>
        <v>0</v>
      </c>
      <c r="BJ307">
        <f>BH307*($F$23+IF($F$23=0,0,($C$14+$C$15+IF($C$13="single",1.5,3)+3)/12))</f>
        <v>0</v>
      </c>
      <c r="BK307">
        <f>BJ307-BA307</f>
        <v>0</v>
      </c>
      <c r="BL307" cm="1">
        <f t="array" ref="BL307">IFERROR(IF(BK307&lt;0,0,BK307/($AU$286-INDEX(hd_off,MATCH(BT307,hd_mark,0),0)/12)),0)</f>
        <v>0</v>
      </c>
      <c r="BM307">
        <f>MAX($F$23,$BD$286)/$Q$308</f>
        <v>0</v>
      </c>
      <c r="BN307">
        <f t="shared" si="205"/>
        <v>0</v>
      </c>
      <c r="BO307" cm="1">
        <f t="array" ref="BO307">IFERROR(INDEX(sheath_ecap_asd,MATCH(BS307,sheath_mark,0),0)*BN307,0)</f>
        <v>0</v>
      </c>
      <c r="BP307" cm="1">
        <f t="array" ref="BP307">IFERROR(INDEX(sheath_wcap_asd,MATCH(BS307,sheath_mark,0),0)*BN307,0)</f>
        <v>0</v>
      </c>
      <c r="BQ307" cm="1">
        <f t="array" ref="BQ307">IFERROR(INDEX(hd_cap,MATCH(BT307,hd_mark,0),0),0)</f>
        <v>0</v>
      </c>
      <c r="BS307" s="19"/>
      <c r="BT307" s="19"/>
      <c r="BU307" s="100"/>
    </row>
    <row r="308" x14ac:dyDescent="0.25">
      <c r="B308" t="s">
        <v>171</v>
      </c>
      <c r="C308" s="19">
        <v>0</v>
      </c>
      <c r="D308" s="19">
        <v>29</v>
      </c>
      <c r="E308">
        <f t="shared" si="201"/>
        <v>29</v>
      </c>
      <c r="H308">
        <v>11</v>
      </c>
      <c r="I308" s="19">
        <v>0</v>
      </c>
      <c r="J308" s="19">
        <v>27</v>
      </c>
      <c r="K308">
        <f t="shared" si="202"/>
        <v>27</v>
      </c>
      <c r="P308" s="93"/>
      <c r="Q308" s="111">
        <f>$R$286</f>
        <v>29</v>
      </c>
      <c r="R308" t="str">
        <f>$Q$280</f>
        <v>L5</v>
      </c>
      <c r="S308">
        <f>$E$24</f>
        <v>0</v>
      </c>
      <c r="T308" cm="1">
        <f t="array" ref="T308">IFERROR(IF(S308=0,0,(INDEX($C$33:$C$38,MATCH($W$286,$B$33:$B$38,0),0)*(S309+$X$286)+$T$286*COUNTIF(S308:S308,"&gt;0")*$C$32+$V$286*$C$31)*$R$286),0)</f>
        <v>0</v>
      </c>
      <c r="U308">
        <f>IF(S308=0,0,-(COUNTIF(S308:S308,"&gt;0")*$T$286*$C$32+$V$286*$C$31)*$H$27*$R$286)</f>
        <v>0</v>
      </c>
      <c r="V308">
        <f>IF(S308=0,0,$V$286*$H$26*$R$286)</f>
        <v>0</v>
      </c>
      <c r="W308">
        <f t="shared" si="203"/>
        <v>0</v>
      </c>
      <c r="X308">
        <f>T308*$R$286/2</f>
        <v>0</v>
      </c>
      <c r="Z308">
        <f>IF(S308=0,0,$AD$286*$AP$280)</f>
        <v>0</v>
      </c>
      <c r="AA308">
        <f>IFERROR(Z308/$R$286,0)</f>
        <v>0</v>
      </c>
      <c r="AB308">
        <f>Z308*($F$24+IF($F$24=0,0,($C$14+$C$15+IF($C$13="single",1.5,3)+3)/12))</f>
        <v>0</v>
      </c>
      <c r="AC308">
        <f>AB308-W308</f>
        <v>0</v>
      </c>
      <c r="AD308" cm="1">
        <f t="array" ref="AD308">IFERROR(IF(AC308&lt;0,0,AC308/($R$286-INDEX(hd_off,MATCH(AQ308,hd_mark,0),0)/12)),0)</f>
        <v>0</v>
      </c>
      <c r="AE308">
        <f>IF(S308=0,0,$AD$286*$AM$280)</f>
        <v>0</v>
      </c>
      <c r="AF308">
        <f>IFERROR(AE308/$R$286,0)</f>
        <v>0</v>
      </c>
      <c r="AG308">
        <f>AE308*($F$24+IF($F$24=0,0,($C$14+$C$15+IF($C$13="single",1.5,3)+3)/12))</f>
        <v>0</v>
      </c>
      <c r="AH308">
        <f>AG308-X308</f>
        <v>0</v>
      </c>
      <c r="AI308" cm="1">
        <f t="array" ref="AI308">IFERROR(IF(AH308&lt;0,0,AH308/($R$286-INDEX(hd_off,MATCH(AQ308,hd_mark,0),0)/12)),0)</f>
        <v>0</v>
      </c>
      <c r="AJ308">
        <f>MAX($F$24,$AB$286)/$Q$308</f>
        <v>0</v>
      </c>
      <c r="AK308">
        <f t="shared" si="204"/>
        <v>0</v>
      </c>
      <c r="AL308" cm="1">
        <f t="array" ref="AL308">IFERROR(INDEX(sheath_ecap_asd,MATCH(AP308,sheath_mark,0),0)*AK308,0)</f>
        <v>0</v>
      </c>
      <c r="AM308" cm="1">
        <f t="array" ref="AM308">IFERROR(INDEX(sheath_wcap_asd,MATCH(AP308,sheath_mark,0),0)*AK308,0)</f>
        <v>0</v>
      </c>
      <c r="AN308" cm="1">
        <f t="array" ref="AN308">IFERROR(INDEX(hd_cap,MATCH(AQ308,hd_mark,0),0),0)</f>
        <v>0</v>
      </c>
      <c r="AP308" s="19"/>
      <c r="AQ308" s="19"/>
      <c r="AR308" s="100"/>
      <c r="AS308" s="93"/>
      <c r="AT308" s="111">
        <f>$R$286</f>
        <v>29</v>
      </c>
      <c r="AU308" t="str">
        <f>$Q$280</f>
        <v>L5</v>
      </c>
      <c r="AV308">
        <f>$E$24</f>
        <v>0</v>
      </c>
      <c r="AW308" cm="1">
        <f t="array" ref="AW308">IFERROR(IF(AV308=0,0,(INDEX($C$33:$C$38,MATCH($AZ$286,$B$33:$B$38,0),0)*(AV309+$BA$286)+$AW$286*COUNTIF(AV308:AV308,"&gt;0")*$C$32+$AY$286*$C$31)*$AU$286),0)</f>
        <v>0</v>
      </c>
      <c r="AX308">
        <f>IF(AV308=0,0,-(COUNTIF(AV308:AV308,"&gt;0")*$AW$286*$C$32+$AY$286*$C$31)*$H$27*$AU$286)</f>
        <v>0</v>
      </c>
      <c r="AY308">
        <f>IF(AV308=0,0,$AY$286*$H$26*$AU$286)</f>
        <v>0</v>
      </c>
      <c r="AZ308">
        <f>(0.6*AW308+0.7*AX308)*$AU$286/2</f>
        <v>0</v>
      </c>
      <c r="BA308">
        <f>AW308*$AU$286/2</f>
        <v>0</v>
      </c>
      <c r="BC308">
        <f>IF(AV308=0,0,$BG$286*$AP$280)</f>
        <v>0</v>
      </c>
      <c r="BD308">
        <f>IFERROR(BC308/$AU$286,0)</f>
        <v>0</v>
      </c>
      <c r="BE308">
        <f>BC308*($F$24+IF($F$24=0,0,($C$14+$C$15+IF($C$13="single",1.5,3)+3)/12))</f>
        <v>0</v>
      </c>
      <c r="BF308">
        <f>BE308-AZ308</f>
        <v>0</v>
      </c>
      <c r="BG308" cm="1">
        <f t="array" ref="BG308">IFERROR(IF(BF308&lt;0,0,BF308/($AU$286-INDEX(hd_off,MATCH(BT308,hd_mark,0),0)/12)),0)</f>
        <v>0</v>
      </c>
      <c r="BH308">
        <f>IF(AV308=0,0,$BG$286*$AM$280)</f>
        <v>0</v>
      </c>
      <c r="BI308">
        <f>IFERROR(BH308/$AU$286,0)</f>
        <v>0</v>
      </c>
      <c r="BJ308">
        <f>BH308*($F$24+IF($F$24=0,0,($C$14+$C$15+IF($C$13="single",1.5,3)+3)/12))</f>
        <v>0</v>
      </c>
      <c r="BK308">
        <f>BJ308-BA308</f>
        <v>0</v>
      </c>
      <c r="BL308" cm="1">
        <f t="array" ref="BL308">IFERROR(IF(BK308&lt;0,0,BK308/($AU$286-INDEX(hd_off,MATCH(BT308,hd_mark,0),0)/12)),0)</f>
        <v>0</v>
      </c>
      <c r="BM308">
        <f>MAX($F$24,$BE$286)/$Q$308</f>
        <v>0</v>
      </c>
      <c r="BN308">
        <f t="shared" si="205"/>
        <v>0</v>
      </c>
      <c r="BO308" cm="1">
        <f t="array" ref="BO308">IFERROR(INDEX(sheath_ecap_asd,MATCH(BS308,sheath_mark,0),0)*BN308,0)</f>
        <v>0</v>
      </c>
      <c r="BP308" cm="1">
        <f t="array" ref="BP308">IFERROR(INDEX(sheath_wcap_asd,MATCH(BS308,sheath_mark,0),0)*BN308,0)</f>
        <v>0</v>
      </c>
      <c r="BQ308" cm="1">
        <f t="array" ref="BQ308">IFERROR(INDEX(hd_cap,MATCH(BT308,hd_mark,0),0),0)</f>
        <v>0</v>
      </c>
      <c r="BS308" s="19"/>
      <c r="BT308" s="19"/>
      <c r="BU308" s="100"/>
    </row>
    <row r="309" x14ac:dyDescent="0.25">
      <c r="B309" t="s">
        <v>460</v>
      </c>
      <c r="C309" s="19">
        <v>29</v>
      </c>
      <c r="D309" s="19">
        <v>6</v>
      </c>
      <c r="E309">
        <f t="shared" si="201"/>
        <v>35</v>
      </c>
      <c r="H309">
        <v>12</v>
      </c>
      <c r="I309" s="19">
        <v>27</v>
      </c>
      <c r="J309" s="19">
        <v>14</v>
      </c>
      <c r="K309">
        <f t="shared" si="202"/>
        <v>41</v>
      </c>
      <c r="P309" s="93"/>
      <c r="Q309" s="109"/>
      <c r="R309" t="str">
        <f>$Q$281</f>
        <v>Roof</v>
      </c>
      <c r="S309">
        <f>$E$25</f>
        <v>33.171875</v>
      </c>
      <c r="T309" cm="1">
        <f t="array" ref="T309">IFERROR(IF(S309=0,0,(INDEX($C$33:$C$38,MATCH($W$286,$B$33:$B$38,0),0)*(S309+$X$286)+$V$286*$C$31)*$R$286),0)</f>
        <v>21491.71875</v>
      </c>
      <c r="U309">
        <f>IF(S309=0,0,-$V$286*$C$31*$H$27*$R$286)</f>
        <v>-37.583999999999996</v>
      </c>
      <c r="V309">
        <f>IF(S309=0,0,$V$286*$H$26*$R$286)</f>
        <v>-1328.1999999999998</v>
      </c>
      <c r="W309">
        <f>(0.6*T309+0.7*U309)*$R$286/2</f>
        <v>186596.47552499999</v>
      </c>
      <c r="X309">
        <f>T309*$R$286/2</f>
        <v>311629.921875</v>
      </c>
      <c r="Z309">
        <f>IF(S309=0,0,$AD$286*$AP$281)</f>
        <v>191.83499999999995</v>
      </c>
      <c r="AA309">
        <f>IFERROR(Z309/$R$286,0)</f>
        <v>6.6149999999999984</v>
      </c>
      <c r="AB309">
        <f>Z309*($F$25+($C$16+$C$17+IF($C$13="single",1.5,3)+3)/12)</f>
        <v>2263.0535156249989</v>
      </c>
      <c r="AC309">
        <f>AB309-W309</f>
        <v>-184333.42200937498</v>
      </c>
      <c r="AD309" cm="1">
        <f t="array" ref="AD309">IFERROR(IF(AC309&lt;0,0,AC309/($R$286-INDEX(hd_off,MATCH(AQ309,hd_mark,0),0)/12)),0)</f>
        <v>0</v>
      </c>
      <c r="AE309">
        <f>IF(S309=0,0,$AD$286*$AM$281)</f>
        <v>3854.1</v>
      </c>
      <c r="AF309">
        <f>IFERROR(AE309/$R$286,0)</f>
        <v>132.9</v>
      </c>
      <c r="AG309">
        <f>AE309*($F$25+($C$16+$C$17+IF($C$13="single",1.5,3)+3)/12)</f>
        <v>45466.335937499993</v>
      </c>
      <c r="AH309">
        <f>AG309-X309</f>
        <v>-266163.5859375</v>
      </c>
      <c r="AI309" cm="1">
        <f t="array" ref="AI309">IFERROR(IF(AH309&lt;0,0,AH309/($R$286-INDEX(hd_off,MATCH(AQ309,hd_mark,0),0)/12)),0)</f>
        <v>0</v>
      </c>
      <c r="AJ309">
        <f>MAX($F$25,$AC$286)/$Q$308</f>
        <v>0.29920977011494249</v>
      </c>
      <c r="AK309">
        <f t="shared" si="204"/>
        <v>1</v>
      </c>
      <c r="AL309" cm="1">
        <f t="array" ref="AL309">IFERROR(INDEX(sheath_ecap_asd,MATCH(AP309,sheath_mark,0),0)*AK309,0)</f>
        <v>95.285714285714306</v>
      </c>
      <c r="AM309" cm="1">
        <f t="array" ref="AM309">IFERROR(INDEX(sheath_wcap_asd,MATCH(AP309,sheath_mark,0),0)*AK309,0)</f>
        <v>133.4</v>
      </c>
      <c r="AN309" cm="1">
        <f t="array" ref="AN309">IFERROR(INDEX(hd_cap,MATCH(AQ309,hd_mark,0),0),0)</f>
        <v>0</v>
      </c>
      <c r="AP309" s="19">
        <v>11</v>
      </c>
      <c r="AQ309" s="19"/>
      <c r="AR309" s="100"/>
      <c r="AS309" s="93"/>
      <c r="AT309" s="109"/>
      <c r="AU309" t="str">
        <f>$Q$281</f>
        <v>Roof</v>
      </c>
      <c r="AV309">
        <f>$E$25</f>
        <v>33.171875</v>
      </c>
      <c r="AW309" cm="1">
        <f t="array" ref="AW309">IFERROR(IF(AV309=0,0,(INDEX($C$33:$C$38,MATCH($AZ$286,$B$33:$B$38,0),0)*(AV309+$BA$286)+$AY$286*$C$31)*$AU$286),0)</f>
        <v>21491.71875</v>
      </c>
      <c r="AX309">
        <f>IF(AV309=0,0,-$AY$286*$C$31*$H$27*$AU$286)</f>
        <v>-37.583999999999996</v>
      </c>
      <c r="AY309">
        <f>IF(AV309=0,0,$AY$286*$H$26*$AU$286)</f>
        <v>-1328.1999999999998</v>
      </c>
      <c r="AZ309">
        <f>(0.6*AW309+0.7*AX309)*$AU$286/2</f>
        <v>186596.47552499999</v>
      </c>
      <c r="BA309">
        <f>AW309*$AU$286/2</f>
        <v>311629.921875</v>
      </c>
      <c r="BC309">
        <f>IF(AV309=0,0,$BG$286*$AP$281)</f>
        <v>191.83499999999995</v>
      </c>
      <c r="BD309">
        <f>IFERROR(BC309/$AU$286,0)</f>
        <v>6.6149999999999984</v>
      </c>
      <c r="BE309">
        <f>BC309*($F$25+($C$16+$C$17+IF($C$13="single",1.5,3)+3)/12)</f>
        <v>2263.0535156249989</v>
      </c>
      <c r="BF309">
        <f>BE309-AZ309</f>
        <v>-184333.42200937498</v>
      </c>
      <c r="BG309" cm="1">
        <f t="array" ref="BG309">IFERROR(IF(BF309&lt;0,0,BF309/($AU$286-INDEX(hd_off,MATCH(BT309,hd_mark,0),0)/12)),0)</f>
        <v>0</v>
      </c>
      <c r="BH309">
        <f>IF(AV309=0,0,$BG$286*$AM$281)</f>
        <v>3854.1</v>
      </c>
      <c r="BI309">
        <f>IFERROR(BH309/$AU$286,0)</f>
        <v>132.9</v>
      </c>
      <c r="BJ309">
        <f>BH309*($F$25+($C$16+$C$17+IF($C$13="single",1.5,3)+3)/12)</f>
        <v>45466.335937499993</v>
      </c>
      <c r="BK309">
        <f>BJ309-BA309</f>
        <v>-266163.5859375</v>
      </c>
      <c r="BL309" cm="1">
        <f t="array" ref="BL309">IFERROR(IF(BK309&lt;0,0,BK309/($AU$286-INDEX(hd_off,MATCH(BT309,hd_mark,0),0)/12)),0)</f>
        <v>0</v>
      </c>
      <c r="BM309">
        <f>MAX($F$25,$BF$286)/$Q$308</f>
        <v>0.29920977011494249</v>
      </c>
      <c r="BN309">
        <f t="shared" si="205"/>
        <v>1</v>
      </c>
      <c r="BO309" cm="1">
        <f t="array" ref="BO309">IFERROR(INDEX(sheath_ecap_asd,MATCH(BS309,sheath_mark,0),0)*BN309,0)</f>
        <v>95.285714285714306</v>
      </c>
      <c r="BP309" cm="1">
        <f t="array" ref="BP309">IFERROR(INDEX(sheath_wcap_asd,MATCH(BS309,sheath_mark,0),0)*BN309,0)</f>
        <v>133.4</v>
      </c>
      <c r="BQ309" cm="1">
        <f t="array" ref="BQ309">IFERROR(INDEX(hd_cap,MATCH(BT309,hd_mark,0),0),0)</f>
        <v>0</v>
      </c>
      <c r="BS309" s="19">
        <v>11</v>
      </c>
      <c r="BT309" s="19"/>
      <c r="BU309" s="100"/>
    </row>
    <row r="310" x14ac:dyDescent="0.25">
      <c r="B310" t="s">
        <v>461</v>
      </c>
      <c r="C310" s="19">
        <v>6</v>
      </c>
      <c r="D310" s="19">
        <v>29</v>
      </c>
      <c r="E310">
        <f t="shared" si="201"/>
        <v>35</v>
      </c>
      <c r="H310">
        <v>13</v>
      </c>
      <c r="I310" s="19">
        <v>14</v>
      </c>
      <c r="J310" s="19">
        <v>12</v>
      </c>
      <c r="K310">
        <f t="shared" si="202"/>
        <v>26</v>
      </c>
      <c r="P310" s="93"/>
      <c r="Q310" s="109"/>
      <c r="AR310" s="100"/>
      <c r="AS310" s="93"/>
      <c r="AT310" s="109"/>
      <c r="BU310" s="100"/>
    </row>
    <row r="311" x14ac:dyDescent="0.25">
      <c r="B311" t="s">
        <v>462</v>
      </c>
      <c r="C311" s="19">
        <v>29</v>
      </c>
      <c r="D311" s="19">
        <v>0</v>
      </c>
      <c r="E311">
        <f t="shared" si="201"/>
        <v>29</v>
      </c>
      <c r="H311">
        <v>14</v>
      </c>
      <c r="I311" s="19">
        <v>12</v>
      </c>
      <c r="J311" s="19">
        <v>27</v>
      </c>
      <c r="K311">
        <f t="shared" si="202"/>
        <v>39</v>
      </c>
      <c r="P311" s="93"/>
      <c r="Q311" s="110" t="str">
        <f>$Q$287</f>
        <v>A.02</v>
      </c>
      <c r="R311" t="str">
        <f>$Q$277</f>
        <v>L2</v>
      </c>
      <c r="S311">
        <f>$E$21</f>
        <v>10.6875</v>
      </c>
      <c r="T311" cm="1">
        <f t="array" ref="T311">IFERROR(IF(S311=0,0,(INDEX($C$33:$C$38,MATCH($W$287,$B$33:$B$38,0),0)*(S315+$X$287)+$T$287*COUNTIF(S311:S314,"&gt;0")*$C$32+$V$287*$C$31)*$R$287),0)</f>
        <v>0</v>
      </c>
      <c r="U311">
        <f>IF(S311=0,0,-(COUNTIF(S311:S314,"&gt;0")*$T$287*$C$32+$V$287*$C$31)*$H$27*$R$287)</f>
        <v>0</v>
      </c>
      <c r="V311">
        <f>IF(S311=0,0,$V$287*$H$26*$R$287)</f>
        <v>0</v>
      </c>
      <c r="W311">
        <f>(0.6*T311+0.7*U311)*$R$287/2</f>
        <v>0</v>
      </c>
      <c r="X311">
        <f>(0.6*T311+0.6*V311)*$R$287/2</f>
        <v>0</v>
      </c>
      <c r="Z311">
        <f>IF(S311=0,0,$AD$287*$AP$277)</f>
        <v>0</v>
      </c>
      <c r="AA311">
        <f>IFERROR(Z311/$R$287,0)</f>
        <v>0</v>
      </c>
      <c r="AB311">
        <f>Z311*($F$21+IF($F$21=0,0,($C$14+$C$15+IF($C$13="single",1.5,3)+3)/12))</f>
        <v>0</v>
      </c>
      <c r="AC311">
        <f>AB311-W311</f>
        <v>0</v>
      </c>
      <c r="AD311" cm="1">
        <f t="array" ref="AD311">IFERROR(IF(AC311&lt;0,0,AC311/($R$287-INDEX(hd_off,MATCH(AQ311,hd_mark,0),0)/12)),0)</f>
        <v>0</v>
      </c>
      <c r="AE311">
        <f>IF(S311=0,0,$AD$287*$AM$277)</f>
        <v>0</v>
      </c>
      <c r="AF311">
        <f>IFERROR(AE311/$R$287,0)</f>
        <v>0</v>
      </c>
      <c r="AG311">
        <f>AE311*($F$21+IF($F$21=0,0,($C$14+$C$15+IF($C$13="single",1.5,3)+3)/12))</f>
        <v>0</v>
      </c>
      <c r="AH311">
        <f>AG311-X311</f>
        <v>0</v>
      </c>
      <c r="AI311" cm="1">
        <f t="array" ref="AI311">IFERROR(IF(AH311&lt;0,0,AH311/($R$287-INDEX(hd_off,MATCH(AQ311,hd_mark,0),0)/12)),0)</f>
        <v>0</v>
      </c>
      <c r="AJ311">
        <f>MAX($F$21,$Y$287)/$Q$308</f>
        <v>0.30172413793103448</v>
      </c>
      <c r="AK311">
        <f>IF(AJ311=0,0,IF(AJ311&gt;2,1.25-0.125*AJ311,1))</f>
        <v>1</v>
      </c>
      <c r="AL311" cm="1">
        <f t="array" ref="AL311">IFERROR(INDEX(sheath_ecap_asd,MATCH(AP311,sheath_mark,0),0)*AK311,0)</f>
        <v>0</v>
      </c>
      <c r="AM311" cm="1">
        <f t="array" ref="AM311">IFERROR(INDEX(sheath_wcap_asd,MATCH(AP311,sheath_mark,0),0)*AK311,0)</f>
        <v>0</v>
      </c>
      <c r="AN311" cm="1">
        <f t="array" ref="AN311">IFERROR(INDEX(hd_cap,MATCH(AQ311,hd_mark,0),0),0)</f>
        <v>0</v>
      </c>
      <c r="AP311" s="19"/>
      <c r="AQ311" s="19"/>
      <c r="AR311" s="100"/>
      <c r="AS311" s="93"/>
      <c r="AT311" s="110" t="str">
        <f>$AT$287</f>
        <v>1.02</v>
      </c>
      <c r="AU311" t="str">
        <f>$Q$277</f>
        <v>L2</v>
      </c>
      <c r="AV311">
        <f>$E$21</f>
        <v>10.6875</v>
      </c>
      <c r="AW311" cm="1">
        <f t="array" ref="AW311">IFERROR(IF(AV311=0,0,(INDEX($C$33:$C$38,MATCH($AZ$287,$B$33:$B$38,0),0)*(AV315+$BA$287)+$AW$287*COUNTIF(AV311:AV314,"&gt;0")*$C$32+$AY$287*$C$31)*$AU$287),0)</f>
        <v>0</v>
      </c>
      <c r="AX311">
        <f>IF(AV311=0,0,-(COUNTIF(AV311:AV314,"&gt;0")*$AW$287*$C$32+$AY$287*$C$31)*$H$27*$AU$287)</f>
        <v>0</v>
      </c>
      <c r="AY311">
        <f>IF(AV311=0,0,$AY$287*$H$26*$AU$287)</f>
        <v>0</v>
      </c>
      <c r="AZ311">
        <f>(0.6*AW311+0.7*AX311)*$AU$287/2</f>
        <v>0</v>
      </c>
      <c r="BA311">
        <f>(0.6*AW311+0.6*AY311)*$AU$287/2</f>
        <v>0</v>
      </c>
      <c r="BC311">
        <f>IF(AV311=0,0,$BG$287*$AP$277)</f>
        <v>0</v>
      </c>
      <c r="BD311">
        <f>IFERROR(BC311/$AU$287,0)</f>
        <v>0</v>
      </c>
      <c r="BE311">
        <f>BC311*($F$21+IF($F$21=0,0,($C$14+$C$15+IF($C$13="single",1.5,3)+3)/12))</f>
        <v>0</v>
      </c>
      <c r="BF311">
        <f>BE311-AZ311</f>
        <v>0</v>
      </c>
      <c r="BG311" cm="1">
        <f t="array" ref="BG311">IFERROR(IF(BF311&lt;0,0,BF311/($AU$287-INDEX(hd_off,MATCH(BT311,hd_mark,0),0)/12)),0)</f>
        <v>0</v>
      </c>
      <c r="BH311">
        <f>IF(AV311=0,0,$BG$287*$AM$277)</f>
        <v>0</v>
      </c>
      <c r="BI311">
        <f>IFERROR(BH311/$AU$287,0)</f>
        <v>0</v>
      </c>
      <c r="BJ311">
        <f>BH311*($F$21+IF($F$21=0,0,($C$14+$C$15+IF($C$13="single",1.5,3)+3)/12))</f>
        <v>0</v>
      </c>
      <c r="BK311">
        <f>BJ311-BA311</f>
        <v>0</v>
      </c>
      <c r="BL311" cm="1">
        <f t="array" ref="BL311">IFERROR(IF(BK311&lt;0,0,BK311/($AU$287-INDEX(hd_off,MATCH(BT311,hd_mark,0),0)/12)),0)</f>
        <v>0</v>
      </c>
      <c r="BM311">
        <f>MAX($F$21,$BB$287)/$Q$308</f>
        <v>0.30172413793103448</v>
      </c>
      <c r="BN311">
        <f>IF(BM311=0,0,IF(BM311&gt;2,1.25-0.125*BM311,1))</f>
        <v>1</v>
      </c>
      <c r="BO311" cm="1">
        <f t="array" ref="BO311">IFERROR(INDEX(sheath_ecap_asd,MATCH(BS311,sheath_mark,0),0)*BN311,0)</f>
        <v>0</v>
      </c>
      <c r="BP311" cm="1">
        <f t="array" ref="BP311">IFERROR(INDEX(sheath_wcap_asd,MATCH(BS311,sheath_mark,0),0)*BN311,0)</f>
        <v>0</v>
      </c>
      <c r="BQ311" cm="1">
        <f t="array" ref="BQ311">IFERROR(INDEX(hd_cap,MATCH(BT311,hd_mark,0),0),0)</f>
        <v>0</v>
      </c>
      <c r="BS311" s="19"/>
      <c r="BT311" s="19"/>
      <c r="BU311" s="100"/>
    </row>
    <row r="312" x14ac:dyDescent="0.25">
      <c r="B312" t="s">
        <v>463</v>
      </c>
      <c r="C312" s="19"/>
      <c r="D312" s="19"/>
      <c r="E312">
        <f t="shared" si="201"/>
        <v>0</v>
      </c>
      <c r="H312">
        <v>15</v>
      </c>
      <c r="I312" s="19">
        <v>27</v>
      </c>
      <c r="J312" s="19">
        <v>18</v>
      </c>
      <c r="K312">
        <f t="shared" si="202"/>
        <v>45</v>
      </c>
      <c r="P312" s="93"/>
      <c r="Q312" s="109"/>
      <c r="R312" t="str">
        <f>$Q$278</f>
        <v>L3</v>
      </c>
      <c r="S312">
        <f>$E$22</f>
        <v>21.375</v>
      </c>
      <c r="T312" cm="1">
        <f t="array" ref="T312">IFERROR(IF(S312=0,0,(INDEX($C$33:$C$38,MATCH($W$287,$B$33:$B$38,0),0)*(S315+$X$287)+$T$287*COUNTIF(S312:S314,"&gt;0")*$C$32+$V$287*$C$31)*$R$287),0)</f>
        <v>0</v>
      </c>
      <c r="U312">
        <f>IF(S312=0,0,-(COUNTIF(S312:S314,"&gt;0")*$T$287*$C$32+$V$287*$C$31)*$H$27*$R$287)</f>
        <v>0</v>
      </c>
      <c r="V312">
        <f>IF(S312=0,0,$V$287*$H$26*$R$287)</f>
        <v>0</v>
      </c>
      <c r="W312">
        <f>(0.6*T312+0.7*U312)*$R$287/2</f>
        <v>0</v>
      </c>
      <c r="X312">
        <f>T312*$R$287/2</f>
        <v>0</v>
      </c>
      <c r="Z312">
        <f>IF(S312=0,0,$AD$287*$AP$278)</f>
        <v>0</v>
      </c>
      <c r="AA312">
        <f>IFERROR(Z312/$R$287,0)</f>
        <v>0</v>
      </c>
      <c r="AB312">
        <f>Z312*($F$22+IF($F$22=0,0,($C$14+$C$15+IF($C$13="single",1.5,3)+3)/12))</f>
        <v>0</v>
      </c>
      <c r="AC312">
        <f>AB312-W312</f>
        <v>0</v>
      </c>
      <c r="AD312" cm="1">
        <f t="array" ref="AD312">IFERROR(IF(AC312&lt;0,0,AC312/($R$287-INDEX(hd_off,MATCH(AQ312,hd_mark,0),0)/12)),0)</f>
        <v>0</v>
      </c>
      <c r="AE312">
        <f>IF(S312=0,0,$AD$287*$AM$278)</f>
        <v>0</v>
      </c>
      <c r="AF312">
        <f>IFERROR(AE312/$R$287,0)</f>
        <v>0</v>
      </c>
      <c r="AG312">
        <f>AE312*($F$22+IF($F$22=0,0,($C$14+$C$15+IF($C$13="single",1.5,3)+3)/12))</f>
        <v>0</v>
      </c>
      <c r="AH312">
        <f>AG312-X312</f>
        <v>0</v>
      </c>
      <c r="AI312" cm="1">
        <f t="array" ref="AI312">IFERROR(IF(AH312&lt;0,0,AH312/($R$287-INDEX(hd_off,MATCH(AQ312,hd_mark,0),0)/12)),0)</f>
        <v>0</v>
      </c>
      <c r="AJ312">
        <f>MAX($F$22,$Z$287)/$Q$308</f>
        <v>0.30172413793103448</v>
      </c>
      <c r="AK312">
        <f t="shared" ref="AK312:AK315" si="206">IF(AJ312=0,0,IF(AJ312&gt;2,1.25-0.125*AJ312,1))</f>
        <v>1</v>
      </c>
      <c r="AL312" cm="1">
        <f t="array" ref="AL312">IFERROR(INDEX(sheath_ecap_asd,MATCH(AP312,sheath_mark,0),0)*AK312,0)</f>
        <v>0</v>
      </c>
      <c r="AM312" cm="1">
        <f t="array" ref="AM312">IFERROR(INDEX(sheath_wcap_asd,MATCH(AP312,sheath_mark,0),0)*AK312,0)</f>
        <v>0</v>
      </c>
      <c r="AN312" cm="1">
        <f t="array" ref="AN312">IFERROR(INDEX(hd_cap,MATCH(AQ312,hd_mark,0),0),0)</f>
        <v>0</v>
      </c>
      <c r="AP312" s="19"/>
      <c r="AQ312" s="19"/>
      <c r="AR312" s="100"/>
      <c r="AS312" s="93"/>
      <c r="AT312" s="109"/>
      <c r="AU312" t="str">
        <f>$Q$278</f>
        <v>L3</v>
      </c>
      <c r="AV312">
        <f>$E$22</f>
        <v>21.375</v>
      </c>
      <c r="AW312" cm="1">
        <f t="array" ref="AW312">IFERROR(IF(AV312=0,0,(INDEX($C$33:$C$38,MATCH($AZ$287,$B$33:$B$38,0),0)*(AV315+$BA$287)+$AW$287*COUNTIF(AV312:AV314,"&gt;0")*$C$32+$AY$287*$C$31)*$AU$287),0)</f>
        <v>0</v>
      </c>
      <c r="AX312">
        <f>IF(AV312=0,0,-(COUNTIF(AV312:AV314,"&gt;0")*$AW$287*$C$32+$AY$287*$C$31)*$H$27*$AU$287)</f>
        <v>0</v>
      </c>
      <c r="AY312">
        <f>IF(AV312=0,0,$AY$287*$H$26*$AU$287)</f>
        <v>0</v>
      </c>
      <c r="AZ312">
        <f>(0.6*AW312+0.7*AX312)*$AU$287/2</f>
        <v>0</v>
      </c>
      <c r="BA312">
        <f>AW312*$AU$287/2</f>
        <v>0</v>
      </c>
      <c r="BC312">
        <f>IF(AV312=0,0,$BG$287*$AP$278)</f>
        <v>0</v>
      </c>
      <c r="BD312">
        <f>IFERROR(BC312/$AU$287,0)</f>
        <v>0</v>
      </c>
      <c r="BE312">
        <f>BC312*($F$22+IF($F$22=0,0,($C$14+$C$15+IF($C$13="single",1.5,3)+3)/12))</f>
        <v>0</v>
      </c>
      <c r="BF312">
        <f>BE312-AZ312</f>
        <v>0</v>
      </c>
      <c r="BG312" cm="1">
        <f t="array" ref="BG312">IFERROR(IF(BF312&lt;0,0,BF312/($AU$287-INDEX(hd_off,MATCH(BT312,hd_mark,0),0)/12)),0)</f>
        <v>0</v>
      </c>
      <c r="BH312">
        <f>IF(AV312=0,0,$BG$287*$AM$278)</f>
        <v>0</v>
      </c>
      <c r="BI312">
        <f>IFERROR(BH312/$AU$287,0)</f>
        <v>0</v>
      </c>
      <c r="BJ312">
        <f>BH312*($F$22+IF($F$22=0,0,($C$14+$C$15+IF($C$13="single",1.5,3)+3)/12))</f>
        <v>0</v>
      </c>
      <c r="BK312">
        <f>BJ312-BA312</f>
        <v>0</v>
      </c>
      <c r="BL312" cm="1">
        <f t="array" ref="BL312">IFERROR(IF(BK312&lt;0,0,BK312/($AU$287-INDEX(hd_off,MATCH(BT312,hd_mark,0),0)/12)),0)</f>
        <v>0</v>
      </c>
      <c r="BM312">
        <f>MAX($F$22,$BC$287)/$Q$308</f>
        <v>0.30172413793103448</v>
      </c>
      <c r="BN312">
        <f t="shared" ref="BN312:BN315" si="207">IF(BM312=0,0,IF(BM312&gt;2,1.25-0.125*BM312,1))</f>
        <v>1</v>
      </c>
      <c r="BO312" cm="1">
        <f t="array" ref="BO312">IFERROR(INDEX(sheath_ecap_asd,MATCH(BS312,sheath_mark,0),0)*BN312,0)</f>
        <v>0</v>
      </c>
      <c r="BP312" cm="1">
        <f t="array" ref="BP312">IFERROR(INDEX(sheath_wcap_asd,MATCH(BS312,sheath_mark,0),0)*BN312,0)</f>
        <v>0</v>
      </c>
      <c r="BQ312" cm="1">
        <f t="array" ref="BQ312">IFERROR(INDEX(hd_cap,MATCH(BT312,hd_mark,0),0),0)</f>
        <v>0</v>
      </c>
      <c r="BS312" s="19"/>
      <c r="BT312" s="19"/>
      <c r="BU312" s="100"/>
    </row>
    <row r="313" x14ac:dyDescent="0.25">
      <c r="B313" t="s">
        <v>464</v>
      </c>
      <c r="C313" s="19"/>
      <c r="D313" s="19"/>
      <c r="E313">
        <f t="shared" si="201"/>
        <v>0</v>
      </c>
      <c r="H313">
        <v>16</v>
      </c>
      <c r="I313" s="19"/>
      <c r="J313" s="19"/>
      <c r="K313">
        <f t="shared" si="202"/>
        <v>0</v>
      </c>
      <c r="P313" s="93"/>
      <c r="Q313" s="109" t="s">
        <v>491</v>
      </c>
      <c r="R313" t="str">
        <f>$Q$279</f>
        <v>L4</v>
      </c>
      <c r="S313">
        <f>$E$23</f>
        <v>0</v>
      </c>
      <c r="T313" cm="1">
        <f t="array" ref="T313">IFERROR(IF(S313=0,0,(INDEX($C$33:$C$38,MATCH($W$287,$B$33:$B$38,0),0)*(S315+$X$287)+$T$287*COUNTIF(S313:S314,"&gt;0")*$C$32+$V$287*$C$31)*$R$287),0)</f>
        <v>0</v>
      </c>
      <c r="U313">
        <f>IF(S313=0,0,-(COUNTIF(S313:S314,"&gt;0")*$T$287*$C$32+$V$287*$C$31)*$H$27*$R$287)</f>
        <v>0</v>
      </c>
      <c r="V313">
        <f>IF(S313=0,0,$V$287*$H$26*$R$287)</f>
        <v>0</v>
      </c>
      <c r="W313">
        <f>(0.6*T313+0.7*U313)*$R$287/2</f>
        <v>0</v>
      </c>
      <c r="X313">
        <f>T313*$R$287/2</f>
        <v>0</v>
      </c>
      <c r="Z313">
        <f>IF(S313=0,0,$AD$287*$AP$279)</f>
        <v>0</v>
      </c>
      <c r="AA313">
        <f>IFERROR(Z313/$R$287,0)</f>
        <v>0</v>
      </c>
      <c r="AB313">
        <f>Z313*($F$23+IF($F$23=0,0,($C$14+$C$15+IF($C$13="single",1.5,3)+3)/12))</f>
        <v>0</v>
      </c>
      <c r="AC313">
        <f>AB313-W313</f>
        <v>0</v>
      </c>
      <c r="AD313" cm="1">
        <f t="array" ref="AD313">IFERROR(IF(AC313&lt;0,0,AC313/($R$287-INDEX(hd_off,MATCH(AQ313,hd_mark,0),0)/12)),0)</f>
        <v>0</v>
      </c>
      <c r="AE313">
        <f>IF(S313=0,0,$AD$287*$AM$279)</f>
        <v>0</v>
      </c>
      <c r="AF313">
        <f>IFERROR(AE313/$R$287,0)</f>
        <v>0</v>
      </c>
      <c r="AG313">
        <f>AE313*($F$23+IF($F$23=0,0,($C$14+$C$15+IF($C$13="single",1.5,3)+3)/12))</f>
        <v>0</v>
      </c>
      <c r="AH313">
        <f>AG313-X313</f>
        <v>0</v>
      </c>
      <c r="AI313" cm="1">
        <f t="array" ref="AI313">IFERROR(IF(AH313&lt;0,0,AH313/($R$287-INDEX(hd_off,MATCH(AQ313,hd_mark,0),0)/12)),0)</f>
        <v>0</v>
      </c>
      <c r="AJ313">
        <f>MAX($F$23,$AA$287)/$Q$308</f>
        <v>0</v>
      </c>
      <c r="AK313">
        <f t="shared" si="206"/>
        <v>0</v>
      </c>
      <c r="AL313" cm="1">
        <f t="array" ref="AL313">IFERROR(INDEX(sheath_ecap_asd,MATCH(AP313,sheath_mark,0),0)*AK313,0)</f>
        <v>0</v>
      </c>
      <c r="AM313" cm="1">
        <f t="array" ref="AM313">IFERROR(INDEX(sheath_wcap_asd,MATCH(AP313,sheath_mark,0),0)*AK313,0)</f>
        <v>0</v>
      </c>
      <c r="AN313" cm="1">
        <f t="array" ref="AN313">IFERROR(INDEX(hd_cap,MATCH(AQ313,hd_mark,0),0),0)</f>
        <v>0</v>
      </c>
      <c r="AP313" s="19"/>
      <c r="AQ313" s="19"/>
      <c r="AR313" s="100"/>
      <c r="AS313" s="93"/>
      <c r="AT313" s="109" t="s">
        <v>491</v>
      </c>
      <c r="AU313" t="str">
        <f>$Q$279</f>
        <v>L4</v>
      </c>
      <c r="AV313">
        <f>$E$23</f>
        <v>0</v>
      </c>
      <c r="AW313" cm="1">
        <f t="array" ref="AW313">IFERROR(IF(AV313=0,0,(INDEX($C$33:$C$38,MATCH($AZ$287,$B$33:$B$38,0),0)*(AV315+$BA$287)+$AW$287*COUNTIF(AV313:AV314,"&gt;0")*$C$32+$AY$287*$C$31)*$AU$287),0)</f>
        <v>0</v>
      </c>
      <c r="AX313">
        <f>IF(AV313=0,0,-(COUNTIF(AV313:AV314,"&gt;0")*$AW$287*$C$32+$AY$287*$C$31)*$H$27*$AU$287)</f>
        <v>0</v>
      </c>
      <c r="AY313">
        <f>IF(AV313=0,0,$AY$287*$H$26*$AU$287)</f>
        <v>0</v>
      </c>
      <c r="AZ313">
        <f>(0.6*AW313+0.7*AX313)*$AU$287/2</f>
        <v>0</v>
      </c>
      <c r="BA313">
        <f>AW313*$AU$287/2</f>
        <v>0</v>
      </c>
      <c r="BC313">
        <f>IF(AV313=0,0,$BG$287*$AP$279)</f>
        <v>0</v>
      </c>
      <c r="BD313">
        <f>IFERROR(BC313/$AU$287,0)</f>
        <v>0</v>
      </c>
      <c r="BE313">
        <f>BC313*($F$23+IF($F$23=0,0,($C$14+$C$15+IF($C$13="single",1.5,3)+3)/12))</f>
        <v>0</v>
      </c>
      <c r="BF313">
        <f>BE313-AZ313</f>
        <v>0</v>
      </c>
      <c r="BG313" cm="1">
        <f t="array" ref="BG313">IFERROR(IF(BF313&lt;0,0,BF313/($AU$287-INDEX(hd_off,MATCH(BT313,hd_mark,0),0)/12)),0)</f>
        <v>0</v>
      </c>
      <c r="BH313">
        <f>IF(AV313=0,0,$BG$287*$AM$279)</f>
        <v>0</v>
      </c>
      <c r="BI313">
        <f>IFERROR(BH313/$AU$287,0)</f>
        <v>0</v>
      </c>
      <c r="BJ313">
        <f>BH313*($F$23+IF($F$23=0,0,($C$14+$C$15+IF($C$13="single",1.5,3)+3)/12))</f>
        <v>0</v>
      </c>
      <c r="BK313">
        <f>BJ313-BA313</f>
        <v>0</v>
      </c>
      <c r="BL313" cm="1">
        <f t="array" ref="BL313">IFERROR(IF(BK313&lt;0,0,BK313/($AU$287-INDEX(hd_off,MATCH(BT313,hd_mark,0),0)/12)),0)</f>
        <v>0</v>
      </c>
      <c r="BM313">
        <f>MAX($F$23,$BD$287)/$Q$308</f>
        <v>0</v>
      </c>
      <c r="BN313">
        <f t="shared" si="207"/>
        <v>0</v>
      </c>
      <c r="BO313" cm="1">
        <f t="array" ref="BO313">IFERROR(INDEX(sheath_ecap_asd,MATCH(BS313,sheath_mark,0),0)*BN313,0)</f>
        <v>0</v>
      </c>
      <c r="BP313" cm="1">
        <f t="array" ref="BP313">IFERROR(INDEX(sheath_wcap_asd,MATCH(BS313,sheath_mark,0),0)*BN313,0)</f>
        <v>0</v>
      </c>
      <c r="BQ313" cm="1">
        <f t="array" ref="BQ313">IFERROR(INDEX(hd_cap,MATCH(BT313,hd_mark,0),0),0)</f>
        <v>0</v>
      </c>
      <c r="BS313" s="19"/>
      <c r="BT313" s="19"/>
      <c r="BU313" s="100"/>
    </row>
    <row r="314" x14ac:dyDescent="0.25">
      <c r="B314" t="s">
        <v>465</v>
      </c>
      <c r="C314" s="19"/>
      <c r="D314" s="19"/>
      <c r="E314">
        <f t="shared" si="201"/>
        <v>0</v>
      </c>
      <c r="H314">
        <v>17</v>
      </c>
      <c r="I314" s="19"/>
      <c r="J314" s="19"/>
      <c r="K314">
        <f t="shared" si="202"/>
        <v>0</v>
      </c>
      <c r="P314" s="93"/>
      <c r="Q314" s="111">
        <f>$R$287</f>
        <v>0</v>
      </c>
      <c r="R314" t="str">
        <f>$Q$280</f>
        <v>L5</v>
      </c>
      <c r="S314">
        <f>$E$24</f>
        <v>0</v>
      </c>
      <c r="T314" cm="1">
        <f t="array" ref="T314">IFERROR(IF(S314=0,0,(INDEX($C$33:$C$38,MATCH($W$287,$B$33:$B$38,0),0)*(S315+$X$287)+$T$287*COUNTIF(S314:S314,"&gt;0")*$C$32+$V$287*$C$31)*$R$287),0)</f>
        <v>0</v>
      </c>
      <c r="U314">
        <f>IF(S314=0,0,-(COUNTIF(S314:S314,"&gt;0")*$T$287*$C$32+$V$287*$C$31)*$H$27*$R$287)</f>
        <v>0</v>
      </c>
      <c r="V314">
        <f>IF(S314=0,0,$V$287*$H$26*$R$287)</f>
        <v>0</v>
      </c>
      <c r="W314">
        <f>(0.6*T314+0.7*U314)*$R$287/2</f>
        <v>0</v>
      </c>
      <c r="X314">
        <f>T314*$R$287/2</f>
        <v>0</v>
      </c>
      <c r="Z314">
        <f>IF(S314=0,0,$AD$287*$AP$280)</f>
        <v>0</v>
      </c>
      <c r="AA314">
        <f>IFERROR(Z314/$R$287,0)</f>
        <v>0</v>
      </c>
      <c r="AB314">
        <f>Z314*($F$24+IF($F$24=0,0,($C$14+$C$15+IF($C$13="single",1.5,3)+3)/12))</f>
        <v>0</v>
      </c>
      <c r="AC314">
        <f>AB314-W314</f>
        <v>0</v>
      </c>
      <c r="AD314" cm="1">
        <f t="array" ref="AD314">IFERROR(IF(AC314&lt;0,0,AC314/($R$287-INDEX(hd_off,MATCH(AQ314,hd_mark,0),0)/12)),0)</f>
        <v>0</v>
      </c>
      <c r="AE314">
        <f>IF(S314=0,0,$AD$287*$AM$280)</f>
        <v>0</v>
      </c>
      <c r="AF314">
        <f>IFERROR(AE314/$R$287,0)</f>
        <v>0</v>
      </c>
      <c r="AG314">
        <f>AE314*($F$24+IF($F$24=0,0,($C$14+$C$15+IF($C$13="single",1.5,3)+3)/12))</f>
        <v>0</v>
      </c>
      <c r="AH314">
        <f>AG314-X314</f>
        <v>0</v>
      </c>
      <c r="AI314" cm="1">
        <f t="array" ref="AI314">IFERROR(IF(AH314&lt;0,0,AH314/($R$287-INDEX(hd_off,MATCH(AQ314,hd_mark,0),0)/12)),0)</f>
        <v>0</v>
      </c>
      <c r="AJ314">
        <f>MAX($F$24,$AB$287)/$Q$308</f>
        <v>0</v>
      </c>
      <c r="AK314">
        <f t="shared" si="206"/>
        <v>0</v>
      </c>
      <c r="AL314" cm="1">
        <f t="array" ref="AL314">IFERROR(INDEX(sheath_ecap_asd,MATCH(AP314,sheath_mark,0),0)*AK314,0)</f>
        <v>0</v>
      </c>
      <c r="AM314" cm="1">
        <f t="array" ref="AM314">IFERROR(INDEX(sheath_wcap_asd,MATCH(AP314,sheath_mark,0),0)*AK314,0)</f>
        <v>0</v>
      </c>
      <c r="AN314" cm="1">
        <f t="array" ref="AN314">IFERROR(INDEX(hd_cap,MATCH(AQ314,hd_mark,0),0),0)</f>
        <v>0</v>
      </c>
      <c r="AP314" s="19"/>
      <c r="AQ314" s="19"/>
      <c r="AR314" s="100"/>
      <c r="AS314" s="93"/>
      <c r="AT314" s="111">
        <f>$R$287</f>
        <v>0</v>
      </c>
      <c r="AU314" t="str">
        <f>$Q$280</f>
        <v>L5</v>
      </c>
      <c r="AV314">
        <f>$E$24</f>
        <v>0</v>
      </c>
      <c r="AW314" cm="1">
        <f t="array" ref="AW314">IFERROR(IF(AV314=0,0,(INDEX($C$33:$C$38,MATCH($AZ$287,$B$33:$B$38,0),0)*(AV315+$BA$287)+$AW$287*COUNTIF(AV314:AV314,"&gt;0")*$C$32+$AY$287*$C$31)*$AU$287),0)</f>
        <v>0</v>
      </c>
      <c r="AX314">
        <f>IF(AV314=0,0,-(COUNTIF(AV314:AV314,"&gt;0")*$AW$287*$C$32+$AY$287*$C$31)*$H$27*$AU$287)</f>
        <v>0</v>
      </c>
      <c r="AY314">
        <f>IF(AV314=0,0,$AY$287*$H$26*$AU$287)</f>
        <v>0</v>
      </c>
      <c r="AZ314">
        <f>(0.6*AW314+0.7*AX314)*$AU$287/2</f>
        <v>0</v>
      </c>
      <c r="BA314">
        <f>AW314*$AU$287/2</f>
        <v>0</v>
      </c>
      <c r="BC314">
        <f>IF(AV314=0,0,$BG$287*$AP$280)</f>
        <v>0</v>
      </c>
      <c r="BD314">
        <f>IFERROR(BC314/$AU$287,0)</f>
        <v>0</v>
      </c>
      <c r="BE314">
        <f>BC314*($F$24+IF($F$24=0,0,($C$14+$C$15+IF($C$13="single",1.5,3)+3)/12))</f>
        <v>0</v>
      </c>
      <c r="BF314">
        <f>BE314-AZ314</f>
        <v>0</v>
      </c>
      <c r="BG314" cm="1">
        <f t="array" ref="BG314">IFERROR(IF(BF314&lt;0,0,BF314/($AU$287-INDEX(hd_off,MATCH(BT314,hd_mark,0),0)/12)),0)</f>
        <v>0</v>
      </c>
      <c r="BH314">
        <f>IF(AV314=0,0,$BG$287*$AM$280)</f>
        <v>0</v>
      </c>
      <c r="BI314">
        <f>IFERROR(BH314/$AU$287,0)</f>
        <v>0</v>
      </c>
      <c r="BJ314">
        <f>BH314*($F$24+IF($F$24=0,0,($C$14+$C$15+IF($C$13="single",1.5,3)+3)/12))</f>
        <v>0</v>
      </c>
      <c r="BK314">
        <f>BJ314-BA314</f>
        <v>0</v>
      </c>
      <c r="BL314" cm="1">
        <f t="array" ref="BL314">IFERROR(IF(BK314&lt;0,0,BK314/($AU$287-INDEX(hd_off,MATCH(BT314,hd_mark,0),0)/12)),0)</f>
        <v>0</v>
      </c>
      <c r="BM314">
        <f>MAX($F$24,$BE$287)/$Q$308</f>
        <v>0</v>
      </c>
      <c r="BN314">
        <f t="shared" si="207"/>
        <v>0</v>
      </c>
      <c r="BO314" cm="1">
        <f t="array" ref="BO314">IFERROR(INDEX(sheath_ecap_asd,MATCH(BS314,sheath_mark,0),0)*BN314,0)</f>
        <v>0</v>
      </c>
      <c r="BP314" cm="1">
        <f t="array" ref="BP314">IFERROR(INDEX(sheath_wcap_asd,MATCH(BS314,sheath_mark,0),0)*BN314,0)</f>
        <v>0</v>
      </c>
      <c r="BQ314" cm="1">
        <f t="array" ref="BQ314">IFERROR(INDEX(hd_cap,MATCH(BT314,hd_mark,0),0),0)</f>
        <v>0</v>
      </c>
      <c r="BS314" s="19"/>
      <c r="BT314" s="19"/>
      <c r="BU314" s="100"/>
    </row>
    <row r="315" x14ac:dyDescent="0.25">
      <c r="B315" t="s">
        <v>466</v>
      </c>
      <c r="C315" s="19"/>
      <c r="D315" s="19"/>
      <c r="E315">
        <f t="shared" si="201"/>
        <v>0</v>
      </c>
      <c r="H315">
        <v>18</v>
      </c>
      <c r="I315" s="19"/>
      <c r="J315" s="19"/>
      <c r="K315">
        <f t="shared" si="202"/>
        <v>0</v>
      </c>
      <c r="P315" s="93"/>
      <c r="Q315" s="109"/>
      <c r="R315" t="str">
        <f>$Q$281</f>
        <v>Roof</v>
      </c>
      <c r="S315">
        <f>$E$25</f>
        <v>33.171875</v>
      </c>
      <c r="T315" cm="1">
        <f t="array" ref="T315">IFERROR(IF(S315=0,0,(INDEX($C$33:$C$38,MATCH($W$287,$B$33:$B$38,0),0)*(S315+$X$287)+$V$287*$C$31)*$R$287),0)</f>
        <v>0</v>
      </c>
      <c r="U315">
        <f>IF(S315=0,0,-$V$287*$C$31*$H$27*$R$287)</f>
        <v>0</v>
      </c>
      <c r="V315">
        <f>IF(S315=0,0,$V$287*$H$26*$R$287)</f>
        <v>0</v>
      </c>
      <c r="W315">
        <f>(0.6*T315+0.7*U315)*$R$287/2</f>
        <v>0</v>
      </c>
      <c r="X315">
        <f>T315*$R$287/2</f>
        <v>0</v>
      </c>
      <c r="Z315">
        <f>IF(S315=0,0,$AD$287*$AP$281)</f>
        <v>0</v>
      </c>
      <c r="AA315">
        <f>IFERROR(Z315/$R$287,0)</f>
        <v>0</v>
      </c>
      <c r="AB315">
        <f>Z315*($F$25+($C$16+$C$17+IF($C$13="single",1.5,3)+3)/12)</f>
        <v>0</v>
      </c>
      <c r="AC315">
        <f>AB315-W315</f>
        <v>0</v>
      </c>
      <c r="AD315" cm="1">
        <f t="array" ref="AD315">IFERROR(IF(AC315&lt;0,0,AC315/($R$287-INDEX(hd_off,MATCH(AQ315,hd_mark,0),0)/12)),0)</f>
        <v>0</v>
      </c>
      <c r="AE315">
        <f>IF(S315=0,0,$AD$287*$AM$281)</f>
        <v>0</v>
      </c>
      <c r="AF315">
        <f>IFERROR(AE315/$R$287,0)</f>
        <v>0</v>
      </c>
      <c r="AG315">
        <f>AE315*($F$25+($C$16+$C$17+IF($C$13="single",1.5,3)+3)/12)</f>
        <v>0</v>
      </c>
      <c r="AH315">
        <f>AG315-X315</f>
        <v>0</v>
      </c>
      <c r="AI315" cm="1">
        <f t="array" ref="AI315">IFERROR(IF(AH315&lt;0,0,AH315/($R$287-INDEX(hd_off,MATCH(AQ315,hd_mark,0),0)/12)),0)</f>
        <v>0</v>
      </c>
      <c r="AJ315">
        <f>MAX($F$25,$AC$287)/$Q$308</f>
        <v>0.29920977011494249</v>
      </c>
      <c r="AK315">
        <f t="shared" si="206"/>
        <v>1</v>
      </c>
      <c r="AL315" cm="1">
        <f t="array" ref="AL315">IFERROR(INDEX(sheath_ecap_asd,MATCH(AP315,sheath_mark,0),0)*AK315,0)</f>
        <v>0</v>
      </c>
      <c r="AM315" cm="1">
        <f t="array" ref="AM315">IFERROR(INDEX(sheath_wcap_asd,MATCH(AP315,sheath_mark,0),0)*AK315,0)</f>
        <v>0</v>
      </c>
      <c r="AN315" cm="1">
        <f t="array" ref="AN315">IFERROR(INDEX(hd_cap,MATCH(AQ315,hd_mark,0),0),0)</f>
        <v>0</v>
      </c>
      <c r="AP315" s="19"/>
      <c r="AQ315" s="19"/>
      <c r="AR315" s="100"/>
      <c r="AS315" s="93"/>
      <c r="AT315" s="109"/>
      <c r="AU315" t="str">
        <f>$Q$281</f>
        <v>Roof</v>
      </c>
      <c r="AV315">
        <f>$E$25</f>
        <v>33.171875</v>
      </c>
      <c r="AW315" cm="1">
        <f t="array" ref="AW315">IFERROR(IF(AV315=0,0,(INDEX($C$33:$C$38,MATCH($AZ$287,$B$33:$B$38,0),0)*(AV315+$BA$287)+$AY$287*$C$31)*$AU$287),0)</f>
        <v>0</v>
      </c>
      <c r="AX315">
        <f>IF(AV315=0,0,-$AY$287*$C$31*$H$27*$AU$287)</f>
        <v>0</v>
      </c>
      <c r="AY315">
        <f>IF(AV315=0,0,$AY$287*$H$26*$AU$287)</f>
        <v>0</v>
      </c>
      <c r="AZ315">
        <f>(0.6*AW315+0.7*AX315)*$AU$287/2</f>
        <v>0</v>
      </c>
      <c r="BA315">
        <f>AW315*$AU$287/2</f>
        <v>0</v>
      </c>
      <c r="BC315">
        <f>IF(AV315=0,0,$BG$287*$AP$281)</f>
        <v>0</v>
      </c>
      <c r="BD315">
        <f>IFERROR(BC315/$AU$287,0)</f>
        <v>0</v>
      </c>
      <c r="BE315">
        <f>BC315*($F$25+($C$16+$C$17+IF($C$13="single",1.5,3)+3)/12)</f>
        <v>0</v>
      </c>
      <c r="BF315">
        <f>BE315-AZ315</f>
        <v>0</v>
      </c>
      <c r="BG315" cm="1">
        <f t="array" ref="BG315">IFERROR(IF(BF315&lt;0,0,BF315/($AU$287-INDEX(hd_off,MATCH(BT315,hd_mark,0),0)/12)),0)</f>
        <v>0</v>
      </c>
      <c r="BH315">
        <f>IF(AV315=0,0,$BG$287*$AM$281)</f>
        <v>0</v>
      </c>
      <c r="BI315">
        <f>IFERROR(BH315/$AU$287,0)</f>
        <v>0</v>
      </c>
      <c r="BJ315">
        <f>BH315*($F$25+($C$16+$C$17+IF($C$13="single",1.5,3)+3)/12)</f>
        <v>0</v>
      </c>
      <c r="BK315">
        <f>BJ315-BA315</f>
        <v>0</v>
      </c>
      <c r="BL315" cm="1">
        <f t="array" ref="BL315">IFERROR(IF(BK315&lt;0,0,BK315/($AU$287-INDEX(hd_off,MATCH(BT315,hd_mark,0),0)/12)),0)</f>
        <v>0</v>
      </c>
      <c r="BM315">
        <f>MAX($F$25,$BF$287)/$Q$308</f>
        <v>0.29920977011494249</v>
      </c>
      <c r="BN315">
        <f t="shared" si="207"/>
        <v>1</v>
      </c>
      <c r="BO315" cm="1">
        <f t="array" ref="BO315">IFERROR(INDEX(sheath_ecap_asd,MATCH(BS315,sheath_mark,0),0)*BN315,0)</f>
        <v>0</v>
      </c>
      <c r="BP315" cm="1">
        <f t="array" ref="BP315">IFERROR(INDEX(sheath_wcap_asd,MATCH(BS315,sheath_mark,0),0)*BN315,0)</f>
        <v>0</v>
      </c>
      <c r="BQ315" cm="1">
        <f t="array" ref="BQ315">IFERROR(INDEX(hd_cap,MATCH(BT315,hd_mark,0),0),0)</f>
        <v>0</v>
      </c>
      <c r="BS315" s="19"/>
      <c r="BT315" s="19"/>
      <c r="BU315" s="100"/>
    </row>
    <row r="316" x14ac:dyDescent="0.25">
      <c r="B316" t="s">
        <v>467</v>
      </c>
      <c r="C316" s="19"/>
      <c r="D316" s="19"/>
      <c r="E316">
        <f t="shared" si="201"/>
        <v>0</v>
      </c>
      <c r="H316">
        <v>19</v>
      </c>
      <c r="I316" s="19"/>
      <c r="J316" s="19"/>
      <c r="K316">
        <f t="shared" si="202"/>
        <v>0</v>
      </c>
      <c r="P316" s="93"/>
      <c r="AR316" s="100"/>
      <c r="AS316" s="93"/>
      <c r="BU316" s="100"/>
    </row>
    <row r="317" x14ac:dyDescent="0.25">
      <c r="B317" t="s">
        <v>468</v>
      </c>
      <c r="C317" s="19"/>
      <c r="D317" s="19"/>
      <c r="E317">
        <f t="shared" si="201"/>
        <v>0</v>
      </c>
      <c r="H317">
        <v>20</v>
      </c>
      <c r="I317" s="19"/>
      <c r="J317" s="19"/>
      <c r="K317">
        <f t="shared" si="202"/>
        <v>0</v>
      </c>
      <c r="P317" s="93"/>
      <c r="Q317" s="110" t="str">
        <f>$Q$288</f>
        <v>A.03</v>
      </c>
      <c r="R317" t="str">
        <f>$Q$277</f>
        <v>L2</v>
      </c>
      <c r="S317">
        <f>$E$21</f>
        <v>10.6875</v>
      </c>
      <c r="T317" cm="1">
        <f t="array" ref="T317">IFERROR(IF(S317=0,0,(INDEX($C$33:$C$38,MATCH($W$288,$B$33:$B$38,0),0)*(S321+$X$288)+$T$288*COUNTIF(S317:S320,"&gt;0")*$C$32+$V$288*$C$31)*$R$288),0)</f>
        <v>0</v>
      </c>
      <c r="U317">
        <f>IF(S317=0,0,-(COUNTIF(S317:S320,"&gt;0")*$T$288*$C$32+$V$288*$C$31)*$H$27*$R$288)</f>
        <v>0</v>
      </c>
      <c r="V317">
        <f>IF(S317=0,0,$V$288*$H$26*$R$288)</f>
        <v>0</v>
      </c>
      <c r="W317">
        <f>(0.6*T317+0.7*U317)*$R$288/2</f>
        <v>0</v>
      </c>
      <c r="X317">
        <f>(0.6*T317+0.6*V317)*$R$288/2</f>
        <v>0</v>
      </c>
      <c r="Z317">
        <f>IF(S317=0,0,$AD$288*$AP$277)</f>
        <v>0</v>
      </c>
      <c r="AA317">
        <f>IFERROR(Z317/$R$288,0)</f>
        <v>0</v>
      </c>
      <c r="AB317">
        <f>Z317*($F$21+IF($F$21=0,0,($C$14+$C$15+IF($C$13="single",1.5,3)+3)/12))</f>
        <v>0</v>
      </c>
      <c r="AC317">
        <f>AB317-W317</f>
        <v>0</v>
      </c>
      <c r="AD317" cm="1">
        <f t="array" ref="AD317">IFERROR(IF(AC317&lt;0,0,AC317/($R$288-INDEX(hd_off,MATCH(AQ317,hd_mark,0),0)/12)),0)</f>
        <v>0</v>
      </c>
      <c r="AE317">
        <f>IF(S317=0,0,$AD$288*$AM$277)</f>
        <v>0</v>
      </c>
      <c r="AF317">
        <f>IFERROR(AE317/$R$288,0)</f>
        <v>0</v>
      </c>
      <c r="AG317">
        <f>AE317*($F$21+IF($F$21=0,0,($C$14+$C$15+IF($C$13="single",1.5,3)+3)/12))</f>
        <v>0</v>
      </c>
      <c r="AH317">
        <f>AG317-X317</f>
        <v>0</v>
      </c>
      <c r="AI317" cm="1">
        <f t="array" ref="AI317">IFERROR(IF(AH317&lt;0,0,AH317/($R$288-INDEX(hd_off,MATCH(AQ317,hd_mark,0),0)/12)),0)</f>
        <v>0</v>
      </c>
      <c r="AJ317">
        <f>MAX($F$21,$Y$288)/$Q$308</f>
        <v>0.30172413793103448</v>
      </c>
      <c r="AK317">
        <f>IF(AJ317=0,0,IF(AJ317&gt;2,1.25-0.125*AJ317,1))</f>
        <v>1</v>
      </c>
      <c r="AL317" cm="1">
        <f t="array" ref="AL317">IFERROR(INDEX(sheath_ecap_asd,MATCH(AP317,sheath_mark,0),0)*AK317,0)</f>
        <v>0</v>
      </c>
      <c r="AM317" cm="1">
        <f t="array" ref="AM317">IFERROR(INDEX(sheath_wcap_asd,MATCH(AP317,sheath_mark,0),0)*AK317,0)</f>
        <v>0</v>
      </c>
      <c r="AN317" cm="1">
        <f t="array" ref="AN317">IFERROR(INDEX(hd_cap,MATCH(AQ317,hd_mark,0),0),0)</f>
        <v>0</v>
      </c>
      <c r="AP317" s="19"/>
      <c r="AQ317" s="19"/>
      <c r="AR317" s="100"/>
      <c r="AS317" s="93"/>
      <c r="AT317" s="110" t="str">
        <f>$AT$288</f>
        <v>1.03</v>
      </c>
      <c r="AU317" t="str">
        <f>$Q$277</f>
        <v>L2</v>
      </c>
      <c r="AV317">
        <f>$E$21</f>
        <v>10.6875</v>
      </c>
      <c r="AW317" cm="1">
        <f t="array" ref="AW317">IFERROR(IF(AV317=0,0,(INDEX($C$33:$C$38,MATCH($AZ$288,$B$33:$B$38,0),0)*(AV321+$BA$288)+$AW$288*COUNTIF(AV317:AV320,"&gt;0")*$C$32+$AY$288*$C$31)*$AU$288),0)</f>
        <v>0</v>
      </c>
      <c r="AX317">
        <f>IF(AV317=0,0,-(COUNTIF(AV317:AV320,"&gt;0")*$AW$288*$C$32+$AY$288*$C$31)*$H$27*$AU$288)</f>
        <v>0</v>
      </c>
      <c r="AY317">
        <f>IF(AV317=0,0,$AY$288*$H$26*$AU$288)</f>
        <v>0</v>
      </c>
      <c r="AZ317">
        <f>(0.6*AW317+0.7*AX317)*$AU$288/2</f>
        <v>0</v>
      </c>
      <c r="BA317">
        <f>(0.6*AW317+0.6*AY317)*$AU$288/2</f>
        <v>0</v>
      </c>
      <c r="BC317">
        <f>IF(AV317=0,0,$BG$288*$AP$277)</f>
        <v>0</v>
      </c>
      <c r="BD317">
        <f>IFERROR(BC317/$AU$288,0)</f>
        <v>0</v>
      </c>
      <c r="BE317">
        <f>BC317*($F$21+IF($F$21=0,0,($C$14+$C$15+IF($C$13="single",1.5,3)+3)/12))</f>
        <v>0</v>
      </c>
      <c r="BF317">
        <f>BE317-AZ317</f>
        <v>0</v>
      </c>
      <c r="BG317" cm="1">
        <f t="array" ref="BG317">IFERROR(IF(BF317&lt;0,0,BF317/($AU$288-INDEX(hd_off,MATCH(BT317,hd_mark,0),0)/12)),0)</f>
        <v>0</v>
      </c>
      <c r="BH317">
        <f>IF(AV317=0,0,$BG$288*$AM$277)</f>
        <v>0</v>
      </c>
      <c r="BI317">
        <f>IFERROR(BH317/$AU$288,0)</f>
        <v>0</v>
      </c>
      <c r="BJ317">
        <f>BH317*($F$21+IF($F$21=0,0,($C$14+$C$15+IF($C$13="single",1.5,3)+3)/12))</f>
        <v>0</v>
      </c>
      <c r="BK317">
        <f>BJ317-BA317</f>
        <v>0</v>
      </c>
      <c r="BL317" cm="1">
        <f t="array" ref="BL317">IFERROR(IF(BK317&lt;0,0,BK317/($AU$288-INDEX(hd_off,MATCH(BT317,hd_mark,0),0)/12)),0)</f>
        <v>0</v>
      </c>
      <c r="BM317">
        <f>MAX($F$21,$BB$288)/$Q$308</f>
        <v>0.30172413793103448</v>
      </c>
      <c r="BN317">
        <f>IF(BM317=0,0,IF(BM317&gt;2,1.25-0.125*BM317,1))</f>
        <v>1</v>
      </c>
      <c r="BO317" cm="1">
        <f t="array" ref="BO317">IFERROR(INDEX(sheath_ecap_asd,MATCH(BS317,sheath_mark,0),0)*BN317,0)</f>
        <v>0</v>
      </c>
      <c r="BP317" cm="1">
        <f t="array" ref="BP317">IFERROR(INDEX(sheath_wcap_asd,MATCH(BS317,sheath_mark,0),0)*BN317,0)</f>
        <v>0</v>
      </c>
      <c r="BQ317" cm="1">
        <f t="array" ref="BQ317">IFERROR(INDEX(hd_cap,MATCH(BT317,hd_mark,0),0),0)</f>
        <v>0</v>
      </c>
      <c r="BS317" s="19"/>
      <c r="BT317" s="19"/>
      <c r="BU317" s="100"/>
    </row>
    <row r="318" x14ac:dyDescent="0.25">
      <c r="B318" t="s">
        <v>469</v>
      </c>
      <c r="C318" s="19"/>
      <c r="D318" s="19"/>
      <c r="E318">
        <f t="shared" si="201"/>
        <v>0</v>
      </c>
      <c r="H318">
        <v>21</v>
      </c>
      <c r="I318" s="19"/>
      <c r="J318" s="19"/>
      <c r="K318">
        <f t="shared" si="202"/>
        <v>0</v>
      </c>
      <c r="P318" s="93"/>
      <c r="Q318" s="109"/>
      <c r="R318" t="str">
        <f>$Q$278</f>
        <v>L3</v>
      </c>
      <c r="S318">
        <f>$E$22</f>
        <v>21.375</v>
      </c>
      <c r="T318" cm="1">
        <f t="array" ref="T318">IFERROR(IF(S318=0,0,(INDEX($C$33:$C$38,MATCH($W$288,$B$33:$B$38,0),0)*(S321+$X$288)+$T$288*COUNTIF(S318:S320,"&gt;0")*$C$32+$V$288*$C$31)*$R$288),0)</f>
        <v>0</v>
      </c>
      <c r="U318">
        <f>IF(S318=0,0,-(COUNTIF(S318:S320,"&gt;0")*$T$288*$C$32+$V$288*$C$31)*$H$27*$R$288)</f>
        <v>0</v>
      </c>
      <c r="V318">
        <f>IF(S318=0,0,$V$288*$H$26*$R$288)</f>
        <v>0</v>
      </c>
      <c r="W318">
        <f>(0.6*T318+0.7*U318)*$R$288/2</f>
        <v>0</v>
      </c>
      <c r="X318">
        <f>T318*$R$288/2</f>
        <v>0</v>
      </c>
      <c r="Z318">
        <f>IF(S318=0,0,$AD$288*$AP$278)</f>
        <v>0</v>
      </c>
      <c r="AA318">
        <f>IFERROR(Z318/$R$288,0)</f>
        <v>0</v>
      </c>
      <c r="AB318">
        <f>Z318*($F$22+IF($F$22=0,0,($C$14+$C$15+IF($C$13="single",1.5,3)+3)/12))</f>
        <v>0</v>
      </c>
      <c r="AC318">
        <f>AB318-W318</f>
        <v>0</v>
      </c>
      <c r="AD318" cm="1">
        <f t="array" ref="AD318">IFERROR(IF(AC318&lt;0,0,AC318/($R$288-INDEX(hd_off,MATCH(AQ318,hd_mark,0),0)/12)),0)</f>
        <v>0</v>
      </c>
      <c r="AE318">
        <f>IF(S318=0,0,$AD$288*$AM$278)</f>
        <v>0</v>
      </c>
      <c r="AF318">
        <f>IFERROR(AE318/$R$288,0)</f>
        <v>0</v>
      </c>
      <c r="AG318">
        <f>AE318*($F$22+IF($F$22=0,0,($C$14+$C$15+IF($C$13="single",1.5,3)+3)/12))</f>
        <v>0</v>
      </c>
      <c r="AH318">
        <f>AG318-X318</f>
        <v>0</v>
      </c>
      <c r="AI318" cm="1">
        <f t="array" ref="AI318">IFERROR(IF(AH318&lt;0,0,AH318/($R$288-INDEX(hd_off,MATCH(AQ318,hd_mark,0),0)/12)),0)</f>
        <v>0</v>
      </c>
      <c r="AJ318">
        <f>MAX($F$22,$Z$288)/$Q$308</f>
        <v>0.30172413793103448</v>
      </c>
      <c r="AK318">
        <f t="shared" ref="AK318:AK321" si="208">IF(AJ318=0,0,IF(AJ318&gt;2,1.25-0.125*AJ318,1))</f>
        <v>1</v>
      </c>
      <c r="AL318" cm="1">
        <f t="array" ref="AL318">IFERROR(INDEX(sheath_ecap_asd,MATCH(AP318,sheath_mark,0),0)*AK318,0)</f>
        <v>0</v>
      </c>
      <c r="AM318" cm="1">
        <f t="array" ref="AM318">IFERROR(INDEX(sheath_wcap_asd,MATCH(AP318,sheath_mark,0),0)*AK318,0)</f>
        <v>0</v>
      </c>
      <c r="AN318" cm="1">
        <f t="array" ref="AN318">IFERROR(INDEX(hd_cap,MATCH(AQ318,hd_mark,0),0),0)</f>
        <v>0</v>
      </c>
      <c r="AP318" s="19"/>
      <c r="AQ318" s="19"/>
      <c r="AR318" s="100"/>
      <c r="AS318" s="93"/>
      <c r="AT318" s="109"/>
      <c r="AU318" t="str">
        <f>$Q$278</f>
        <v>L3</v>
      </c>
      <c r="AV318">
        <f>$E$22</f>
        <v>21.375</v>
      </c>
      <c r="AW318" cm="1">
        <f t="array" ref="AW318">IFERROR(IF(AV318=0,0,(INDEX($C$33:$C$38,MATCH($AZ$288,$B$33:$B$38,0),0)*(AV321+$BA$288)+$AW$288*COUNTIF(AV318:AV320,"&gt;0")*$C$32+$AY$288*$C$31)*$AU$288),0)</f>
        <v>0</v>
      </c>
      <c r="AX318">
        <f>IF(AV318=0,0,-(COUNTIF(AV318:AV320,"&gt;0")*$AW$288*$C$32+$AY$288*$C$31)*$H$27*$AU$288)</f>
        <v>0</v>
      </c>
      <c r="AY318">
        <f>IF(AV318=0,0,$AY$288*$H$26*$AU$288)</f>
        <v>0</v>
      </c>
      <c r="AZ318">
        <f>(0.6*AW318+0.7*AX318)*$AU$288/2</f>
        <v>0</v>
      </c>
      <c r="BA318">
        <f>AW318*$AU$288/2</f>
        <v>0</v>
      </c>
      <c r="BC318">
        <f>IF(AV318=0,0,$BG$288*$AP$278)</f>
        <v>0</v>
      </c>
      <c r="BD318">
        <f>IFERROR(BC318/$AU$288,0)</f>
        <v>0</v>
      </c>
      <c r="BE318">
        <f>BC318*($F$22+IF($F$22=0,0,($C$14+$C$15+IF($C$13="single",1.5,3)+3)/12))</f>
        <v>0</v>
      </c>
      <c r="BF318">
        <f>BE318-AZ318</f>
        <v>0</v>
      </c>
      <c r="BG318" cm="1">
        <f t="array" ref="BG318">IFERROR(IF(BF318&lt;0,0,BF318/($AU$288-INDEX(hd_off,MATCH(BT318,hd_mark,0),0)/12)),0)</f>
        <v>0</v>
      </c>
      <c r="BH318">
        <f>IF(AV318=0,0,$BG$288*$AM$278)</f>
        <v>0</v>
      </c>
      <c r="BI318">
        <f>IFERROR(BH318/$AU$288,0)</f>
        <v>0</v>
      </c>
      <c r="BJ318">
        <f>BH318*($F$22+IF($F$22=0,0,($C$14+$C$15+IF($C$13="single",1.5,3)+3)/12))</f>
        <v>0</v>
      </c>
      <c r="BK318">
        <f>BJ318-BA318</f>
        <v>0</v>
      </c>
      <c r="BL318" cm="1">
        <f t="array" ref="BL318">IFERROR(IF(BK318&lt;0,0,BK318/($AU$288-INDEX(hd_off,MATCH(BT318,hd_mark,0),0)/12)),0)</f>
        <v>0</v>
      </c>
      <c r="BM318">
        <f>MAX($F$22,$BC$288)/$Q$308</f>
        <v>0.30172413793103448</v>
      </c>
      <c r="BN318">
        <f t="shared" ref="BN318:BN321" si="209">IF(BM318=0,0,IF(BM318&gt;2,1.25-0.125*BM318,1))</f>
        <v>1</v>
      </c>
      <c r="BO318" cm="1">
        <f t="array" ref="BO318">IFERROR(INDEX(sheath_ecap_asd,MATCH(BS318,sheath_mark,0),0)*BN318,0)</f>
        <v>0</v>
      </c>
      <c r="BP318" cm="1">
        <f t="array" ref="BP318">IFERROR(INDEX(sheath_wcap_asd,MATCH(BS318,sheath_mark,0),0)*BN318,0)</f>
        <v>0</v>
      </c>
      <c r="BQ318" cm="1">
        <f t="array" ref="BQ318">IFERROR(INDEX(hd_cap,MATCH(BT318,hd_mark,0),0),0)</f>
        <v>0</v>
      </c>
      <c r="BS318" s="19"/>
      <c r="BT318" s="19"/>
      <c r="BU318" s="100"/>
    </row>
    <row r="319" x14ac:dyDescent="0.25">
      <c r="B319" t="s">
        <v>285</v>
      </c>
      <c r="C319" s="19"/>
      <c r="D319" s="19"/>
      <c r="E319">
        <f t="shared" si="201"/>
        <v>0</v>
      </c>
      <c r="H319">
        <v>22</v>
      </c>
      <c r="I319" s="19"/>
      <c r="J319" s="19"/>
      <c r="K319">
        <f t="shared" si="202"/>
        <v>0</v>
      </c>
      <c r="P319" s="93"/>
      <c r="Q319" s="109" t="s">
        <v>491</v>
      </c>
      <c r="R319" t="str">
        <f>$Q$279</f>
        <v>L4</v>
      </c>
      <c r="S319">
        <f>$E$23</f>
        <v>0</v>
      </c>
      <c r="T319" cm="1">
        <f t="array" ref="T319">IFERROR(IF(S319=0,0,(INDEX($C$33:$C$38,MATCH($W$288,$B$33:$B$38,0),0)*(S321+$X$288)+$T$288*COUNTIF(S319:S320,"&gt;0")*$C$32+$V$288*$C$31)*$R$288),0)</f>
        <v>0</v>
      </c>
      <c r="U319">
        <f>IF(S319=0,0,-(COUNTIF(S319:S320,"&gt;0")*$T$288*$C$32+$V$288*$C$31)*$H$27*$R$288)</f>
        <v>0</v>
      </c>
      <c r="V319">
        <f>IF(S319=0,0,$V$288*$H$26*$R$288)</f>
        <v>0</v>
      </c>
      <c r="W319">
        <f>(0.6*T319+0.7*U319)*$R$288/2</f>
        <v>0</v>
      </c>
      <c r="X319">
        <f>T319*$R$288/2</f>
        <v>0</v>
      </c>
      <c r="Z319">
        <f>IF(S319=0,0,$AD$288*$AP$279)</f>
        <v>0</v>
      </c>
      <c r="AA319">
        <f>IFERROR(Z319/$R$288,0)</f>
        <v>0</v>
      </c>
      <c r="AB319">
        <f>Z319*($F$23+IF($F$23=0,0,($C$14+$C$15+IF($C$13="single",1.5,3)+3)/12))</f>
        <v>0</v>
      </c>
      <c r="AC319">
        <f>AB319-W319</f>
        <v>0</v>
      </c>
      <c r="AD319" cm="1">
        <f t="array" ref="AD319">IFERROR(IF(AC319&lt;0,0,AC319/($R$288-INDEX(hd_off,MATCH(AQ319,hd_mark,0),0)/12)),0)</f>
        <v>0</v>
      </c>
      <c r="AE319">
        <f>IF(S319=0,0,$AD$288*$AM$279)</f>
        <v>0</v>
      </c>
      <c r="AF319">
        <f>IFERROR(AE319/$R$288,0)</f>
        <v>0</v>
      </c>
      <c r="AG319">
        <f>AE319*($F$23+IF($F$23=0,0,($C$14+$C$15+IF($C$13="single",1.5,3)+3)/12))</f>
        <v>0</v>
      </c>
      <c r="AH319">
        <f>AG319-X319</f>
        <v>0</v>
      </c>
      <c r="AI319" cm="1">
        <f t="array" ref="AI319">IFERROR(IF(AH319&lt;0,0,AH319/($R$288-INDEX(hd_off,MATCH(AQ319,hd_mark,0),0)/12)),0)</f>
        <v>0</v>
      </c>
      <c r="AJ319">
        <f>MAX($F$23,$AA$288)/$Q$308</f>
        <v>0</v>
      </c>
      <c r="AK319">
        <f t="shared" si="208"/>
        <v>0</v>
      </c>
      <c r="AL319" cm="1">
        <f t="array" ref="AL319">IFERROR(INDEX(sheath_ecap_asd,MATCH(AP319,sheath_mark,0),0)*AK319,0)</f>
        <v>0</v>
      </c>
      <c r="AM319" cm="1">
        <f t="array" ref="AM319">IFERROR(INDEX(sheath_wcap_asd,MATCH(AP319,sheath_mark,0),0)*AK319,0)</f>
        <v>0</v>
      </c>
      <c r="AN319" cm="1">
        <f t="array" ref="AN319">IFERROR(INDEX(hd_cap,MATCH(AQ319,hd_mark,0),0),0)</f>
        <v>0</v>
      </c>
      <c r="AP319" s="19"/>
      <c r="AQ319" s="19"/>
      <c r="AR319" s="100"/>
      <c r="AS319" s="93"/>
      <c r="AT319" s="109" t="s">
        <v>491</v>
      </c>
      <c r="AU319" t="str">
        <f>$Q$279</f>
        <v>L4</v>
      </c>
      <c r="AV319">
        <f>$E$23</f>
        <v>0</v>
      </c>
      <c r="AW319" cm="1">
        <f t="array" ref="AW319">IFERROR(IF(AV319=0,0,(INDEX($C$33:$C$38,MATCH($AZ$288,$B$33:$B$38,0),0)*(AV321+$BA$288)+$AW$288*COUNTIF(AV319:AV320,"&gt;0")*$C$32+$AY$288*$C$31)*$AU$288),0)</f>
        <v>0</v>
      </c>
      <c r="AX319">
        <f>IF(AV319=0,0,-(COUNTIF(AV319:AV320,"&gt;0")*$AW$288*$C$32+$AY$288*$C$31)*$H$27*$AU$288)</f>
        <v>0</v>
      </c>
      <c r="AY319">
        <f>IF(AV319=0,0,$AY$288*$H$26*$AU$288)</f>
        <v>0</v>
      </c>
      <c r="AZ319">
        <f>(0.6*AW319+0.7*AX319)*$AU$288/2</f>
        <v>0</v>
      </c>
      <c r="BA319">
        <f>AW319*$AU$288/2</f>
        <v>0</v>
      </c>
      <c r="BC319">
        <f>IF(AV319=0,0,$BG$288*$AP$279)</f>
        <v>0</v>
      </c>
      <c r="BD319">
        <f>IFERROR(BC319/$AU$288,0)</f>
        <v>0</v>
      </c>
      <c r="BE319">
        <f>BC319*($F$23+IF($F$23=0,0,($C$14+$C$15+IF($C$13="single",1.5,3)+3)/12))</f>
        <v>0</v>
      </c>
      <c r="BF319">
        <f>BE319-AZ319</f>
        <v>0</v>
      </c>
      <c r="BG319" cm="1">
        <f t="array" ref="BG319">IFERROR(IF(BF319&lt;0,0,BF319/($AU$288-INDEX(hd_off,MATCH(BT319,hd_mark,0),0)/12)),0)</f>
        <v>0</v>
      </c>
      <c r="BH319">
        <f>IF(AV319=0,0,$BG$288*$AM$279)</f>
        <v>0</v>
      </c>
      <c r="BI319">
        <f>IFERROR(BH319/$AU$288,0)</f>
        <v>0</v>
      </c>
      <c r="BJ319">
        <f>BH319*($F$23+IF($F$23=0,0,($C$14+$C$15+IF($C$13="single",1.5,3)+3)/12))</f>
        <v>0</v>
      </c>
      <c r="BK319">
        <f>BJ319-BA319</f>
        <v>0</v>
      </c>
      <c r="BL319" cm="1">
        <f t="array" ref="BL319">IFERROR(IF(BK319&lt;0,0,BK319/($AU$288-INDEX(hd_off,MATCH(BT319,hd_mark,0),0)/12)),0)</f>
        <v>0</v>
      </c>
      <c r="BM319">
        <f>MAX($F$23,$BD$288)/$Q$308</f>
        <v>0</v>
      </c>
      <c r="BN319">
        <f t="shared" si="209"/>
        <v>0</v>
      </c>
      <c r="BO319" cm="1">
        <f t="array" ref="BO319">IFERROR(INDEX(sheath_ecap_asd,MATCH(BS319,sheath_mark,0),0)*BN319,0)</f>
        <v>0</v>
      </c>
      <c r="BP319" cm="1">
        <f t="array" ref="BP319">IFERROR(INDEX(sheath_wcap_asd,MATCH(BS319,sheath_mark,0),0)*BN319,0)</f>
        <v>0</v>
      </c>
      <c r="BQ319" cm="1">
        <f t="array" ref="BQ319">IFERROR(INDEX(hd_cap,MATCH(BT319,hd_mark,0),0),0)</f>
        <v>0</v>
      </c>
      <c r="BS319" s="19"/>
      <c r="BT319" s="19"/>
      <c r="BU319" s="100"/>
    </row>
    <row r="320" x14ac:dyDescent="0.25">
      <c r="B320" t="s">
        <v>470</v>
      </c>
      <c r="C320" s="19"/>
      <c r="D320" s="19"/>
      <c r="E320">
        <f t="shared" si="201"/>
        <v>0</v>
      </c>
      <c r="H320">
        <v>23</v>
      </c>
      <c r="I320" s="19"/>
      <c r="J320" s="19"/>
      <c r="K320">
        <f t="shared" si="202"/>
        <v>0</v>
      </c>
      <c r="P320" s="93"/>
      <c r="Q320" s="111">
        <f>$R$288</f>
        <v>0</v>
      </c>
      <c r="R320" t="str">
        <f>$Q$280</f>
        <v>L5</v>
      </c>
      <c r="S320">
        <f>$E$24</f>
        <v>0</v>
      </c>
      <c r="T320" cm="1">
        <f t="array" ref="T320">IFERROR(IF(S320=0,0,(INDEX($C$33:$C$38,MATCH($W$288,$B$33:$B$38,0),0)*(S321+$X$288)+$T$288*COUNTIF(S320:S320,"&gt;0")*$C$32+$V$288*$C$31)*$R$288),0)</f>
        <v>0</v>
      </c>
      <c r="U320">
        <f>IF(S320=0,0,-(COUNTIF(S320:S320,"&gt;0")*$T$288*$C$32+$V$288*$C$31)*$H$27*$R$288)</f>
        <v>0</v>
      </c>
      <c r="V320">
        <f>IF(S320=0,0,$V$288*$H$26*$R$288)</f>
        <v>0</v>
      </c>
      <c r="W320">
        <f>(0.6*T320+0.7*U320)*$R$288/2</f>
        <v>0</v>
      </c>
      <c r="X320">
        <f>T320*$R$288/2</f>
        <v>0</v>
      </c>
      <c r="Z320">
        <f>IF(S320=0,0,$AD$288*$AP$280)</f>
        <v>0</v>
      </c>
      <c r="AA320">
        <f>IFERROR(Z320/$R$288,0)</f>
        <v>0</v>
      </c>
      <c r="AB320">
        <f>Z320*($F$24+IF($F$24=0,0,($C$14+$C$15+IF($C$13="single",1.5,3)+3)/12))</f>
        <v>0</v>
      </c>
      <c r="AC320">
        <f>AB320-W320</f>
        <v>0</v>
      </c>
      <c r="AD320" cm="1">
        <f t="array" ref="AD320">IFERROR(IF(AC320&lt;0,0,AC320/($R$288-INDEX(hd_off,MATCH(AQ320,hd_mark,0),0)/12)),0)</f>
        <v>0</v>
      </c>
      <c r="AE320">
        <f>IF(S320=0,0,$AD$288*$AM$280)</f>
        <v>0</v>
      </c>
      <c r="AF320">
        <f>IFERROR(AE320/$R$288,0)</f>
        <v>0</v>
      </c>
      <c r="AG320">
        <f>AE320*($F$24+IF($F$24=0,0,($C$14+$C$15+IF($C$13="single",1.5,3)+3)/12))</f>
        <v>0</v>
      </c>
      <c r="AH320">
        <f>AG320-X320</f>
        <v>0</v>
      </c>
      <c r="AI320" cm="1">
        <f t="array" ref="AI320">IFERROR(IF(AH320&lt;0,0,AH320/($R$288-INDEX(hd_off,MATCH(AQ320,hd_mark,0),0)/12)),0)</f>
        <v>0</v>
      </c>
      <c r="AJ320">
        <f>MAX($F$24,$AB$288)/$Q$308</f>
        <v>0</v>
      </c>
      <c r="AK320">
        <f t="shared" si="208"/>
        <v>0</v>
      </c>
      <c r="AL320" cm="1">
        <f t="array" ref="AL320">IFERROR(INDEX(sheath_ecap_asd,MATCH(AP320,sheath_mark,0),0)*AK320,0)</f>
        <v>0</v>
      </c>
      <c r="AM320" cm="1">
        <f t="array" ref="AM320">IFERROR(INDEX(sheath_wcap_asd,MATCH(AP320,sheath_mark,0),0)*AK320,0)</f>
        <v>0</v>
      </c>
      <c r="AN320" cm="1">
        <f t="array" ref="AN320">IFERROR(INDEX(hd_cap,MATCH(AQ320,hd_mark,0),0),0)</f>
        <v>0</v>
      </c>
      <c r="AP320" s="19"/>
      <c r="AQ320" s="19"/>
      <c r="AR320" s="100"/>
      <c r="AS320" s="93"/>
      <c r="AT320" s="111">
        <f>$R$288</f>
        <v>0</v>
      </c>
      <c r="AU320" t="str">
        <f>$Q$280</f>
        <v>L5</v>
      </c>
      <c r="AV320">
        <f>$E$24</f>
        <v>0</v>
      </c>
      <c r="AW320" cm="1">
        <f t="array" ref="AW320">IFERROR(IF(AV320=0,0,(INDEX($C$33:$C$38,MATCH($AZ$288,$B$33:$B$38,0),0)*(AV321+$BA$288)+$AW$288*COUNTIF(AV320:AV320,"&gt;0")*$C$32+$AY$288*$C$31)*$AU$288),0)</f>
        <v>0</v>
      </c>
      <c r="AX320">
        <f>IF(AV320=0,0,-(COUNTIF(AV320:AV320,"&gt;0")*$AW$288*$C$32+$AY$288*$C$31)*$H$27*$AU$288)</f>
        <v>0</v>
      </c>
      <c r="AY320">
        <f>IF(AV320=0,0,$AY$288*$H$26*$AU$288)</f>
        <v>0</v>
      </c>
      <c r="AZ320">
        <f>(0.6*AW320+0.7*AX320)*$AU$288/2</f>
        <v>0</v>
      </c>
      <c r="BA320">
        <f>AW320*$AU$288/2</f>
        <v>0</v>
      </c>
      <c r="BC320">
        <f>IF(AV320=0,0,$BG$288*$AP$280)</f>
        <v>0</v>
      </c>
      <c r="BD320">
        <f>IFERROR(BC320/$AU$288,0)</f>
        <v>0</v>
      </c>
      <c r="BE320">
        <f>BC320*($F$24+IF($F$24=0,0,($C$14+$C$15+IF($C$13="single",1.5,3)+3)/12))</f>
        <v>0</v>
      </c>
      <c r="BF320">
        <f>BE320-AZ320</f>
        <v>0</v>
      </c>
      <c r="BG320" cm="1">
        <f t="array" ref="BG320">IFERROR(IF(BF320&lt;0,0,BF320/($AU$288-INDEX(hd_off,MATCH(BT320,hd_mark,0),0)/12)),0)</f>
        <v>0</v>
      </c>
      <c r="BH320">
        <f>IF(AV320=0,0,$BG$288*$AM$280)</f>
        <v>0</v>
      </c>
      <c r="BI320">
        <f>IFERROR(BH320/$AU$288,0)</f>
        <v>0</v>
      </c>
      <c r="BJ320">
        <f>BH320*($F$24+IF($F$24=0,0,($C$14+$C$15+IF($C$13="single",1.5,3)+3)/12))</f>
        <v>0</v>
      </c>
      <c r="BK320">
        <f>BJ320-BA320</f>
        <v>0</v>
      </c>
      <c r="BL320" cm="1">
        <f t="array" ref="BL320">IFERROR(IF(BK320&lt;0,0,BK320/($AU$288-INDEX(hd_off,MATCH(BT320,hd_mark,0),0)/12)),0)</f>
        <v>0</v>
      </c>
      <c r="BM320">
        <f>MAX($F$24,$BE$288)/$Q$308</f>
        <v>0</v>
      </c>
      <c r="BN320">
        <f t="shared" si="209"/>
        <v>0</v>
      </c>
      <c r="BO320" cm="1">
        <f t="array" ref="BO320">IFERROR(INDEX(sheath_ecap_asd,MATCH(BS320,sheath_mark,0),0)*BN320,0)</f>
        <v>0</v>
      </c>
      <c r="BP320" cm="1">
        <f t="array" ref="BP320">IFERROR(INDEX(sheath_wcap_asd,MATCH(BS320,sheath_mark,0),0)*BN320,0)</f>
        <v>0</v>
      </c>
      <c r="BQ320" cm="1">
        <f t="array" ref="BQ320">IFERROR(INDEX(hd_cap,MATCH(BT320,hd_mark,0),0),0)</f>
        <v>0</v>
      </c>
      <c r="BS320" s="19"/>
      <c r="BT320" s="19"/>
      <c r="BU320" s="100"/>
    </row>
    <row r="321" x14ac:dyDescent="0.25">
      <c r="B321" t="s">
        <v>471</v>
      </c>
      <c r="C321" s="19"/>
      <c r="D321" s="19"/>
      <c r="E321">
        <f t="shared" si="201"/>
        <v>0</v>
      </c>
      <c r="H321">
        <v>24</v>
      </c>
      <c r="I321" s="19"/>
      <c r="J321" s="19"/>
      <c r="K321">
        <f t="shared" si="202"/>
        <v>0</v>
      </c>
      <c r="P321" s="93"/>
      <c r="Q321" s="109"/>
      <c r="R321" t="str">
        <f>$Q$281</f>
        <v>Roof</v>
      </c>
      <c r="S321">
        <f>$E$25</f>
        <v>33.171875</v>
      </c>
      <c r="T321" cm="1">
        <f t="array" ref="T321">IFERROR(IF(S321=0,0,(INDEX($C$33:$C$38,MATCH($W$288,$B$33:$B$38,0),0)*(S321+$X$288)+$V$288*$C$31)*$R$288),0)</f>
        <v>0</v>
      </c>
      <c r="U321">
        <f>IF(S321=0,0,-$V$288*$C$31*$H$27*$R$288)</f>
        <v>0</v>
      </c>
      <c r="V321">
        <f>IF(S321=0,0,$V$288*$H$26*$R$288)</f>
        <v>0</v>
      </c>
      <c r="W321">
        <f>(0.6*T321+0.7*U321)*$R$288/2</f>
        <v>0</v>
      </c>
      <c r="X321">
        <f>T321*$R$288/2</f>
        <v>0</v>
      </c>
      <c r="Z321">
        <f>IF(S321=0,0,$AD$288*$AP$281)</f>
        <v>0</v>
      </c>
      <c r="AA321">
        <f>IFERROR(Z321/$R$288,0)</f>
        <v>0</v>
      </c>
      <c r="AB321">
        <f>Z321*($F$25+($C$16+$C$17+IF($C$13="single",1.5,3)+3)/12)</f>
        <v>0</v>
      </c>
      <c r="AC321">
        <f>AB321-W321</f>
        <v>0</v>
      </c>
      <c r="AD321" cm="1">
        <f t="array" ref="AD321">IFERROR(IF(AC321&lt;0,0,AC321/($R$288-INDEX(hd_off,MATCH(AQ321,hd_mark,0),0)/12)),0)</f>
        <v>0</v>
      </c>
      <c r="AE321">
        <f>IF(S321=0,0,$AD$288*$AM$281)</f>
        <v>0</v>
      </c>
      <c r="AF321">
        <f>IFERROR(AE321/$R$288,0)</f>
        <v>0</v>
      </c>
      <c r="AG321">
        <f>AE321*($F$25+($C$16+$C$17+IF($C$13="single",1.5,3)+3)/12)</f>
        <v>0</v>
      </c>
      <c r="AH321">
        <f>AG321-X321</f>
        <v>0</v>
      </c>
      <c r="AI321" cm="1">
        <f t="array" ref="AI321">IFERROR(IF(AH321&lt;0,0,AH321/($R$288-INDEX(hd_off,MATCH(AQ321,hd_mark,0),0)/12)),0)</f>
        <v>0</v>
      </c>
      <c r="AJ321">
        <f>MAX($F$25,$AC$288)/$Q$308</f>
        <v>0.29920977011494249</v>
      </c>
      <c r="AK321">
        <f t="shared" si="208"/>
        <v>1</v>
      </c>
      <c r="AL321" cm="1">
        <f t="array" ref="AL321">IFERROR(INDEX(sheath_ecap_asd,MATCH(AP321,sheath_mark,0),0)*AK321,0)</f>
        <v>0</v>
      </c>
      <c r="AM321" cm="1">
        <f t="array" ref="AM321">IFERROR(INDEX(sheath_wcap_asd,MATCH(AP321,sheath_mark,0),0)*AK321,0)</f>
        <v>0</v>
      </c>
      <c r="AN321" cm="1">
        <f t="array" ref="AN321">IFERROR(INDEX(hd_cap,MATCH(AQ321,hd_mark,0),0),0)</f>
        <v>0</v>
      </c>
      <c r="AP321" s="19"/>
      <c r="AQ321" s="19"/>
      <c r="AR321" s="100"/>
      <c r="AS321" s="93"/>
      <c r="AT321" s="109"/>
      <c r="AU321" t="str">
        <f>$Q$281</f>
        <v>Roof</v>
      </c>
      <c r="AV321">
        <f>$E$25</f>
        <v>33.171875</v>
      </c>
      <c r="AW321" cm="1">
        <f t="array" ref="AW321">IFERROR(IF(AV321=0,0,(INDEX($C$33:$C$38,MATCH($AZ$288,$B$33:$B$38,0),0)*(AV321+$BA$288)+$AY$288*$C$31)*$AU$288),0)</f>
        <v>0</v>
      </c>
      <c r="AX321">
        <f>IF(AV321=0,0,-$AY$288*$C$31*$H$27*$AU$288)</f>
        <v>0</v>
      </c>
      <c r="AY321">
        <f>IF(AV321=0,0,$AY$288*$H$26*$AU$288)</f>
        <v>0</v>
      </c>
      <c r="AZ321">
        <f>(0.6*AW321+0.7*AX321)*$AU$288/2</f>
        <v>0</v>
      </c>
      <c r="BA321">
        <f>AW321*$AU$288/2</f>
        <v>0</v>
      </c>
      <c r="BC321">
        <f>IF(AV321=0,0,$BG$288*$AP$281)</f>
        <v>0</v>
      </c>
      <c r="BD321">
        <f>IFERROR(BC321/$AU$288,0)</f>
        <v>0</v>
      </c>
      <c r="BE321">
        <f>BC321*($F$25+($C$16+$C$17+IF($C$13="single",1.5,3)+3)/12)</f>
        <v>0</v>
      </c>
      <c r="BF321">
        <f>BE321-AZ321</f>
        <v>0</v>
      </c>
      <c r="BG321" cm="1">
        <f t="array" ref="BG321">IFERROR(IF(BF321&lt;0,0,BF321/($AU$288-INDEX(hd_off,MATCH(BT321,hd_mark,0),0)/12)),0)</f>
        <v>0</v>
      </c>
      <c r="BH321">
        <f>IF(AV321=0,0,$BG$288*$AM$281)</f>
        <v>0</v>
      </c>
      <c r="BI321">
        <f>IFERROR(BH321/$AU$288,0)</f>
        <v>0</v>
      </c>
      <c r="BJ321">
        <f>BH321*($F$25+($C$16+$C$17+IF($C$13="single",1.5,3)+3)/12)</f>
        <v>0</v>
      </c>
      <c r="BK321">
        <f>BJ321-BA321</f>
        <v>0</v>
      </c>
      <c r="BL321" cm="1">
        <f t="array" ref="BL321">IFERROR(IF(BK321&lt;0,0,BK321/($AU$288-INDEX(hd_off,MATCH(BT321,hd_mark,0),0)/12)),0)</f>
        <v>0</v>
      </c>
      <c r="BM321">
        <f>MAX($F$25,$BF$288)/$Q$308</f>
        <v>0.29920977011494249</v>
      </c>
      <c r="BN321">
        <f t="shared" si="209"/>
        <v>1</v>
      </c>
      <c r="BO321" cm="1">
        <f t="array" ref="BO321">IFERROR(INDEX(sheath_ecap_asd,MATCH(BS321,sheath_mark,0),0)*BN321,0)</f>
        <v>0</v>
      </c>
      <c r="BP321" cm="1">
        <f t="array" ref="BP321">IFERROR(INDEX(sheath_wcap_asd,MATCH(BS321,sheath_mark,0),0)*BN321,0)</f>
        <v>0</v>
      </c>
      <c r="BQ321" cm="1">
        <f t="array" ref="BQ321">IFERROR(INDEX(hd_cap,MATCH(BT321,hd_mark,0),0),0)</f>
        <v>0</v>
      </c>
      <c r="BS321" s="19"/>
      <c r="BT321" s="19"/>
      <c r="BU321" s="100"/>
    </row>
    <row r="322" x14ac:dyDescent="0.25">
      <c r="B322" t="s">
        <v>472</v>
      </c>
      <c r="C322" s="19"/>
      <c r="D322" s="19"/>
      <c r="E322">
        <f t="shared" si="201"/>
        <v>0</v>
      </c>
      <c r="H322">
        <v>25</v>
      </c>
      <c r="I322" s="19"/>
      <c r="J322" s="19"/>
      <c r="K322">
        <f t="shared" si="202"/>
        <v>0</v>
      </c>
      <c r="P322" s="93"/>
      <c r="AR322" s="100"/>
      <c r="AS322" s="93"/>
      <c r="BU322" s="100"/>
    </row>
    <row r="323" x14ac:dyDescent="0.25">
      <c r="B323" t="s">
        <v>473</v>
      </c>
      <c r="C323" s="19"/>
      <c r="D323" s="19"/>
      <c r="E323">
        <f t="shared" si="201"/>
        <v>0</v>
      </c>
      <c r="H323">
        <v>26</v>
      </c>
      <c r="I323" s="19"/>
      <c r="J323" s="19"/>
      <c r="K323">
        <f t="shared" si="202"/>
        <v>0</v>
      </c>
      <c r="P323" s="93"/>
      <c r="Q323" s="110" t="str">
        <f>$Q$289</f>
        <v>A.04</v>
      </c>
      <c r="R323" t="str">
        <f>$Q$277</f>
        <v>L2</v>
      </c>
      <c r="S323">
        <f>$E$21</f>
        <v>10.6875</v>
      </c>
      <c r="T323" cm="1">
        <f t="array" ref="T323">IFERROR(IF(S323=0,0,(INDEX($C$33:$C$38,MATCH($W$289,$B$33:$B$38,0),0)*(S327+$X$289)+$T$289*COUNTIF(S323:S326,"&gt;0")*$C$32+$V$289*$C$31)*$R$289),0)</f>
        <v>0</v>
      </c>
      <c r="U323">
        <f>IF(S323=0,0,-(COUNTIF(S323:S326,"&gt;0")*$T$289*$C$32+$V$289*$C$31)*$H$27*$R$289)</f>
        <v>0</v>
      </c>
      <c r="V323">
        <f>IF(S323=0,0,$V$289*$H$26*$R$289)</f>
        <v>0</v>
      </c>
      <c r="W323">
        <f>(0.6*T323+0.7*U323)*$R$289/2</f>
        <v>0</v>
      </c>
      <c r="X323">
        <f>(0.6*T323+0.6*V323)*$R$289/2</f>
        <v>0</v>
      </c>
      <c r="Z323">
        <f>IF(S323=0,0,$AD$289*$AP$277)</f>
        <v>0</v>
      </c>
      <c r="AA323">
        <f>IFERROR(Z323/$R$289,0)</f>
        <v>0</v>
      </c>
      <c r="AB323">
        <f>Z323*($F$21+IF($F$21=0,0,($C$14+$C$15+IF($C$13="single",1.5,3)+3)/12))</f>
        <v>0</v>
      </c>
      <c r="AC323">
        <f>AB323-W323</f>
        <v>0</v>
      </c>
      <c r="AD323" cm="1">
        <f t="array" ref="AD323">IFERROR(IF(AC323&lt;0,0,AC323/($R$289-INDEX(hd_off,MATCH(AQ323,hd_mark,0),0)/12)),0)</f>
        <v>0</v>
      </c>
      <c r="AE323">
        <f>IF(S323=0,0,$AD$289*$AM$277)</f>
        <v>0</v>
      </c>
      <c r="AF323">
        <f>IFERROR(AE323/$R$289,0)</f>
        <v>0</v>
      </c>
      <c r="AG323">
        <f>AE323*($F$21+IF($F$21=0,0,($C$14+$C$15+IF($C$13="single",1.5,3)+3)/12))</f>
        <v>0</v>
      </c>
      <c r="AH323">
        <f>AG323-X323</f>
        <v>0</v>
      </c>
      <c r="AI323" cm="1">
        <f t="array" ref="AI323">IFERROR(IF(AH323&lt;0,0,AH323/($R$289-INDEX(hd_off,MATCH(AQ323,hd_mark,0),0)/12)),0)</f>
        <v>0</v>
      </c>
      <c r="AJ323">
        <f>MAX($F$21,$Y$289)/$Q$308</f>
        <v>0.30172413793103448</v>
      </c>
      <c r="AK323">
        <f>IF(AJ323=0,0,IF(AJ323&gt;2,1.25-0.125*AJ323,1))</f>
        <v>1</v>
      </c>
      <c r="AL323" cm="1">
        <f t="array" ref="AL323">IFERROR(INDEX(sheath_ecap_asd,MATCH(AP323,sheath_mark,0),0)*AK323,0)</f>
        <v>0</v>
      </c>
      <c r="AM323" cm="1">
        <f t="array" ref="AM323">IFERROR(INDEX(sheath_wcap_asd,MATCH(AP323,sheath_mark,0),0)*AK323,0)</f>
        <v>0</v>
      </c>
      <c r="AN323" cm="1">
        <f t="array" ref="AN323">IFERROR(INDEX(hd_cap,MATCH(AQ323,hd_mark,0),0),0)</f>
        <v>0</v>
      </c>
      <c r="AP323" s="19"/>
      <c r="AQ323" s="19"/>
      <c r="AR323" s="100"/>
      <c r="AS323" s="93"/>
      <c r="AT323" s="110" t="str">
        <f>$AT$289</f>
        <v>1.04</v>
      </c>
      <c r="AU323" t="str">
        <f>$Q$277</f>
        <v>L2</v>
      </c>
      <c r="AV323">
        <f>$E$21</f>
        <v>10.6875</v>
      </c>
      <c r="AW323" cm="1">
        <f t="array" ref="AW323">IFERROR(IF(AV323=0,0,(INDEX($C$33:$C$38,MATCH($AZ$289,$B$33:$B$38,0),0)*(AV327+$BA$289)+$AW$289*COUNTIF(AV323:AV326,"&gt;0")*$C$32+$AY$289*$C$31)*$AU$289),0)</f>
        <v>0</v>
      </c>
      <c r="AX323">
        <f>IF(AV323=0,0,-(COUNTIF(AV323:AV326,"&gt;0")*$AW$289*$C$32+$AY$289*$C$31)*$H$27*$AU$289)</f>
        <v>0</v>
      </c>
      <c r="AY323">
        <f>IF(AV323=0,0,$AY$289*$H$26*$AU$289)</f>
        <v>0</v>
      </c>
      <c r="AZ323">
        <f>(0.6*AW323+0.7*AX323)*$AU$289/2</f>
        <v>0</v>
      </c>
      <c r="BA323">
        <f>(0.6*AW323+0.6*AY323)*$AU$289/2</f>
        <v>0</v>
      </c>
      <c r="BC323">
        <f>IF(AV323=0,0,$BG$289*$AP$277)</f>
        <v>0</v>
      </c>
      <c r="BD323">
        <f>IFERROR(BC323/$AU$289,0)</f>
        <v>0</v>
      </c>
      <c r="BE323">
        <f>BC323*($F$21+IF($F$21=0,0,($C$14+$C$15+IF($C$13="single",1.5,3)+3)/12))</f>
        <v>0</v>
      </c>
      <c r="BF323">
        <f>BE323-AZ323</f>
        <v>0</v>
      </c>
      <c r="BG323" cm="1">
        <f t="array" ref="BG323">IFERROR(IF(BF323&lt;0,0,BF323/($AU$289-INDEX(hd_off,MATCH(BT323,hd_mark,0),0)/12)),0)</f>
        <v>0</v>
      </c>
      <c r="BH323">
        <f>IF(AV323=0,0,$BG$289*$AM$277)</f>
        <v>0</v>
      </c>
      <c r="BI323">
        <f>IFERROR(BH323/$AU$289,0)</f>
        <v>0</v>
      </c>
      <c r="BJ323">
        <f>BH323*($F$21+IF($F$21=0,0,($C$14+$C$15+IF($C$13="single",1.5,3)+3)/12))</f>
        <v>0</v>
      </c>
      <c r="BK323">
        <f>BJ323-BA323</f>
        <v>0</v>
      </c>
      <c r="BL323" cm="1">
        <f t="array" ref="BL323">IFERROR(IF(BK323&lt;0,0,BK323/($AU$289-INDEX(hd_off,MATCH(BT323,hd_mark,0),0)/12)),0)</f>
        <v>0</v>
      </c>
      <c r="BM323">
        <f>MAX($F$21,$BB$289)/$Q$308</f>
        <v>0.30172413793103448</v>
      </c>
      <c r="BN323">
        <f>IF(BM323=0,0,IF(BM323&gt;2,1.25-0.125*BM323,1))</f>
        <v>1</v>
      </c>
      <c r="BO323" cm="1">
        <f t="array" ref="BO323">IFERROR(INDEX(sheath_ecap_asd,MATCH(BS323,sheath_mark,0),0)*BN323,0)</f>
        <v>0</v>
      </c>
      <c r="BP323" cm="1">
        <f t="array" ref="BP323">IFERROR(INDEX(sheath_wcap_asd,MATCH(BS323,sheath_mark,0),0)*BN323,0)</f>
        <v>0</v>
      </c>
      <c r="BQ323" cm="1">
        <f t="array" ref="BQ323">IFERROR(INDEX(hd_cap,MATCH(BT323,hd_mark,0),0),0)</f>
        <v>0</v>
      </c>
      <c r="BS323" s="19"/>
      <c r="BT323" s="19"/>
      <c r="BU323" s="100"/>
    </row>
    <row r="324" x14ac:dyDescent="0.25">
      <c r="P324" s="93"/>
      <c r="Q324" s="109"/>
      <c r="R324" t="str">
        <f>$Q$278</f>
        <v>L3</v>
      </c>
      <c r="S324">
        <f>$E$22</f>
        <v>21.375</v>
      </c>
      <c r="T324" cm="1">
        <f t="array" ref="T324">IFERROR(IF(S324=0,0,(INDEX($C$33:$C$38,MATCH($W$289,$B$33:$B$38,0),0)*(S327+$X$289)+$T$289*COUNTIF(S324:S326,"&gt;0")*$C$32+$V$289*$C$31)*$R$289),0)</f>
        <v>0</v>
      </c>
      <c r="U324">
        <f>IF(S324=0,0,-(COUNTIF(S324:S326,"&gt;0")*$T$289*$C$32+$V$289*$C$31)*$H$27*$R$289)</f>
        <v>0</v>
      </c>
      <c r="V324">
        <f>IF(S324=0,0,$V$289*$H$26*$R$289)</f>
        <v>0</v>
      </c>
      <c r="W324">
        <f>(0.6*T324+0.7*U324)*$R$289/2</f>
        <v>0</v>
      </c>
      <c r="X324">
        <f>T324*$R$289/2</f>
        <v>0</v>
      </c>
      <c r="Z324">
        <f>IF(S324=0,0,$AD$289*$AP$278)</f>
        <v>0</v>
      </c>
      <c r="AA324">
        <f>IFERROR(Z324/$R$289,0)</f>
        <v>0</v>
      </c>
      <c r="AB324">
        <f>Z324*($F$22+IF($F$22=0,0,($C$14+$C$15+IF($C$13="single",1.5,3)+3)/12))</f>
        <v>0</v>
      </c>
      <c r="AC324">
        <f>AB324-W324</f>
        <v>0</v>
      </c>
      <c r="AD324" cm="1">
        <f t="array" ref="AD324">IFERROR(IF(AC324&lt;0,0,AC324/($R$289-INDEX(hd_off,MATCH(AQ324,hd_mark,0),0)/12)),0)</f>
        <v>0</v>
      </c>
      <c r="AE324">
        <f>IF(S324=0,0,$AD$289*$AM$278)</f>
        <v>0</v>
      </c>
      <c r="AF324">
        <f>IFERROR(AE324/$R$289,0)</f>
        <v>0</v>
      </c>
      <c r="AG324">
        <f>AE324*($F$22+IF($F$22=0,0,($C$14+$C$15+IF($C$13="single",1.5,3)+3)/12))</f>
        <v>0</v>
      </c>
      <c r="AH324">
        <f>AG324-X324</f>
        <v>0</v>
      </c>
      <c r="AI324" cm="1">
        <f t="array" ref="AI324">IFERROR(IF(AH324&lt;0,0,AH324/($R$289-INDEX(hd_off,MATCH(AQ324,hd_mark,0),0)/12)),0)</f>
        <v>0</v>
      </c>
      <c r="AJ324">
        <f>MAX($F$22,$Z$289)/$Q$308</f>
        <v>0.30172413793103448</v>
      </c>
      <c r="AK324">
        <f t="shared" ref="AK324:AK327" si="210">IF(AJ324=0,0,IF(AJ324&gt;2,1.25-0.125*AJ324,1))</f>
        <v>1</v>
      </c>
      <c r="AL324" cm="1">
        <f t="array" ref="AL324">IFERROR(INDEX(sheath_ecap_asd,MATCH(AP324,sheath_mark,0),0)*AK324,0)</f>
        <v>0</v>
      </c>
      <c r="AM324" cm="1">
        <f t="array" ref="AM324">IFERROR(INDEX(sheath_wcap_asd,MATCH(AP324,sheath_mark,0),0)*AK324,0)</f>
        <v>0</v>
      </c>
      <c r="AN324" cm="1">
        <f t="array" ref="AN324">IFERROR(INDEX(hd_cap,MATCH(AQ324,hd_mark,0),0),0)</f>
        <v>0</v>
      </c>
      <c r="AP324" s="19"/>
      <c r="AQ324" s="19"/>
      <c r="AR324" s="100"/>
      <c r="AS324" s="93"/>
      <c r="AT324" s="109"/>
      <c r="AU324" t="str">
        <f>$Q$278</f>
        <v>L3</v>
      </c>
      <c r="AV324">
        <f>$E$22</f>
        <v>21.375</v>
      </c>
      <c r="AW324" cm="1">
        <f t="array" ref="AW324">IFERROR(IF(AV324=0,0,(INDEX($C$33:$C$38,MATCH($AZ$289,$B$33:$B$38,0),0)*(AV327+$BA$289)+$AW$289*COUNTIF(AV324:AV326,"&gt;0")*$C$32+$AY$289*$C$31)*$AU$289),0)</f>
        <v>0</v>
      </c>
      <c r="AX324">
        <f>IF(AV324=0,0,-(COUNTIF(AV324:AV326,"&gt;0")*$AW$289*$C$32+$AY$289*$C$31)*$H$27*$AU$289)</f>
        <v>0</v>
      </c>
      <c r="AY324">
        <f>IF(AV324=0,0,$AY$289*$H$26*$AU$289)</f>
        <v>0</v>
      </c>
      <c r="AZ324">
        <f>(0.6*AW324+0.7*AX324)*$AU$289/2</f>
        <v>0</v>
      </c>
      <c r="BA324">
        <f>AW324*$AU$289/2</f>
        <v>0</v>
      </c>
      <c r="BC324">
        <f>IF(AV324=0,0,$BG$289*$AP$278)</f>
        <v>0</v>
      </c>
      <c r="BD324">
        <f>IFERROR(BC324/$AU$289,0)</f>
        <v>0</v>
      </c>
      <c r="BE324">
        <f>BC324*($F$22+IF($F$22=0,0,($C$14+$C$15+IF($C$13="single",1.5,3)+3)/12))</f>
        <v>0</v>
      </c>
      <c r="BF324">
        <f>BE324-AZ324</f>
        <v>0</v>
      </c>
      <c r="BG324" cm="1">
        <f t="array" ref="BG324">IFERROR(IF(BF324&lt;0,0,BF324/($AU$289-INDEX(hd_off,MATCH(BT324,hd_mark,0),0)/12)),0)</f>
        <v>0</v>
      </c>
      <c r="BH324">
        <f>IF(AV324=0,0,$BG$289*$AM$278)</f>
        <v>0</v>
      </c>
      <c r="BI324">
        <f>IFERROR(BH324/$AU$289,0)</f>
        <v>0</v>
      </c>
      <c r="BJ324">
        <f>BH324*($F$22+IF($F$22=0,0,($C$14+$C$15+IF($C$13="single",1.5,3)+3)/12))</f>
        <v>0</v>
      </c>
      <c r="BK324">
        <f>BJ324-BA324</f>
        <v>0</v>
      </c>
      <c r="BL324" cm="1">
        <f t="array" ref="BL324">IFERROR(IF(BK324&lt;0,0,BK324/($AU$289-INDEX(hd_off,MATCH(BT324,hd_mark,0),0)/12)),0)</f>
        <v>0</v>
      </c>
      <c r="BM324">
        <f>MAX($F$22,$BC$289)/$Q$308</f>
        <v>0.30172413793103448</v>
      </c>
      <c r="BN324">
        <f t="shared" ref="BN324:BN327" si="211">IF(BM324=0,0,IF(BM324&gt;2,1.25-0.125*BM324,1))</f>
        <v>1</v>
      </c>
      <c r="BO324" cm="1">
        <f t="array" ref="BO324">IFERROR(INDEX(sheath_ecap_asd,MATCH(BS324,sheath_mark,0),0)*BN324,0)</f>
        <v>0</v>
      </c>
      <c r="BP324" cm="1">
        <f t="array" ref="BP324">IFERROR(INDEX(sheath_wcap_asd,MATCH(BS324,sheath_mark,0),0)*BN324,0)</f>
        <v>0</v>
      </c>
      <c r="BQ324" cm="1">
        <f t="array" ref="BQ324">IFERROR(INDEX(hd_cap,MATCH(BT324,hd_mark,0),0),0)</f>
        <v>0</v>
      </c>
      <c r="BS324" s="19"/>
      <c r="BT324" s="19"/>
      <c r="BU324" s="100"/>
    </row>
    <row r="325" x14ac:dyDescent="0.25">
      <c r="B325" s="1"/>
      <c r="P325" s="93"/>
      <c r="Q325" s="109" t="s">
        <v>491</v>
      </c>
      <c r="R325" t="str">
        <f>$Q$279</f>
        <v>L4</v>
      </c>
      <c r="S325">
        <f>$E$23</f>
        <v>0</v>
      </c>
      <c r="T325" cm="1">
        <f t="array" ref="T325">IFERROR(IF(S325=0,0,(INDEX($C$33:$C$38,MATCH($W$289,$B$33:$B$38,0),0)*(S327+$X$289)+$T$289*COUNTIF(S325:S326,"&gt;0")*$C$32+$V$289*$C$31)*$R$289),0)</f>
        <v>0</v>
      </c>
      <c r="U325">
        <f>IF(S325=0,0,-(COUNTIF(S325:S326,"&gt;0")*$T$289*$C$32+$V$289*$C$31)*$H$27*$R$289)</f>
        <v>0</v>
      </c>
      <c r="V325">
        <f>IF(S325=0,0,$V$289*$H$26*$R$289)</f>
        <v>0</v>
      </c>
      <c r="W325">
        <f>(0.6*T325+0.7*U325)*$R$289/2</f>
        <v>0</v>
      </c>
      <c r="X325">
        <f>T325*$R$289/2</f>
        <v>0</v>
      </c>
      <c r="Z325">
        <f>IF(S325=0,0,$AD$289*$AP$279)</f>
        <v>0</v>
      </c>
      <c r="AA325">
        <f>IFERROR(Z325/$R$289,0)</f>
        <v>0</v>
      </c>
      <c r="AB325">
        <f>Z325*($F$23+IF($F$23=0,0,($C$14+$C$15+IF($C$13="single",1.5,3)+3)/12))</f>
        <v>0</v>
      </c>
      <c r="AC325">
        <f>AB325-W325</f>
        <v>0</v>
      </c>
      <c r="AD325" cm="1">
        <f t="array" ref="AD325">IFERROR(IF(AC325&lt;0,0,AC325/($R$289-INDEX(hd_off,MATCH(AQ325,hd_mark,0),0)/12)),0)</f>
        <v>0</v>
      </c>
      <c r="AE325">
        <f>IF(S325=0,0,$AD$289*$AM$279)</f>
        <v>0</v>
      </c>
      <c r="AF325">
        <f>IFERROR(AE325/$R$289,0)</f>
        <v>0</v>
      </c>
      <c r="AG325">
        <f>AE325*($F$23+IF($F$23=0,0,($C$14+$C$15+IF($C$13="single",1.5,3)+3)/12))</f>
        <v>0</v>
      </c>
      <c r="AH325">
        <f>AG325-X325</f>
        <v>0</v>
      </c>
      <c r="AI325" cm="1">
        <f t="array" ref="AI325">IFERROR(IF(AH325&lt;0,0,AH325/($R$289-INDEX(hd_off,MATCH(AQ325,hd_mark,0),0)/12)),0)</f>
        <v>0</v>
      </c>
      <c r="AJ325">
        <f>MAX($F$23,$AA$289)/$Q$308</f>
        <v>0</v>
      </c>
      <c r="AK325">
        <f t="shared" si="210"/>
        <v>0</v>
      </c>
      <c r="AL325" cm="1">
        <f t="array" ref="AL325">IFERROR(INDEX(sheath_ecap_asd,MATCH(AP325,sheath_mark,0),0)*AK325,0)</f>
        <v>0</v>
      </c>
      <c r="AM325" cm="1">
        <f t="array" ref="AM325">IFERROR(INDEX(sheath_wcap_asd,MATCH(AP325,sheath_mark,0),0)*AK325,0)</f>
        <v>0</v>
      </c>
      <c r="AN325" cm="1">
        <f t="array" ref="AN325">IFERROR(INDEX(hd_cap,MATCH(AQ325,hd_mark,0),0),0)</f>
        <v>0</v>
      </c>
      <c r="AP325" s="19"/>
      <c r="AQ325" s="19"/>
      <c r="AR325" s="100"/>
      <c r="AS325" s="93"/>
      <c r="AT325" s="109" t="s">
        <v>491</v>
      </c>
      <c r="AU325" t="str">
        <f>$Q$279</f>
        <v>L4</v>
      </c>
      <c r="AV325">
        <f>$E$23</f>
        <v>0</v>
      </c>
      <c r="AW325" cm="1">
        <f t="array" ref="AW325">IFERROR(IF(AV325=0,0,(INDEX($C$33:$C$38,MATCH($AZ$289,$B$33:$B$38,0),0)*(AV327+$BA$289)+$AW$289*COUNTIF(AV325:AV326,"&gt;0")*$C$32+$AY$289*$C$31)*$AU$289),0)</f>
        <v>0</v>
      </c>
      <c r="AX325">
        <f>IF(AV325=0,0,-(COUNTIF(AV325:AV326,"&gt;0")*$AW$289*$C$32+$AY$289*$C$31)*$H$27*$AU$289)</f>
        <v>0</v>
      </c>
      <c r="AY325">
        <f>IF(AV325=0,0,$AY$289*$H$26*$AU$289)</f>
        <v>0</v>
      </c>
      <c r="AZ325">
        <f>(0.6*AW325+0.7*AX325)*$AU$289/2</f>
        <v>0</v>
      </c>
      <c r="BA325">
        <f>AW325*$AU$289/2</f>
        <v>0</v>
      </c>
      <c r="BC325">
        <f>IF(AV325=0,0,$BG$289*$AP$279)</f>
        <v>0</v>
      </c>
      <c r="BD325">
        <f>IFERROR(BC325/$AU$289,0)</f>
        <v>0</v>
      </c>
      <c r="BE325">
        <f>BC325*($F$23+IF($F$23=0,0,($C$14+$C$15+IF($C$13="single",1.5,3)+3)/12))</f>
        <v>0</v>
      </c>
      <c r="BF325">
        <f>BE325-AZ325</f>
        <v>0</v>
      </c>
      <c r="BG325" cm="1">
        <f t="array" ref="BG325">IFERROR(IF(BF325&lt;0,0,BF325/($AU$289-INDEX(hd_off,MATCH(BT325,hd_mark,0),0)/12)),0)</f>
        <v>0</v>
      </c>
      <c r="BH325">
        <f>IF(AV325=0,0,$BG$289*$AM$279)</f>
        <v>0</v>
      </c>
      <c r="BI325">
        <f>IFERROR(BH325/$AU$289,0)</f>
        <v>0</v>
      </c>
      <c r="BJ325">
        <f>BH325*($F$23+IF($F$23=0,0,($C$14+$C$15+IF($C$13="single",1.5,3)+3)/12))</f>
        <v>0</v>
      </c>
      <c r="BK325">
        <f>BJ325-BA325</f>
        <v>0</v>
      </c>
      <c r="BL325" cm="1">
        <f t="array" ref="BL325">IFERROR(IF(BK325&lt;0,0,BK325/($AU$289-INDEX(hd_off,MATCH(BT325,hd_mark,0),0)/12)),0)</f>
        <v>0</v>
      </c>
      <c r="BM325">
        <f>MAX($F$23,$BD$289)/$Q$308</f>
        <v>0</v>
      </c>
      <c r="BN325">
        <f t="shared" si="211"/>
        <v>0</v>
      </c>
      <c r="BO325" cm="1">
        <f t="array" ref="BO325">IFERROR(INDEX(sheath_ecap_asd,MATCH(BS325,sheath_mark,0),0)*BN325,0)</f>
        <v>0</v>
      </c>
      <c r="BP325" cm="1">
        <f t="array" ref="BP325">IFERROR(INDEX(sheath_wcap_asd,MATCH(BS325,sheath_mark,0),0)*BN325,0)</f>
        <v>0</v>
      </c>
      <c r="BQ325" cm="1">
        <f t="array" ref="BQ325">IFERROR(INDEX(hd_cap,MATCH(BT325,hd_mark,0),0),0)</f>
        <v>0</v>
      </c>
      <c r="BS325" s="19"/>
      <c r="BT325" s="19"/>
      <c r="BU325" s="100"/>
    </row>
    <row r="326" x14ac:dyDescent="0.25">
      <c r="P326" s="93"/>
      <c r="Q326" s="111">
        <f>$R$289</f>
        <v>0</v>
      </c>
      <c r="R326" t="str">
        <f>$Q$280</f>
        <v>L5</v>
      </c>
      <c r="S326">
        <f>$E$24</f>
        <v>0</v>
      </c>
      <c r="T326" cm="1">
        <f t="array" ref="T326">IFERROR(IF(S326=0,0,(INDEX($C$33:$C$38,MATCH($W$289,$B$33:$B$38,0),0)*(S327+$X$289)+$T$289*COUNTIF(S326:S326,"&gt;0")*$C$32+$V$289*$C$31)*$R$289),0)</f>
        <v>0</v>
      </c>
      <c r="U326">
        <f>IF(S326=0,0,-(COUNTIF(S326:S326,"&gt;0")*$T$289*$C$32+$V$289*$C$31)*$H$27*$R$289)</f>
        <v>0</v>
      </c>
      <c r="V326">
        <f>IF(S326=0,0,$V$289*$H$26*$R$289)</f>
        <v>0</v>
      </c>
      <c r="W326">
        <f>(0.6*T326+0.7*U326)*$R$289/2</f>
        <v>0</v>
      </c>
      <c r="X326">
        <f>T326*$R$289/2</f>
        <v>0</v>
      </c>
      <c r="Z326">
        <f>IF(S326=0,0,$AD$289*$AP$280)</f>
        <v>0</v>
      </c>
      <c r="AA326">
        <f>IFERROR(Z326/$R$289,0)</f>
        <v>0</v>
      </c>
      <c r="AB326">
        <f>Z326*($F$24+IF($F$24=0,0,($C$14+$C$15+IF($C$13="single",1.5,3)+3)/12))</f>
        <v>0</v>
      </c>
      <c r="AC326">
        <f>AB326-W326</f>
        <v>0</v>
      </c>
      <c r="AD326" cm="1">
        <f t="array" ref="AD326">IFERROR(IF(AC326&lt;0,0,AC326/($R$289-INDEX(hd_off,MATCH(AQ326,hd_mark,0),0)/12)),0)</f>
        <v>0</v>
      </c>
      <c r="AE326">
        <f>IF(S326=0,0,$AD$289*$AM$280)</f>
        <v>0</v>
      </c>
      <c r="AF326">
        <f>IFERROR(AE326/$R$289,0)</f>
        <v>0</v>
      </c>
      <c r="AG326">
        <f>AE326*($F$24+IF($F$24=0,0,($C$14+$C$15+IF($C$13="single",1.5,3)+3)/12))</f>
        <v>0</v>
      </c>
      <c r="AH326">
        <f>AG326-X326</f>
        <v>0</v>
      </c>
      <c r="AI326" cm="1">
        <f t="array" ref="AI326">IFERROR(IF(AH326&lt;0,0,AH326/($R$289-INDEX(hd_off,MATCH(AQ326,hd_mark,0),0)/12)),0)</f>
        <v>0</v>
      </c>
      <c r="AJ326">
        <f>MAX($F$24,$AB$289)/$Q$308</f>
        <v>0</v>
      </c>
      <c r="AK326">
        <f t="shared" si="210"/>
        <v>0</v>
      </c>
      <c r="AL326" cm="1">
        <f t="array" ref="AL326">IFERROR(INDEX(sheath_ecap_asd,MATCH(AP326,sheath_mark,0),0)*AK326,0)</f>
        <v>0</v>
      </c>
      <c r="AM326" cm="1">
        <f t="array" ref="AM326">IFERROR(INDEX(sheath_wcap_asd,MATCH(AP326,sheath_mark,0),0)*AK326,0)</f>
        <v>0</v>
      </c>
      <c r="AN326" cm="1">
        <f t="array" ref="AN326">IFERROR(INDEX(hd_cap,MATCH(AQ326,hd_mark,0),0),0)</f>
        <v>0</v>
      </c>
      <c r="AP326" s="19"/>
      <c r="AQ326" s="19"/>
      <c r="AR326" s="100"/>
      <c r="AS326" s="93"/>
      <c r="AT326" s="111">
        <f>$R$289</f>
        <v>0</v>
      </c>
      <c r="AU326" t="str">
        <f>$Q$280</f>
        <v>L5</v>
      </c>
      <c r="AV326">
        <f>$E$24</f>
        <v>0</v>
      </c>
      <c r="AW326" cm="1">
        <f t="array" ref="AW326">IFERROR(IF(AV326=0,0,(INDEX($C$33:$C$38,MATCH($AZ$289,$B$33:$B$38,0),0)*(AV327+$BA$289)+$AW$289*COUNTIF(AV326:AV326,"&gt;0")*$C$32+$AY$289*$C$31)*$AU$289),0)</f>
        <v>0</v>
      </c>
      <c r="AX326">
        <f>IF(AV326=0,0,-(COUNTIF(AV326:AV326,"&gt;0")*$AW$289*$C$32+$AY$289*$C$31)*$H$27*$AU$289)</f>
        <v>0</v>
      </c>
      <c r="AY326">
        <f>IF(AV326=0,0,$AY$289*$H$26*$AU$289)</f>
        <v>0</v>
      </c>
      <c r="AZ326">
        <f>(0.6*AW326+0.7*AX326)*$AU$289/2</f>
        <v>0</v>
      </c>
      <c r="BA326">
        <f>AW326*$AU$289/2</f>
        <v>0</v>
      </c>
      <c r="BC326">
        <f>IF(AV326=0,0,$BG$289*$AP$280)</f>
        <v>0</v>
      </c>
      <c r="BD326">
        <f>IFERROR(BC326/$AU$289,0)</f>
        <v>0</v>
      </c>
      <c r="BE326">
        <f>BC326*($F$24+IF($F$24=0,0,($C$14+$C$15+IF($C$13="single",1.5,3)+3)/12))</f>
        <v>0</v>
      </c>
      <c r="BF326">
        <f>BE326-AZ326</f>
        <v>0</v>
      </c>
      <c r="BG326" cm="1">
        <f t="array" ref="BG326">IFERROR(IF(BF326&lt;0,0,BF326/($AU$289-INDEX(hd_off,MATCH(BT326,hd_mark,0),0)/12)),0)</f>
        <v>0</v>
      </c>
      <c r="BH326">
        <f>IF(AV326=0,0,$BG$289*$AM$280)</f>
        <v>0</v>
      </c>
      <c r="BI326">
        <f>IFERROR(BH326/$AU$289,0)</f>
        <v>0</v>
      </c>
      <c r="BJ326">
        <f>BH326*($F$24+IF($F$24=0,0,($C$14+$C$15+IF($C$13="single",1.5,3)+3)/12))</f>
        <v>0</v>
      </c>
      <c r="BK326">
        <f>BJ326-BA326</f>
        <v>0</v>
      </c>
      <c r="BL326" cm="1">
        <f t="array" ref="BL326">IFERROR(IF(BK326&lt;0,0,BK326/($AU$289-INDEX(hd_off,MATCH(BT326,hd_mark,0),0)/12)),0)</f>
        <v>0</v>
      </c>
      <c r="BM326">
        <f>MAX($F$24,$BE$289)/$Q$308</f>
        <v>0</v>
      </c>
      <c r="BN326">
        <f t="shared" si="211"/>
        <v>0</v>
      </c>
      <c r="BO326" cm="1">
        <f t="array" ref="BO326">IFERROR(INDEX(sheath_ecap_asd,MATCH(BS326,sheath_mark,0),0)*BN326,0)</f>
        <v>0</v>
      </c>
      <c r="BP326" cm="1">
        <f t="array" ref="BP326">IFERROR(INDEX(sheath_wcap_asd,MATCH(BS326,sheath_mark,0),0)*BN326,0)</f>
        <v>0</v>
      </c>
      <c r="BQ326" cm="1">
        <f t="array" ref="BQ326">IFERROR(INDEX(hd_cap,MATCH(BT326,hd_mark,0),0),0)</f>
        <v>0</v>
      </c>
      <c r="BS326" s="19"/>
      <c r="BT326" s="19"/>
      <c r="BU326" s="100"/>
    </row>
    <row r="327" x14ac:dyDescent="0.25">
      <c r="P327" s="93"/>
      <c r="Q327" s="109"/>
      <c r="R327" t="str">
        <f>$Q$281</f>
        <v>Roof</v>
      </c>
      <c r="S327">
        <f>$E$25</f>
        <v>33.171875</v>
      </c>
      <c r="T327" cm="1">
        <f t="array" ref="T327">IFERROR(IF(S327=0,0,(INDEX($C$33:$C$38,MATCH($W$289,$B$33:$B$38,0),0)*(S327+$X$289)+$V$289*$C$31)*$R$289),0)</f>
        <v>0</v>
      </c>
      <c r="U327">
        <f>IF(S327=0,0,-$V$289*$C$31*$H$27*$R$289)</f>
        <v>0</v>
      </c>
      <c r="V327">
        <f>IF(S327=0,0,$V$289*$H$26*$R$289)</f>
        <v>0</v>
      </c>
      <c r="W327">
        <f>(0.6*T327+0.7*U327)*$R$289/2</f>
        <v>0</v>
      </c>
      <c r="X327">
        <f>T327*$R$289/2</f>
        <v>0</v>
      </c>
      <c r="Z327">
        <f>IF(S327=0,0,$AD$289*$AP$281)</f>
        <v>0</v>
      </c>
      <c r="AA327">
        <f>IFERROR(Z327/$R$289,0)</f>
        <v>0</v>
      </c>
      <c r="AB327">
        <f>Z327*($F$25+($C$16+$C$17+IF($C$13="single",1.5,3)+3)/12)</f>
        <v>0</v>
      </c>
      <c r="AC327">
        <f>AB327-W327</f>
        <v>0</v>
      </c>
      <c r="AD327" cm="1">
        <f t="array" ref="AD327">IFERROR(IF(AC327&lt;0,0,AC327/($R$289-INDEX(hd_off,MATCH(AQ327,hd_mark,0),0)/12)),0)</f>
        <v>0</v>
      </c>
      <c r="AE327">
        <f>IF(S327=0,0,$AD$289*$AM$281)</f>
        <v>0</v>
      </c>
      <c r="AF327">
        <f>IFERROR(AE327/$R$289,0)</f>
        <v>0</v>
      </c>
      <c r="AG327">
        <f>AE327*($F$25+($C$16+$C$17+IF($C$13="single",1.5,3)+3)/12)</f>
        <v>0</v>
      </c>
      <c r="AH327">
        <f>AG327-X327</f>
        <v>0</v>
      </c>
      <c r="AI327" cm="1">
        <f t="array" ref="AI327">IFERROR(IF(AH327&lt;0,0,AH327/($R$289-INDEX(hd_off,MATCH(AQ327,hd_mark,0),0)/12)),0)</f>
        <v>0</v>
      </c>
      <c r="AJ327">
        <f>MAX($F$25,$AC$289)/$Q$308</f>
        <v>0.29920977011494249</v>
      </c>
      <c r="AK327">
        <f t="shared" si="210"/>
        <v>1</v>
      </c>
      <c r="AL327" cm="1">
        <f t="array" ref="AL327">IFERROR(INDEX(sheath_ecap_asd,MATCH(AP327,sheath_mark,0),0)*AK327,0)</f>
        <v>0</v>
      </c>
      <c r="AM327" cm="1">
        <f t="array" ref="AM327">IFERROR(INDEX(sheath_wcap_asd,MATCH(AP327,sheath_mark,0),0)*AK327,0)</f>
        <v>0</v>
      </c>
      <c r="AN327" cm="1">
        <f t="array" ref="AN327">IFERROR(INDEX(hd_cap,MATCH(AQ327,hd_mark,0),0),0)</f>
        <v>0</v>
      </c>
      <c r="AP327" s="19"/>
      <c r="AQ327" s="19"/>
      <c r="AR327" s="100"/>
      <c r="AS327" s="93"/>
      <c r="AT327" s="109"/>
      <c r="AU327" t="str">
        <f>$Q$281</f>
        <v>Roof</v>
      </c>
      <c r="AV327">
        <f>$E$25</f>
        <v>33.171875</v>
      </c>
      <c r="AW327" cm="1">
        <f t="array" ref="AW327">IFERROR(IF(AV327=0,0,(INDEX($C$33:$C$38,MATCH($AZ$289,$B$33:$B$38,0),0)*(AV327+$BA$289)+$AY$289*$C$31)*$AU$289),0)</f>
        <v>0</v>
      </c>
      <c r="AX327">
        <f>IF(AV327=0,0,-$AY$289*$C$31*$H$27*$AU$289)</f>
        <v>0</v>
      </c>
      <c r="AY327">
        <f>IF(AV327=0,0,$AY$289*$H$26*$AU$289)</f>
        <v>0</v>
      </c>
      <c r="AZ327">
        <f>(0.6*AW327+0.7*AX327)*$AU$289/2</f>
        <v>0</v>
      </c>
      <c r="BA327">
        <f>AW327*$AU$289/2</f>
        <v>0</v>
      </c>
      <c r="BC327">
        <f>IF(AV327=0,0,$BG$289*$AP$281)</f>
        <v>0</v>
      </c>
      <c r="BD327">
        <f>IFERROR(BC327/$AU$289,0)</f>
        <v>0</v>
      </c>
      <c r="BE327">
        <f>BC327*($F$25+($C$16+$C$17+IF($C$13="single",1.5,3)+3)/12)</f>
        <v>0</v>
      </c>
      <c r="BF327">
        <f>BE327-AZ327</f>
        <v>0</v>
      </c>
      <c r="BG327" cm="1">
        <f t="array" ref="BG327">IFERROR(IF(BF327&lt;0,0,BF327/($AU$289-INDEX(hd_off,MATCH(BT327,hd_mark,0),0)/12)),0)</f>
        <v>0</v>
      </c>
      <c r="BH327">
        <f>IF(AV327=0,0,$BG$289*$AM$281)</f>
        <v>0</v>
      </c>
      <c r="BI327">
        <f>IFERROR(BH327/$AU$289,0)</f>
        <v>0</v>
      </c>
      <c r="BJ327">
        <f>BH327*($F$25+($C$16+$C$17+IF($C$13="single",1.5,3)+3)/12)</f>
        <v>0</v>
      </c>
      <c r="BK327">
        <f>BJ327-BA327</f>
        <v>0</v>
      </c>
      <c r="BL327" cm="1">
        <f t="array" ref="BL327">IFERROR(IF(BK327&lt;0,0,BK327/($AU$289-INDEX(hd_off,MATCH(BT327,hd_mark,0),0)/12)),0)</f>
        <v>0</v>
      </c>
      <c r="BM327">
        <f>MAX($F$25,$BF$289)/$Q$308</f>
        <v>0.29920977011494249</v>
      </c>
      <c r="BN327">
        <f t="shared" si="211"/>
        <v>1</v>
      </c>
      <c r="BO327" cm="1">
        <f t="array" ref="BO327">IFERROR(INDEX(sheath_ecap_asd,MATCH(BS327,sheath_mark,0),0)*BN327,0)</f>
        <v>0</v>
      </c>
      <c r="BP327" cm="1">
        <f t="array" ref="BP327">IFERROR(INDEX(sheath_wcap_asd,MATCH(BS327,sheath_mark,0),0)*BN327,0)</f>
        <v>0</v>
      </c>
      <c r="BQ327" cm="1">
        <f t="array" ref="BQ327">IFERROR(INDEX(hd_cap,MATCH(BT327,hd_mark,0),0),0)</f>
        <v>0</v>
      </c>
      <c r="BS327" s="19"/>
      <c r="BT327" s="19"/>
      <c r="BU327" s="100"/>
    </row>
    <row r="328" x14ac:dyDescent="0.25">
      <c r="P328" s="93"/>
      <c r="AR328" s="100"/>
      <c r="AS328" s="93"/>
      <c r="BU328" s="100"/>
    </row>
    <row r="329" x14ac:dyDescent="0.25">
      <c r="P329" s="93"/>
      <c r="Q329" s="110" t="str">
        <f>$Q$290</f>
        <v>A.05</v>
      </c>
      <c r="R329" t="str">
        <f>$Q$277</f>
        <v>L2</v>
      </c>
      <c r="S329">
        <f>$E$21</f>
        <v>10.6875</v>
      </c>
      <c r="T329" cm="1">
        <f t="array" ref="T329">IFERROR(IF(S329=0,0,(INDEX($C$33:$C$38,MATCH($W$290,$B$33:$B$38,0),0)*(S333+$X$290)+$T$290*COUNTIF(S329:S332,"&gt;0")*$C$32+$V$290*$C$31)*$R$290),0)</f>
        <v>0</v>
      </c>
      <c r="U329">
        <f>IF(S329=0,0,-(COUNTIF(S329:S332,"&gt;0")*$T$290*$C$32+$V$290*$C$31)*$H$27*$R$290)</f>
        <v>0</v>
      </c>
      <c r="V329">
        <f>IF(S329=0,0,$V$290*$H$26*$R$290)</f>
        <v>0</v>
      </c>
      <c r="W329">
        <f>(0.6*T329+0.7*U329)*$R$290/2</f>
        <v>0</v>
      </c>
      <c r="X329">
        <f>(0.6*T329+0.6*V329)*$R$290/2</f>
        <v>0</v>
      </c>
      <c r="Z329">
        <f>IF(S329=0,0,$AD$290*$AP$277)</f>
        <v>0</v>
      </c>
      <c r="AA329">
        <f>IFERROR(Z329/$R$290,0)</f>
        <v>0</v>
      </c>
      <c r="AB329">
        <f>Z329*($F$21+IF($F$21=0,0,($C$14+$C$15+IF($C$13="single",1.5,3)+3)/12))</f>
        <v>0</v>
      </c>
      <c r="AC329">
        <f>AB329-W329</f>
        <v>0</v>
      </c>
      <c r="AD329" cm="1">
        <f t="array" ref="AD329">IFERROR(IF(AC329&lt;0,0,AC329/($R$290-INDEX(hd_off,MATCH(AQ329,hd_mark,0),0)/12)),0)</f>
        <v>0</v>
      </c>
      <c r="AE329">
        <f>IF(S329=0,0,$AD$290*$AM$277)</f>
        <v>0</v>
      </c>
      <c r="AF329">
        <f>IFERROR(AE329/$R$290,0)</f>
        <v>0</v>
      </c>
      <c r="AG329">
        <f>AE329*($F$21+IF($F$21=0,0,($C$14+$C$15+IF($C$13="single",1.5,3)+3)/12))</f>
        <v>0</v>
      </c>
      <c r="AH329">
        <f>AG329-X329</f>
        <v>0</v>
      </c>
      <c r="AI329" cm="1">
        <f t="array" ref="AI329">IFERROR(IF(AH329&lt;0,0,AH329/($R$290-INDEX(hd_off,MATCH(AQ329,hd_mark,0),0)/12)),0)</f>
        <v>0</v>
      </c>
      <c r="AJ329">
        <f>MAX($F$21,$Y$290)/$Q$308</f>
        <v>0.30172413793103448</v>
      </c>
      <c r="AK329">
        <f>IF(AJ329=0,0,IF(AJ329&gt;2,1.25-0.125*AJ329,1))</f>
        <v>1</v>
      </c>
      <c r="AL329" cm="1">
        <f t="array" ref="AL329">IFERROR(INDEX(sheath_ecap_asd,MATCH(AP329,sheath_mark,0),0)*AK329,0)</f>
        <v>0</v>
      </c>
      <c r="AM329" cm="1">
        <f t="array" ref="AM329">IFERROR(INDEX(sheath_wcap_asd,MATCH(AP329,sheath_mark,0),0)*AK329,0)</f>
        <v>0</v>
      </c>
      <c r="AN329" cm="1">
        <f t="array" ref="AN329">IFERROR(INDEX(hd_cap,MATCH(AQ329,hd_mark,0),0),0)</f>
        <v>0</v>
      </c>
      <c r="AP329" s="19"/>
      <c r="AQ329" s="19"/>
      <c r="AR329" s="100"/>
      <c r="AS329" s="93"/>
      <c r="AT329" s="110" t="str">
        <f>$AT$290</f>
        <v>1.05</v>
      </c>
      <c r="AU329" t="str">
        <f>$Q$277</f>
        <v>L2</v>
      </c>
      <c r="AV329">
        <f>$E$21</f>
        <v>10.6875</v>
      </c>
      <c r="AW329" cm="1">
        <f t="array" ref="AW329">IFERROR(IF(AV329=0,0,(INDEX($C$33:$C$38,MATCH($AZ$290,$B$33:$B$38,0),0)*(AV333+$BA$290)+$AW$290*COUNTIF(AV329:AV332,"&gt;0")*$C$32+$AY$290*$C$31)*$AU$290),0)</f>
        <v>0</v>
      </c>
      <c r="AX329">
        <f>IF(AV329=0,0,-(COUNTIF(AV329:AV332,"&gt;0")*$AW$290*$C$32+$AY$290*$C$31)*$H$27*$AU$290)</f>
        <v>0</v>
      </c>
      <c r="AY329">
        <f>IF(AV329=0,0,$AY$290*$H$26*$AU$290)</f>
        <v>0</v>
      </c>
      <c r="AZ329">
        <f>(0.6*AW329+0.7*AX329)*$AU$290/2</f>
        <v>0</v>
      </c>
      <c r="BA329">
        <f>(0.6*AW329+0.6*AY329)*$AU$290/2</f>
        <v>0</v>
      </c>
      <c r="BC329">
        <f>IF(AV329=0,0,$BG$290*$AP$277)</f>
        <v>0</v>
      </c>
      <c r="BD329">
        <f>IFERROR(BC329/$AU$290,0)</f>
        <v>0</v>
      </c>
      <c r="BE329">
        <f>BC329*($F$21+IF($F$21=0,0,($C$14+$C$15+IF($C$13="single",1.5,3)+3)/12))</f>
        <v>0</v>
      </c>
      <c r="BF329">
        <f>BE329-AZ329</f>
        <v>0</v>
      </c>
      <c r="BG329" cm="1">
        <f t="array" ref="BG329">IFERROR(IF(BF329&lt;0,0,BF329/($AU$290-INDEX(hd_off,MATCH(BT329,hd_mark,0),0)/12)),0)</f>
        <v>0</v>
      </c>
      <c r="BH329">
        <f>IF(AV329=0,0,$BG$290*$AM$277)</f>
        <v>0</v>
      </c>
      <c r="BI329">
        <f>IFERROR(BH329/$AU$290,0)</f>
        <v>0</v>
      </c>
      <c r="BJ329">
        <f>BH329*($F$21+IF($F$21=0,0,($C$14+$C$15+IF($C$13="single",1.5,3)+3)/12))</f>
        <v>0</v>
      </c>
      <c r="BK329">
        <f>BJ329-BA329</f>
        <v>0</v>
      </c>
      <c r="BL329" cm="1">
        <f t="array" ref="BL329">IFERROR(IF(BK329&lt;0,0,BK329/($AU$290-INDEX(hd_off,MATCH(BT329,hd_mark,0),0)/12)),0)</f>
        <v>0</v>
      </c>
      <c r="BM329">
        <f>MAX($F$21,$BB$290)/$Q$308</f>
        <v>0.30172413793103448</v>
      </c>
      <c r="BN329">
        <f>IF(BM329=0,0,IF(BM329&gt;2,1.25-0.125*BM329,1))</f>
        <v>1</v>
      </c>
      <c r="BO329" cm="1">
        <f t="array" ref="BO329">IFERROR(INDEX(sheath_ecap_asd,MATCH(BS329,sheath_mark,0),0)*BN329,0)</f>
        <v>0</v>
      </c>
      <c r="BP329" cm="1">
        <f t="array" ref="BP329">IFERROR(INDEX(sheath_wcap_asd,MATCH(BS329,sheath_mark,0),0)*BN329,0)</f>
        <v>0</v>
      </c>
      <c r="BQ329" cm="1">
        <f t="array" ref="BQ329">IFERROR(INDEX(hd_cap,MATCH(BT329,hd_mark,0),0),0)</f>
        <v>0</v>
      </c>
      <c r="BS329" s="19"/>
      <c r="BT329" s="19"/>
      <c r="BU329" s="100"/>
    </row>
    <row r="330" x14ac:dyDescent="0.25">
      <c r="B330" s="1"/>
      <c r="P330" s="93"/>
      <c r="Q330" s="109"/>
      <c r="R330" t="str">
        <f>$Q$278</f>
        <v>L3</v>
      </c>
      <c r="S330">
        <f>$E$22</f>
        <v>21.375</v>
      </c>
      <c r="T330" cm="1">
        <f t="array" ref="T330">IFERROR(IF(S330=0,0,(INDEX($C$33:$C$38,MATCH($W$290,$B$33:$B$38,0),0)*(S333+$X$290)+$T$290*COUNTIF(S330:S332,"&gt;0")*$C$32+$V$290*$C$31)*$R$290),0)</f>
        <v>0</v>
      </c>
      <c r="U330">
        <f>IF(S330=0,0,-(COUNTIF(S330:S332,"&gt;0")*$T$290*$C$32+$V$290*$C$31)*$H$27*$R$290)</f>
        <v>0</v>
      </c>
      <c r="V330">
        <f>IF(S330=0,0,$V$290*$H$26*$R$290)</f>
        <v>0</v>
      </c>
      <c r="W330">
        <f>(0.6*T330+0.7*U330)*$R$290/2</f>
        <v>0</v>
      </c>
      <c r="X330">
        <f>T330*$R$290/2</f>
        <v>0</v>
      </c>
      <c r="Z330">
        <f>IF(S330=0,0,$AD$290*$AP$278)</f>
        <v>0</v>
      </c>
      <c r="AA330">
        <f>IFERROR(Z330/$R$290,0)</f>
        <v>0</v>
      </c>
      <c r="AB330">
        <f>Z330*($F$22+IF($F$22=0,0,($C$14+$C$15+IF($C$13="single",1.5,3)+3)/12))</f>
        <v>0</v>
      </c>
      <c r="AC330">
        <f>AB330-W330</f>
        <v>0</v>
      </c>
      <c r="AD330" cm="1">
        <f t="array" ref="AD330">IFERROR(IF(AC330&lt;0,0,AC330/($R$290-INDEX(hd_off,MATCH(AQ330,hd_mark,0),0)/12)),0)</f>
        <v>0</v>
      </c>
      <c r="AE330">
        <f>IF(S330=0,0,$AD$290*$AM$278)</f>
        <v>0</v>
      </c>
      <c r="AF330">
        <f>IFERROR(AE330/$R$290,0)</f>
        <v>0</v>
      </c>
      <c r="AG330">
        <f>AE330*($F$22+IF($F$22=0,0,($C$14+$C$15+IF($C$13="single",1.5,3)+3)/12))</f>
        <v>0</v>
      </c>
      <c r="AH330">
        <f>AG330-X330</f>
        <v>0</v>
      </c>
      <c r="AI330" cm="1">
        <f t="array" ref="AI330">IFERROR(IF(AH330&lt;0,0,AH330/($R$290-INDEX(hd_off,MATCH(AQ330,hd_mark,0),0)/12)),0)</f>
        <v>0</v>
      </c>
      <c r="AJ330">
        <f>MAX($F$22,$Z$290)/$Q$308</f>
        <v>0.30172413793103448</v>
      </c>
      <c r="AK330">
        <f t="shared" ref="AK330:AK333" si="212">IF(AJ330=0,0,IF(AJ330&gt;2,1.25-0.125*AJ330,1))</f>
        <v>1</v>
      </c>
      <c r="AL330" cm="1">
        <f t="array" ref="AL330">IFERROR(INDEX(sheath_ecap_asd,MATCH(AP330,sheath_mark,0),0)*AK330,0)</f>
        <v>0</v>
      </c>
      <c r="AM330" cm="1">
        <f t="array" ref="AM330">IFERROR(INDEX(sheath_wcap_asd,MATCH(AP330,sheath_mark,0),0)*AK330,0)</f>
        <v>0</v>
      </c>
      <c r="AN330" cm="1">
        <f t="array" ref="AN330">IFERROR(INDEX(hd_cap,MATCH(AQ330,hd_mark,0),0),0)</f>
        <v>0</v>
      </c>
      <c r="AP330" s="19"/>
      <c r="AQ330" s="19"/>
      <c r="AR330" s="100"/>
      <c r="AS330" s="93"/>
      <c r="AT330" s="109"/>
      <c r="AU330" t="str">
        <f>$Q$278</f>
        <v>L3</v>
      </c>
      <c r="AV330">
        <f>$E$22</f>
        <v>21.375</v>
      </c>
      <c r="AW330" cm="1">
        <f t="array" ref="AW330">IFERROR(IF(AV330=0,0,(INDEX($C$33:$C$38,MATCH($AZ$290,$B$33:$B$38,0),0)*(AV333+$BA$290)+$AW$290*COUNTIF(AV330:AV332,"&gt;0")*$C$32+$AY$290*$C$31)*$AU$290),0)</f>
        <v>0</v>
      </c>
      <c r="AX330">
        <f>IF(AV330=0,0,-(COUNTIF(AV330:AV332,"&gt;0")*$AW$290*$C$32+$AY$290*$C$31)*$H$27*$AU$290)</f>
        <v>0</v>
      </c>
      <c r="AY330">
        <f>IF(AV330=0,0,$AY$290*$H$26*$AU$290)</f>
        <v>0</v>
      </c>
      <c r="AZ330">
        <f>(0.6*AW330+0.7*AX330)*$AU$290/2</f>
        <v>0</v>
      </c>
      <c r="BA330">
        <f>AW330*$AU$290/2</f>
        <v>0</v>
      </c>
      <c r="BC330">
        <f>IF(AV330=0,0,$BG$290*$AP$278)</f>
        <v>0</v>
      </c>
      <c r="BD330">
        <f>IFERROR(BC330/$AU$290,0)</f>
        <v>0</v>
      </c>
      <c r="BE330">
        <f>BC330*($F$22+IF($F$22=0,0,($C$14+$C$15+IF($C$13="single",1.5,3)+3)/12))</f>
        <v>0</v>
      </c>
      <c r="BF330">
        <f>BE330-AZ330</f>
        <v>0</v>
      </c>
      <c r="BG330" cm="1">
        <f t="array" ref="BG330">IFERROR(IF(BF330&lt;0,0,BF330/($AU$290-INDEX(hd_off,MATCH(BT330,hd_mark,0),0)/12)),0)</f>
        <v>0</v>
      </c>
      <c r="BH330">
        <f>IF(AV330=0,0,$BG$290*$AM$278)</f>
        <v>0</v>
      </c>
      <c r="BI330">
        <f>IFERROR(BH330/$AU$290,0)</f>
        <v>0</v>
      </c>
      <c r="BJ330">
        <f>BH330*($F$22+IF($F$22=0,0,($C$14+$C$15+IF($C$13="single",1.5,3)+3)/12))</f>
        <v>0</v>
      </c>
      <c r="BK330">
        <f>BJ330-BA330</f>
        <v>0</v>
      </c>
      <c r="BL330" cm="1">
        <f t="array" ref="BL330">IFERROR(IF(BK330&lt;0,0,BK330/($AU$290-INDEX(hd_off,MATCH(BT330,hd_mark,0),0)/12)),0)</f>
        <v>0</v>
      </c>
      <c r="BM330">
        <f>MAX($F$22,$BC$290)/$Q$308</f>
        <v>0.30172413793103448</v>
      </c>
      <c r="BN330">
        <f t="shared" ref="BN330:BN333" si="213">IF(BM330=0,0,IF(BM330&gt;2,1.25-0.125*BM330,1))</f>
        <v>1</v>
      </c>
      <c r="BO330" cm="1">
        <f t="array" ref="BO330">IFERROR(INDEX(sheath_ecap_asd,MATCH(BS330,sheath_mark,0),0)*BN330,0)</f>
        <v>0</v>
      </c>
      <c r="BP330" cm="1">
        <f t="array" ref="BP330">IFERROR(INDEX(sheath_wcap_asd,MATCH(BS330,sheath_mark,0),0)*BN330,0)</f>
        <v>0</v>
      </c>
      <c r="BQ330" cm="1">
        <f t="array" ref="BQ330">IFERROR(INDEX(hd_cap,MATCH(BT330,hd_mark,0),0),0)</f>
        <v>0</v>
      </c>
      <c r="BS330" s="19"/>
      <c r="BT330" s="19"/>
      <c r="BU330" s="100"/>
    </row>
    <row r="331" x14ac:dyDescent="0.25">
      <c r="P331" s="93"/>
      <c r="Q331" s="109" t="s">
        <v>491</v>
      </c>
      <c r="R331" t="str">
        <f>$Q$279</f>
        <v>L4</v>
      </c>
      <c r="S331">
        <f>$E$23</f>
        <v>0</v>
      </c>
      <c r="T331" cm="1">
        <f t="array" ref="T331">IFERROR(IF(S331=0,0,(INDEX($C$33:$C$38,MATCH($W$290,$B$33:$B$38,0),0)*(S333+$X$290)+$T$290*COUNTIF(S331:S332,"&gt;0")*$C$32+$V$290*$C$31)*$R$290),0)</f>
        <v>0</v>
      </c>
      <c r="U331">
        <f>IF(S331=0,0,-(COUNTIF(S331:S332,"&gt;0")*$T$290*$C$32+$V$290*$C$31)*$H$27*$R$290)</f>
        <v>0</v>
      </c>
      <c r="V331">
        <f>IF(S331=0,0,$V$290*$H$26*$R$290)</f>
        <v>0</v>
      </c>
      <c r="W331">
        <f>(0.6*T331+0.7*U331)*$R$290/2</f>
        <v>0</v>
      </c>
      <c r="X331">
        <f>T331*$R$290/2</f>
        <v>0</v>
      </c>
      <c r="Z331">
        <f>IF(S331=0,0,$AD$290*$AP$279)</f>
        <v>0</v>
      </c>
      <c r="AA331">
        <f>IFERROR(Z331/$R$290,0)</f>
        <v>0</v>
      </c>
      <c r="AB331">
        <f>Z331*($F$23+IF($F$23=0,0,($C$14+$C$15+IF($C$13="single",1.5,3)+3)/12))</f>
        <v>0</v>
      </c>
      <c r="AC331">
        <f>AB331-W331</f>
        <v>0</v>
      </c>
      <c r="AD331" cm="1">
        <f t="array" ref="AD331">IFERROR(IF(AC331&lt;0,0,AC331/($R$290-INDEX(hd_off,MATCH(AQ331,hd_mark,0),0)/12)),0)</f>
        <v>0</v>
      </c>
      <c r="AE331">
        <f>IF(S331=0,0,$AD$290*$AM$279)</f>
        <v>0</v>
      </c>
      <c r="AF331">
        <f>IFERROR(AE331/$R$290,0)</f>
        <v>0</v>
      </c>
      <c r="AG331">
        <f>AE331*($F$23+IF($F$23=0,0,($C$14+$C$15+IF($C$13="single",1.5,3)+3)/12))</f>
        <v>0</v>
      </c>
      <c r="AH331">
        <f>AG331-X331</f>
        <v>0</v>
      </c>
      <c r="AI331" cm="1">
        <f t="array" ref="AI331">IFERROR(IF(AH331&lt;0,0,AH331/($R$290-INDEX(hd_off,MATCH(AQ331,hd_mark,0),0)/12)),0)</f>
        <v>0</v>
      </c>
      <c r="AJ331">
        <f>MAX($F$23,$AA$290)/$Q$308</f>
        <v>0</v>
      </c>
      <c r="AK331">
        <f t="shared" si="212"/>
        <v>0</v>
      </c>
      <c r="AL331" cm="1">
        <f t="array" ref="AL331">IFERROR(INDEX(sheath_ecap_asd,MATCH(AP331,sheath_mark,0),0)*AK331,0)</f>
        <v>0</v>
      </c>
      <c r="AM331" cm="1">
        <f t="array" ref="AM331">IFERROR(INDEX(sheath_wcap_asd,MATCH(AP331,sheath_mark,0),0)*AK331,0)</f>
        <v>0</v>
      </c>
      <c r="AN331" cm="1">
        <f t="array" ref="AN331">IFERROR(INDEX(hd_cap,MATCH(AQ331,hd_mark,0),0),0)</f>
        <v>0</v>
      </c>
      <c r="AP331" s="19"/>
      <c r="AQ331" s="19"/>
      <c r="AR331" s="100"/>
      <c r="AS331" s="93"/>
      <c r="AT331" s="109" t="s">
        <v>491</v>
      </c>
      <c r="AU331" t="str">
        <f>$Q$279</f>
        <v>L4</v>
      </c>
      <c r="AV331">
        <f>$E$23</f>
        <v>0</v>
      </c>
      <c r="AW331" cm="1">
        <f t="array" ref="AW331">IFERROR(IF(AV331=0,0,(INDEX($C$33:$C$38,MATCH($AZ$290,$B$33:$B$38,0),0)*(AV333+$BA$290)+$AW$290*COUNTIF(AV331:AV332,"&gt;0")*$C$32+$AY$290*$C$31)*$AU$290),0)</f>
        <v>0</v>
      </c>
      <c r="AX331">
        <f>IF(AV331=0,0,-(COUNTIF(AV331:AV332,"&gt;0")*$AW$290*$C$32+$AY$290*$C$31)*$H$27*$AU$290)</f>
        <v>0</v>
      </c>
      <c r="AY331">
        <f>IF(AV331=0,0,$AY$290*$H$26*$AU$290)</f>
        <v>0</v>
      </c>
      <c r="AZ331">
        <f>(0.6*AW331+0.7*AX331)*$AU$290/2</f>
        <v>0</v>
      </c>
      <c r="BA331">
        <f>AW331*$AU$290/2</f>
        <v>0</v>
      </c>
      <c r="BC331">
        <f>IF(AV331=0,0,$BG$290*$AP$279)</f>
        <v>0</v>
      </c>
      <c r="BD331">
        <f>IFERROR(BC331/$AU$290,0)</f>
        <v>0</v>
      </c>
      <c r="BE331">
        <f>BC331*($F$23+IF($F$23=0,0,($C$14+$C$15+IF($C$13="single",1.5,3)+3)/12))</f>
        <v>0</v>
      </c>
      <c r="BF331">
        <f>BE331-AZ331</f>
        <v>0</v>
      </c>
      <c r="BG331" cm="1">
        <f t="array" ref="BG331">IFERROR(IF(BF331&lt;0,0,BF331/($AU$290-INDEX(hd_off,MATCH(BT331,hd_mark,0),0)/12)),0)</f>
        <v>0</v>
      </c>
      <c r="BH331">
        <f>IF(AV331=0,0,$BG$290*$AM$279)</f>
        <v>0</v>
      </c>
      <c r="BI331">
        <f>IFERROR(BH331/$AU$290,0)</f>
        <v>0</v>
      </c>
      <c r="BJ331">
        <f>BH331*($F$23+IF($F$23=0,0,($C$14+$C$15+IF($C$13="single",1.5,3)+3)/12))</f>
        <v>0</v>
      </c>
      <c r="BK331">
        <f>BJ331-BA331</f>
        <v>0</v>
      </c>
      <c r="BL331" cm="1">
        <f t="array" ref="BL331">IFERROR(IF(BK331&lt;0,0,BK331/($AU$290-INDEX(hd_off,MATCH(BT331,hd_mark,0),0)/12)),0)</f>
        <v>0</v>
      </c>
      <c r="BM331">
        <f>MAX($F$23,$BD$290)/$Q$308</f>
        <v>0</v>
      </c>
      <c r="BN331">
        <f t="shared" si="213"/>
        <v>0</v>
      </c>
      <c r="BO331" cm="1">
        <f t="array" ref="BO331">IFERROR(INDEX(sheath_ecap_asd,MATCH(BS331,sheath_mark,0),0)*BN331,0)</f>
        <v>0</v>
      </c>
      <c r="BP331" cm="1">
        <f t="array" ref="BP331">IFERROR(INDEX(sheath_wcap_asd,MATCH(BS331,sheath_mark,0),0)*BN331,0)</f>
        <v>0</v>
      </c>
      <c r="BQ331" cm="1">
        <f t="array" ref="BQ331">IFERROR(INDEX(hd_cap,MATCH(BT331,hd_mark,0),0),0)</f>
        <v>0</v>
      </c>
      <c r="BS331" s="19"/>
      <c r="BT331" s="19"/>
      <c r="BU331" s="100"/>
    </row>
    <row r="332" x14ac:dyDescent="0.25">
      <c r="P332" s="93"/>
      <c r="Q332" s="111">
        <f>$R$290</f>
        <v>0</v>
      </c>
      <c r="R332" t="str">
        <f>$Q$280</f>
        <v>L5</v>
      </c>
      <c r="S332">
        <f>$E$24</f>
        <v>0</v>
      </c>
      <c r="T332" cm="1">
        <f t="array" ref="T332">IFERROR(IF(S332=0,0,(INDEX($C$33:$C$38,MATCH($W$290,$B$33:$B$38,0),0)*(S333+$X$290)+$T$290*COUNTIF(S332:S332,"&gt;0")*$C$32+$V$290*$C$31)*$R$290),0)</f>
        <v>0</v>
      </c>
      <c r="U332">
        <f>IF(S332=0,0,-(COUNTIF(S332:S332,"&gt;0")*$T$290*$C$32+$V$290*$C$31)*$H$27*$R$290)</f>
        <v>0</v>
      </c>
      <c r="V332">
        <f>IF(S332=0,0,$V$290*$H$26*$R$290)</f>
        <v>0</v>
      </c>
      <c r="W332">
        <f>(0.6*T332+0.7*U332)*$R$290/2</f>
        <v>0</v>
      </c>
      <c r="X332">
        <f>T332*$R$290/2</f>
        <v>0</v>
      </c>
      <c r="Z332">
        <f>IF(S332=0,0,$AD$290*$AP$280)</f>
        <v>0</v>
      </c>
      <c r="AA332">
        <f>IFERROR(Z332/$R$290,0)</f>
        <v>0</v>
      </c>
      <c r="AB332">
        <f>Z332*($F$24+IF($F$24=0,0,($C$14+$C$15+IF($C$13="single",1.5,3)+3)/12))</f>
        <v>0</v>
      </c>
      <c r="AC332">
        <f>AB332-W332</f>
        <v>0</v>
      </c>
      <c r="AD332" cm="1">
        <f t="array" ref="AD332">IFERROR(IF(AC332&lt;0,0,AC332/($R$290-INDEX(hd_off,MATCH(AQ332,hd_mark,0),0)/12)),0)</f>
        <v>0</v>
      </c>
      <c r="AE332">
        <f>IF(S332=0,0,$AD$290*$AM$280)</f>
        <v>0</v>
      </c>
      <c r="AF332">
        <f>IFERROR(AE332/$R$290,0)</f>
        <v>0</v>
      </c>
      <c r="AG332">
        <f>AE332*($F$24+IF($F$24=0,0,($C$14+$C$15+IF($C$13="single",1.5,3)+3)/12))</f>
        <v>0</v>
      </c>
      <c r="AH332">
        <f>AG332-X332</f>
        <v>0</v>
      </c>
      <c r="AI332" cm="1">
        <f t="array" ref="AI332">IFERROR(IF(AH332&lt;0,0,AH332/($R$290-INDEX(hd_off,MATCH(AQ332,hd_mark,0),0)/12)),0)</f>
        <v>0</v>
      </c>
      <c r="AJ332">
        <f>MAX($F$24,$AB$290)/$Q$308</f>
        <v>0</v>
      </c>
      <c r="AK332">
        <f t="shared" si="212"/>
        <v>0</v>
      </c>
      <c r="AL332" cm="1">
        <f t="array" ref="AL332">IFERROR(INDEX(sheath_ecap_asd,MATCH(AP332,sheath_mark,0),0)*AK332,0)</f>
        <v>0</v>
      </c>
      <c r="AM332" cm="1">
        <f t="array" ref="AM332">IFERROR(INDEX(sheath_wcap_asd,MATCH(AP332,sheath_mark,0),0)*AK332,0)</f>
        <v>0</v>
      </c>
      <c r="AN332" cm="1">
        <f t="array" ref="AN332">IFERROR(INDEX(hd_cap,MATCH(AQ332,hd_mark,0),0),0)</f>
        <v>0</v>
      </c>
      <c r="AP332" s="19"/>
      <c r="AQ332" s="19"/>
      <c r="AR332" s="100"/>
      <c r="AS332" s="93"/>
      <c r="AT332" s="111">
        <f>$R$290</f>
        <v>0</v>
      </c>
      <c r="AU332" t="str">
        <f>$Q$280</f>
        <v>L5</v>
      </c>
      <c r="AV332">
        <f>$E$24</f>
        <v>0</v>
      </c>
      <c r="AW332" cm="1">
        <f t="array" ref="AW332">IFERROR(IF(AV332=0,0,(INDEX($C$33:$C$38,MATCH($AZ$290,$B$33:$B$38,0),0)*(AV333+$BA$290)+$AW$290*COUNTIF(AV332:AV332,"&gt;0")*$C$32+$AY$290*$C$31)*$AU$290),0)</f>
        <v>0</v>
      </c>
      <c r="AX332">
        <f>IF(AV332=0,0,-(COUNTIF(AV332:AV332,"&gt;0")*$AW$290*$C$32+$AY$290*$C$31)*$H$27*$AU$290)</f>
        <v>0</v>
      </c>
      <c r="AY332">
        <f>IF(AV332=0,0,$AY$290*$H$26*$AU$290)</f>
        <v>0</v>
      </c>
      <c r="AZ332">
        <f>(0.6*AW332+0.7*AX332)*$AU$290/2</f>
        <v>0</v>
      </c>
      <c r="BA332">
        <f>AW332*$AU$290/2</f>
        <v>0</v>
      </c>
      <c r="BC332">
        <f>IF(AV332=0,0,$BG$290*$AP$280)</f>
        <v>0</v>
      </c>
      <c r="BD332">
        <f>IFERROR(BC332/$AU$290,0)</f>
        <v>0</v>
      </c>
      <c r="BE332">
        <f>BC332*($F$24+IF($F$24=0,0,($C$14+$C$15+IF($C$13="single",1.5,3)+3)/12))</f>
        <v>0</v>
      </c>
      <c r="BF332">
        <f>BE332-AZ332</f>
        <v>0</v>
      </c>
      <c r="BG332" cm="1">
        <f t="array" ref="BG332">IFERROR(IF(BF332&lt;0,0,BF332/($AU$290-INDEX(hd_off,MATCH(BT332,hd_mark,0),0)/12)),0)</f>
        <v>0</v>
      </c>
      <c r="BH332">
        <f>IF(AV332=0,0,$BG$290*$AM$280)</f>
        <v>0</v>
      </c>
      <c r="BI332">
        <f>IFERROR(BH332/$AU$290,0)</f>
        <v>0</v>
      </c>
      <c r="BJ332">
        <f>BH332*($F$24+IF($F$24=0,0,($C$14+$C$15+IF($C$13="single",1.5,3)+3)/12))</f>
        <v>0</v>
      </c>
      <c r="BK332">
        <f>BJ332-BA332</f>
        <v>0</v>
      </c>
      <c r="BL332" cm="1">
        <f t="array" ref="BL332">IFERROR(IF(BK332&lt;0,0,BK332/($AU$290-INDEX(hd_off,MATCH(BT332,hd_mark,0),0)/12)),0)</f>
        <v>0</v>
      </c>
      <c r="BM332">
        <f>MAX($F$24,$BE$290)/$Q$308</f>
        <v>0</v>
      </c>
      <c r="BN332">
        <f t="shared" si="213"/>
        <v>0</v>
      </c>
      <c r="BO332" cm="1">
        <f t="array" ref="BO332">IFERROR(INDEX(sheath_ecap_asd,MATCH(BS332,sheath_mark,0),0)*BN332,0)</f>
        <v>0</v>
      </c>
      <c r="BP332" cm="1">
        <f t="array" ref="BP332">IFERROR(INDEX(sheath_wcap_asd,MATCH(BS332,sheath_mark,0),0)*BN332,0)</f>
        <v>0</v>
      </c>
      <c r="BQ332" cm="1">
        <f t="array" ref="BQ332">IFERROR(INDEX(hd_cap,MATCH(BT332,hd_mark,0),0),0)</f>
        <v>0</v>
      </c>
      <c r="BS332" s="19"/>
      <c r="BT332" s="19"/>
      <c r="BU332" s="100"/>
    </row>
    <row r="333" x14ac:dyDescent="0.25">
      <c r="P333" s="93"/>
      <c r="Q333" s="109"/>
      <c r="R333" t="str">
        <f>$Q$281</f>
        <v>Roof</v>
      </c>
      <c r="S333">
        <f>$E$25</f>
        <v>33.171875</v>
      </c>
      <c r="T333" cm="1">
        <f t="array" ref="T333">IFERROR(IF(S333=0,0,(INDEX($C$33:$C$38,MATCH($W$290,$B$33:$B$38,0),0)*(S333+$X$290)+$V$290*$C$31)*$R$290),0)</f>
        <v>0</v>
      </c>
      <c r="U333">
        <f>IF(S333=0,0,-$V$290*$C$31*$H$27*$R$290)</f>
        <v>0</v>
      </c>
      <c r="V333">
        <f>IF(S333=0,0,$V$290*$H$26*$R$290)</f>
        <v>0</v>
      </c>
      <c r="W333">
        <f>(0.6*T333+0.7*U333)*$R$290/2</f>
        <v>0</v>
      </c>
      <c r="X333">
        <f>T333*$R$290/2</f>
        <v>0</v>
      </c>
      <c r="Z333">
        <f>IF(S333=0,0,$AD$290*$AP$281)</f>
        <v>0</v>
      </c>
      <c r="AA333">
        <f>IFERROR(Z333/$R$290,0)</f>
        <v>0</v>
      </c>
      <c r="AB333">
        <f>Z333*($F$25+($C$16+$C$17+IF($C$13="single",1.5,3)+3)/12)</f>
        <v>0</v>
      </c>
      <c r="AC333">
        <f>AB333-W333</f>
        <v>0</v>
      </c>
      <c r="AD333" cm="1">
        <f t="array" ref="AD333">IFERROR(IF(AC333&lt;0,0,AC333/($R$290-INDEX(hd_off,MATCH(AQ333,hd_mark,0),0)/12)),0)</f>
        <v>0</v>
      </c>
      <c r="AE333">
        <f>IF(S333=0,0,$AD$290*$AM$281)</f>
        <v>0</v>
      </c>
      <c r="AF333">
        <f>IFERROR(AE333/$R$290,0)</f>
        <v>0</v>
      </c>
      <c r="AG333">
        <f>AE333*($F$25+($C$16+$C$17+IF($C$13="single",1.5,3)+3)/12)</f>
        <v>0</v>
      </c>
      <c r="AH333">
        <f>AG333-X333</f>
        <v>0</v>
      </c>
      <c r="AI333" cm="1">
        <f t="array" ref="AI333">IFERROR(IF(AH333&lt;0,0,AH333/($R$290-INDEX(hd_off,MATCH(AQ333,hd_mark,0),0)/12)),0)</f>
        <v>0</v>
      </c>
      <c r="AJ333">
        <f>MAX($F$25,$AC$290)/$Q$308</f>
        <v>0.29920977011494249</v>
      </c>
      <c r="AK333">
        <f t="shared" si="212"/>
        <v>1</v>
      </c>
      <c r="AL333" cm="1">
        <f t="array" ref="AL333">IFERROR(INDEX(sheath_ecap_asd,MATCH(AP333,sheath_mark,0),0)*AK333,0)</f>
        <v>0</v>
      </c>
      <c r="AM333" cm="1">
        <f t="array" ref="AM333">IFERROR(INDEX(sheath_wcap_asd,MATCH(AP333,sheath_mark,0),0)*AK333,0)</f>
        <v>0</v>
      </c>
      <c r="AN333" cm="1">
        <f t="array" ref="AN333">IFERROR(INDEX(hd_cap,MATCH(AQ333,hd_mark,0),0),0)</f>
        <v>0</v>
      </c>
      <c r="AP333" s="19"/>
      <c r="AQ333" s="19"/>
      <c r="AR333" s="100"/>
      <c r="AS333" s="93"/>
      <c r="AT333" s="109"/>
      <c r="AU333" t="str">
        <f>$Q$281</f>
        <v>Roof</v>
      </c>
      <c r="AV333">
        <f>$E$25</f>
        <v>33.171875</v>
      </c>
      <c r="AW333" cm="1">
        <f t="array" ref="AW333">IFERROR(IF(AV333=0,0,(INDEX($C$33:$C$38,MATCH($AZ$290,$B$33:$B$38,0),0)*(AV333+$BA$290)+$AY$290*$C$31)*$AU$290),0)</f>
        <v>0</v>
      </c>
      <c r="AX333">
        <f>IF(AV333=0,0,-$AY$290*$C$31*$H$27*$AU$290)</f>
        <v>0</v>
      </c>
      <c r="AY333">
        <f>IF(AV333=0,0,$AY$290*$H$26*$AU$290)</f>
        <v>0</v>
      </c>
      <c r="AZ333">
        <f>(0.6*AW333+0.7*AX333)*$AU$290/2</f>
        <v>0</v>
      </c>
      <c r="BA333">
        <f>AW333*$AU$290/2</f>
        <v>0</v>
      </c>
      <c r="BC333">
        <f>IF(AV333=0,0,$BG$290*$AP$281)</f>
        <v>0</v>
      </c>
      <c r="BD333">
        <f>IFERROR(BC333/$AU$290,0)</f>
        <v>0</v>
      </c>
      <c r="BE333">
        <f>BC333*($F$25+($C$16+$C$17+IF($C$13="single",1.5,3)+3)/12)</f>
        <v>0</v>
      </c>
      <c r="BF333">
        <f>BE333-AZ333</f>
        <v>0</v>
      </c>
      <c r="BG333" cm="1">
        <f t="array" ref="BG333">IFERROR(IF(BF333&lt;0,0,BF333/($AU$290-INDEX(hd_off,MATCH(BT333,hd_mark,0),0)/12)),0)</f>
        <v>0</v>
      </c>
      <c r="BH333">
        <f>IF(AV333=0,0,$BG$290*$AM$281)</f>
        <v>0</v>
      </c>
      <c r="BI333">
        <f>IFERROR(BH333/$AU$290,0)</f>
        <v>0</v>
      </c>
      <c r="BJ333">
        <f>BH333*($F$25+($C$16+$C$17+IF($C$13="single",1.5,3)+3)/12)</f>
        <v>0</v>
      </c>
      <c r="BK333">
        <f>BJ333-BA333</f>
        <v>0</v>
      </c>
      <c r="BL333" cm="1">
        <f t="array" ref="BL333">IFERROR(IF(BK333&lt;0,0,BK333/($AU$290-INDEX(hd_off,MATCH(BT333,hd_mark,0),0)/12)),0)</f>
        <v>0</v>
      </c>
      <c r="BM333">
        <f>MAX($F$25,$BF$290)/$Q$308</f>
        <v>0.29920977011494249</v>
      </c>
      <c r="BN333">
        <f t="shared" si="213"/>
        <v>1</v>
      </c>
      <c r="BO333" cm="1">
        <f t="array" ref="BO333">IFERROR(INDEX(sheath_ecap_asd,MATCH(BS333,sheath_mark,0),0)*BN333,0)</f>
        <v>0</v>
      </c>
      <c r="BP333" cm="1">
        <f t="array" ref="BP333">IFERROR(INDEX(sheath_wcap_asd,MATCH(BS333,sheath_mark,0),0)*BN333,0)</f>
        <v>0</v>
      </c>
      <c r="BQ333" cm="1">
        <f t="array" ref="BQ333">IFERROR(INDEX(hd_cap,MATCH(BT333,hd_mark,0),0),0)</f>
        <v>0</v>
      </c>
      <c r="BS333" s="19"/>
      <c r="BT333" s="19"/>
      <c r="BU333" s="100"/>
    </row>
    <row r="334" x14ac:dyDescent="0.25">
      <c r="P334" s="93"/>
      <c r="AR334" s="100"/>
      <c r="AS334" s="93"/>
      <c r="BU334" s="100"/>
    </row>
    <row r="335" x14ac:dyDescent="0.25">
      <c r="P335" s="93"/>
      <c r="Q335" s="110" t="str">
        <f>$Q$291</f>
        <v>A.06</v>
      </c>
      <c r="R335" t="str">
        <f>$Q$277</f>
        <v>L2</v>
      </c>
      <c r="S335">
        <f>$E$21</f>
        <v>10.6875</v>
      </c>
      <c r="T335" cm="1">
        <f t="array" ref="T335">IFERROR(IF(S335=0,0,(INDEX($C$33:$C$38,MATCH($W$291,$B$33:$B$38,0),0)*(S339+$X$291)+$T$291*COUNTIF(S335:S338,"&gt;0")*$C$32+$V$291*$C$31)*$R$291),0)</f>
        <v>0</v>
      </c>
      <c r="U335">
        <f>IF(S335=0,0,-(COUNTIF(S335:S338,"&gt;0")*$T$291*$C$32+$V$291*$C$31)*$H$27*$R$291)</f>
        <v>0</v>
      </c>
      <c r="V335">
        <f>IF(S335=0,0,$V$291*$H$26*$R$291)</f>
        <v>0</v>
      </c>
      <c r="W335">
        <f>(0.6*T335+0.7*U335)*$R$291/2</f>
        <v>0</v>
      </c>
      <c r="X335">
        <f>(0.6*T335+0.6*V335)*$R$291/2</f>
        <v>0</v>
      </c>
      <c r="Z335">
        <f>IF(S335=0,0,$AD$291*$AP$277)</f>
        <v>0</v>
      </c>
      <c r="AA335">
        <f>IFERROR(Z335/$R$291,0)</f>
        <v>0</v>
      </c>
      <c r="AB335">
        <f>Z335*($F$21+IF($F$21=0,0,($C$14+$C$15+IF($C$13="single",1.5,3)+3)/12))</f>
        <v>0</v>
      </c>
      <c r="AC335">
        <f>AB335-W335</f>
        <v>0</v>
      </c>
      <c r="AD335" cm="1">
        <f t="array" ref="AD335">IFERROR(IF(AC335&lt;0,0,AC335/($R$291-INDEX(hd_off,MATCH(AQ335,hd_mark,0),0)/12)),0)</f>
        <v>0</v>
      </c>
      <c r="AE335">
        <f>IF(S335=0,0,$AD$291*$AM$277)</f>
        <v>0</v>
      </c>
      <c r="AF335">
        <f>IFERROR(AE335/$R$291,0)</f>
        <v>0</v>
      </c>
      <c r="AG335">
        <f>AE335*($F$21+IF($F$21=0,0,($C$14+$C$15+IF($C$13="single",1.5,3)+3)/12))</f>
        <v>0</v>
      </c>
      <c r="AH335">
        <f>AG335-X335</f>
        <v>0</v>
      </c>
      <c r="AI335" cm="1">
        <f t="array" ref="AI335">IFERROR(IF(AH335&lt;0,0,AH335/($R$291-INDEX(hd_off,MATCH(AQ335,hd_mark,0),0)/12)),0)</f>
        <v>0</v>
      </c>
      <c r="AJ335">
        <f>MAX($F$21,$Y$291)/$Q$308</f>
        <v>0.30172413793103448</v>
      </c>
      <c r="AK335">
        <f>IF(AJ335=0,0,IF(AJ335&gt;2,1.25-0.125*AJ335,1))</f>
        <v>1</v>
      </c>
      <c r="AL335" cm="1">
        <f t="array" ref="AL335">IFERROR(INDEX(sheath_ecap_asd,MATCH(AP335,sheath_mark,0),0)*AK335,0)</f>
        <v>0</v>
      </c>
      <c r="AM335" cm="1">
        <f t="array" ref="AM335">IFERROR(INDEX(sheath_wcap_asd,MATCH(AP335,sheath_mark,0),0)*AK335,0)</f>
        <v>0</v>
      </c>
      <c r="AN335" cm="1">
        <f t="array" ref="AN335">IFERROR(INDEX(hd_cap,MATCH(AQ335,hd_mark,0),0),0)</f>
        <v>0</v>
      </c>
      <c r="AP335" s="19"/>
      <c r="AQ335" s="19"/>
      <c r="AR335" s="100"/>
      <c r="AS335" s="93"/>
      <c r="AT335" s="110" t="str">
        <f>$AT$291</f>
        <v>1.06</v>
      </c>
      <c r="AU335" t="str">
        <f>$Q$277</f>
        <v>L2</v>
      </c>
      <c r="AV335">
        <f>$E$21</f>
        <v>10.6875</v>
      </c>
      <c r="AW335" cm="1">
        <f t="array" ref="AW335">IFERROR(IF(AV335=0,0,(INDEX($C$33:$C$38,MATCH($AZ$291,$B$33:$B$38,0),0)*(AV339+$BA$291)+$AW$291*COUNTIF(AV335:AV338,"&gt;0")*$C$32+$AY$291*$C$31)*$AU$291),0)</f>
        <v>0</v>
      </c>
      <c r="AX335">
        <f>IF(AV335=0,0,-(COUNTIF(AV335:AV338,"&gt;0")*$AW$291*$C$32+$AY$291*$C$31)*$H$27*$AU$291)</f>
        <v>0</v>
      </c>
      <c r="AY335">
        <f>IF(AV335=0,0,$AY$291*$H$26*$AU$291)</f>
        <v>0</v>
      </c>
      <c r="AZ335">
        <f>(0.6*AW335+0.7*AX335)*$AU$291/2</f>
        <v>0</v>
      </c>
      <c r="BA335">
        <f>(0.6*AW335+0.6*AY335)*$AU$291/2</f>
        <v>0</v>
      </c>
      <c r="BC335">
        <f>IF(AV335=0,0,$BG$291*$AP$277)</f>
        <v>0</v>
      </c>
      <c r="BD335">
        <f>IFERROR(BC335/$AU$291,0)</f>
        <v>0</v>
      </c>
      <c r="BE335">
        <f>BC335*($F$21+IF($F$21=0,0,($C$14+$C$15+IF($C$13="single",1.5,3)+3)/12))</f>
        <v>0</v>
      </c>
      <c r="BF335">
        <f>BE335-AZ335</f>
        <v>0</v>
      </c>
      <c r="BG335" cm="1">
        <f t="array" ref="BG335">IFERROR(IF(BF335&lt;0,0,BF335/($AU$291-INDEX(hd_off,MATCH(BT335,hd_mark,0),0)/12)),0)</f>
        <v>0</v>
      </c>
      <c r="BH335">
        <f>IF(AV335=0,0,$BG$291*$AM$277)</f>
        <v>0</v>
      </c>
      <c r="BI335">
        <f>IFERROR(BH335/$AU$291,0)</f>
        <v>0</v>
      </c>
      <c r="BJ335">
        <f>BH335*($F$21+IF($F$21=0,0,($C$14+$C$15+IF($C$13="single",1.5,3)+3)/12))</f>
        <v>0</v>
      </c>
      <c r="BK335">
        <f>BJ335-BA335</f>
        <v>0</v>
      </c>
      <c r="BL335" cm="1">
        <f t="array" ref="BL335">IFERROR(IF(BK335&lt;0,0,BK335/($AU$291-INDEX(hd_off,MATCH(BT335,hd_mark,0),0)/12)),0)</f>
        <v>0</v>
      </c>
      <c r="BM335">
        <f>MAX($F$21,$BB$291)/$Q$308</f>
        <v>0.30172413793103448</v>
      </c>
      <c r="BN335">
        <f>IF(BM335=0,0,IF(BM335&gt;2,1.25-0.125*BM335,1))</f>
        <v>1</v>
      </c>
      <c r="BO335" cm="1">
        <f t="array" ref="BO335">IFERROR(INDEX(sheath_ecap_asd,MATCH(BS335,sheath_mark,0),0)*BN335,0)</f>
        <v>0</v>
      </c>
      <c r="BP335" cm="1">
        <f t="array" ref="BP335">IFERROR(INDEX(sheath_wcap_asd,MATCH(BS335,sheath_mark,0),0)*BN335,0)</f>
        <v>0</v>
      </c>
      <c r="BQ335" cm="1">
        <f t="array" ref="BQ335">IFERROR(INDEX(hd_cap,MATCH(BT335,hd_mark,0),0),0)</f>
        <v>0</v>
      </c>
      <c r="BS335" s="19"/>
      <c r="BT335" s="19"/>
      <c r="BU335" s="100"/>
    </row>
    <row r="336" x14ac:dyDescent="0.25">
      <c r="P336" s="93"/>
      <c r="Q336" s="109"/>
      <c r="R336" t="str">
        <f>$Q$278</f>
        <v>L3</v>
      </c>
      <c r="S336">
        <f>$E$22</f>
        <v>21.375</v>
      </c>
      <c r="T336" cm="1">
        <f t="array" ref="T336">IFERROR(IF(S336=0,0,(INDEX($C$33:$C$38,MATCH($W$291,$B$33:$B$38,0),0)*(S339+$X$291)+$T$291*COUNTIF(S336:S338,"&gt;0")*$C$32+$V$291*$C$31)*$R$291),0)</f>
        <v>0</v>
      </c>
      <c r="U336">
        <f>IF(S336=0,0,-(COUNTIF(S336:S338,"&gt;0")*$T$291*$C$32+$V$291*$C$31)*$H$27*$R$291)</f>
        <v>0</v>
      </c>
      <c r="V336">
        <f>IF(S336=0,0,$V$291*$H$26*$R$291)</f>
        <v>0</v>
      </c>
      <c r="W336">
        <f>(0.6*T336+0.7*U336)*$R$291/2</f>
        <v>0</v>
      </c>
      <c r="X336">
        <f>T336*$R$291/2</f>
        <v>0</v>
      </c>
      <c r="Z336">
        <f>IF(S336=0,0,$AD$291*$AP$278)</f>
        <v>0</v>
      </c>
      <c r="AA336">
        <f>IFERROR(Z336/$R$291,0)</f>
        <v>0</v>
      </c>
      <c r="AB336">
        <f>Z336*($F$22+IF($F$22=0,0,($C$14+$C$15+IF($C$13="single",1.5,3)+3)/12))</f>
        <v>0</v>
      </c>
      <c r="AC336">
        <f>AB336-W336</f>
        <v>0</v>
      </c>
      <c r="AD336" cm="1">
        <f t="array" ref="AD336">IFERROR(IF(AC336&lt;0,0,AC336/($R$291-INDEX(hd_off,MATCH(AQ336,hd_mark,0),0)/12)),0)</f>
        <v>0</v>
      </c>
      <c r="AE336">
        <f>IF(S336=0,0,$AD$291*$AM$278)</f>
        <v>0</v>
      </c>
      <c r="AF336">
        <f>IFERROR(AE336/$R$291,0)</f>
        <v>0</v>
      </c>
      <c r="AG336">
        <f>AE336*($F$22+IF($F$22=0,0,($C$14+$C$15+IF($C$13="single",1.5,3)+3)/12))</f>
        <v>0</v>
      </c>
      <c r="AH336">
        <f>AG336-X336</f>
        <v>0</v>
      </c>
      <c r="AI336" cm="1">
        <f t="array" ref="AI336">IFERROR(IF(AH336&lt;0,0,AH336/($R$291-INDEX(hd_off,MATCH(AQ336,hd_mark,0),0)/12)),0)</f>
        <v>0</v>
      </c>
      <c r="AJ336">
        <f>MAX($F$22,$Z$291)/$Q$308</f>
        <v>0.30172413793103448</v>
      </c>
      <c r="AK336">
        <f t="shared" ref="AK336:AK339" si="214">IF(AJ336=0,0,IF(AJ336&gt;2,1.25-0.125*AJ336,1))</f>
        <v>1</v>
      </c>
      <c r="AL336" cm="1">
        <f t="array" ref="AL336">IFERROR(INDEX(sheath_ecap_asd,MATCH(AP336,sheath_mark,0),0)*AK336,0)</f>
        <v>0</v>
      </c>
      <c r="AM336" cm="1">
        <f t="array" ref="AM336">IFERROR(INDEX(sheath_wcap_asd,MATCH(AP336,sheath_mark,0),0)*AK336,0)</f>
        <v>0</v>
      </c>
      <c r="AN336" cm="1">
        <f t="array" ref="AN336">IFERROR(INDEX(hd_cap,MATCH(AQ336,hd_mark,0),0),0)</f>
        <v>0</v>
      </c>
      <c r="AP336" s="19"/>
      <c r="AQ336" s="19"/>
      <c r="AR336" s="100"/>
      <c r="AS336" s="93"/>
      <c r="AT336" s="109"/>
      <c r="AU336" t="str">
        <f>$Q$278</f>
        <v>L3</v>
      </c>
      <c r="AV336">
        <f>$E$22</f>
        <v>21.375</v>
      </c>
      <c r="AW336" cm="1">
        <f t="array" ref="AW336">IFERROR(IF(AV336=0,0,(INDEX($C$33:$C$38,MATCH($AZ$291,$B$33:$B$38,0),0)*(AV339+$BA$291)+$AW$291*COUNTIF(AV336:AV338,"&gt;0")*$C$32+$AY$291*$C$31)*$AU$291),0)</f>
        <v>0</v>
      </c>
      <c r="AX336">
        <f>IF(AV336=0,0,-(COUNTIF(AV336:AV338,"&gt;0")*$AW$291*$C$32+$AY$291*$C$31)*$H$27*$AU$291)</f>
        <v>0</v>
      </c>
      <c r="AY336">
        <f>IF(AV336=0,0,$AY$291*$H$26*$AU$291)</f>
        <v>0</v>
      </c>
      <c r="AZ336">
        <f>(0.6*AW336+0.7*AX336)*$AU$291/2</f>
        <v>0</v>
      </c>
      <c r="BA336">
        <f>AW336*$AU$291/2</f>
        <v>0</v>
      </c>
      <c r="BC336">
        <f>IF(AV336=0,0,$BG$291*$AP$278)</f>
        <v>0</v>
      </c>
      <c r="BD336">
        <f>IFERROR(BC336/$AU$291,0)</f>
        <v>0</v>
      </c>
      <c r="BE336">
        <f>BC336*($F$22+IF($F$22=0,0,($C$14+$C$15+IF($C$13="single",1.5,3)+3)/12))</f>
        <v>0</v>
      </c>
      <c r="BF336">
        <f>BE336-AZ336</f>
        <v>0</v>
      </c>
      <c r="BG336" cm="1">
        <f t="array" ref="BG336">IFERROR(IF(BF336&lt;0,0,BF336/($AU$291-INDEX(hd_off,MATCH(BT336,hd_mark,0),0)/12)),0)</f>
        <v>0</v>
      </c>
      <c r="BH336">
        <f>IF(AV336=0,0,$BG$291*$AM$278)</f>
        <v>0</v>
      </c>
      <c r="BI336">
        <f>IFERROR(BH336/$AU$291,0)</f>
        <v>0</v>
      </c>
      <c r="BJ336">
        <f>BH336*($F$22+IF($F$22=0,0,($C$14+$C$15+IF($C$13="single",1.5,3)+3)/12))</f>
        <v>0</v>
      </c>
      <c r="BK336">
        <f>BJ336-BA336</f>
        <v>0</v>
      </c>
      <c r="BL336" cm="1">
        <f t="array" ref="BL336">IFERROR(IF(BK336&lt;0,0,BK336/($AU$291-INDEX(hd_off,MATCH(BT336,hd_mark,0),0)/12)),0)</f>
        <v>0</v>
      </c>
      <c r="BM336">
        <f>MAX($F$22,$BC$291)/$Q$308</f>
        <v>0.30172413793103448</v>
      </c>
      <c r="BN336">
        <f t="shared" ref="BN336:BN339" si="215">IF(BM336=0,0,IF(BM336&gt;2,1.25-0.125*BM336,1))</f>
        <v>1</v>
      </c>
      <c r="BO336" cm="1">
        <f t="array" ref="BO336">IFERROR(INDEX(sheath_ecap_asd,MATCH(BS336,sheath_mark,0),0)*BN336,0)</f>
        <v>0</v>
      </c>
      <c r="BP336" cm="1">
        <f t="array" ref="BP336">IFERROR(INDEX(sheath_wcap_asd,MATCH(BS336,sheath_mark,0),0)*BN336,0)</f>
        <v>0</v>
      </c>
      <c r="BQ336" cm="1">
        <f t="array" ref="BQ336">IFERROR(INDEX(hd_cap,MATCH(BT336,hd_mark,0),0),0)</f>
        <v>0</v>
      </c>
      <c r="BS336" s="19"/>
      <c r="BT336" s="19"/>
      <c r="BU336" s="100"/>
    </row>
    <row r="337" x14ac:dyDescent="0.25">
      <c r="P337" s="93"/>
      <c r="Q337" s="109" t="s">
        <v>491</v>
      </c>
      <c r="R337" t="str">
        <f>$Q$279</f>
        <v>L4</v>
      </c>
      <c r="S337">
        <f>$E$23</f>
        <v>0</v>
      </c>
      <c r="T337" cm="1">
        <f t="array" ref="T337">IFERROR(IF(S337=0,0,(INDEX($C$33:$C$38,MATCH($W$291,$B$33:$B$38,0),0)*(S339+$X$291)+$T$291*COUNTIF(S337:S338,"&gt;0")*$C$32+$V$291*$C$31)*$R$291),0)</f>
        <v>0</v>
      </c>
      <c r="U337">
        <f>IF(S337=0,0,-(COUNTIF(S337:S338,"&gt;0")*$T$291*$C$32+$V$291*$C$31)*$H$27*$R$291)</f>
        <v>0</v>
      </c>
      <c r="V337">
        <f>IF(S337=0,0,$V$291*$H$26*$R$291)</f>
        <v>0</v>
      </c>
      <c r="W337">
        <f>(0.6*T337+0.7*U337)*$R$291/2</f>
        <v>0</v>
      </c>
      <c r="X337">
        <f>T337*$R$291/2</f>
        <v>0</v>
      </c>
      <c r="Z337">
        <f>IF(S337=0,0,$AD$291*$AP$279)</f>
        <v>0</v>
      </c>
      <c r="AA337">
        <f>IFERROR(Z337/$R$291,0)</f>
        <v>0</v>
      </c>
      <c r="AB337">
        <f>Z337*($F$23+IF($F$23=0,0,($C$14+$C$15+IF($C$13="single",1.5,3)+3)/12))</f>
        <v>0</v>
      </c>
      <c r="AC337">
        <f>AB337-W337</f>
        <v>0</v>
      </c>
      <c r="AD337" cm="1">
        <f t="array" ref="AD337">IFERROR(IF(AC337&lt;0,0,AC337/($R$291-INDEX(hd_off,MATCH(AQ337,hd_mark,0),0)/12)),0)</f>
        <v>0</v>
      </c>
      <c r="AE337">
        <f>IF(S337=0,0,$AD$291*$AM$279)</f>
        <v>0</v>
      </c>
      <c r="AF337">
        <f>IFERROR(AE337/$R$291,0)</f>
        <v>0</v>
      </c>
      <c r="AG337">
        <f>AE337*($F$23+IF($F$23=0,0,($C$14+$C$15+IF($C$13="single",1.5,3)+3)/12))</f>
        <v>0</v>
      </c>
      <c r="AH337">
        <f>AG337-X337</f>
        <v>0</v>
      </c>
      <c r="AI337" cm="1">
        <f t="array" ref="AI337">IFERROR(IF(AH337&lt;0,0,AH337/($R$291-INDEX(hd_off,MATCH(AQ337,hd_mark,0),0)/12)),0)</f>
        <v>0</v>
      </c>
      <c r="AJ337">
        <f>MAX($F$23,$AA$291)/$Q$308</f>
        <v>0</v>
      </c>
      <c r="AK337">
        <f t="shared" si="214"/>
        <v>0</v>
      </c>
      <c r="AL337" cm="1">
        <f t="array" ref="AL337">IFERROR(INDEX(sheath_ecap_asd,MATCH(AP337,sheath_mark,0),0)*AK337,0)</f>
        <v>0</v>
      </c>
      <c r="AM337" cm="1">
        <f t="array" ref="AM337">IFERROR(INDEX(sheath_wcap_asd,MATCH(AP337,sheath_mark,0),0)*AK337,0)</f>
        <v>0</v>
      </c>
      <c r="AN337" cm="1">
        <f t="array" ref="AN337">IFERROR(INDEX(hd_cap,MATCH(AQ337,hd_mark,0),0),0)</f>
        <v>0</v>
      </c>
      <c r="AP337" s="19"/>
      <c r="AQ337" s="19"/>
      <c r="AR337" s="100"/>
      <c r="AS337" s="93"/>
      <c r="AT337" s="109" t="s">
        <v>491</v>
      </c>
      <c r="AU337" t="str">
        <f>$Q$279</f>
        <v>L4</v>
      </c>
      <c r="AV337">
        <f>$E$23</f>
        <v>0</v>
      </c>
      <c r="AW337" cm="1">
        <f t="array" ref="AW337">IFERROR(IF(AV337=0,0,(INDEX($C$33:$C$38,MATCH($AZ$291,$B$33:$B$38,0),0)*(AV339+$BA$291)+$AW$291*COUNTIF(AV337:AV338,"&gt;0")*$C$32+$AY$291*$C$31)*$AU$291),0)</f>
        <v>0</v>
      </c>
      <c r="AX337">
        <f>IF(AV337=0,0,-(COUNTIF(AV337:AV338,"&gt;0")*$AW$291*$C$32+$AY$291*$C$31)*$H$27*$AU$291)</f>
        <v>0</v>
      </c>
      <c r="AY337">
        <f>IF(AV337=0,0,$AY$291*$H$26*$AU$291)</f>
        <v>0</v>
      </c>
      <c r="AZ337">
        <f>(0.6*AW337+0.7*AX337)*$AU$291/2</f>
        <v>0</v>
      </c>
      <c r="BA337">
        <f>AW337*$AU$291/2</f>
        <v>0</v>
      </c>
      <c r="BC337">
        <f>IF(AV337=0,0,$BG$291*$AP$279)</f>
        <v>0</v>
      </c>
      <c r="BD337">
        <f>IFERROR(BC337/$AU$291,0)</f>
        <v>0</v>
      </c>
      <c r="BE337">
        <f>BC337*($F$23+IF($F$23=0,0,($C$14+$C$15+IF($C$13="single",1.5,3)+3)/12))</f>
        <v>0</v>
      </c>
      <c r="BF337">
        <f>BE337-AZ337</f>
        <v>0</v>
      </c>
      <c r="BG337" cm="1">
        <f t="array" ref="BG337">IFERROR(IF(BF337&lt;0,0,BF337/($AU$291-INDEX(hd_off,MATCH(BT337,hd_mark,0),0)/12)),0)</f>
        <v>0</v>
      </c>
      <c r="BH337">
        <f>IF(AV337=0,0,$BG$291*$AM$279)</f>
        <v>0</v>
      </c>
      <c r="BI337">
        <f>IFERROR(BH337/$AU$291,0)</f>
        <v>0</v>
      </c>
      <c r="BJ337">
        <f>BH337*($F$23+IF($F$23=0,0,($C$14+$C$15+IF($C$13="single",1.5,3)+3)/12))</f>
        <v>0</v>
      </c>
      <c r="BK337">
        <f>BJ337-BA337</f>
        <v>0</v>
      </c>
      <c r="BL337" cm="1">
        <f t="array" ref="BL337">IFERROR(IF(BK337&lt;0,0,BK337/($AU$291-INDEX(hd_off,MATCH(BT337,hd_mark,0),0)/12)),0)</f>
        <v>0</v>
      </c>
      <c r="BM337">
        <f>MAX($F$23,$BD$291)/$Q$308</f>
        <v>0</v>
      </c>
      <c r="BN337">
        <f t="shared" si="215"/>
        <v>0</v>
      </c>
      <c r="BO337" cm="1">
        <f t="array" ref="BO337">IFERROR(INDEX(sheath_ecap_asd,MATCH(BS337,sheath_mark,0),0)*BN337,0)</f>
        <v>0</v>
      </c>
      <c r="BP337" cm="1">
        <f t="array" ref="BP337">IFERROR(INDEX(sheath_wcap_asd,MATCH(BS337,sheath_mark,0),0)*BN337,0)</f>
        <v>0</v>
      </c>
      <c r="BQ337" cm="1">
        <f t="array" ref="BQ337">IFERROR(INDEX(hd_cap,MATCH(BT337,hd_mark,0),0),0)</f>
        <v>0</v>
      </c>
      <c r="BS337" s="19"/>
      <c r="BT337" s="19"/>
      <c r="BU337" s="100"/>
    </row>
    <row r="338" x14ac:dyDescent="0.25">
      <c r="P338" s="93"/>
      <c r="Q338" s="111">
        <f>$R$291</f>
        <v>0</v>
      </c>
      <c r="R338" t="str">
        <f>$Q$280</f>
        <v>L5</v>
      </c>
      <c r="S338">
        <f>$E$24</f>
        <v>0</v>
      </c>
      <c r="T338" cm="1">
        <f t="array" ref="T338">IFERROR(IF(S338=0,0,(INDEX($C$33:$C$38,MATCH($W$291,$B$33:$B$38,0),0)*(S339+$X$291)+$T$291*COUNTIF(S338:S338,"&gt;0")*$C$32+$V$291*$C$31)*$R$291),0)</f>
        <v>0</v>
      </c>
      <c r="U338">
        <f>IF(S338=0,0,-(COUNTIF(S338:S338,"&gt;0")*$T$291*$C$32+$V$291*$C$31)*$H$27*$R$291)</f>
        <v>0</v>
      </c>
      <c r="V338">
        <f>IF(S338=0,0,$V$291*$H$26*$R$291)</f>
        <v>0</v>
      </c>
      <c r="W338">
        <f>(0.6*T338+0.7*U338)*$R$291/2</f>
        <v>0</v>
      </c>
      <c r="X338">
        <f>T338*$R$291/2</f>
        <v>0</v>
      </c>
      <c r="Z338">
        <f>IF(S338=0,0,$AD$291*$AP$280)</f>
        <v>0</v>
      </c>
      <c r="AA338">
        <f>IFERROR(Z338/$R$291,0)</f>
        <v>0</v>
      </c>
      <c r="AB338">
        <f>Z338*($F$24+IF($F$24=0,0,($C$14+$C$15+IF($C$13="single",1.5,3)+3)/12))</f>
        <v>0</v>
      </c>
      <c r="AC338">
        <f>AB338-W338</f>
        <v>0</v>
      </c>
      <c r="AD338" cm="1">
        <f t="array" ref="AD338">IFERROR(IF(AC338&lt;0,0,AC338/($R$291-INDEX(hd_off,MATCH(AQ338,hd_mark,0),0)/12)),0)</f>
        <v>0</v>
      </c>
      <c r="AE338">
        <f>IF(S338=0,0,$AD$291*$AM$280)</f>
        <v>0</v>
      </c>
      <c r="AF338">
        <f>IFERROR(AE338/$R$291,0)</f>
        <v>0</v>
      </c>
      <c r="AG338">
        <f>AE338*($F$24+IF($F$24=0,0,($C$14+$C$15+IF($C$13="single",1.5,3)+3)/12))</f>
        <v>0</v>
      </c>
      <c r="AH338">
        <f>AG338-X338</f>
        <v>0</v>
      </c>
      <c r="AI338" cm="1">
        <f t="array" ref="AI338">IFERROR(IF(AH338&lt;0,0,AH338/($R$291-INDEX(hd_off,MATCH(AQ338,hd_mark,0),0)/12)),0)</f>
        <v>0</v>
      </c>
      <c r="AJ338">
        <f>MAX($F$24,$AB$291)/$Q$308</f>
        <v>0</v>
      </c>
      <c r="AK338">
        <f t="shared" si="214"/>
        <v>0</v>
      </c>
      <c r="AL338" cm="1">
        <f t="array" ref="AL338">IFERROR(INDEX(sheath_ecap_asd,MATCH(AP338,sheath_mark,0),0)*AK338,0)</f>
        <v>0</v>
      </c>
      <c r="AM338" cm="1">
        <f t="array" ref="AM338">IFERROR(INDEX(sheath_wcap_asd,MATCH(AP338,sheath_mark,0),0)*AK338,0)</f>
        <v>0</v>
      </c>
      <c r="AN338" cm="1">
        <f t="array" ref="AN338">IFERROR(INDEX(hd_cap,MATCH(AQ338,hd_mark,0),0),0)</f>
        <v>0</v>
      </c>
      <c r="AP338" s="19"/>
      <c r="AQ338" s="19"/>
      <c r="AR338" s="100"/>
      <c r="AS338" s="93"/>
      <c r="AT338" s="111">
        <f>$R$291</f>
        <v>0</v>
      </c>
      <c r="AU338" t="str">
        <f>$Q$280</f>
        <v>L5</v>
      </c>
      <c r="AV338">
        <f>$E$24</f>
        <v>0</v>
      </c>
      <c r="AW338" cm="1">
        <f t="array" ref="AW338">IFERROR(IF(AV338=0,0,(INDEX($C$33:$C$38,MATCH($AZ$291,$B$33:$B$38,0),0)*(AV339+$BA$291)+$AW$291*COUNTIF(AV338:AV338,"&gt;0")*$C$32+$AY$291*$C$31)*$AU$291),0)</f>
        <v>0</v>
      </c>
      <c r="AX338">
        <f>IF(AV338=0,0,-(COUNTIF(AV338:AV338,"&gt;0")*$AW$291*$C$32+$AY$291*$C$31)*$H$27*$AU$291)</f>
        <v>0</v>
      </c>
      <c r="AY338">
        <f>IF(AV338=0,0,$AY$291*$H$26*$AU$291)</f>
        <v>0</v>
      </c>
      <c r="AZ338">
        <f>(0.6*AW338+0.7*AX338)*$AU$291/2</f>
        <v>0</v>
      </c>
      <c r="BA338">
        <f>AW338*$AU$291/2</f>
        <v>0</v>
      </c>
      <c r="BC338">
        <f>IF(AV338=0,0,$BG$291*$AP$280)</f>
        <v>0</v>
      </c>
      <c r="BD338">
        <f>IFERROR(BC338/$AU$291,0)</f>
        <v>0</v>
      </c>
      <c r="BE338">
        <f>BC338*($F$24+IF($F$24=0,0,($C$14+$C$15+IF($C$13="single",1.5,3)+3)/12))</f>
        <v>0</v>
      </c>
      <c r="BF338">
        <f>BE338-AZ338</f>
        <v>0</v>
      </c>
      <c r="BG338" cm="1">
        <f t="array" ref="BG338">IFERROR(IF(BF338&lt;0,0,BF338/($AU$291-INDEX(hd_off,MATCH(BT338,hd_mark,0),0)/12)),0)</f>
        <v>0</v>
      </c>
      <c r="BH338">
        <f>IF(AV338=0,0,$BG$291*$AM$280)</f>
        <v>0</v>
      </c>
      <c r="BI338">
        <f>IFERROR(BH338/$AU$291,0)</f>
        <v>0</v>
      </c>
      <c r="BJ338">
        <f>BH338*($F$24+IF($F$24=0,0,($C$14+$C$15+IF($C$13="single",1.5,3)+3)/12))</f>
        <v>0</v>
      </c>
      <c r="BK338">
        <f>BJ338-BA338</f>
        <v>0</v>
      </c>
      <c r="BL338" cm="1">
        <f t="array" ref="BL338">IFERROR(IF(BK338&lt;0,0,BK338/($AU$291-INDEX(hd_off,MATCH(BT338,hd_mark,0),0)/12)),0)</f>
        <v>0</v>
      </c>
      <c r="BM338">
        <f>MAX($F$24,$BE$291)/$Q$308</f>
        <v>0</v>
      </c>
      <c r="BN338">
        <f t="shared" si="215"/>
        <v>0</v>
      </c>
      <c r="BO338" cm="1">
        <f t="array" ref="BO338">IFERROR(INDEX(sheath_ecap_asd,MATCH(BS338,sheath_mark,0),0)*BN338,0)</f>
        <v>0</v>
      </c>
      <c r="BP338" cm="1">
        <f t="array" ref="BP338">IFERROR(INDEX(sheath_wcap_asd,MATCH(BS338,sheath_mark,0),0)*BN338,0)</f>
        <v>0</v>
      </c>
      <c r="BQ338" cm="1">
        <f t="array" ref="BQ338">IFERROR(INDEX(hd_cap,MATCH(BT338,hd_mark,0),0),0)</f>
        <v>0</v>
      </c>
      <c r="BS338" s="19"/>
      <c r="BT338" s="19"/>
      <c r="BU338" s="100"/>
    </row>
    <row r="339" x14ac:dyDescent="0.25">
      <c r="P339" s="93"/>
      <c r="Q339" s="109"/>
      <c r="R339" t="str">
        <f>$Q$281</f>
        <v>Roof</v>
      </c>
      <c r="S339">
        <f>$E$25</f>
        <v>33.171875</v>
      </c>
      <c r="T339" cm="1">
        <f t="array" ref="T339">IFERROR(IF(S339=0,0,(INDEX($C$33:$C$38,MATCH($W$291,$B$33:$B$38,0),0)*(S339+$X$291)+$V$291*$C$31)*$R$291),0)</f>
        <v>0</v>
      </c>
      <c r="U339">
        <f>IF(S339=0,0,-$V$291*$C$31*$H$27*$R$291)</f>
        <v>0</v>
      </c>
      <c r="V339">
        <f>IF(S339=0,0,$V$291*$H$26*$R$291)</f>
        <v>0</v>
      </c>
      <c r="W339">
        <f>(0.6*T339+0.7*U339)*$R$291/2</f>
        <v>0</v>
      </c>
      <c r="X339">
        <f>T339*$R$291/2</f>
        <v>0</v>
      </c>
      <c r="Z339">
        <f>IF(S339=0,0,$AD$291*$AP$281)</f>
        <v>0</v>
      </c>
      <c r="AA339">
        <f>IFERROR(Z339/$R$291,0)</f>
        <v>0</v>
      </c>
      <c r="AB339">
        <f>Z339*($F$25+($C$16+$C$17+IF($C$13="single",1.5,3)+3)/12)</f>
        <v>0</v>
      </c>
      <c r="AC339">
        <f>AB339-W339</f>
        <v>0</v>
      </c>
      <c r="AD339" cm="1">
        <f t="array" ref="AD339">IFERROR(IF(AC339&lt;0,0,AC339/($R$291-INDEX(hd_off,MATCH(AQ339,hd_mark,0),0)/12)),0)</f>
        <v>0</v>
      </c>
      <c r="AE339">
        <f>IF(S339=0,0,$AD$291*$AM$281)</f>
        <v>0</v>
      </c>
      <c r="AF339">
        <f>IFERROR(AE339/$R$291,0)</f>
        <v>0</v>
      </c>
      <c r="AG339">
        <f>AE339*($F$25+($C$16+$C$17+IF($C$13="single",1.5,3)+3)/12)</f>
        <v>0</v>
      </c>
      <c r="AH339">
        <f>AG339-X339</f>
        <v>0</v>
      </c>
      <c r="AI339" cm="1">
        <f t="array" ref="AI339">IFERROR(IF(AH339&lt;0,0,AH339/($R$291-INDEX(hd_off,MATCH(AQ339,hd_mark,0),0)/12)),0)</f>
        <v>0</v>
      </c>
      <c r="AJ339">
        <f>MAX($F$25,$AC$291)/$Q$308</f>
        <v>0.29920977011494249</v>
      </c>
      <c r="AK339">
        <f t="shared" si="214"/>
        <v>1</v>
      </c>
      <c r="AL339" cm="1">
        <f t="array" ref="AL339">IFERROR(INDEX(sheath_ecap_asd,MATCH(AP339,sheath_mark,0),0)*AK339,0)</f>
        <v>0</v>
      </c>
      <c r="AM339" cm="1">
        <f t="array" ref="AM339">IFERROR(INDEX(sheath_wcap_asd,MATCH(AP339,sheath_mark,0),0)*AK339,0)</f>
        <v>0</v>
      </c>
      <c r="AN339" cm="1">
        <f t="array" ref="AN339">IFERROR(INDEX(hd_cap,MATCH(AQ339,hd_mark,0),0),0)</f>
        <v>0</v>
      </c>
      <c r="AP339" s="19"/>
      <c r="AQ339" s="19"/>
      <c r="AR339" s="100"/>
      <c r="AS339" s="93"/>
      <c r="AT339" s="109"/>
      <c r="AU339" t="str">
        <f>$Q$281</f>
        <v>Roof</v>
      </c>
      <c r="AV339">
        <f>$E$25</f>
        <v>33.171875</v>
      </c>
      <c r="AW339" cm="1">
        <f t="array" ref="AW339">IFERROR(IF(AV339=0,0,(INDEX($C$33:$C$38,MATCH($AZ$291,$B$33:$B$38,0),0)*(AV339+$BA$291)+$AY$291*$C$31)*$AU$291),0)</f>
        <v>0</v>
      </c>
      <c r="AX339">
        <f>IF(AV339=0,0,-$AY$291*$C$31*$H$27*$AU$291)</f>
        <v>0</v>
      </c>
      <c r="AY339">
        <f>IF(AV339=0,0,$AY$291*$H$26*$AU$291)</f>
        <v>0</v>
      </c>
      <c r="AZ339">
        <f>(0.6*AW339+0.7*AX339)*$AU$291/2</f>
        <v>0</v>
      </c>
      <c r="BA339">
        <f>AW339*$AU$291/2</f>
        <v>0</v>
      </c>
      <c r="BC339">
        <f>IF(AV339=0,0,$BG$291*$AP$281)</f>
        <v>0</v>
      </c>
      <c r="BD339">
        <f>IFERROR(BC339/$AU$291,0)</f>
        <v>0</v>
      </c>
      <c r="BE339">
        <f>BC339*($F$25+($C$16+$C$17+IF($C$13="single",1.5,3)+3)/12)</f>
        <v>0</v>
      </c>
      <c r="BF339">
        <f>BE339-AZ339</f>
        <v>0</v>
      </c>
      <c r="BG339" cm="1">
        <f t="array" ref="BG339">IFERROR(IF(BF339&lt;0,0,BF339/($AU$291-INDEX(hd_off,MATCH(BT339,hd_mark,0),0)/12)),0)</f>
        <v>0</v>
      </c>
      <c r="BH339">
        <f>IF(AV339=0,0,$BG$291*$AM$281)</f>
        <v>0</v>
      </c>
      <c r="BI339">
        <f>IFERROR(BH339/$AU$291,0)</f>
        <v>0</v>
      </c>
      <c r="BJ339">
        <f>BH339*($F$25+($C$16+$C$17+IF($C$13="single",1.5,3)+3)/12)</f>
        <v>0</v>
      </c>
      <c r="BK339">
        <f>BJ339-BA339</f>
        <v>0</v>
      </c>
      <c r="BL339" cm="1">
        <f t="array" ref="BL339">IFERROR(IF(BK339&lt;0,0,BK339/($AU$291-INDEX(hd_off,MATCH(BT339,hd_mark,0),0)/12)),0)</f>
        <v>0</v>
      </c>
      <c r="BM339">
        <f>MAX($F$25,$BF$291)/$Q$308</f>
        <v>0.29920977011494249</v>
      </c>
      <c r="BN339">
        <f t="shared" si="215"/>
        <v>1</v>
      </c>
      <c r="BO339" cm="1">
        <f t="array" ref="BO339">IFERROR(INDEX(sheath_ecap_asd,MATCH(BS339,sheath_mark,0),0)*BN339,0)</f>
        <v>0</v>
      </c>
      <c r="BP339" cm="1">
        <f t="array" ref="BP339">IFERROR(INDEX(sheath_wcap_asd,MATCH(BS339,sheath_mark,0),0)*BN339,0)</f>
        <v>0</v>
      </c>
      <c r="BQ339" cm="1">
        <f t="array" ref="BQ339">IFERROR(INDEX(hd_cap,MATCH(BT339,hd_mark,0),0),0)</f>
        <v>0</v>
      </c>
      <c r="BS339" s="19"/>
      <c r="BT339" s="19"/>
      <c r="BU339" s="100"/>
    </row>
    <row r="340" x14ac:dyDescent="0.25">
      <c r="P340" s="93"/>
      <c r="AR340" s="100"/>
      <c r="AS340" s="93"/>
      <c r="BU340" s="100"/>
    </row>
    <row r="341" x14ac:dyDescent="0.25">
      <c r="P341" s="93"/>
      <c r="Q341" s="110" t="str">
        <f>$Q$292</f>
        <v>A.07</v>
      </c>
      <c r="R341" t="str">
        <f>$Q$277</f>
        <v>L2</v>
      </c>
      <c r="S341">
        <f>$E$21</f>
        <v>10.6875</v>
      </c>
      <c r="T341" cm="1">
        <f t="array" ref="T341">IFERROR(IF(S341=0,0,(INDEX($C$33:$C$38,MATCH($W$292,$B$33:$B$38,0),0)*(S345+$X$292)+$T$292*COUNTIF(S341:S344,"&gt;0")*$C$32+$V$292*$C$31)*$R$292),0)</f>
        <v>0</v>
      </c>
      <c r="U341">
        <f>IF(S341=0,0,-(COUNTIF(S341:S344,"&gt;0")*$T$292*$C$32+$V$292*$C$31)*$H$27*$R$292)</f>
        <v>0</v>
      </c>
      <c r="V341">
        <f>IF(S341=0,0,$V$292*$H$26*$R$292)</f>
        <v>0</v>
      </c>
      <c r="W341">
        <f>(0.6*T341+0.7*U341)*$R$292/2</f>
        <v>0</v>
      </c>
      <c r="X341">
        <f>(0.6*T341+0.6*V341)*$R$292/2</f>
        <v>0</v>
      </c>
      <c r="Z341">
        <f>IF(S341=0,0,$AD$292*$AP$277)</f>
        <v>0</v>
      </c>
      <c r="AA341">
        <f>IFERROR(Z341/$R$292,0)</f>
        <v>0</v>
      </c>
      <c r="AB341">
        <f>Z341*($F$21+IF($F$21=0,0,($C$14+$C$15+IF($C$13="single",1.5,3)+3)/12))</f>
        <v>0</v>
      </c>
      <c r="AC341">
        <f>AB341-W341</f>
        <v>0</v>
      </c>
      <c r="AD341" cm="1">
        <f t="array" ref="AD341">IFERROR(IF(AC341&lt;0,0,AC341/($R$292-INDEX(hd_off,MATCH(AQ341,hd_mark,0),0)/12)),0)</f>
        <v>0</v>
      </c>
      <c r="AE341">
        <f>IF(S341=0,0,$AD$292*$AM$277)</f>
        <v>0</v>
      </c>
      <c r="AF341">
        <f>IFERROR(AE341/$R$292,0)</f>
        <v>0</v>
      </c>
      <c r="AG341">
        <f>AE341*($F$21+IF($F$21=0,0,($C$14+$C$15+IF($C$13="single",1.5,3)+3)/12))</f>
        <v>0</v>
      </c>
      <c r="AH341">
        <f>AG341-X341</f>
        <v>0</v>
      </c>
      <c r="AI341" cm="1">
        <f t="array" ref="AI341">IFERROR(IF(AH341&lt;0,0,AH341/($R$292-INDEX(hd_off,MATCH(AQ341,hd_mark,0),0)/12)),0)</f>
        <v>0</v>
      </c>
      <c r="AJ341">
        <f>MAX($F$21,$Y$292)/$Q$308</f>
        <v>0.30172413793103448</v>
      </c>
      <c r="AK341">
        <f>IF(AJ341=0,0,IF(AJ341&gt;2,1.25-0.125*AJ341,1))</f>
        <v>1</v>
      </c>
      <c r="AL341" cm="1">
        <f t="array" ref="AL341">IFERROR(INDEX(sheath_ecap_asd,MATCH(AP341,sheath_mark,0),0)*AK341,0)</f>
        <v>0</v>
      </c>
      <c r="AM341" cm="1">
        <f t="array" ref="AM341">IFERROR(INDEX(sheath_wcap_asd,MATCH(AP341,sheath_mark,0),0)*AK341,0)</f>
        <v>0</v>
      </c>
      <c r="AN341" cm="1">
        <f t="array" ref="AN341">IFERROR(INDEX(hd_cap,MATCH(AQ341,hd_mark,0),0),0)</f>
        <v>0</v>
      </c>
      <c r="AP341" s="19"/>
      <c r="AQ341" s="19"/>
      <c r="AR341" s="100"/>
      <c r="AS341" s="93"/>
      <c r="AT341" s="110" t="str">
        <f>$AT$292</f>
        <v>1.07</v>
      </c>
      <c r="AU341" t="str">
        <f>$Q$277</f>
        <v>L2</v>
      </c>
      <c r="AV341">
        <f>$E$21</f>
        <v>10.6875</v>
      </c>
      <c r="AW341" cm="1">
        <f t="array" ref="AW341">IFERROR(IF(AV341=0,0,(INDEX($C$33:$C$38,MATCH($AZ$292,$B$33:$B$38,0),0)*(AV345+$BA$292)+$AW$292*COUNTIF(AV341:AV344,"&gt;0")*$C$32+$AY$292*$C$31)*$AU$292),0)</f>
        <v>0</v>
      </c>
      <c r="AX341">
        <f>IF(AV341=0,0,-(COUNTIF(AV341:AV344,"&gt;0")*$AW$292*$C$32+$AY$292*$C$31)*$H$27*$AU$292)</f>
        <v>0</v>
      </c>
      <c r="AY341">
        <f>IF(AV341=0,0,$AY$292*$H$26*$AU$292)</f>
        <v>0</v>
      </c>
      <c r="AZ341">
        <f>(0.6*AW341+0.7*AX341)*$AU$292/2</f>
        <v>0</v>
      </c>
      <c r="BA341">
        <f>(0.6*AW341+0.6*AY341)*$AU$292/2</f>
        <v>0</v>
      </c>
      <c r="BC341">
        <f>IF(AV341=0,0,$BG$292*$AP$277)</f>
        <v>0</v>
      </c>
      <c r="BD341">
        <f>IFERROR(BC341/$AU$292,0)</f>
        <v>0</v>
      </c>
      <c r="BE341">
        <f>BC341*($F$21+IF($F$21=0,0,($C$14+$C$15+IF($C$13="single",1.5,3)+3)/12))</f>
        <v>0</v>
      </c>
      <c r="BF341">
        <f>BE341-AZ341</f>
        <v>0</v>
      </c>
      <c r="BG341" cm="1">
        <f t="array" ref="BG341">IFERROR(IF(BF341&lt;0,0,BF341/($AU$292-INDEX(hd_off,MATCH(BT341,hd_mark,0),0)/12)),0)</f>
        <v>0</v>
      </c>
      <c r="BH341">
        <f>IF(AV341=0,0,$BG$292*$AM$277)</f>
        <v>0</v>
      </c>
      <c r="BI341">
        <f>IFERROR(BH341/$AU$292,0)</f>
        <v>0</v>
      </c>
      <c r="BJ341">
        <f>BH341*($F$21+IF($F$21=0,0,($C$14+$C$15+IF($C$13="single",1.5,3)+3)/12))</f>
        <v>0</v>
      </c>
      <c r="BK341">
        <f>BJ341-BA341</f>
        <v>0</v>
      </c>
      <c r="BL341" cm="1">
        <f t="array" ref="BL341">IFERROR(IF(BK341&lt;0,0,BK341/($AU$292-INDEX(hd_off,MATCH(BT341,hd_mark,0),0)/12)),0)</f>
        <v>0</v>
      </c>
      <c r="BM341">
        <f>MAX($F$21,$BB$292)/$Q$308</f>
        <v>0.30172413793103448</v>
      </c>
      <c r="BN341">
        <f>IF(BM341=0,0,IF(BM341&gt;2,1.25-0.125*BM341,1))</f>
        <v>1</v>
      </c>
      <c r="BO341" cm="1">
        <f t="array" ref="BO341">IFERROR(INDEX(sheath_ecap_asd,MATCH(BS341,sheath_mark,0),0)*BN341,0)</f>
        <v>0</v>
      </c>
      <c r="BP341" cm="1">
        <f t="array" ref="BP341">IFERROR(INDEX(sheath_wcap_asd,MATCH(BS341,sheath_mark,0),0)*BN341,0)</f>
        <v>0</v>
      </c>
      <c r="BQ341" cm="1">
        <f t="array" ref="BQ341">IFERROR(INDEX(hd_cap,MATCH(BT341,hd_mark,0),0),0)</f>
        <v>0</v>
      </c>
      <c r="BS341" s="19"/>
      <c r="BT341" s="19"/>
      <c r="BU341" s="100"/>
    </row>
    <row r="342" x14ac:dyDescent="0.25">
      <c r="P342" s="93"/>
      <c r="Q342" s="109"/>
      <c r="R342" t="str">
        <f>$Q$278</f>
        <v>L3</v>
      </c>
      <c r="S342">
        <f>$E$22</f>
        <v>21.375</v>
      </c>
      <c r="T342" cm="1">
        <f t="array" ref="T342">IFERROR(IF(S342=0,0,(INDEX($C$33:$C$38,MATCH($W$292,$B$33:$B$38,0),0)*(S345+$X$292)+$T$292*COUNTIF(S342:S344,"&gt;0")*$C$32+$V$292*$C$31)*$R$292),0)</f>
        <v>0</v>
      </c>
      <c r="U342">
        <f>IF(S342=0,0,-(COUNTIF(S342:S344,"&gt;0")*$T$292*$C$32+$V$292*$C$31)*$H$27*$R$292)</f>
        <v>0</v>
      </c>
      <c r="V342">
        <f>IF(S342=0,0,$V$292*$H$26*$R$292)</f>
        <v>0</v>
      </c>
      <c r="W342">
        <f>(0.6*T342+0.7*U342)*$R$292/2</f>
        <v>0</v>
      </c>
      <c r="X342">
        <f>T342*$R$292/2</f>
        <v>0</v>
      </c>
      <c r="Z342">
        <f>IF(S342=0,0,$AD$292*$AP$278)</f>
        <v>0</v>
      </c>
      <c r="AA342">
        <f>IFERROR(Z342/$R$292,0)</f>
        <v>0</v>
      </c>
      <c r="AB342">
        <f>Z342*($F$22+IF($F$22=0,0,($C$14+$C$15+IF($C$13="single",1.5,3)+3)/12))</f>
        <v>0</v>
      </c>
      <c r="AC342">
        <f>AB342-W342</f>
        <v>0</v>
      </c>
      <c r="AD342" cm="1">
        <f t="array" ref="AD342">IFERROR(IF(AC342&lt;0,0,AC342/($R$292-INDEX(hd_off,MATCH(AQ342,hd_mark,0),0)/12)),0)</f>
        <v>0</v>
      </c>
      <c r="AE342">
        <f>IF(S342=0,0,$AD$292*$AM$278)</f>
        <v>0</v>
      </c>
      <c r="AF342">
        <f>IFERROR(AE342/$R$292,0)</f>
        <v>0</v>
      </c>
      <c r="AG342">
        <f>AE342*($F$22+IF($F$22=0,0,($C$14+$C$15+IF($C$13="single",1.5,3)+3)/12))</f>
        <v>0</v>
      </c>
      <c r="AH342">
        <f>AG342-X342</f>
        <v>0</v>
      </c>
      <c r="AI342" cm="1">
        <f t="array" ref="AI342">IFERROR(IF(AH342&lt;0,0,AH342/($R$292-INDEX(hd_off,MATCH(AQ342,hd_mark,0),0)/12)),0)</f>
        <v>0</v>
      </c>
      <c r="AJ342">
        <f>MAX($F$22,$Z$292)/$Q$308</f>
        <v>0.30172413793103448</v>
      </c>
      <c r="AK342">
        <f t="shared" ref="AK342:AK345" si="216">IF(AJ342=0,0,IF(AJ342&gt;2,1.25-0.125*AJ342,1))</f>
        <v>1</v>
      </c>
      <c r="AL342" cm="1">
        <f t="array" ref="AL342">IFERROR(INDEX(sheath_ecap_asd,MATCH(AP342,sheath_mark,0),0)*AK342,0)</f>
        <v>0</v>
      </c>
      <c r="AM342" cm="1">
        <f t="array" ref="AM342">IFERROR(INDEX(sheath_wcap_asd,MATCH(AP342,sheath_mark,0),0)*AK342,0)</f>
        <v>0</v>
      </c>
      <c r="AN342" cm="1">
        <f t="array" ref="AN342">IFERROR(INDEX(hd_cap,MATCH(AQ342,hd_mark,0),0),0)</f>
        <v>0</v>
      </c>
      <c r="AP342" s="19"/>
      <c r="AQ342" s="19"/>
      <c r="AR342" s="100"/>
      <c r="AS342" s="93"/>
      <c r="AT342" s="109"/>
      <c r="AU342" t="str">
        <f>$Q$278</f>
        <v>L3</v>
      </c>
      <c r="AV342">
        <f>$E$22</f>
        <v>21.375</v>
      </c>
      <c r="AW342" cm="1">
        <f t="array" ref="AW342">IFERROR(IF(AV342=0,0,(INDEX($C$33:$C$38,MATCH($AZ$292,$B$33:$B$38,0),0)*(AV345+$BA$292)+$AW$292*COUNTIF(AV342:AV344,"&gt;0")*$C$32+$AY$292*$C$31)*$AU$292),0)</f>
        <v>0</v>
      </c>
      <c r="AX342">
        <f>IF(AV342=0,0,-(COUNTIF(AV342:AV344,"&gt;0")*$AW$292*$C$32+$AY$292*$C$31)*$H$27*$AU$292)</f>
        <v>0</v>
      </c>
      <c r="AY342">
        <f>IF(AV342=0,0,$AY$292*$H$26*$AU$292)</f>
        <v>0</v>
      </c>
      <c r="AZ342">
        <f>(0.6*AW342+0.7*AX342)*$AU$292/2</f>
        <v>0</v>
      </c>
      <c r="BA342">
        <f>AW342*$AU$292/2</f>
        <v>0</v>
      </c>
      <c r="BC342">
        <f>IF(AV342=0,0,$BG$292*$AP$278)</f>
        <v>0</v>
      </c>
      <c r="BD342">
        <f>IFERROR(BC342/$AU$292,0)</f>
        <v>0</v>
      </c>
      <c r="BE342">
        <f>BC342*($F$22+IF($F$22=0,0,($C$14+$C$15+IF($C$13="single",1.5,3)+3)/12))</f>
        <v>0</v>
      </c>
      <c r="BF342">
        <f>BE342-AZ342</f>
        <v>0</v>
      </c>
      <c r="BG342" cm="1">
        <f t="array" ref="BG342">IFERROR(IF(BF342&lt;0,0,BF342/($AU$292-INDEX(hd_off,MATCH(BT342,hd_mark,0),0)/12)),0)</f>
        <v>0</v>
      </c>
      <c r="BH342">
        <f>IF(AV342=0,0,$BG$292*$AM$278)</f>
        <v>0</v>
      </c>
      <c r="BI342">
        <f>IFERROR(BH342/$AU$292,0)</f>
        <v>0</v>
      </c>
      <c r="BJ342">
        <f>BH342*($F$22+IF($F$22=0,0,($C$14+$C$15+IF($C$13="single",1.5,3)+3)/12))</f>
        <v>0</v>
      </c>
      <c r="BK342">
        <f>BJ342-BA342</f>
        <v>0</v>
      </c>
      <c r="BL342" cm="1">
        <f t="array" ref="BL342">IFERROR(IF(BK342&lt;0,0,BK342/($AU$292-INDEX(hd_off,MATCH(BT342,hd_mark,0),0)/12)),0)</f>
        <v>0</v>
      </c>
      <c r="BM342">
        <f>MAX($F$22,$BC$292)/$Q$308</f>
        <v>0.30172413793103448</v>
      </c>
      <c r="BN342">
        <f t="shared" ref="BN342:BN345" si="217">IF(BM342=0,0,IF(BM342&gt;2,1.25-0.125*BM342,1))</f>
        <v>1</v>
      </c>
      <c r="BO342" cm="1">
        <f t="array" ref="BO342">IFERROR(INDEX(sheath_ecap_asd,MATCH(BS342,sheath_mark,0),0)*BN342,0)</f>
        <v>0</v>
      </c>
      <c r="BP342" cm="1">
        <f t="array" ref="BP342">IFERROR(INDEX(sheath_wcap_asd,MATCH(BS342,sheath_mark,0),0)*BN342,0)</f>
        <v>0</v>
      </c>
      <c r="BQ342" cm="1">
        <f t="array" ref="BQ342">IFERROR(INDEX(hd_cap,MATCH(BT342,hd_mark,0),0),0)</f>
        <v>0</v>
      </c>
      <c r="BS342" s="19"/>
      <c r="BT342" s="19"/>
      <c r="BU342" s="100"/>
    </row>
    <row r="343" x14ac:dyDescent="0.25">
      <c r="P343" s="93"/>
      <c r="Q343" s="109" t="s">
        <v>491</v>
      </c>
      <c r="R343" t="str">
        <f>$Q$279</f>
        <v>L4</v>
      </c>
      <c r="S343">
        <f>$E$23</f>
        <v>0</v>
      </c>
      <c r="T343" cm="1">
        <f t="array" ref="T343">IFERROR(IF(S343=0,0,(INDEX($C$33:$C$38,MATCH($W$292,$B$33:$B$38,0),0)*(S345+$X$292)+$T$292*COUNTIF(S343:S344,"&gt;0")*$C$32+$V$292*$C$31)*$R$292),0)</f>
        <v>0</v>
      </c>
      <c r="U343">
        <f>IF(S343=0,0,-(COUNTIF(S343:S344,"&gt;0")*$T$292*$C$32+$V$292*$C$31)*$H$27*$R$292)</f>
        <v>0</v>
      </c>
      <c r="V343">
        <f>IF(S343=0,0,$V$292*$H$26*$R$292)</f>
        <v>0</v>
      </c>
      <c r="W343">
        <f>(0.6*T343+0.7*U343)*$R$292/2</f>
        <v>0</v>
      </c>
      <c r="X343">
        <f>T343*$R$292/2</f>
        <v>0</v>
      </c>
      <c r="Z343">
        <f>IF(S343=0,0,$AD$292*$AP$279)</f>
        <v>0</v>
      </c>
      <c r="AA343">
        <f>IFERROR(Z343/$R$292,0)</f>
        <v>0</v>
      </c>
      <c r="AB343">
        <f>Z343*($F$23+IF($F$23=0,0,($C$14+$C$15+IF($C$13="single",1.5,3)+3)/12))</f>
        <v>0</v>
      </c>
      <c r="AC343">
        <f>AB343-W343</f>
        <v>0</v>
      </c>
      <c r="AD343" cm="1">
        <f t="array" ref="AD343">IFERROR(IF(AC343&lt;0,0,AC343/($R$292-INDEX(hd_off,MATCH(AQ343,hd_mark,0),0)/12)),0)</f>
        <v>0</v>
      </c>
      <c r="AE343">
        <f>IF(S343=0,0,$AD$292*$AM$279)</f>
        <v>0</v>
      </c>
      <c r="AF343">
        <f>IFERROR(AE343/$R$292,0)</f>
        <v>0</v>
      </c>
      <c r="AG343">
        <f>AE343*($F$23+IF($F$23=0,0,($C$14+$C$15+IF($C$13="single",1.5,3)+3)/12))</f>
        <v>0</v>
      </c>
      <c r="AH343">
        <f>AG343-X343</f>
        <v>0</v>
      </c>
      <c r="AI343" cm="1">
        <f t="array" ref="AI343">IFERROR(IF(AH343&lt;0,0,AH343/($R$292-INDEX(hd_off,MATCH(AQ343,hd_mark,0),0)/12)),0)</f>
        <v>0</v>
      </c>
      <c r="AJ343">
        <f>MAX($F$23,$AA$292)/$Q$308</f>
        <v>0</v>
      </c>
      <c r="AK343">
        <f t="shared" si="216"/>
        <v>0</v>
      </c>
      <c r="AL343" cm="1">
        <f t="array" ref="AL343">IFERROR(INDEX(sheath_ecap_asd,MATCH(AP343,sheath_mark,0),0)*AK343,0)</f>
        <v>0</v>
      </c>
      <c r="AM343" cm="1">
        <f t="array" ref="AM343">IFERROR(INDEX(sheath_wcap_asd,MATCH(AP343,sheath_mark,0),0)*AK343,0)</f>
        <v>0</v>
      </c>
      <c r="AN343" cm="1">
        <f t="array" ref="AN343">IFERROR(INDEX(hd_cap,MATCH(AQ343,hd_mark,0),0),0)</f>
        <v>0</v>
      </c>
      <c r="AP343" s="19"/>
      <c r="AQ343" s="19"/>
      <c r="AR343" s="100"/>
      <c r="AS343" s="93"/>
      <c r="AT343" s="109" t="s">
        <v>491</v>
      </c>
      <c r="AU343" t="str">
        <f>$Q$279</f>
        <v>L4</v>
      </c>
      <c r="AV343">
        <f>$E$23</f>
        <v>0</v>
      </c>
      <c r="AW343" cm="1">
        <f t="array" ref="AW343">IFERROR(IF(AV343=0,0,(INDEX($C$33:$C$38,MATCH($AZ$292,$B$33:$B$38,0),0)*(AV345+$BA$292)+$AW$292*COUNTIF(AV343:AV344,"&gt;0")*$C$32+$AY$292*$C$31)*$AU$292),0)</f>
        <v>0</v>
      </c>
      <c r="AX343">
        <f>IF(AV343=0,0,-(COUNTIF(AV343:AV344,"&gt;0")*$AW$292*$C$32+$AY$292*$C$31)*$H$27*$AU$292)</f>
        <v>0</v>
      </c>
      <c r="AY343">
        <f>IF(AV343=0,0,$AY$292*$H$26*$AU$292)</f>
        <v>0</v>
      </c>
      <c r="AZ343">
        <f>(0.6*AW343+0.7*AX343)*$AU$292/2</f>
        <v>0</v>
      </c>
      <c r="BA343">
        <f>AW343*$AU$292/2</f>
        <v>0</v>
      </c>
      <c r="BC343">
        <f>IF(AV343=0,0,$BG$292*$AP$279)</f>
        <v>0</v>
      </c>
      <c r="BD343">
        <f>IFERROR(BC343/$AU$292,0)</f>
        <v>0</v>
      </c>
      <c r="BE343">
        <f>BC343*($F$23+IF($F$23=0,0,($C$14+$C$15+IF($C$13="single",1.5,3)+3)/12))</f>
        <v>0</v>
      </c>
      <c r="BF343">
        <f>BE343-AZ343</f>
        <v>0</v>
      </c>
      <c r="BG343" cm="1">
        <f t="array" ref="BG343">IFERROR(IF(BF343&lt;0,0,BF343/($AU$292-INDEX(hd_off,MATCH(BT343,hd_mark,0),0)/12)),0)</f>
        <v>0</v>
      </c>
      <c r="BH343">
        <f>IF(AV343=0,0,$BG$292*$AM$279)</f>
        <v>0</v>
      </c>
      <c r="BI343">
        <f>IFERROR(BH343/$AU$292,0)</f>
        <v>0</v>
      </c>
      <c r="BJ343">
        <f>BH343*($F$23+IF($F$23=0,0,($C$14+$C$15+IF($C$13="single",1.5,3)+3)/12))</f>
        <v>0</v>
      </c>
      <c r="BK343">
        <f>BJ343-BA343</f>
        <v>0</v>
      </c>
      <c r="BL343" cm="1">
        <f t="array" ref="BL343">IFERROR(IF(BK343&lt;0,0,BK343/($AU$292-INDEX(hd_off,MATCH(BT343,hd_mark,0),0)/12)),0)</f>
        <v>0</v>
      </c>
      <c r="BM343">
        <f>MAX($F$23,$BD$292)/$Q$308</f>
        <v>0</v>
      </c>
      <c r="BN343">
        <f t="shared" si="217"/>
        <v>0</v>
      </c>
      <c r="BO343" cm="1">
        <f t="array" ref="BO343">IFERROR(INDEX(sheath_ecap_asd,MATCH(BS343,sheath_mark,0),0)*BN343,0)</f>
        <v>0</v>
      </c>
      <c r="BP343" cm="1">
        <f t="array" ref="BP343">IFERROR(INDEX(sheath_wcap_asd,MATCH(BS343,sheath_mark,0),0)*BN343,0)</f>
        <v>0</v>
      </c>
      <c r="BQ343" cm="1">
        <f t="array" ref="BQ343">IFERROR(INDEX(hd_cap,MATCH(BT343,hd_mark,0),0),0)</f>
        <v>0</v>
      </c>
      <c r="BS343" s="19"/>
      <c r="BT343" s="19"/>
      <c r="BU343" s="100"/>
    </row>
    <row r="344" x14ac:dyDescent="0.25">
      <c r="P344" s="93"/>
      <c r="Q344" s="111">
        <f>$R$292</f>
        <v>0</v>
      </c>
      <c r="R344" t="str">
        <f>$Q$280</f>
        <v>L5</v>
      </c>
      <c r="S344">
        <f>$E$24</f>
        <v>0</v>
      </c>
      <c r="T344" cm="1">
        <f t="array" ref="T344">IFERROR(IF(S344=0,0,(INDEX($C$33:$C$38,MATCH($W$292,$B$33:$B$38,0),0)*(S345+$X$292)+$T$292*COUNTIF(S344:S344,"&gt;0")*$C$32+$V$292*$C$31)*$R$292),0)</f>
        <v>0</v>
      </c>
      <c r="U344">
        <f>IF(S344=0,0,-(COUNTIF(S344:S344,"&gt;0")*$T$292*$C$32+$V$292*$C$31)*$H$27*$R$292)</f>
        <v>0</v>
      </c>
      <c r="V344">
        <f>IF(S344=0,0,$V$292*$H$26*$R$292)</f>
        <v>0</v>
      </c>
      <c r="W344">
        <f>(0.6*T344+0.7*U344)*$R$292/2</f>
        <v>0</v>
      </c>
      <c r="X344">
        <f>T344*$R$292/2</f>
        <v>0</v>
      </c>
      <c r="Z344">
        <f>IF(S344=0,0,$AD$292*$AP$280)</f>
        <v>0</v>
      </c>
      <c r="AA344">
        <f>IFERROR(Z344/$R$292,0)</f>
        <v>0</v>
      </c>
      <c r="AB344">
        <f>Z344*($F$24+IF($F$24=0,0,($C$14+$C$15+IF($C$13="single",1.5,3)+3)/12))</f>
        <v>0</v>
      </c>
      <c r="AC344">
        <f>AB344-W344</f>
        <v>0</v>
      </c>
      <c r="AD344" cm="1">
        <f t="array" ref="AD344">IFERROR(IF(AC344&lt;0,0,AC344/($R$292-INDEX(hd_off,MATCH(AQ344,hd_mark,0),0)/12)),0)</f>
        <v>0</v>
      </c>
      <c r="AE344">
        <f>IF(S344=0,0,$AD$292*$AM$280)</f>
        <v>0</v>
      </c>
      <c r="AF344">
        <f>IFERROR(AE344/$R$292,0)</f>
        <v>0</v>
      </c>
      <c r="AG344">
        <f>AE344*($F$24+IF($F$24=0,0,($C$14+$C$15+IF($C$13="single",1.5,3)+3)/12))</f>
        <v>0</v>
      </c>
      <c r="AH344">
        <f>AG344-X344</f>
        <v>0</v>
      </c>
      <c r="AI344" cm="1">
        <f t="array" ref="AI344">IFERROR(IF(AH344&lt;0,0,AH344/($R$292-INDEX(hd_off,MATCH(AQ344,hd_mark,0),0)/12)),0)</f>
        <v>0</v>
      </c>
      <c r="AJ344">
        <f>MAX($F$24,$AB$292)/$Q$308</f>
        <v>0</v>
      </c>
      <c r="AK344">
        <f t="shared" si="216"/>
        <v>0</v>
      </c>
      <c r="AL344" cm="1">
        <f t="array" ref="AL344">IFERROR(INDEX(sheath_ecap_asd,MATCH(AP344,sheath_mark,0),0)*AK344,0)</f>
        <v>0</v>
      </c>
      <c r="AM344" cm="1">
        <f t="array" ref="AM344">IFERROR(INDEX(sheath_wcap_asd,MATCH(AP344,sheath_mark,0),0)*AK344,0)</f>
        <v>0</v>
      </c>
      <c r="AN344" cm="1">
        <f t="array" ref="AN344">IFERROR(INDEX(hd_cap,MATCH(AQ344,hd_mark,0),0),0)</f>
        <v>0</v>
      </c>
      <c r="AP344" s="19"/>
      <c r="AQ344" s="19"/>
      <c r="AR344" s="100"/>
      <c r="AS344" s="93"/>
      <c r="AT344" s="111">
        <f>$R$292</f>
        <v>0</v>
      </c>
      <c r="AU344" t="str">
        <f>$Q$280</f>
        <v>L5</v>
      </c>
      <c r="AV344">
        <f>$E$24</f>
        <v>0</v>
      </c>
      <c r="AW344" cm="1">
        <f t="array" ref="AW344">IFERROR(IF(AV344=0,0,(INDEX($C$33:$C$38,MATCH($AZ$292,$B$33:$B$38,0),0)*(AV345+$BA$292)+$AW$292*COUNTIF(AV344:AV344,"&gt;0")*$C$32+$AY$292*$C$31)*$AU$292),0)</f>
        <v>0</v>
      </c>
      <c r="AX344">
        <f>IF(AV344=0,0,-(COUNTIF(AV344:AV344,"&gt;0")*$AW$292*$C$32+$AY$292*$C$31)*$H$27*$AU$292)</f>
        <v>0</v>
      </c>
      <c r="AY344">
        <f>IF(AV344=0,0,$AY$292*$H$26*$AU$292)</f>
        <v>0</v>
      </c>
      <c r="AZ344">
        <f>(0.6*AW344+0.7*AX344)*$AU$292/2</f>
        <v>0</v>
      </c>
      <c r="BA344">
        <f>AW344*$AU$292/2</f>
        <v>0</v>
      </c>
      <c r="BC344">
        <f>IF(AV344=0,0,$BG$292*$AP$280)</f>
        <v>0</v>
      </c>
      <c r="BD344">
        <f>IFERROR(BC344/$AU$292,0)</f>
        <v>0</v>
      </c>
      <c r="BE344">
        <f>BC344*($F$24+IF($F$24=0,0,($C$14+$C$15+IF($C$13="single",1.5,3)+3)/12))</f>
        <v>0</v>
      </c>
      <c r="BF344">
        <f>BE344-AZ344</f>
        <v>0</v>
      </c>
      <c r="BG344" cm="1">
        <f t="array" ref="BG344">IFERROR(IF(BF344&lt;0,0,BF344/($AU$292-INDEX(hd_off,MATCH(BT344,hd_mark,0),0)/12)),0)</f>
        <v>0</v>
      </c>
      <c r="BH344">
        <f>IF(AV344=0,0,$BG$292*$AM$280)</f>
        <v>0</v>
      </c>
      <c r="BI344">
        <f>IFERROR(BH344/$AU$292,0)</f>
        <v>0</v>
      </c>
      <c r="BJ344">
        <f>BH344*($F$24+IF($F$24=0,0,($C$14+$C$15+IF($C$13="single",1.5,3)+3)/12))</f>
        <v>0</v>
      </c>
      <c r="BK344">
        <f>BJ344-BA344</f>
        <v>0</v>
      </c>
      <c r="BL344" cm="1">
        <f t="array" ref="BL344">IFERROR(IF(BK344&lt;0,0,BK344/($AU$292-INDEX(hd_off,MATCH(BT344,hd_mark,0),0)/12)),0)</f>
        <v>0</v>
      </c>
      <c r="BM344">
        <f>MAX($F$24,$BE$292)/$Q$308</f>
        <v>0</v>
      </c>
      <c r="BN344">
        <f t="shared" si="217"/>
        <v>0</v>
      </c>
      <c r="BO344" cm="1">
        <f t="array" ref="BO344">IFERROR(INDEX(sheath_ecap_asd,MATCH(BS344,sheath_mark,0),0)*BN344,0)</f>
        <v>0</v>
      </c>
      <c r="BP344" cm="1">
        <f t="array" ref="BP344">IFERROR(INDEX(sheath_wcap_asd,MATCH(BS344,sheath_mark,0),0)*BN344,0)</f>
        <v>0</v>
      </c>
      <c r="BQ344" cm="1">
        <f t="array" ref="BQ344">IFERROR(INDEX(hd_cap,MATCH(BT344,hd_mark,0),0),0)</f>
        <v>0</v>
      </c>
      <c r="BS344" s="19"/>
      <c r="BT344" s="19"/>
      <c r="BU344" s="100"/>
    </row>
    <row r="345" x14ac:dyDescent="0.25">
      <c r="P345" s="93"/>
      <c r="Q345" s="109"/>
      <c r="R345" t="str">
        <f>$Q$281</f>
        <v>Roof</v>
      </c>
      <c r="S345">
        <f>$E$25</f>
        <v>33.171875</v>
      </c>
      <c r="T345" cm="1">
        <f t="array" ref="T345">IFERROR(IF(S345=0,0,(INDEX($C$33:$C$38,MATCH($W$292,$B$33:$B$38,0),0)*(S345+$X$292)+$V$292*$C$31)*$R$292),0)</f>
        <v>0</v>
      </c>
      <c r="U345">
        <f>IF(S345=0,0,-$V$292*$C$31*$H$27*$R$292)</f>
        <v>0</v>
      </c>
      <c r="V345">
        <f>IF(S345=0,0,$V$292*$H$26*$R$292)</f>
        <v>0</v>
      </c>
      <c r="W345">
        <f>(0.6*T345+0.7*U345)*$R$292/2</f>
        <v>0</v>
      </c>
      <c r="X345">
        <f>T345*$R$292/2</f>
        <v>0</v>
      </c>
      <c r="Z345">
        <f>IF(S345=0,0,$AD$292*$AP$281)</f>
        <v>0</v>
      </c>
      <c r="AA345">
        <f>IFERROR(Z345/$R$292,0)</f>
        <v>0</v>
      </c>
      <c r="AB345">
        <f>Z345*($F$25+($C$16+$C$17+IF($C$13="single",1.5,3)+3)/12)</f>
        <v>0</v>
      </c>
      <c r="AC345">
        <f>AB345-W345</f>
        <v>0</v>
      </c>
      <c r="AD345" cm="1">
        <f t="array" ref="AD345">IFERROR(IF(AC345&lt;0,0,AC345/($R$292-INDEX(hd_off,MATCH(AQ345,hd_mark,0),0)/12)),0)</f>
        <v>0</v>
      </c>
      <c r="AE345">
        <f>IF(S345=0,0,$AD$292*$AM$281)</f>
        <v>0</v>
      </c>
      <c r="AF345">
        <f>IFERROR(AE345/$R$292,0)</f>
        <v>0</v>
      </c>
      <c r="AG345">
        <f>AE345*($F$25+($C$16+$C$17+IF($C$13="single",1.5,3)+3)/12)</f>
        <v>0</v>
      </c>
      <c r="AH345">
        <f>AG345-X345</f>
        <v>0</v>
      </c>
      <c r="AI345" cm="1">
        <f t="array" ref="AI345">IFERROR(IF(AH345&lt;0,0,AH345/($R$292-INDEX(hd_off,MATCH(AQ345,hd_mark,0),0)/12)),0)</f>
        <v>0</v>
      </c>
      <c r="AJ345">
        <f>MAX($F$25,$AC$292)/$Q$308</f>
        <v>0.29920977011494249</v>
      </c>
      <c r="AK345">
        <f t="shared" si="216"/>
        <v>1</v>
      </c>
      <c r="AL345" cm="1">
        <f t="array" ref="AL345">IFERROR(INDEX(sheath_ecap_asd,MATCH(AP345,sheath_mark,0),0)*AK345,0)</f>
        <v>0</v>
      </c>
      <c r="AM345" cm="1">
        <f t="array" ref="AM345">IFERROR(INDEX(sheath_wcap_asd,MATCH(AP345,sheath_mark,0),0)*AK345,0)</f>
        <v>0</v>
      </c>
      <c r="AN345" cm="1">
        <f t="array" ref="AN345">IFERROR(INDEX(hd_cap,MATCH(AQ345,hd_mark,0),0),0)</f>
        <v>0</v>
      </c>
      <c r="AP345" s="19"/>
      <c r="AQ345" s="19"/>
      <c r="AR345" s="100"/>
      <c r="AS345" s="93"/>
      <c r="AT345" s="109"/>
      <c r="AU345" t="str">
        <f>$Q$281</f>
        <v>Roof</v>
      </c>
      <c r="AV345">
        <f>$E$25</f>
        <v>33.171875</v>
      </c>
      <c r="AW345" cm="1">
        <f t="array" ref="AW345">IFERROR(IF(AV345=0,0,(INDEX($C$33:$C$38,MATCH($AZ$292,$B$33:$B$38,0),0)*(AV345+$BA$292)+$AY$292*$C$31)*$AU$292),0)</f>
        <v>0</v>
      </c>
      <c r="AX345">
        <f>IF(AV345=0,0,-$AY$292*$C$31*$H$27*$AU$292)</f>
        <v>0</v>
      </c>
      <c r="AY345">
        <f>IF(AV345=0,0,$AY$292*$H$26*$AU$292)</f>
        <v>0</v>
      </c>
      <c r="AZ345">
        <f>(0.6*AW345+0.7*AX345)*$AU$292/2</f>
        <v>0</v>
      </c>
      <c r="BA345">
        <f>AW345*$AU$292/2</f>
        <v>0</v>
      </c>
      <c r="BC345">
        <f>IF(AV345=0,0,$BG$292*$AP$281)</f>
        <v>0</v>
      </c>
      <c r="BD345">
        <f>IFERROR(BC345/$AU$292,0)</f>
        <v>0</v>
      </c>
      <c r="BE345">
        <f>BC345*($F$25+($C$16+$C$17+IF($C$13="single",1.5,3)+3)/12)</f>
        <v>0</v>
      </c>
      <c r="BF345">
        <f>BE345-AZ345</f>
        <v>0</v>
      </c>
      <c r="BG345" cm="1">
        <f t="array" ref="BG345">IFERROR(IF(BF345&lt;0,0,BF345/($AU$292-INDEX(hd_off,MATCH(BT345,hd_mark,0),0)/12)),0)</f>
        <v>0</v>
      </c>
      <c r="BH345">
        <f>IF(AV345=0,0,$BG$292*$AM$281)</f>
        <v>0</v>
      </c>
      <c r="BI345">
        <f>IFERROR(BH345/$AU$292,0)</f>
        <v>0</v>
      </c>
      <c r="BJ345">
        <f>BH345*($F$25+($C$16+$C$17+IF($C$13="single",1.5,3)+3)/12)</f>
        <v>0</v>
      </c>
      <c r="BK345">
        <f>BJ345-BA345</f>
        <v>0</v>
      </c>
      <c r="BL345" cm="1">
        <f t="array" ref="BL345">IFERROR(IF(BK345&lt;0,0,BK345/($AU$292-INDEX(hd_off,MATCH(BT345,hd_mark,0),0)/12)),0)</f>
        <v>0</v>
      </c>
      <c r="BM345">
        <f>MAX($F$25,$BF$292)/$Q$308</f>
        <v>0.29920977011494249</v>
      </c>
      <c r="BN345">
        <f t="shared" si="217"/>
        <v>1</v>
      </c>
      <c r="BO345" cm="1">
        <f t="array" ref="BO345">IFERROR(INDEX(sheath_ecap_asd,MATCH(BS345,sheath_mark,0),0)*BN345,0)</f>
        <v>0</v>
      </c>
      <c r="BP345" cm="1">
        <f t="array" ref="BP345">IFERROR(INDEX(sheath_wcap_asd,MATCH(BS345,sheath_mark,0),0)*BN345,0)</f>
        <v>0</v>
      </c>
      <c r="BQ345" cm="1">
        <f t="array" ref="BQ345">IFERROR(INDEX(hd_cap,MATCH(BT345,hd_mark,0),0),0)</f>
        <v>0</v>
      </c>
      <c r="BS345" s="19"/>
      <c r="BT345" s="19"/>
      <c r="BU345" s="100"/>
    </row>
    <row r="346" x14ac:dyDescent="0.25">
      <c r="P346" s="93"/>
      <c r="AR346" s="100"/>
      <c r="AS346" s="93"/>
      <c r="BU346" s="100"/>
    </row>
    <row r="347" x14ac:dyDescent="0.25">
      <c r="P347" s="93"/>
      <c r="Q347" s="110" t="str">
        <f>$Q$293</f>
        <v>A.08</v>
      </c>
      <c r="R347" t="str">
        <f>$Q$277</f>
        <v>L2</v>
      </c>
      <c r="S347">
        <f>$E$21</f>
        <v>10.6875</v>
      </c>
      <c r="T347" cm="1">
        <f t="array" ref="T347">IFERROR(IF(S347=0,0,(INDEX($C$33:$C$38,MATCH($W$293,$B$33:$B$38,0),0)*(S351+$X$293)+$T$293*COUNTIF(S347:S350,"&gt;0")*$C$32+$V$293*$C$31)*$R$293),0)</f>
        <v>0</v>
      </c>
      <c r="U347">
        <f>IF(S347=0,0,-(COUNTIF(S347:S350,"&gt;0")*$T$293*$C$32+$V$293*$C$31)*$H$27*$R$293)</f>
        <v>0</v>
      </c>
      <c r="V347">
        <f>IF(S347=0,0,$V$293*$H$26*$R$293)</f>
        <v>0</v>
      </c>
      <c r="W347">
        <f>(0.6*T347+0.7*U347)*$R$293/2</f>
        <v>0</v>
      </c>
      <c r="X347">
        <f>(0.6*T347+0.6*V347)*$R$293/2</f>
        <v>0</v>
      </c>
      <c r="Z347">
        <f>IF(S347=0,0,$AD$293*$AP$277)</f>
        <v>0</v>
      </c>
      <c r="AA347">
        <f>IFERROR(Z347/$R$293,0)</f>
        <v>0</v>
      </c>
      <c r="AB347">
        <f>Z347*($F$21+IF($F$21=0,0,($C$14+$C$15+IF($C$13="single",1.5,3)+3)/12))</f>
        <v>0</v>
      </c>
      <c r="AC347">
        <f>AB347-W347</f>
        <v>0</v>
      </c>
      <c r="AD347" cm="1">
        <f t="array" ref="AD347">IFERROR(IF(AC347&lt;0,0,AC347/($R$293-INDEX(hd_off,MATCH(AQ347,hd_mark,0),0)/12)),0)</f>
        <v>0</v>
      </c>
      <c r="AE347">
        <f>IF(S347=0,0,$AD$293*$AM$277)</f>
        <v>0</v>
      </c>
      <c r="AF347">
        <f>IFERROR(AE347/$R$293,0)</f>
        <v>0</v>
      </c>
      <c r="AG347">
        <f>AE347*($F$21+IF($F$21=0,0,($C$14+$C$15+IF($C$13="single",1.5,3)+3)/12))</f>
        <v>0</v>
      </c>
      <c r="AH347">
        <f>AG347-X347</f>
        <v>0</v>
      </c>
      <c r="AI347" cm="1">
        <f t="array" ref="AI347">IFERROR(IF(AH347&lt;0,0,AH347/($R$293-INDEX(hd_off,MATCH(AQ347,hd_mark,0),0)/12)),0)</f>
        <v>0</v>
      </c>
      <c r="AJ347">
        <f>MAX($F$21,$Y$293)/$Q$308</f>
        <v>0.30172413793103448</v>
      </c>
      <c r="AK347">
        <f>IF(AJ347=0,0,IF(AJ347&gt;2,1.25-0.125*AJ347,1))</f>
        <v>1</v>
      </c>
      <c r="AL347" cm="1">
        <f t="array" ref="AL347">IFERROR(INDEX(sheath_ecap_asd,MATCH(AP347,sheath_mark,0),0)*AK347,0)</f>
        <v>0</v>
      </c>
      <c r="AM347" cm="1">
        <f t="array" ref="AM347">IFERROR(INDEX(sheath_wcap_asd,MATCH(AP347,sheath_mark,0),0)*AK347,0)</f>
        <v>0</v>
      </c>
      <c r="AN347" cm="1">
        <f t="array" ref="AN347">IFERROR(INDEX(hd_cap,MATCH(AQ347,hd_mark,0),0),0)</f>
        <v>0</v>
      </c>
      <c r="AP347" s="19"/>
      <c r="AQ347" s="19"/>
      <c r="AR347" s="100"/>
      <c r="AS347" s="93"/>
      <c r="AT347" s="110" t="str">
        <f>$AT$293</f>
        <v>1.08</v>
      </c>
      <c r="AU347" t="str">
        <f>$Q$277</f>
        <v>L2</v>
      </c>
      <c r="AV347">
        <f>$E$21</f>
        <v>10.6875</v>
      </c>
      <c r="AW347" cm="1">
        <f t="array" ref="AW347">IFERROR(IF(AV347=0,0,(INDEX($C$33:$C$38,MATCH($AZ$293,$B$33:$B$38,0),0)*(AV351+$BA$293)+$AW$293*COUNTIF(AV347:AV350,"&gt;0")*$C$32+$AY$293*$C$31)*$AU$293),0)</f>
        <v>0</v>
      </c>
      <c r="AX347">
        <f>IF(AV347=0,0,-(COUNTIF(AV347:AV350,"&gt;0")*$AW$293*$C$32+$AY$293*$C$31)*$H$27*$AU$293)</f>
        <v>0</v>
      </c>
      <c r="AY347">
        <f>IF(AV347=0,0,$AY$293*$H$26*$AU$293)</f>
        <v>0</v>
      </c>
      <c r="AZ347">
        <f>(0.6*AW347+0.7*AX347)*$AU$293/2</f>
        <v>0</v>
      </c>
      <c r="BA347">
        <f>(0.6*AW347+0.6*AY347)*$AU$293/2</f>
        <v>0</v>
      </c>
      <c r="BC347">
        <f>IF(AV347=0,0,$BG$293*$AP$277)</f>
        <v>0</v>
      </c>
      <c r="BD347">
        <f>IFERROR(BC347/$AU$293,0)</f>
        <v>0</v>
      </c>
      <c r="BE347">
        <f>BC347*($F$21+IF($F$21=0,0,($C$14+$C$15+IF($C$13="single",1.5,3)+3)/12))</f>
        <v>0</v>
      </c>
      <c r="BF347">
        <f>BE347-AZ347</f>
        <v>0</v>
      </c>
      <c r="BG347" cm="1">
        <f t="array" ref="BG347">IFERROR(IF(BF347&lt;0,0,BF347/($AU$293-INDEX(hd_off,MATCH(BT347,hd_mark,0),0)/12)),0)</f>
        <v>0</v>
      </c>
      <c r="BH347">
        <f>IF(AV347=0,0,$BG$293*$AM$277)</f>
        <v>0</v>
      </c>
      <c r="BI347">
        <f>IFERROR(BH347/$AU$293,0)</f>
        <v>0</v>
      </c>
      <c r="BJ347">
        <f>BH347*($F$21+IF($F$21=0,0,($C$14+$C$15+IF($C$13="single",1.5,3)+3)/12))</f>
        <v>0</v>
      </c>
      <c r="BK347">
        <f>BJ347-BA347</f>
        <v>0</v>
      </c>
      <c r="BL347" cm="1">
        <f t="array" ref="BL347">IFERROR(IF(BK347&lt;0,0,BK347/($AU$293-INDEX(hd_off,MATCH(BT347,hd_mark,0),0)/12)),0)</f>
        <v>0</v>
      </c>
      <c r="BM347">
        <f>MAX($F$21,$BB$293)/$Q$308</f>
        <v>0.30172413793103448</v>
      </c>
      <c r="BN347">
        <f>IF(BM347=0,0,IF(BM347&gt;2,1.25-0.125*BM347,1))</f>
        <v>1</v>
      </c>
      <c r="BO347" cm="1">
        <f t="array" ref="BO347">IFERROR(INDEX(sheath_ecap_asd,MATCH(BS347,sheath_mark,0),0)*BN347,0)</f>
        <v>0</v>
      </c>
      <c r="BP347" cm="1">
        <f t="array" ref="BP347">IFERROR(INDEX(sheath_wcap_asd,MATCH(BS347,sheath_mark,0),0)*BN347,0)</f>
        <v>0</v>
      </c>
      <c r="BQ347" cm="1">
        <f t="array" ref="BQ347">IFERROR(INDEX(hd_cap,MATCH(BT347,hd_mark,0),0),0)</f>
        <v>0</v>
      </c>
      <c r="BS347" s="19"/>
      <c r="BT347" s="19"/>
      <c r="BU347" s="100"/>
    </row>
    <row r="348" x14ac:dyDescent="0.25">
      <c r="P348" s="93"/>
      <c r="Q348" s="109"/>
      <c r="R348" t="str">
        <f>$Q$278</f>
        <v>L3</v>
      </c>
      <c r="S348">
        <f>$E$22</f>
        <v>21.375</v>
      </c>
      <c r="T348" cm="1">
        <f t="array" ref="T348">IFERROR(IF(S348=0,0,(INDEX($C$33:$C$38,MATCH($W$293,$B$33:$B$38,0),0)*(S351+$X$293)+$T$293*COUNTIF(S348:S350,"&gt;0")*$C$32+$V$293*$C$31)*$R$293),0)</f>
        <v>0</v>
      </c>
      <c r="U348">
        <f>IF(S348=0,0,-(COUNTIF(S348:S350,"&gt;0")*$T$293*$C$32+$V$293*$C$31)*$H$27*$R$293)</f>
        <v>0</v>
      </c>
      <c r="V348">
        <f>IF(S348=0,0,$V$293*$H$26*$R$293)</f>
        <v>0</v>
      </c>
      <c r="W348">
        <f>(0.6*T348+0.7*U348)*$R$293/2</f>
        <v>0</v>
      </c>
      <c r="X348">
        <f>T348*$R$293/2</f>
        <v>0</v>
      </c>
      <c r="Z348">
        <f>IF(S348=0,0,$AD$293*$AP$278)</f>
        <v>0</v>
      </c>
      <c r="AA348">
        <f>IFERROR(Z348/$R$293,0)</f>
        <v>0</v>
      </c>
      <c r="AB348">
        <f>Z348*($F$22+IF($F$22=0,0,($C$14+$C$15+IF($C$13="single",1.5,3)+3)/12))</f>
        <v>0</v>
      </c>
      <c r="AC348">
        <f>AB348-W348</f>
        <v>0</v>
      </c>
      <c r="AD348" cm="1">
        <f t="array" ref="AD348">IFERROR(IF(AC348&lt;0,0,AC348/($R$293-INDEX(hd_off,MATCH(AQ348,hd_mark,0),0)/12)),0)</f>
        <v>0</v>
      </c>
      <c r="AE348">
        <f>IF(S348=0,0,$AD$293*$AM$278)</f>
        <v>0</v>
      </c>
      <c r="AF348">
        <f>IFERROR(AE348/$R$293,0)</f>
        <v>0</v>
      </c>
      <c r="AG348">
        <f>AE348*($F$22+IF($F$22=0,0,($C$14+$C$15+IF($C$13="single",1.5,3)+3)/12))</f>
        <v>0</v>
      </c>
      <c r="AH348">
        <f>AG348-X348</f>
        <v>0</v>
      </c>
      <c r="AI348" cm="1">
        <f t="array" ref="AI348">IFERROR(IF(AH348&lt;0,0,AH348/($R$293-INDEX(hd_off,MATCH(AQ348,hd_mark,0),0)/12)),0)</f>
        <v>0</v>
      </c>
      <c r="AJ348">
        <f>MAX($F$22,$Z$293)/$Q$308</f>
        <v>0.30172413793103448</v>
      </c>
      <c r="AK348">
        <f t="shared" ref="AK348:AK351" si="218">IF(AJ348=0,0,IF(AJ348&gt;2,1.25-0.125*AJ348,1))</f>
        <v>1</v>
      </c>
      <c r="AL348" cm="1">
        <f t="array" ref="AL348">IFERROR(INDEX(sheath_ecap_asd,MATCH(AP348,sheath_mark,0),0)*AK348,0)</f>
        <v>0</v>
      </c>
      <c r="AM348" cm="1">
        <f t="array" ref="AM348">IFERROR(INDEX(sheath_wcap_asd,MATCH(AP348,sheath_mark,0),0)*AK348,0)</f>
        <v>0</v>
      </c>
      <c r="AN348" cm="1">
        <f t="array" ref="AN348">IFERROR(INDEX(hd_cap,MATCH(AQ348,hd_mark,0),0),0)</f>
        <v>0</v>
      </c>
      <c r="AP348" s="19"/>
      <c r="AQ348" s="19"/>
      <c r="AR348" s="100"/>
      <c r="AS348" s="93"/>
      <c r="AT348" s="109"/>
      <c r="AU348" t="str">
        <f>$Q$278</f>
        <v>L3</v>
      </c>
      <c r="AV348">
        <f>$E$22</f>
        <v>21.375</v>
      </c>
      <c r="AW348" cm="1">
        <f t="array" ref="AW348">IFERROR(IF(AV348=0,0,(INDEX($C$33:$C$38,MATCH($AZ$293,$B$33:$B$38,0),0)*(AV351+$BA$293)+$AW$293*COUNTIF(AV348:AV350,"&gt;0")*$C$32+$AY$293*$C$31)*$AU$293),0)</f>
        <v>0</v>
      </c>
      <c r="AX348">
        <f>IF(AV348=0,0,-(COUNTIF(AV348:AV350,"&gt;0")*$AW$293*$C$32+$AY$293*$C$31)*$H$27*$AU$293)</f>
        <v>0</v>
      </c>
      <c r="AY348">
        <f>IF(AV348=0,0,$AY$293*$H$26*$AU$293)</f>
        <v>0</v>
      </c>
      <c r="AZ348">
        <f>(0.6*AW348+0.7*AX348)*$AU$293/2</f>
        <v>0</v>
      </c>
      <c r="BA348">
        <f>AW348*$AU$293/2</f>
        <v>0</v>
      </c>
      <c r="BC348">
        <f>IF(AV348=0,0,$BG$293*$AP$278)</f>
        <v>0</v>
      </c>
      <c r="BD348">
        <f>IFERROR(BC348/$AU$293,0)</f>
        <v>0</v>
      </c>
      <c r="BE348">
        <f>BC348*($F$22+IF($F$22=0,0,($C$14+$C$15+IF($C$13="single",1.5,3)+3)/12))</f>
        <v>0</v>
      </c>
      <c r="BF348">
        <f>BE348-AZ348</f>
        <v>0</v>
      </c>
      <c r="BG348" cm="1">
        <f t="array" ref="BG348">IFERROR(IF(BF348&lt;0,0,BF348/($AU$293-INDEX(hd_off,MATCH(BT348,hd_mark,0),0)/12)),0)</f>
        <v>0</v>
      </c>
      <c r="BH348">
        <f>IF(AV348=0,0,$BG$293*$AM$278)</f>
        <v>0</v>
      </c>
      <c r="BI348">
        <f>IFERROR(BH348/$AU$293,0)</f>
        <v>0</v>
      </c>
      <c r="BJ348">
        <f>BH348*($F$22+IF($F$22=0,0,($C$14+$C$15+IF($C$13="single",1.5,3)+3)/12))</f>
        <v>0</v>
      </c>
      <c r="BK348">
        <f>BJ348-BA348</f>
        <v>0</v>
      </c>
      <c r="BL348" cm="1">
        <f t="array" ref="BL348">IFERROR(IF(BK348&lt;0,0,BK348/($AU$293-INDEX(hd_off,MATCH(BT348,hd_mark,0),0)/12)),0)</f>
        <v>0</v>
      </c>
      <c r="BM348">
        <f>MAX($F$22,$BC$293)/$Q$308</f>
        <v>0.30172413793103448</v>
      </c>
      <c r="BN348">
        <f t="shared" ref="BN348:BN351" si="219">IF(BM348=0,0,IF(BM348&gt;2,1.25-0.125*BM348,1))</f>
        <v>1</v>
      </c>
      <c r="BO348" cm="1">
        <f t="array" ref="BO348">IFERROR(INDEX(sheath_ecap_asd,MATCH(BS348,sheath_mark,0),0)*BN348,0)</f>
        <v>0</v>
      </c>
      <c r="BP348" cm="1">
        <f t="array" ref="BP348">IFERROR(INDEX(sheath_wcap_asd,MATCH(BS348,sheath_mark,0),0)*BN348,0)</f>
        <v>0</v>
      </c>
      <c r="BQ348" cm="1">
        <f t="array" ref="BQ348">IFERROR(INDEX(hd_cap,MATCH(BT348,hd_mark,0),0),0)</f>
        <v>0</v>
      </c>
      <c r="BS348" s="19"/>
      <c r="BT348" s="19"/>
      <c r="BU348" s="100"/>
    </row>
    <row r="349" x14ac:dyDescent="0.25">
      <c r="P349" s="93"/>
      <c r="Q349" s="109" t="s">
        <v>491</v>
      </c>
      <c r="R349" t="str">
        <f>$Q$279</f>
        <v>L4</v>
      </c>
      <c r="S349">
        <f>$E$23</f>
        <v>0</v>
      </c>
      <c r="T349" cm="1">
        <f t="array" ref="T349">IFERROR(IF(S349=0,0,(INDEX($C$33:$C$38,MATCH($W$293,$B$33:$B$38,0),0)*(S351+$X$293)+$T$293*COUNTIF(S349:S350,"&gt;0")*$C$32+$V$293*$C$31)*$R$293),0)</f>
        <v>0</v>
      </c>
      <c r="U349">
        <f>IF(S349=0,0,-(COUNTIF(S349:S350,"&gt;0")*$T$293*$C$32+$V$293*$C$31)*$H$27*$R$293)</f>
        <v>0</v>
      </c>
      <c r="V349">
        <f>IF(S349=0,0,$V$293*$H$26*$R$293)</f>
        <v>0</v>
      </c>
      <c r="W349">
        <f>(0.6*T349+0.7*U349)*$R$293/2</f>
        <v>0</v>
      </c>
      <c r="X349">
        <f>T349*$R$293/2</f>
        <v>0</v>
      </c>
      <c r="Z349">
        <f>IF(S349=0,0,$AD$293*$AP$279)</f>
        <v>0</v>
      </c>
      <c r="AA349">
        <f>IFERROR(Z349/$R$293,0)</f>
        <v>0</v>
      </c>
      <c r="AB349">
        <f>Z349*($F$23+IF($F$23=0,0,($C$14+$C$15+IF($C$13="single",1.5,3)+3)/12))</f>
        <v>0</v>
      </c>
      <c r="AC349">
        <f>AB349-W349</f>
        <v>0</v>
      </c>
      <c r="AD349" cm="1">
        <f t="array" ref="AD349">IFERROR(IF(AC349&lt;0,0,AC349/($R$293-INDEX(hd_off,MATCH(AQ349,hd_mark,0),0)/12)),0)</f>
        <v>0</v>
      </c>
      <c r="AE349">
        <f>IF(S349=0,0,$AD$293*$AM$279)</f>
        <v>0</v>
      </c>
      <c r="AF349">
        <f>IFERROR(AE349/$R$293,0)</f>
        <v>0</v>
      </c>
      <c r="AG349">
        <f>AE349*($F$23+IF($F$23=0,0,($C$14+$C$15+IF($C$13="single",1.5,3)+3)/12))</f>
        <v>0</v>
      </c>
      <c r="AH349">
        <f>AG349-X349</f>
        <v>0</v>
      </c>
      <c r="AI349" cm="1">
        <f t="array" ref="AI349">IFERROR(IF(AH349&lt;0,0,AH349/($R$293-INDEX(hd_off,MATCH(AQ349,hd_mark,0),0)/12)),0)</f>
        <v>0</v>
      </c>
      <c r="AJ349">
        <f>MAX($F$23,$AA$293)/$Q$308</f>
        <v>0</v>
      </c>
      <c r="AK349">
        <f t="shared" si="218"/>
        <v>0</v>
      </c>
      <c r="AL349" cm="1">
        <f t="array" ref="AL349">IFERROR(INDEX(sheath_ecap_asd,MATCH(AP349,sheath_mark,0),0)*AK349,0)</f>
        <v>0</v>
      </c>
      <c r="AM349" cm="1">
        <f t="array" ref="AM349">IFERROR(INDEX(sheath_wcap_asd,MATCH(AP349,sheath_mark,0),0)*AK349,0)</f>
        <v>0</v>
      </c>
      <c r="AN349" cm="1">
        <f t="array" ref="AN349">IFERROR(INDEX(hd_cap,MATCH(AQ349,hd_mark,0),0),0)</f>
        <v>0</v>
      </c>
      <c r="AP349" s="19"/>
      <c r="AQ349" s="19"/>
      <c r="AR349" s="100"/>
      <c r="AS349" s="93"/>
      <c r="AT349" s="109" t="s">
        <v>491</v>
      </c>
      <c r="AU349" t="str">
        <f>$Q$279</f>
        <v>L4</v>
      </c>
      <c r="AV349">
        <f>$E$23</f>
        <v>0</v>
      </c>
      <c r="AW349" cm="1">
        <f t="array" ref="AW349">IFERROR(IF(AV349=0,0,(INDEX($C$33:$C$38,MATCH($AZ$293,$B$33:$B$38,0),0)*(AV351+$BA$293)+$AW$293*COUNTIF(AV349:AV350,"&gt;0")*$C$32+$AY$293*$C$31)*$AU$293),0)</f>
        <v>0</v>
      </c>
      <c r="AX349">
        <f>IF(AV349=0,0,-(COUNTIF(AV349:AV350,"&gt;0")*$AW$293*$C$32+$AY$293*$C$31)*$H$27*$AU$293)</f>
        <v>0</v>
      </c>
      <c r="AY349">
        <f>IF(AV349=0,0,$AY$293*$H$26*$AU$293)</f>
        <v>0</v>
      </c>
      <c r="AZ349">
        <f>(0.6*AW349+0.7*AX349)*$AU$293/2</f>
        <v>0</v>
      </c>
      <c r="BA349">
        <f>AW349*$AU$293/2</f>
        <v>0</v>
      </c>
      <c r="BC349">
        <f>IF(AV349=0,0,$BG$293*$AP$279)</f>
        <v>0</v>
      </c>
      <c r="BD349">
        <f>IFERROR(BC349/$AU$293,0)</f>
        <v>0</v>
      </c>
      <c r="BE349">
        <f>BC349*($F$23+IF($F$23=0,0,($C$14+$C$15+IF($C$13="single",1.5,3)+3)/12))</f>
        <v>0</v>
      </c>
      <c r="BF349">
        <f>BE349-AZ349</f>
        <v>0</v>
      </c>
      <c r="BG349" cm="1">
        <f t="array" ref="BG349">IFERROR(IF(BF349&lt;0,0,BF349/($AU$293-INDEX(hd_off,MATCH(BT349,hd_mark,0),0)/12)),0)</f>
        <v>0</v>
      </c>
      <c r="BH349">
        <f>IF(AV349=0,0,$BG$293*$AM$279)</f>
        <v>0</v>
      </c>
      <c r="BI349">
        <f>IFERROR(BH349/$AU$293,0)</f>
        <v>0</v>
      </c>
      <c r="BJ349">
        <f>BH349*($F$23+IF($F$23=0,0,($C$14+$C$15+IF($C$13="single",1.5,3)+3)/12))</f>
        <v>0</v>
      </c>
      <c r="BK349">
        <f>BJ349-BA349</f>
        <v>0</v>
      </c>
      <c r="BL349" cm="1">
        <f t="array" ref="BL349">IFERROR(IF(BK349&lt;0,0,BK349/($AU$293-INDEX(hd_off,MATCH(BT349,hd_mark,0),0)/12)),0)</f>
        <v>0</v>
      </c>
      <c r="BM349">
        <f>MAX($F$23,$BD$293)/$Q$308</f>
        <v>0</v>
      </c>
      <c r="BN349">
        <f t="shared" si="219"/>
        <v>0</v>
      </c>
      <c r="BO349" cm="1">
        <f t="array" ref="BO349">IFERROR(INDEX(sheath_ecap_asd,MATCH(BS349,sheath_mark,0),0)*BN349,0)</f>
        <v>0</v>
      </c>
      <c r="BP349" cm="1">
        <f t="array" ref="BP349">IFERROR(INDEX(sheath_wcap_asd,MATCH(BS349,sheath_mark,0),0)*BN349,0)</f>
        <v>0</v>
      </c>
      <c r="BQ349" cm="1">
        <f t="array" ref="BQ349">IFERROR(INDEX(hd_cap,MATCH(BT349,hd_mark,0),0),0)</f>
        <v>0</v>
      </c>
      <c r="BS349" s="19"/>
      <c r="BT349" s="19"/>
      <c r="BU349" s="100"/>
    </row>
    <row r="350" x14ac:dyDescent="0.25">
      <c r="P350" s="93"/>
      <c r="Q350" s="111">
        <f>$R$293</f>
        <v>0</v>
      </c>
      <c r="R350" t="str">
        <f>$Q$280</f>
        <v>L5</v>
      </c>
      <c r="S350">
        <f>$E$24</f>
        <v>0</v>
      </c>
      <c r="T350" cm="1">
        <f t="array" ref="T350">IFERROR(IF(S350=0,0,(INDEX($C$33:$C$38,MATCH($W$293,$B$33:$B$38,0),0)*(S351+$X$293)+$T$293*COUNTIF(S350:S350,"&gt;0")*$C$32+$V$293*$C$31)*$R$293),0)</f>
        <v>0</v>
      </c>
      <c r="U350">
        <f>IF(S350=0,0,-(COUNTIF(S350:S350,"&gt;0")*$T$293*$C$32+$V$293*$C$31)*$H$27*$R$293)</f>
        <v>0</v>
      </c>
      <c r="V350">
        <f>IF(S350=0,0,$V$293*$H$26*$R$293)</f>
        <v>0</v>
      </c>
      <c r="W350">
        <f>(0.6*T350+0.7*U350)*$R$293/2</f>
        <v>0</v>
      </c>
      <c r="X350">
        <f>T350*$R$293/2</f>
        <v>0</v>
      </c>
      <c r="Z350">
        <f>IF(S350=0,0,$AD$293*$AP$280)</f>
        <v>0</v>
      </c>
      <c r="AA350">
        <f>IFERROR(Z350/$R$293,0)</f>
        <v>0</v>
      </c>
      <c r="AB350">
        <f>Z350*($F$24+IF($F$24=0,0,($C$14+$C$15+IF($C$13="single",1.5,3)+3)/12))</f>
        <v>0</v>
      </c>
      <c r="AC350">
        <f>AB350-W350</f>
        <v>0</v>
      </c>
      <c r="AD350" cm="1">
        <f t="array" ref="AD350">IFERROR(IF(AC350&lt;0,0,AC350/($R$293-INDEX(hd_off,MATCH(AQ350,hd_mark,0),0)/12)),0)</f>
        <v>0</v>
      </c>
      <c r="AE350">
        <f>IF(S350=0,0,$AD$293*$AM$280)</f>
        <v>0</v>
      </c>
      <c r="AF350">
        <f>IFERROR(AE350/$R$293,0)</f>
        <v>0</v>
      </c>
      <c r="AG350">
        <f>AE350*($F$24+IF($F$24=0,0,($C$14+$C$15+IF($C$13="single",1.5,3)+3)/12))</f>
        <v>0</v>
      </c>
      <c r="AH350">
        <f>AG350-X350</f>
        <v>0</v>
      </c>
      <c r="AI350" cm="1">
        <f t="array" ref="AI350">IFERROR(IF(AH350&lt;0,0,AH350/($R$293-INDEX(hd_off,MATCH(AQ350,hd_mark,0),0)/12)),0)</f>
        <v>0</v>
      </c>
      <c r="AJ350">
        <f>MAX($F$24,$AB$293)/$Q$308</f>
        <v>0</v>
      </c>
      <c r="AK350">
        <f t="shared" si="218"/>
        <v>0</v>
      </c>
      <c r="AL350" cm="1">
        <f t="array" ref="AL350">IFERROR(INDEX(sheath_ecap_asd,MATCH(AP350,sheath_mark,0),0)*AK350,0)</f>
        <v>0</v>
      </c>
      <c r="AM350" cm="1">
        <f t="array" ref="AM350">IFERROR(INDEX(sheath_wcap_asd,MATCH(AP350,sheath_mark,0),0)*AK350,0)</f>
        <v>0</v>
      </c>
      <c r="AN350" cm="1">
        <f t="array" ref="AN350">IFERROR(INDEX(hd_cap,MATCH(AQ350,hd_mark,0),0),0)</f>
        <v>0</v>
      </c>
      <c r="AP350" s="19"/>
      <c r="AQ350" s="19"/>
      <c r="AR350" s="100"/>
      <c r="AS350" s="93"/>
      <c r="AT350" s="111">
        <f>$R$293</f>
        <v>0</v>
      </c>
      <c r="AU350" t="str">
        <f>$Q$280</f>
        <v>L5</v>
      </c>
      <c r="AV350">
        <f>$E$24</f>
        <v>0</v>
      </c>
      <c r="AW350" cm="1">
        <f t="array" ref="AW350">IFERROR(IF(AV350=0,0,(INDEX($C$33:$C$38,MATCH($AZ$293,$B$33:$B$38,0),0)*(AV351+$BA$293)+$AW$293*COUNTIF(AV350:AV350,"&gt;0")*$C$32+$AY$293*$C$31)*$AU$293),0)</f>
        <v>0</v>
      </c>
      <c r="AX350">
        <f>IF(AV350=0,0,-(COUNTIF(AV350:AV350,"&gt;0")*$AW$293*$C$32+$AY$293*$C$31)*$H$27*$AU$293)</f>
        <v>0</v>
      </c>
      <c r="AY350">
        <f>IF(AV350=0,0,$AY$293*$H$26*$AU$293)</f>
        <v>0</v>
      </c>
      <c r="AZ350">
        <f>(0.6*AW350+0.7*AX350)*$AU$293/2</f>
        <v>0</v>
      </c>
      <c r="BA350">
        <f>AW350*$AU$293/2</f>
        <v>0</v>
      </c>
      <c r="BC350">
        <f>IF(AV350=0,0,$BG$293*$AP$280)</f>
        <v>0</v>
      </c>
      <c r="BD350">
        <f>IFERROR(BC350/$AU$293,0)</f>
        <v>0</v>
      </c>
      <c r="BE350">
        <f>BC350*($F$24+IF($F$24=0,0,($C$14+$C$15+IF($C$13="single",1.5,3)+3)/12))</f>
        <v>0</v>
      </c>
      <c r="BF350">
        <f>BE350-AZ350</f>
        <v>0</v>
      </c>
      <c r="BG350" cm="1">
        <f t="array" ref="BG350">IFERROR(IF(BF350&lt;0,0,BF350/($AU$293-INDEX(hd_off,MATCH(BT350,hd_mark,0),0)/12)),0)</f>
        <v>0</v>
      </c>
      <c r="BH350">
        <f>IF(AV350=0,0,$BG$293*$AM$280)</f>
        <v>0</v>
      </c>
      <c r="BI350">
        <f>IFERROR(BH350/$AU$293,0)</f>
        <v>0</v>
      </c>
      <c r="BJ350">
        <f>BH350*($F$24+IF($F$24=0,0,($C$14+$C$15+IF($C$13="single",1.5,3)+3)/12))</f>
        <v>0</v>
      </c>
      <c r="BK350">
        <f>BJ350-BA350</f>
        <v>0</v>
      </c>
      <c r="BL350" cm="1">
        <f t="array" ref="BL350">IFERROR(IF(BK350&lt;0,0,BK350/($AU$293-INDEX(hd_off,MATCH(BT350,hd_mark,0),0)/12)),0)</f>
        <v>0</v>
      </c>
      <c r="BM350">
        <f>MAX($F$24,$BE$293)/$Q$308</f>
        <v>0</v>
      </c>
      <c r="BN350">
        <f t="shared" si="219"/>
        <v>0</v>
      </c>
      <c r="BO350" cm="1">
        <f t="array" ref="BO350">IFERROR(INDEX(sheath_ecap_asd,MATCH(BS350,sheath_mark,0),0)*BN350,0)</f>
        <v>0</v>
      </c>
      <c r="BP350" cm="1">
        <f t="array" ref="BP350">IFERROR(INDEX(sheath_wcap_asd,MATCH(BS350,sheath_mark,0),0)*BN350,0)</f>
        <v>0</v>
      </c>
      <c r="BQ350" cm="1">
        <f t="array" ref="BQ350">IFERROR(INDEX(hd_cap,MATCH(BT350,hd_mark,0),0),0)</f>
        <v>0</v>
      </c>
      <c r="BS350" s="19"/>
      <c r="BT350" s="19"/>
      <c r="BU350" s="100"/>
    </row>
    <row r="351" x14ac:dyDescent="0.25">
      <c r="P351" s="93"/>
      <c r="Q351" s="109"/>
      <c r="R351" t="str">
        <f>$Q$281</f>
        <v>Roof</v>
      </c>
      <c r="S351">
        <f>$E$25</f>
        <v>33.171875</v>
      </c>
      <c r="T351" cm="1">
        <f t="array" ref="T351">IFERROR(IF(S351=0,0,(INDEX($C$33:$C$38,MATCH($W$293,$B$33:$B$38,0),0)*(S351+$X$293)+$V$293*$C$31)*$R$293),0)</f>
        <v>0</v>
      </c>
      <c r="U351">
        <f>IF(S351=0,0,-$V$293*$C$31*$H$27*$R$293)</f>
        <v>0</v>
      </c>
      <c r="V351">
        <f>IF(S351=0,0,$V$293*$H$26*$R$293)</f>
        <v>0</v>
      </c>
      <c r="W351">
        <f>(0.6*T351+0.7*U351)*$R$293/2</f>
        <v>0</v>
      </c>
      <c r="X351">
        <f>T351*$R$293/2</f>
        <v>0</v>
      </c>
      <c r="Z351">
        <f>IF(S351=0,0,$AD$293*$AP$281)</f>
        <v>0</v>
      </c>
      <c r="AA351">
        <f>IFERROR(Z351/$R$293,0)</f>
        <v>0</v>
      </c>
      <c r="AB351">
        <f>Z351*($F$25+($C$16+$C$17+IF($C$13="single",1.5,3)+3)/12)</f>
        <v>0</v>
      </c>
      <c r="AC351">
        <f>AB351-W351</f>
        <v>0</v>
      </c>
      <c r="AD351" cm="1">
        <f t="array" ref="AD351">IFERROR(IF(AC351&lt;0,0,AC351/($R$293-INDEX(hd_off,MATCH(AQ351,hd_mark,0),0)/12)),0)</f>
        <v>0</v>
      </c>
      <c r="AE351">
        <f>IF(S351=0,0,$AD$293*$AM$281)</f>
        <v>0</v>
      </c>
      <c r="AF351">
        <f>IFERROR(AE351/$R$293,0)</f>
        <v>0</v>
      </c>
      <c r="AG351">
        <f>AE351*($F$25+($C$16+$C$17+IF($C$13="single",1.5,3)+3)/12)</f>
        <v>0</v>
      </c>
      <c r="AH351">
        <f>AG351-X351</f>
        <v>0</v>
      </c>
      <c r="AI351" cm="1">
        <f t="array" ref="AI351">IFERROR(IF(AH351&lt;0,0,AH351/($R$293-INDEX(hd_off,MATCH(AQ351,hd_mark,0),0)/12)),0)</f>
        <v>0</v>
      </c>
      <c r="AJ351">
        <f>MAX($F$25,$AC$293)/$Q$308</f>
        <v>0.29920977011494249</v>
      </c>
      <c r="AK351">
        <f t="shared" si="218"/>
        <v>1</v>
      </c>
      <c r="AL351" cm="1">
        <f t="array" ref="AL351">IFERROR(INDEX(sheath_ecap_asd,MATCH(AP351,sheath_mark,0),0)*AK351,0)</f>
        <v>0</v>
      </c>
      <c r="AM351" cm="1">
        <f t="array" ref="AM351">IFERROR(INDEX(sheath_wcap_asd,MATCH(AP351,sheath_mark,0),0)*AK351,0)</f>
        <v>0</v>
      </c>
      <c r="AN351" cm="1">
        <f t="array" ref="AN351">IFERROR(INDEX(hd_cap,MATCH(AQ351,hd_mark,0),0),0)</f>
        <v>0</v>
      </c>
      <c r="AP351" s="19"/>
      <c r="AQ351" s="19"/>
      <c r="AR351" s="100"/>
      <c r="AS351" s="93"/>
      <c r="AT351" s="109"/>
      <c r="AU351" t="str">
        <f>$Q$281</f>
        <v>Roof</v>
      </c>
      <c r="AV351">
        <f>$E$25</f>
        <v>33.171875</v>
      </c>
      <c r="AW351" cm="1">
        <f t="array" ref="AW351">IFERROR(IF(AV351=0,0,(INDEX($C$33:$C$38,MATCH($AZ$293,$B$33:$B$38,0),0)*(AV351+$BA$293)+$AY$293*$C$31)*$AU$293),0)</f>
        <v>0</v>
      </c>
      <c r="AX351">
        <f>IF(AV351=0,0,-$AY$293*$C$31*$H$27*$AU$293)</f>
        <v>0</v>
      </c>
      <c r="AY351">
        <f>IF(AV351=0,0,$AY$293*$H$26*$AU$293)</f>
        <v>0</v>
      </c>
      <c r="AZ351">
        <f>(0.6*AW351+0.7*AX351)*$AU$293/2</f>
        <v>0</v>
      </c>
      <c r="BA351">
        <f>AW351*$AU$293/2</f>
        <v>0</v>
      </c>
      <c r="BC351">
        <f>IF(AV351=0,0,$BG$293*$AP$281)</f>
        <v>0</v>
      </c>
      <c r="BD351">
        <f>IFERROR(BC351/$AU$293,0)</f>
        <v>0</v>
      </c>
      <c r="BE351">
        <f>BC351*($F$25+($C$16+$C$17+IF($C$13="single",1.5,3)+3)/12)</f>
        <v>0</v>
      </c>
      <c r="BF351">
        <f>BE351-AZ351</f>
        <v>0</v>
      </c>
      <c r="BG351" cm="1">
        <f t="array" ref="BG351">IFERROR(IF(BF351&lt;0,0,BF351/($AU$293-INDEX(hd_off,MATCH(BT351,hd_mark,0),0)/12)),0)</f>
        <v>0</v>
      </c>
      <c r="BH351">
        <f>IF(AV351=0,0,$BG$293*$AM$281)</f>
        <v>0</v>
      </c>
      <c r="BI351">
        <f>IFERROR(BH351/$AU$293,0)</f>
        <v>0</v>
      </c>
      <c r="BJ351">
        <f>BH351*($F$25+($C$16+$C$17+IF($C$13="single",1.5,3)+3)/12)</f>
        <v>0</v>
      </c>
      <c r="BK351">
        <f>BJ351-BA351</f>
        <v>0</v>
      </c>
      <c r="BL351" cm="1">
        <f t="array" ref="BL351">IFERROR(IF(BK351&lt;0,0,BK351/($AU$293-INDEX(hd_off,MATCH(BT351,hd_mark,0),0)/12)),0)</f>
        <v>0</v>
      </c>
      <c r="BM351">
        <f>MAX($F$25,$BF$293)/$Q$308</f>
        <v>0.29920977011494249</v>
      </c>
      <c r="BN351">
        <f t="shared" si="219"/>
        <v>1</v>
      </c>
      <c r="BO351" cm="1">
        <f t="array" ref="BO351">IFERROR(INDEX(sheath_ecap_asd,MATCH(BS351,sheath_mark,0),0)*BN351,0)</f>
        <v>0</v>
      </c>
      <c r="BP351" cm="1">
        <f t="array" ref="BP351">IFERROR(INDEX(sheath_wcap_asd,MATCH(BS351,sheath_mark,0),0)*BN351,0)</f>
        <v>0</v>
      </c>
      <c r="BQ351" cm="1">
        <f t="array" ref="BQ351">IFERROR(INDEX(hd_cap,MATCH(BT351,hd_mark,0),0),0)</f>
        <v>0</v>
      </c>
      <c r="BS351" s="19"/>
      <c r="BT351" s="19"/>
      <c r="BU351" s="100"/>
    </row>
    <row r="352" x14ac:dyDescent="0.25">
      <c r="P352" s="93"/>
      <c r="AR352" s="100"/>
      <c r="AS352" s="93"/>
      <c r="BU352" s="100"/>
    </row>
    <row r="353" x14ac:dyDescent="0.25">
      <c r="P353" s="93"/>
      <c r="Q353" s="110" t="str">
        <f>$Q$294</f>
        <v>A.09</v>
      </c>
      <c r="R353" t="str">
        <f>$Q$277</f>
        <v>L2</v>
      </c>
      <c r="S353">
        <f>$E$21</f>
        <v>10.6875</v>
      </c>
      <c r="T353" cm="1">
        <f t="array" ref="T353">IFERROR(IF(S353=0,0,(INDEX($C$33:$C$38,MATCH($W$294,$B$33:$B$38,0),0)*(S357+$X$294)+$T$294*COUNTIF(S353:S356,"&gt;0")*$C$32+$V$294*$C$31)*$R$294),0)</f>
        <v>0</v>
      </c>
      <c r="U353">
        <f>IF(S353=0,0,-(COUNTIF(S353:S356,"&gt;0")*$T$294*$C$32+$V$294*$C$31)*$H$27*$R$294)</f>
        <v>0</v>
      </c>
      <c r="V353">
        <f>IF(S353=0,0,$V$294*$H$26*$R$294)</f>
        <v>0</v>
      </c>
      <c r="W353">
        <f>(0.6*T353+0.7*U353)*$R$294/2</f>
        <v>0</v>
      </c>
      <c r="X353">
        <f>(0.6*T353+0.6*V353)*$R$294/2</f>
        <v>0</v>
      </c>
      <c r="Z353">
        <f>IF(S353=0,0,$AD$294*$AP$277)</f>
        <v>0</v>
      </c>
      <c r="AA353">
        <f>IFERROR(Z353/$R$294,0)</f>
        <v>0</v>
      </c>
      <c r="AB353">
        <f>Z353*($F$21+IF($F$21=0,0,($C$14+$C$15+IF($C$13="single",1.5,3)+3)/12))</f>
        <v>0</v>
      </c>
      <c r="AC353">
        <f>AB353-W353</f>
        <v>0</v>
      </c>
      <c r="AD353" cm="1">
        <f t="array" ref="AD353">IFERROR(IF(AC353&lt;0,0,AC353/($R$294-INDEX(hd_off,MATCH(AQ353,hd_mark,0),0)/12)),0)</f>
        <v>0</v>
      </c>
      <c r="AE353">
        <f>IF(S353=0,0,$AD$294*$AM$277)</f>
        <v>0</v>
      </c>
      <c r="AF353">
        <f>IFERROR(AE353/$R$294,0)</f>
        <v>0</v>
      </c>
      <c r="AG353">
        <f>AE353*($F$21+IF($F$21=0,0,($C$14+$C$15+IF($C$13="single",1.5,3)+3)/12))</f>
        <v>0</v>
      </c>
      <c r="AH353">
        <f>AG353-X353</f>
        <v>0</v>
      </c>
      <c r="AI353" cm="1">
        <f t="array" ref="AI353">IFERROR(IF(AH353&lt;0,0,AH353/($R$294-INDEX(hd_off,MATCH(AQ353,hd_mark,0),0)/12)),0)</f>
        <v>0</v>
      </c>
      <c r="AJ353">
        <f>MAX($F$21,$Y$294)/$Q$308</f>
        <v>0.30172413793103448</v>
      </c>
      <c r="AK353">
        <f>IF(AJ353=0,0,IF(AJ353&gt;2,1.25-0.125*AJ353,1))</f>
        <v>1</v>
      </c>
      <c r="AL353" cm="1">
        <f t="array" ref="AL353">IFERROR(INDEX(sheath_ecap_asd,MATCH(AP353,sheath_mark,0),0)*AK353,0)</f>
        <v>0</v>
      </c>
      <c r="AM353" cm="1">
        <f t="array" ref="AM353">IFERROR(INDEX(sheath_wcap_asd,MATCH(AP353,sheath_mark,0),0)*AK353,0)</f>
        <v>0</v>
      </c>
      <c r="AN353" cm="1">
        <f t="array" ref="AN353">IFERROR(INDEX(hd_cap,MATCH(AQ353,hd_mark,0),0),0)</f>
        <v>0</v>
      </c>
      <c r="AP353" s="19"/>
      <c r="AQ353" s="19"/>
      <c r="AR353" s="100"/>
      <c r="AS353" s="93"/>
      <c r="AT353" s="110" t="str">
        <f>$AT$294</f>
        <v>1.09</v>
      </c>
      <c r="AU353" t="str">
        <f>$Q$277</f>
        <v>L2</v>
      </c>
      <c r="AV353">
        <f>$E$21</f>
        <v>10.6875</v>
      </c>
      <c r="AW353" cm="1">
        <f t="array" ref="AW353">IFERROR(IF(AV353=0,0,(INDEX($C$33:$C$38,MATCH($AZ$294,$B$33:$B$38,0),0)*(AV357+$BA$294)+$AW$294*COUNTIF(AV353:AV356,"&gt;0")*$C$32+$AY$294*$C$31)*$AU$294),0)</f>
        <v>0</v>
      </c>
      <c r="AX353">
        <f>IF(AV353=0,0,-(COUNTIF(AV353:AV356,"&gt;0")*$AW$294*$C$32+$AY$294*$C$31)*$H$27*$AU$294)</f>
        <v>0</v>
      </c>
      <c r="AY353">
        <f>IF(AV353=0,0,$AY$294*$H$26*$AU$294)</f>
        <v>0</v>
      </c>
      <c r="AZ353">
        <f>(0.6*AW353+0.7*AX353)*$AU$294/2</f>
        <v>0</v>
      </c>
      <c r="BA353">
        <f>(0.6*AW353+0.6*AY353)*$AU$294/2</f>
        <v>0</v>
      </c>
      <c r="BC353">
        <f>IF(AV353=0,0,$BG$294*$AP$277)</f>
        <v>0</v>
      </c>
      <c r="BD353">
        <f>IFERROR(BC353/$AU$294,0)</f>
        <v>0</v>
      </c>
      <c r="BE353">
        <f>BC353*($F$21+IF($F$21=0,0,($C$14+$C$15+IF($C$13="single",1.5,3)+3)/12))</f>
        <v>0</v>
      </c>
      <c r="BF353">
        <f>BE353-AZ353</f>
        <v>0</v>
      </c>
      <c r="BG353" cm="1">
        <f t="array" ref="BG353">IFERROR(IF(BF353&lt;0,0,BF353/($AU$294-INDEX(hd_off,MATCH(BT353,hd_mark,0),0)/12)),0)</f>
        <v>0</v>
      </c>
      <c r="BH353">
        <f>IF(AV353=0,0,$BG$294*$AM$277)</f>
        <v>0</v>
      </c>
      <c r="BI353">
        <f>IFERROR(BH353/$AU$294,0)</f>
        <v>0</v>
      </c>
      <c r="BJ353">
        <f>BH353*($F$21+IF($F$21=0,0,($C$14+$C$15+IF($C$13="single",1.5,3)+3)/12))</f>
        <v>0</v>
      </c>
      <c r="BK353">
        <f>BJ353-BA353</f>
        <v>0</v>
      </c>
      <c r="BL353" cm="1">
        <f t="array" ref="BL353">IFERROR(IF(BK353&lt;0,0,BK353/($AU$294-INDEX(hd_off,MATCH(BT353,hd_mark,0),0)/12)),0)</f>
        <v>0</v>
      </c>
      <c r="BM353">
        <f>MAX($F$21,$BB$294)/$Q$308</f>
        <v>0.30172413793103448</v>
      </c>
      <c r="BN353">
        <f>IF(BM353=0,0,IF(BM353&gt;2,1.25-0.125*BM353,1))</f>
        <v>1</v>
      </c>
      <c r="BO353" cm="1">
        <f t="array" ref="BO353">IFERROR(INDEX(sheath_ecap_asd,MATCH(BS353,sheath_mark,0),0)*BN353,0)</f>
        <v>0</v>
      </c>
      <c r="BP353" cm="1">
        <f t="array" ref="BP353">IFERROR(INDEX(sheath_wcap_asd,MATCH(BS353,sheath_mark,0),0)*BN353,0)</f>
        <v>0</v>
      </c>
      <c r="BQ353" cm="1">
        <f t="array" ref="BQ353">IFERROR(INDEX(hd_cap,MATCH(BT353,hd_mark,0),0),0)</f>
        <v>0</v>
      </c>
      <c r="BS353" s="19"/>
      <c r="BT353" s="19"/>
      <c r="BU353" s="100"/>
    </row>
    <row r="354" x14ac:dyDescent="0.25">
      <c r="P354" s="93"/>
      <c r="Q354" s="109"/>
      <c r="R354" t="str">
        <f>$Q$278</f>
        <v>L3</v>
      </c>
      <c r="S354">
        <f>$E$22</f>
        <v>21.375</v>
      </c>
      <c r="T354" cm="1">
        <f t="array" ref="T354">IFERROR(IF(S354=0,0,(INDEX($C$33:$C$38,MATCH($W$294,$B$33:$B$38,0),0)*(S357+$X$294)+$T$294*COUNTIF(S354:S356,"&gt;0")*$C$32+$V$294*$C$31)*$R$294),0)</f>
        <v>0</v>
      </c>
      <c r="U354">
        <f>IF(S354=0,0,-(COUNTIF(S354:S356,"&gt;0")*$T$294*$C$32+$V$294*$C$31)*$H$27*$R$294)</f>
        <v>0</v>
      </c>
      <c r="V354">
        <f>IF(S354=0,0,$V$294*$H$26*$R$294)</f>
        <v>0</v>
      </c>
      <c r="W354">
        <f>(0.6*T354+0.7*U354)*$R$294/2</f>
        <v>0</v>
      </c>
      <c r="X354">
        <f>T354*$R$294/2</f>
        <v>0</v>
      </c>
      <c r="Z354">
        <f>IF(S354=0,0,$AD$294*$AP$278)</f>
        <v>0</v>
      </c>
      <c r="AA354">
        <f>IFERROR(Z354/$R$294,0)</f>
        <v>0</v>
      </c>
      <c r="AB354">
        <f>Z354*($F$22+IF($F$22=0,0,($C$14+$C$15+IF($C$13="single",1.5,3)+3)/12))</f>
        <v>0</v>
      </c>
      <c r="AC354">
        <f>AB354-W354</f>
        <v>0</v>
      </c>
      <c r="AD354" cm="1">
        <f t="array" ref="AD354">IFERROR(IF(AC354&lt;0,0,AC354/($R$294-INDEX(hd_off,MATCH(AQ354,hd_mark,0),0)/12)),0)</f>
        <v>0</v>
      </c>
      <c r="AE354">
        <f>IF(S354=0,0,$AD$294*$AM$278)</f>
        <v>0</v>
      </c>
      <c r="AF354">
        <f>IFERROR(AE354/$R$294,0)</f>
        <v>0</v>
      </c>
      <c r="AG354">
        <f>AE354*($F$22+IF($F$22=0,0,($C$14+$C$15+IF($C$13="single",1.5,3)+3)/12))</f>
        <v>0</v>
      </c>
      <c r="AH354">
        <f>AG354-X354</f>
        <v>0</v>
      </c>
      <c r="AI354" cm="1">
        <f t="array" ref="AI354">IFERROR(IF(AH354&lt;0,0,AH354/($R$294-INDEX(hd_off,MATCH(AQ354,hd_mark,0),0)/12)),0)</f>
        <v>0</v>
      </c>
      <c r="AJ354">
        <f>MAX($F$22,$Z$294)/$Q$308</f>
        <v>0.30172413793103448</v>
      </c>
      <c r="AK354">
        <f t="shared" ref="AK354:AK357" si="220">IF(AJ354=0,0,IF(AJ354&gt;2,1.25-0.125*AJ354,1))</f>
        <v>1</v>
      </c>
      <c r="AL354" cm="1">
        <f t="array" ref="AL354">IFERROR(INDEX(sheath_ecap_asd,MATCH(AP354,sheath_mark,0),0)*AK354,0)</f>
        <v>0</v>
      </c>
      <c r="AM354" cm="1">
        <f t="array" ref="AM354">IFERROR(INDEX(sheath_wcap_asd,MATCH(AP354,sheath_mark,0),0)*AK354,0)</f>
        <v>0</v>
      </c>
      <c r="AN354" cm="1">
        <f t="array" ref="AN354">IFERROR(INDEX(hd_cap,MATCH(AQ354,hd_mark,0),0),0)</f>
        <v>0</v>
      </c>
      <c r="AP354" s="19"/>
      <c r="AQ354" s="19"/>
      <c r="AR354" s="100"/>
      <c r="AS354" s="93"/>
      <c r="AT354" s="109"/>
      <c r="AU354" t="str">
        <f>$Q$278</f>
        <v>L3</v>
      </c>
      <c r="AV354">
        <f>$E$22</f>
        <v>21.375</v>
      </c>
      <c r="AW354" cm="1">
        <f t="array" ref="AW354">IFERROR(IF(AV354=0,0,(INDEX($C$33:$C$38,MATCH($AZ$294,$B$33:$B$38,0),0)*(AV357+$BA$294)+$AW$294*COUNTIF(AV354:AV356,"&gt;0")*$C$32+$AY$294*$C$31)*$AU$294),0)</f>
        <v>0</v>
      </c>
      <c r="AX354">
        <f>IF(AV354=0,0,-(COUNTIF(AV354:AV356,"&gt;0")*$AW$294*$C$32+$AY$294*$C$31)*$H$27*$AU$294)</f>
        <v>0</v>
      </c>
      <c r="AY354">
        <f>IF(AV354=0,0,$AY$294*$H$26*$AU$294)</f>
        <v>0</v>
      </c>
      <c r="AZ354">
        <f>(0.6*AW354+0.7*AX354)*$AU$294/2</f>
        <v>0</v>
      </c>
      <c r="BA354">
        <f>AW354*$AU$294/2</f>
        <v>0</v>
      </c>
      <c r="BC354">
        <f>IF(AV354=0,0,$BG$294*$AP$278)</f>
        <v>0</v>
      </c>
      <c r="BD354">
        <f>IFERROR(BC354/$AU$294,0)</f>
        <v>0</v>
      </c>
      <c r="BE354">
        <f>BC354*($F$22+IF($F$22=0,0,($C$14+$C$15+IF($C$13="single",1.5,3)+3)/12))</f>
        <v>0</v>
      </c>
      <c r="BF354">
        <f>BE354-AZ354</f>
        <v>0</v>
      </c>
      <c r="BG354" cm="1">
        <f t="array" ref="BG354">IFERROR(IF(BF354&lt;0,0,BF354/($AU$294-INDEX(hd_off,MATCH(BT354,hd_mark,0),0)/12)),0)</f>
        <v>0</v>
      </c>
      <c r="BH354">
        <f>IF(AV354=0,0,$BG$294*$AM$278)</f>
        <v>0</v>
      </c>
      <c r="BI354">
        <f>IFERROR(BH354/$AU$294,0)</f>
        <v>0</v>
      </c>
      <c r="BJ354">
        <f>BH354*($F$22+IF($F$22=0,0,($C$14+$C$15+IF($C$13="single",1.5,3)+3)/12))</f>
        <v>0</v>
      </c>
      <c r="BK354">
        <f>BJ354-BA354</f>
        <v>0</v>
      </c>
      <c r="BL354" cm="1">
        <f t="array" ref="BL354">IFERROR(IF(BK354&lt;0,0,BK354/($AU$294-INDEX(hd_off,MATCH(BT354,hd_mark,0),0)/12)),0)</f>
        <v>0</v>
      </c>
      <c r="BM354">
        <f>MAX($F$22,$BC$294)/$Q$308</f>
        <v>0.30172413793103448</v>
      </c>
      <c r="BN354">
        <f t="shared" ref="BN354:BN357" si="221">IF(BM354=0,0,IF(BM354&gt;2,1.25-0.125*BM354,1))</f>
        <v>1</v>
      </c>
      <c r="BO354" cm="1">
        <f t="array" ref="BO354">IFERROR(INDEX(sheath_ecap_asd,MATCH(BS354,sheath_mark,0),0)*BN354,0)</f>
        <v>0</v>
      </c>
      <c r="BP354" cm="1">
        <f t="array" ref="BP354">IFERROR(INDEX(sheath_wcap_asd,MATCH(BS354,sheath_mark,0),0)*BN354,0)</f>
        <v>0</v>
      </c>
      <c r="BQ354" cm="1">
        <f t="array" ref="BQ354">IFERROR(INDEX(hd_cap,MATCH(BT354,hd_mark,0),0),0)</f>
        <v>0</v>
      </c>
      <c r="BS354" s="19"/>
      <c r="BT354" s="19"/>
      <c r="BU354" s="100"/>
    </row>
    <row r="355" x14ac:dyDescent="0.25">
      <c r="P355" s="93"/>
      <c r="Q355" s="109" t="s">
        <v>491</v>
      </c>
      <c r="R355" t="str">
        <f>$Q$279</f>
        <v>L4</v>
      </c>
      <c r="S355">
        <f>$E$23</f>
        <v>0</v>
      </c>
      <c r="T355" cm="1">
        <f t="array" ref="T355">IFERROR(IF(S355=0,0,(INDEX($C$33:$C$38,MATCH($W$294,$B$33:$B$38,0),0)*(S357+$X$294)+$T$294*COUNTIF(S355:S356,"&gt;0")*$C$32+$V$294*$C$31)*$R$294),0)</f>
        <v>0</v>
      </c>
      <c r="U355">
        <f>IF(S355=0,0,-(COUNTIF(S355:S356,"&gt;0")*$T$294*$C$32+$V$294*$C$31)*$H$27*$R$294)</f>
        <v>0</v>
      </c>
      <c r="V355">
        <f>IF(S355=0,0,$V$294*$H$26*$R$294)</f>
        <v>0</v>
      </c>
      <c r="W355">
        <f>(0.6*T355+0.7*U355)*$R$294/2</f>
        <v>0</v>
      </c>
      <c r="X355">
        <f>T355*$R$294/2</f>
        <v>0</v>
      </c>
      <c r="Z355">
        <f>IF(S355=0,0,$AD$294*$AP$279)</f>
        <v>0</v>
      </c>
      <c r="AA355">
        <f>IFERROR(Z355/$R$294,0)</f>
        <v>0</v>
      </c>
      <c r="AB355">
        <f>Z355*($F$23+IF($F$23=0,0,($C$14+$C$15+IF($C$13="single",1.5,3)+3)/12))</f>
        <v>0</v>
      </c>
      <c r="AC355">
        <f>AB355-W355</f>
        <v>0</v>
      </c>
      <c r="AD355" cm="1">
        <f t="array" ref="AD355">IFERROR(IF(AC355&lt;0,0,AC355/($R$294-INDEX(hd_off,MATCH(AQ355,hd_mark,0),0)/12)),0)</f>
        <v>0</v>
      </c>
      <c r="AE355">
        <f>IF(S355=0,0,$AD$294*$AM$279)</f>
        <v>0</v>
      </c>
      <c r="AF355">
        <f>IFERROR(AE355/$R$294,0)</f>
        <v>0</v>
      </c>
      <c r="AG355">
        <f>AE355*($F$23+IF($F$23=0,0,($C$14+$C$15+IF($C$13="single",1.5,3)+3)/12))</f>
        <v>0</v>
      </c>
      <c r="AH355">
        <f>AG355-X355</f>
        <v>0</v>
      </c>
      <c r="AI355" cm="1">
        <f t="array" ref="AI355">IFERROR(IF(AH355&lt;0,0,AH355/($R$294-INDEX(hd_off,MATCH(AQ355,hd_mark,0),0)/12)),0)</f>
        <v>0</v>
      </c>
      <c r="AJ355">
        <f>MAX($F$23,$AA$294)/$Q$308</f>
        <v>0</v>
      </c>
      <c r="AK355">
        <f t="shared" si="220"/>
        <v>0</v>
      </c>
      <c r="AL355" cm="1">
        <f t="array" ref="AL355">IFERROR(INDEX(sheath_ecap_asd,MATCH(AP355,sheath_mark,0),0)*AK355,0)</f>
        <v>0</v>
      </c>
      <c r="AM355" cm="1">
        <f t="array" ref="AM355">IFERROR(INDEX(sheath_wcap_asd,MATCH(AP355,sheath_mark,0),0)*AK355,0)</f>
        <v>0</v>
      </c>
      <c r="AN355" cm="1">
        <f t="array" ref="AN355">IFERROR(INDEX(hd_cap,MATCH(AQ355,hd_mark,0),0),0)</f>
        <v>0</v>
      </c>
      <c r="AP355" s="19"/>
      <c r="AQ355" s="19"/>
      <c r="AR355" s="100"/>
      <c r="AS355" s="93"/>
      <c r="AT355" s="109" t="s">
        <v>491</v>
      </c>
      <c r="AU355" t="str">
        <f>$Q$279</f>
        <v>L4</v>
      </c>
      <c r="AV355">
        <f>$E$23</f>
        <v>0</v>
      </c>
      <c r="AW355" cm="1">
        <f t="array" ref="AW355">IFERROR(IF(AV355=0,0,(INDEX($C$33:$C$38,MATCH($AZ$294,$B$33:$B$38,0),0)*(AV357+$BA$294)+$AW$294*COUNTIF(AV355:AV356,"&gt;0")*$C$32+$AY$294*$C$31)*$AU$294),0)</f>
        <v>0</v>
      </c>
      <c r="AX355">
        <f>IF(AV355=0,0,-(COUNTIF(AV355:AV356,"&gt;0")*$AW$294*$C$32+$AY$294*$C$31)*$H$27*$AU$294)</f>
        <v>0</v>
      </c>
      <c r="AY355">
        <f>IF(AV355=0,0,$AY$294*$H$26*$AU$294)</f>
        <v>0</v>
      </c>
      <c r="AZ355">
        <f>(0.6*AW355+0.7*AX355)*$AU$294/2</f>
        <v>0</v>
      </c>
      <c r="BA355">
        <f>AW355*$AU$294/2</f>
        <v>0</v>
      </c>
      <c r="BC355">
        <f>IF(AV355=0,0,$BG$294*$AP$279)</f>
        <v>0</v>
      </c>
      <c r="BD355">
        <f>IFERROR(BC355/$AU$294,0)</f>
        <v>0</v>
      </c>
      <c r="BE355">
        <f>BC355*($F$23+IF($F$23=0,0,($C$14+$C$15+IF($C$13="single",1.5,3)+3)/12))</f>
        <v>0</v>
      </c>
      <c r="BF355">
        <f>BE355-AZ355</f>
        <v>0</v>
      </c>
      <c r="BG355" cm="1">
        <f t="array" ref="BG355">IFERROR(IF(BF355&lt;0,0,BF355/($AU$294-INDEX(hd_off,MATCH(BT355,hd_mark,0),0)/12)),0)</f>
        <v>0</v>
      </c>
      <c r="BH355">
        <f>IF(AV355=0,0,$BG$294*$AM$279)</f>
        <v>0</v>
      </c>
      <c r="BI355">
        <f>IFERROR(BH355/$AU$294,0)</f>
        <v>0</v>
      </c>
      <c r="BJ355">
        <f>BH355*($F$23+IF($F$23=0,0,($C$14+$C$15+IF($C$13="single",1.5,3)+3)/12))</f>
        <v>0</v>
      </c>
      <c r="BK355">
        <f>BJ355-BA355</f>
        <v>0</v>
      </c>
      <c r="BL355" cm="1">
        <f t="array" ref="BL355">IFERROR(IF(BK355&lt;0,0,BK355/($AU$294-INDEX(hd_off,MATCH(BT355,hd_mark,0),0)/12)),0)</f>
        <v>0</v>
      </c>
      <c r="BM355">
        <f>MAX($F$23,$BD$294)/$Q$308</f>
        <v>0</v>
      </c>
      <c r="BN355">
        <f t="shared" si="221"/>
        <v>0</v>
      </c>
      <c r="BO355" cm="1">
        <f t="array" ref="BO355">IFERROR(INDEX(sheath_ecap_asd,MATCH(BS355,sheath_mark,0),0)*BN355,0)</f>
        <v>0</v>
      </c>
      <c r="BP355" cm="1">
        <f t="array" ref="BP355">IFERROR(INDEX(sheath_wcap_asd,MATCH(BS355,sheath_mark,0),0)*BN355,0)</f>
        <v>0</v>
      </c>
      <c r="BQ355" cm="1">
        <f t="array" ref="BQ355">IFERROR(INDEX(hd_cap,MATCH(BT355,hd_mark,0),0),0)</f>
        <v>0</v>
      </c>
      <c r="BS355" s="19"/>
      <c r="BT355" s="19"/>
      <c r="BU355" s="100"/>
    </row>
    <row r="356" x14ac:dyDescent="0.25">
      <c r="P356" s="93"/>
      <c r="Q356" s="111">
        <f>$R$294</f>
        <v>0</v>
      </c>
      <c r="R356" t="str">
        <f>$Q$280</f>
        <v>L5</v>
      </c>
      <c r="S356">
        <f>$E$24</f>
        <v>0</v>
      </c>
      <c r="T356" cm="1">
        <f t="array" ref="T356">IFERROR(IF(S356=0,0,(INDEX($C$33:$C$38,MATCH($W$294,$B$33:$B$38,0),0)*(S357+$X$294)+$T$294*COUNTIF(S356:S356,"&gt;0")*$C$32+$V$294*$C$31)*$R$294),0)</f>
        <v>0</v>
      </c>
      <c r="U356">
        <f>IF(S356=0,0,-(COUNTIF(S356:S356,"&gt;0")*$T$294*$C$32+$V$294*$C$31)*$H$27*$R$294)</f>
        <v>0</v>
      </c>
      <c r="V356">
        <f>IF(S356=0,0,$V$294*$H$26*$R$294)</f>
        <v>0</v>
      </c>
      <c r="W356">
        <f>(0.6*T356+0.7*U356)*$R$294/2</f>
        <v>0</v>
      </c>
      <c r="X356">
        <f>T356*$R$294/2</f>
        <v>0</v>
      </c>
      <c r="Z356">
        <f>IF(S356=0,0,$AD$294*$AP$280)</f>
        <v>0</v>
      </c>
      <c r="AA356">
        <f>IFERROR(Z356/$R$294,0)</f>
        <v>0</v>
      </c>
      <c r="AB356">
        <f>Z356*($F$24+IF($F$24=0,0,($C$14+$C$15+IF($C$13="single",1.5,3)+3)/12))</f>
        <v>0</v>
      </c>
      <c r="AC356">
        <f>AB356-W356</f>
        <v>0</v>
      </c>
      <c r="AD356" cm="1">
        <f t="array" ref="AD356">IFERROR(IF(AC356&lt;0,0,AC356/($R$294-INDEX(hd_off,MATCH(AQ356,hd_mark,0),0)/12)),0)</f>
        <v>0</v>
      </c>
      <c r="AE356">
        <f>IF(S356=0,0,$AD$294*$AM$280)</f>
        <v>0</v>
      </c>
      <c r="AF356">
        <f>IFERROR(AE356/$R$294,0)</f>
        <v>0</v>
      </c>
      <c r="AG356">
        <f>AE356*($F$24+IF($F$24=0,0,($C$14+$C$15+IF($C$13="single",1.5,3)+3)/12))</f>
        <v>0</v>
      </c>
      <c r="AH356">
        <f>AG356-X356</f>
        <v>0</v>
      </c>
      <c r="AI356" cm="1">
        <f t="array" ref="AI356">IFERROR(IF(AH356&lt;0,0,AH356/($R$294-INDEX(hd_off,MATCH(AQ356,hd_mark,0),0)/12)),0)</f>
        <v>0</v>
      </c>
      <c r="AJ356">
        <f>MAX($F$24,$AB$294)/$Q$308</f>
        <v>0</v>
      </c>
      <c r="AK356">
        <f t="shared" si="220"/>
        <v>0</v>
      </c>
      <c r="AL356" cm="1">
        <f t="array" ref="AL356">IFERROR(INDEX(sheath_ecap_asd,MATCH(AP356,sheath_mark,0),0)*AK356,0)</f>
        <v>0</v>
      </c>
      <c r="AM356" cm="1">
        <f t="array" ref="AM356">IFERROR(INDEX(sheath_wcap_asd,MATCH(AP356,sheath_mark,0),0)*AK356,0)</f>
        <v>0</v>
      </c>
      <c r="AN356" cm="1">
        <f t="array" ref="AN356">IFERROR(INDEX(hd_cap,MATCH(AQ356,hd_mark,0),0),0)</f>
        <v>0</v>
      </c>
      <c r="AP356" s="19"/>
      <c r="AQ356" s="19"/>
      <c r="AR356" s="100"/>
      <c r="AS356" s="93"/>
      <c r="AT356" s="111">
        <f>$R$294</f>
        <v>0</v>
      </c>
      <c r="AU356" t="str">
        <f>$Q$280</f>
        <v>L5</v>
      </c>
      <c r="AV356">
        <f>$E$24</f>
        <v>0</v>
      </c>
      <c r="AW356" cm="1">
        <f t="array" ref="AW356">IFERROR(IF(AV356=0,0,(INDEX($C$33:$C$38,MATCH($AZ$294,$B$33:$B$38,0),0)*(AV357+$BA$294)+$AW$294*COUNTIF(AV356:AV356,"&gt;0")*$C$32+$AY$294*$C$31)*$AU$294),0)</f>
        <v>0</v>
      </c>
      <c r="AX356">
        <f>IF(AV356=0,0,-(COUNTIF(AV356:AV356,"&gt;0")*$AW$294*$C$32+$AY$294*$C$31)*$H$27*$AU$294)</f>
        <v>0</v>
      </c>
      <c r="AY356">
        <f>IF(AV356=0,0,$AY$294*$H$26*$AU$294)</f>
        <v>0</v>
      </c>
      <c r="AZ356">
        <f>(0.6*AW356+0.7*AX356)*$AU$294/2</f>
        <v>0</v>
      </c>
      <c r="BA356">
        <f>AW356*$AU$294/2</f>
        <v>0</v>
      </c>
      <c r="BC356">
        <f>IF(AV356=0,0,$BG$294*$AP$280)</f>
        <v>0</v>
      </c>
      <c r="BD356">
        <f>IFERROR(BC356/$AU$294,0)</f>
        <v>0</v>
      </c>
      <c r="BE356">
        <f>BC356*($F$24+IF($F$24=0,0,($C$14+$C$15+IF($C$13="single",1.5,3)+3)/12))</f>
        <v>0</v>
      </c>
      <c r="BF356">
        <f>BE356-AZ356</f>
        <v>0</v>
      </c>
      <c r="BG356" cm="1">
        <f t="array" ref="BG356">IFERROR(IF(BF356&lt;0,0,BF356/($AU$294-INDEX(hd_off,MATCH(BT356,hd_mark,0),0)/12)),0)</f>
        <v>0</v>
      </c>
      <c r="BH356">
        <f>IF(AV356=0,0,$BG$294*$AM$280)</f>
        <v>0</v>
      </c>
      <c r="BI356">
        <f>IFERROR(BH356/$AU$294,0)</f>
        <v>0</v>
      </c>
      <c r="BJ356">
        <f>BH356*($F$24+IF($F$24=0,0,($C$14+$C$15+IF($C$13="single",1.5,3)+3)/12))</f>
        <v>0</v>
      </c>
      <c r="BK356">
        <f>BJ356-BA356</f>
        <v>0</v>
      </c>
      <c r="BL356" cm="1">
        <f t="array" ref="BL356">IFERROR(IF(BK356&lt;0,0,BK356/($AU$294-INDEX(hd_off,MATCH(BT356,hd_mark,0),0)/12)),0)</f>
        <v>0</v>
      </c>
      <c r="BM356">
        <f>MAX($F$24,$BE$294)/$Q$308</f>
        <v>0</v>
      </c>
      <c r="BN356">
        <f t="shared" si="221"/>
        <v>0</v>
      </c>
      <c r="BO356" cm="1">
        <f t="array" ref="BO356">IFERROR(INDEX(sheath_ecap_asd,MATCH(BS356,sheath_mark,0),0)*BN356,0)</f>
        <v>0</v>
      </c>
      <c r="BP356" cm="1">
        <f t="array" ref="BP356">IFERROR(INDEX(sheath_wcap_asd,MATCH(BS356,sheath_mark,0),0)*BN356,0)</f>
        <v>0</v>
      </c>
      <c r="BQ356" cm="1">
        <f t="array" ref="BQ356">IFERROR(INDEX(hd_cap,MATCH(BT356,hd_mark,0),0),0)</f>
        <v>0</v>
      </c>
      <c r="BS356" s="19"/>
      <c r="BT356" s="19"/>
      <c r="BU356" s="100"/>
    </row>
    <row r="357" x14ac:dyDescent="0.25">
      <c r="P357" s="93"/>
      <c r="Q357" s="109"/>
      <c r="R357" t="str">
        <f>$Q$281</f>
        <v>Roof</v>
      </c>
      <c r="S357">
        <f>$E$25</f>
        <v>33.171875</v>
      </c>
      <c r="T357" cm="1">
        <f t="array" ref="T357">IFERROR(IF(S357=0,0,(INDEX($C$33:$C$38,MATCH($W$294,$B$33:$B$38,0),0)*(S357+$X$294)+$V$294*$C$31)*$R$294),0)</f>
        <v>0</v>
      </c>
      <c r="U357">
        <f>IF(S357=0,0,-$V$294*$C$31*$H$27*$R$294)</f>
        <v>0</v>
      </c>
      <c r="V357">
        <f>IF(S357=0,0,$V$294*$H$26*$R$294)</f>
        <v>0</v>
      </c>
      <c r="W357">
        <f>(0.6*T357+0.7*U357)*$R$294/2</f>
        <v>0</v>
      </c>
      <c r="X357">
        <f>T357*$R$294/2</f>
        <v>0</v>
      </c>
      <c r="Z357">
        <f>IF(S357=0,0,$AD$294*$AP$281)</f>
        <v>0</v>
      </c>
      <c r="AA357">
        <f>IFERROR(Z357/$R$294,0)</f>
        <v>0</v>
      </c>
      <c r="AB357">
        <f>Z357*($F$25+($C$16+$C$17+IF($C$13="single",1.5,3)+3)/12)</f>
        <v>0</v>
      </c>
      <c r="AC357">
        <f>AB357-W357</f>
        <v>0</v>
      </c>
      <c r="AD357" cm="1">
        <f t="array" ref="AD357">IFERROR(IF(AC357&lt;0,0,AC357/($R$294-INDEX(hd_off,MATCH(AQ357,hd_mark,0),0)/12)),0)</f>
        <v>0</v>
      </c>
      <c r="AE357">
        <f>IF(S357=0,0,$AD$294*$AM$281)</f>
        <v>0</v>
      </c>
      <c r="AF357">
        <f>IFERROR(AE357/$R$294,0)</f>
        <v>0</v>
      </c>
      <c r="AG357">
        <f>AE357*($F$25+($C$16+$C$17+IF($C$13="single",1.5,3)+3)/12)</f>
        <v>0</v>
      </c>
      <c r="AH357">
        <f>AG357-X357</f>
        <v>0</v>
      </c>
      <c r="AI357" cm="1">
        <f t="array" ref="AI357">IFERROR(IF(AH357&lt;0,0,AH357/($R$294-INDEX(hd_off,MATCH(AQ357,hd_mark,0),0)/12)),0)</f>
        <v>0</v>
      </c>
      <c r="AJ357">
        <f>MAX($F$25,$AC$294)/$Q$308</f>
        <v>0.29920977011494249</v>
      </c>
      <c r="AK357">
        <f t="shared" si="220"/>
        <v>1</v>
      </c>
      <c r="AL357" cm="1">
        <f t="array" ref="AL357">IFERROR(INDEX(sheath_ecap_asd,MATCH(AP357,sheath_mark,0),0)*AK357,0)</f>
        <v>0</v>
      </c>
      <c r="AM357" cm="1">
        <f t="array" ref="AM357">IFERROR(INDEX(sheath_wcap_asd,MATCH(AP357,sheath_mark,0),0)*AK357,0)</f>
        <v>0</v>
      </c>
      <c r="AN357" cm="1">
        <f t="array" ref="AN357">IFERROR(INDEX(hd_cap,MATCH(AQ357,hd_mark,0),0),0)</f>
        <v>0</v>
      </c>
      <c r="AP357" s="19"/>
      <c r="AQ357" s="19"/>
      <c r="AR357" s="100"/>
      <c r="AS357" s="93"/>
      <c r="AT357" s="109"/>
      <c r="AU357" t="str">
        <f>$Q$281</f>
        <v>Roof</v>
      </c>
      <c r="AV357">
        <f>$E$25</f>
        <v>33.171875</v>
      </c>
      <c r="AW357" cm="1">
        <f t="array" ref="AW357">IFERROR(IF(AV357=0,0,(INDEX($C$33:$C$38,MATCH($AZ$294,$B$33:$B$38,0),0)*(AV357+$BA$294)+$AY$294*$C$31)*$AU$294),0)</f>
        <v>0</v>
      </c>
      <c r="AX357">
        <f>IF(AV357=0,0,-$AY$294*$C$31*$H$27*$AU$294)</f>
        <v>0</v>
      </c>
      <c r="AY357">
        <f>IF(AV357=0,0,$AY$294*$H$26*$AU$294)</f>
        <v>0</v>
      </c>
      <c r="AZ357">
        <f>(0.6*AW357+0.7*AX357)*$AU$294/2</f>
        <v>0</v>
      </c>
      <c r="BA357">
        <f>AW357*$AU$294/2</f>
        <v>0</v>
      </c>
      <c r="BC357">
        <f>IF(AV357=0,0,$BG$294*$AP$281)</f>
        <v>0</v>
      </c>
      <c r="BD357">
        <f>IFERROR(BC357/$AU$294,0)</f>
        <v>0</v>
      </c>
      <c r="BE357">
        <f>BC357*($F$25+($C$16+$C$17+IF($C$13="single",1.5,3)+3)/12)</f>
        <v>0</v>
      </c>
      <c r="BF357">
        <f>BE357-AZ357</f>
        <v>0</v>
      </c>
      <c r="BG357" cm="1">
        <f t="array" ref="BG357">IFERROR(IF(BF357&lt;0,0,BF357/($AU$294-INDEX(hd_off,MATCH(BT357,hd_mark,0),0)/12)),0)</f>
        <v>0</v>
      </c>
      <c r="BH357">
        <f>IF(AV357=0,0,$BG$294*$AM$281)</f>
        <v>0</v>
      </c>
      <c r="BI357">
        <f>IFERROR(BH357/$AU$294,0)</f>
        <v>0</v>
      </c>
      <c r="BJ357">
        <f>BH357*($F$25+($C$16+$C$17+IF($C$13="single",1.5,3)+3)/12)</f>
        <v>0</v>
      </c>
      <c r="BK357">
        <f>BJ357-BA357</f>
        <v>0</v>
      </c>
      <c r="BL357" cm="1">
        <f t="array" ref="BL357">IFERROR(IF(BK357&lt;0,0,BK357/($AU$294-INDEX(hd_off,MATCH(BT357,hd_mark,0),0)/12)),0)</f>
        <v>0</v>
      </c>
      <c r="BM357">
        <f>MAX($F$25,$BF$294)/$Q$308</f>
        <v>0.29920977011494249</v>
      </c>
      <c r="BN357">
        <f t="shared" si="221"/>
        <v>1</v>
      </c>
      <c r="BO357" cm="1">
        <f t="array" ref="BO357">IFERROR(INDEX(sheath_ecap_asd,MATCH(BS357,sheath_mark,0),0)*BN357,0)</f>
        <v>0</v>
      </c>
      <c r="BP357" cm="1">
        <f t="array" ref="BP357">IFERROR(INDEX(sheath_wcap_asd,MATCH(BS357,sheath_mark,0),0)*BN357,0)</f>
        <v>0</v>
      </c>
      <c r="BQ357" cm="1">
        <f t="array" ref="BQ357">IFERROR(INDEX(hd_cap,MATCH(BT357,hd_mark,0),0),0)</f>
        <v>0</v>
      </c>
      <c r="BS357" s="19"/>
      <c r="BT357" s="19"/>
      <c r="BU357" s="100"/>
    </row>
    <row r="358" x14ac:dyDescent="0.25">
      <c r="P358" s="93"/>
      <c r="AR358" s="100"/>
      <c r="AS358" s="93"/>
      <c r="BU358" s="100"/>
    </row>
    <row r="359" x14ac:dyDescent="0.25">
      <c r="P359" s="93"/>
      <c r="Q359" s="110" t="str">
        <f>$Q$295</f>
        <v>A.10</v>
      </c>
      <c r="R359" t="str">
        <f>$Q$277</f>
        <v>L2</v>
      </c>
      <c r="S359">
        <f>$E$21</f>
        <v>10.6875</v>
      </c>
      <c r="T359" cm="1">
        <f t="array" ref="T359">IFERROR(IF(S359=0,0,(INDEX($C$33:$C$38,MATCH($W$295,$B$33:$B$38,0),0)*(S363+$X$295)+$T$295*COUNTIF(S359:S362,"&gt;0")*$C$32+$V$295*$C$31)*$R$295),0)</f>
        <v>0</v>
      </c>
      <c r="U359">
        <f>IF(S359=0,0,-(COUNTIF(S359:S362,"&gt;0")*$T$295*$C$32+$V$295*$C$31)*$H$27*$R$295)</f>
        <v>0</v>
      </c>
      <c r="V359">
        <f>IF(S359=0,0,$V$295*$H$26*$R$295)</f>
        <v>0</v>
      </c>
      <c r="W359">
        <f>(0.6*T359+0.7*U359)*$R$295/2</f>
        <v>0</v>
      </c>
      <c r="X359">
        <f>(0.6*T359+0.6*V359)*$R$295/2</f>
        <v>0</v>
      </c>
      <c r="Z359">
        <f>IF(S359=0,0,$AD$295*$AP$277)</f>
        <v>0</v>
      </c>
      <c r="AA359">
        <f>IFERROR(Z359/$R$295,0)</f>
        <v>0</v>
      </c>
      <c r="AB359">
        <f>Z359*($F$21+IF($F$21=0,0,($C$14+$C$15+IF($C$13="single",1.5,3)+3)/12))</f>
        <v>0</v>
      </c>
      <c r="AC359">
        <f>AB359-W359</f>
        <v>0</v>
      </c>
      <c r="AD359" cm="1">
        <f t="array" ref="AD359">IFERROR(IF(AC359&lt;0,0,AC359/($R$295-INDEX(hd_off,MATCH(AQ359,hd_mark,0),0)/12)),0)</f>
        <v>0</v>
      </c>
      <c r="AE359">
        <f>IF(S359=0,0,$AD$295*$AM$277)</f>
        <v>0</v>
      </c>
      <c r="AF359">
        <f>IFERROR(AE359/$R$295,0)</f>
        <v>0</v>
      </c>
      <c r="AG359">
        <f>AE359*($F$21+IF($F$21=0,0,($C$14+$C$15+IF($C$13="single",1.5,3)+3)/12))</f>
        <v>0</v>
      </c>
      <c r="AH359">
        <f>AG359-X359</f>
        <v>0</v>
      </c>
      <c r="AI359" cm="1">
        <f t="array" ref="AI359">IFERROR(IF(AH359&lt;0,0,AH359/($R$295-INDEX(hd_off,MATCH(AQ359,hd_mark,0),0)/12)),0)</f>
        <v>0</v>
      </c>
      <c r="AJ359">
        <f>MAX($F$21,$Y$295)/$Q$308</f>
        <v>0.30172413793103448</v>
      </c>
      <c r="AK359">
        <f>IF(AJ359=0,0,IF(AJ359&gt;2,1.25-0.125*AJ359,1))</f>
        <v>1</v>
      </c>
      <c r="AL359" cm="1">
        <f t="array" ref="AL359">IFERROR(INDEX(sheath_ecap_asd,MATCH(AP359,sheath_mark,0),0)*AK359,0)</f>
        <v>0</v>
      </c>
      <c r="AM359" cm="1">
        <f t="array" ref="AM359">IFERROR(INDEX(sheath_wcap_asd,MATCH(AP359,sheath_mark,0),0)*AK359,0)</f>
        <v>0</v>
      </c>
      <c r="AN359" cm="1">
        <f t="array" ref="AN359">IFERROR(INDEX(hd_cap,MATCH(AQ359,hd_mark,0),0),0)</f>
        <v>0</v>
      </c>
      <c r="AP359" s="19"/>
      <c r="AQ359" s="19"/>
      <c r="AR359" s="100"/>
      <c r="AS359" s="93"/>
      <c r="AT359" s="110" t="str">
        <f>$AT$295</f>
        <v>1.10</v>
      </c>
      <c r="AU359" t="str">
        <f>$Q$277</f>
        <v>L2</v>
      </c>
      <c r="AV359">
        <f>$E$21</f>
        <v>10.6875</v>
      </c>
      <c r="AW359" cm="1">
        <f t="array" ref="AW359">IFERROR(IF(AV359=0,0,(INDEX($C$33:$C$38,MATCH($AZ$295,$B$33:$B$38,0),0)*(AV363+$BA$295)+$AW$295*COUNTIF(AV359:AV362,"&gt;0")*$C$32+$AY$295*$C$31)*$AU$295),0)</f>
        <v>0</v>
      </c>
      <c r="AX359">
        <f>IF(AV359=0,0,-(COUNTIF(AV359:AV362,"&gt;0")*$AW$295*$C$32+$AY$295*$C$31)*$H$27*$AU$295)</f>
        <v>0</v>
      </c>
      <c r="AY359">
        <f>IF(AV359=0,0,$AY$295*$H$26*$AU$295)</f>
        <v>0</v>
      </c>
      <c r="AZ359">
        <f>(0.6*AW359+0.7*AX359)*$AU$295/2</f>
        <v>0</v>
      </c>
      <c r="BA359">
        <f>(0.6*AW359+0.6*AY359)*$AU$295/2</f>
        <v>0</v>
      </c>
      <c r="BC359">
        <f>IF(AV359=0,0,$BG$295*$AP$277)</f>
        <v>0</v>
      </c>
      <c r="BD359">
        <f>IFERROR(BC359/$AU$295,0)</f>
        <v>0</v>
      </c>
      <c r="BE359">
        <f>BC359*($F$21+IF($F$21=0,0,($C$14+$C$15+IF($C$13="single",1.5,3)+3)/12))</f>
        <v>0</v>
      </c>
      <c r="BF359">
        <f>BE359-AZ359</f>
        <v>0</v>
      </c>
      <c r="BG359" cm="1">
        <f t="array" ref="BG359">IFERROR(IF(BF359&lt;0,0,BF359/($AU$295-INDEX(hd_off,MATCH(BT359,hd_mark,0),0)/12)),0)</f>
        <v>0</v>
      </c>
      <c r="BH359">
        <f>IF(AV359=0,0,$BG$295*$AM$277)</f>
        <v>0</v>
      </c>
      <c r="BI359">
        <f>IFERROR(BH359/$AU$295,0)</f>
        <v>0</v>
      </c>
      <c r="BJ359">
        <f>BH359*($F$21+IF($F$21=0,0,($C$14+$C$15+IF($C$13="single",1.5,3)+3)/12))</f>
        <v>0</v>
      </c>
      <c r="BK359">
        <f>BJ359-BA359</f>
        <v>0</v>
      </c>
      <c r="BL359" cm="1">
        <f t="array" ref="BL359">IFERROR(IF(BK359&lt;0,0,BK359/($AU$295-INDEX(hd_off,MATCH(BT359,hd_mark,0),0)/12)),0)</f>
        <v>0</v>
      </c>
      <c r="BM359">
        <f>MAX($F$21,$BB$295)/$Q$308</f>
        <v>0.30172413793103448</v>
      </c>
      <c r="BN359">
        <f>IF(BM359=0,0,IF(BM359&gt;2,1.25-0.125*BM359,1))</f>
        <v>1</v>
      </c>
      <c r="BO359" cm="1">
        <f t="array" ref="BO359">IFERROR(INDEX(sheath_ecap_asd,MATCH(BS359,sheath_mark,0),0)*BN359,0)</f>
        <v>0</v>
      </c>
      <c r="BP359" cm="1">
        <f t="array" ref="BP359">IFERROR(INDEX(sheath_wcap_asd,MATCH(BS359,sheath_mark,0),0)*BN359,0)</f>
        <v>0</v>
      </c>
      <c r="BQ359" cm="1">
        <f t="array" ref="BQ359">IFERROR(INDEX(hd_cap,MATCH(BT359,hd_mark,0),0),0)</f>
        <v>0</v>
      </c>
      <c r="BS359" s="19"/>
      <c r="BT359" s="19"/>
      <c r="BU359" s="100"/>
    </row>
    <row r="360" x14ac:dyDescent="0.25">
      <c r="P360" s="93"/>
      <c r="Q360" s="109"/>
      <c r="R360" t="str">
        <f>$Q$278</f>
        <v>L3</v>
      </c>
      <c r="S360">
        <f>$E$22</f>
        <v>21.375</v>
      </c>
      <c r="T360" cm="1">
        <f t="array" ref="T360">IFERROR(IF(S360=0,0,(INDEX($C$33:$C$38,MATCH($W$295,$B$33:$B$38,0),0)*(S363+$X$295)+$T$295*COUNTIF(S360:S362,"&gt;0")*$C$32+$V$295*$C$31)*$R$295),0)</f>
        <v>0</v>
      </c>
      <c r="U360">
        <f>IF(S360=0,0,-(COUNTIF(S360:S362,"&gt;0")*$T$295*$C$32+$V$295*$C$31)*$H$27*$R$295)</f>
        <v>0</v>
      </c>
      <c r="V360">
        <f>IF(S360=0,0,$V$295*$H$26*$R$295)</f>
        <v>0</v>
      </c>
      <c r="W360">
        <f>(0.6*T360+0.7*U360)*$R$295/2</f>
        <v>0</v>
      </c>
      <c r="X360">
        <f>T360*$R$295/2</f>
        <v>0</v>
      </c>
      <c r="Z360">
        <f>IF(S360=0,0,$AD$295*$AP$278)</f>
        <v>0</v>
      </c>
      <c r="AA360">
        <f>IFERROR(Z360/$R$295,0)</f>
        <v>0</v>
      </c>
      <c r="AB360">
        <f>Z360*($F$22+IF($F$22=0,0,($C$14+$C$15+IF($C$13="single",1.5,3)+3)/12))</f>
        <v>0</v>
      </c>
      <c r="AC360">
        <f>AB360-W360</f>
        <v>0</v>
      </c>
      <c r="AD360" cm="1">
        <f t="array" ref="AD360">IFERROR(IF(AC360&lt;0,0,AC360/($R$295-INDEX(hd_off,MATCH(AQ360,hd_mark,0),0)/12)),0)</f>
        <v>0</v>
      </c>
      <c r="AE360">
        <f>IF(S360=0,0,$AD$295*$AM$278)</f>
        <v>0</v>
      </c>
      <c r="AF360">
        <f>IFERROR(AE360/$R$295,0)</f>
        <v>0</v>
      </c>
      <c r="AG360">
        <f>AE360*($F$22+IF($F$22=0,0,($C$14+$C$15+IF($C$13="single",1.5,3)+3)/12))</f>
        <v>0</v>
      </c>
      <c r="AH360">
        <f>AG360-X360</f>
        <v>0</v>
      </c>
      <c r="AI360" cm="1">
        <f t="array" ref="AI360">IFERROR(IF(AH360&lt;0,0,AH360/($R$295-INDEX(hd_off,MATCH(AQ360,hd_mark,0),0)/12)),0)</f>
        <v>0</v>
      </c>
      <c r="AJ360">
        <f>MAX($F$22,$Z$295)/$Q$308</f>
        <v>0.30172413793103448</v>
      </c>
      <c r="AK360">
        <f t="shared" ref="AK360:AK363" si="222">IF(AJ360=0,0,IF(AJ360&gt;2,1.25-0.125*AJ360,1))</f>
        <v>1</v>
      </c>
      <c r="AL360" cm="1">
        <f t="array" ref="AL360">IFERROR(INDEX(sheath_ecap_asd,MATCH(AP360,sheath_mark,0),0)*AK360,0)</f>
        <v>0</v>
      </c>
      <c r="AM360" cm="1">
        <f t="array" ref="AM360">IFERROR(INDEX(sheath_wcap_asd,MATCH(AP360,sheath_mark,0),0)*AK360,0)</f>
        <v>0</v>
      </c>
      <c r="AN360" cm="1">
        <f t="array" ref="AN360">IFERROR(INDEX(hd_cap,MATCH(AQ360,hd_mark,0),0),0)</f>
        <v>0</v>
      </c>
      <c r="AP360" s="19"/>
      <c r="AQ360" s="19"/>
      <c r="AR360" s="100"/>
      <c r="AS360" s="93"/>
      <c r="AT360" s="109"/>
      <c r="AU360" t="str">
        <f>$Q$278</f>
        <v>L3</v>
      </c>
      <c r="AV360">
        <f>$E$22</f>
        <v>21.375</v>
      </c>
      <c r="AW360" cm="1">
        <f t="array" ref="AW360">IFERROR(IF(AV360=0,0,(INDEX($C$33:$C$38,MATCH($AZ$295,$B$33:$B$38,0),0)*(AV363+$BA$295)+$AW$295*COUNTIF(AV360:AV362,"&gt;0")*$C$32+$AY$295*$C$31)*$AU$295),0)</f>
        <v>0</v>
      </c>
      <c r="AX360">
        <f>IF(AV360=0,0,-(COUNTIF(AV360:AV362,"&gt;0")*$AW$295*$C$32+$AY$295*$C$31)*$H$27*$AU$295)</f>
        <v>0</v>
      </c>
      <c r="AY360">
        <f>IF(AV360=0,0,$AY$295*$H$26*$AU$295)</f>
        <v>0</v>
      </c>
      <c r="AZ360">
        <f>(0.6*AW360+0.7*AX360)*$AU$295/2</f>
        <v>0</v>
      </c>
      <c r="BA360">
        <f>AW360*$AU$295/2</f>
        <v>0</v>
      </c>
      <c r="BC360">
        <f>IF(AV360=0,0,$BG$295*$AP$278)</f>
        <v>0</v>
      </c>
      <c r="BD360">
        <f>IFERROR(BC360/$AU$295,0)</f>
        <v>0</v>
      </c>
      <c r="BE360">
        <f>BC360*($F$22+IF($F$22=0,0,($C$14+$C$15+IF($C$13="single",1.5,3)+3)/12))</f>
        <v>0</v>
      </c>
      <c r="BF360">
        <f>BE360-AZ360</f>
        <v>0</v>
      </c>
      <c r="BG360" cm="1">
        <f t="array" ref="BG360">IFERROR(IF(BF360&lt;0,0,BF360/($AU$295-INDEX(hd_off,MATCH(BT360,hd_mark,0),0)/12)),0)</f>
        <v>0</v>
      </c>
      <c r="BH360">
        <f>IF(AV360=0,0,$BG$295*$AM$278)</f>
        <v>0</v>
      </c>
      <c r="BI360">
        <f>IFERROR(BH360/$AU$295,0)</f>
        <v>0</v>
      </c>
      <c r="BJ360">
        <f>BH360*($F$22+IF($F$22=0,0,($C$14+$C$15+IF($C$13="single",1.5,3)+3)/12))</f>
        <v>0</v>
      </c>
      <c r="BK360">
        <f>BJ360-BA360</f>
        <v>0</v>
      </c>
      <c r="BL360" cm="1">
        <f t="array" ref="BL360">IFERROR(IF(BK360&lt;0,0,BK360/($AU$295-INDEX(hd_off,MATCH(BT360,hd_mark,0),0)/12)),0)</f>
        <v>0</v>
      </c>
      <c r="BM360">
        <f>MAX($F$22,$BC$295)/$Q$308</f>
        <v>0.30172413793103448</v>
      </c>
      <c r="BN360">
        <f t="shared" ref="BN360:BN363" si="223">IF(BM360=0,0,IF(BM360&gt;2,1.25-0.125*BM360,1))</f>
        <v>1</v>
      </c>
      <c r="BO360" cm="1">
        <f t="array" ref="BO360">IFERROR(INDEX(sheath_ecap_asd,MATCH(BS360,sheath_mark,0),0)*BN360,0)</f>
        <v>0</v>
      </c>
      <c r="BP360" cm="1">
        <f t="array" ref="BP360">IFERROR(INDEX(sheath_wcap_asd,MATCH(BS360,sheath_mark,0),0)*BN360,0)</f>
        <v>0</v>
      </c>
      <c r="BQ360" cm="1">
        <f t="array" ref="BQ360">IFERROR(INDEX(hd_cap,MATCH(BT360,hd_mark,0),0),0)</f>
        <v>0</v>
      </c>
      <c r="BS360" s="19"/>
      <c r="BT360" s="19"/>
      <c r="BU360" s="100"/>
    </row>
    <row r="361" x14ac:dyDescent="0.25">
      <c r="P361" s="93"/>
      <c r="Q361" s="109" t="s">
        <v>491</v>
      </c>
      <c r="R361" t="str">
        <f>$Q$279</f>
        <v>L4</v>
      </c>
      <c r="S361">
        <f>$E$23</f>
        <v>0</v>
      </c>
      <c r="T361" cm="1">
        <f t="array" ref="T361">IFERROR(IF(S361=0,0,(INDEX($C$33:$C$38,MATCH($W$295,$B$33:$B$38,0),0)*(S363+$X$295)+$T$295*COUNTIF(S361:S362,"&gt;0")*$C$32+$V$295*$C$31)*$R$295),0)</f>
        <v>0</v>
      </c>
      <c r="U361">
        <f>IF(S361=0,0,-(COUNTIF(S361:S362,"&gt;0")*$T$295*$C$32+$V$295*$C$31)*$H$27*$R$295)</f>
        <v>0</v>
      </c>
      <c r="V361">
        <f>IF(S361=0,0,$V$295*$H$26*$R$295)</f>
        <v>0</v>
      </c>
      <c r="W361">
        <f>(0.6*T361+0.7*U361)*$R$295/2</f>
        <v>0</v>
      </c>
      <c r="X361">
        <f>T361*$R$295/2</f>
        <v>0</v>
      </c>
      <c r="Z361">
        <f>IF(S361=0,0,$AD$295*$AP$279)</f>
        <v>0</v>
      </c>
      <c r="AA361">
        <f>IFERROR(Z361/$R$295,0)</f>
        <v>0</v>
      </c>
      <c r="AB361">
        <f>Z361*($F$23+IF($F$23=0,0,($C$14+$C$15+IF($C$13="single",1.5,3)+3)/12))</f>
        <v>0</v>
      </c>
      <c r="AC361">
        <f>AB361-W361</f>
        <v>0</v>
      </c>
      <c r="AD361" cm="1">
        <f t="array" ref="AD361">IFERROR(IF(AC361&lt;0,0,AC361/($R$295-INDEX(hd_off,MATCH(AQ361,hd_mark,0),0)/12)),0)</f>
        <v>0</v>
      </c>
      <c r="AE361">
        <f>IF(S361=0,0,$AD$295*$AM$279)</f>
        <v>0</v>
      </c>
      <c r="AF361">
        <f>IFERROR(AE361/$R$295,0)</f>
        <v>0</v>
      </c>
      <c r="AG361">
        <f>AE361*($F$23+IF($F$23=0,0,($C$14+$C$15+IF($C$13="single",1.5,3)+3)/12))</f>
        <v>0</v>
      </c>
      <c r="AH361">
        <f>AG361-X361</f>
        <v>0</v>
      </c>
      <c r="AI361" cm="1">
        <f t="array" ref="AI361">IFERROR(IF(AH361&lt;0,0,AH361/($R$295-INDEX(hd_off,MATCH(AQ361,hd_mark,0),0)/12)),0)</f>
        <v>0</v>
      </c>
      <c r="AJ361">
        <f>MAX($F$23,$AA$295)/$Q$308</f>
        <v>0</v>
      </c>
      <c r="AK361">
        <f t="shared" si="222"/>
        <v>0</v>
      </c>
      <c r="AL361" cm="1">
        <f t="array" ref="AL361">IFERROR(INDEX(sheath_ecap_asd,MATCH(AP361,sheath_mark,0),0)*AK361,0)</f>
        <v>0</v>
      </c>
      <c r="AM361" cm="1">
        <f t="array" ref="AM361">IFERROR(INDEX(sheath_wcap_asd,MATCH(AP361,sheath_mark,0),0)*AK361,0)</f>
        <v>0</v>
      </c>
      <c r="AN361" cm="1">
        <f t="array" ref="AN361">IFERROR(INDEX(hd_cap,MATCH(AQ361,hd_mark,0),0),0)</f>
        <v>0</v>
      </c>
      <c r="AP361" s="19"/>
      <c r="AQ361" s="19"/>
      <c r="AR361" s="100"/>
      <c r="AS361" s="93"/>
      <c r="AT361" s="109" t="s">
        <v>491</v>
      </c>
      <c r="AU361" t="str">
        <f>$Q$279</f>
        <v>L4</v>
      </c>
      <c r="AV361">
        <f>$E$23</f>
        <v>0</v>
      </c>
      <c r="AW361" cm="1">
        <f t="array" ref="AW361">IFERROR(IF(AV361=0,0,(INDEX($C$33:$C$38,MATCH($AZ$295,$B$33:$B$38,0),0)*(AV363+$BA$295)+$AW$295*COUNTIF(AV361:AV362,"&gt;0")*$C$32+$AY$295*$C$31)*$AU$295),0)</f>
        <v>0</v>
      </c>
      <c r="AX361">
        <f>IF(AV361=0,0,-(COUNTIF(AV361:AV362,"&gt;0")*$AW$295*$C$32+$AY$295*$C$31)*$H$27*$AU$295)</f>
        <v>0</v>
      </c>
      <c r="AY361">
        <f>IF(AV361=0,0,$AY$295*$H$26*$AU$295)</f>
        <v>0</v>
      </c>
      <c r="AZ361">
        <f>(0.6*AW361+0.7*AX361)*$AU$295/2</f>
        <v>0</v>
      </c>
      <c r="BA361">
        <f>AW361*$AU$295/2</f>
        <v>0</v>
      </c>
      <c r="BC361">
        <f>IF(AV361=0,0,$BG$295*$AP$279)</f>
        <v>0</v>
      </c>
      <c r="BD361">
        <f>IFERROR(BC361/$AU$295,0)</f>
        <v>0</v>
      </c>
      <c r="BE361">
        <f>BC361*($F$23+IF($F$23=0,0,($C$14+$C$15+IF($C$13="single",1.5,3)+3)/12))</f>
        <v>0</v>
      </c>
      <c r="BF361">
        <f>BE361-AZ361</f>
        <v>0</v>
      </c>
      <c r="BG361" cm="1">
        <f t="array" ref="BG361">IFERROR(IF(BF361&lt;0,0,BF361/($AU$295-INDEX(hd_off,MATCH(BT361,hd_mark,0),0)/12)),0)</f>
        <v>0</v>
      </c>
      <c r="BH361">
        <f>IF(AV361=0,0,$BG$295*$AM$279)</f>
        <v>0</v>
      </c>
      <c r="BI361">
        <f>IFERROR(BH361/$AU$295,0)</f>
        <v>0</v>
      </c>
      <c r="BJ361">
        <f>BH361*($F$23+IF($F$23=0,0,($C$14+$C$15+IF($C$13="single",1.5,3)+3)/12))</f>
        <v>0</v>
      </c>
      <c r="BK361">
        <f>BJ361-BA361</f>
        <v>0</v>
      </c>
      <c r="BL361" cm="1">
        <f t="array" ref="BL361">IFERROR(IF(BK361&lt;0,0,BK361/($AU$295-INDEX(hd_off,MATCH(BT361,hd_mark,0),0)/12)),0)</f>
        <v>0</v>
      </c>
      <c r="BM361">
        <f>MAX($F$23,$BD$295)/$Q$308</f>
        <v>0</v>
      </c>
      <c r="BN361">
        <f t="shared" si="223"/>
        <v>0</v>
      </c>
      <c r="BO361" cm="1">
        <f t="array" ref="BO361">IFERROR(INDEX(sheath_ecap_asd,MATCH(BS361,sheath_mark,0),0)*BN361,0)</f>
        <v>0</v>
      </c>
      <c r="BP361" cm="1">
        <f t="array" ref="BP361">IFERROR(INDEX(sheath_wcap_asd,MATCH(BS361,sheath_mark,0),0)*BN361,0)</f>
        <v>0</v>
      </c>
      <c r="BQ361" cm="1">
        <f t="array" ref="BQ361">IFERROR(INDEX(hd_cap,MATCH(BT361,hd_mark,0),0),0)</f>
        <v>0</v>
      </c>
      <c r="BS361" s="19"/>
      <c r="BT361" s="19"/>
      <c r="BU361" s="100"/>
    </row>
    <row r="362" x14ac:dyDescent="0.25">
      <c r="P362" s="93"/>
      <c r="Q362" s="111">
        <f>$R$295</f>
        <v>0</v>
      </c>
      <c r="R362" t="str">
        <f>$Q$280</f>
        <v>L5</v>
      </c>
      <c r="S362">
        <f>$E$24</f>
        <v>0</v>
      </c>
      <c r="T362" cm="1">
        <f t="array" ref="T362">IFERROR(IF(S362=0,0,(INDEX($C$33:$C$38,MATCH($W$295,$B$33:$B$38,0),0)*(S363+$X$295)+$T$295*COUNTIF(S362:S362,"&gt;0")*$C$32+$V$295*$C$31)*$R$295),0)</f>
        <v>0</v>
      </c>
      <c r="U362">
        <f>IF(S362=0,0,-(COUNTIF(S362:S362,"&gt;0")*$T$295*$C$32+$V$295*$C$31)*$H$27*$R$295)</f>
        <v>0</v>
      </c>
      <c r="V362">
        <f>IF(S362=0,0,$V$295*$H$26*$R$295)</f>
        <v>0</v>
      </c>
      <c r="W362">
        <f>(0.6*T362+0.7*U362)*$R$295/2</f>
        <v>0</v>
      </c>
      <c r="X362">
        <f>T362*$R$295/2</f>
        <v>0</v>
      </c>
      <c r="Z362">
        <f>IF(S362=0,0,$AD$295*$AP$280)</f>
        <v>0</v>
      </c>
      <c r="AA362">
        <f>IFERROR(Z362/$R$295,0)</f>
        <v>0</v>
      </c>
      <c r="AB362">
        <f>Z362*($F$24+IF($F$24=0,0,($C$14+$C$15+IF($C$13="single",1.5,3)+3)/12))</f>
        <v>0</v>
      </c>
      <c r="AC362">
        <f>AB362-W362</f>
        <v>0</v>
      </c>
      <c r="AD362" cm="1">
        <f t="array" ref="AD362">IFERROR(IF(AC362&lt;0,0,AC362/($R$295-INDEX(hd_off,MATCH(AQ362,hd_mark,0),0)/12)),0)</f>
        <v>0</v>
      </c>
      <c r="AE362">
        <f>IF(S362=0,0,$AD$295*$AM$280)</f>
        <v>0</v>
      </c>
      <c r="AF362">
        <f>IFERROR(AE362/$R$295,0)</f>
        <v>0</v>
      </c>
      <c r="AG362">
        <f>AE362*($F$24+IF($F$24=0,0,($C$14+$C$15+IF($C$13="single",1.5,3)+3)/12))</f>
        <v>0</v>
      </c>
      <c r="AH362">
        <f>AG362-X362</f>
        <v>0</v>
      </c>
      <c r="AI362" cm="1">
        <f t="array" ref="AI362">IFERROR(IF(AH362&lt;0,0,AH362/($R$295-INDEX(hd_off,MATCH(AQ362,hd_mark,0),0)/12)),0)</f>
        <v>0</v>
      </c>
      <c r="AJ362">
        <f>MAX($F$24,$AB$295)/$Q$308</f>
        <v>0</v>
      </c>
      <c r="AK362">
        <f t="shared" si="222"/>
        <v>0</v>
      </c>
      <c r="AL362" cm="1">
        <f t="array" ref="AL362">IFERROR(INDEX(sheath_ecap_asd,MATCH(AP362,sheath_mark,0),0)*AK362,0)</f>
        <v>0</v>
      </c>
      <c r="AM362" cm="1">
        <f t="array" ref="AM362">IFERROR(INDEX(sheath_wcap_asd,MATCH(AP362,sheath_mark,0),0)*AK362,0)</f>
        <v>0</v>
      </c>
      <c r="AN362" cm="1">
        <f t="array" ref="AN362">IFERROR(INDEX(hd_cap,MATCH(AQ362,hd_mark,0),0),0)</f>
        <v>0</v>
      </c>
      <c r="AP362" s="19"/>
      <c r="AQ362" s="19"/>
      <c r="AR362" s="100"/>
      <c r="AS362" s="93"/>
      <c r="AT362" s="111">
        <f>$R$295</f>
        <v>0</v>
      </c>
      <c r="AU362" t="str">
        <f>$Q$280</f>
        <v>L5</v>
      </c>
      <c r="AV362">
        <f>$E$24</f>
        <v>0</v>
      </c>
      <c r="AW362" cm="1">
        <f t="array" ref="AW362">IFERROR(IF(AV362=0,0,(INDEX($C$33:$C$38,MATCH($AZ$295,$B$33:$B$38,0),0)*(AV363+$BA$295)+$AW$295*COUNTIF(AV362:AV362,"&gt;0")*$C$32+$AY$295*$C$31)*$AU$295),0)</f>
        <v>0</v>
      </c>
      <c r="AX362">
        <f>IF(AV362=0,0,-(COUNTIF(AV362:AV362,"&gt;0")*$AW$295*$C$32+$AY$295*$C$31)*$H$27*$AU$295)</f>
        <v>0</v>
      </c>
      <c r="AY362">
        <f>IF(AV362=0,0,$AY$295*$H$26*$AU$295)</f>
        <v>0</v>
      </c>
      <c r="AZ362">
        <f>(0.6*AW362+0.7*AX362)*$AU$295/2</f>
        <v>0</v>
      </c>
      <c r="BA362">
        <f>AW362*$AU$295/2</f>
        <v>0</v>
      </c>
      <c r="BC362">
        <f>IF(AV362=0,0,$BG$295*$AP$280)</f>
        <v>0</v>
      </c>
      <c r="BD362">
        <f>IFERROR(BC362/$AU$295,0)</f>
        <v>0</v>
      </c>
      <c r="BE362">
        <f>BC362*($F$24+IF($F$24=0,0,($C$14+$C$15+IF($C$13="single",1.5,3)+3)/12))</f>
        <v>0</v>
      </c>
      <c r="BF362">
        <f>BE362-AZ362</f>
        <v>0</v>
      </c>
      <c r="BG362" cm="1">
        <f t="array" ref="BG362">IFERROR(IF(BF362&lt;0,0,BF362/($AU$295-INDEX(hd_off,MATCH(BT362,hd_mark,0),0)/12)),0)</f>
        <v>0</v>
      </c>
      <c r="BH362">
        <f>IF(AV362=0,0,$BG$295*$AM$280)</f>
        <v>0</v>
      </c>
      <c r="BI362">
        <f>IFERROR(BH362/$AU$295,0)</f>
        <v>0</v>
      </c>
      <c r="BJ362">
        <f>BH362*($F$24+IF($F$24=0,0,($C$14+$C$15+IF($C$13="single",1.5,3)+3)/12))</f>
        <v>0</v>
      </c>
      <c r="BK362">
        <f>BJ362-BA362</f>
        <v>0</v>
      </c>
      <c r="BL362" cm="1">
        <f t="array" ref="BL362">IFERROR(IF(BK362&lt;0,0,BK362/($AU$295-INDEX(hd_off,MATCH(BT362,hd_mark,0),0)/12)),0)</f>
        <v>0</v>
      </c>
      <c r="BM362">
        <f>MAX($F$24,$BE$295)/$Q$308</f>
        <v>0</v>
      </c>
      <c r="BN362">
        <f t="shared" si="223"/>
        <v>0</v>
      </c>
      <c r="BO362" cm="1">
        <f t="array" ref="BO362">IFERROR(INDEX(sheath_ecap_asd,MATCH(BS362,sheath_mark,0),0)*BN362,0)</f>
        <v>0</v>
      </c>
      <c r="BP362" cm="1">
        <f t="array" ref="BP362">IFERROR(INDEX(sheath_wcap_asd,MATCH(BS362,sheath_mark,0),0)*BN362,0)</f>
        <v>0</v>
      </c>
      <c r="BQ362" cm="1">
        <f t="array" ref="BQ362">IFERROR(INDEX(hd_cap,MATCH(BT362,hd_mark,0),0),0)</f>
        <v>0</v>
      </c>
      <c r="BS362" s="19"/>
      <c r="BT362" s="19"/>
      <c r="BU362" s="100"/>
    </row>
    <row r="363" x14ac:dyDescent="0.25">
      <c r="P363" s="93"/>
      <c r="Q363" s="109"/>
      <c r="R363" t="str">
        <f>$Q$281</f>
        <v>Roof</v>
      </c>
      <c r="S363">
        <f>$E$25</f>
        <v>33.171875</v>
      </c>
      <c r="T363" cm="1">
        <f t="array" ref="T363">IFERROR(IF(S363=0,0,(INDEX($C$33:$C$38,MATCH($W$295,$B$33:$B$38,0),0)*(S363+$X$295)+$V$295*$C$31)*$R$295),0)</f>
        <v>0</v>
      </c>
      <c r="U363">
        <f>IF(S363=0,0,-$V$295*$C$31*$H$27*$R$295)</f>
        <v>0</v>
      </c>
      <c r="V363">
        <f>IF(S363=0,0,$V$295*$H$26*$R$295)</f>
        <v>0</v>
      </c>
      <c r="W363">
        <f>(0.6*T363+0.7*U363)*$R$295/2</f>
        <v>0</v>
      </c>
      <c r="X363">
        <f>T363*$R$295/2</f>
        <v>0</v>
      </c>
      <c r="Z363">
        <f>IF(S363=0,0,$AD$295*$AP$281)</f>
        <v>0</v>
      </c>
      <c r="AA363">
        <f>IFERROR(Z363/$R$295,0)</f>
        <v>0</v>
      </c>
      <c r="AB363">
        <f>Z363*($F$25+($C$16+$C$17+IF($C$13="single",1.5,3)+3)/12)</f>
        <v>0</v>
      </c>
      <c r="AC363">
        <f>AB363-W363</f>
        <v>0</v>
      </c>
      <c r="AD363" cm="1">
        <f t="array" ref="AD363">IFERROR(IF(AC363&lt;0,0,AC363/($R$295-INDEX(hd_off,MATCH(AQ363,hd_mark,0),0)/12)),0)</f>
        <v>0</v>
      </c>
      <c r="AE363">
        <f>IF(S363=0,0,$AD$295*$AM$281)</f>
        <v>0</v>
      </c>
      <c r="AF363">
        <f>IFERROR(AE363/$R$295,0)</f>
        <v>0</v>
      </c>
      <c r="AG363">
        <f>AE363*($F$25+($C$16+$C$17+IF($C$13="single",1.5,3)+3)/12)</f>
        <v>0</v>
      </c>
      <c r="AH363">
        <f>AG363-X363</f>
        <v>0</v>
      </c>
      <c r="AI363" cm="1">
        <f t="array" ref="AI363">IFERROR(IF(AH363&lt;0,0,AH363/($R$295-INDEX(hd_off,MATCH(AQ363,hd_mark,0),0)/12)),0)</f>
        <v>0</v>
      </c>
      <c r="AJ363">
        <f>MAX($F$25,$AC$295)/$Q$308</f>
        <v>0.29920977011494249</v>
      </c>
      <c r="AK363">
        <f t="shared" si="222"/>
        <v>1</v>
      </c>
      <c r="AL363" cm="1">
        <f t="array" ref="AL363">IFERROR(INDEX(sheath_ecap_asd,MATCH(AP363,sheath_mark,0),0)*AK363,0)</f>
        <v>0</v>
      </c>
      <c r="AM363" cm="1">
        <f t="array" ref="AM363">IFERROR(INDEX(sheath_wcap_asd,MATCH(AP363,sheath_mark,0),0)*AK363,0)</f>
        <v>0</v>
      </c>
      <c r="AN363" cm="1">
        <f t="array" ref="AN363">IFERROR(INDEX(hd_cap,MATCH(AQ363,hd_mark,0),0),0)</f>
        <v>0</v>
      </c>
      <c r="AP363" s="19"/>
      <c r="AQ363" s="19"/>
      <c r="AR363" s="100"/>
      <c r="AS363" s="93"/>
      <c r="AT363" s="109"/>
      <c r="AU363" t="str">
        <f>$Q$281</f>
        <v>Roof</v>
      </c>
      <c r="AV363">
        <f>$E$25</f>
        <v>33.171875</v>
      </c>
      <c r="AW363" cm="1">
        <f t="array" ref="AW363">IFERROR(IF(AV363=0,0,(INDEX($C$33:$C$38,MATCH($AZ$295,$B$33:$B$38,0),0)*(AV363+$BA$295)+$AY$295*$C$31)*$AU$295),0)</f>
        <v>0</v>
      </c>
      <c r="AX363">
        <f>IF(AV363=0,0,-$AY$295*$C$31*$H$27*$AU$295)</f>
        <v>0</v>
      </c>
      <c r="AY363">
        <f>IF(AV363=0,0,$AY$295*$H$26*$AU$295)</f>
        <v>0</v>
      </c>
      <c r="AZ363">
        <f>(0.6*AW363+0.7*AX363)*$AU$295/2</f>
        <v>0</v>
      </c>
      <c r="BA363">
        <f>AW363*$AU$295/2</f>
        <v>0</v>
      </c>
      <c r="BC363">
        <f>IF(AV363=0,0,$BG$295*$AP$281)</f>
        <v>0</v>
      </c>
      <c r="BD363">
        <f>IFERROR(BC363/$AU$295,0)</f>
        <v>0</v>
      </c>
      <c r="BE363">
        <f>BC363*($F$25+($C$16+$C$17+IF($C$13="single",1.5,3)+3)/12)</f>
        <v>0</v>
      </c>
      <c r="BF363">
        <f>BE363-AZ363</f>
        <v>0</v>
      </c>
      <c r="BG363" cm="1">
        <f t="array" ref="BG363">IFERROR(IF(BF363&lt;0,0,BF363/($AU$295-INDEX(hd_off,MATCH(BT363,hd_mark,0),0)/12)),0)</f>
        <v>0</v>
      </c>
      <c r="BH363">
        <f>IF(AV363=0,0,$BG$295*$AM$281)</f>
        <v>0</v>
      </c>
      <c r="BI363">
        <f>IFERROR(BH363/$AU$295,0)</f>
        <v>0</v>
      </c>
      <c r="BJ363">
        <f>BH363*($F$25+($C$16+$C$17+IF($C$13="single",1.5,3)+3)/12)</f>
        <v>0</v>
      </c>
      <c r="BK363">
        <f>BJ363-BA363</f>
        <v>0</v>
      </c>
      <c r="BL363" cm="1">
        <f t="array" ref="BL363">IFERROR(IF(BK363&lt;0,0,BK363/($AU$295-INDEX(hd_off,MATCH(BT363,hd_mark,0),0)/12)),0)</f>
        <v>0</v>
      </c>
      <c r="BM363">
        <f>MAX($F$25,$BF$295)/$Q$308</f>
        <v>0.29920977011494249</v>
      </c>
      <c r="BN363">
        <f t="shared" si="223"/>
        <v>1</v>
      </c>
      <c r="BO363" cm="1">
        <f t="array" ref="BO363">IFERROR(INDEX(sheath_ecap_asd,MATCH(BS363,sheath_mark,0),0)*BN363,0)</f>
        <v>0</v>
      </c>
      <c r="BP363" cm="1">
        <f t="array" ref="BP363">IFERROR(INDEX(sheath_wcap_asd,MATCH(BS363,sheath_mark,0),0)*BN363,0)</f>
        <v>0</v>
      </c>
      <c r="BQ363" cm="1">
        <f t="array" ref="BQ363">IFERROR(INDEX(hd_cap,MATCH(BT363,hd_mark,0),0),0)</f>
        <v>0</v>
      </c>
      <c r="BS363" s="19"/>
      <c r="BT363" s="19"/>
      <c r="BU363" s="100"/>
    </row>
    <row r="364" x14ac:dyDescent="0.25">
      <c r="P364" s="93"/>
      <c r="AR364" s="100"/>
      <c r="AS364" s="93"/>
      <c r="BU364" s="100"/>
    </row>
    <row r="365" x14ac:dyDescent="0.25">
      <c r="P365" s="93"/>
      <c r="Q365" s="110" t="str">
        <f>$Q$296</f>
        <v>A.11</v>
      </c>
      <c r="R365" t="str">
        <f>$Q$277</f>
        <v>L2</v>
      </c>
      <c r="S365">
        <f>$E$21</f>
        <v>10.6875</v>
      </c>
      <c r="T365" cm="1">
        <f t="array" ref="T365">IFERROR(IF(S365=0,0,(INDEX($C$33:$C$38,MATCH($W$296,$B$33:$B$38,0),0)*(S369+$X$296)+$T$296*COUNTIF(S365:S368,"&gt;0")*$C$32+$V$296*$C$31)*$R$296),0)</f>
        <v>0</v>
      </c>
      <c r="U365">
        <f>IF(S365=0,0,-(COUNTIF(S365:S368,"&gt;0")*$T$296*$C$32+$V$296*$C$31)*$H$27*$R$296)</f>
        <v>0</v>
      </c>
      <c r="V365">
        <f>IF(S365=0,0,$V$296*$H$26*$R$296)</f>
        <v>0</v>
      </c>
      <c r="W365">
        <f>(0.6*T365+0.7*U365)*$R$296/2</f>
        <v>0</v>
      </c>
      <c r="X365">
        <f>(0.6*T365+0.6*V365)*$R$296/2</f>
        <v>0</v>
      </c>
      <c r="Z365">
        <f>IF(S365=0,0,$AD$296*$AP$277)</f>
        <v>0</v>
      </c>
      <c r="AA365">
        <f>IFERROR(Z365/$R$296,0)</f>
        <v>0</v>
      </c>
      <c r="AB365">
        <f>Z365*($F$21+IF($F$21=0,0,($C$14+$C$15+IF($C$13="single",1.5,3)+3)/12))</f>
        <v>0</v>
      </c>
      <c r="AC365">
        <f>AB365-W365</f>
        <v>0</v>
      </c>
      <c r="AD365" cm="1">
        <f t="array" ref="AD365">IFERROR(IF(AC365&lt;0,0,AC365/($R$296-INDEX(hd_off,MATCH(AQ365,hd_mark,0),0)/12)),0)</f>
        <v>0</v>
      </c>
      <c r="AE365">
        <f>IF(S365=0,0,$AD$296*$AM$277)</f>
        <v>0</v>
      </c>
      <c r="AF365">
        <f>IFERROR(AE365/$R$296,0)</f>
        <v>0</v>
      </c>
      <c r="AG365">
        <f>AE365*($F$21+IF($F$21=0,0,($C$14+$C$15+IF($C$13="single",1.5,3)+3)/12))</f>
        <v>0</v>
      </c>
      <c r="AH365">
        <f>AG365-X365</f>
        <v>0</v>
      </c>
      <c r="AI365" cm="1">
        <f t="array" ref="AI365">IFERROR(IF(AH365&lt;0,0,AH365/($R$296-INDEX(hd_off,MATCH(AQ365,hd_mark,0),0)/12)),0)</f>
        <v>0</v>
      </c>
      <c r="AJ365">
        <f>MAX($F$21,$Y$296)/$Q$308</f>
        <v>0.30172413793103448</v>
      </c>
      <c r="AK365">
        <f>IF(AJ365=0,0,IF(AJ365&gt;2,1.25-0.125*AJ365,1))</f>
        <v>1</v>
      </c>
      <c r="AL365" cm="1">
        <f t="array" ref="AL365">IFERROR(INDEX(sheath_ecap_asd,MATCH(AP365,sheath_mark,0),0)*AK365,0)</f>
        <v>0</v>
      </c>
      <c r="AM365" cm="1">
        <f t="array" ref="AM365">IFERROR(INDEX(sheath_wcap_asd,MATCH(AP365,sheath_mark,0),0)*AK365,0)</f>
        <v>0</v>
      </c>
      <c r="AN365" cm="1">
        <f t="array" ref="AN365">IFERROR(INDEX(hd_cap,MATCH(AQ365,hd_mark,0),0),0)</f>
        <v>0</v>
      </c>
      <c r="AP365" s="19"/>
      <c r="AQ365" s="19"/>
      <c r="AR365" s="100"/>
      <c r="AS365" s="93"/>
      <c r="AT365" s="110" t="str">
        <f>$AT$296</f>
        <v>1.11</v>
      </c>
      <c r="AU365" t="str">
        <f>$Q$277</f>
        <v>L2</v>
      </c>
      <c r="AV365">
        <f>$E$21</f>
        <v>10.6875</v>
      </c>
      <c r="AW365" cm="1">
        <f t="array" ref="AW365">IFERROR(IF(AV365=0,0,(INDEX($C$33:$C$38,MATCH($AZ$296,$B$33:$B$38,0),0)*(AV369+$BA$296)+$AW$296*COUNTIF(AV365:AV368,"&gt;0")*$C$32+$AY$296*$C$31)*$AU$296),0)</f>
        <v>0</v>
      </c>
      <c r="AX365">
        <f>IF(AV365=0,0,-(COUNTIF(AV365:AV368,"&gt;0")*$AW$296*$C$32+$AY$296*$C$31)*$H$27*$AU$296)</f>
        <v>0</v>
      </c>
      <c r="AY365">
        <f>IF(AV365=0,0,$AY$296*$H$26*$AU$296)</f>
        <v>0</v>
      </c>
      <c r="AZ365">
        <f>(0.6*AW365+0.7*AX365)*$AU$296/2</f>
        <v>0</v>
      </c>
      <c r="BA365">
        <f>(0.6*AW365+0.6*AY365)*$AU$296/2</f>
        <v>0</v>
      </c>
      <c r="BC365">
        <f>IF(AV365=0,0,$BG$296*$AP$277)</f>
        <v>0</v>
      </c>
      <c r="BD365">
        <f>IFERROR(BC365/$AU$296,0)</f>
        <v>0</v>
      </c>
      <c r="BE365">
        <f>BC365*($F$21+IF($F$21=0,0,($C$14+$C$15+IF($C$13="single",1.5,3)+3)/12))</f>
        <v>0</v>
      </c>
      <c r="BF365">
        <f>BE365-AZ365</f>
        <v>0</v>
      </c>
      <c r="BG365" cm="1">
        <f t="array" ref="BG365">IFERROR(IF(BF365&lt;0,0,BF365/($AU$296-INDEX(hd_off,MATCH(BT365,hd_mark,0),0)/12)),0)</f>
        <v>0</v>
      </c>
      <c r="BH365">
        <f>IF(AV365=0,0,$BG$296*$AM$277)</f>
        <v>0</v>
      </c>
      <c r="BI365">
        <f>IFERROR(BH365/$AU$296,0)</f>
        <v>0</v>
      </c>
      <c r="BJ365">
        <f>BH365*($F$21+IF($F$21=0,0,($C$14+$C$15+IF($C$13="single",1.5,3)+3)/12))</f>
        <v>0</v>
      </c>
      <c r="BK365">
        <f>BJ365-BA365</f>
        <v>0</v>
      </c>
      <c r="BL365" cm="1">
        <f t="array" ref="BL365">IFERROR(IF(BK365&lt;0,0,BK365/($AU$296-INDEX(hd_off,MATCH(BT365,hd_mark,0),0)/12)),0)</f>
        <v>0</v>
      </c>
      <c r="BM365">
        <f>MAX($F$21,$BB$296)/$Q$308</f>
        <v>0.30172413793103448</v>
      </c>
      <c r="BN365">
        <f>IF(BM365=0,0,IF(BM365&gt;2,1.25-0.125*BM365,1))</f>
        <v>1</v>
      </c>
      <c r="BO365" cm="1">
        <f t="array" ref="BO365">IFERROR(INDEX(sheath_ecap_asd,MATCH(BS365,sheath_mark,0),0)*BN365,0)</f>
        <v>0</v>
      </c>
      <c r="BP365" cm="1">
        <f t="array" ref="BP365">IFERROR(INDEX(sheath_wcap_asd,MATCH(BS365,sheath_mark,0),0)*BN365,0)</f>
        <v>0</v>
      </c>
      <c r="BQ365" cm="1">
        <f t="array" ref="BQ365">IFERROR(INDEX(hd_cap,MATCH(BT365,hd_mark,0),0),0)</f>
        <v>0</v>
      </c>
      <c r="BS365" s="19"/>
      <c r="BT365" s="19"/>
      <c r="BU365" s="100"/>
    </row>
    <row r="366" x14ac:dyDescent="0.25">
      <c r="P366" s="93"/>
      <c r="Q366" s="109"/>
      <c r="R366" t="str">
        <f>$Q$278</f>
        <v>L3</v>
      </c>
      <c r="S366">
        <f>$E$22</f>
        <v>21.375</v>
      </c>
      <c r="T366" cm="1">
        <f t="array" ref="T366">IFERROR(IF(S366=0,0,(INDEX($C$33:$C$38,MATCH($W$296,$B$33:$B$38,0),0)*(S369+$X$296)+$T$296*COUNTIF(S366:S368,"&gt;0")*$C$32+$V$296*$C$31)*$R$296),0)</f>
        <v>0</v>
      </c>
      <c r="U366">
        <f>IF(S366=0,0,-(COUNTIF(S366:S368,"&gt;0")*$T$296*$C$32+$V$296*$C$31)*$H$27*$R$296)</f>
        <v>0</v>
      </c>
      <c r="V366">
        <f>IF(S366=0,0,$V$296*$H$26*$R$296)</f>
        <v>0</v>
      </c>
      <c r="W366">
        <f>(0.6*T366+0.7*U366)*$R$296/2</f>
        <v>0</v>
      </c>
      <c r="X366">
        <f>T366*$R$296/2</f>
        <v>0</v>
      </c>
      <c r="Z366">
        <f>IF(S366=0,0,$AD$296*$AP$278)</f>
        <v>0</v>
      </c>
      <c r="AA366">
        <f>IFERROR(Z366/$R$296,0)</f>
        <v>0</v>
      </c>
      <c r="AB366">
        <f>Z366*($F$22+IF($F$22=0,0,($C$14+$C$15+IF($C$13="single",1.5,3)+3)/12))</f>
        <v>0</v>
      </c>
      <c r="AC366">
        <f>AB366-W366</f>
        <v>0</v>
      </c>
      <c r="AD366" cm="1">
        <f t="array" ref="AD366">IFERROR(IF(AC366&lt;0,0,AC366/($R$296-INDEX(hd_off,MATCH(AQ366,hd_mark,0),0)/12)),0)</f>
        <v>0</v>
      </c>
      <c r="AE366">
        <f>IF(S366=0,0,$AD$296*$AM$278)</f>
        <v>0</v>
      </c>
      <c r="AF366">
        <f>IFERROR(AE366/$R$296,0)</f>
        <v>0</v>
      </c>
      <c r="AG366">
        <f>AE366*($F$22+IF($F$22=0,0,($C$14+$C$15+IF($C$13="single",1.5,3)+3)/12))</f>
        <v>0</v>
      </c>
      <c r="AH366">
        <f>AG366-X366</f>
        <v>0</v>
      </c>
      <c r="AI366" cm="1">
        <f t="array" ref="AI366">IFERROR(IF(AH366&lt;0,0,AH366/($R$296-INDEX(hd_off,MATCH(AQ366,hd_mark,0),0)/12)),0)</f>
        <v>0</v>
      </c>
      <c r="AJ366">
        <f>MAX($F$22,$Z$296)/$Q$308</f>
        <v>0.30172413793103448</v>
      </c>
      <c r="AK366">
        <f t="shared" ref="AK366:AK369" si="224">IF(AJ366=0,0,IF(AJ366&gt;2,1.25-0.125*AJ366,1))</f>
        <v>1</v>
      </c>
      <c r="AL366" cm="1">
        <f t="array" ref="AL366">IFERROR(INDEX(sheath_ecap_asd,MATCH(AP366,sheath_mark,0),0)*AK366,0)</f>
        <v>0</v>
      </c>
      <c r="AM366" cm="1">
        <f t="array" ref="AM366">IFERROR(INDEX(sheath_wcap_asd,MATCH(AP366,sheath_mark,0),0)*AK366,0)</f>
        <v>0</v>
      </c>
      <c r="AN366" cm="1">
        <f t="array" ref="AN366">IFERROR(INDEX(hd_cap,MATCH(AQ366,hd_mark,0),0),0)</f>
        <v>0</v>
      </c>
      <c r="AP366" s="19"/>
      <c r="AQ366" s="19"/>
      <c r="AR366" s="100"/>
      <c r="AS366" s="93"/>
      <c r="AT366" s="109"/>
      <c r="AU366" t="str">
        <f>$Q$278</f>
        <v>L3</v>
      </c>
      <c r="AV366">
        <f>$E$22</f>
        <v>21.375</v>
      </c>
      <c r="AW366" cm="1">
        <f t="array" ref="AW366">IFERROR(IF(AV366=0,0,(INDEX($C$33:$C$38,MATCH($AZ$296,$B$33:$B$38,0),0)*(AV369+$BA$296)+$AW$296*COUNTIF(AV366:AV368,"&gt;0")*$C$32+$AY$296*$C$31)*$AU$296),0)</f>
        <v>0</v>
      </c>
      <c r="AX366">
        <f>IF(AV366=0,0,-(COUNTIF(AV366:AV368,"&gt;0")*$AW$296*$C$32+$AY$296*$C$31)*$H$27*$AU$296)</f>
        <v>0</v>
      </c>
      <c r="AY366">
        <f>IF(AV366=0,0,$AY$296*$H$26*$AU$296)</f>
        <v>0</v>
      </c>
      <c r="AZ366">
        <f>(0.6*AW366+0.7*AX366)*$AU$296/2</f>
        <v>0</v>
      </c>
      <c r="BA366">
        <f>AW366*$AU$296/2</f>
        <v>0</v>
      </c>
      <c r="BC366">
        <f>IF(AV366=0,0,$BG$296*$AP$278)</f>
        <v>0</v>
      </c>
      <c r="BD366">
        <f>IFERROR(BC366/$AU$296,0)</f>
        <v>0</v>
      </c>
      <c r="BE366">
        <f>BC366*($F$22+IF($F$22=0,0,($C$14+$C$15+IF($C$13="single",1.5,3)+3)/12))</f>
        <v>0</v>
      </c>
      <c r="BF366">
        <f>BE366-AZ366</f>
        <v>0</v>
      </c>
      <c r="BG366" cm="1">
        <f t="array" ref="BG366">IFERROR(IF(BF366&lt;0,0,BF366/($AU$296-INDEX(hd_off,MATCH(BT366,hd_mark,0),0)/12)),0)</f>
        <v>0</v>
      </c>
      <c r="BH366">
        <f>IF(AV366=0,0,$BG$296*$AM$278)</f>
        <v>0</v>
      </c>
      <c r="BI366">
        <f>IFERROR(BH366/$AU$296,0)</f>
        <v>0</v>
      </c>
      <c r="BJ366">
        <f>BH366*($F$22+IF($F$22=0,0,($C$14+$C$15+IF($C$13="single",1.5,3)+3)/12))</f>
        <v>0</v>
      </c>
      <c r="BK366">
        <f>BJ366-BA366</f>
        <v>0</v>
      </c>
      <c r="BL366" cm="1">
        <f t="array" ref="BL366">IFERROR(IF(BK366&lt;0,0,BK366/($AU$296-INDEX(hd_off,MATCH(BT366,hd_mark,0),0)/12)),0)</f>
        <v>0</v>
      </c>
      <c r="BM366">
        <f>MAX($F$22,$BC$296)/$Q$308</f>
        <v>0.30172413793103448</v>
      </c>
      <c r="BN366">
        <f t="shared" ref="BN366:BN369" si="225">IF(BM366=0,0,IF(BM366&gt;2,1.25-0.125*BM366,1))</f>
        <v>1</v>
      </c>
      <c r="BO366" cm="1">
        <f t="array" ref="BO366">IFERROR(INDEX(sheath_ecap_asd,MATCH(BS366,sheath_mark,0),0)*BN366,0)</f>
        <v>0</v>
      </c>
      <c r="BP366" cm="1">
        <f t="array" ref="BP366">IFERROR(INDEX(sheath_wcap_asd,MATCH(BS366,sheath_mark,0),0)*BN366,0)</f>
        <v>0</v>
      </c>
      <c r="BQ366" cm="1">
        <f t="array" ref="BQ366">IFERROR(INDEX(hd_cap,MATCH(BT366,hd_mark,0),0),0)</f>
        <v>0</v>
      </c>
      <c r="BS366" s="19"/>
      <c r="BT366" s="19"/>
      <c r="BU366" s="100"/>
    </row>
    <row r="367" x14ac:dyDescent="0.25">
      <c r="P367" s="93"/>
      <c r="Q367" s="109" t="s">
        <v>491</v>
      </c>
      <c r="R367" t="str">
        <f>$Q$279</f>
        <v>L4</v>
      </c>
      <c r="S367">
        <f>$E$23</f>
        <v>0</v>
      </c>
      <c r="T367" cm="1">
        <f t="array" ref="T367">IFERROR(IF(S367=0,0,(INDEX($C$33:$C$38,MATCH($W$296,$B$33:$B$38,0),0)*(S369+$X$296)+$T$296*COUNTIF(S367:S368,"&gt;0")*$C$32+$V$296*$C$31)*$R$296),0)</f>
        <v>0</v>
      </c>
      <c r="U367">
        <f>IF(S367=0,0,-(COUNTIF(S367:S368,"&gt;0")*$T$296*$C$32+$V$296*$C$31)*$H$27*$R$296)</f>
        <v>0</v>
      </c>
      <c r="V367">
        <f>IF(S367=0,0,$V$296*$H$26*$R$296)</f>
        <v>0</v>
      </c>
      <c r="W367">
        <f>(0.6*T367+0.7*U367)*$R$296/2</f>
        <v>0</v>
      </c>
      <c r="X367">
        <f>T367*$R$296/2</f>
        <v>0</v>
      </c>
      <c r="Z367">
        <f>IF(S367=0,0,$AD$296*$AP$279)</f>
        <v>0</v>
      </c>
      <c r="AA367">
        <f>IFERROR(Z367/$R$296,0)</f>
        <v>0</v>
      </c>
      <c r="AB367">
        <f>Z367*($F$23+IF($F$23=0,0,($C$14+$C$15+IF($C$13="single",1.5,3)+3)/12))</f>
        <v>0</v>
      </c>
      <c r="AC367">
        <f>AB367-W367</f>
        <v>0</v>
      </c>
      <c r="AD367" cm="1">
        <f t="array" ref="AD367">IFERROR(IF(AC367&lt;0,0,AC367/($R$296-INDEX(hd_off,MATCH(AQ367,hd_mark,0),0)/12)),0)</f>
        <v>0</v>
      </c>
      <c r="AE367">
        <f>IF(S367=0,0,$AD$296*$AM$279)</f>
        <v>0</v>
      </c>
      <c r="AF367">
        <f>IFERROR(AE367/$R$296,0)</f>
        <v>0</v>
      </c>
      <c r="AG367">
        <f>AE367*($F$23+IF($F$23=0,0,($C$14+$C$15+IF($C$13="single",1.5,3)+3)/12))</f>
        <v>0</v>
      </c>
      <c r="AH367">
        <f>AG367-X367</f>
        <v>0</v>
      </c>
      <c r="AI367" cm="1">
        <f t="array" ref="AI367">IFERROR(IF(AH367&lt;0,0,AH367/($R$296-INDEX(hd_off,MATCH(AQ367,hd_mark,0),0)/12)),0)</f>
        <v>0</v>
      </c>
      <c r="AJ367">
        <f>MAX($F$23,$AA$296)/$Q$308</f>
        <v>0</v>
      </c>
      <c r="AK367">
        <f t="shared" si="224"/>
        <v>0</v>
      </c>
      <c r="AL367" cm="1">
        <f t="array" ref="AL367">IFERROR(INDEX(sheath_ecap_asd,MATCH(AP367,sheath_mark,0),0)*AK367,0)</f>
        <v>0</v>
      </c>
      <c r="AM367" cm="1">
        <f t="array" ref="AM367">IFERROR(INDEX(sheath_wcap_asd,MATCH(AP367,sheath_mark,0),0)*AK367,0)</f>
        <v>0</v>
      </c>
      <c r="AN367" cm="1">
        <f t="array" ref="AN367">IFERROR(INDEX(hd_cap,MATCH(AQ367,hd_mark,0),0),0)</f>
        <v>0</v>
      </c>
      <c r="AP367" s="19"/>
      <c r="AQ367" s="19"/>
      <c r="AR367" s="100"/>
      <c r="AS367" s="93"/>
      <c r="AT367" s="109" t="s">
        <v>491</v>
      </c>
      <c r="AU367" t="str">
        <f>$Q$279</f>
        <v>L4</v>
      </c>
      <c r="AV367">
        <f>$E$23</f>
        <v>0</v>
      </c>
      <c r="AW367" cm="1">
        <f t="array" ref="AW367">IFERROR(IF(AV367=0,0,(INDEX($C$33:$C$38,MATCH($AZ$296,$B$33:$B$38,0),0)*(AV369+$BA$296)+$AW$296*COUNTIF(AV367:AV368,"&gt;0")*$C$32+$AY$296*$C$31)*$AU$296),0)</f>
        <v>0</v>
      </c>
      <c r="AX367">
        <f>IF(AV367=0,0,-(COUNTIF(AV367:AV368,"&gt;0")*$AW$296*$C$32+$AY$296*$C$31)*$H$27*$AU$296)</f>
        <v>0</v>
      </c>
      <c r="AY367">
        <f>IF(AV367=0,0,$AY$296*$H$26*$AU$296)</f>
        <v>0</v>
      </c>
      <c r="AZ367">
        <f>(0.6*AW367+0.7*AX367)*$AU$296/2</f>
        <v>0</v>
      </c>
      <c r="BA367">
        <f>AW367*$AU$296/2</f>
        <v>0</v>
      </c>
      <c r="BC367">
        <f>IF(AV367=0,0,$BG$296*$AP$279)</f>
        <v>0</v>
      </c>
      <c r="BD367">
        <f>IFERROR(BC367/$AU$296,0)</f>
        <v>0</v>
      </c>
      <c r="BE367">
        <f>BC367*($F$23+IF($F$23=0,0,($C$14+$C$15+IF($C$13="single",1.5,3)+3)/12))</f>
        <v>0</v>
      </c>
      <c r="BF367">
        <f>BE367-AZ367</f>
        <v>0</v>
      </c>
      <c r="BG367" cm="1">
        <f t="array" ref="BG367">IFERROR(IF(BF367&lt;0,0,BF367/($AU$296-INDEX(hd_off,MATCH(BT367,hd_mark,0),0)/12)),0)</f>
        <v>0</v>
      </c>
      <c r="BH367">
        <f>IF(AV367=0,0,$BG$296*$AM$279)</f>
        <v>0</v>
      </c>
      <c r="BI367">
        <f>IFERROR(BH367/$AU$296,0)</f>
        <v>0</v>
      </c>
      <c r="BJ367">
        <f>BH367*($F$23+IF($F$23=0,0,($C$14+$C$15+IF($C$13="single",1.5,3)+3)/12))</f>
        <v>0</v>
      </c>
      <c r="BK367">
        <f>BJ367-BA367</f>
        <v>0</v>
      </c>
      <c r="BL367" cm="1">
        <f t="array" ref="BL367">IFERROR(IF(BK367&lt;0,0,BK367/($AU$296-INDEX(hd_off,MATCH(BT367,hd_mark,0),0)/12)),0)</f>
        <v>0</v>
      </c>
      <c r="BM367">
        <f>MAX($F$23,$BD$296)/$Q$308</f>
        <v>0</v>
      </c>
      <c r="BN367">
        <f t="shared" si="225"/>
        <v>0</v>
      </c>
      <c r="BO367" cm="1">
        <f t="array" ref="BO367">IFERROR(INDEX(sheath_ecap_asd,MATCH(BS367,sheath_mark,0),0)*BN367,0)</f>
        <v>0</v>
      </c>
      <c r="BP367" cm="1">
        <f t="array" ref="BP367">IFERROR(INDEX(sheath_wcap_asd,MATCH(BS367,sheath_mark,0),0)*BN367,0)</f>
        <v>0</v>
      </c>
      <c r="BQ367" cm="1">
        <f t="array" ref="BQ367">IFERROR(INDEX(hd_cap,MATCH(BT367,hd_mark,0),0),0)</f>
        <v>0</v>
      </c>
      <c r="BS367" s="19"/>
      <c r="BT367" s="19"/>
      <c r="BU367" s="100"/>
    </row>
    <row r="368" x14ac:dyDescent="0.25">
      <c r="P368" s="93"/>
      <c r="Q368" s="111">
        <f>$R$296</f>
        <v>0</v>
      </c>
      <c r="R368" t="str">
        <f>$Q$280</f>
        <v>L5</v>
      </c>
      <c r="S368">
        <f>$E$24</f>
        <v>0</v>
      </c>
      <c r="T368" cm="1">
        <f t="array" ref="T368">IFERROR(IF(S368=0,0,(INDEX($C$33:$C$38,MATCH($W$296,$B$33:$B$38,0),0)*(S369+$X$296)+$T$296*COUNTIF(S368:S368,"&gt;0")*$C$32+$V$296*$C$31)*$R$296),0)</f>
        <v>0</v>
      </c>
      <c r="U368">
        <f>IF(S368=0,0,-(COUNTIF(S368:S368,"&gt;0")*$T$296*$C$32+$V$296*$C$31)*$H$27*$R$296)</f>
        <v>0</v>
      </c>
      <c r="V368">
        <f>IF(S368=0,0,$V$296*$H$26*$R$296)</f>
        <v>0</v>
      </c>
      <c r="W368">
        <f>(0.6*T368+0.7*U368)*$R$296/2</f>
        <v>0</v>
      </c>
      <c r="X368">
        <f>T368*$R$296/2</f>
        <v>0</v>
      </c>
      <c r="Z368">
        <f>IF(S368=0,0,$AD$296*$AP$280)</f>
        <v>0</v>
      </c>
      <c r="AA368">
        <f>IFERROR(Z368/$R$296,0)</f>
        <v>0</v>
      </c>
      <c r="AB368">
        <f>Z368*($F$24+IF($F$24=0,0,($C$14+$C$15+IF($C$13="single",1.5,3)+3)/12))</f>
        <v>0</v>
      </c>
      <c r="AC368">
        <f>AB368-W368</f>
        <v>0</v>
      </c>
      <c r="AD368" cm="1">
        <f t="array" ref="AD368">IFERROR(IF(AC368&lt;0,0,AC368/($R$296-INDEX(hd_off,MATCH(AQ368,hd_mark,0),0)/12)),0)</f>
        <v>0</v>
      </c>
      <c r="AE368">
        <f>IF(S368=0,0,$AD$296*$AM$280)</f>
        <v>0</v>
      </c>
      <c r="AF368">
        <f>IFERROR(AE368/$R$296,0)</f>
        <v>0</v>
      </c>
      <c r="AG368">
        <f>AE368*($F$24+IF($F$24=0,0,($C$14+$C$15+IF($C$13="single",1.5,3)+3)/12))</f>
        <v>0</v>
      </c>
      <c r="AH368">
        <f>AG368-X368</f>
        <v>0</v>
      </c>
      <c r="AI368" cm="1">
        <f t="array" ref="AI368">IFERROR(IF(AH368&lt;0,0,AH368/($R$296-INDEX(hd_off,MATCH(AQ368,hd_mark,0),0)/12)),0)</f>
        <v>0</v>
      </c>
      <c r="AJ368">
        <f>MAX($F$24,$AB$296)/$Q$308</f>
        <v>0</v>
      </c>
      <c r="AK368">
        <f t="shared" si="224"/>
        <v>0</v>
      </c>
      <c r="AL368" cm="1">
        <f t="array" ref="AL368">IFERROR(INDEX(sheath_ecap_asd,MATCH(AP368,sheath_mark,0),0)*AK368,0)</f>
        <v>0</v>
      </c>
      <c r="AM368" cm="1">
        <f t="array" ref="AM368">IFERROR(INDEX(sheath_wcap_asd,MATCH(AP368,sheath_mark,0),0)*AK368,0)</f>
        <v>0</v>
      </c>
      <c r="AN368" cm="1">
        <f t="array" ref="AN368">IFERROR(INDEX(hd_cap,MATCH(AQ368,hd_mark,0),0),0)</f>
        <v>0</v>
      </c>
      <c r="AP368" s="19"/>
      <c r="AQ368" s="19"/>
      <c r="AR368" s="100"/>
      <c r="AS368" s="93"/>
      <c r="AT368" s="111">
        <f>$R$296</f>
        <v>0</v>
      </c>
      <c r="AU368" t="str">
        <f>$Q$280</f>
        <v>L5</v>
      </c>
      <c r="AV368">
        <f>$E$24</f>
        <v>0</v>
      </c>
      <c r="AW368" cm="1">
        <f t="array" ref="AW368">IFERROR(IF(AV368=0,0,(INDEX($C$33:$C$38,MATCH($AZ$296,$B$33:$B$38,0),0)*(AV369+$BA$296)+$AW$296*COUNTIF(AV368:AV368,"&gt;0")*$C$32+$AY$296*$C$31)*$AU$296),0)</f>
        <v>0</v>
      </c>
      <c r="AX368">
        <f>IF(AV368=0,0,-(COUNTIF(AV368:AV368,"&gt;0")*$AW$296*$C$32+$AY$296*$C$31)*$H$27*$AU$296)</f>
        <v>0</v>
      </c>
      <c r="AY368">
        <f>IF(AV368=0,0,$AY$296*$H$26*$AU$296)</f>
        <v>0</v>
      </c>
      <c r="AZ368">
        <f>(0.6*AW368+0.7*AX368)*$AU$296/2</f>
        <v>0</v>
      </c>
      <c r="BA368">
        <f>AW368*$AU$296/2</f>
        <v>0</v>
      </c>
      <c r="BC368">
        <f>IF(AV368=0,0,$BG$296*$AP$280)</f>
        <v>0</v>
      </c>
      <c r="BD368">
        <f>IFERROR(BC368/$AU$296,0)</f>
        <v>0</v>
      </c>
      <c r="BE368">
        <f>BC368*($F$24+IF($F$24=0,0,($C$14+$C$15+IF($C$13="single",1.5,3)+3)/12))</f>
        <v>0</v>
      </c>
      <c r="BF368">
        <f>BE368-AZ368</f>
        <v>0</v>
      </c>
      <c r="BG368" cm="1">
        <f t="array" ref="BG368">IFERROR(IF(BF368&lt;0,0,BF368/($AU$296-INDEX(hd_off,MATCH(BT368,hd_mark,0),0)/12)),0)</f>
        <v>0</v>
      </c>
      <c r="BH368">
        <f>IF(AV368=0,0,$BG$296*$AM$280)</f>
        <v>0</v>
      </c>
      <c r="BI368">
        <f>IFERROR(BH368/$AU$296,0)</f>
        <v>0</v>
      </c>
      <c r="BJ368">
        <f>BH368*($F$24+IF($F$24=0,0,($C$14+$C$15+IF($C$13="single",1.5,3)+3)/12))</f>
        <v>0</v>
      </c>
      <c r="BK368">
        <f>BJ368-BA368</f>
        <v>0</v>
      </c>
      <c r="BL368" cm="1">
        <f t="array" ref="BL368">IFERROR(IF(BK368&lt;0,0,BK368/($AU$296-INDEX(hd_off,MATCH(BT368,hd_mark,0),0)/12)),0)</f>
        <v>0</v>
      </c>
      <c r="BM368">
        <f>MAX($F$24,$BE$296)/$Q$308</f>
        <v>0</v>
      </c>
      <c r="BN368">
        <f t="shared" si="225"/>
        <v>0</v>
      </c>
      <c r="BO368" cm="1">
        <f t="array" ref="BO368">IFERROR(INDEX(sheath_ecap_asd,MATCH(BS368,sheath_mark,0),0)*BN368,0)</f>
        <v>0</v>
      </c>
      <c r="BP368" cm="1">
        <f t="array" ref="BP368">IFERROR(INDEX(sheath_wcap_asd,MATCH(BS368,sheath_mark,0),0)*BN368,0)</f>
        <v>0</v>
      </c>
      <c r="BQ368" cm="1">
        <f t="array" ref="BQ368">IFERROR(INDEX(hd_cap,MATCH(BT368,hd_mark,0),0),0)</f>
        <v>0</v>
      </c>
      <c r="BS368" s="19"/>
      <c r="BT368" s="19"/>
      <c r="BU368" s="100"/>
    </row>
    <row r="369" x14ac:dyDescent="0.25">
      <c r="P369" s="93"/>
      <c r="Q369" s="109"/>
      <c r="R369" t="str">
        <f>$Q$281</f>
        <v>Roof</v>
      </c>
      <c r="S369">
        <f>$E$25</f>
        <v>33.171875</v>
      </c>
      <c r="T369" cm="1">
        <f t="array" ref="T369">IFERROR(IF(S369=0,0,(INDEX($C$33:$C$38,MATCH($W$296,$B$33:$B$38,0),0)*(S369+$X$296)+$V$296*$C$31)*$R$296),0)</f>
        <v>0</v>
      </c>
      <c r="U369">
        <f>IF(S369=0,0,-$V$296*$C$31*$H$27*$R$296)</f>
        <v>0</v>
      </c>
      <c r="V369">
        <f>IF(S369=0,0,$V$296*$H$26*$R$296)</f>
        <v>0</v>
      </c>
      <c r="W369">
        <f>(0.6*T369+0.7*U369)*$R$296/2</f>
        <v>0</v>
      </c>
      <c r="X369">
        <f>T369*$R$296/2</f>
        <v>0</v>
      </c>
      <c r="Z369">
        <f>IF(S369=0,0,$AD$296*$AP$281)</f>
        <v>0</v>
      </c>
      <c r="AA369">
        <f>IFERROR(Z369/$R$296,0)</f>
        <v>0</v>
      </c>
      <c r="AB369">
        <f>Z369*($F$25+($C$16+$C$17+IF($C$13="single",1.5,3)+3)/12)</f>
        <v>0</v>
      </c>
      <c r="AC369">
        <f>AB369-W369</f>
        <v>0</v>
      </c>
      <c r="AD369" cm="1">
        <f t="array" ref="AD369">IFERROR(IF(AC369&lt;0,0,AC369/($R$296-INDEX(hd_off,MATCH(AQ369,hd_mark,0),0)/12)),0)</f>
        <v>0</v>
      </c>
      <c r="AE369">
        <f>IF(S369=0,0,$AD$296*$AM$281)</f>
        <v>0</v>
      </c>
      <c r="AF369">
        <f>IFERROR(AE369/$R$296,0)</f>
        <v>0</v>
      </c>
      <c r="AG369">
        <f>AE369*($F$25+($C$16+$C$17+IF($C$13="single",1.5,3)+3)/12)</f>
        <v>0</v>
      </c>
      <c r="AH369">
        <f>AG369-X369</f>
        <v>0</v>
      </c>
      <c r="AI369" cm="1">
        <f t="array" ref="AI369">IFERROR(IF(AH369&lt;0,0,AH369/($R$296-INDEX(hd_off,MATCH(AQ369,hd_mark,0),0)/12)),0)</f>
        <v>0</v>
      </c>
      <c r="AJ369">
        <f>MAX($F$25,$AC$296)/$Q$308</f>
        <v>0.29920977011494249</v>
      </c>
      <c r="AK369">
        <f t="shared" si="224"/>
        <v>1</v>
      </c>
      <c r="AL369" cm="1">
        <f t="array" ref="AL369">IFERROR(INDEX(sheath_ecap_asd,MATCH(AP369,sheath_mark,0),0)*AK369,0)</f>
        <v>0</v>
      </c>
      <c r="AM369" cm="1">
        <f t="array" ref="AM369">IFERROR(INDEX(sheath_wcap_asd,MATCH(AP369,sheath_mark,0),0)*AK369,0)</f>
        <v>0</v>
      </c>
      <c r="AN369" cm="1">
        <f t="array" ref="AN369">IFERROR(INDEX(hd_cap,MATCH(AQ369,hd_mark,0),0),0)</f>
        <v>0</v>
      </c>
      <c r="AP369" s="19"/>
      <c r="AQ369" s="19"/>
      <c r="AR369" s="100"/>
      <c r="AS369" s="93"/>
      <c r="AT369" s="109"/>
      <c r="AU369" t="str">
        <f>$Q$281</f>
        <v>Roof</v>
      </c>
      <c r="AV369">
        <f>$E$25</f>
        <v>33.171875</v>
      </c>
      <c r="AW369" cm="1">
        <f t="array" ref="AW369">IFERROR(IF(AV369=0,0,(INDEX($C$33:$C$38,MATCH($AZ$296,$B$33:$B$38,0),0)*(AV369+$BA$296)+$AY$296*$C$31)*$AU$296),0)</f>
        <v>0</v>
      </c>
      <c r="AX369">
        <f>IF(AV369=0,0,-$AY$296*$C$31*$H$27*$AU$296)</f>
        <v>0</v>
      </c>
      <c r="AY369">
        <f>IF(AV369=0,0,$AY$296*$H$26*$AU$296)</f>
        <v>0</v>
      </c>
      <c r="AZ369">
        <f>(0.6*AW369+0.7*AX369)*$AU$296/2</f>
        <v>0</v>
      </c>
      <c r="BA369">
        <f>AW369*$AU$296/2</f>
        <v>0</v>
      </c>
      <c r="BC369">
        <f>IF(AV369=0,0,$BG$296*$AP$281)</f>
        <v>0</v>
      </c>
      <c r="BD369">
        <f>IFERROR(BC369/$AU$296,0)</f>
        <v>0</v>
      </c>
      <c r="BE369">
        <f>BC369*($F$25+($C$16+$C$17+IF($C$13="single",1.5,3)+3)/12)</f>
        <v>0</v>
      </c>
      <c r="BF369">
        <f>BE369-AZ369</f>
        <v>0</v>
      </c>
      <c r="BG369" cm="1">
        <f t="array" ref="BG369">IFERROR(IF(BF369&lt;0,0,BF369/($AU$296-INDEX(hd_off,MATCH(BT369,hd_mark,0),0)/12)),0)</f>
        <v>0</v>
      </c>
      <c r="BH369">
        <f>IF(AV369=0,0,$BG$296*$AM$281)</f>
        <v>0</v>
      </c>
      <c r="BI369">
        <f>IFERROR(BH369/$AU$296,0)</f>
        <v>0</v>
      </c>
      <c r="BJ369">
        <f>BH369*($F$25+($C$16+$C$17+IF($C$13="single",1.5,3)+3)/12)</f>
        <v>0</v>
      </c>
      <c r="BK369">
        <f>BJ369-BA369</f>
        <v>0</v>
      </c>
      <c r="BL369" cm="1">
        <f t="array" ref="BL369">IFERROR(IF(BK369&lt;0,0,BK369/($AU$296-INDEX(hd_off,MATCH(BT369,hd_mark,0),0)/12)),0)</f>
        <v>0</v>
      </c>
      <c r="BM369">
        <f>MAX($F$25,$BF$296)/$Q$308</f>
        <v>0.29920977011494249</v>
      </c>
      <c r="BN369">
        <f t="shared" si="225"/>
        <v>1</v>
      </c>
      <c r="BO369" cm="1">
        <f t="array" ref="BO369">IFERROR(INDEX(sheath_ecap_asd,MATCH(BS369,sheath_mark,0),0)*BN369,0)</f>
        <v>0</v>
      </c>
      <c r="BP369" cm="1">
        <f t="array" ref="BP369">IFERROR(INDEX(sheath_wcap_asd,MATCH(BS369,sheath_mark,0),0)*BN369,0)</f>
        <v>0</v>
      </c>
      <c r="BQ369" cm="1">
        <f t="array" ref="BQ369">IFERROR(INDEX(hd_cap,MATCH(BT369,hd_mark,0),0),0)</f>
        <v>0</v>
      </c>
      <c r="BS369" s="19"/>
      <c r="BT369" s="19"/>
      <c r="BU369" s="100"/>
    </row>
    <row r="370" x14ac:dyDescent="0.25">
      <c r="P370" s="93"/>
      <c r="AR370" s="100"/>
      <c r="AS370" s="93"/>
      <c r="BU370" s="100"/>
    </row>
    <row r="371" x14ac:dyDescent="0.25">
      <c r="P371" s="93"/>
      <c r="Q371" s="110" t="str">
        <f>$Q$297</f>
        <v>A.12</v>
      </c>
      <c r="R371" t="str">
        <f>$Q$277</f>
        <v>L2</v>
      </c>
      <c r="S371">
        <f>$E$21</f>
        <v>10.6875</v>
      </c>
      <c r="T371" cm="1">
        <f t="array" ref="T371">IFERROR(IF(S371=0,0,(INDEX($C$33:$C$38,MATCH($W$297,$B$33:$B$38,0),0)*(S375+$X$297)+$T$297*COUNTIF(S371:S374,"&gt;0")*$C$32+$V$297*$C$31)*$R$297),0)</f>
        <v>0</v>
      </c>
      <c r="U371">
        <f>IF(S371=0,0,-(COUNTIF(S371:S374,"&gt;0")*$T$297*$C$32+$V$297*$C$31)*$H$27*$R$297)</f>
        <v>0</v>
      </c>
      <c r="V371">
        <f>IF(S371=0,0,$V$297*$H$26*$R$297)</f>
        <v>0</v>
      </c>
      <c r="W371">
        <f>(0.6*T371+0.7*U371)*$R$297/2</f>
        <v>0</v>
      </c>
      <c r="X371">
        <f>(0.6*T371+0.6*V371)*$R$297/2</f>
        <v>0</v>
      </c>
      <c r="Z371">
        <f>IF(S371=0,0,$AD$297*$AP$277)</f>
        <v>0</v>
      </c>
      <c r="AA371">
        <f>IFERROR(Z371/$R$297,0)</f>
        <v>0</v>
      </c>
      <c r="AB371">
        <f>Z371*($F$21+IF($F$21=0,0,($C$14+$C$15+IF($C$13="single",1.5,3)+3)/12))</f>
        <v>0</v>
      </c>
      <c r="AC371">
        <f>AB371-W371</f>
        <v>0</v>
      </c>
      <c r="AD371" cm="1">
        <f t="array" ref="AD371">IFERROR(IF(AC371&lt;0,0,AC371/($R$297-INDEX(hd_off,MATCH(AQ371,hd_mark,0),0)/12)),0)</f>
        <v>0</v>
      </c>
      <c r="AE371">
        <f>IF(S371=0,0,$AD$297*$AM$277)</f>
        <v>0</v>
      </c>
      <c r="AF371">
        <f>IFERROR(AE371/$R$297,0)</f>
        <v>0</v>
      </c>
      <c r="AG371">
        <f>AE371*($F$21+IF($F$21=0,0,($C$14+$C$15+IF($C$13="single",1.5,3)+3)/12))</f>
        <v>0</v>
      </c>
      <c r="AH371">
        <f>AG371-X371</f>
        <v>0</v>
      </c>
      <c r="AI371" cm="1">
        <f t="array" ref="AI371">IFERROR(IF(AH371&lt;0,0,AH371/($R$297-INDEX(hd_off,MATCH(AQ371,hd_mark,0),0)/12)),0)</f>
        <v>0</v>
      </c>
      <c r="AJ371">
        <f>MAX($F$21,$Y$297)/$Q$308</f>
        <v>0.30172413793103448</v>
      </c>
      <c r="AK371">
        <f>IF(AJ371=0,0,IF(AJ371&gt;2,1.25-0.125*AJ371,1))</f>
        <v>1</v>
      </c>
      <c r="AL371" cm="1">
        <f t="array" ref="AL371">IFERROR(INDEX(sheath_ecap_asd,MATCH(AP371,sheath_mark,0),0)*AK371,0)</f>
        <v>0</v>
      </c>
      <c r="AM371" cm="1">
        <f t="array" ref="AM371">IFERROR(INDEX(sheath_wcap_asd,MATCH(AP371,sheath_mark,0),0)*AK371,0)</f>
        <v>0</v>
      </c>
      <c r="AN371" cm="1">
        <f t="array" ref="AN371">IFERROR(INDEX(hd_cap,MATCH(AQ371,hd_mark,0),0),0)</f>
        <v>0</v>
      </c>
      <c r="AP371" s="19"/>
      <c r="AQ371" s="19"/>
      <c r="AR371" s="100"/>
      <c r="AS371" s="93"/>
      <c r="AT371" s="110" t="str">
        <f>$AT$297</f>
        <v>1.12</v>
      </c>
      <c r="AU371" t="str">
        <f>$Q$277</f>
        <v>L2</v>
      </c>
      <c r="AV371">
        <f>$E$21</f>
        <v>10.6875</v>
      </c>
      <c r="AW371" cm="1">
        <f t="array" ref="AW371">IFERROR(IF(AV371=0,0,(INDEX($C$33:$C$38,MATCH($AZ$297,$B$33:$B$38,0),0)*(AV375+$BA$297)+$AW$297*COUNTIF(AV371:AV374,"&gt;0")*$C$32+$AY$297*$C$31)*$AU$297),0)</f>
        <v>0</v>
      </c>
      <c r="AX371">
        <f>IF(AV371=0,0,-(COUNTIF(AV371:AV374,"&gt;0")*$AW$297*$C$32+$AY$297*$C$31)*$H$27*$AU$297)</f>
        <v>0</v>
      </c>
      <c r="AY371">
        <f>IF(AV371=0,0,$AY$297*$H$26*$AU$297)</f>
        <v>0</v>
      </c>
      <c r="AZ371">
        <f>(0.6*AW371+0.7*AX371)*$AU$297/2</f>
        <v>0</v>
      </c>
      <c r="BA371">
        <f>(0.6*AW371+0.6*AY371)*$AU$297/2</f>
        <v>0</v>
      </c>
      <c r="BC371">
        <f>IF(AV371=0,0,$BG$297*$AP$277)</f>
        <v>0</v>
      </c>
      <c r="BD371">
        <f>IFERROR(BC371/$AU$297,0)</f>
        <v>0</v>
      </c>
      <c r="BE371">
        <f>BC371*($F$21+IF($F$21=0,0,($C$14+$C$15+IF($C$13="single",1.5,3)+3)/12))</f>
        <v>0</v>
      </c>
      <c r="BF371">
        <f>BE371-AZ371</f>
        <v>0</v>
      </c>
      <c r="BG371" cm="1">
        <f t="array" ref="BG371">IFERROR(IF(BF371&lt;0,0,BF371/($AU$297-INDEX(hd_off,MATCH(BT371,hd_mark,0),0)/12)),0)</f>
        <v>0</v>
      </c>
      <c r="BH371">
        <f>IF(AV371=0,0,$BG$297*$AM$277)</f>
        <v>0</v>
      </c>
      <c r="BI371">
        <f>IFERROR(BH371/$AU$297,0)</f>
        <v>0</v>
      </c>
      <c r="BJ371">
        <f>BH371*($F$21+IF($F$21=0,0,($C$14+$C$15+IF($C$13="single",1.5,3)+3)/12))</f>
        <v>0</v>
      </c>
      <c r="BK371">
        <f>BJ371-BA371</f>
        <v>0</v>
      </c>
      <c r="BL371" cm="1">
        <f t="array" ref="BL371">IFERROR(IF(BK371&lt;0,0,BK371/($AU$297-INDEX(hd_off,MATCH(BT371,hd_mark,0),0)/12)),0)</f>
        <v>0</v>
      </c>
      <c r="BM371">
        <f>MAX($F$21,$BB$297)/$Q$308</f>
        <v>0.30172413793103448</v>
      </c>
      <c r="BN371">
        <f>IF(BM371=0,0,IF(BM371&gt;2,1.25-0.125*BM371,1))</f>
        <v>1</v>
      </c>
      <c r="BO371" cm="1">
        <f t="array" ref="BO371">IFERROR(INDEX(sheath_ecap_asd,MATCH(BS371,sheath_mark,0),0)*BN371,0)</f>
        <v>0</v>
      </c>
      <c r="BP371" cm="1">
        <f t="array" ref="BP371">IFERROR(INDEX(sheath_wcap_asd,MATCH(BS371,sheath_mark,0),0)*BN371,0)</f>
        <v>0</v>
      </c>
      <c r="BQ371" cm="1">
        <f t="array" ref="BQ371">IFERROR(INDEX(hd_cap,MATCH(BT371,hd_mark,0),0),0)</f>
        <v>0</v>
      </c>
      <c r="BS371" s="19"/>
      <c r="BT371" s="19"/>
      <c r="BU371" s="100"/>
    </row>
    <row r="372" x14ac:dyDescent="0.25">
      <c r="P372" s="93"/>
      <c r="Q372" s="109"/>
      <c r="R372" t="str">
        <f>$Q$278</f>
        <v>L3</v>
      </c>
      <c r="S372">
        <f>$E$22</f>
        <v>21.375</v>
      </c>
      <c r="T372" cm="1">
        <f t="array" ref="T372">IFERROR(IF(S372=0,0,(INDEX($C$33:$C$38,MATCH($W$297,$B$33:$B$38,0),0)*(S375+$X$297)+$T$297*COUNTIF(S372:S374,"&gt;0")*$C$32+$V$297*$C$31)*$R$297),0)</f>
        <v>0</v>
      </c>
      <c r="U372">
        <f>IF(S372=0,0,-(COUNTIF(S372:S374,"&gt;0")*$T$297*$C$32+$V$297*$C$31)*$H$27*$R$297)</f>
        <v>0</v>
      </c>
      <c r="V372">
        <f>IF(S372=0,0,$V$297*$H$26*$R$297)</f>
        <v>0</v>
      </c>
      <c r="W372">
        <f>(0.6*T372+0.7*U372)*$R$297/2</f>
        <v>0</v>
      </c>
      <c r="X372">
        <f>T372*$R$297/2</f>
        <v>0</v>
      </c>
      <c r="Z372">
        <f>IF(S372=0,0,$AD$297*$AP$278)</f>
        <v>0</v>
      </c>
      <c r="AA372">
        <f>IFERROR(Z372/$R$297,0)</f>
        <v>0</v>
      </c>
      <c r="AB372">
        <f>Z372*($F$22+IF($F$22=0,0,($C$14+$C$15+IF($C$13="single",1.5,3)+3)/12))</f>
        <v>0</v>
      </c>
      <c r="AC372">
        <f>AB372-W372</f>
        <v>0</v>
      </c>
      <c r="AD372" cm="1">
        <f t="array" ref="AD372">IFERROR(IF(AC372&lt;0,0,AC372/($R$297-INDEX(hd_off,MATCH(AQ372,hd_mark,0),0)/12)),0)</f>
        <v>0</v>
      </c>
      <c r="AE372">
        <f>IF(S372=0,0,$AD$297*$AM$278)</f>
        <v>0</v>
      </c>
      <c r="AF372">
        <f>IFERROR(AE372/$R$297,0)</f>
        <v>0</v>
      </c>
      <c r="AG372">
        <f>AE372*($F$22+IF($F$22=0,0,($C$14+$C$15+IF($C$13="single",1.5,3)+3)/12))</f>
        <v>0</v>
      </c>
      <c r="AH372">
        <f>AG372-X372</f>
        <v>0</v>
      </c>
      <c r="AI372" cm="1">
        <f t="array" ref="AI372">IFERROR(IF(AH372&lt;0,0,AH372/($R$297-INDEX(hd_off,MATCH(AQ372,hd_mark,0),0)/12)),0)</f>
        <v>0</v>
      </c>
      <c r="AJ372">
        <f>MAX($F$22,$Z$297)/$Q$308</f>
        <v>0.30172413793103448</v>
      </c>
      <c r="AK372">
        <f t="shared" ref="AK372:AK375" si="226">IF(AJ372=0,0,IF(AJ372&gt;2,1.25-0.125*AJ372,1))</f>
        <v>1</v>
      </c>
      <c r="AL372" cm="1">
        <f t="array" ref="AL372">IFERROR(INDEX(sheath_ecap_asd,MATCH(AP372,sheath_mark,0),0)*AK372,0)</f>
        <v>0</v>
      </c>
      <c r="AM372" cm="1">
        <f t="array" ref="AM372">IFERROR(INDEX(sheath_wcap_asd,MATCH(AP372,sheath_mark,0),0)*AK372,0)</f>
        <v>0</v>
      </c>
      <c r="AN372" cm="1">
        <f t="array" ref="AN372">IFERROR(INDEX(hd_cap,MATCH(AQ372,hd_mark,0),0),0)</f>
        <v>0</v>
      </c>
      <c r="AP372" s="19"/>
      <c r="AQ372" s="19"/>
      <c r="AR372" s="100"/>
      <c r="AS372" s="93"/>
      <c r="AT372" s="109"/>
      <c r="AU372" t="str">
        <f>$Q$278</f>
        <v>L3</v>
      </c>
      <c r="AV372">
        <f>$E$22</f>
        <v>21.375</v>
      </c>
      <c r="AW372" cm="1">
        <f t="array" ref="AW372">IFERROR(IF(AV372=0,0,(INDEX($C$33:$C$38,MATCH($AZ$297,$B$33:$B$38,0),0)*(AV375+$BA$297)+$AW$297*COUNTIF(AV372:AV374,"&gt;0")*$C$32+$AY$297*$C$31)*$AU$297),0)</f>
        <v>0</v>
      </c>
      <c r="AX372">
        <f>IF(AV372=0,0,-(COUNTIF(AV372:AV374,"&gt;0")*$AW$297*$C$32+$AY$297*$C$31)*$H$27*$AU$297)</f>
        <v>0</v>
      </c>
      <c r="AY372">
        <f>IF(AV372=0,0,$AY$297*$H$26*$AU$297)</f>
        <v>0</v>
      </c>
      <c r="AZ372">
        <f>(0.6*AW372+0.7*AX372)*$AU$297/2</f>
        <v>0</v>
      </c>
      <c r="BA372">
        <f>AW372*$AU$297/2</f>
        <v>0</v>
      </c>
      <c r="BC372">
        <f>IF(AV372=0,0,$BG$297*$AP$278)</f>
        <v>0</v>
      </c>
      <c r="BD372">
        <f>IFERROR(BC372/$AU$297,0)</f>
        <v>0</v>
      </c>
      <c r="BE372">
        <f>BC372*($F$22+IF($F$22=0,0,($C$14+$C$15+IF($C$13="single",1.5,3)+3)/12))</f>
        <v>0</v>
      </c>
      <c r="BF372">
        <f>BE372-AZ372</f>
        <v>0</v>
      </c>
      <c r="BG372" cm="1">
        <f t="array" ref="BG372">IFERROR(IF(BF372&lt;0,0,BF372/($AU$297-INDEX(hd_off,MATCH(BT372,hd_mark,0),0)/12)),0)</f>
        <v>0</v>
      </c>
      <c r="BH372">
        <f>IF(AV372=0,0,$BG$297*$AM$278)</f>
        <v>0</v>
      </c>
      <c r="BI372">
        <f>IFERROR(BH372/$AU$297,0)</f>
        <v>0</v>
      </c>
      <c r="BJ372">
        <f>BH372*($F$22+IF($F$22=0,0,($C$14+$C$15+IF($C$13="single",1.5,3)+3)/12))</f>
        <v>0</v>
      </c>
      <c r="BK372">
        <f>BJ372-BA372</f>
        <v>0</v>
      </c>
      <c r="BL372" cm="1">
        <f t="array" ref="BL372">IFERROR(IF(BK372&lt;0,0,BK372/($AU$297-INDEX(hd_off,MATCH(BT372,hd_mark,0),0)/12)),0)</f>
        <v>0</v>
      </c>
      <c r="BM372">
        <f>MAX($F$22,$BC$297)/$Q$308</f>
        <v>0.30172413793103448</v>
      </c>
      <c r="BN372">
        <f t="shared" ref="BN372:BN375" si="227">IF(BM372=0,0,IF(BM372&gt;2,1.25-0.125*BM372,1))</f>
        <v>1</v>
      </c>
      <c r="BO372" cm="1">
        <f t="array" ref="BO372">IFERROR(INDEX(sheath_ecap_asd,MATCH(BS372,sheath_mark,0),0)*BN372,0)</f>
        <v>0</v>
      </c>
      <c r="BP372" cm="1">
        <f t="array" ref="BP372">IFERROR(INDEX(sheath_wcap_asd,MATCH(BS372,sheath_mark,0),0)*BN372,0)</f>
        <v>0</v>
      </c>
      <c r="BQ372" cm="1">
        <f t="array" ref="BQ372">IFERROR(INDEX(hd_cap,MATCH(BT372,hd_mark,0),0),0)</f>
        <v>0</v>
      </c>
      <c r="BS372" s="19"/>
      <c r="BT372" s="19"/>
      <c r="BU372" s="100"/>
    </row>
    <row r="373" x14ac:dyDescent="0.25">
      <c r="P373" s="93"/>
      <c r="Q373" s="109" t="s">
        <v>491</v>
      </c>
      <c r="R373" t="str">
        <f>$Q$279</f>
        <v>L4</v>
      </c>
      <c r="S373">
        <f>$E$23</f>
        <v>0</v>
      </c>
      <c r="T373" cm="1">
        <f t="array" ref="T373">IFERROR(IF(S373=0,0,(INDEX($C$33:$C$38,MATCH($W$297,$B$33:$B$38,0),0)*(S375+$X$297)+$T$297*COUNTIF(S373:S374,"&gt;0")*$C$32+$V$297*$C$31)*$R$297),0)</f>
        <v>0</v>
      </c>
      <c r="U373">
        <f>IF(S373=0,0,-(COUNTIF(S373:S374,"&gt;0")*$T$297*$C$32+$V$297*$C$31)*$H$27*$R$297)</f>
        <v>0</v>
      </c>
      <c r="V373">
        <f>IF(S373=0,0,$V$297*$H$26*$R$297)</f>
        <v>0</v>
      </c>
      <c r="W373">
        <f>(0.6*T373+0.7*U373)*$R$297/2</f>
        <v>0</v>
      </c>
      <c r="X373">
        <f>T373*$R$297/2</f>
        <v>0</v>
      </c>
      <c r="Z373">
        <f>IF(S373=0,0,$AD$297*$AP$279)</f>
        <v>0</v>
      </c>
      <c r="AA373">
        <f>IFERROR(Z373/$R$297,0)</f>
        <v>0</v>
      </c>
      <c r="AB373">
        <f>Z373*($F$23+IF($F$23=0,0,($C$14+$C$15+IF($C$13="single",1.5,3)+3)/12))</f>
        <v>0</v>
      </c>
      <c r="AC373">
        <f>AB373-W373</f>
        <v>0</v>
      </c>
      <c r="AD373" cm="1">
        <f t="array" ref="AD373">IFERROR(IF(AC373&lt;0,0,AC373/($R$297-INDEX(hd_off,MATCH(AQ373,hd_mark,0),0)/12)),0)</f>
        <v>0</v>
      </c>
      <c r="AE373">
        <f>IF(S373=0,0,$AD$297*$AM$279)</f>
        <v>0</v>
      </c>
      <c r="AF373">
        <f>IFERROR(AE373/$R$297,0)</f>
        <v>0</v>
      </c>
      <c r="AG373">
        <f>AE373*($F$23+IF($F$23=0,0,($C$14+$C$15+IF($C$13="single",1.5,3)+3)/12))</f>
        <v>0</v>
      </c>
      <c r="AH373">
        <f>AG373-X373</f>
        <v>0</v>
      </c>
      <c r="AI373" cm="1">
        <f t="array" ref="AI373">IFERROR(IF(AH373&lt;0,0,AH373/($R$297-INDEX(hd_off,MATCH(AQ373,hd_mark,0),0)/12)),0)</f>
        <v>0</v>
      </c>
      <c r="AJ373">
        <f>MAX($F$23,$AA$297)/$Q$308</f>
        <v>0</v>
      </c>
      <c r="AK373">
        <f t="shared" si="226"/>
        <v>0</v>
      </c>
      <c r="AL373" cm="1">
        <f t="array" ref="AL373">IFERROR(INDEX(sheath_ecap_asd,MATCH(AP373,sheath_mark,0),0)*AK373,0)</f>
        <v>0</v>
      </c>
      <c r="AM373" cm="1">
        <f t="array" ref="AM373">IFERROR(INDEX(sheath_wcap_asd,MATCH(AP373,sheath_mark,0),0)*AK373,0)</f>
        <v>0</v>
      </c>
      <c r="AN373" cm="1">
        <f t="array" ref="AN373">IFERROR(INDEX(hd_cap,MATCH(AQ373,hd_mark,0),0),0)</f>
        <v>0</v>
      </c>
      <c r="AP373" s="19"/>
      <c r="AQ373" s="19"/>
      <c r="AR373" s="100"/>
      <c r="AS373" s="93"/>
      <c r="AT373" s="109" t="s">
        <v>491</v>
      </c>
      <c r="AU373" t="str">
        <f>$Q$279</f>
        <v>L4</v>
      </c>
      <c r="AV373">
        <f>$E$23</f>
        <v>0</v>
      </c>
      <c r="AW373" cm="1">
        <f t="array" ref="AW373">IFERROR(IF(AV373=0,0,(INDEX($C$33:$C$38,MATCH($AZ$297,$B$33:$B$38,0),0)*(AV375+$BA$297)+$AW$297*COUNTIF(AV373:AV374,"&gt;0")*$C$32+$AY$297*$C$31)*$AU$297),0)</f>
        <v>0</v>
      </c>
      <c r="AX373">
        <f>IF(AV373=0,0,-(COUNTIF(AV373:AV374,"&gt;0")*$AW$297*$C$32+$AY$297*$C$31)*$H$27*$AU$297)</f>
        <v>0</v>
      </c>
      <c r="AY373">
        <f>IF(AV373=0,0,$AY$297*$H$26*$AU$297)</f>
        <v>0</v>
      </c>
      <c r="AZ373">
        <f>(0.6*AW373+0.7*AX373)*$AU$297/2</f>
        <v>0</v>
      </c>
      <c r="BA373">
        <f>AW373*$AU$297/2</f>
        <v>0</v>
      </c>
      <c r="BC373">
        <f>IF(AV373=0,0,$BG$297*$AP$279)</f>
        <v>0</v>
      </c>
      <c r="BD373">
        <f>IFERROR(BC373/$AU$297,0)</f>
        <v>0</v>
      </c>
      <c r="BE373">
        <f>BC373*($F$23+IF($F$23=0,0,($C$14+$C$15+IF($C$13="single",1.5,3)+3)/12))</f>
        <v>0</v>
      </c>
      <c r="BF373">
        <f>BE373-AZ373</f>
        <v>0</v>
      </c>
      <c r="BG373" cm="1">
        <f t="array" ref="BG373">IFERROR(IF(BF373&lt;0,0,BF373/($AU$297-INDEX(hd_off,MATCH(BT373,hd_mark,0),0)/12)),0)</f>
        <v>0</v>
      </c>
      <c r="BH373">
        <f>IF(AV373=0,0,$BG$297*$AM$279)</f>
        <v>0</v>
      </c>
      <c r="BI373">
        <f>IFERROR(BH373/$AU$297,0)</f>
        <v>0</v>
      </c>
      <c r="BJ373">
        <f>BH373*($F$23+IF($F$23=0,0,($C$14+$C$15+IF($C$13="single",1.5,3)+3)/12))</f>
        <v>0</v>
      </c>
      <c r="BK373">
        <f>BJ373-BA373</f>
        <v>0</v>
      </c>
      <c r="BL373" cm="1">
        <f t="array" ref="BL373">IFERROR(IF(BK373&lt;0,0,BK373/($AU$297-INDEX(hd_off,MATCH(BT373,hd_mark,0),0)/12)),0)</f>
        <v>0</v>
      </c>
      <c r="BM373">
        <f>MAX($F$23,$BD$297)/$Q$308</f>
        <v>0</v>
      </c>
      <c r="BN373">
        <f t="shared" si="227"/>
        <v>0</v>
      </c>
      <c r="BO373" cm="1">
        <f t="array" ref="BO373">IFERROR(INDEX(sheath_ecap_asd,MATCH(BS373,sheath_mark,0),0)*BN373,0)</f>
        <v>0</v>
      </c>
      <c r="BP373" cm="1">
        <f t="array" ref="BP373">IFERROR(INDEX(sheath_wcap_asd,MATCH(BS373,sheath_mark,0),0)*BN373,0)</f>
        <v>0</v>
      </c>
      <c r="BQ373" cm="1">
        <f t="array" ref="BQ373">IFERROR(INDEX(hd_cap,MATCH(BT373,hd_mark,0),0),0)</f>
        <v>0</v>
      </c>
      <c r="BS373" s="19"/>
      <c r="BT373" s="19"/>
      <c r="BU373" s="100"/>
    </row>
    <row r="374" x14ac:dyDescent="0.25">
      <c r="P374" s="93"/>
      <c r="Q374" s="111">
        <f>$R$297</f>
        <v>0</v>
      </c>
      <c r="R374" t="str">
        <f>$Q$280</f>
        <v>L5</v>
      </c>
      <c r="S374">
        <f>$E$24</f>
        <v>0</v>
      </c>
      <c r="T374" cm="1">
        <f t="array" ref="T374">IFERROR(IF(S374=0,0,(INDEX($C$33:$C$38,MATCH($W$297,$B$33:$B$38,0),0)*(S375+$X$297)+$T$297*COUNTIF(S374:S374,"&gt;0")*$C$32+$V$297*$C$31)*$R$297),0)</f>
        <v>0</v>
      </c>
      <c r="U374">
        <f>IF(S374=0,0,-(COUNTIF(S374:S374,"&gt;0")*$T$297*$C$32+$V$297*$C$31)*$H$27*$R$297)</f>
        <v>0</v>
      </c>
      <c r="V374">
        <f>IF(S374=0,0,$V$297*$H$26*$R$297)</f>
        <v>0</v>
      </c>
      <c r="W374">
        <f>(0.6*T374+0.7*U374)*$R$297/2</f>
        <v>0</v>
      </c>
      <c r="X374">
        <f>T374*$R$297/2</f>
        <v>0</v>
      </c>
      <c r="Z374">
        <f>IF(S374=0,0,$AD$297*$AP$280)</f>
        <v>0</v>
      </c>
      <c r="AA374">
        <f>IFERROR(Z374/$R$297,0)</f>
        <v>0</v>
      </c>
      <c r="AB374">
        <f>Z374*($F$24+IF($F$24=0,0,($C$14+$C$15+IF($C$13="single",1.5,3)+3)/12))</f>
        <v>0</v>
      </c>
      <c r="AC374">
        <f>AB374-W374</f>
        <v>0</v>
      </c>
      <c r="AD374" cm="1">
        <f t="array" ref="AD374">IFERROR(IF(AC374&lt;0,0,AC374/($R$297-INDEX(hd_off,MATCH(AQ374,hd_mark,0),0)/12)),0)</f>
        <v>0</v>
      </c>
      <c r="AE374">
        <f>IF(S374=0,0,$AD$297*$AM$280)</f>
        <v>0</v>
      </c>
      <c r="AF374">
        <f>IFERROR(AE374/$R$297,0)</f>
        <v>0</v>
      </c>
      <c r="AG374">
        <f>AE374*($F$24+IF($F$24=0,0,($C$14+$C$15+IF($C$13="single",1.5,3)+3)/12))</f>
        <v>0</v>
      </c>
      <c r="AH374">
        <f>AG374-X374</f>
        <v>0</v>
      </c>
      <c r="AI374" cm="1">
        <f t="array" ref="AI374">IFERROR(IF(AH374&lt;0,0,AH374/($R$297-INDEX(hd_off,MATCH(AQ374,hd_mark,0),0)/12)),0)</f>
        <v>0</v>
      </c>
      <c r="AJ374">
        <f>MAX($F$24,$AB$297)/$Q$308</f>
        <v>0</v>
      </c>
      <c r="AK374">
        <f t="shared" si="226"/>
        <v>0</v>
      </c>
      <c r="AL374" cm="1">
        <f t="array" ref="AL374">IFERROR(INDEX(sheath_ecap_asd,MATCH(AP374,sheath_mark,0),0)*AK374,0)</f>
        <v>0</v>
      </c>
      <c r="AM374" cm="1">
        <f t="array" ref="AM374">IFERROR(INDEX(sheath_wcap_asd,MATCH(AP374,sheath_mark,0),0)*AK374,0)</f>
        <v>0</v>
      </c>
      <c r="AN374" cm="1">
        <f t="array" ref="AN374">IFERROR(INDEX(hd_cap,MATCH(AQ374,hd_mark,0),0),0)</f>
        <v>0</v>
      </c>
      <c r="AP374" s="19"/>
      <c r="AQ374" s="19"/>
      <c r="AR374" s="100"/>
      <c r="AS374" s="93"/>
      <c r="AT374" s="111">
        <f>$R$297</f>
        <v>0</v>
      </c>
      <c r="AU374" t="str">
        <f>$Q$280</f>
        <v>L5</v>
      </c>
      <c r="AV374">
        <f>$E$24</f>
        <v>0</v>
      </c>
      <c r="AW374" cm="1">
        <f t="array" ref="AW374">IFERROR(IF(AV374=0,0,(INDEX($C$33:$C$38,MATCH($AZ$297,$B$33:$B$38,0),0)*(AV375+$BA$297)+$AW$297*COUNTIF(AV374:AV374,"&gt;0")*$C$32+$AY$297*$C$31)*$AU$297),0)</f>
        <v>0</v>
      </c>
      <c r="AX374">
        <f>IF(AV374=0,0,-(COUNTIF(AV374:AV374,"&gt;0")*$AW$297*$C$32+$AY$297*$C$31)*$H$27*$AU$297)</f>
        <v>0</v>
      </c>
      <c r="AY374">
        <f>IF(AV374=0,0,$AY$297*$H$26*$AU$297)</f>
        <v>0</v>
      </c>
      <c r="AZ374">
        <f>(0.6*AW374+0.7*AX374)*$AU$297/2</f>
        <v>0</v>
      </c>
      <c r="BA374">
        <f>AW374*$AU$297/2</f>
        <v>0</v>
      </c>
      <c r="BC374">
        <f>IF(AV374=0,0,$BG$297*$AP$280)</f>
        <v>0</v>
      </c>
      <c r="BD374">
        <f>IFERROR(BC374/$AU$297,0)</f>
        <v>0</v>
      </c>
      <c r="BE374">
        <f>BC374*($F$24+IF($F$24=0,0,($C$14+$C$15+IF($C$13="single",1.5,3)+3)/12))</f>
        <v>0</v>
      </c>
      <c r="BF374">
        <f>BE374-AZ374</f>
        <v>0</v>
      </c>
      <c r="BG374" cm="1">
        <f t="array" ref="BG374">IFERROR(IF(BF374&lt;0,0,BF374/($AU$297-INDEX(hd_off,MATCH(BT374,hd_mark,0),0)/12)),0)</f>
        <v>0</v>
      </c>
      <c r="BH374">
        <f>IF(AV374=0,0,$BG$297*$AM$280)</f>
        <v>0</v>
      </c>
      <c r="BI374">
        <f>IFERROR(BH374/$AU$297,0)</f>
        <v>0</v>
      </c>
      <c r="BJ374">
        <f>BH374*($F$24+IF($F$24=0,0,($C$14+$C$15+IF($C$13="single",1.5,3)+3)/12))</f>
        <v>0</v>
      </c>
      <c r="BK374">
        <f>BJ374-BA374</f>
        <v>0</v>
      </c>
      <c r="BL374" cm="1">
        <f t="array" ref="BL374">IFERROR(IF(BK374&lt;0,0,BK374/($AU$297-INDEX(hd_off,MATCH(BT374,hd_mark,0),0)/12)),0)</f>
        <v>0</v>
      </c>
      <c r="BM374">
        <f>MAX($F$24,$BE$297)/$Q$308</f>
        <v>0</v>
      </c>
      <c r="BN374">
        <f t="shared" si="227"/>
        <v>0</v>
      </c>
      <c r="BO374" cm="1">
        <f t="array" ref="BO374">IFERROR(INDEX(sheath_ecap_asd,MATCH(BS374,sheath_mark,0),0)*BN374,0)</f>
        <v>0</v>
      </c>
      <c r="BP374" cm="1">
        <f t="array" ref="BP374">IFERROR(INDEX(sheath_wcap_asd,MATCH(BS374,sheath_mark,0),0)*BN374,0)</f>
        <v>0</v>
      </c>
      <c r="BQ374" cm="1">
        <f t="array" ref="BQ374">IFERROR(INDEX(hd_cap,MATCH(BT374,hd_mark,0),0),0)</f>
        <v>0</v>
      </c>
      <c r="BS374" s="19"/>
      <c r="BT374" s="19"/>
      <c r="BU374" s="100"/>
    </row>
    <row r="375" x14ac:dyDescent="0.25">
      <c r="P375" s="93"/>
      <c r="Q375" s="109"/>
      <c r="R375" t="str">
        <f>$Q$281</f>
        <v>Roof</v>
      </c>
      <c r="S375">
        <f>$E$25</f>
        <v>33.171875</v>
      </c>
      <c r="T375" cm="1">
        <f t="array" ref="T375">IFERROR(IF(S375=0,0,(INDEX($C$33:$C$38,MATCH($W$297,$B$33:$B$38,0),0)*(S375+$X$297)+$V$297*$C$31)*$R$297),0)</f>
        <v>0</v>
      </c>
      <c r="U375">
        <f>IF(S375=0,0,-$V$297*$C$31*$H$27*$R$297)</f>
        <v>0</v>
      </c>
      <c r="V375">
        <f>IF(S375=0,0,$V$297*$H$26*$R$297)</f>
        <v>0</v>
      </c>
      <c r="W375">
        <f>(0.6*T375+0.7*U375)*$R$297/2</f>
        <v>0</v>
      </c>
      <c r="X375">
        <f>T375*$R$297/2</f>
        <v>0</v>
      </c>
      <c r="Z375">
        <f>IF(S375=0,0,$AD$297*$AP$281)</f>
        <v>0</v>
      </c>
      <c r="AA375">
        <f>IFERROR(Z375/$R$297,0)</f>
        <v>0</v>
      </c>
      <c r="AB375">
        <f>Z375*($F$25+($C$16+$C$17+IF($C$13="single",1.5,3)+3)/12)</f>
        <v>0</v>
      </c>
      <c r="AC375">
        <f>AB375-W375</f>
        <v>0</v>
      </c>
      <c r="AD375" cm="1">
        <f t="array" ref="AD375">IFERROR(IF(AC375&lt;0,0,AC375/($R$297-INDEX(hd_off,MATCH(AQ375,hd_mark,0),0)/12)),0)</f>
        <v>0</v>
      </c>
      <c r="AE375">
        <f>IF(S375=0,0,$AD$297*$AM$281)</f>
        <v>0</v>
      </c>
      <c r="AF375">
        <f>IFERROR(AE375/$R$297,0)</f>
        <v>0</v>
      </c>
      <c r="AG375">
        <f>AE375*($F$25+($C$16+$C$17+IF($C$13="single",1.5,3)+3)/12)</f>
        <v>0</v>
      </c>
      <c r="AH375">
        <f>AG375-X375</f>
        <v>0</v>
      </c>
      <c r="AI375" cm="1">
        <f t="array" ref="AI375">IFERROR(IF(AH375&lt;0,0,AH375/($R$297-INDEX(hd_off,MATCH(AQ375,hd_mark,0),0)/12)),0)</f>
        <v>0</v>
      </c>
      <c r="AJ375">
        <f>MAX($F$25,$AC$297)/$Q$308</f>
        <v>0.29920977011494249</v>
      </c>
      <c r="AK375">
        <f t="shared" si="226"/>
        <v>1</v>
      </c>
      <c r="AL375" cm="1">
        <f t="array" ref="AL375">IFERROR(INDEX(sheath_ecap_asd,MATCH(AP375,sheath_mark,0),0)*AK375,0)</f>
        <v>0</v>
      </c>
      <c r="AM375" cm="1">
        <f t="array" ref="AM375">IFERROR(INDEX(sheath_wcap_asd,MATCH(AP375,sheath_mark,0),0)*AK375,0)</f>
        <v>0</v>
      </c>
      <c r="AN375" cm="1">
        <f t="array" ref="AN375">IFERROR(INDEX(hd_cap,MATCH(AQ375,hd_mark,0),0),0)</f>
        <v>0</v>
      </c>
      <c r="AP375" s="19"/>
      <c r="AQ375" s="19"/>
      <c r="AR375" s="100"/>
      <c r="AS375" s="93"/>
      <c r="AT375" s="109"/>
      <c r="AU375" t="str">
        <f>$Q$281</f>
        <v>Roof</v>
      </c>
      <c r="AV375">
        <f>$E$25</f>
        <v>33.171875</v>
      </c>
      <c r="AW375" cm="1">
        <f t="array" ref="AW375">IFERROR(IF(AV375=0,0,(INDEX($C$33:$C$38,MATCH($AZ$297,$B$33:$B$38,0),0)*(AV375+$BA$297)+$AY$297*$C$31)*$AU$297),0)</f>
        <v>0</v>
      </c>
      <c r="AX375">
        <f>IF(AV375=0,0,-$AY$297*$C$31*$H$27*$AU$297)</f>
        <v>0</v>
      </c>
      <c r="AY375">
        <f>IF(AV375=0,0,$AY$297*$H$26*$AU$297)</f>
        <v>0</v>
      </c>
      <c r="AZ375">
        <f>(0.6*AW375+0.7*AX375)*$AU$297/2</f>
        <v>0</v>
      </c>
      <c r="BA375">
        <f>AW375*$AU$297/2</f>
        <v>0</v>
      </c>
      <c r="BC375">
        <f>IF(AV375=0,0,$BG$297*$AP$281)</f>
        <v>0</v>
      </c>
      <c r="BD375">
        <f>IFERROR(BC375/$AU$297,0)</f>
        <v>0</v>
      </c>
      <c r="BE375">
        <f>BC375*($F$25+($C$16+$C$17+IF($C$13="single",1.5,3)+3)/12)</f>
        <v>0</v>
      </c>
      <c r="BF375">
        <f>BE375-AZ375</f>
        <v>0</v>
      </c>
      <c r="BG375" cm="1">
        <f t="array" ref="BG375">IFERROR(IF(BF375&lt;0,0,BF375/($AU$297-INDEX(hd_off,MATCH(BT375,hd_mark,0),0)/12)),0)</f>
        <v>0</v>
      </c>
      <c r="BH375">
        <f>IF(AV375=0,0,$BG$297*$AM$281)</f>
        <v>0</v>
      </c>
      <c r="BI375">
        <f>IFERROR(BH375/$AU$297,0)</f>
        <v>0</v>
      </c>
      <c r="BJ375">
        <f>BH375*($F$25+($C$16+$C$17+IF($C$13="single",1.5,3)+3)/12)</f>
        <v>0</v>
      </c>
      <c r="BK375">
        <f>BJ375-BA375</f>
        <v>0</v>
      </c>
      <c r="BL375" cm="1">
        <f t="array" ref="BL375">IFERROR(IF(BK375&lt;0,0,BK375/($AU$297-INDEX(hd_off,MATCH(BT375,hd_mark,0),0)/12)),0)</f>
        <v>0</v>
      </c>
      <c r="BM375">
        <f>MAX($F$25,$BF$297)/$Q$308</f>
        <v>0.29920977011494249</v>
      </c>
      <c r="BN375">
        <f t="shared" si="227"/>
        <v>1</v>
      </c>
      <c r="BO375" cm="1">
        <f t="array" ref="BO375">IFERROR(INDEX(sheath_ecap_asd,MATCH(BS375,sheath_mark,0),0)*BN375,0)</f>
        <v>0</v>
      </c>
      <c r="BP375" cm="1">
        <f t="array" ref="BP375">IFERROR(INDEX(sheath_wcap_asd,MATCH(BS375,sheath_mark,0),0)*BN375,0)</f>
        <v>0</v>
      </c>
      <c r="BQ375" cm="1">
        <f t="array" ref="BQ375">IFERROR(INDEX(hd_cap,MATCH(BT375,hd_mark,0),0),0)</f>
        <v>0</v>
      </c>
      <c r="BS375" s="19"/>
      <c r="BT375" s="19"/>
      <c r="BU375" s="100"/>
    </row>
    <row r="376" x14ac:dyDescent="0.25">
      <c r="P376" s="93"/>
      <c r="AR376" s="100"/>
      <c r="AS376" s="93"/>
      <c r="BU376" s="100"/>
    </row>
    <row r="377" x14ac:dyDescent="0.25">
      <c r="P377" s="93"/>
      <c r="Q377" s="110" t="str">
        <f>$Q$298</f>
        <v>A.13</v>
      </c>
      <c r="R377" t="str">
        <f>$Q$277</f>
        <v>L2</v>
      </c>
      <c r="S377">
        <f>$E$21</f>
        <v>10.6875</v>
      </c>
      <c r="T377" cm="1">
        <f t="array" ref="T377">IFERROR(IF(S377=0,0,(INDEX($C$33:$C$38,MATCH($W$298,$B$33:$B$38,0),0)*(S381+$X$298)+$T$298*COUNTIF(S377:S380,"&gt;0")*$C$32+$V$298*$C$31)*$R$298),0)</f>
        <v>0</v>
      </c>
      <c r="U377">
        <f>IF(S377=0,0,-(COUNTIF(S377:S380,"&gt;0")*$T$298*$C$32+$V$298*$C$31)*$H$27*$R$298)</f>
        <v>0</v>
      </c>
      <c r="V377">
        <f>IF(S377=0,0,$V$298*$H$26*$R$298)</f>
        <v>0</v>
      </c>
      <c r="W377">
        <f>(0.6*T377+0.7*U377)*$R$298/2</f>
        <v>0</v>
      </c>
      <c r="X377">
        <f>(0.6*T377+0.6*V377)*$R$298/2</f>
        <v>0</v>
      </c>
      <c r="Z377">
        <f>IF(S377=0,0,$AD$298*$AP$277)</f>
        <v>0</v>
      </c>
      <c r="AA377">
        <f>IFERROR(Z377/$R$298,0)</f>
        <v>0</v>
      </c>
      <c r="AB377">
        <f>Z377*($F$21+IF($F$21=0,0,($C$14+$C$15+IF($C$13="single",1.5,3)+3)/12))</f>
        <v>0</v>
      </c>
      <c r="AC377">
        <f>AB377-W377</f>
        <v>0</v>
      </c>
      <c r="AD377" cm="1">
        <f t="array" ref="AD377">IFERROR(IF(AC377&lt;0,0,AC377/($R$298-INDEX(hd_off,MATCH(AQ377,hd_mark,0),0)/12)),0)</f>
        <v>0</v>
      </c>
      <c r="AE377">
        <f>IF(S377=0,0,$AD$298*$AM$277)</f>
        <v>0</v>
      </c>
      <c r="AF377">
        <f>IFERROR(AE377/$R$298,0)</f>
        <v>0</v>
      </c>
      <c r="AG377">
        <f>AE377*($F$21+IF($F$21=0,0,($C$14+$C$15+IF($C$13="single",1.5,3)+3)/12))</f>
        <v>0</v>
      </c>
      <c r="AH377">
        <f>AG377-X377</f>
        <v>0</v>
      </c>
      <c r="AI377" cm="1">
        <f t="array" ref="AI377">IFERROR(IF(AH377&lt;0,0,AH377/($R$298-INDEX(hd_off,MATCH(AQ377,hd_mark,0),0)/12)),0)</f>
        <v>0</v>
      </c>
      <c r="AJ377">
        <f>MAX($F$21,$Y$298)/$Q$308</f>
        <v>0.30172413793103448</v>
      </c>
      <c r="AK377">
        <f>IF(AJ377=0,0,IF(AJ377&gt;2,1.25-0.125*AJ377,1))</f>
        <v>1</v>
      </c>
      <c r="AL377" cm="1">
        <f t="array" ref="AL377">IFERROR(INDEX(sheath_ecap_asd,MATCH(AP377,sheath_mark,0),0)*AK377,0)</f>
        <v>0</v>
      </c>
      <c r="AM377" cm="1">
        <f t="array" ref="AM377">IFERROR(INDEX(sheath_wcap_asd,MATCH(AP377,sheath_mark,0),0)*AK377,0)</f>
        <v>0</v>
      </c>
      <c r="AN377" cm="1">
        <f t="array" ref="AN377">IFERROR(INDEX(hd_cap,MATCH(AQ377,hd_mark,0),0),0)</f>
        <v>0</v>
      </c>
      <c r="AP377" s="19"/>
      <c r="AQ377" s="19"/>
      <c r="AR377" s="100"/>
      <c r="AS377" s="93"/>
      <c r="AT377" s="110" t="str">
        <f>$AT$298</f>
        <v>1.13</v>
      </c>
      <c r="AU377" t="str">
        <f>$Q$277</f>
        <v>L2</v>
      </c>
      <c r="AV377">
        <f>$E$21</f>
        <v>10.6875</v>
      </c>
      <c r="AW377" cm="1">
        <f t="array" ref="AW377">IFERROR(IF(AV377=0,0,(INDEX($C$33:$C$38,MATCH($AZ$298,$B$33:$B$38,0),0)*(AV381+$BA$298)+$AW$298*COUNTIF(AV377:AV380,"&gt;0")*$C$32+$AY$298*$C$31)*$AU$298),0)</f>
        <v>0</v>
      </c>
      <c r="AX377">
        <f>IF(AV377=0,0,-(COUNTIF(AV377:AV380,"&gt;0")*$AW$298*$C$32+$AY$298*$C$31)*$H$27*$AU$298)</f>
        <v>0</v>
      </c>
      <c r="AY377">
        <f>IF(AV377=0,0,$AY$298*$H$26*$AU$298)</f>
        <v>0</v>
      </c>
      <c r="AZ377">
        <f>(0.6*AW377+0.7*AX377)*$AU$298/2</f>
        <v>0</v>
      </c>
      <c r="BA377">
        <f>(0.6*AW377+0.6*AY377)*$AU$298/2</f>
        <v>0</v>
      </c>
      <c r="BC377">
        <f>IF(AV377=0,0,$BG$298*$AP$277)</f>
        <v>0</v>
      </c>
      <c r="BD377">
        <f>IFERROR(BC377/$AU$298,0)</f>
        <v>0</v>
      </c>
      <c r="BE377">
        <f>BC377*($F$21+IF($F$21=0,0,($C$14+$C$15+IF($C$13="single",1.5,3)+3)/12))</f>
        <v>0</v>
      </c>
      <c r="BF377">
        <f>BE377-AZ377</f>
        <v>0</v>
      </c>
      <c r="BG377" cm="1">
        <f t="array" ref="BG377">IFERROR(IF(BF377&lt;0,0,BF377/($AU$298-INDEX(hd_off,MATCH(BT377,hd_mark,0),0)/12)),0)</f>
        <v>0</v>
      </c>
      <c r="BH377">
        <f>IF(AV377=0,0,$BG$298*$AM$277)</f>
        <v>0</v>
      </c>
      <c r="BI377">
        <f>IFERROR(BH377/$AU$298,0)</f>
        <v>0</v>
      </c>
      <c r="BJ377">
        <f>BH377*($F$21+IF($F$21=0,0,($C$14+$C$15+IF($C$13="single",1.5,3)+3)/12))</f>
        <v>0</v>
      </c>
      <c r="BK377">
        <f>BJ377-BA377</f>
        <v>0</v>
      </c>
      <c r="BL377" cm="1">
        <f t="array" ref="BL377">IFERROR(IF(BK377&lt;0,0,BK377/($AU$298-INDEX(hd_off,MATCH(BT377,hd_mark,0),0)/12)),0)</f>
        <v>0</v>
      </c>
      <c r="BM377">
        <f>MAX($F$21,$BB$298)/$Q$308</f>
        <v>0.30172413793103448</v>
      </c>
      <c r="BN377">
        <f>IF(BM377=0,0,IF(BM377&gt;2,1.25-0.125*BM377,1))</f>
        <v>1</v>
      </c>
      <c r="BO377" cm="1">
        <f t="array" ref="BO377">IFERROR(INDEX(sheath_ecap_asd,MATCH(BS377,sheath_mark,0),0)*BN377,0)</f>
        <v>0</v>
      </c>
      <c r="BP377" cm="1">
        <f t="array" ref="BP377">IFERROR(INDEX(sheath_wcap_asd,MATCH(BS377,sheath_mark,0),0)*BN377,0)</f>
        <v>0</v>
      </c>
      <c r="BQ377" cm="1">
        <f t="array" ref="BQ377">IFERROR(INDEX(hd_cap,MATCH(BT377,hd_mark,0),0),0)</f>
        <v>0</v>
      </c>
      <c r="BS377" s="19"/>
      <c r="BT377" s="19"/>
      <c r="BU377" s="100"/>
    </row>
    <row r="378" x14ac:dyDescent="0.25">
      <c r="P378" s="93"/>
      <c r="Q378" s="109"/>
      <c r="R378" t="str">
        <f>$Q$278</f>
        <v>L3</v>
      </c>
      <c r="S378">
        <f>$E$22</f>
        <v>21.375</v>
      </c>
      <c r="T378" cm="1">
        <f t="array" ref="T378">IFERROR(IF(S378=0,0,(INDEX($C$33:$C$38,MATCH($W$298,$B$33:$B$38,0),0)*(S381+$X$298)+$T$298*COUNTIF(S378:S380,"&gt;0")*$C$32+$V$298*$C$31)*$R$298),0)</f>
        <v>0</v>
      </c>
      <c r="U378">
        <f>IF(S378=0,0,-(COUNTIF(S378:S380,"&gt;0")*$T$298*$C$32+$V$298*$C$31)*$H$27*$R$298)</f>
        <v>0</v>
      </c>
      <c r="V378">
        <f>IF(S378=0,0,$V$298*$H$26*$R$298)</f>
        <v>0</v>
      </c>
      <c r="W378">
        <f>(0.6*T378+0.7*U378)*$R$298/2</f>
        <v>0</v>
      </c>
      <c r="X378">
        <f>T378*$R$298/2</f>
        <v>0</v>
      </c>
      <c r="Z378">
        <f>IF(S378=0,0,$AD$298*$AP$278)</f>
        <v>0</v>
      </c>
      <c r="AA378">
        <f>IFERROR(Z378/$R$298,0)</f>
        <v>0</v>
      </c>
      <c r="AB378">
        <f>Z378*($F$22+IF($F$22=0,0,($C$14+$C$15+IF($C$13="single",1.5,3)+3)/12))</f>
        <v>0</v>
      </c>
      <c r="AC378">
        <f>AB378-W378</f>
        <v>0</v>
      </c>
      <c r="AD378" cm="1">
        <f t="array" ref="AD378">IFERROR(IF(AC378&lt;0,0,AC378/($R$298-INDEX(hd_off,MATCH(AQ378,hd_mark,0),0)/12)),0)</f>
        <v>0</v>
      </c>
      <c r="AE378">
        <f>IF(S378=0,0,$AD$298*$AM$278)</f>
        <v>0</v>
      </c>
      <c r="AF378">
        <f>IFERROR(AE378/$R$298,0)</f>
        <v>0</v>
      </c>
      <c r="AG378">
        <f>AE378*($F$22+IF($F$22=0,0,($C$14+$C$15+IF($C$13="single",1.5,3)+3)/12))</f>
        <v>0</v>
      </c>
      <c r="AH378">
        <f>AG378-X378</f>
        <v>0</v>
      </c>
      <c r="AI378" cm="1">
        <f t="array" ref="AI378">IFERROR(IF(AH378&lt;0,0,AH378/($R$298-INDEX(hd_off,MATCH(AQ378,hd_mark,0),0)/12)),0)</f>
        <v>0</v>
      </c>
      <c r="AJ378">
        <f>MAX($F$22,$Z$298)/$Q$308</f>
        <v>0.30172413793103448</v>
      </c>
      <c r="AK378">
        <f t="shared" ref="AK378:AK381" si="228">IF(AJ378=0,0,IF(AJ378&gt;2,1.25-0.125*AJ378,1))</f>
        <v>1</v>
      </c>
      <c r="AL378" cm="1">
        <f t="array" ref="AL378">IFERROR(INDEX(sheath_ecap_asd,MATCH(AP378,sheath_mark,0),0)*AK378,0)</f>
        <v>0</v>
      </c>
      <c r="AM378" cm="1">
        <f t="array" ref="AM378">IFERROR(INDEX(sheath_wcap_asd,MATCH(AP378,sheath_mark,0),0)*AK378,0)</f>
        <v>0</v>
      </c>
      <c r="AN378" cm="1">
        <f t="array" ref="AN378">IFERROR(INDEX(hd_cap,MATCH(AQ378,hd_mark,0),0),0)</f>
        <v>0</v>
      </c>
      <c r="AP378" s="19"/>
      <c r="AQ378" s="19"/>
      <c r="AR378" s="100"/>
      <c r="AS378" s="93"/>
      <c r="AT378" s="109"/>
      <c r="AU378" t="str">
        <f>$Q$278</f>
        <v>L3</v>
      </c>
      <c r="AV378">
        <f>$E$22</f>
        <v>21.375</v>
      </c>
      <c r="AW378" cm="1">
        <f t="array" ref="AW378">IFERROR(IF(AV378=0,0,(INDEX($C$33:$C$38,MATCH($AZ$298,$B$33:$B$38,0),0)*(AV381+$BA$298)+$AW$298*COUNTIF(AV378:AV380,"&gt;0")*$C$32+$AY$298*$C$31)*$AU$298),0)</f>
        <v>0</v>
      </c>
      <c r="AX378">
        <f>IF(AV378=0,0,-(COUNTIF(AV378:AV380,"&gt;0")*$AW$298*$C$32+$AY$298*$C$31)*$H$27*$AU$298)</f>
        <v>0</v>
      </c>
      <c r="AY378">
        <f>IF(AV378=0,0,$AY$298*$H$26*$AU$298)</f>
        <v>0</v>
      </c>
      <c r="AZ378">
        <f>(0.6*AW378+0.7*AX378)*$AU$298/2</f>
        <v>0</v>
      </c>
      <c r="BA378">
        <f>AW378*$AU$298/2</f>
        <v>0</v>
      </c>
      <c r="BC378">
        <f>IF(AV378=0,0,$BG$298*$AP$278)</f>
        <v>0</v>
      </c>
      <c r="BD378">
        <f>IFERROR(BC378/$AU$298,0)</f>
        <v>0</v>
      </c>
      <c r="BE378">
        <f>BC378*($F$22+IF($F$22=0,0,($C$14+$C$15+IF($C$13="single",1.5,3)+3)/12))</f>
        <v>0</v>
      </c>
      <c r="BF378">
        <f>BE378-AZ378</f>
        <v>0</v>
      </c>
      <c r="BG378" cm="1">
        <f t="array" ref="BG378">IFERROR(IF(BF378&lt;0,0,BF378/($AU$298-INDEX(hd_off,MATCH(BT378,hd_mark,0),0)/12)),0)</f>
        <v>0</v>
      </c>
      <c r="BH378">
        <f>IF(AV378=0,0,$BG$298*$AM$278)</f>
        <v>0</v>
      </c>
      <c r="BI378">
        <f>IFERROR(BH378/$AU$298,0)</f>
        <v>0</v>
      </c>
      <c r="BJ378">
        <f>BH378*($F$22+IF($F$22=0,0,($C$14+$C$15+IF($C$13="single",1.5,3)+3)/12))</f>
        <v>0</v>
      </c>
      <c r="BK378">
        <f>BJ378-BA378</f>
        <v>0</v>
      </c>
      <c r="BL378" cm="1">
        <f t="array" ref="BL378">IFERROR(IF(BK378&lt;0,0,BK378/($AU$298-INDEX(hd_off,MATCH(BT378,hd_mark,0),0)/12)),0)</f>
        <v>0</v>
      </c>
      <c r="BM378">
        <f>MAX($F$22,$BC$298)/$Q$308</f>
        <v>0.30172413793103448</v>
      </c>
      <c r="BN378">
        <f t="shared" ref="BN378:BN381" si="229">IF(BM378=0,0,IF(BM378&gt;2,1.25-0.125*BM378,1))</f>
        <v>1</v>
      </c>
      <c r="BO378" cm="1">
        <f t="array" ref="BO378">IFERROR(INDEX(sheath_ecap_asd,MATCH(BS378,sheath_mark,0),0)*BN378,0)</f>
        <v>0</v>
      </c>
      <c r="BP378" cm="1">
        <f t="array" ref="BP378">IFERROR(INDEX(sheath_wcap_asd,MATCH(BS378,sheath_mark,0),0)*BN378,0)</f>
        <v>0</v>
      </c>
      <c r="BQ378" cm="1">
        <f t="array" ref="BQ378">IFERROR(INDEX(hd_cap,MATCH(BT378,hd_mark,0),0),0)</f>
        <v>0</v>
      </c>
      <c r="BS378" s="19"/>
      <c r="BT378" s="19"/>
      <c r="BU378" s="100"/>
    </row>
    <row r="379" x14ac:dyDescent="0.25">
      <c r="P379" s="93"/>
      <c r="Q379" s="109" t="s">
        <v>491</v>
      </c>
      <c r="R379" t="str">
        <f>$Q$279</f>
        <v>L4</v>
      </c>
      <c r="S379">
        <f>$E$23</f>
        <v>0</v>
      </c>
      <c r="T379" cm="1">
        <f t="array" ref="T379">IFERROR(IF(S379=0,0,(INDEX($C$33:$C$38,MATCH($W$298,$B$33:$B$38,0),0)*(S381+$X$298)+$T$298*COUNTIF(S379:S380,"&gt;0")*$C$32+$V$298*$C$31)*$R$298),0)</f>
        <v>0</v>
      </c>
      <c r="U379">
        <f>IF(S379=0,0,-(COUNTIF(S379:S380,"&gt;0")*$T$298*$C$32+$V$298*$C$31)*$H$27*$R$298)</f>
        <v>0</v>
      </c>
      <c r="V379">
        <f>IF(S379=0,0,$V$298*$H$26*$R$298)</f>
        <v>0</v>
      </c>
      <c r="W379">
        <f>(0.6*T379+0.7*U379)*$R$298/2</f>
        <v>0</v>
      </c>
      <c r="X379">
        <f>T379*$R$298/2</f>
        <v>0</v>
      </c>
      <c r="Z379">
        <f>IF(S379=0,0,$AD$298*$AP$279)</f>
        <v>0</v>
      </c>
      <c r="AA379">
        <f>IFERROR(Z379/$R$298,0)</f>
        <v>0</v>
      </c>
      <c r="AB379">
        <f>Z379*($F$23+IF($F$23=0,0,($C$14+$C$15+IF($C$13="single",1.5,3)+3)/12))</f>
        <v>0</v>
      </c>
      <c r="AC379">
        <f>AB379-W379</f>
        <v>0</v>
      </c>
      <c r="AD379" cm="1">
        <f t="array" ref="AD379">IFERROR(IF(AC379&lt;0,0,AC379/($R$298-INDEX(hd_off,MATCH(AQ379,hd_mark,0),0)/12)),0)</f>
        <v>0</v>
      </c>
      <c r="AE379">
        <f>IF(S379=0,0,$AD$298*$AM$279)</f>
        <v>0</v>
      </c>
      <c r="AF379">
        <f>IFERROR(AE379/$R$298,0)</f>
        <v>0</v>
      </c>
      <c r="AG379">
        <f>AE379*($F$23+IF($F$23=0,0,($C$14+$C$15+IF($C$13="single",1.5,3)+3)/12))</f>
        <v>0</v>
      </c>
      <c r="AH379">
        <f>AG379-X379</f>
        <v>0</v>
      </c>
      <c r="AI379" cm="1">
        <f t="array" ref="AI379">IFERROR(IF(AH379&lt;0,0,AH379/($R$298-INDEX(hd_off,MATCH(AQ379,hd_mark,0),0)/12)),0)</f>
        <v>0</v>
      </c>
      <c r="AJ379">
        <f>MAX($F$23,$AA$298)/$Q$308</f>
        <v>0</v>
      </c>
      <c r="AK379">
        <f t="shared" si="228"/>
        <v>0</v>
      </c>
      <c r="AL379" cm="1">
        <f t="array" ref="AL379">IFERROR(INDEX(sheath_ecap_asd,MATCH(AP379,sheath_mark,0),0)*AK379,0)</f>
        <v>0</v>
      </c>
      <c r="AM379" cm="1">
        <f t="array" ref="AM379">IFERROR(INDEX(sheath_wcap_asd,MATCH(AP379,sheath_mark,0),0)*AK379,0)</f>
        <v>0</v>
      </c>
      <c r="AN379" cm="1">
        <f t="array" ref="AN379">IFERROR(INDEX(hd_cap,MATCH(AQ379,hd_mark,0),0),0)</f>
        <v>0</v>
      </c>
      <c r="AP379" s="19"/>
      <c r="AQ379" s="19"/>
      <c r="AR379" s="100"/>
      <c r="AS379" s="93"/>
      <c r="AT379" s="109" t="s">
        <v>491</v>
      </c>
      <c r="AU379" t="str">
        <f>$Q$279</f>
        <v>L4</v>
      </c>
      <c r="AV379">
        <f>$E$23</f>
        <v>0</v>
      </c>
      <c r="AW379" cm="1">
        <f t="array" ref="AW379">IFERROR(IF(AV379=0,0,(INDEX($C$33:$C$38,MATCH($AZ$298,$B$33:$B$38,0),0)*(AV381+$BA$298)+$AW$298*COUNTIF(AV379:AV380,"&gt;0")*$C$32+$AY$298*$C$31)*$AU$298),0)</f>
        <v>0</v>
      </c>
      <c r="AX379">
        <f>IF(AV379=0,0,-(COUNTIF(AV379:AV380,"&gt;0")*$AW$298*$C$32+$AY$298*$C$31)*$H$27*$AU$298)</f>
        <v>0</v>
      </c>
      <c r="AY379">
        <f>IF(AV379=0,0,$AY$298*$H$26*$AU$298)</f>
        <v>0</v>
      </c>
      <c r="AZ379">
        <f>(0.6*AW379+0.7*AX379)*$AU$298/2</f>
        <v>0</v>
      </c>
      <c r="BA379">
        <f>AW379*$AU$298/2</f>
        <v>0</v>
      </c>
      <c r="BC379">
        <f>IF(AV379=0,0,$BG$298*$AP$279)</f>
        <v>0</v>
      </c>
      <c r="BD379">
        <f>IFERROR(BC379/$AU$298,0)</f>
        <v>0</v>
      </c>
      <c r="BE379">
        <f>BC379*($F$23+IF($F$23=0,0,($C$14+$C$15+IF($C$13="single",1.5,3)+3)/12))</f>
        <v>0</v>
      </c>
      <c r="BF379">
        <f>BE379-AZ379</f>
        <v>0</v>
      </c>
      <c r="BG379" cm="1">
        <f t="array" ref="BG379">IFERROR(IF(BF379&lt;0,0,BF379/($AU$298-INDEX(hd_off,MATCH(BT379,hd_mark,0),0)/12)),0)</f>
        <v>0</v>
      </c>
      <c r="BH379">
        <f>IF(AV379=0,0,$BG$298*$AM$279)</f>
        <v>0</v>
      </c>
      <c r="BI379">
        <f>IFERROR(BH379/$AU$298,0)</f>
        <v>0</v>
      </c>
      <c r="BJ379">
        <f>BH379*($F$23+IF($F$23=0,0,($C$14+$C$15+IF($C$13="single",1.5,3)+3)/12))</f>
        <v>0</v>
      </c>
      <c r="BK379">
        <f>BJ379-BA379</f>
        <v>0</v>
      </c>
      <c r="BL379" cm="1">
        <f t="array" ref="BL379">IFERROR(IF(BK379&lt;0,0,BK379/($AU$298-INDEX(hd_off,MATCH(BT379,hd_mark,0),0)/12)),0)</f>
        <v>0</v>
      </c>
      <c r="BM379">
        <f>MAX($F$23,$BD$298)/$Q$308</f>
        <v>0</v>
      </c>
      <c r="BN379">
        <f t="shared" si="229"/>
        <v>0</v>
      </c>
      <c r="BO379" cm="1">
        <f t="array" ref="BO379">IFERROR(INDEX(sheath_ecap_asd,MATCH(BS379,sheath_mark,0),0)*BN379,0)</f>
        <v>0</v>
      </c>
      <c r="BP379" cm="1">
        <f t="array" ref="BP379">IFERROR(INDEX(sheath_wcap_asd,MATCH(BS379,sheath_mark,0),0)*BN379,0)</f>
        <v>0</v>
      </c>
      <c r="BQ379" cm="1">
        <f t="array" ref="BQ379">IFERROR(INDEX(hd_cap,MATCH(BT379,hd_mark,0),0),0)</f>
        <v>0</v>
      </c>
      <c r="BS379" s="19"/>
      <c r="BT379" s="19"/>
      <c r="BU379" s="100"/>
    </row>
    <row r="380" x14ac:dyDescent="0.25">
      <c r="P380" s="93"/>
      <c r="Q380" s="111">
        <f>$R$298</f>
        <v>0</v>
      </c>
      <c r="R380" t="str">
        <f>$Q$280</f>
        <v>L5</v>
      </c>
      <c r="S380">
        <f>$E$24</f>
        <v>0</v>
      </c>
      <c r="T380" cm="1">
        <f t="array" ref="T380">IFERROR(IF(S380=0,0,(INDEX($C$33:$C$38,MATCH($W$298,$B$33:$B$38,0),0)*(S381+$X$298)+$T$298*COUNTIF(S380:S380,"&gt;0")*$C$32+$V$298*$C$31)*$R$298),0)</f>
        <v>0</v>
      </c>
      <c r="U380">
        <f>IF(S380=0,0,-(COUNTIF(S380:S380,"&gt;0")*$T$298*$C$32+$V$298*$C$31)*$H$27*$R$298)</f>
        <v>0</v>
      </c>
      <c r="V380">
        <f>IF(S380=0,0,$V$298*$H$26*$R$298)</f>
        <v>0</v>
      </c>
      <c r="W380">
        <f>(0.6*T380+0.7*U380)*$R$298/2</f>
        <v>0</v>
      </c>
      <c r="X380">
        <f>T380*$R$298/2</f>
        <v>0</v>
      </c>
      <c r="Z380">
        <f>IF(S380=0,0,$AD$298*$AP$280)</f>
        <v>0</v>
      </c>
      <c r="AA380">
        <f>IFERROR(Z380/$R$298,0)</f>
        <v>0</v>
      </c>
      <c r="AB380">
        <f>Z380*($F$24+IF($F$24=0,0,($C$14+$C$15+IF($C$13="single",1.5,3)+3)/12))</f>
        <v>0</v>
      </c>
      <c r="AC380">
        <f>AB380-W380</f>
        <v>0</v>
      </c>
      <c r="AD380" cm="1">
        <f t="array" ref="AD380">IFERROR(IF(AC380&lt;0,0,AC380/($R$298-INDEX(hd_off,MATCH(AQ380,hd_mark,0),0)/12)),0)</f>
        <v>0</v>
      </c>
      <c r="AE380">
        <f>IF(S380=0,0,$AD$298*$AM$280)</f>
        <v>0</v>
      </c>
      <c r="AF380">
        <f>IFERROR(AE380/$R$298,0)</f>
        <v>0</v>
      </c>
      <c r="AG380">
        <f>AE380*($F$24+IF($F$24=0,0,($C$14+$C$15+IF($C$13="single",1.5,3)+3)/12))</f>
        <v>0</v>
      </c>
      <c r="AH380">
        <f>AG380-X380</f>
        <v>0</v>
      </c>
      <c r="AI380" cm="1">
        <f t="array" ref="AI380">IFERROR(IF(AH380&lt;0,0,AH380/($R$298-INDEX(hd_off,MATCH(AQ380,hd_mark,0),0)/12)),0)</f>
        <v>0</v>
      </c>
      <c r="AJ380">
        <f>MAX($F$24,$AB$298)/$Q$308</f>
        <v>0</v>
      </c>
      <c r="AK380">
        <f t="shared" si="228"/>
        <v>0</v>
      </c>
      <c r="AL380" cm="1">
        <f t="array" ref="AL380">IFERROR(INDEX(sheath_ecap_asd,MATCH(AP380,sheath_mark,0),0)*AK380,0)</f>
        <v>0</v>
      </c>
      <c r="AM380" cm="1">
        <f t="array" ref="AM380">IFERROR(INDEX(sheath_wcap_asd,MATCH(AP380,sheath_mark,0),0)*AK380,0)</f>
        <v>0</v>
      </c>
      <c r="AN380" cm="1">
        <f t="array" ref="AN380">IFERROR(INDEX(hd_cap,MATCH(AQ380,hd_mark,0),0),0)</f>
        <v>0</v>
      </c>
      <c r="AP380" s="19"/>
      <c r="AQ380" s="19"/>
      <c r="AR380" s="100"/>
      <c r="AS380" s="93"/>
      <c r="AT380" s="111">
        <f>$R$298</f>
        <v>0</v>
      </c>
      <c r="AU380" t="str">
        <f>$Q$280</f>
        <v>L5</v>
      </c>
      <c r="AV380">
        <f>$E$24</f>
        <v>0</v>
      </c>
      <c r="AW380" cm="1">
        <f t="array" ref="AW380">IFERROR(IF(AV380=0,0,(INDEX($C$33:$C$38,MATCH($AZ$298,$B$33:$B$38,0),0)*(AV381+$BA$298)+$AW$298*COUNTIF(AV380:AV380,"&gt;0")*$C$32+$AY$298*$C$31)*$AU$298),0)</f>
        <v>0</v>
      </c>
      <c r="AX380">
        <f>IF(AV380=0,0,-(COUNTIF(AV380:AV380,"&gt;0")*$AW$298*$C$32+$AY$298*$C$31)*$H$27*$AU$298)</f>
        <v>0</v>
      </c>
      <c r="AY380">
        <f>IF(AV380=0,0,$AY$298*$H$26*$AU$298)</f>
        <v>0</v>
      </c>
      <c r="AZ380">
        <f>(0.6*AW380+0.7*AX380)*$AU$298/2</f>
        <v>0</v>
      </c>
      <c r="BA380">
        <f>AW380*$AU$298/2</f>
        <v>0</v>
      </c>
      <c r="BC380">
        <f>IF(AV380=0,0,$BG$298*$AP$280)</f>
        <v>0</v>
      </c>
      <c r="BD380">
        <f>IFERROR(BC380/$AU$298,0)</f>
        <v>0</v>
      </c>
      <c r="BE380">
        <f>BC380*($F$24+IF($F$24=0,0,($C$14+$C$15+IF($C$13="single",1.5,3)+3)/12))</f>
        <v>0</v>
      </c>
      <c r="BF380">
        <f>BE380-AZ380</f>
        <v>0</v>
      </c>
      <c r="BG380" cm="1">
        <f t="array" ref="BG380">IFERROR(IF(BF380&lt;0,0,BF380/($AU$298-INDEX(hd_off,MATCH(BT380,hd_mark,0),0)/12)),0)</f>
        <v>0</v>
      </c>
      <c r="BH380">
        <f>IF(AV380=0,0,$BG$298*$AM$280)</f>
        <v>0</v>
      </c>
      <c r="BI380">
        <f>IFERROR(BH380/$AU$298,0)</f>
        <v>0</v>
      </c>
      <c r="BJ380">
        <f>BH380*($F$24+IF($F$24=0,0,($C$14+$C$15+IF($C$13="single",1.5,3)+3)/12))</f>
        <v>0</v>
      </c>
      <c r="BK380">
        <f>BJ380-BA380</f>
        <v>0</v>
      </c>
      <c r="BL380" cm="1">
        <f t="array" ref="BL380">IFERROR(IF(BK380&lt;0,0,BK380/($AU$298-INDEX(hd_off,MATCH(BT380,hd_mark,0),0)/12)),0)</f>
        <v>0</v>
      </c>
      <c r="BM380">
        <f>MAX($F$24,$BE$298)/$Q$308</f>
        <v>0</v>
      </c>
      <c r="BN380">
        <f t="shared" si="229"/>
        <v>0</v>
      </c>
      <c r="BO380" cm="1">
        <f t="array" ref="BO380">IFERROR(INDEX(sheath_ecap_asd,MATCH(BS380,sheath_mark,0),0)*BN380,0)</f>
        <v>0</v>
      </c>
      <c r="BP380" cm="1">
        <f t="array" ref="BP380">IFERROR(INDEX(sheath_wcap_asd,MATCH(BS380,sheath_mark,0),0)*BN380,0)</f>
        <v>0</v>
      </c>
      <c r="BQ380" cm="1">
        <f t="array" ref="BQ380">IFERROR(INDEX(hd_cap,MATCH(BT380,hd_mark,0),0),0)</f>
        <v>0</v>
      </c>
      <c r="BS380" s="19"/>
      <c r="BT380" s="19"/>
      <c r="BU380" s="100"/>
    </row>
    <row r="381" x14ac:dyDescent="0.25">
      <c r="P381" s="93"/>
      <c r="Q381" s="109"/>
      <c r="R381" t="str">
        <f>$Q$281</f>
        <v>Roof</v>
      </c>
      <c r="S381">
        <f>$E$25</f>
        <v>33.171875</v>
      </c>
      <c r="T381" cm="1">
        <f t="array" ref="T381">IFERROR(IF(S381=0,0,(INDEX($C$33:$C$38,MATCH($W$298,$B$33:$B$38,0),0)*(S381+$X$298)+$V$298*$C$31)*$R$298),0)</f>
        <v>0</v>
      </c>
      <c r="U381">
        <f>IF(S381=0,0,-$V$298*$C$31*$H$27*$R$298)</f>
        <v>0</v>
      </c>
      <c r="V381">
        <f>IF(S381=0,0,$V$298*$H$26*$R$298)</f>
        <v>0</v>
      </c>
      <c r="W381">
        <f>(0.6*T381+0.7*U381)*$R$298/2</f>
        <v>0</v>
      </c>
      <c r="X381">
        <f>T381*$R$298/2</f>
        <v>0</v>
      </c>
      <c r="Z381">
        <f>IF(S381=0,0,$AD$298*$AP$281)</f>
        <v>0</v>
      </c>
      <c r="AA381">
        <f>IFERROR(Z381/$R$298,0)</f>
        <v>0</v>
      </c>
      <c r="AB381">
        <f>Z381*($F$25+($C$16+$C$17+IF($C$13="single",1.5,3)+3)/12)</f>
        <v>0</v>
      </c>
      <c r="AC381">
        <f>AB381-W381</f>
        <v>0</v>
      </c>
      <c r="AD381" cm="1">
        <f t="array" ref="AD381">IFERROR(IF(AC381&lt;0,0,AC381/($R$298-INDEX(hd_off,MATCH(AQ381,hd_mark,0),0)/12)),0)</f>
        <v>0</v>
      </c>
      <c r="AE381">
        <f>IF(S381=0,0,$AD$298*$AM$281)</f>
        <v>0</v>
      </c>
      <c r="AF381">
        <f>IFERROR(AE381/$R$298,0)</f>
        <v>0</v>
      </c>
      <c r="AG381">
        <f>AE381*($F$25+($C$16+$C$17+IF($C$13="single",1.5,3)+3)/12)</f>
        <v>0</v>
      </c>
      <c r="AH381">
        <f>AG381-X381</f>
        <v>0</v>
      </c>
      <c r="AI381" cm="1">
        <f t="array" ref="AI381">IFERROR(IF(AH381&lt;0,0,AH381/($R$298-INDEX(hd_off,MATCH(AQ381,hd_mark,0),0)/12)),0)</f>
        <v>0</v>
      </c>
      <c r="AJ381">
        <f>MAX($F$25,$AC$298)/$Q$308</f>
        <v>0.29920977011494249</v>
      </c>
      <c r="AK381">
        <f t="shared" si="228"/>
        <v>1</v>
      </c>
      <c r="AL381" cm="1">
        <f t="array" ref="AL381">IFERROR(INDEX(sheath_ecap_asd,MATCH(AP381,sheath_mark,0),0)*AK381,0)</f>
        <v>0</v>
      </c>
      <c r="AM381" cm="1">
        <f t="array" ref="AM381">IFERROR(INDEX(sheath_wcap_asd,MATCH(AP381,sheath_mark,0),0)*AK381,0)</f>
        <v>0</v>
      </c>
      <c r="AN381" cm="1">
        <f t="array" ref="AN381">IFERROR(INDEX(hd_cap,MATCH(AQ381,hd_mark,0),0),0)</f>
        <v>0</v>
      </c>
      <c r="AP381" s="19"/>
      <c r="AQ381" s="19"/>
      <c r="AR381" s="100"/>
      <c r="AS381" s="93"/>
      <c r="AT381" s="109"/>
      <c r="AU381" t="str">
        <f>$Q$281</f>
        <v>Roof</v>
      </c>
      <c r="AV381">
        <f>$E$25</f>
        <v>33.171875</v>
      </c>
      <c r="AW381" cm="1">
        <f t="array" ref="AW381">IFERROR(IF(AV381=0,0,(INDEX($C$33:$C$38,MATCH($AZ$298,$B$33:$B$38,0),0)*(AV381+$BA$298)+$AY$298*$C$31)*$AU$298),0)</f>
        <v>0</v>
      </c>
      <c r="AX381">
        <f>IF(AV381=0,0,-$AY$298*$C$31*$H$27*$AU$298)</f>
        <v>0</v>
      </c>
      <c r="AY381">
        <f>IF(AV381=0,0,$AY$298*$H$26*$AU$298)</f>
        <v>0</v>
      </c>
      <c r="AZ381">
        <f>(0.6*AW381+0.7*AX381)*$AU$298/2</f>
        <v>0</v>
      </c>
      <c r="BA381">
        <f>AW381*$AU$298/2</f>
        <v>0</v>
      </c>
      <c r="BC381">
        <f>IF(AV381=0,0,$BG$298*$AP$281)</f>
        <v>0</v>
      </c>
      <c r="BD381">
        <f>IFERROR(BC381/$AU$298,0)</f>
        <v>0</v>
      </c>
      <c r="BE381">
        <f>BC381*($F$25+($C$16+$C$17+IF($C$13="single",1.5,3)+3)/12)</f>
        <v>0</v>
      </c>
      <c r="BF381">
        <f>BE381-AZ381</f>
        <v>0</v>
      </c>
      <c r="BG381" cm="1">
        <f t="array" ref="BG381">IFERROR(IF(BF381&lt;0,0,BF381/($AU$298-INDEX(hd_off,MATCH(BT381,hd_mark,0),0)/12)),0)</f>
        <v>0</v>
      </c>
      <c r="BH381">
        <f>IF(AV381=0,0,$BG$298*$AM$281)</f>
        <v>0</v>
      </c>
      <c r="BI381">
        <f>IFERROR(BH381/$AU$298,0)</f>
        <v>0</v>
      </c>
      <c r="BJ381">
        <f>BH381*($F$25+($C$16+$C$17+IF($C$13="single",1.5,3)+3)/12)</f>
        <v>0</v>
      </c>
      <c r="BK381">
        <f>BJ381-BA381</f>
        <v>0</v>
      </c>
      <c r="BL381" cm="1">
        <f t="array" ref="BL381">IFERROR(IF(BK381&lt;0,0,BK381/($AU$298-INDEX(hd_off,MATCH(BT381,hd_mark,0),0)/12)),0)</f>
        <v>0</v>
      </c>
      <c r="BM381">
        <f>MAX($F$25,$BF$298)/$Q$308</f>
        <v>0.29920977011494249</v>
      </c>
      <c r="BN381">
        <f t="shared" si="229"/>
        <v>1</v>
      </c>
      <c r="BO381" cm="1">
        <f t="array" ref="BO381">IFERROR(INDEX(sheath_ecap_asd,MATCH(BS381,sheath_mark,0),0)*BN381,0)</f>
        <v>0</v>
      </c>
      <c r="BP381" cm="1">
        <f t="array" ref="BP381">IFERROR(INDEX(sheath_wcap_asd,MATCH(BS381,sheath_mark,0),0)*BN381,0)</f>
        <v>0</v>
      </c>
      <c r="BQ381" cm="1">
        <f t="array" ref="BQ381">IFERROR(INDEX(hd_cap,MATCH(BT381,hd_mark,0),0),0)</f>
        <v>0</v>
      </c>
      <c r="BS381" s="19"/>
      <c r="BT381" s="19"/>
      <c r="BU381" s="100"/>
    </row>
    <row r="382" x14ac:dyDescent="0.25">
      <c r="P382" s="93"/>
      <c r="AR382" s="100"/>
      <c r="AS382" s="93"/>
      <c r="BU382" s="100"/>
    </row>
    <row r="383" x14ac:dyDescent="0.25">
      <c r="P383" s="93"/>
      <c r="Q383" s="110" t="str">
        <f>$Q$299</f>
        <v>A.14</v>
      </c>
      <c r="R383" t="str">
        <f>$Q$277</f>
        <v>L2</v>
      </c>
      <c r="S383">
        <f>$E$21</f>
        <v>10.6875</v>
      </c>
      <c r="T383" cm="1">
        <f t="array" ref="T383">IFERROR(IF(S383=0,0,(INDEX($C$33:$C$38,MATCH($W$299,$B$33:$B$38,0),0)*(S387+$X$299)+$T$299*COUNTIF(S383:S399,"&gt;0")*$C$32+$V$299*$C$31)*$R$299),0)</f>
        <v>0</v>
      </c>
      <c r="U383">
        <f>IF(S383=0,0,-(COUNTIF(S383:S399,"&gt;0")*$T$299*$C$32+$V$299*$C$31)*$H$27*$R$299)</f>
        <v>0</v>
      </c>
      <c r="V383">
        <f>IF(S383=0,0,$V$299*$H$26*$R$299)</f>
        <v>0</v>
      </c>
      <c r="W383">
        <f>(0.6*T383+0.7*U383)*$R$299/2</f>
        <v>0</v>
      </c>
      <c r="X383">
        <f>(0.6*T383+0.6*V383)*$R$299/2</f>
        <v>0</v>
      </c>
      <c r="Z383">
        <f>IF(S383=0,0,$AD$299*$AP$277)</f>
        <v>0</v>
      </c>
      <c r="AA383">
        <f>IFERROR(Z383/$R$299,0)</f>
        <v>0</v>
      </c>
      <c r="AB383">
        <f>Z383*($F$21+IF($F$21=0,0,($C$14+$C$15+IF($C$13="single",1.5,3)+3)/12))</f>
        <v>0</v>
      </c>
      <c r="AC383">
        <f>AB383-W383</f>
        <v>0</v>
      </c>
      <c r="AD383" cm="1">
        <f t="array" ref="AD383">IFERROR(IF(AC383&lt;0,0,AC383/($R$299-INDEX(hd_off,MATCH(AQ383,hd_mark,0),0)/12)),0)</f>
        <v>0</v>
      </c>
      <c r="AE383">
        <f>IF(S383=0,0,$AD$299*$AM$277)</f>
        <v>0</v>
      </c>
      <c r="AF383">
        <f>IFERROR(AE383/$R$299,0)</f>
        <v>0</v>
      </c>
      <c r="AG383">
        <f>AE383*($F$21+IF($F$21=0,0,($C$14+$C$15+IF($C$13="single",1.5,3)+3)/12))</f>
        <v>0</v>
      </c>
      <c r="AH383">
        <f>AG383-X383</f>
        <v>0</v>
      </c>
      <c r="AI383" cm="1">
        <f t="array" ref="AI383">IFERROR(IF(AH383&lt;0,0,AH383/($R$299-INDEX(hd_off,MATCH(AQ383,hd_mark,0),0)/12)),0)</f>
        <v>0</v>
      </c>
      <c r="AJ383">
        <f>MAX($F$21,$Y$299)/$Q$308</f>
        <v>0.30172413793103448</v>
      </c>
      <c r="AK383">
        <f>IF(AJ383=0,0,IF(AJ383&gt;2,1.25-0.125*AJ383,1))</f>
        <v>1</v>
      </c>
      <c r="AL383" cm="1">
        <f t="array" ref="AL383">IFERROR(INDEX(sheath_ecap_asd,MATCH(AP383,sheath_mark,0),0)*AK383,0)</f>
        <v>0</v>
      </c>
      <c r="AM383" cm="1">
        <f t="array" ref="AM383">IFERROR(INDEX(sheath_wcap_asd,MATCH(AP383,sheath_mark,0),0)*AK383,0)</f>
        <v>0</v>
      </c>
      <c r="AN383" cm="1">
        <f t="array" ref="AN383">IFERROR(INDEX(hd_cap,MATCH(AQ383,hd_mark,0),0),0)</f>
        <v>0</v>
      </c>
      <c r="AP383" s="19"/>
      <c r="AQ383" s="19"/>
      <c r="AR383" s="100"/>
      <c r="AS383" s="93"/>
      <c r="AT383" s="110" t="str">
        <f>$AT$299</f>
        <v>1.14</v>
      </c>
      <c r="AU383" t="str">
        <f>$Q$277</f>
        <v>L2</v>
      </c>
      <c r="AV383">
        <f>$E$21</f>
        <v>10.6875</v>
      </c>
      <c r="AW383" cm="1">
        <f t="array" ref="AW383">IFERROR(IF(AV383=0,0,(INDEX($C$33:$C$38,MATCH($AZ$299,$B$33:$B$38,0),0)*(AV387+$BA$299)+$AW$299*COUNTIF(AV383:AV399,"&gt;0")*$C$32+$AY$299*$C$31)*$AU$299),0)</f>
        <v>0</v>
      </c>
      <c r="AX383">
        <f>IF(AV383=0,0,-(COUNTIF(AV383:AV399,"&gt;0")*$AW$299*$C$32+$AY$299*$C$31)*$H$27*$AU$299)</f>
        <v>0</v>
      </c>
      <c r="AY383">
        <f>IF(AV383=0,0,$AY$299*$H$26*$AU$299)</f>
        <v>0</v>
      </c>
      <c r="AZ383">
        <f>(0.6*AW383+0.7*AX383)*$AU$299/2</f>
        <v>0</v>
      </c>
      <c r="BA383">
        <f>(0.6*AW383+0.6*AY383)*$AU$299/2</f>
        <v>0</v>
      </c>
      <c r="BC383">
        <f>IF(AV383=0,0,$BG$299*$AP$277)</f>
        <v>0</v>
      </c>
      <c r="BD383">
        <f>IFERROR(BC383/$AU$299,0)</f>
        <v>0</v>
      </c>
      <c r="BE383">
        <f>BC383*($F$21+IF($F$21=0,0,($C$14+$C$15+IF($C$13="single",1.5,3)+3)/12))</f>
        <v>0</v>
      </c>
      <c r="BF383">
        <f>BE383-AZ383</f>
        <v>0</v>
      </c>
      <c r="BG383" cm="1">
        <f t="array" ref="BG383">IFERROR(IF(BF383&lt;0,0,BF383/($AU$299-INDEX(hd_off,MATCH(BT383,hd_mark,0),0)/12)),0)</f>
        <v>0</v>
      </c>
      <c r="BH383">
        <f>IF(AV383=0,0,$BG$299*$AM$277)</f>
        <v>0</v>
      </c>
      <c r="BI383">
        <f>IFERROR(BH383/$AU$299,0)</f>
        <v>0</v>
      </c>
      <c r="BJ383">
        <f>BH383*($F$21+IF($F$21=0,0,($C$14+$C$15+IF($C$13="single",1.5,3)+3)/12))</f>
        <v>0</v>
      </c>
      <c r="BK383">
        <f>BJ383-BA383</f>
        <v>0</v>
      </c>
      <c r="BL383" cm="1">
        <f t="array" ref="BL383">IFERROR(IF(BK383&lt;0,0,BK383/($AU$299-INDEX(hd_off,MATCH(BT383,hd_mark,0),0)/12)),0)</f>
        <v>0</v>
      </c>
      <c r="BM383">
        <f>MAX($F$21,$BB$299)/$Q$308</f>
        <v>0.30172413793103448</v>
      </c>
      <c r="BN383">
        <f>IF(BM383=0,0,IF(BM383&gt;2,1.25-0.125*BM383,1))</f>
        <v>1</v>
      </c>
      <c r="BO383" cm="1">
        <f t="array" ref="BO383">IFERROR(INDEX(sheath_ecap_asd,MATCH(BS383,sheath_mark,0),0)*BN383,0)</f>
        <v>0</v>
      </c>
      <c r="BP383" cm="1">
        <f t="array" ref="BP383">IFERROR(INDEX(sheath_wcap_asd,MATCH(BS383,sheath_mark,0),0)*BN383,0)</f>
        <v>0</v>
      </c>
      <c r="BQ383" cm="1">
        <f t="array" ref="BQ383">IFERROR(INDEX(hd_cap,MATCH(BT383,hd_mark,0),0),0)</f>
        <v>0</v>
      </c>
      <c r="BS383" s="19"/>
      <c r="BT383" s="19"/>
      <c r="BU383" s="100"/>
    </row>
    <row r="384" x14ac:dyDescent="0.25">
      <c r="P384" s="93"/>
      <c r="Q384" s="109"/>
      <c r="R384" t="str">
        <f>$Q$278</f>
        <v>L3</v>
      </c>
      <c r="S384">
        <f>$E$22</f>
        <v>21.375</v>
      </c>
      <c r="T384" cm="1">
        <f t="array" ref="T384">IFERROR(IF(S384=0,0,(INDEX($C$33:$C$38,MATCH($W$299,$B$33:$B$38,0),0)*(S387+$X$299)+$T$299*COUNTIF(S384:S399,"&gt;0")*$C$32+$V$299*$C$31)*$R$299),0)</f>
        <v>0</v>
      </c>
      <c r="U384">
        <f>IF(S384=0,0,-(COUNTIF(S384:S399,"&gt;0")*$T$299*$C$32+$V$299*$C$31)*$H$27*$R$299)</f>
        <v>0</v>
      </c>
      <c r="V384">
        <f>IF(S384=0,0,$V$299*$H$26*$R$299)</f>
        <v>0</v>
      </c>
      <c r="W384">
        <f>(0.6*T384+0.7*U384)*$R$299/2</f>
        <v>0</v>
      </c>
      <c r="X384">
        <f>T384*$R$299/2</f>
        <v>0</v>
      </c>
      <c r="Z384">
        <f>IF(S384=0,0,$AD$299*$AP$278)</f>
        <v>0</v>
      </c>
      <c r="AA384">
        <f>IFERROR(Z384/$R$299,0)</f>
        <v>0</v>
      </c>
      <c r="AB384">
        <f>Z384*($F$22+IF($F$22=0,0,($C$14+$C$15+IF($C$13="single",1.5,3)+3)/12))</f>
        <v>0</v>
      </c>
      <c r="AC384">
        <f>AB384-W384</f>
        <v>0</v>
      </c>
      <c r="AD384" cm="1">
        <f t="array" ref="AD384">IFERROR(IF(AC384&lt;0,0,AC384/($R$299-INDEX(hd_off,MATCH(AQ384,hd_mark,0),0)/12)),0)</f>
        <v>0</v>
      </c>
      <c r="AE384">
        <f>IF(S384=0,0,$AD$299*$AM$278)</f>
        <v>0</v>
      </c>
      <c r="AF384">
        <f>IFERROR(AE384/$R$299,0)</f>
        <v>0</v>
      </c>
      <c r="AG384">
        <f>AE384*($F$22+IF($F$22=0,0,($C$14+$C$15+IF($C$13="single",1.5,3)+3)/12))</f>
        <v>0</v>
      </c>
      <c r="AH384">
        <f>AG384-X384</f>
        <v>0</v>
      </c>
      <c r="AI384" cm="1">
        <f t="array" ref="AI384">IFERROR(IF(AH384&lt;0,0,AH384/($R$299-INDEX(hd_off,MATCH(AQ384,hd_mark,0),0)/12)),0)</f>
        <v>0</v>
      </c>
      <c r="AJ384">
        <f>MAX($F$22,$Z$299)/$Q$308</f>
        <v>0.30172413793103448</v>
      </c>
      <c r="AK384">
        <f t="shared" ref="AK384:AK387" si="230">IF(AJ384=0,0,IF(AJ384&gt;2,1.25-0.125*AJ384,1))</f>
        <v>1</v>
      </c>
      <c r="AL384" cm="1">
        <f t="array" ref="AL384">IFERROR(INDEX(sheath_ecap_asd,MATCH(AP384,sheath_mark,0),0)*AK384,0)</f>
        <v>0</v>
      </c>
      <c r="AM384" cm="1">
        <f t="array" ref="AM384">IFERROR(INDEX(sheath_wcap_asd,MATCH(AP384,sheath_mark,0),0)*AK384,0)</f>
        <v>0</v>
      </c>
      <c r="AN384" cm="1">
        <f t="array" ref="AN384">IFERROR(INDEX(hd_cap,MATCH(AQ384,hd_mark,0),0),0)</f>
        <v>0</v>
      </c>
      <c r="AP384" s="19"/>
      <c r="AQ384" s="19"/>
      <c r="AR384" s="100"/>
      <c r="AS384" s="93"/>
      <c r="AT384" s="109"/>
      <c r="AU384" t="str">
        <f>$Q$278</f>
        <v>L3</v>
      </c>
      <c r="AV384">
        <f>$E$22</f>
        <v>21.375</v>
      </c>
      <c r="AW384" cm="1">
        <f t="array" ref="AW384">IFERROR(IF(AV384=0,0,(INDEX($C$33:$C$38,MATCH($AZ$299,$B$33:$B$38,0),0)*(AV387+$BA$299)+$AW$299*COUNTIF(AV384:AV399,"&gt;0")*$C$32+$AY$299*$C$31)*$AU$299),0)</f>
        <v>0</v>
      </c>
      <c r="AX384">
        <f>IF(AV384=0,0,-(COUNTIF(AV384:AV399,"&gt;0")*$AW$299*$C$32+$AY$299*$C$31)*$H$27*$AU$299)</f>
        <v>0</v>
      </c>
      <c r="AY384">
        <f>IF(AV384=0,0,$AY$299*$H$26*$AU$299)</f>
        <v>0</v>
      </c>
      <c r="AZ384">
        <f>(0.6*AW384+0.7*AX384)*$AU$299/2</f>
        <v>0</v>
      </c>
      <c r="BA384">
        <f>AW384*$AU$299/2</f>
        <v>0</v>
      </c>
      <c r="BC384">
        <f>IF(AV384=0,0,$BG$299*$AP$278)</f>
        <v>0</v>
      </c>
      <c r="BD384">
        <f>IFERROR(BC384/$AU$299,0)</f>
        <v>0</v>
      </c>
      <c r="BE384">
        <f>BC384*($F$22+IF($F$22=0,0,($C$14+$C$15+IF($C$13="single",1.5,3)+3)/12))</f>
        <v>0</v>
      </c>
      <c r="BF384">
        <f>BE384-AZ384</f>
        <v>0</v>
      </c>
      <c r="BG384" cm="1">
        <f t="array" ref="BG384">IFERROR(IF(BF384&lt;0,0,BF384/($AU$299-INDEX(hd_off,MATCH(BT384,hd_mark,0),0)/12)),0)</f>
        <v>0</v>
      </c>
      <c r="BH384">
        <f>IF(AV384=0,0,$BG$299*$AM$278)</f>
        <v>0</v>
      </c>
      <c r="BI384">
        <f>IFERROR(BH384/$AU$299,0)</f>
        <v>0</v>
      </c>
      <c r="BJ384">
        <f>BH384*($F$22+IF($F$22=0,0,($C$14+$C$15+IF($C$13="single",1.5,3)+3)/12))</f>
        <v>0</v>
      </c>
      <c r="BK384">
        <f>BJ384-BA384</f>
        <v>0</v>
      </c>
      <c r="BL384" cm="1">
        <f t="array" ref="BL384">IFERROR(IF(BK384&lt;0,0,BK384/($AU$299-INDEX(hd_off,MATCH(BT384,hd_mark,0),0)/12)),0)</f>
        <v>0</v>
      </c>
      <c r="BM384">
        <f>MAX($F$22,$BC$299)/$Q$308</f>
        <v>0.30172413793103448</v>
      </c>
      <c r="BN384">
        <f t="shared" ref="BN384:BN385" si="231">IF(BM384=0,0,IF(BM384&gt;2,1.25-0.125*BM384,1))</f>
        <v>1</v>
      </c>
      <c r="BO384" cm="1">
        <f t="array" ref="BO384">IFERROR(INDEX(sheath_ecap_asd,MATCH(BS384,sheath_mark,0),0)*BN384,0)</f>
        <v>0</v>
      </c>
      <c r="BP384" cm="1">
        <f t="array" ref="BP384">IFERROR(INDEX(sheath_wcap_asd,MATCH(BS384,sheath_mark,0),0)*BN384,0)</f>
        <v>0</v>
      </c>
      <c r="BQ384" cm="1">
        <f t="array" ref="BQ384">IFERROR(INDEX(hd_cap,MATCH(BT384,hd_mark,0),0),0)</f>
        <v>0</v>
      </c>
      <c r="BS384" s="19"/>
      <c r="BT384" s="19"/>
      <c r="BU384" s="100"/>
    </row>
    <row r="385" x14ac:dyDescent="0.25">
      <c r="P385" s="93"/>
      <c r="Q385" s="109" t="s">
        <v>491</v>
      </c>
      <c r="R385" t="str">
        <f>$Q$279</f>
        <v>L4</v>
      </c>
      <c r="S385">
        <f>$E$23</f>
        <v>0</v>
      </c>
      <c r="T385" cm="1">
        <f t="array" ref="T385">IFERROR(IF(S385=0,0,(INDEX($C$33:$C$38,MATCH($W$299,$B$33:$B$38,0),0)*(S387+$X$299)+$T$299*COUNTIF(S385:S399,"&gt;0")*$C$32+$V$299*$C$31)*$R$299),0)</f>
        <v>0</v>
      </c>
      <c r="U385">
        <f>IF(S385=0,0,-(COUNTIF(S385:S399,"&gt;0")*$T$299*$C$32+$V$299*$C$31)*$H$27*$R$299)</f>
        <v>0</v>
      </c>
      <c r="V385">
        <f>IF(S385=0,0,$V$299*$H$26*$R$299)</f>
        <v>0</v>
      </c>
      <c r="W385">
        <f>(0.6*T385+0.7*U385)*$R$299/2</f>
        <v>0</v>
      </c>
      <c r="X385">
        <f>T385*$R$299/2</f>
        <v>0</v>
      </c>
      <c r="Z385">
        <f>IF(S385=0,0,$AD$299*$AP$279)</f>
        <v>0</v>
      </c>
      <c r="AA385">
        <f>IFERROR(Z385/$R$299,0)</f>
        <v>0</v>
      </c>
      <c r="AB385">
        <f>Z385*($F$23+IF($F$23=0,0,($C$14+$C$15+IF($C$13="single",1.5,3)+3)/12))</f>
        <v>0</v>
      </c>
      <c r="AC385">
        <f>AB385-W385</f>
        <v>0</v>
      </c>
      <c r="AD385" cm="1">
        <f t="array" ref="AD385">IFERROR(IF(AC385&lt;0,0,AC385/($R$299-INDEX(hd_off,MATCH(AQ385,hd_mark,0),0)/12)),0)</f>
        <v>0</v>
      </c>
      <c r="AE385">
        <f>IF(S385=0,0,$AD$299*$AM$279)</f>
        <v>0</v>
      </c>
      <c r="AF385">
        <f>IFERROR(AE385/$R$299,0)</f>
        <v>0</v>
      </c>
      <c r="AG385">
        <f>AE385*($F$23+IF($F$23=0,0,($C$14+$C$15+IF($C$13="single",1.5,3)+3)/12))</f>
        <v>0</v>
      </c>
      <c r="AH385">
        <f>AG385-X385</f>
        <v>0</v>
      </c>
      <c r="AI385" cm="1">
        <f t="array" ref="AI385">IFERROR(IF(AH385&lt;0,0,AH385/($R$299-INDEX(hd_off,MATCH(AQ385,hd_mark,0),0)/12)),0)</f>
        <v>0</v>
      </c>
      <c r="AJ385">
        <f>MAX($F$23,$AA$299)/$Q$308</f>
        <v>0</v>
      </c>
      <c r="AK385">
        <f t="shared" si="230"/>
        <v>0</v>
      </c>
      <c r="AL385" cm="1">
        <f t="array" ref="AL385">IFERROR(INDEX(sheath_ecap_asd,MATCH(AP385,sheath_mark,0),0)*AK385,0)</f>
        <v>0</v>
      </c>
      <c r="AM385" cm="1">
        <f t="array" ref="AM385">IFERROR(INDEX(sheath_wcap_asd,MATCH(AP385,sheath_mark,0),0)*AK385,0)</f>
        <v>0</v>
      </c>
      <c r="AN385" cm="1">
        <f t="array" ref="AN385">IFERROR(INDEX(hd_cap,MATCH(AQ385,hd_mark,0),0),0)</f>
        <v>0</v>
      </c>
      <c r="AP385" s="19"/>
      <c r="AQ385" s="19"/>
      <c r="AR385" s="100"/>
      <c r="AS385" s="93"/>
      <c r="AT385" s="109" t="s">
        <v>491</v>
      </c>
      <c r="AU385" t="str">
        <f>$Q$279</f>
        <v>L4</v>
      </c>
      <c r="AV385">
        <f>$E$23</f>
        <v>0</v>
      </c>
      <c r="AW385" cm="1">
        <f t="array" ref="AW385">IFERROR(IF(AV385=0,0,(INDEX($C$33:$C$38,MATCH($AZ$299,$B$33:$B$38,0),0)*(AV387+$BA$299)+$AW$299*COUNTIF(AV385:AV399,"&gt;0")*$C$32+$AY$299*$C$31)*$AU$299),0)</f>
        <v>0</v>
      </c>
      <c r="AX385">
        <f>IF(AV385=0,0,-(COUNTIF(AV385:AV399,"&gt;0")*$AW$299*$C$32+$AY$299*$C$31)*$H$27*$AU$299)</f>
        <v>0</v>
      </c>
      <c r="AY385">
        <f>IF(AV385=0,0,$AY$299*$H$26*$AU$299)</f>
        <v>0</v>
      </c>
      <c r="AZ385">
        <f>(0.6*AW385+0.7*AX385)*$AU$299/2</f>
        <v>0</v>
      </c>
      <c r="BA385">
        <f>AW385*$AU$299/2</f>
        <v>0</v>
      </c>
      <c r="BC385">
        <f>IF(AV385=0,0,$BG$299*$AP$279)</f>
        <v>0</v>
      </c>
      <c r="BD385">
        <f>IFERROR(BC385/$AU$299,0)</f>
        <v>0</v>
      </c>
      <c r="BE385">
        <f>BC385*($F$23+IF($F$23=0,0,($C$14+$C$15+IF($C$13="single",1.5,3)+3)/12))</f>
        <v>0</v>
      </c>
      <c r="BF385">
        <f>BE385-AZ385</f>
        <v>0</v>
      </c>
      <c r="BG385" cm="1">
        <f t="array" ref="BG385">IFERROR(IF(BF385&lt;0,0,BF385/($AU$299-INDEX(hd_off,MATCH(BT385,hd_mark,0),0)/12)),0)</f>
        <v>0</v>
      </c>
      <c r="BH385">
        <f>IF(AV385=0,0,$BG$299*$AM$279)</f>
        <v>0</v>
      </c>
      <c r="BI385">
        <f>IFERROR(BH385/$AU$299,0)</f>
        <v>0</v>
      </c>
      <c r="BJ385">
        <f>BH385*($F$23+IF($F$23=0,0,($C$14+$C$15+IF($C$13="single",1.5,3)+3)/12))</f>
        <v>0</v>
      </c>
      <c r="BK385">
        <f>BJ385-BA385</f>
        <v>0</v>
      </c>
      <c r="BL385" cm="1">
        <f t="array" ref="BL385">IFERROR(IF(BK385&lt;0,0,BK385/($AU$299-INDEX(hd_off,MATCH(BT385,hd_mark,0),0)/12)),0)</f>
        <v>0</v>
      </c>
      <c r="BM385">
        <f>MAX($F$23,$BD$299)/$Q$308</f>
        <v>0</v>
      </c>
      <c r="BN385">
        <f t="shared" si="231"/>
        <v>0</v>
      </c>
      <c r="BO385" cm="1">
        <f t="array" ref="BO385">IFERROR(INDEX(sheath_ecap_asd,MATCH(BS385,sheath_mark,0),0)*BN385,0)</f>
        <v>0</v>
      </c>
      <c r="BP385" cm="1">
        <f t="array" ref="BP385">IFERROR(INDEX(sheath_wcap_asd,MATCH(BS385,sheath_mark,0),0)*BN385,0)</f>
        <v>0</v>
      </c>
      <c r="BQ385" cm="1">
        <f t="array" ref="BQ385">IFERROR(INDEX(hd_cap,MATCH(BT385,hd_mark,0),0),0)</f>
        <v>0</v>
      </c>
      <c r="BS385" s="19"/>
      <c r="BT385" s="19"/>
      <c r="BU385" s="100"/>
    </row>
    <row r="386" x14ac:dyDescent="0.25">
      <c r="P386" s="93"/>
      <c r="Q386" s="111">
        <f>$R$299</f>
        <v>0</v>
      </c>
      <c r="R386" t="str">
        <f>$Q$280</f>
        <v>L5</v>
      </c>
      <c r="S386">
        <f>$E$24</f>
        <v>0</v>
      </c>
      <c r="T386" cm="1">
        <f t="array" ref="T386">IFERROR(IF(S399=0,0,(INDEX($C$33:$C$38,MATCH($W$299,$B$33:$B$38,0),0)*(S387+$X$299)+$T$299*COUNTIF(S399:S399,"&gt;0")*$C$32+$V$299*$C$31)*$R$299),0)</f>
        <v>0</v>
      </c>
      <c r="U386">
        <f>IF(S399=0,0,-(COUNTIF(S399:S399,"&gt;0")*$T$299*$C$32+$V$299*$C$31)*$H$27*$R$299)</f>
        <v>0</v>
      </c>
      <c r="V386">
        <f>IF(S399=0,0,$V$299*$H$26*$R$299)</f>
        <v>0</v>
      </c>
      <c r="W386">
        <f>(0.6*T399+0.7*U399)*$R$299/2</f>
        <v>0</v>
      </c>
      <c r="X386">
        <f>T399*$R$299/2</f>
        <v>0</v>
      </c>
      <c r="Z386">
        <f>IF(S399=0,0,$AD$299*$AP$280)</f>
        <v>0</v>
      </c>
      <c r="AA386">
        <f>IFERROR(Z399/$R$299,0)</f>
        <v>0</v>
      </c>
      <c r="AB386">
        <f>Z399*($F$24+IF($F$24=0,0,($C$14+$C$15+IF($C$13="single",1.5,3)+3)/12))</f>
        <v>0</v>
      </c>
      <c r="AC386">
        <f>AB399-W399</f>
        <v>0</v>
      </c>
      <c r="AD386" cm="1">
        <f t="array" ref="AD386">IFERROR(IF(AC399&lt;0,0,AC399/($R$299-INDEX(hd_off,MATCH(AQ399,hd_mark,0),0)/12)),0)</f>
        <v>0</v>
      </c>
      <c r="AE386">
        <f>IF(S399=0,0,$AD$299*$AM$280)</f>
        <v>0</v>
      </c>
      <c r="AF386">
        <f>IFERROR(AE399/$R$299,0)</f>
        <v>0</v>
      </c>
      <c r="AG386">
        <f>AE399*($F$24+IF($F$24=0,0,($C$14+$C$15+IF($C$13="single",1.5,3)+3)/12))</f>
        <v>0</v>
      </c>
      <c r="AH386">
        <f>AG399-X399</f>
        <v>0</v>
      </c>
      <c r="AI386" cm="1">
        <f t="array" ref="AI386">IFERROR(IF(AH399&lt;0,0,AH399/($R$299-INDEX(hd_off,MATCH(AQ399,hd_mark,0),0)/12)),0)</f>
        <v>0</v>
      </c>
      <c r="AJ386">
        <f>MAX($F$24,$AB$299)/$Q$308</f>
        <v>0</v>
      </c>
      <c r="AK386">
        <f>IF(AJ399=0,0,IF(AJ399&gt;2,1.25-0.125*AJ399,1))</f>
        <v>1</v>
      </c>
      <c r="AL386" cm="1">
        <f t="array" ref="AL386">IFERROR(INDEX(sheath_ecap_asd,MATCH(AP399,sheath_mark,0),0)*AK399,0)</f>
        <v>0</v>
      </c>
      <c r="AM386" cm="1">
        <f t="array" ref="AM386">IFERROR(INDEX(sheath_wcap_asd,MATCH(AP399,sheath_mark,0),0)*AK399,0)</f>
        <v>0</v>
      </c>
      <c r="AN386" cm="1">
        <f t="array" ref="AN386">IFERROR(INDEX(hd_cap,MATCH(AQ399,hd_mark,0),0),0)</f>
        <v>0</v>
      </c>
      <c r="AP386" s="19"/>
      <c r="AQ386" s="19"/>
      <c r="AR386" s="100"/>
      <c r="AS386" s="93"/>
      <c r="AT386" s="111">
        <f>$R$299</f>
        <v>0</v>
      </c>
      <c r="AU386" t="str">
        <f>$Q$280</f>
        <v>L5</v>
      </c>
      <c r="AV386">
        <f>$E$24</f>
        <v>0</v>
      </c>
      <c r="AW386" cm="1">
        <f t="array" ref="AW386">IFERROR(IF(AV399=0,0,(INDEX($C$33:$C$38,MATCH($AZ$299,$B$33:$B$38,0),0)*(AV387+$BA$299)+$AW$299*COUNTIF(AV399:AV399,"&gt;0")*$C$32+$AY$299*$C$31)*$AU$299),0)</f>
        <v>0</v>
      </c>
      <c r="AX386">
        <f>IF(AV399=0,0,-(COUNTIF(AV399:AV399,"&gt;0")*$AW$299*$C$32+$AY$299*$C$31)*$H$27*$AU$299)</f>
        <v>0</v>
      </c>
      <c r="AY386">
        <f>IF(AV399=0,0,$AY$299*$H$26*$AU$299)</f>
        <v>0</v>
      </c>
      <c r="AZ386">
        <f>(0.6*AW399+0.7*AX399)*$AU$299/2</f>
        <v>0</v>
      </c>
      <c r="BA386">
        <f>AW399*$AU$299/2</f>
        <v>0</v>
      </c>
      <c r="BC386">
        <f>IF(AV399=0,0,$BG$299*$AP$280)</f>
        <v>0</v>
      </c>
      <c r="BD386">
        <f>IFERROR(BC399/$AU$299,0)</f>
        <v>0</v>
      </c>
      <c r="BE386">
        <f>BC399*($F$24+IF($F$24=0,0,($C$14+$C$15+IF($C$13="single",1.5,3)+3)/12))</f>
        <v>0</v>
      </c>
      <c r="BF386">
        <f>BE399-AZ399</f>
        <v>0</v>
      </c>
      <c r="BG386" cm="1">
        <f t="array" ref="BG386">IFERROR(IF(BF399&lt;0,0,BF399/($AU$299-INDEX(hd_off,MATCH(BT399,hd_mark,0),0)/12)),0)</f>
        <v>0</v>
      </c>
      <c r="BH386">
        <f>IF(AV399=0,0,$BG$299*$AM$280)</f>
        <v>0</v>
      </c>
      <c r="BI386">
        <f>IFERROR(BH399/$AU$299,0)</f>
        <v>0</v>
      </c>
      <c r="BJ386">
        <f>BH399*($F$24+IF($F$24=0,0,($C$14+$C$15+IF($C$13="single",1.5,3)+3)/12))</f>
        <v>0</v>
      </c>
      <c r="BK386">
        <f>BJ399-BA399</f>
        <v>0</v>
      </c>
      <c r="BL386" cm="1">
        <f t="array" ref="BL386">IFERROR(IF(BK399&lt;0,0,BK399/($AU$299-INDEX(hd_off,MATCH(BT399,hd_mark,0),0)/12)),0)</f>
        <v>0</v>
      </c>
      <c r="BM386">
        <f>MAX($F$24,$BE$299)/$Q$308</f>
        <v>0</v>
      </c>
      <c r="BN386">
        <f>IF(BM399=0,0,IF(BM399&gt;2,1.25-0.125*BM399,1))</f>
        <v>0</v>
      </c>
      <c r="BO386" cm="1">
        <f t="array" ref="BO386">IFERROR(INDEX(sheath_ecap_asd,MATCH(BS399,sheath_mark,0),0)*BN399,0)</f>
        <v>0</v>
      </c>
      <c r="BP386" cm="1">
        <f t="array" ref="BP386">IFERROR(INDEX(sheath_wcap_asd,MATCH(BS399,sheath_mark,0),0)*BN399,0)</f>
        <v>0</v>
      </c>
      <c r="BQ386" cm="1">
        <f t="array" ref="BQ386">IFERROR(INDEX(hd_cap,MATCH(BT399,hd_mark,0),0),0)</f>
        <v>0</v>
      </c>
      <c r="BS386" s="19"/>
      <c r="BT386" s="19"/>
      <c r="BU386" s="100"/>
    </row>
    <row r="387" x14ac:dyDescent="0.25">
      <c r="P387" s="93"/>
      <c r="Q387" s="109"/>
      <c r="R387" t="str">
        <f>$Q$281</f>
        <v>Roof</v>
      </c>
      <c r="S387">
        <f>$E$25</f>
        <v>33.171875</v>
      </c>
      <c r="T387" cm="1">
        <f t="array" ref="T387">IFERROR(IF(S387=0,0,(INDEX($C$33:$C$38,MATCH($W$299,$B$33:$B$38,0),0)*(S387+$X$299)+$V$299*$C$31)*$R$299),0)</f>
        <v>0</v>
      </c>
      <c r="U387">
        <f>IF(S387=0,0,-$V$299*$C$31*$H$27*$R$299)</f>
        <v>0</v>
      </c>
      <c r="V387">
        <f>IF(S387=0,0,$V$299*$H$26*$R$299)</f>
        <v>0</v>
      </c>
      <c r="W387">
        <f>(0.6*T387+0.7*U387)*$R$299/2</f>
        <v>0</v>
      </c>
      <c r="X387">
        <f>T387*$R$299/2</f>
        <v>0</v>
      </c>
      <c r="Z387">
        <f>IF(S387=0,0,$AD$299*$AP$281)</f>
        <v>0</v>
      </c>
      <c r="AA387">
        <f>IFERROR(Z387/$R$299,0)</f>
        <v>0</v>
      </c>
      <c r="AB387">
        <f>Z387*($F$25+($C$16+$C$17+IF($C$13="single",1.5,3)+3)/12)</f>
        <v>0</v>
      </c>
      <c r="AC387">
        <f>AB387-W387</f>
        <v>0</v>
      </c>
      <c r="AD387" cm="1">
        <f t="array" ref="AD387">IFERROR(IF(AC387&lt;0,0,AC387/($R$299-INDEX(hd_off,MATCH(AQ387,hd_mark,0),0)/12)),0)</f>
        <v>0</v>
      </c>
      <c r="AE387">
        <f>IF(S387=0,0,$AD$299*$AM$281)</f>
        <v>0</v>
      </c>
      <c r="AF387">
        <f>IFERROR(AE387/$R$299,0)</f>
        <v>0</v>
      </c>
      <c r="AG387">
        <f>AE387*($F$25+($C$16+$C$17+IF($C$13="single",1.5,3)+3)/12)</f>
        <v>0</v>
      </c>
      <c r="AH387">
        <f>AG387-X387</f>
        <v>0</v>
      </c>
      <c r="AI387" cm="1">
        <f t="array" ref="AI387">IFERROR(IF(AH387&lt;0,0,AH387/($R$299-INDEX(hd_off,MATCH(AQ387,hd_mark,0),0)/12)),0)</f>
        <v>0</v>
      </c>
      <c r="AJ387">
        <f>MAX($F$25,$AC$299)/$Q$308</f>
        <v>0.29920977011494249</v>
      </c>
      <c r="AK387">
        <f t="shared" si="230"/>
        <v>1</v>
      </c>
      <c r="AL387" cm="1">
        <f t="array" ref="AL387">IFERROR(INDEX(sheath_ecap_asd,MATCH(AP387,sheath_mark,0),0)*AK387,0)</f>
        <v>0</v>
      </c>
      <c r="AM387" cm="1">
        <f t="array" ref="AM387">IFERROR(INDEX(sheath_wcap_asd,MATCH(AP387,sheath_mark,0),0)*AK387,0)</f>
        <v>0</v>
      </c>
      <c r="AN387" cm="1">
        <f t="array" ref="AN387">IFERROR(INDEX(hd_cap,MATCH(AQ387,hd_mark,0),0),0)</f>
        <v>0</v>
      </c>
      <c r="AP387" s="19"/>
      <c r="AQ387" s="19"/>
      <c r="AR387" s="100"/>
      <c r="AS387" s="93"/>
      <c r="AT387" s="109"/>
      <c r="AU387" t="str">
        <f>$Q$281</f>
        <v>Roof</v>
      </c>
      <c r="AV387">
        <f>$E$25</f>
        <v>33.171875</v>
      </c>
      <c r="AW387" cm="1">
        <f t="array" ref="AW387">IFERROR(IF(AV387=0,0,(INDEX($C$33:$C$38,MATCH($AZ$299,$B$33:$B$38,0),0)*(AV387+$BA$299)+$AY$299*$C$31)*$AU$299),0)</f>
        <v>0</v>
      </c>
      <c r="AX387">
        <f>IF(AV387=0,0,-$AY$299*$C$31*$H$27*$AU$299)</f>
        <v>0</v>
      </c>
      <c r="AY387">
        <f>IF(AV387=0,0,$AY$299*$H$26*$AU$299)</f>
        <v>0</v>
      </c>
      <c r="AZ387">
        <f>(0.6*AW387+0.7*AX387)*$AU$299/2</f>
        <v>0</v>
      </c>
      <c r="BA387">
        <f>AW387*$AU$299/2</f>
        <v>0</v>
      </c>
      <c r="BC387">
        <f>IF(AV387=0,0,$BG$299*$AP$281)</f>
        <v>0</v>
      </c>
      <c r="BD387">
        <f>IFERROR(BC387/$AU$299,0)</f>
        <v>0</v>
      </c>
      <c r="BE387">
        <f>BC387*($F$25+($C$16+$C$17+IF($C$13="single",1.5,3)+3)/12)</f>
        <v>0</v>
      </c>
      <c r="BF387">
        <f>BE387-AZ387</f>
        <v>0</v>
      </c>
      <c r="BG387" cm="1">
        <f t="array" ref="BG387">IFERROR(IF(BF387&lt;0,0,BF387/($AU$299-INDEX(hd_off,MATCH(BT387,hd_mark,0),0)/12)),0)</f>
        <v>0</v>
      </c>
      <c r="BH387">
        <f>IF(AV387=0,0,$BG$299*$AM$281)</f>
        <v>0</v>
      </c>
      <c r="BI387">
        <f>IFERROR(BH387/$AU$299,0)</f>
        <v>0</v>
      </c>
      <c r="BJ387">
        <f>BH387*($F$25+($C$16+$C$17+IF($C$13="single",1.5,3)+3)/12)</f>
        <v>0</v>
      </c>
      <c r="BK387">
        <f>BJ387-BA387</f>
        <v>0</v>
      </c>
      <c r="BL387" cm="1">
        <f t="array" ref="BL387">IFERROR(IF(BK387&lt;0,0,BK387/($AU$299-INDEX(hd_off,MATCH(BT387,hd_mark,0),0)/12)),0)</f>
        <v>0</v>
      </c>
      <c r="BM387">
        <f>MAX($F$25,$BF$299)/$Q$308</f>
        <v>0.29920977011494249</v>
      </c>
      <c r="BN387">
        <f t="shared" ref="BN387" si="232">IF(BM387=0,0,IF(BM387&gt;2,1.25-0.125*BM387,1))</f>
        <v>1</v>
      </c>
      <c r="BO387" cm="1">
        <f t="array" ref="BO387">IFERROR(INDEX(sheath_ecap_asd,MATCH(BS387,sheath_mark,0),0)*BN387,0)</f>
        <v>0</v>
      </c>
      <c r="BP387" cm="1">
        <f t="array" ref="BP387">IFERROR(INDEX(sheath_wcap_asd,MATCH(BS387,sheath_mark,0),0)*BN387,0)</f>
        <v>0</v>
      </c>
      <c r="BQ387" cm="1">
        <f t="array" ref="BQ387">IFERROR(INDEX(hd_cap,MATCH(BT387,hd_mark,0),0),0)</f>
        <v>0</v>
      </c>
      <c r="BS387" s="19"/>
      <c r="BT387" s="19"/>
      <c r="BU387" s="100"/>
    </row>
    <row r="388" x14ac:dyDescent="0.25">
      <c r="P388" s="93"/>
      <c r="AR388" s="100"/>
      <c r="AS388" s="93"/>
      <c r="BU388" s="100"/>
    </row>
    <row r="389" x14ac:dyDescent="0.25">
      <c r="P389" s="93"/>
      <c r="Q389" s="110" t="str">
        <f>$Q$300</f>
        <v>A.15</v>
      </c>
      <c r="R389" t="str">
        <f>$Q$277</f>
        <v>L2</v>
      </c>
      <c r="S389">
        <f>$E$21</f>
        <v>10.6875</v>
      </c>
      <c r="T389" cm="1">
        <f t="array" ref="T389">IFERROR(IF(S389=0,0,(INDEX($C$33:$C$38,MATCH($W$300,$B$33:$B$38,0),0)*(S393+$X$300)+$T$300*COUNTIF(S389:S392,"&gt;0")*$C$32+$V$300*$C$31)*$R$300),0)</f>
        <v>0</v>
      </c>
      <c r="U389">
        <f>IF(S389=0,0,-(COUNTIF(S389:S392,"&gt;0")*$T$300*$C$32+$V$300*$C$31)*$H$27*$R$300)</f>
        <v>0</v>
      </c>
      <c r="V389">
        <f>IF(S389=0,0,$V$300*$H$26*$R$300)</f>
        <v>0</v>
      </c>
      <c r="W389">
        <f>(0.6*T389+0.7*U389)*$R$300/2</f>
        <v>0</v>
      </c>
      <c r="X389">
        <f>(0.6*T389+0.6*V389)*$R$300/2</f>
        <v>0</v>
      </c>
      <c r="Z389">
        <f>IF(S389=0,0,$AD$300*$AP$277)</f>
        <v>0</v>
      </c>
      <c r="AA389">
        <f>IFERROR(Z389/$R$300,0)</f>
        <v>0</v>
      </c>
      <c r="AB389">
        <f>Z389*($F$21+IF($F$21=0,0,($C$14+$C$15+IF($C$13="single",1.5,3)+3)/12))</f>
        <v>0</v>
      </c>
      <c r="AC389">
        <f>AB389-W389</f>
        <v>0</v>
      </c>
      <c r="AD389" cm="1">
        <f t="array" ref="AD389">IFERROR(IF(AC389&lt;0,0,AC389/($R$300-INDEX(hd_off,MATCH(AQ389,hd_mark,0),0)/12)),0)</f>
        <v>0</v>
      </c>
      <c r="AE389">
        <f>IF(S389=0,0,$AD$300*$AM$277)</f>
        <v>0</v>
      </c>
      <c r="AF389">
        <f>IFERROR(AE389/$R$300,0)</f>
        <v>0</v>
      </c>
      <c r="AG389">
        <f>AE389*($F$21+IF($F$21=0,0,($C$14+$C$15+IF($C$13="single",1.5,3)+3)/12))</f>
        <v>0</v>
      </c>
      <c r="AH389">
        <f>AG389-X389</f>
        <v>0</v>
      </c>
      <c r="AI389" cm="1">
        <f t="array" ref="AI389">IFERROR(IF(AH389&lt;0,0,AH389/($R$300-INDEX(hd_off,MATCH(AQ389,hd_mark,0),0)/12)),0)</f>
        <v>0</v>
      </c>
      <c r="AJ389">
        <f>MAX($F$21,$Y$300)/$Q$308</f>
        <v>0.30172413793103448</v>
      </c>
      <c r="AK389">
        <f>IF(AJ389=0,0,IF(AJ389&gt;2,1.25-0.125*AJ389,1))</f>
        <v>1</v>
      </c>
      <c r="AL389" cm="1">
        <f t="array" ref="AL389">IFERROR(INDEX(sheath_ecap_asd,MATCH(AP389,sheath_mark,0),0)*AK389,0)</f>
        <v>0</v>
      </c>
      <c r="AM389" cm="1">
        <f t="array" ref="AM389">IFERROR(INDEX(sheath_wcap_asd,MATCH(AP389,sheath_mark,0),0)*AK389,0)</f>
        <v>0</v>
      </c>
      <c r="AN389" cm="1">
        <f t="array" ref="AN389">IFERROR(INDEX(hd_cap,MATCH(AQ389,hd_mark,0),0),0)</f>
        <v>0</v>
      </c>
      <c r="AP389" s="19"/>
      <c r="AQ389" s="19"/>
      <c r="AR389" s="100"/>
      <c r="AS389" s="93"/>
      <c r="AT389" s="110" t="str">
        <f>$AT$300</f>
        <v>1.15</v>
      </c>
      <c r="AU389" t="str">
        <f>$Q$277</f>
        <v>L2</v>
      </c>
      <c r="AV389">
        <f>$E$21</f>
        <v>10.6875</v>
      </c>
      <c r="AW389" cm="1">
        <f t="array" ref="AW389">IFERROR(IF(AV389=0,0,(INDEX($C$33:$C$38,MATCH($AZ$300,$B$33:$B$38,0),0)*(AV393+$BA$300)+$AW$300*COUNTIF(AV389:AV392,"&gt;0")*$C$32+$AY$300*$C$31)*$AU$300),0)</f>
        <v>0</v>
      </c>
      <c r="AX389">
        <f>IF(AV389=0,0,-(COUNTIF(AV389:AV392,"&gt;0")*$AW$300*$C$32+$AY$300*$C$31)*$H$27*$AU$300)</f>
        <v>0</v>
      </c>
      <c r="AY389">
        <f>IF(AV389=0,0,$AY$300*$H$26*$AU$300)</f>
        <v>0</v>
      </c>
      <c r="AZ389">
        <f>(0.6*AW389+0.7*AX389)*$AU$300/2</f>
        <v>0</v>
      </c>
      <c r="BA389">
        <f>(0.6*AW389+0.6*AY389)*$AU$300/2</f>
        <v>0</v>
      </c>
      <c r="BC389">
        <f>IF(AV389=0,0,$BG$300*$AP$277)</f>
        <v>0</v>
      </c>
      <c r="BD389">
        <f>IFERROR(BC389/$AU$300,0)</f>
        <v>0</v>
      </c>
      <c r="BE389">
        <f>BC389*($F$21+IF($F$21=0,0,($C$14+$C$15+IF($C$13="single",1.5,3)+3)/12))</f>
        <v>0</v>
      </c>
      <c r="BF389">
        <f>BE389-AZ389</f>
        <v>0</v>
      </c>
      <c r="BG389" cm="1">
        <f t="array" ref="BG389">IFERROR(IF(BF389&lt;0,0,BF389/($AU$300-INDEX(hd_off,MATCH(BT389,hd_mark,0),0)/12)),0)</f>
        <v>0</v>
      </c>
      <c r="BH389">
        <f>IF(AV389=0,0,$BG$300*$AM$277)</f>
        <v>0</v>
      </c>
      <c r="BI389">
        <f>IFERROR(BH389/$AU$300,0)</f>
        <v>0</v>
      </c>
      <c r="BJ389">
        <f>BH389*($F$21+IF($F$21=0,0,($C$14+$C$15+IF($C$13="single",1.5,3)+3)/12))</f>
        <v>0</v>
      </c>
      <c r="BK389">
        <f>BJ389-BA389</f>
        <v>0</v>
      </c>
      <c r="BL389" cm="1">
        <f t="array" ref="BL389">IFERROR(IF(BK389&lt;0,0,BK389/($AU$300-INDEX(hd_off,MATCH(BT389,hd_mark,0),0)/12)),0)</f>
        <v>0</v>
      </c>
      <c r="BM389">
        <f>MAX($F$21,$BB$300)/$Q$308</f>
        <v>0.30172413793103448</v>
      </c>
      <c r="BN389">
        <f>IF(BM389=0,0,IF(BM389&gt;2,1.25-0.125*BM389,1))</f>
        <v>1</v>
      </c>
      <c r="BO389" cm="1">
        <f t="array" ref="BO389">IFERROR(INDEX(sheath_ecap_asd,MATCH(BS389,sheath_mark,0),0)*BN389,0)</f>
        <v>0</v>
      </c>
      <c r="BP389" cm="1">
        <f t="array" ref="BP389">IFERROR(INDEX(sheath_wcap_asd,MATCH(BS389,sheath_mark,0),0)*BN389,0)</f>
        <v>0</v>
      </c>
      <c r="BQ389" cm="1">
        <f t="array" ref="BQ389">IFERROR(INDEX(hd_cap,MATCH(BT389,hd_mark,0),0),0)</f>
        <v>0</v>
      </c>
      <c r="BS389" s="19"/>
      <c r="BT389" s="19"/>
      <c r="BU389" s="100"/>
    </row>
    <row r="390" x14ac:dyDescent="0.25">
      <c r="P390" s="93"/>
      <c r="Q390" s="109"/>
      <c r="R390" t="str">
        <f>$Q$278</f>
        <v>L3</v>
      </c>
      <c r="S390">
        <f>$E$22</f>
        <v>21.375</v>
      </c>
      <c r="T390" cm="1">
        <f t="array" ref="T390">IFERROR(IF(S390=0,0,(INDEX($C$33:$C$38,MATCH($W$300,$B$33:$B$38,0),0)*(S393+$X$300)+$T$300*COUNTIF(S390:S392,"&gt;0")*$C$32+$V$300*$C$31)*$R$300),0)</f>
        <v>0</v>
      </c>
      <c r="U390">
        <f>IF(S390=0,0,-(COUNTIF(S390:S392,"&gt;0")*$T$300*$C$32+$V$300*$C$31)*$H$27*$R$300)</f>
        <v>0</v>
      </c>
      <c r="V390">
        <f>IF(S390=0,0,$V$300*$H$26*$R$300)</f>
        <v>0</v>
      </c>
      <c r="W390">
        <f>(0.6*T390+0.7*U390)*$R$300/2</f>
        <v>0</v>
      </c>
      <c r="X390">
        <f>T390*$R$300/2</f>
        <v>0</v>
      </c>
      <c r="Z390">
        <f>IF(S390=0,0,$AD$300*$AP$278)</f>
        <v>0</v>
      </c>
      <c r="AA390">
        <f>IFERROR(Z390/$R$300,0)</f>
        <v>0</v>
      </c>
      <c r="AB390">
        <f>Z390*($F$22+IF($F$22=0,0,($C$14+$C$15+IF($C$13="single",1.5,3)+3)/12))</f>
        <v>0</v>
      </c>
      <c r="AC390">
        <f>AB390-W390</f>
        <v>0</v>
      </c>
      <c r="AD390" cm="1">
        <f t="array" ref="AD390">IFERROR(IF(AC390&lt;0,0,AC390/($R$300-INDEX(hd_off,MATCH(AQ390,hd_mark,0),0)/12)),0)</f>
        <v>0</v>
      </c>
      <c r="AE390">
        <f>IF(S390=0,0,$AD$300*$AM$278)</f>
        <v>0</v>
      </c>
      <c r="AF390">
        <f>IFERROR(AE390/$R$300,0)</f>
        <v>0</v>
      </c>
      <c r="AG390">
        <f>AE390*($F$22+IF($F$22=0,0,($C$14+$C$15+IF($C$13="single",1.5,3)+3)/12))</f>
        <v>0</v>
      </c>
      <c r="AH390">
        <f>AG390-X390</f>
        <v>0</v>
      </c>
      <c r="AI390" cm="1">
        <f t="array" ref="AI390">IFERROR(IF(AH390&lt;0,0,AH390/($R$300-INDEX(hd_off,MATCH(AQ390,hd_mark,0),0)/12)),0)</f>
        <v>0</v>
      </c>
      <c r="AJ390">
        <f>MAX($F$22,$Z$300)/$Q$308</f>
        <v>0.30172413793103448</v>
      </c>
      <c r="AK390">
        <f t="shared" ref="AK390:AK393" si="233">IF(AJ390=0,0,IF(AJ390&gt;2,1.25-0.125*AJ390,1))</f>
        <v>1</v>
      </c>
      <c r="AL390" cm="1">
        <f t="array" ref="AL390">IFERROR(INDEX(sheath_ecap_asd,MATCH(AP390,sheath_mark,0),0)*AK390,0)</f>
        <v>0</v>
      </c>
      <c r="AM390" cm="1">
        <f t="array" ref="AM390">IFERROR(INDEX(sheath_wcap_asd,MATCH(AP390,sheath_mark,0),0)*AK390,0)</f>
        <v>0</v>
      </c>
      <c r="AN390" cm="1">
        <f t="array" ref="AN390">IFERROR(INDEX(hd_cap,MATCH(AQ390,hd_mark,0),0),0)</f>
        <v>0</v>
      </c>
      <c r="AP390" s="19"/>
      <c r="AQ390" s="19"/>
      <c r="AR390" s="100"/>
      <c r="AS390" s="93"/>
      <c r="AT390" s="109"/>
      <c r="AU390" t="str">
        <f>$Q$278</f>
        <v>L3</v>
      </c>
      <c r="AV390">
        <f>$E$22</f>
        <v>21.375</v>
      </c>
      <c r="AW390" cm="1">
        <f t="array" ref="AW390">IFERROR(IF(AV390=0,0,(INDEX($C$33:$C$38,MATCH($AZ$300,$B$33:$B$38,0),0)*(AV393+$BA$300)+$AW$300*COUNTIF(AV390:AV392,"&gt;0")*$C$32+$AY$300*$C$31)*$AU$300),0)</f>
        <v>0</v>
      </c>
      <c r="AX390">
        <f>IF(AV390=0,0,-(COUNTIF(AV390:AV392,"&gt;0")*$AW$300*$C$32+$AY$300*$C$31)*$H$27*$AU$300)</f>
        <v>0</v>
      </c>
      <c r="AY390">
        <f>IF(AV390=0,0,$AY$300*$H$26*$AU$300)</f>
        <v>0</v>
      </c>
      <c r="AZ390">
        <f>(0.6*AW390+0.7*AX390)*$AU$300/2</f>
        <v>0</v>
      </c>
      <c r="BA390">
        <f>AW390*$AU$300/2</f>
        <v>0</v>
      </c>
      <c r="BC390">
        <f>IF(AV390=0,0,$BG$300*$AP$278)</f>
        <v>0</v>
      </c>
      <c r="BD390">
        <f>IFERROR(BC390/$AU$300,0)</f>
        <v>0</v>
      </c>
      <c r="BE390">
        <f>BC390*($F$22+IF($F$22=0,0,($C$14+$C$15+IF($C$13="single",1.5,3)+3)/12))</f>
        <v>0</v>
      </c>
      <c r="BF390">
        <f>BE390-AZ390</f>
        <v>0</v>
      </c>
      <c r="BG390" cm="1">
        <f t="array" ref="BG390">IFERROR(IF(BF390&lt;0,0,BF390/($AU$300-INDEX(hd_off,MATCH(BT390,hd_mark,0),0)/12)),0)</f>
        <v>0</v>
      </c>
      <c r="BH390">
        <f>IF(AV390=0,0,$BG$300*$AM$278)</f>
        <v>0</v>
      </c>
      <c r="BI390">
        <f>IFERROR(BH390/$AU$300,0)</f>
        <v>0</v>
      </c>
      <c r="BJ390">
        <f>BH390*($F$22+IF($F$22=0,0,($C$14+$C$15+IF($C$13="single",1.5,3)+3)/12))</f>
        <v>0</v>
      </c>
      <c r="BK390">
        <f>BJ390-BA390</f>
        <v>0</v>
      </c>
      <c r="BL390" cm="1">
        <f t="array" ref="BL390">IFERROR(IF(BK390&lt;0,0,BK390/($AU$300-INDEX(hd_off,MATCH(BT390,hd_mark,0),0)/12)),0)</f>
        <v>0</v>
      </c>
      <c r="BM390">
        <f>MAX($F$22,$BC$300)/$Q$308</f>
        <v>0.30172413793103448</v>
      </c>
      <c r="BN390">
        <f t="shared" ref="BN390:BN393" si="234">IF(BM390=0,0,IF(BM390&gt;2,1.25-0.125*BM390,1))</f>
        <v>1</v>
      </c>
      <c r="BO390" cm="1">
        <f t="array" ref="BO390">IFERROR(INDEX(sheath_ecap_asd,MATCH(BS390,sheath_mark,0),0)*BN390,0)</f>
        <v>0</v>
      </c>
      <c r="BP390" cm="1">
        <f t="array" ref="BP390">IFERROR(INDEX(sheath_wcap_asd,MATCH(BS390,sheath_mark,0),0)*BN390,0)</f>
        <v>0</v>
      </c>
      <c r="BQ390" cm="1">
        <f t="array" ref="BQ390">IFERROR(INDEX(hd_cap,MATCH(BT390,hd_mark,0),0),0)</f>
        <v>0</v>
      </c>
      <c r="BS390" s="19"/>
      <c r="BT390" s="19"/>
      <c r="BU390" s="100"/>
    </row>
    <row r="391" x14ac:dyDescent="0.25">
      <c r="P391" s="93"/>
      <c r="Q391" s="109" t="s">
        <v>491</v>
      </c>
      <c r="R391" t="str">
        <f>$Q$279</f>
        <v>L4</v>
      </c>
      <c r="S391">
        <f>$E$23</f>
        <v>0</v>
      </c>
      <c r="T391" cm="1">
        <f t="array" ref="T391">IFERROR(IF(S391=0,0,(INDEX($C$33:$C$38,MATCH($W$300,$B$33:$B$38,0),0)*(S393+$X$300)+$T$300*COUNTIF(S391:S392,"&gt;0")*$C$32+$V$300*$C$31)*$R$300),0)</f>
        <v>0</v>
      </c>
      <c r="U391">
        <f>IF(S391=0,0,-(COUNTIF(S391:S392,"&gt;0")*$T$300*$C$32+$V$300*$C$31)*$H$27*$R$300)</f>
        <v>0</v>
      </c>
      <c r="V391">
        <f>IF(S391=0,0,$V$300*$H$26*$R$300)</f>
        <v>0</v>
      </c>
      <c r="W391">
        <f>(0.6*T391+0.7*U391)*$R$300/2</f>
        <v>0</v>
      </c>
      <c r="X391">
        <f>T391*$R$300/2</f>
        <v>0</v>
      </c>
      <c r="Z391">
        <f>IF(S391=0,0,$AD$300*$AP$279)</f>
        <v>0</v>
      </c>
      <c r="AA391">
        <f>IFERROR(Z391/$R$300,0)</f>
        <v>0</v>
      </c>
      <c r="AB391">
        <f>Z391*($F$23+IF($F$23=0,0,($C$14+$C$15+IF($C$13="single",1.5,3)+3)/12))</f>
        <v>0</v>
      </c>
      <c r="AC391">
        <f>AB391-W391</f>
        <v>0</v>
      </c>
      <c r="AD391" cm="1">
        <f t="array" ref="AD391">IFERROR(IF(AC391&lt;0,0,AC391/($R$300-INDEX(hd_off,MATCH(AQ391,hd_mark,0),0)/12)),0)</f>
        <v>0</v>
      </c>
      <c r="AE391">
        <f>IF(S391=0,0,$AD$300*$AM$279)</f>
        <v>0</v>
      </c>
      <c r="AF391">
        <f>IFERROR(AE391/$R$300,0)</f>
        <v>0</v>
      </c>
      <c r="AG391">
        <f>AE391*($F$23+IF($F$23=0,0,($C$14+$C$15+IF($C$13="single",1.5,3)+3)/12))</f>
        <v>0</v>
      </c>
      <c r="AH391">
        <f>AG391-X391</f>
        <v>0</v>
      </c>
      <c r="AI391" cm="1">
        <f t="array" ref="AI391">IFERROR(IF(AH391&lt;0,0,AH391/($R$300-INDEX(hd_off,MATCH(AQ391,hd_mark,0),0)/12)),0)</f>
        <v>0</v>
      </c>
      <c r="AJ391">
        <f>MAX($F$23,$AA$300)/$Q$308</f>
        <v>0</v>
      </c>
      <c r="AK391">
        <f t="shared" si="233"/>
        <v>0</v>
      </c>
      <c r="AL391" cm="1">
        <f t="array" ref="AL391">IFERROR(INDEX(sheath_ecap_asd,MATCH(AP391,sheath_mark,0),0)*AK391,0)</f>
        <v>0</v>
      </c>
      <c r="AM391" cm="1">
        <f t="array" ref="AM391">IFERROR(INDEX(sheath_wcap_asd,MATCH(AP391,sheath_mark,0),0)*AK391,0)</f>
        <v>0</v>
      </c>
      <c r="AN391" cm="1">
        <f t="array" ref="AN391">IFERROR(INDEX(hd_cap,MATCH(AQ391,hd_mark,0),0),0)</f>
        <v>0</v>
      </c>
      <c r="AP391" s="19"/>
      <c r="AQ391" s="19"/>
      <c r="AR391" s="100"/>
      <c r="AS391" s="93"/>
      <c r="AT391" s="109" t="s">
        <v>491</v>
      </c>
      <c r="AU391" t="str">
        <f>$Q$279</f>
        <v>L4</v>
      </c>
      <c r="AV391">
        <f>$E$23</f>
        <v>0</v>
      </c>
      <c r="AW391" cm="1">
        <f t="array" ref="AW391">IFERROR(IF(AV391=0,0,(INDEX($C$33:$C$38,MATCH($AZ$300,$B$33:$B$38,0),0)*(AV393+$BA$300)+$AW$300*COUNTIF(AV391:AV392,"&gt;0")*$C$32+$AY$300*$C$31)*$AU$300),0)</f>
        <v>0</v>
      </c>
      <c r="AX391">
        <f>IF(AV391=0,0,-(COUNTIF(AV391:AV392,"&gt;0")*$AW$300*$C$32+$AY$300*$C$31)*$H$27*$AU$300)</f>
        <v>0</v>
      </c>
      <c r="AY391">
        <f>IF(AV391=0,0,$AY$300*$H$26*$AU$300)</f>
        <v>0</v>
      </c>
      <c r="AZ391">
        <f>(0.6*AW391+0.7*AX391)*$AU$300/2</f>
        <v>0</v>
      </c>
      <c r="BA391">
        <f>AW391*$AU$300/2</f>
        <v>0</v>
      </c>
      <c r="BC391">
        <f>IF(AV391=0,0,$BG$300*$AP$279)</f>
        <v>0</v>
      </c>
      <c r="BD391">
        <f>IFERROR(BC391/$AU$300,0)</f>
        <v>0</v>
      </c>
      <c r="BE391">
        <f>BC391*($F$23+IF($F$23=0,0,($C$14+$C$15+IF($C$13="single",1.5,3)+3)/12))</f>
        <v>0</v>
      </c>
      <c r="BF391">
        <f>BE391-AZ391</f>
        <v>0</v>
      </c>
      <c r="BG391" cm="1">
        <f t="array" ref="BG391">IFERROR(IF(BF391&lt;0,0,BF391/($AU$300-INDEX(hd_off,MATCH(BT391,hd_mark,0),0)/12)),0)</f>
        <v>0</v>
      </c>
      <c r="BH391">
        <f>IF(AV391=0,0,$BG$300*$AM$279)</f>
        <v>0</v>
      </c>
      <c r="BI391">
        <f>IFERROR(BH391/$AU$300,0)</f>
        <v>0</v>
      </c>
      <c r="BJ391">
        <f>BH391*($F$23+IF($F$23=0,0,($C$14+$C$15+IF($C$13="single",1.5,3)+3)/12))</f>
        <v>0</v>
      </c>
      <c r="BK391">
        <f>BJ391-BA391</f>
        <v>0</v>
      </c>
      <c r="BL391" cm="1">
        <f t="array" ref="BL391">IFERROR(IF(BK391&lt;0,0,BK391/($AU$300-INDEX(hd_off,MATCH(BT391,hd_mark,0),0)/12)),0)</f>
        <v>0</v>
      </c>
      <c r="BM391">
        <f>MAX($F$23,$BD$300)/$Q$308</f>
        <v>0</v>
      </c>
      <c r="BN391">
        <f t="shared" si="234"/>
        <v>0</v>
      </c>
      <c r="BO391" cm="1">
        <f t="array" ref="BO391">IFERROR(INDEX(sheath_ecap_asd,MATCH(BS391,sheath_mark,0),0)*BN391,0)</f>
        <v>0</v>
      </c>
      <c r="BP391" cm="1">
        <f t="array" ref="BP391">IFERROR(INDEX(sheath_wcap_asd,MATCH(BS391,sheath_mark,0),0)*BN391,0)</f>
        <v>0</v>
      </c>
      <c r="BQ391" cm="1">
        <f t="array" ref="BQ391">IFERROR(INDEX(hd_cap,MATCH(BT391,hd_mark,0),0),0)</f>
        <v>0</v>
      </c>
      <c r="BS391" s="19"/>
      <c r="BT391" s="19"/>
      <c r="BU391" s="100"/>
    </row>
    <row r="392" x14ac:dyDescent="0.25">
      <c r="P392" s="93"/>
      <c r="Q392" s="111">
        <f>$R$300</f>
        <v>0</v>
      </c>
      <c r="R392" t="str">
        <f>$Q$280</f>
        <v>L5</v>
      </c>
      <c r="S392">
        <f>$E$24</f>
        <v>0</v>
      </c>
      <c r="T392" cm="1">
        <f t="array" ref="T392">IFERROR(IF(S392=0,0,(INDEX($C$33:$C$38,MATCH($W$300,$B$33:$B$38,0),0)*(S393+$X$300)+$T$300*COUNTIF(S392:S392,"&gt;0")*$C$32+$V$300*$C$31)*$R$300),0)</f>
        <v>0</v>
      </c>
      <c r="U392">
        <f>IF(S392=0,0,-(COUNTIF(S392:S392,"&gt;0")*$T$300*$C$32+$V$300*$C$31)*$H$27*$R$300)</f>
        <v>0</v>
      </c>
      <c r="V392">
        <f>IF(S392=0,0,$V$300*$H$26*$R$300)</f>
        <v>0</v>
      </c>
      <c r="W392">
        <f>(0.6*T392+0.7*U392)*$R$300/2</f>
        <v>0</v>
      </c>
      <c r="X392">
        <f>T392*$R$300/2</f>
        <v>0</v>
      </c>
      <c r="Z392">
        <f>IF(S392=0,0,$AD$300*$AP$280)</f>
        <v>0</v>
      </c>
      <c r="AA392">
        <f>IFERROR(Z392/$R$300,0)</f>
        <v>0</v>
      </c>
      <c r="AB392">
        <f>Z392*($F$24+IF($F$24=0,0,($C$14+$C$15+IF($C$13="single",1.5,3)+3)/12))</f>
        <v>0</v>
      </c>
      <c r="AC392">
        <f>AB392-W392</f>
        <v>0</v>
      </c>
      <c r="AD392" cm="1">
        <f t="array" ref="AD392">IFERROR(IF(AC392&lt;0,0,AC392/($R$300-INDEX(hd_off,MATCH(AQ392,hd_mark,0),0)/12)),0)</f>
        <v>0</v>
      </c>
      <c r="AE392">
        <f>IF(S392=0,0,$AD$300*$AM$280)</f>
        <v>0</v>
      </c>
      <c r="AF392">
        <f>IFERROR(AE392/$R$300,0)</f>
        <v>0</v>
      </c>
      <c r="AG392">
        <f>AE392*($F$24+IF($F$24=0,0,($C$14+$C$15+IF($C$13="single",1.5,3)+3)/12))</f>
        <v>0</v>
      </c>
      <c r="AH392">
        <f>AG392-X392</f>
        <v>0</v>
      </c>
      <c r="AI392" cm="1">
        <f t="array" ref="AI392">IFERROR(IF(AH392&lt;0,0,AH392/($R$300-INDEX(hd_off,MATCH(AQ392,hd_mark,0),0)/12)),0)</f>
        <v>0</v>
      </c>
      <c r="AJ392">
        <f>MAX($F$24,$AB$300)/$Q$308</f>
        <v>0</v>
      </c>
      <c r="AK392">
        <f t="shared" si="233"/>
        <v>0</v>
      </c>
      <c r="AL392" cm="1">
        <f t="array" ref="AL392">IFERROR(INDEX(sheath_ecap_asd,MATCH(AP392,sheath_mark,0),0)*AK392,0)</f>
        <v>0</v>
      </c>
      <c r="AM392" cm="1">
        <f t="array" ref="AM392">IFERROR(INDEX(sheath_wcap_asd,MATCH(AP392,sheath_mark,0),0)*AK392,0)</f>
        <v>0</v>
      </c>
      <c r="AN392" cm="1">
        <f t="array" ref="AN392">IFERROR(INDEX(hd_cap,MATCH(AQ392,hd_mark,0),0),0)</f>
        <v>0</v>
      </c>
      <c r="AP392" s="19"/>
      <c r="AQ392" s="19"/>
      <c r="AR392" s="100"/>
      <c r="AS392" s="93"/>
      <c r="AT392" s="111">
        <f>$R$300</f>
        <v>0</v>
      </c>
      <c r="AU392" t="str">
        <f>$Q$280</f>
        <v>L5</v>
      </c>
      <c r="AV392">
        <f>$E$24</f>
        <v>0</v>
      </c>
      <c r="AW392" cm="1">
        <f t="array" ref="AW392">IFERROR(IF(AV392=0,0,(INDEX($C$33:$C$38,MATCH($AZ$300,$B$33:$B$38,0),0)*(AV393+$BA$300)+$AW$300*COUNTIF(AV392:AV392,"&gt;0")*$C$32+$AY$300*$C$31)*$AU$300),0)</f>
        <v>0</v>
      </c>
      <c r="AX392">
        <f>IF(AV392=0,0,-(COUNTIF(AV392:AV392,"&gt;0")*$AW$300*$C$32+$AY$300*$C$31)*$H$27*$AU$300)</f>
        <v>0</v>
      </c>
      <c r="AY392">
        <f>IF(AV392=0,0,$AY$300*$H$26*$AU$300)</f>
        <v>0</v>
      </c>
      <c r="AZ392">
        <f>(0.6*AW392+0.7*AX392)*$AU$300/2</f>
        <v>0</v>
      </c>
      <c r="BA392">
        <f>AW392*$AU$300/2</f>
        <v>0</v>
      </c>
      <c r="BC392">
        <f>IF(AV392=0,0,$BG$300*$AP$280)</f>
        <v>0</v>
      </c>
      <c r="BD392">
        <f>IFERROR(BC392/$AU$300,0)</f>
        <v>0</v>
      </c>
      <c r="BE392">
        <f>BC392*($F$24+IF($F$24=0,0,($C$14+$C$15+IF($C$13="single",1.5,3)+3)/12))</f>
        <v>0</v>
      </c>
      <c r="BF392">
        <f>BE392-AZ392</f>
        <v>0</v>
      </c>
      <c r="BG392" cm="1">
        <f t="array" ref="BG392">IFERROR(IF(BF392&lt;0,0,BF392/($AU$300-INDEX(hd_off,MATCH(BT392,hd_mark,0),0)/12)),0)</f>
        <v>0</v>
      </c>
      <c r="BH392">
        <f>IF(AV392=0,0,$BG$300*$AM$280)</f>
        <v>0</v>
      </c>
      <c r="BI392">
        <f>IFERROR(BH392/$AU$300,0)</f>
        <v>0</v>
      </c>
      <c r="BJ392">
        <f>BH392*($F$24+IF($F$24=0,0,($C$14+$C$15+IF($C$13="single",1.5,3)+3)/12))</f>
        <v>0</v>
      </c>
      <c r="BK392">
        <f>BJ392-BA392</f>
        <v>0</v>
      </c>
      <c r="BL392" cm="1">
        <f t="array" ref="BL392">IFERROR(IF(BK392&lt;0,0,BK392/($AU$300-INDEX(hd_off,MATCH(BT392,hd_mark,0),0)/12)),0)</f>
        <v>0</v>
      </c>
      <c r="BM392">
        <f>MAX($F$24,$BE$300)/$Q$308</f>
        <v>0</v>
      </c>
      <c r="BN392">
        <f t="shared" si="234"/>
        <v>0</v>
      </c>
      <c r="BO392" cm="1">
        <f t="array" ref="BO392">IFERROR(INDEX(sheath_ecap_asd,MATCH(BS392,sheath_mark,0),0)*BN392,0)</f>
        <v>0</v>
      </c>
      <c r="BP392" cm="1">
        <f t="array" ref="BP392">IFERROR(INDEX(sheath_wcap_asd,MATCH(BS392,sheath_mark,0),0)*BN392,0)</f>
        <v>0</v>
      </c>
      <c r="BQ392" cm="1">
        <f t="array" ref="BQ392">IFERROR(INDEX(hd_cap,MATCH(BT392,hd_mark,0),0),0)</f>
        <v>0</v>
      </c>
      <c r="BS392" s="19"/>
      <c r="BT392" s="19"/>
      <c r="BU392" s="100"/>
    </row>
    <row r="393" x14ac:dyDescent="0.25">
      <c r="P393" s="93"/>
      <c r="Q393" s="109"/>
      <c r="R393" t="str">
        <f>$Q$281</f>
        <v>Roof</v>
      </c>
      <c r="S393">
        <f>$E$25</f>
        <v>33.171875</v>
      </c>
      <c r="T393" cm="1">
        <f t="array" ref="T393">IFERROR(IF(S393=0,0,(INDEX($C$33:$C$38,MATCH($W$300,$B$33:$B$38,0),0)*(S393+$X$300)+$V$300*$C$31)*$R$300),0)</f>
        <v>0</v>
      </c>
      <c r="U393">
        <f>IF(S393=0,0,-$V$300*$C$31*$H$27*$R$300)</f>
        <v>0</v>
      </c>
      <c r="V393">
        <f>IF(S393=0,0,$V$300*$H$26*$R$300)</f>
        <v>0</v>
      </c>
      <c r="W393">
        <f>(0.6*T393+0.7*U393)*$R$300/2</f>
        <v>0</v>
      </c>
      <c r="X393">
        <f>T393*$R$300/2</f>
        <v>0</v>
      </c>
      <c r="Z393">
        <f>IF(S393=0,0,$AD$300*$AP$281)</f>
        <v>0</v>
      </c>
      <c r="AA393">
        <f>IFERROR(Z393/$R$300,0)</f>
        <v>0</v>
      </c>
      <c r="AB393">
        <f>Z393*($F$25+($C$16+$C$17+IF($C$13="single",1.5,3)+3)/12)</f>
        <v>0</v>
      </c>
      <c r="AC393">
        <f>AB393-W393</f>
        <v>0</v>
      </c>
      <c r="AD393" cm="1">
        <f t="array" ref="AD393">IFERROR(IF(AC393&lt;0,0,AC393/($R$300-INDEX(hd_off,MATCH(AQ393,hd_mark,0),0)/12)),0)</f>
        <v>0</v>
      </c>
      <c r="AE393">
        <f>IF(S393=0,0,$AD$300*$AM$281)</f>
        <v>0</v>
      </c>
      <c r="AF393">
        <f>IFERROR(AE393/$R$300,0)</f>
        <v>0</v>
      </c>
      <c r="AG393">
        <f>AE393*($F$25+($C$16+$C$17+IF($C$13="single",1.5,3)+3)/12)</f>
        <v>0</v>
      </c>
      <c r="AH393">
        <f>AG393-X393</f>
        <v>0</v>
      </c>
      <c r="AI393" cm="1">
        <f t="array" ref="AI393">IFERROR(IF(AH393&lt;0,0,AH393/($R$300-INDEX(hd_off,MATCH(AQ393,hd_mark,0),0)/12)),0)</f>
        <v>0</v>
      </c>
      <c r="AJ393">
        <f>MAX($F$25,$AC$300)/$Q$308</f>
        <v>0.29920977011494249</v>
      </c>
      <c r="AK393">
        <f t="shared" si="233"/>
        <v>1</v>
      </c>
      <c r="AL393" cm="1">
        <f t="array" ref="AL393">IFERROR(INDEX(sheath_ecap_asd,MATCH(AP393,sheath_mark,0),0)*AK393,0)</f>
        <v>0</v>
      </c>
      <c r="AM393" cm="1">
        <f t="array" ref="AM393">IFERROR(INDEX(sheath_wcap_asd,MATCH(AP393,sheath_mark,0),0)*AK393,0)</f>
        <v>0</v>
      </c>
      <c r="AN393" cm="1">
        <f t="array" ref="AN393">IFERROR(INDEX(hd_cap,MATCH(AQ393,hd_mark,0),0),0)</f>
        <v>0</v>
      </c>
      <c r="AP393" s="19"/>
      <c r="AQ393" s="19"/>
      <c r="AR393" s="100"/>
      <c r="AS393" s="93"/>
      <c r="AT393" s="109"/>
      <c r="AU393" t="str">
        <f>$Q$281</f>
        <v>Roof</v>
      </c>
      <c r="AV393">
        <f>$E$25</f>
        <v>33.171875</v>
      </c>
      <c r="AW393" cm="1">
        <f t="array" ref="AW393">IFERROR(IF(AV393=0,0,(INDEX($C$33:$C$38,MATCH($AZ$300,$B$33:$B$38,0),0)*(AV393+$BA$300)+$AY$300*$C$31)*$AU$300),0)</f>
        <v>0</v>
      </c>
      <c r="AX393">
        <f>IF(AV393=0,0,-$AY$300*$C$31*$H$27*$AU$300)</f>
        <v>0</v>
      </c>
      <c r="AY393">
        <f>IF(AV393=0,0,$AY$300*$H$26*$AU$300)</f>
        <v>0</v>
      </c>
      <c r="AZ393">
        <f>(0.6*AW393+0.7*AX393)*$AU$300/2</f>
        <v>0</v>
      </c>
      <c r="BA393">
        <f>AW393*$AU$300/2</f>
        <v>0</v>
      </c>
      <c r="BC393">
        <f>IF(AV393=0,0,$BG$300*$AP$281)</f>
        <v>0</v>
      </c>
      <c r="BD393">
        <f>IFERROR(BC393/$AU$300,0)</f>
        <v>0</v>
      </c>
      <c r="BE393">
        <f>BC393*($F$25+($C$16+$C$17+IF($C$13="single",1.5,3)+3)/12)</f>
        <v>0</v>
      </c>
      <c r="BF393">
        <f>BE393-AZ393</f>
        <v>0</v>
      </c>
      <c r="BG393" cm="1">
        <f t="array" ref="BG393">IFERROR(IF(BF393&lt;0,0,BF393/($AU$300-INDEX(hd_off,MATCH(BT393,hd_mark,0),0)/12)),0)</f>
        <v>0</v>
      </c>
      <c r="BH393">
        <f>IF(AV393=0,0,$BG$300*$AM$281)</f>
        <v>0</v>
      </c>
      <c r="BI393">
        <f>IFERROR(BH393/$AU$300,0)</f>
        <v>0</v>
      </c>
      <c r="BJ393">
        <f>BH393*($F$25+($C$16+$C$17+IF($C$13="single",1.5,3)+3)/12)</f>
        <v>0</v>
      </c>
      <c r="BK393">
        <f>BJ393-BA393</f>
        <v>0</v>
      </c>
      <c r="BL393" cm="1">
        <f t="array" ref="BL393">IFERROR(IF(BK393&lt;0,0,BK393/($AU$300-INDEX(hd_off,MATCH(BT393,hd_mark,0),0)/12)),0)</f>
        <v>0</v>
      </c>
      <c r="BM393">
        <f>MAX($F$25,$BF$300)/$Q$308</f>
        <v>0.29920977011494249</v>
      </c>
      <c r="BN393">
        <f t="shared" si="234"/>
        <v>1</v>
      </c>
      <c r="BO393" cm="1">
        <f t="array" ref="BO393">IFERROR(INDEX(sheath_ecap_asd,MATCH(BS393,sheath_mark,0),0)*BN393,0)</f>
        <v>0</v>
      </c>
      <c r="BP393" cm="1">
        <f t="array" ref="BP393">IFERROR(INDEX(sheath_wcap_asd,MATCH(BS393,sheath_mark,0),0)*BN393,0)</f>
        <v>0</v>
      </c>
      <c r="BQ393" cm="1">
        <f t="array" ref="BQ393">IFERROR(INDEX(hd_cap,MATCH(BT393,hd_mark,0),0),0)</f>
        <v>0</v>
      </c>
      <c r="BS393" s="19"/>
      <c r="BT393" s="19"/>
      <c r="BU393" s="100"/>
    </row>
    <row r="394" x14ac:dyDescent="0.25">
      <c r="P394" s="93"/>
      <c r="AR394" s="100"/>
      <c r="AS394" s="93"/>
      <c r="BU394" s="100"/>
    </row>
    <row r="395" x14ac:dyDescent="0.25">
      <c r="P395" s="93"/>
      <c r="Q395" s="110" t="str">
        <f>$Q$301</f>
        <v>A.16</v>
      </c>
      <c r="R395" t="str">
        <f>$Q$277</f>
        <v>L2</v>
      </c>
      <c r="S395">
        <f>$E$21</f>
        <v>10.6875</v>
      </c>
      <c r="T395" cm="1">
        <f t="array" ref="T395">IFERROR(IF(S395=0,0,(INDEX($C$33:$C$38,MATCH($W$301,$B$33:$B$38,0),0)*(S399+$X$301)+$T$301*COUNTIF(S395:S398,"&gt;0")*$C$32+$V$301*$C$31)*$R$301),0)</f>
        <v>0</v>
      </c>
      <c r="U395">
        <f>IF(S395=0,0,-(COUNTIF(S395:S398,"&gt;0")*$T$301*$C$32+$V$301*$C$31)*$H$27*$R$301)</f>
        <v>0</v>
      </c>
      <c r="V395">
        <f>IF(S395=0,0,$V$301*$H$26*$R$301)</f>
        <v>0</v>
      </c>
      <c r="W395">
        <f>(0.6*T395+0.7*U395)*$R$301/2</f>
        <v>0</v>
      </c>
      <c r="X395">
        <f>(0.6*T395+0.6*V395)*$R$301/2</f>
        <v>0</v>
      </c>
      <c r="Z395">
        <f>IF(S395=0,0,$AD$301*$AP$277)</f>
        <v>0</v>
      </c>
      <c r="AA395">
        <f>IFERROR(Z395/$R$301,0)</f>
        <v>0</v>
      </c>
      <c r="AB395">
        <f>Z395*($F$21+IF($F$21=0,0,($C$14+$C$15+IF($C$13="single",1.5,3)+3)/12))</f>
        <v>0</v>
      </c>
      <c r="AC395">
        <f>AB395-W395</f>
        <v>0</v>
      </c>
      <c r="AD395" cm="1">
        <f t="array" ref="AD395">IFERROR(IF(AC395&lt;0,0,AC395/($R$301-INDEX(hd_off,MATCH(AQ395,hd_mark,0),0)/12)),0)</f>
        <v>0</v>
      </c>
      <c r="AE395">
        <f>IF(S395=0,0,$AD$301*$AM$277)</f>
        <v>0</v>
      </c>
      <c r="AF395">
        <f>IFERROR(AE395/$R$301,0)</f>
        <v>0</v>
      </c>
      <c r="AG395">
        <f>AE395*($F$21+IF($F$21=0,0,($C$14+$C$15+IF($C$13="single",1.5,3)+3)/12))</f>
        <v>0</v>
      </c>
      <c r="AH395">
        <f>AG395-X395</f>
        <v>0</v>
      </c>
      <c r="AI395" cm="1">
        <f t="array" ref="AI395">IFERROR(IF(AH395&lt;0,0,AH395/($R$301-INDEX(hd_off,MATCH(AQ395,hd_mark,0),0)/12)),0)</f>
        <v>0</v>
      </c>
      <c r="AJ395">
        <f>MAX($F$21,$Y$301)/$Q$308</f>
        <v>0.30172413793103448</v>
      </c>
      <c r="AK395">
        <f>IF(AJ395=0,0,IF(AJ395&gt;2,1.25-0.125*AJ395,1))</f>
        <v>1</v>
      </c>
      <c r="AL395" cm="1">
        <f t="array" ref="AL395">IFERROR(INDEX(sheath_ecap_asd,MATCH(AP395,sheath_mark,0),0)*AK395,0)</f>
        <v>0</v>
      </c>
      <c r="AM395" cm="1">
        <f t="array" ref="AM395">IFERROR(INDEX(sheath_wcap_asd,MATCH(AP395,sheath_mark,0),0)*AK395,0)</f>
        <v>0</v>
      </c>
      <c r="AN395" cm="1">
        <f t="array" ref="AN395">IFERROR(INDEX(hd_cap,MATCH(AQ395,hd_mark,0),0),0)</f>
        <v>0</v>
      </c>
      <c r="AP395" s="19"/>
      <c r="AQ395" s="19"/>
      <c r="AR395" s="100"/>
      <c r="AS395" s="93"/>
      <c r="AT395" s="110" t="str">
        <f>$AT$301</f>
        <v>1.16</v>
      </c>
      <c r="AU395" t="str">
        <f>$Q$277</f>
        <v>L2</v>
      </c>
      <c r="AV395">
        <f>$E$21</f>
        <v>10.6875</v>
      </c>
      <c r="AW395" cm="1">
        <f t="array" ref="AW395">IFERROR(IF(AV395=0,0,(INDEX($C$33:$C$38,MATCH($AZ$301,$B$33:$B$38,0),0)*(AV399+$BA$301)+$AW$301*COUNTIF(AV395:AV398,"&gt;0")*$C$32+$AY$301*$C$31)*$AU$301),0)</f>
        <v>0</v>
      </c>
      <c r="AX395">
        <f>IF(AV395=0,0,-(COUNTIF(AV395:AV398,"&gt;0")*$AW$301*$C$32+$AY$301*$C$31)*$H$27*$AU$301)</f>
        <v>0</v>
      </c>
      <c r="AY395">
        <f>IF(AV395=0,0,$AY$301*$H$26*$AU$301)</f>
        <v>0</v>
      </c>
      <c r="AZ395">
        <f>(0.6*AW395+0.7*AX395)*$AU$301/2</f>
        <v>0</v>
      </c>
      <c r="BA395">
        <f>(0.6*AW395+0.6*AY395)*$AU$301/2</f>
        <v>0</v>
      </c>
      <c r="BC395">
        <f>IF(AV395=0,0,$BG$301*$AP$277)</f>
        <v>0</v>
      </c>
      <c r="BD395">
        <f>IFERROR(BC395/$AU$301,0)</f>
        <v>0</v>
      </c>
      <c r="BE395">
        <f>BC395*($F$21+IF($F$21=0,0,($C$14+$C$15+IF($C$13="single",1.5,3)+3)/12))</f>
        <v>0</v>
      </c>
      <c r="BF395">
        <f>BE395-AZ395</f>
        <v>0</v>
      </c>
      <c r="BG395" cm="1">
        <f t="array" ref="BG395">IFERROR(IF(BF395&lt;0,0,BF395/($AU$301-INDEX(hd_off,MATCH(BT395,hd_mark,0),0)/12)),0)</f>
        <v>0</v>
      </c>
      <c r="BH395">
        <f>IF(AV395=0,0,$BG$301*$AM$277)</f>
        <v>0</v>
      </c>
      <c r="BI395">
        <f>IFERROR(BH395/$AU$301,0)</f>
        <v>0</v>
      </c>
      <c r="BJ395">
        <f>BH395*($F$21+IF($F$21=0,0,($C$14+$C$15+IF($C$13="single",1.5,3)+3)/12))</f>
        <v>0</v>
      </c>
      <c r="BK395">
        <f>BJ395-BA395</f>
        <v>0</v>
      </c>
      <c r="BL395" cm="1">
        <f t="array" ref="BL395">IFERROR(IF(BK395&lt;0,0,BK395/($AU$301-INDEX(hd_off,MATCH(BT395,hd_mark,0),0)/12)),0)</f>
        <v>0</v>
      </c>
      <c r="BM395">
        <f>MAX($F$21,$BB$301)/$Q$308</f>
        <v>0.30172413793103448</v>
      </c>
      <c r="BN395">
        <f>IF(BM395=0,0,IF(BM395&gt;2,1.25-0.125*BM395,1))</f>
        <v>1</v>
      </c>
      <c r="BO395" cm="1">
        <f t="array" ref="BO395">IFERROR(INDEX(sheath_ecap_asd,MATCH(BS395,sheath_mark,0),0)*BN395,0)</f>
        <v>0</v>
      </c>
      <c r="BP395" cm="1">
        <f t="array" ref="BP395">IFERROR(INDEX(sheath_wcap_asd,MATCH(BS395,sheath_mark,0),0)*BN395,0)</f>
        <v>0</v>
      </c>
      <c r="BQ395" cm="1">
        <f t="array" ref="BQ395">IFERROR(INDEX(hd_cap,MATCH(BT395,hd_mark,0),0),0)</f>
        <v>0</v>
      </c>
      <c r="BS395" s="19"/>
      <c r="BT395" s="19"/>
      <c r="BU395" s="100"/>
    </row>
    <row r="396" x14ac:dyDescent="0.25">
      <c r="P396" s="93"/>
      <c r="Q396" s="109"/>
      <c r="R396" t="str">
        <f>$Q$278</f>
        <v>L3</v>
      </c>
      <c r="S396">
        <f>$E$22</f>
        <v>21.375</v>
      </c>
      <c r="T396" cm="1">
        <f t="array" ref="T396">IFERROR(IF(S396=0,0,(INDEX($C$33:$C$38,MATCH($W$301,$B$33:$B$38,0),0)*(S399+$X$301)+$T$301*COUNTIF(S396:S398,"&gt;0")*$C$32+$V$301*$C$31)*$R$301),0)</f>
        <v>0</v>
      </c>
      <c r="U396">
        <f>IF(S396=0,0,-(COUNTIF(S396:S398,"&gt;0")*$T$301*$C$32+$V$301*$C$31)*$H$27*$R$301)</f>
        <v>0</v>
      </c>
      <c r="V396">
        <f>IF(S396=0,0,$V$301*$H$26*$R$301)</f>
        <v>0</v>
      </c>
      <c r="W396">
        <f>(0.6*T396+0.7*U396)*$R$301/2</f>
        <v>0</v>
      </c>
      <c r="X396">
        <f>T396*$R$301/2</f>
        <v>0</v>
      </c>
      <c r="Z396">
        <f>IF(S396=0,0,$AD$301*$AP$278)</f>
        <v>0</v>
      </c>
      <c r="AA396">
        <f>IFERROR(Z396/$R$301,0)</f>
        <v>0</v>
      </c>
      <c r="AB396">
        <f>Z396*($F$22+IF($F$22=0,0,($C$14+$C$15+IF($C$13="single",1.5,3)+3)/12))</f>
        <v>0</v>
      </c>
      <c r="AC396">
        <f>AB396-W396</f>
        <v>0</v>
      </c>
      <c r="AD396" cm="1">
        <f t="array" ref="AD396">IFERROR(IF(AC396&lt;0,0,AC396/($R$301-INDEX(hd_off,MATCH(AQ396,hd_mark,0),0)/12)),0)</f>
        <v>0</v>
      </c>
      <c r="AE396">
        <f>IF(S396=0,0,$AD$301*$AM$278)</f>
        <v>0</v>
      </c>
      <c r="AF396">
        <f>IFERROR(AE396/$R$301,0)</f>
        <v>0</v>
      </c>
      <c r="AG396">
        <f>AE396*($F$22+IF($F$22=0,0,($C$14+$C$15+IF($C$13="single",1.5,3)+3)/12))</f>
        <v>0</v>
      </c>
      <c r="AH396">
        <f>AG396-X396</f>
        <v>0</v>
      </c>
      <c r="AI396" cm="1">
        <f t="array" ref="AI396">IFERROR(IF(AH396&lt;0,0,AH396/($R$301-INDEX(hd_off,MATCH(AQ396,hd_mark,0),0)/12)),0)</f>
        <v>0</v>
      </c>
      <c r="AJ396">
        <f>MAX($F$22,$Z$301)/$Q$308</f>
        <v>0.30172413793103448</v>
      </c>
      <c r="AK396">
        <f t="shared" ref="AK396:AK399" si="235">IF(AJ396=0,0,IF(AJ396&gt;2,1.25-0.125*AJ396,1))</f>
        <v>1</v>
      </c>
      <c r="AL396" cm="1">
        <f t="array" ref="AL396">IFERROR(INDEX(sheath_ecap_asd,MATCH(AP396,sheath_mark,0),0)*AK396,0)</f>
        <v>0</v>
      </c>
      <c r="AM396" cm="1">
        <f t="array" ref="AM396">IFERROR(INDEX(sheath_wcap_asd,MATCH(AP396,sheath_mark,0),0)*AK396,0)</f>
        <v>0</v>
      </c>
      <c r="AN396" cm="1">
        <f t="array" ref="AN396">IFERROR(INDEX(hd_cap,MATCH(AQ396,hd_mark,0),0),0)</f>
        <v>0</v>
      </c>
      <c r="AP396" s="19"/>
      <c r="AQ396" s="19"/>
      <c r="AR396" s="100"/>
      <c r="AS396" s="93"/>
      <c r="AT396" s="109"/>
      <c r="AU396" t="str">
        <f>$Q$278</f>
        <v>L3</v>
      </c>
      <c r="AV396">
        <f>$E$22</f>
        <v>21.375</v>
      </c>
      <c r="AW396" cm="1">
        <f t="array" ref="AW396">IFERROR(IF(AV396=0,0,(INDEX($C$33:$C$38,MATCH($AZ$301,$B$33:$B$38,0),0)*(AV399+$BA$301)+$AW$301*COUNTIF(AV396:AV398,"&gt;0")*$C$32+$AY$301*$C$31)*$AU$301),0)</f>
        <v>0</v>
      </c>
      <c r="AX396">
        <f>IF(AV396=0,0,-(COUNTIF(AV396:AV398,"&gt;0")*$AW$301*$C$32+$AY$301*$C$31)*$H$27*$AU$301)</f>
        <v>0</v>
      </c>
      <c r="AY396">
        <f>IF(AV396=0,0,$AY$301*$H$26*$AU$301)</f>
        <v>0</v>
      </c>
      <c r="AZ396">
        <f>(0.6*AW396+0.7*AX396)*$AU$301/2</f>
        <v>0</v>
      </c>
      <c r="BA396">
        <f>AW396*$AU$301/2</f>
        <v>0</v>
      </c>
      <c r="BC396">
        <f>IF(AV396=0,0,$BG$301*$AP$278)</f>
        <v>0</v>
      </c>
      <c r="BD396">
        <f>IFERROR(BC396/$AU$301,0)</f>
        <v>0</v>
      </c>
      <c r="BE396">
        <f>BC396*($F$22+IF($F$22=0,0,($C$14+$C$15+IF($C$13="single",1.5,3)+3)/12))</f>
        <v>0</v>
      </c>
      <c r="BF396">
        <f>BE396-AZ396</f>
        <v>0</v>
      </c>
      <c r="BG396" cm="1">
        <f t="array" ref="BG396">IFERROR(IF(BF396&lt;0,0,BF396/($AU$301-INDEX(hd_off,MATCH(BT396,hd_mark,0),0)/12)),0)</f>
        <v>0</v>
      </c>
      <c r="BH396">
        <f>IF(AV396=0,0,$BG$301*$AM$278)</f>
        <v>0</v>
      </c>
      <c r="BI396">
        <f>IFERROR(BH396/$AU$301,0)</f>
        <v>0</v>
      </c>
      <c r="BJ396">
        <f>BH396*($F$22+IF($F$22=0,0,($C$14+$C$15+IF($C$13="single",1.5,3)+3)/12))</f>
        <v>0</v>
      </c>
      <c r="BK396">
        <f>BJ396-BA396</f>
        <v>0</v>
      </c>
      <c r="BL396" cm="1">
        <f t="array" ref="BL396">IFERROR(IF(BK396&lt;0,0,BK396/($AU$301-INDEX(hd_off,MATCH(BT396,hd_mark,0),0)/12)),0)</f>
        <v>0</v>
      </c>
      <c r="BM396">
        <f>MAX($F$22,$BC$301)/$Q$308</f>
        <v>0.30172413793103448</v>
      </c>
      <c r="BN396">
        <f t="shared" ref="BN396:BN398" si="236">IF(BM396=0,0,IF(BM396&gt;2,1.25-0.125*BM396,1))</f>
        <v>1</v>
      </c>
      <c r="BO396" cm="1">
        <f t="array" ref="BO396">IFERROR(INDEX(sheath_ecap_asd,MATCH(BS396,sheath_mark,0),0)*BN396,0)</f>
        <v>0</v>
      </c>
      <c r="BP396" cm="1">
        <f t="array" ref="BP396">IFERROR(INDEX(sheath_wcap_asd,MATCH(BS396,sheath_mark,0),0)*BN396,0)</f>
        <v>0</v>
      </c>
      <c r="BQ396" cm="1">
        <f t="array" ref="BQ396">IFERROR(INDEX(hd_cap,MATCH(BT396,hd_mark,0),0),0)</f>
        <v>0</v>
      </c>
      <c r="BS396" s="19"/>
      <c r="BT396" s="19"/>
      <c r="BU396" s="100"/>
    </row>
    <row r="397" x14ac:dyDescent="0.25">
      <c r="P397" s="93"/>
      <c r="Q397" s="109" t="s">
        <v>491</v>
      </c>
      <c r="R397" t="str">
        <f>$Q$279</f>
        <v>L4</v>
      </c>
      <c r="S397">
        <f>$E$23</f>
        <v>0</v>
      </c>
      <c r="T397" cm="1">
        <f t="array" ref="T397">IFERROR(IF(S397=0,0,(INDEX($C$33:$C$38,MATCH($W$301,$B$33:$B$38,0),0)*(S399+$X$301)+$T$301*COUNTIF(S397:S398,"&gt;0")*$C$32+$V$301*$C$31)*$R$301),0)</f>
        <v>0</v>
      </c>
      <c r="U397">
        <f>IF(S397=0,0,-(COUNTIF(S397:S398,"&gt;0")*$T$301*$C$32+$V$301*$C$31)*$H$27*$R$301)</f>
        <v>0</v>
      </c>
      <c r="V397">
        <f>IF(S397=0,0,$V$301*$H$26*$R$301)</f>
        <v>0</v>
      </c>
      <c r="W397">
        <f>(0.6*T397+0.7*U397)*$R$301/2</f>
        <v>0</v>
      </c>
      <c r="X397">
        <f>T397*$R$301/2</f>
        <v>0</v>
      </c>
      <c r="Z397">
        <f>IF(S397=0,0,$AD$301*$AP$279)</f>
        <v>0</v>
      </c>
      <c r="AA397">
        <f>IFERROR(Z397/$R$301,0)</f>
        <v>0</v>
      </c>
      <c r="AB397">
        <f>Z397*($F$23+IF($F$23=0,0,($C$14+$C$15+IF($C$13="single",1.5,3)+3)/12))</f>
        <v>0</v>
      </c>
      <c r="AC397">
        <f>AB397-W397</f>
        <v>0</v>
      </c>
      <c r="AD397" cm="1">
        <f t="array" ref="AD397">IFERROR(IF(AC397&lt;0,0,AC397/($R$301-INDEX(hd_off,MATCH(AQ397,hd_mark,0),0)/12)),0)</f>
        <v>0</v>
      </c>
      <c r="AE397">
        <f>IF(S397=0,0,$AD$301*$AM$279)</f>
        <v>0</v>
      </c>
      <c r="AF397">
        <f>IFERROR(AE397/$R$301,0)</f>
        <v>0</v>
      </c>
      <c r="AG397">
        <f>AE397*($F$23+IF($F$23=0,0,($C$14+$C$15+IF($C$13="single",1.5,3)+3)/12))</f>
        <v>0</v>
      </c>
      <c r="AH397">
        <f>AG397-X397</f>
        <v>0</v>
      </c>
      <c r="AI397" cm="1">
        <f t="array" ref="AI397">IFERROR(IF(AH397&lt;0,0,AH397/($R$301-INDEX(hd_off,MATCH(AQ397,hd_mark,0),0)/12)),0)</f>
        <v>0</v>
      </c>
      <c r="AJ397">
        <f>MAX($F$23,$AA$301)/$Q$308</f>
        <v>0</v>
      </c>
      <c r="AK397">
        <f t="shared" si="235"/>
        <v>0</v>
      </c>
      <c r="AL397" cm="1">
        <f t="array" ref="AL397">IFERROR(INDEX(sheath_ecap_asd,MATCH(AP397,sheath_mark,0),0)*AK397,0)</f>
        <v>0</v>
      </c>
      <c r="AM397" cm="1">
        <f t="array" ref="AM397">IFERROR(INDEX(sheath_wcap_asd,MATCH(AP397,sheath_mark,0),0)*AK397,0)</f>
        <v>0</v>
      </c>
      <c r="AN397" cm="1">
        <f t="array" ref="AN397">IFERROR(INDEX(hd_cap,MATCH(AQ397,hd_mark,0),0),0)</f>
        <v>0</v>
      </c>
      <c r="AP397" s="19"/>
      <c r="AQ397" s="19"/>
      <c r="AR397" s="100"/>
      <c r="AS397" s="93"/>
      <c r="AT397" s="109" t="s">
        <v>491</v>
      </c>
      <c r="AU397" t="str">
        <f>$Q$279</f>
        <v>L4</v>
      </c>
      <c r="AV397">
        <f>$E$23</f>
        <v>0</v>
      </c>
      <c r="AW397" cm="1">
        <f t="array" ref="AW397">IFERROR(IF(AV397=0,0,(INDEX($C$33:$C$38,MATCH($AZ$301,$B$33:$B$38,0),0)*(AV399+$BA$301)+$AW$301*COUNTIF(AV397:AV398,"&gt;0")*$C$32+$AY$301*$C$31)*$AU$301),0)</f>
        <v>0</v>
      </c>
      <c r="AX397">
        <f>IF(AV397=0,0,-(COUNTIF(AV397:AV398,"&gt;0")*$AW$301*$C$32+$AY$301*$C$31)*$H$27*$AU$301)</f>
        <v>0</v>
      </c>
      <c r="AY397">
        <f>IF(AV397=0,0,$AY$301*$H$26*$AU$301)</f>
        <v>0</v>
      </c>
      <c r="AZ397">
        <f>(0.6*AW397+0.7*AX397)*$AU$301/2</f>
        <v>0</v>
      </c>
      <c r="BA397">
        <f>AW397*$AU$301/2</f>
        <v>0</v>
      </c>
      <c r="BC397">
        <f>IF(AV397=0,0,$BG$301*$AP$279)</f>
        <v>0</v>
      </c>
      <c r="BD397">
        <f>IFERROR(BC397/$AU$301,0)</f>
        <v>0</v>
      </c>
      <c r="BE397">
        <f>BC397*($F$23+IF($F$23=0,0,($C$14+$C$15+IF($C$13="single",1.5,3)+3)/12))</f>
        <v>0</v>
      </c>
      <c r="BF397">
        <f>BE397-AZ397</f>
        <v>0</v>
      </c>
      <c r="BG397" cm="1">
        <f t="array" ref="BG397">IFERROR(IF(BF397&lt;0,0,BF397/($AU$301-INDEX(hd_off,MATCH(BT397,hd_mark,0),0)/12)),0)</f>
        <v>0</v>
      </c>
      <c r="BH397">
        <f>IF(AV397=0,0,$BG$301*$AM$279)</f>
        <v>0</v>
      </c>
      <c r="BI397">
        <f>IFERROR(BH397/$AU$301,0)</f>
        <v>0</v>
      </c>
      <c r="BJ397">
        <f>BH397*($F$23+IF($F$23=0,0,($C$14+$C$15+IF($C$13="single",1.5,3)+3)/12))</f>
        <v>0</v>
      </c>
      <c r="BK397">
        <f>BJ397-BA397</f>
        <v>0</v>
      </c>
      <c r="BL397" cm="1">
        <f t="array" ref="BL397">IFERROR(IF(BK397&lt;0,0,BK397/($AU$301-INDEX(hd_off,MATCH(BT397,hd_mark,0),0)/12)),0)</f>
        <v>0</v>
      </c>
      <c r="BM397">
        <f>MAX($F$23,$BD$301)/$Q$308</f>
        <v>0</v>
      </c>
      <c r="BN397">
        <f t="shared" si="236"/>
        <v>0</v>
      </c>
      <c r="BO397" cm="1">
        <f t="array" ref="BO397">IFERROR(INDEX(sheath_ecap_asd,MATCH(BS397,sheath_mark,0),0)*BN397,0)</f>
        <v>0</v>
      </c>
      <c r="BP397" cm="1">
        <f t="array" ref="BP397">IFERROR(INDEX(sheath_wcap_asd,MATCH(BS397,sheath_mark,0),0)*BN397,0)</f>
        <v>0</v>
      </c>
      <c r="BQ397" cm="1">
        <f t="array" ref="BQ397">IFERROR(INDEX(hd_cap,MATCH(BT397,hd_mark,0),0),0)</f>
        <v>0</v>
      </c>
      <c r="BS397" s="19"/>
      <c r="BT397" s="19"/>
      <c r="BU397" s="100"/>
    </row>
    <row r="398" x14ac:dyDescent="0.25">
      <c r="P398" s="93"/>
      <c r="Q398" s="111">
        <f>$R$301</f>
        <v>0</v>
      </c>
      <c r="R398" t="str">
        <f>$Q$280</f>
        <v>L5</v>
      </c>
      <c r="S398">
        <f>$E$24</f>
        <v>0</v>
      </c>
      <c r="T398" cm="1">
        <f t="array" ref="T398">IFERROR(IF(S398=0,0,(INDEX($C$33:$C$38,MATCH($W$301,$B$33:$B$38,0),0)*(S399+$X$301)+$T$301*COUNTIF(S398:S398,"&gt;0")*$C$32+$V$301*$C$31)*$R$301),0)</f>
        <v>0</v>
      </c>
      <c r="U398">
        <f>IF(S398=0,0,-(COUNTIF(S398:S398,"&gt;0")*$T$301*$C$32+$V$301*$C$31)*$H$27*$R$301)</f>
        <v>0</v>
      </c>
      <c r="V398">
        <f>IF(S398=0,0,$V$301*$H$26*$R$301)</f>
        <v>0</v>
      </c>
      <c r="W398">
        <f>(0.6*T398+0.7*U398)*$R$301/2</f>
        <v>0</v>
      </c>
      <c r="X398">
        <f>T398*$R$301/2</f>
        <v>0</v>
      </c>
      <c r="Z398">
        <f>IF(S398=0,0,$AD$301*$AP$280)</f>
        <v>0</v>
      </c>
      <c r="AA398">
        <f>IFERROR(Z398/$R$301,0)</f>
        <v>0</v>
      </c>
      <c r="AB398">
        <f>Z398*($F$24+IF($F$24=0,0,($C$14+$C$15+IF($C$13="single",1.5,3)+3)/12))</f>
        <v>0</v>
      </c>
      <c r="AC398">
        <f>AB398-W398</f>
        <v>0</v>
      </c>
      <c r="AD398" cm="1">
        <f t="array" ref="AD398">IFERROR(IF(AC398&lt;0,0,AC398/($R$301-INDEX(hd_off,MATCH(AQ398,hd_mark,0),0)/12)),0)</f>
        <v>0</v>
      </c>
      <c r="AE398">
        <f>IF(S398=0,0,$AD$301*$AM$280)</f>
        <v>0</v>
      </c>
      <c r="AF398">
        <f>IFERROR(AE398/$R$301,0)</f>
        <v>0</v>
      </c>
      <c r="AG398">
        <f>AE398*($F$24+IF($F$24=0,0,($C$14+$C$15+IF($C$13="single",1.5,3)+3)/12))</f>
        <v>0</v>
      </c>
      <c r="AH398">
        <f>AG398-X398</f>
        <v>0</v>
      </c>
      <c r="AI398" cm="1">
        <f t="array" ref="AI398">IFERROR(IF(AH398&lt;0,0,AH398/($R$301-INDEX(hd_off,MATCH(AQ398,hd_mark,0),0)/12)),0)</f>
        <v>0</v>
      </c>
      <c r="AJ398">
        <f>MAX($F$24,$AB$301)/$Q$308</f>
        <v>0</v>
      </c>
      <c r="AK398">
        <f t="shared" si="235"/>
        <v>0</v>
      </c>
      <c r="AL398" cm="1">
        <f t="array" ref="AL398">IFERROR(INDEX(sheath_ecap_asd,MATCH(AP398,sheath_mark,0),0)*AK398,0)</f>
        <v>0</v>
      </c>
      <c r="AM398" cm="1">
        <f t="array" ref="AM398">IFERROR(INDEX(sheath_wcap_asd,MATCH(AP398,sheath_mark,0),0)*AK398,0)</f>
        <v>0</v>
      </c>
      <c r="AN398" cm="1">
        <f t="array" ref="AN398">IFERROR(INDEX(hd_cap,MATCH(AQ398,hd_mark,0),0),0)</f>
        <v>0</v>
      </c>
      <c r="AP398" s="19"/>
      <c r="AQ398" s="19"/>
      <c r="AR398" s="100"/>
      <c r="AS398" s="93"/>
      <c r="AT398" s="111">
        <f>$R$301</f>
        <v>0</v>
      </c>
      <c r="AU398" t="str">
        <f>$Q$280</f>
        <v>L5</v>
      </c>
      <c r="AV398">
        <f>$E$24</f>
        <v>0</v>
      </c>
      <c r="AW398" cm="1">
        <f t="array" ref="AW398">IFERROR(IF(AV398=0,0,(INDEX($C$33:$C$38,MATCH($AZ$301,$B$33:$B$38,0),0)*(AV399+$BA$301)+$AW$301*COUNTIF(AV398:AV398,"&gt;0")*$C$32+$AY$301*$C$31)*$AU$301),0)</f>
        <v>0</v>
      </c>
      <c r="AX398">
        <f>IF(AV398=0,0,-(COUNTIF(AV398:AV398,"&gt;0")*$AW$301*$C$32+$AY$301*$C$31)*$H$27*$AU$301)</f>
        <v>0</v>
      </c>
      <c r="AY398">
        <f>IF(AV398=0,0,$AY$301*$H$26*$AU$301)</f>
        <v>0</v>
      </c>
      <c r="AZ398">
        <f>(0.6*AW398+0.7*AX398)*$AU$301/2</f>
        <v>0</v>
      </c>
      <c r="BA398">
        <f>AW398*$AU$301/2</f>
        <v>0</v>
      </c>
      <c r="BC398">
        <f>IF(AV398=0,0,$BG$301*$AP$280)</f>
        <v>0</v>
      </c>
      <c r="BD398">
        <f>IFERROR(BC398/$AU$301,0)</f>
        <v>0</v>
      </c>
      <c r="BE398">
        <f>BC398*($F$24+IF($F$24=0,0,($C$14+$C$15+IF($C$13="single",1.5,3)+3)/12))</f>
        <v>0</v>
      </c>
      <c r="BF398">
        <f>BE398-AZ398</f>
        <v>0</v>
      </c>
      <c r="BG398" cm="1">
        <f t="array" ref="BG398">IFERROR(IF(BF398&lt;0,0,BF398/($AU$301-INDEX(hd_off,MATCH(BT398,hd_mark,0),0)/12)),0)</f>
        <v>0</v>
      </c>
      <c r="BH398">
        <f>IF(AV398=0,0,$BG$301*$AM$280)</f>
        <v>0</v>
      </c>
      <c r="BI398">
        <f>IFERROR(BH398/$AU$301,0)</f>
        <v>0</v>
      </c>
      <c r="BJ398">
        <f>BH398*($F$24+IF($F$24=0,0,($C$14+$C$15+IF($C$13="single",1.5,3)+3)/12))</f>
        <v>0</v>
      </c>
      <c r="BK398">
        <f>BJ398-BA398</f>
        <v>0</v>
      </c>
      <c r="BL398" cm="1">
        <f t="array" ref="BL398">IFERROR(IF(BK398&lt;0,0,BK398/($AU$301-INDEX(hd_off,MATCH(BT398,hd_mark,0),0)/12)),0)</f>
        <v>0</v>
      </c>
      <c r="BM398">
        <f>MAX($F$24,$BE$301)/$Q$308</f>
        <v>0</v>
      </c>
      <c r="BN398">
        <f t="shared" si="236"/>
        <v>0</v>
      </c>
      <c r="BO398" cm="1">
        <f t="array" ref="BO398">IFERROR(INDEX(sheath_ecap_asd,MATCH(BS398,sheath_mark,0),0)*BN398,0)</f>
        <v>0</v>
      </c>
      <c r="BP398" cm="1">
        <f t="array" ref="BP398">IFERROR(INDEX(sheath_wcap_asd,MATCH(BS398,sheath_mark,0),0)*BN398,0)</f>
        <v>0</v>
      </c>
      <c r="BQ398" cm="1">
        <f t="array" ref="BQ398">IFERROR(INDEX(hd_cap,MATCH(BT398,hd_mark,0),0),0)</f>
        <v>0</v>
      </c>
      <c r="BS398" s="19"/>
      <c r="BT398" s="19"/>
      <c r="BU398" s="100"/>
    </row>
    <row r="399" x14ac:dyDescent="0.25">
      <c r="P399" s="93"/>
      <c r="Q399" s="109"/>
      <c r="R399" t="str">
        <f>$Q$281</f>
        <v>Roof</v>
      </c>
      <c r="S399">
        <f>$E$25</f>
        <v>33.171875</v>
      </c>
      <c r="T399" cm="1">
        <f t="array" ref="T399">IFERROR(IF(S399=0,0,(INDEX($C$33:$C$38,MATCH($W$301,$B$33:$B$38,0),0)*(S399+$X$301)+$V$301*$C$31)*$R$301),0)</f>
        <v>0</v>
      </c>
      <c r="U399">
        <f>IF(S399=0,0,-$V$301*$C$31*$H$27*$R$301)</f>
        <v>0</v>
      </c>
      <c r="V399">
        <f>IF(S399=0,0,$V$301*$H$26*$R$301)</f>
        <v>0</v>
      </c>
      <c r="W399">
        <f>(0.6*T399+0.7*U399)*$R$301/2</f>
        <v>0</v>
      </c>
      <c r="X399">
        <f>T399*$R$301/2</f>
        <v>0</v>
      </c>
      <c r="Z399">
        <f>IF(S399=0,0,$AD$301*$AP$281)</f>
        <v>0</v>
      </c>
      <c r="AA399">
        <f>IFERROR(Z399/$R$301,0)</f>
        <v>0</v>
      </c>
      <c r="AB399">
        <f>Z399*($F$25+($C$16+$C$17+IF($C$13="single",1.5,3)+3)/12)</f>
        <v>0</v>
      </c>
      <c r="AC399">
        <f>AB399-W399</f>
        <v>0</v>
      </c>
      <c r="AD399" cm="1">
        <f t="array" ref="AD399">IFERROR(IF(AC399&lt;0,0,AC399/($R$301-INDEX(hd_off,MATCH(AQ399,hd_mark,0),0)/12)),0)</f>
        <v>0</v>
      </c>
      <c r="AE399">
        <f>IF(S399=0,0,$AD$301*$AM$281)</f>
        <v>0</v>
      </c>
      <c r="AF399">
        <f>IFERROR(AE399/$R$301,0)</f>
        <v>0</v>
      </c>
      <c r="AG399">
        <f>AE399*($F$25+($C$16+$C$17+IF($C$13="single",1.5,3)+3)/12)</f>
        <v>0</v>
      </c>
      <c r="AH399">
        <f>AG399-X399</f>
        <v>0</v>
      </c>
      <c r="AI399" cm="1">
        <f t="array" ref="AI399">IFERROR(IF(AH399&lt;0,0,AH399/($R$301-INDEX(hd_off,MATCH(AQ399,hd_mark,0),0)/12)),0)</f>
        <v>0</v>
      </c>
      <c r="AJ399">
        <f>MAX($F$25,$AC$301)/$Q$308</f>
        <v>0.29920977011494249</v>
      </c>
      <c r="AK399">
        <f t="shared" si="235"/>
        <v>1</v>
      </c>
      <c r="AL399" cm="1">
        <f t="array" ref="AL399">IFERROR(INDEX(sheath_ecap_asd,MATCH(AP399,sheath_mark,0),0)*AK399,0)</f>
        <v>0</v>
      </c>
      <c r="AM399" cm="1">
        <f t="array" ref="AM399">IFERROR(INDEX(sheath_wcap_asd,MATCH(AP399,sheath_mark,0),0)*AK399,0)</f>
        <v>0</v>
      </c>
      <c r="AN399" cm="1">
        <f t="array" ref="AN399">IFERROR(INDEX(hd_cap,MATCH(AQ399,hd_mark,0),0),0)</f>
        <v>0</v>
      </c>
      <c r="AP399" s="19"/>
      <c r="AQ399" s="19"/>
      <c r="AR399" s="100"/>
      <c r="AS399" s="93"/>
      <c r="BU399" s="100"/>
    </row>
    <row r="400" x14ac:dyDescent="0.25">
      <c r="B400" s="1" t="s">
        <v>569</v>
      </c>
      <c r="C400">
        <f>E16+H16*12</f>
        <v>32.4375</v>
      </c>
      <c r="E400" s="19">
        <v>24</v>
      </c>
      <c r="F400" s="19">
        <f>32+5.625/12</f>
        <v>32.46875</v>
      </c>
      <c r="G400" s="19">
        <f>33+10.5/12</f>
        <v>33.875</v>
      </c>
      <c r="H400">
        <f>(G16-F16)/2</f>
        <v>0.703125</v>
      </c>
      <c r="P400" s="93"/>
      <c r="Q400" t="s">
        <v>524</v>
      </c>
      <c r="R400" s="2" t="str">
        <f>$B$45</f>
        <v>A</v>
      </c>
      <c r="AR400" s="100"/>
      <c r="AS400" s="93"/>
      <c r="AT400" t="s">
        <v>524</v>
      </c>
      <c r="AU400" s="2">
        <f>H45</f>
        <v>1</v>
      </c>
      <c r="BU400" s="100"/>
    </row>
    <row r="401" x14ac:dyDescent="0.25">
      <c r="B401" s="1" t="s">
        <v>500</v>
      </c>
      <c r="C401" s="19">
        <v>0.5</v>
      </c>
      <c r="P401" s="93"/>
      <c r="AR401" s="100"/>
      <c r="AS401" s="93"/>
      <c r="BU401" s="100"/>
    </row>
    <row r="402" x14ac:dyDescent="0.25">
      <c r="P402" s="93"/>
      <c r="R402" t="s">
        <v>482</v>
      </c>
      <c r="Z402" t="s">
        <v>483</v>
      </c>
      <c r="AH402" t="s">
        <v>502</v>
      </c>
      <c r="AJ402" t="s">
        <v>454</v>
      </c>
      <c r="AR402" s="100"/>
      <c r="AS402" s="93"/>
      <c r="AU402" t="s">
        <v>482</v>
      </c>
      <c r="BC402" t="s">
        <v>483</v>
      </c>
      <c r="BK402" t="s">
        <v>502</v>
      </c>
      <c r="BM402" t="s">
        <v>454</v>
      </c>
      <c r="BU402" s="100"/>
    </row>
    <row r="403" x14ac:dyDescent="0.25">
      <c r="B403" t="s">
        <v>448</v>
      </c>
      <c r="C403" t="s">
        <v>272</v>
      </c>
      <c r="D403" t="s">
        <v>193</v>
      </c>
      <c r="E403" s="70" t="s">
        <v>454</v>
      </c>
      <c r="F403" s="71" t="s">
        <v>501</v>
      </c>
      <c r="H403" t="s">
        <v>475</v>
      </c>
      <c r="J403" t="s">
        <v>476</v>
      </c>
      <c r="P403" s="93"/>
      <c r="R403" t="s">
        <v>480</v>
      </c>
      <c r="S403" t="s">
        <v>481</v>
      </c>
      <c r="T403" t="s">
        <v>486</v>
      </c>
      <c r="U403" t="s">
        <v>487</v>
      </c>
      <c r="V403" t="s">
        <v>484</v>
      </c>
      <c r="W403" t="s">
        <v>485</v>
      </c>
      <c r="X403" t="s">
        <v>488</v>
      </c>
      <c r="Y403" t="s">
        <v>489</v>
      </c>
      <c r="Z403" t="s">
        <v>480</v>
      </c>
      <c r="AA403" t="s">
        <v>481</v>
      </c>
      <c r="AB403" t="s">
        <v>486</v>
      </c>
      <c r="AC403" t="s">
        <v>487</v>
      </c>
      <c r="AD403" t="s">
        <v>484</v>
      </c>
      <c r="AE403" t="s">
        <v>485</v>
      </c>
      <c r="AF403" t="s">
        <v>488</v>
      </c>
      <c r="AG403" t="s">
        <v>489</v>
      </c>
      <c r="AH403" t="s">
        <v>312</v>
      </c>
      <c r="AI403" t="s">
        <v>258</v>
      </c>
      <c r="AJ403" t="s">
        <v>486</v>
      </c>
      <c r="AK403" t="s">
        <v>490</v>
      </c>
      <c r="AL403" t="s">
        <v>487</v>
      </c>
      <c r="AM403" t="s">
        <v>490</v>
      </c>
      <c r="AN403" t="s">
        <v>488</v>
      </c>
      <c r="AO403" t="s">
        <v>490</v>
      </c>
      <c r="AP403" t="s">
        <v>489</v>
      </c>
      <c r="AQ403" t="s">
        <v>490</v>
      </c>
      <c r="AR403" s="100"/>
      <c r="AS403" s="93"/>
      <c r="AU403" t="s">
        <v>480</v>
      </c>
      <c r="AV403" t="s">
        <v>481</v>
      </c>
      <c r="AW403" t="s">
        <v>486</v>
      </c>
      <c r="AX403" t="s">
        <v>487</v>
      </c>
      <c r="AY403" t="s">
        <v>484</v>
      </c>
      <c r="AZ403" t="s">
        <v>485</v>
      </c>
      <c r="BA403" t="s">
        <v>488</v>
      </c>
      <c r="BB403" t="s">
        <v>489</v>
      </c>
      <c r="BC403" t="s">
        <v>480</v>
      </c>
      <c r="BD403" t="s">
        <v>481</v>
      </c>
      <c r="BE403" t="s">
        <v>486</v>
      </c>
      <c r="BF403" t="s">
        <v>487</v>
      </c>
      <c r="BG403" t="s">
        <v>484</v>
      </c>
      <c r="BH403" t="s">
        <v>485</v>
      </c>
      <c r="BI403" t="s">
        <v>488</v>
      </c>
      <c r="BJ403" t="s">
        <v>489</v>
      </c>
      <c r="BK403" t="s">
        <v>312</v>
      </c>
      <c r="BL403" t="s">
        <v>258</v>
      </c>
      <c r="BM403" t="s">
        <v>486</v>
      </c>
      <c r="BN403" t="s">
        <v>490</v>
      </c>
      <c r="BO403" t="s">
        <v>487</v>
      </c>
      <c r="BP403" t="s">
        <v>490</v>
      </c>
      <c r="BQ403" t="s">
        <v>488</v>
      </c>
      <c r="BR403" t="s">
        <v>490</v>
      </c>
      <c r="BS403" t="s">
        <v>489</v>
      </c>
      <c r="BT403" t="s">
        <v>490</v>
      </c>
      <c r="BU403" s="100"/>
    </row>
    <row r="404" x14ac:dyDescent="0.25">
      <c r="B404" t="s">
        <v>449</v>
      </c>
      <c r="C404" s="19">
        <v>0</v>
      </c>
      <c r="D404" s="19">
        <v>0</v>
      </c>
      <c r="E404" s="66">
        <f>C20+D20/12</f>
        <v>0</v>
      </c>
      <c r="F404" s="67">
        <v>0</v>
      </c>
      <c r="H404" s="19">
        <v>0</v>
      </c>
      <c r="I404" s="64" t="s">
        <v>196</v>
      </c>
      <c r="J404" s="19">
        <v>0</v>
      </c>
      <c r="K404" s="19">
        <v>0</v>
      </c>
      <c r="L404" s="19">
        <v>0</v>
      </c>
      <c r="M404" s="19">
        <v>0</v>
      </c>
      <c r="P404" s="93"/>
      <c r="Q404" t="s">
        <v>449</v>
      </c>
      <c r="R404" s="19">
        <f>$H$20</f>
        <v>0</v>
      </c>
      <c r="S404">
        <f>R404*0.6</f>
        <v>0</v>
      </c>
      <c r="T404">
        <f>$C$45/2*R404</f>
        <v>0</v>
      </c>
      <c r="U404">
        <f>T404*0.6</f>
        <v>0</v>
      </c>
      <c r="V404" s="19">
        <v>0</v>
      </c>
      <c r="W404">
        <f>V404*0.7</f>
        <v>0</v>
      </c>
      <c r="X404">
        <f>$C$45/2*V404</f>
        <v>0</v>
      </c>
      <c r="Y404">
        <f>X404*0.7</f>
        <v>0</v>
      </c>
      <c r="Z404" s="19">
        <f>$H$20</f>
        <v>0</v>
      </c>
      <c r="AA404">
        <f>Z404*0.6</f>
        <v>0</v>
      </c>
      <c r="AB404">
        <f>$D$45/2*Z404</f>
        <v>0</v>
      </c>
      <c r="AC404">
        <f t="shared" ref="AC404:AC410" si="237">0.6*AB404</f>
        <v>0</v>
      </c>
      <c r="AD404" s="19">
        <v>0</v>
      </c>
      <c r="AE404">
        <f>AD404*0.7</f>
        <v>0</v>
      </c>
      <c r="AF404">
        <f>$D$45/2*AD404</f>
        <v>0</v>
      </c>
      <c r="AG404">
        <f>AF404*0.7</f>
        <v>0</v>
      </c>
      <c r="AH404" s="19">
        <v>0</v>
      </c>
      <c r="AI404" s="19">
        <v>0</v>
      </c>
      <c r="AJ404" s="17">
        <f>T404+AB404+AH404</f>
        <v>0</v>
      </c>
      <c r="AK404" s="17">
        <f>AK405+AJ404</f>
        <v>13166</v>
      </c>
      <c r="AL404" s="17">
        <f>AJ404*0.6</f>
        <v>0</v>
      </c>
      <c r="AM404" s="17">
        <f>AM405+AL404</f>
        <v>7899.5999999999995</v>
      </c>
      <c r="AN404" s="17">
        <f>X404+AF404+AI404</f>
        <v>0</v>
      </c>
      <c r="AO404" s="17">
        <f t="shared" ref="AO404:AQ407" si="238">AN404+AO405</f>
        <v>1302.0999999999999</v>
      </c>
      <c r="AP404" s="17">
        <f>AN404*0.7</f>
        <v>0</v>
      </c>
      <c r="AQ404" s="17">
        <f>AP404+AQ405</f>
        <v>911.46999999999991</v>
      </c>
      <c r="AR404" s="100"/>
      <c r="AS404" s="93"/>
      <c r="AT404" t="s">
        <v>449</v>
      </c>
      <c r="AU404" s="19">
        <f>$H$20</f>
        <v>0</v>
      </c>
      <c r="AV404">
        <f>AU404*0.6</f>
        <v>0</v>
      </c>
      <c r="AW404">
        <f t="shared" ref="AW404:AW410" si="239">$I$45/2*AU404</f>
        <v>0</v>
      </c>
      <c r="AX404">
        <f>AW404*0.6</f>
        <v>0</v>
      </c>
      <c r="AY404" s="19">
        <v>0</v>
      </c>
      <c r="AZ404">
        <f>AY404*0.7</f>
        <v>0</v>
      </c>
      <c r="BA404">
        <f t="shared" ref="BA404:BA409" si="240">$I$45/2*AY404</f>
        <v>0</v>
      </c>
      <c r="BB404">
        <f>BA404*0.7</f>
        <v>0</v>
      </c>
      <c r="BC404" s="19">
        <f>$H$20</f>
        <v>0</v>
      </c>
      <c r="BD404">
        <f>BC404*0.6</f>
        <v>0</v>
      </c>
      <c r="BE404">
        <f t="shared" ref="BE404:BE410" si="241">$J$45/2*BC404</f>
        <v>0</v>
      </c>
      <c r="BF404">
        <f t="shared" ref="BF404:BF410" si="242">0.6*BE404</f>
        <v>0</v>
      </c>
      <c r="BG404" s="19">
        <v>0</v>
      </c>
      <c r="BH404">
        <f>BG404*0.7</f>
        <v>0</v>
      </c>
      <c r="BI404">
        <f t="shared" ref="BI404:BI409" si="243">$J$45/2*BG404</f>
        <v>0</v>
      </c>
      <c r="BJ404">
        <f>BI404*0.7</f>
        <v>0</v>
      </c>
      <c r="BK404" s="19">
        <v>0</v>
      </c>
      <c r="BL404" s="19">
        <v>0</v>
      </c>
      <c r="BM404" s="17">
        <f>AW404+BE404+BK404</f>
        <v>0</v>
      </c>
      <c r="BN404" s="17">
        <f>BN405+BM404</f>
        <v>12258</v>
      </c>
      <c r="BO404" s="17">
        <f>BM404*0.6</f>
        <v>0</v>
      </c>
      <c r="BP404" s="17">
        <f>BP405+BO404</f>
        <v>7354.7999999999993</v>
      </c>
      <c r="BQ404" s="17">
        <f>BA404+BI404+BL404</f>
        <v>0</v>
      </c>
      <c r="BR404" s="17">
        <f t="shared" ref="BR404:BR407" si="244">BQ404+BR405</f>
        <v>1212.3</v>
      </c>
      <c r="BS404" s="17">
        <f>BQ404*0.7</f>
        <v>0</v>
      </c>
      <c r="BT404" s="17">
        <f>BS404+BT405</f>
        <v>848.6099999999999</v>
      </c>
      <c r="BU404" s="100"/>
    </row>
    <row r="405" x14ac:dyDescent="0.25">
      <c r="B405" t="s">
        <v>450</v>
      </c>
      <c r="C405" s="19">
        <v>10</v>
      </c>
      <c r="D405" s="19">
        <v>8.25</v>
      </c>
      <c r="E405" s="66">
        <f>C21+D21/12</f>
        <v>10.6875</v>
      </c>
      <c r="F405" s="67">
        <f>IF(E21&gt;0,E21-(C15+C14+2*1.5+IF(C13="single",1.5,3))/12-_xlfn.XLOOKUP(E21,E20,E20,,-1),0)</f>
        <v>8.75</v>
      </c>
      <c r="H405" s="19">
        <v>236</v>
      </c>
      <c r="I405" s="64" t="s">
        <v>196</v>
      </c>
      <c r="J405" s="19">
        <v>33.799999999999997</v>
      </c>
      <c r="K405" s="19">
        <v>65.599999999999994</v>
      </c>
      <c r="L405" s="19">
        <v>19.3</v>
      </c>
      <c r="M405" s="19">
        <v>119.6</v>
      </c>
      <c r="P405" s="93"/>
      <c r="Q405" t="s">
        <v>450</v>
      </c>
      <c r="R405" s="19">
        <f>$H$21</f>
        <v>236</v>
      </c>
      <c r="S405">
        <f t="shared" ref="S405:S410" si="245">R405*0.6</f>
        <v>141.6</v>
      </c>
      <c r="T405">
        <f t="shared" ref="T405:T409" si="246">$C$45/2*R405</f>
        <v>0</v>
      </c>
      <c r="U405">
        <f>T405*0.6</f>
        <v>0</v>
      </c>
      <c r="V405" s="19">
        <v>33.799999999999997</v>
      </c>
      <c r="W405">
        <f t="shared" ref="W405:W409" si="247">V405*0.7</f>
        <v>23.659999999999997</v>
      </c>
      <c r="X405">
        <f t="shared" ref="X405:X409" si="248">$C$45/2*V405</f>
        <v>0</v>
      </c>
      <c r="Y405">
        <f t="shared" ref="Y405:Y409" si="249">X405*0.7</f>
        <v>0</v>
      </c>
      <c r="Z405" s="19">
        <f>$H$21</f>
        <v>236</v>
      </c>
      <c r="AA405">
        <f t="shared" ref="AA405:AA409" si="250">Z405*0.6</f>
        <v>141.6</v>
      </c>
      <c r="AB405">
        <f t="shared" ref="AB405:AB409" si="251">$D$45/2*Z405</f>
        <v>3422</v>
      </c>
      <c r="AC405">
        <f t="shared" si="237"/>
        <v>2053.1999999999998</v>
      </c>
      <c r="AD405" s="19">
        <v>33.799999999999997</v>
      </c>
      <c r="AE405">
        <f t="shared" ref="AE405:AE409" si="252">AD405*0.7</f>
        <v>23.659999999999997</v>
      </c>
      <c r="AF405">
        <f t="shared" ref="AF405:AF409" si="253">$D$45/2*AD405</f>
        <v>490.09999999999997</v>
      </c>
      <c r="AG405">
        <f t="shared" ref="AG405:AG409" si="254">AF405*0.7</f>
        <v>343.06999999999994</v>
      </c>
      <c r="AH405" s="19">
        <v>0</v>
      </c>
      <c r="AI405" s="19">
        <v>0</v>
      </c>
      <c r="AJ405" s="17">
        <f>T405+AB405+AH405</f>
        <v>3422</v>
      </c>
      <c r="AK405" s="17">
        <f>AK406+AJ405</f>
        <v>13166</v>
      </c>
      <c r="AL405" s="17">
        <f t="shared" ref="AL405:AL409" si="255">AJ405*0.6</f>
        <v>2053.1999999999998</v>
      </c>
      <c r="AM405" s="17">
        <f t="shared" ref="AM405:AM407" si="256">AM406+AL405</f>
        <v>7899.5999999999995</v>
      </c>
      <c r="AN405" s="17">
        <f t="shared" ref="AN405:AN408" si="257">X405+AF405+AI405</f>
        <v>490.09999999999997</v>
      </c>
      <c r="AO405" s="17">
        <f t="shared" si="238"/>
        <v>1302.0999999999999</v>
      </c>
      <c r="AP405" s="17">
        <f t="shared" ref="AP405:AP408" si="258">AN405*0.7</f>
        <v>343.06999999999994</v>
      </c>
      <c r="AQ405" s="17">
        <f t="shared" si="238"/>
        <v>911.46999999999991</v>
      </c>
      <c r="AR405" s="100"/>
      <c r="AS405" s="93"/>
      <c r="AT405" t="s">
        <v>450</v>
      </c>
      <c r="AU405" s="19">
        <f>$H$21</f>
        <v>236</v>
      </c>
      <c r="AV405">
        <f t="shared" ref="AV405:AV410" si="259">AU405*0.6</f>
        <v>141.6</v>
      </c>
      <c r="AW405">
        <f t="shared" si="239"/>
        <v>0</v>
      </c>
      <c r="AX405">
        <f>AW405*0.6</f>
        <v>0</v>
      </c>
      <c r="AY405" s="19">
        <v>33.799999999999997</v>
      </c>
      <c r="AZ405">
        <f t="shared" ref="AZ405:AZ409" si="260">AY405*0.7</f>
        <v>23.659999999999997</v>
      </c>
      <c r="BA405">
        <f t="shared" si="240"/>
        <v>0</v>
      </c>
      <c r="BB405">
        <f t="shared" ref="BB405:BB409" si="261">BA405*0.7</f>
        <v>0</v>
      </c>
      <c r="BC405" s="19">
        <f>$H$21</f>
        <v>236</v>
      </c>
      <c r="BD405">
        <f t="shared" ref="BD405:BD409" si="262">BC405*0.6</f>
        <v>141.6</v>
      </c>
      <c r="BE405">
        <f t="shared" si="241"/>
        <v>3186</v>
      </c>
      <c r="BF405">
        <f t="shared" si="242"/>
        <v>1911.6</v>
      </c>
      <c r="BG405" s="19">
        <v>33.799999999999997</v>
      </c>
      <c r="BH405">
        <f t="shared" ref="BH405:BH409" si="263">BG405*0.7</f>
        <v>23.659999999999997</v>
      </c>
      <c r="BI405">
        <f t="shared" si="243"/>
        <v>456.29999999999995</v>
      </c>
      <c r="BJ405">
        <f t="shared" ref="BJ405:BJ409" si="264">BI405*0.7</f>
        <v>319.40999999999997</v>
      </c>
      <c r="BK405" s="19">
        <v>0</v>
      </c>
      <c r="BL405" s="19">
        <v>0</v>
      </c>
      <c r="BM405" s="17">
        <f>AW405+BE405+BK405</f>
        <v>3186</v>
      </c>
      <c r="BN405" s="17">
        <f>BN406+BM405</f>
        <v>12258</v>
      </c>
      <c r="BO405" s="17">
        <f t="shared" ref="BO405" si="265">BM405*0.6</f>
        <v>1911.6</v>
      </c>
      <c r="BP405" s="17">
        <f t="shared" ref="BP405:BP407" si="266">BP406+BO405</f>
        <v>7354.7999999999993</v>
      </c>
      <c r="BQ405" s="17">
        <f t="shared" ref="BQ405:BQ408" si="267">BA405+BI405+BL405</f>
        <v>456.29999999999995</v>
      </c>
      <c r="BR405" s="17">
        <f t="shared" si="244"/>
        <v>1212.3</v>
      </c>
      <c r="BS405" s="17">
        <f t="shared" ref="BS405:BS408" si="268">BQ405*0.7</f>
        <v>319.40999999999997</v>
      </c>
      <c r="BT405" s="17">
        <f t="shared" ref="BT405:BT407" si="269">BS405+BT406</f>
        <v>848.6099999999999</v>
      </c>
      <c r="BU405" s="100"/>
    </row>
    <row r="406" x14ac:dyDescent="0.25">
      <c r="B406" t="s">
        <v>451</v>
      </c>
      <c r="C406" s="19">
        <v>21</v>
      </c>
      <c r="D406" s="19">
        <v>4.5</v>
      </c>
      <c r="E406" s="66">
        <f t="shared" ref="E22:E25" si="270">C22+D22/12</f>
        <v>21.375</v>
      </c>
      <c r="F406" s="67">
        <f>IF(E22&gt;0,E22-(C15+C14+2*1.5+IF(C13="single",1.5,3))/12-_xlfn.XLOOKUP(E22,E20:E21,E20:E21,,-1),0)</f>
        <v>8.75</v>
      </c>
      <c r="H406" s="19">
        <v>229</v>
      </c>
      <c r="I406" s="64" t="s">
        <v>196</v>
      </c>
      <c r="J406" s="19">
        <v>37.1</v>
      </c>
      <c r="K406" s="19">
        <v>71.8</v>
      </c>
      <c r="L406" s="19">
        <v>21.1</v>
      </c>
      <c r="M406" s="19">
        <v>131.1</v>
      </c>
      <c r="P406" s="93"/>
      <c r="Q406" t="s">
        <v>451</v>
      </c>
      <c r="R406" s="19">
        <f>$H$22</f>
        <v>229</v>
      </c>
      <c r="S406">
        <f t="shared" si="245"/>
        <v>137.4</v>
      </c>
      <c r="T406">
        <f t="shared" si="246"/>
        <v>0</v>
      </c>
      <c r="U406">
        <f t="shared" ref="U406:U410" si="271">T406*0.6</f>
        <v>0</v>
      </c>
      <c r="V406" s="19">
        <v>37.1</v>
      </c>
      <c r="W406">
        <f t="shared" si="247"/>
        <v>25.97</v>
      </c>
      <c r="X406">
        <f>$C$45/2*V406</f>
        <v>0</v>
      </c>
      <c r="Y406">
        <f t="shared" si="249"/>
        <v>0</v>
      </c>
      <c r="Z406" s="19">
        <f>$H$22</f>
        <v>229</v>
      </c>
      <c r="AA406">
        <f t="shared" si="250"/>
        <v>137.4</v>
      </c>
      <c r="AB406">
        <f t="shared" si="251"/>
        <v>3320.5</v>
      </c>
      <c r="AC406">
        <f t="shared" si="237"/>
        <v>1992.3</v>
      </c>
      <c r="AD406" s="19">
        <v>37.1</v>
      </c>
      <c r="AE406">
        <f t="shared" si="252"/>
        <v>25.97</v>
      </c>
      <c r="AF406">
        <f t="shared" si="253"/>
        <v>537.95000000000005</v>
      </c>
      <c r="AG406">
        <f t="shared" si="254"/>
        <v>376.565</v>
      </c>
      <c r="AH406" s="19">
        <v>0</v>
      </c>
      <c r="AI406" s="19">
        <v>0</v>
      </c>
      <c r="AJ406" s="17">
        <f t="shared" ref="AJ406:AJ408" si="272">T406+AB406+AH406</f>
        <v>3320.5</v>
      </c>
      <c r="AK406" s="17">
        <f>AK407+AJ406</f>
        <v>9744</v>
      </c>
      <c r="AL406" s="17">
        <f>AJ406*0.6</f>
        <v>1992.3</v>
      </c>
      <c r="AM406" s="17">
        <f t="shared" si="256"/>
        <v>5846.4</v>
      </c>
      <c r="AN406" s="17">
        <f t="shared" si="257"/>
        <v>537.95000000000005</v>
      </c>
      <c r="AO406" s="17">
        <f t="shared" si="238"/>
        <v>812</v>
      </c>
      <c r="AP406" s="17">
        <f t="shared" si="258"/>
        <v>376.565</v>
      </c>
      <c r="AQ406" s="17">
        <f t="shared" si="238"/>
        <v>568.4</v>
      </c>
      <c r="AR406" s="100"/>
      <c r="AS406" s="93"/>
      <c r="AT406" t="s">
        <v>451</v>
      </c>
      <c r="AU406" s="19">
        <f>$H$22</f>
        <v>229</v>
      </c>
      <c r="AV406">
        <f t="shared" si="259"/>
        <v>137.4</v>
      </c>
      <c r="AW406">
        <f t="shared" si="239"/>
        <v>0</v>
      </c>
      <c r="AX406">
        <f t="shared" ref="AX406:AX410" si="273">AW406*0.6</f>
        <v>0</v>
      </c>
      <c r="AY406" s="19">
        <v>37.1</v>
      </c>
      <c r="AZ406">
        <f t="shared" si="260"/>
        <v>25.97</v>
      </c>
      <c r="BA406">
        <f t="shared" si="240"/>
        <v>0</v>
      </c>
      <c r="BB406">
        <f t="shared" si="261"/>
        <v>0</v>
      </c>
      <c r="BC406" s="19">
        <f>$H$22</f>
        <v>229</v>
      </c>
      <c r="BD406">
        <f t="shared" si="262"/>
        <v>137.4</v>
      </c>
      <c r="BE406">
        <f t="shared" si="241"/>
        <v>3091.5</v>
      </c>
      <c r="BF406">
        <f t="shared" si="242"/>
        <v>1854.8999999999999</v>
      </c>
      <c r="BG406" s="19">
        <v>37.1</v>
      </c>
      <c r="BH406">
        <f t="shared" si="263"/>
        <v>25.97</v>
      </c>
      <c r="BI406">
        <f t="shared" si="243"/>
        <v>500.85</v>
      </c>
      <c r="BJ406">
        <f t="shared" si="264"/>
        <v>350.59499999999997</v>
      </c>
      <c r="BK406" s="19">
        <v>0</v>
      </c>
      <c r="BL406" s="19">
        <v>0</v>
      </c>
      <c r="BM406" s="17">
        <f t="shared" ref="BM406:BM408" si="274">AW406+BE406+BK406</f>
        <v>3091.5</v>
      </c>
      <c r="BN406" s="17">
        <f>BN407+BM406</f>
        <v>9072</v>
      </c>
      <c r="BO406" s="17">
        <f>BM406*0.6</f>
        <v>1854.8999999999999</v>
      </c>
      <c r="BP406" s="17">
        <f t="shared" si="266"/>
        <v>5443.2</v>
      </c>
      <c r="BQ406" s="17">
        <f t="shared" si="267"/>
        <v>500.85</v>
      </c>
      <c r="BR406" s="17">
        <f t="shared" si="244"/>
        <v>756</v>
      </c>
      <c r="BS406" s="17">
        <f t="shared" si="268"/>
        <v>350.59499999999997</v>
      </c>
      <c r="BT406" s="17">
        <f t="shared" si="269"/>
        <v>529.19999999999993</v>
      </c>
      <c r="BU406" s="100"/>
    </row>
    <row r="407" x14ac:dyDescent="0.25">
      <c r="B407" t="s">
        <v>452</v>
      </c>
      <c r="C407" s="19">
        <v>0</v>
      </c>
      <c r="D407" s="19">
        <v>0</v>
      </c>
      <c r="E407" s="66">
        <f t="shared" si="270"/>
        <v>0</v>
      </c>
      <c r="F407" s="67">
        <f>IF(E23&gt;0,E23-(C15+C14+2*1.5+IF(C13="single",1.5,3))/12-_xlfn.XLOOKUP(E23,E20:E22,E20:E22,,-1),0)</f>
        <v>0</v>
      </c>
      <c r="H407" s="19">
        <v>0</v>
      </c>
      <c r="I407" s="64" t="s">
        <v>196</v>
      </c>
      <c r="J407" s="19">
        <v>0</v>
      </c>
      <c r="K407" s="19">
        <v>0</v>
      </c>
      <c r="L407" s="19">
        <v>0</v>
      </c>
      <c r="M407" s="19">
        <v>0</v>
      </c>
      <c r="P407" s="93"/>
      <c r="Q407" t="s">
        <v>452</v>
      </c>
      <c r="R407" s="19">
        <f>$H$23</f>
        <v>0</v>
      </c>
      <c r="S407">
        <f t="shared" si="245"/>
        <v>0</v>
      </c>
      <c r="T407">
        <f t="shared" si="246"/>
        <v>0</v>
      </c>
      <c r="U407">
        <f t="shared" si="271"/>
        <v>0</v>
      </c>
      <c r="V407" s="19">
        <v>0</v>
      </c>
      <c r="W407">
        <f t="shared" si="247"/>
        <v>0</v>
      </c>
      <c r="X407">
        <f t="shared" si="248"/>
        <v>0</v>
      </c>
      <c r="Y407">
        <f t="shared" si="249"/>
        <v>0</v>
      </c>
      <c r="Z407" s="19">
        <f>$H$23</f>
        <v>0</v>
      </c>
      <c r="AA407">
        <f t="shared" si="250"/>
        <v>0</v>
      </c>
      <c r="AB407">
        <f t="shared" si="251"/>
        <v>0</v>
      </c>
      <c r="AC407">
        <f t="shared" si="237"/>
        <v>0</v>
      </c>
      <c r="AD407" s="19">
        <v>0</v>
      </c>
      <c r="AE407">
        <f t="shared" si="252"/>
        <v>0</v>
      </c>
      <c r="AF407">
        <f t="shared" si="253"/>
        <v>0</v>
      </c>
      <c r="AG407">
        <f t="shared" si="254"/>
        <v>0</v>
      </c>
      <c r="AH407" s="19">
        <v>0</v>
      </c>
      <c r="AI407" s="19">
        <v>0</v>
      </c>
      <c r="AJ407" s="17">
        <f t="shared" si="272"/>
        <v>0</v>
      </c>
      <c r="AK407" s="17">
        <f>AK408+AJ407</f>
        <v>6423.5</v>
      </c>
      <c r="AL407" s="17">
        <f>AJ407*0.6</f>
        <v>0</v>
      </c>
      <c r="AM407" s="17">
        <f t="shared" si="256"/>
        <v>3854.1</v>
      </c>
      <c r="AN407" s="17">
        <f t="shared" si="257"/>
        <v>0</v>
      </c>
      <c r="AO407" s="17">
        <f t="shared" si="238"/>
        <v>274.04999999999995</v>
      </c>
      <c r="AP407" s="17">
        <f t="shared" si="258"/>
        <v>0</v>
      </c>
      <c r="AQ407" s="17">
        <f t="shared" si="238"/>
        <v>191.83499999999995</v>
      </c>
      <c r="AR407" s="100"/>
      <c r="AS407" s="93"/>
      <c r="AT407" t="s">
        <v>452</v>
      </c>
      <c r="AU407" s="19">
        <f>$H$23</f>
        <v>0</v>
      </c>
      <c r="AV407">
        <f t="shared" si="259"/>
        <v>0</v>
      </c>
      <c r="AW407">
        <f t="shared" si="239"/>
        <v>0</v>
      </c>
      <c r="AX407">
        <f t="shared" si="273"/>
        <v>0</v>
      </c>
      <c r="AY407" s="19">
        <v>0</v>
      </c>
      <c r="AZ407">
        <f t="shared" si="260"/>
        <v>0</v>
      </c>
      <c r="BA407">
        <f t="shared" si="240"/>
        <v>0</v>
      </c>
      <c r="BB407">
        <f t="shared" si="261"/>
        <v>0</v>
      </c>
      <c r="BC407" s="19">
        <f>$H$23</f>
        <v>0</v>
      </c>
      <c r="BD407">
        <f t="shared" si="262"/>
        <v>0</v>
      </c>
      <c r="BE407">
        <f t="shared" si="241"/>
        <v>0</v>
      </c>
      <c r="BF407">
        <f t="shared" si="242"/>
        <v>0</v>
      </c>
      <c r="BG407" s="19">
        <v>0</v>
      </c>
      <c r="BH407">
        <f t="shared" si="263"/>
        <v>0</v>
      </c>
      <c r="BI407">
        <f t="shared" si="243"/>
        <v>0</v>
      </c>
      <c r="BJ407">
        <f t="shared" si="264"/>
        <v>0</v>
      </c>
      <c r="BK407" s="19">
        <v>0</v>
      </c>
      <c r="BL407" s="19">
        <v>0</v>
      </c>
      <c r="BM407" s="17">
        <f t="shared" si="274"/>
        <v>0</v>
      </c>
      <c r="BN407" s="17">
        <f>BN408+BM407</f>
        <v>5980.5</v>
      </c>
      <c r="BO407" s="17">
        <f>BM407*0.6</f>
        <v>0</v>
      </c>
      <c r="BP407" s="17">
        <f t="shared" si="266"/>
        <v>3588.2999999999997</v>
      </c>
      <c r="BQ407" s="17">
        <f t="shared" si="267"/>
        <v>0</v>
      </c>
      <c r="BR407" s="17">
        <f t="shared" si="244"/>
        <v>255.14999999999998</v>
      </c>
      <c r="BS407" s="17">
        <f t="shared" si="268"/>
        <v>0</v>
      </c>
      <c r="BT407" s="17">
        <f t="shared" si="269"/>
        <v>178.60499999999996</v>
      </c>
      <c r="BU407" s="100"/>
    </row>
    <row r="408" x14ac:dyDescent="0.25">
      <c r="B408" t="s">
        <v>453</v>
      </c>
      <c r="C408" s="19">
        <v>0</v>
      </c>
      <c r="D408" s="19">
        <v>0</v>
      </c>
      <c r="E408" s="66">
        <f t="shared" si="270"/>
        <v>0</v>
      </c>
      <c r="F408" s="67">
        <f>IF(E24&gt;0,E24-(C15+C14+2*1.5+IF(C13="single",1.5,3))/12-_xlfn.XLOOKUP(E24,E20:E23,E20:E23,,-1),0)</f>
        <v>0</v>
      </c>
      <c r="H408" s="19">
        <v>0</v>
      </c>
      <c r="I408" s="64" t="s">
        <v>196</v>
      </c>
      <c r="J408" s="19">
        <v>0</v>
      </c>
      <c r="K408" s="19">
        <v>0</v>
      </c>
      <c r="L408" s="19">
        <v>0</v>
      </c>
      <c r="M408" s="19">
        <v>0</v>
      </c>
      <c r="P408" s="93"/>
      <c r="Q408" t="s">
        <v>453</v>
      </c>
      <c r="R408" s="19">
        <f>$H$24</f>
        <v>0</v>
      </c>
      <c r="S408">
        <f t="shared" si="245"/>
        <v>0</v>
      </c>
      <c r="T408">
        <f t="shared" si="246"/>
        <v>0</v>
      </c>
      <c r="U408">
        <f t="shared" si="271"/>
        <v>0</v>
      </c>
      <c r="V408" s="19">
        <v>0</v>
      </c>
      <c r="W408">
        <f t="shared" si="247"/>
        <v>0</v>
      </c>
      <c r="X408">
        <f t="shared" si="248"/>
        <v>0</v>
      </c>
      <c r="Y408">
        <f t="shared" si="249"/>
        <v>0</v>
      </c>
      <c r="Z408" s="19">
        <f>$H$24</f>
        <v>0</v>
      </c>
      <c r="AA408">
        <f t="shared" si="250"/>
        <v>0</v>
      </c>
      <c r="AB408">
        <f t="shared" si="251"/>
        <v>0</v>
      </c>
      <c r="AC408">
        <f t="shared" si="237"/>
        <v>0</v>
      </c>
      <c r="AD408" s="19">
        <v>0</v>
      </c>
      <c r="AE408">
        <f t="shared" si="252"/>
        <v>0</v>
      </c>
      <c r="AF408">
        <f t="shared" si="253"/>
        <v>0</v>
      </c>
      <c r="AG408">
        <f t="shared" si="254"/>
        <v>0</v>
      </c>
      <c r="AH408" s="19">
        <v>0</v>
      </c>
      <c r="AI408" s="19">
        <v>0</v>
      </c>
      <c r="AJ408" s="17">
        <f t="shared" si="272"/>
        <v>0</v>
      </c>
      <c r="AK408" s="17">
        <f>AK409+IF(AJ408=0,0,AJ408)</f>
        <v>6423.5</v>
      </c>
      <c r="AL408" s="17">
        <f t="shared" si="255"/>
        <v>0</v>
      </c>
      <c r="AM408" s="17">
        <f>AM409+AL408</f>
        <v>3854.1</v>
      </c>
      <c r="AN408" s="17">
        <f t="shared" si="257"/>
        <v>0</v>
      </c>
      <c r="AO408" s="17">
        <f>AN408+AO409</f>
        <v>274.04999999999995</v>
      </c>
      <c r="AP408" s="17">
        <f t="shared" si="258"/>
        <v>0</v>
      </c>
      <c r="AQ408" s="17">
        <f>AP408+AQ409</f>
        <v>191.83499999999995</v>
      </c>
      <c r="AR408" s="100"/>
      <c r="AS408" s="93"/>
      <c r="AT408" t="s">
        <v>453</v>
      </c>
      <c r="AU408" s="19">
        <f>$H$24</f>
        <v>0</v>
      </c>
      <c r="AV408">
        <f t="shared" si="259"/>
        <v>0</v>
      </c>
      <c r="AW408">
        <f t="shared" si="239"/>
        <v>0</v>
      </c>
      <c r="AX408">
        <f t="shared" si="273"/>
        <v>0</v>
      </c>
      <c r="AY408" s="19">
        <v>0</v>
      </c>
      <c r="AZ408">
        <f t="shared" si="260"/>
        <v>0</v>
      </c>
      <c r="BA408">
        <f t="shared" si="240"/>
        <v>0</v>
      </c>
      <c r="BB408">
        <f t="shared" si="261"/>
        <v>0</v>
      </c>
      <c r="BC408" s="19">
        <f>$H$24</f>
        <v>0</v>
      </c>
      <c r="BD408">
        <f t="shared" si="262"/>
        <v>0</v>
      </c>
      <c r="BE408">
        <f t="shared" si="241"/>
        <v>0</v>
      </c>
      <c r="BF408">
        <f t="shared" si="242"/>
        <v>0</v>
      </c>
      <c r="BG408" s="19">
        <v>0</v>
      </c>
      <c r="BH408">
        <f t="shared" si="263"/>
        <v>0</v>
      </c>
      <c r="BI408">
        <f t="shared" si="243"/>
        <v>0</v>
      </c>
      <c r="BJ408">
        <f t="shared" si="264"/>
        <v>0</v>
      </c>
      <c r="BK408" s="19">
        <v>0</v>
      </c>
      <c r="BL408" s="19">
        <v>0</v>
      </c>
      <c r="BM408" s="17">
        <f t="shared" si="274"/>
        <v>0</v>
      </c>
      <c r="BN408" s="17">
        <f>BN409+IF(BM408=0,0,BM408)</f>
        <v>5980.5</v>
      </c>
      <c r="BO408" s="17">
        <f t="shared" ref="BO408:BO409" si="275">BM408*0.6</f>
        <v>0</v>
      </c>
      <c r="BP408" s="17">
        <f>BP409+BO408</f>
        <v>3588.2999999999997</v>
      </c>
      <c r="BQ408" s="17">
        <f t="shared" si="267"/>
        <v>0</v>
      </c>
      <c r="BR408" s="17">
        <f>BQ408+BR409</f>
        <v>255.14999999999998</v>
      </c>
      <c r="BS408" s="17">
        <f t="shared" si="268"/>
        <v>0</v>
      </c>
      <c r="BT408" s="17">
        <f>BS408+BT409</f>
        <v>178.60499999999996</v>
      </c>
      <c r="BU408" s="100"/>
    </row>
    <row r="409" x14ac:dyDescent="0.25">
      <c r="B409" t="s">
        <v>275</v>
      </c>
      <c r="C409" s="19">
        <f>(33+32)/2</f>
        <v>32.5</v>
      </c>
      <c r="D409" s="19">
        <f>(10.5+5.625)/2</f>
        <v>8.0625</v>
      </c>
      <c r="E409" s="68">
        <f t="shared" si="270"/>
        <v>33.171875</v>
      </c>
      <c r="F409" s="69">
        <f>E25-(C17+C16+2*1.5+IF(C13="single",1.5,3))/12-_xlfn.XLOOKUP(E25,E20:E24,E20:E24,,-1)</f>
        <v>8.6770833333333321</v>
      </c>
      <c r="H409" s="19">
        <v>443</v>
      </c>
      <c r="I409" s="64" t="s">
        <v>196</v>
      </c>
      <c r="J409" s="19">
        <v>18.899999999999999</v>
      </c>
      <c r="K409" s="19">
        <v>36.6</v>
      </c>
      <c r="L409" s="19">
        <v>10.8</v>
      </c>
      <c r="M409" s="19">
        <v>66.7</v>
      </c>
      <c r="P409" s="93"/>
      <c r="Q409" t="s">
        <v>275</v>
      </c>
      <c r="R409" s="19">
        <f>$H$25</f>
        <v>443</v>
      </c>
      <c r="S409">
        <f t="shared" si="245"/>
        <v>265.8</v>
      </c>
      <c r="T409">
        <f t="shared" si="246"/>
        <v>0</v>
      </c>
      <c r="U409">
        <f t="shared" si="271"/>
        <v>0</v>
      </c>
      <c r="V409" s="19">
        <v>18.899999999999999</v>
      </c>
      <c r="W409">
        <f t="shared" si="247"/>
        <v>13.229999999999999</v>
      </c>
      <c r="X409">
        <f t="shared" si="248"/>
        <v>0</v>
      </c>
      <c r="Y409">
        <f t="shared" si="249"/>
        <v>0</v>
      </c>
      <c r="Z409" s="19">
        <f>$H$25</f>
        <v>443</v>
      </c>
      <c r="AA409">
        <f t="shared" si="250"/>
        <v>265.8</v>
      </c>
      <c r="AB409">
        <f t="shared" si="251"/>
        <v>6423.5</v>
      </c>
      <c r="AC409">
        <f t="shared" si="237"/>
        <v>3854.1</v>
      </c>
      <c r="AD409" s="19">
        <v>18.899999999999999</v>
      </c>
      <c r="AE409">
        <f t="shared" si="252"/>
        <v>13.229999999999999</v>
      </c>
      <c r="AF409">
        <f t="shared" si="253"/>
        <v>274.04999999999995</v>
      </c>
      <c r="AG409">
        <f t="shared" si="254"/>
        <v>191.83499999999995</v>
      </c>
      <c r="AH409" s="19">
        <v>0</v>
      </c>
      <c r="AI409" s="19">
        <v>0</v>
      </c>
      <c r="AJ409" s="17">
        <f>T409+AB409+AH409</f>
        <v>6423.5</v>
      </c>
      <c r="AK409" s="17">
        <f>AJ409</f>
        <v>6423.5</v>
      </c>
      <c r="AL409" s="17">
        <f t="shared" si="255"/>
        <v>3854.1</v>
      </c>
      <c r="AM409" s="17">
        <f>AL409</f>
        <v>3854.1</v>
      </c>
      <c r="AN409" s="17">
        <f>X409+AF409+AI409</f>
        <v>274.04999999999995</v>
      </c>
      <c r="AO409" s="17">
        <f>AN409</f>
        <v>274.04999999999995</v>
      </c>
      <c r="AP409" s="17">
        <f>AN409*0.7</f>
        <v>191.83499999999995</v>
      </c>
      <c r="AQ409" s="17">
        <f>AP409</f>
        <v>191.83499999999995</v>
      </c>
      <c r="AR409" s="100"/>
      <c r="AS409" s="93"/>
      <c r="AT409" t="s">
        <v>275</v>
      </c>
      <c r="AU409" s="19">
        <f>$H$25</f>
        <v>443</v>
      </c>
      <c r="AV409">
        <f t="shared" si="259"/>
        <v>265.8</v>
      </c>
      <c r="AW409">
        <f t="shared" si="239"/>
        <v>0</v>
      </c>
      <c r="AX409">
        <f t="shared" si="273"/>
        <v>0</v>
      </c>
      <c r="AY409" s="19">
        <v>18.899999999999999</v>
      </c>
      <c r="AZ409">
        <f t="shared" si="260"/>
        <v>13.229999999999999</v>
      </c>
      <c r="BA409">
        <f t="shared" si="240"/>
        <v>0</v>
      </c>
      <c r="BB409">
        <f t="shared" si="261"/>
        <v>0</v>
      </c>
      <c r="BC409" s="19">
        <f>$H$25</f>
        <v>443</v>
      </c>
      <c r="BD409">
        <f t="shared" si="262"/>
        <v>265.8</v>
      </c>
      <c r="BE409">
        <f t="shared" si="241"/>
        <v>5980.5</v>
      </c>
      <c r="BF409">
        <f t="shared" si="242"/>
        <v>3588.2999999999997</v>
      </c>
      <c r="BG409" s="19">
        <v>18.899999999999999</v>
      </c>
      <c r="BH409">
        <f t="shared" si="263"/>
        <v>13.229999999999999</v>
      </c>
      <c r="BI409">
        <f t="shared" si="243"/>
        <v>255.14999999999998</v>
      </c>
      <c r="BJ409">
        <f t="shared" si="264"/>
        <v>178.60499999999996</v>
      </c>
      <c r="BK409" s="19">
        <v>0</v>
      </c>
      <c r="BL409" s="19">
        <v>0</v>
      </c>
      <c r="BM409" s="17">
        <f>AW409+BE409+BK409</f>
        <v>5980.5</v>
      </c>
      <c r="BN409" s="17">
        <f>BM409</f>
        <v>5980.5</v>
      </c>
      <c r="BO409" s="17">
        <f t="shared" si="275"/>
        <v>3588.2999999999997</v>
      </c>
      <c r="BP409" s="17">
        <f>BO409</f>
        <v>3588.2999999999997</v>
      </c>
      <c r="BQ409" s="17">
        <f>BA409+BI409+BL409</f>
        <v>255.14999999999998</v>
      </c>
      <c r="BR409" s="17">
        <f>BQ409</f>
        <v>255.14999999999998</v>
      </c>
      <c r="BS409" s="17">
        <f>BQ409*0.7</f>
        <v>178.60499999999996</v>
      </c>
      <c r="BT409" s="17">
        <f>BS409</f>
        <v>178.60499999999996</v>
      </c>
      <c r="BU409" s="100"/>
    </row>
    <row r="410" x14ac:dyDescent="0.25">
      <c r="B410" t="s">
        <v>530</v>
      </c>
      <c r="E410" s="73"/>
      <c r="F410" s="73"/>
      <c r="H410" s="19">
        <v>-22.9</v>
      </c>
      <c r="I410" s="64" t="s">
        <v>270</v>
      </c>
      <c r="P410" s="93"/>
      <c r="R410" s="19">
        <f>$H$26</f>
        <v>-22.9</v>
      </c>
      <c r="S410">
        <f t="shared" si="245"/>
        <v>-13.739999999999998</v>
      </c>
      <c r="T410">
        <f>$I$45/2*R410</f>
        <v>0</v>
      </c>
      <c r="U410">
        <f t="shared" si="271"/>
        <v>0</v>
      </c>
      <c r="Z410" s="19">
        <f>$H$26</f>
        <v>-22.9</v>
      </c>
      <c r="AA410">
        <f>Z410*0.6</f>
        <v>-13.739999999999998</v>
      </c>
      <c r="AB410">
        <f>$J$45/2*Z410</f>
        <v>-309.14999999999998</v>
      </c>
      <c r="AC410">
        <f t="shared" si="237"/>
        <v>-185.48999999999998</v>
      </c>
      <c r="AR410" s="100"/>
      <c r="AS410" s="93"/>
      <c r="AU410" s="19">
        <f>$H$26</f>
        <v>-22.9</v>
      </c>
      <c r="AV410">
        <f t="shared" si="259"/>
        <v>-13.739999999999998</v>
      </c>
      <c r="AW410">
        <f t="shared" si="239"/>
        <v>0</v>
      </c>
      <c r="AX410">
        <f t="shared" si="273"/>
        <v>0</v>
      </c>
      <c r="BC410" s="19">
        <f>$H$26</f>
        <v>-22.9</v>
      </c>
      <c r="BD410">
        <f>BC410*0.6</f>
        <v>-13.739999999999998</v>
      </c>
      <c r="BE410">
        <f t="shared" si="241"/>
        <v>-309.14999999999998</v>
      </c>
      <c r="BF410">
        <f t="shared" si="242"/>
        <v>-185.48999999999998</v>
      </c>
      <c r="BU410" s="100"/>
    </row>
    <row r="411" x14ac:dyDescent="0.25">
      <c r="B411" t="s">
        <v>531</v>
      </c>
      <c r="C411" s="1" t="s">
        <v>533</v>
      </c>
      <c r="D411" s="19">
        <v>0.18</v>
      </c>
      <c r="E411" s="73"/>
      <c r="F411" s="73"/>
      <c r="H411">
        <f>0.2*D27</f>
        <v>3.5999999999999997E-2</v>
      </c>
      <c r="I411" s="64" t="s">
        <v>534</v>
      </c>
      <c r="P411" s="93"/>
      <c r="Q411" s="1"/>
      <c r="AR411" s="100"/>
      <c r="AS411" s="93"/>
      <c r="AT411" s="1"/>
      <c r="BU411" s="100"/>
    </row>
    <row r="412" x14ac:dyDescent="0.25">
      <c r="P412" s="93"/>
      <c r="Y412" s="112" t="s">
        <v>752</v>
      </c>
      <c r="Z412" s="112"/>
      <c r="AA412" s="112"/>
      <c r="AB412" s="112"/>
      <c r="AC412" s="112"/>
      <c r="AR412" s="100"/>
      <c r="AS412" s="93"/>
      <c r="BB412" s="112" t="s">
        <v>752</v>
      </c>
      <c r="BC412" s="112"/>
      <c r="BD412" s="112"/>
      <c r="BE412" s="112"/>
      <c r="BF412" s="112"/>
      <c r="BU412" s="100"/>
    </row>
    <row r="413" x14ac:dyDescent="0.25">
      <c r="B413" t="s">
        <v>513</v>
      </c>
      <c r="P413" s="93"/>
      <c r="Q413" t="s">
        <v>479</v>
      </c>
      <c r="R413" t="s">
        <v>491</v>
      </c>
      <c r="S413" t="s">
        <v>508</v>
      </c>
      <c r="T413" t="s">
        <v>507</v>
      </c>
      <c r="U413" t="s">
        <v>535</v>
      </c>
      <c r="V413" t="s">
        <v>536</v>
      </c>
      <c r="W413" t="s">
        <v>479</v>
      </c>
      <c r="X413" t="s">
        <v>537</v>
      </c>
      <c r="Y413" t="s">
        <v>450</v>
      </c>
      <c r="Z413" t="s">
        <v>451</v>
      </c>
      <c r="AA413" t="s">
        <v>452</v>
      </c>
      <c r="AB413" t="s">
        <v>453</v>
      </c>
      <c r="AC413" t="s">
        <v>753</v>
      </c>
      <c r="AD413" t="s">
        <v>519</v>
      </c>
      <c r="AR413" s="100"/>
      <c r="AS413" s="93"/>
      <c r="AT413" t="s">
        <v>479</v>
      </c>
      <c r="AU413" t="s">
        <v>491</v>
      </c>
      <c r="AV413" t="s">
        <v>508</v>
      </c>
      <c r="AW413" t="s">
        <v>507</v>
      </c>
      <c r="AX413" t="s">
        <v>535</v>
      </c>
      <c r="AY413" t="s">
        <v>536</v>
      </c>
      <c r="AZ413" t="s">
        <v>479</v>
      </c>
      <c r="BA413" t="s">
        <v>537</v>
      </c>
      <c r="BB413" t="s">
        <v>450</v>
      </c>
      <c r="BC413" t="s">
        <v>451</v>
      </c>
      <c r="BD413" t="s">
        <v>452</v>
      </c>
      <c r="BE413" t="s">
        <v>453</v>
      </c>
      <c r="BF413" t="s">
        <v>753</v>
      </c>
      <c r="BG413" t="s">
        <v>519</v>
      </c>
      <c r="BU413" s="100"/>
    </row>
    <row r="414" x14ac:dyDescent="0.25">
      <c r="B414" s="1" t="s">
        <v>275</v>
      </c>
      <c r="C414" s="19">
        <v>20</v>
      </c>
      <c r="D414" t="s">
        <v>567</v>
      </c>
      <c r="P414" s="93"/>
      <c r="Q414" s="109" t="str">
        <f>R400&amp;".01"</f>
        <v>A.01</v>
      </c>
      <c r="R414" s="19">
        <v>29</v>
      </c>
      <c r="S414" s="19">
        <v>12</v>
      </c>
      <c r="T414">
        <f>S414/2</f>
        <v>6</v>
      </c>
      <c r="U414" s="19">
        <v>4</v>
      </c>
      <c r="V414">
        <f>U414/2</f>
        <v>2</v>
      </c>
      <c r="W414" s="19" t="s">
        <v>515</v>
      </c>
      <c r="X414" s="19">
        <v>6</v>
      </c>
      <c r="Y414" s="19"/>
      <c r="Z414" s="19"/>
      <c r="AA414" s="19"/>
      <c r="AB414" s="19"/>
      <c r="AC414" s="19"/>
      <c r="AD414" s="108">
        <f>R414/R430</f>
        <v>1</v>
      </c>
      <c r="AR414" s="100"/>
      <c r="AS414" s="93"/>
      <c r="AT414" s="109" t="str">
        <f>AU$400&amp;".01"</f>
        <v>1.01</v>
      </c>
      <c r="AU414" s="19">
        <v>29</v>
      </c>
      <c r="AV414" s="19">
        <v>12</v>
      </c>
      <c r="AW414">
        <f>AV414/2</f>
        <v>6</v>
      </c>
      <c r="AX414" s="19">
        <v>4</v>
      </c>
      <c r="AY414">
        <f>AX414/2</f>
        <v>2</v>
      </c>
      <c r="AZ414" s="19" t="s">
        <v>515</v>
      </c>
      <c r="BA414" s="19">
        <v>6</v>
      </c>
      <c r="BB414" s="19"/>
      <c r="BC414" s="19"/>
      <c r="BD414" s="19"/>
      <c r="BE414" s="19"/>
      <c r="BF414" s="19"/>
      <c r="BG414" s="108">
        <f>AU414/AU430</f>
        <v>1</v>
      </c>
      <c r="BU414" s="100"/>
    </row>
    <row r="415" x14ac:dyDescent="0.25">
      <c r="B415" s="1"/>
      <c r="C415">
        <f>0.9*C30</f>
        <v>18</v>
      </c>
      <c r="D415" t="s">
        <v>532</v>
      </c>
      <c r="P415" s="93"/>
      <c r="Q415" s="109" t="str">
        <f>R400&amp;".02"</f>
        <v>A.02</v>
      </c>
      <c r="R415" s="19"/>
      <c r="S415" s="19"/>
      <c r="T415">
        <f t="shared" ref="T415:T429" si="276">S415/2</f>
        <v>0</v>
      </c>
      <c r="U415" s="19"/>
      <c r="V415">
        <f t="shared" ref="V415:V429" si="277">U415/2</f>
        <v>0</v>
      </c>
      <c r="W415" s="19"/>
      <c r="X415" s="19"/>
      <c r="Y415" s="19"/>
      <c r="Z415" s="19"/>
      <c r="AA415" s="19"/>
      <c r="AB415" s="19"/>
      <c r="AC415" s="19"/>
      <c r="AR415" s="100"/>
      <c r="AS415" s="93"/>
      <c r="AT415" s="109" t="str">
        <f>AU$400&amp;".02"</f>
        <v>1.02</v>
      </c>
      <c r="AU415" s="19"/>
      <c r="AV415" s="19"/>
      <c r="AW415">
        <f t="shared" ref="AW415:AW429" si="278">AV415/2</f>
        <v>0</v>
      </c>
      <c r="AX415" s="19"/>
      <c r="AY415">
        <f t="shared" ref="AY415:AY429" si="279">AX415/2</f>
        <v>0</v>
      </c>
      <c r="AZ415" s="19"/>
      <c r="BA415" s="19"/>
      <c r="BB415" s="19"/>
      <c r="BC415" s="19"/>
      <c r="BD415" s="19"/>
      <c r="BE415" s="19"/>
      <c r="BF415" s="19"/>
      <c r="BU415" s="100"/>
    </row>
    <row r="416" x14ac:dyDescent="0.25">
      <c r="B416" s="1" t="s">
        <v>514</v>
      </c>
      <c r="C416" s="19">
        <v>26</v>
      </c>
      <c r="D416" t="s">
        <v>512</v>
      </c>
      <c r="P416" s="93"/>
      <c r="Q416" s="109" t="str">
        <f>R400&amp;".03"</f>
        <v>A.03</v>
      </c>
      <c r="R416" s="19"/>
      <c r="S416" s="19"/>
      <c r="T416">
        <f t="shared" si="276"/>
        <v>0</v>
      </c>
      <c r="U416" s="19"/>
      <c r="V416">
        <f t="shared" si="277"/>
        <v>0</v>
      </c>
      <c r="W416" s="19"/>
      <c r="X416" s="19"/>
      <c r="Y416" s="19"/>
      <c r="Z416" s="19"/>
      <c r="AA416" s="19"/>
      <c r="AB416" s="19"/>
      <c r="AC416" s="19"/>
      <c r="AR416" s="100"/>
      <c r="AS416" s="93"/>
      <c r="AT416" s="109" t="str">
        <f>AU$400&amp;".03"</f>
        <v>1.03</v>
      </c>
      <c r="AU416" s="19"/>
      <c r="AV416" s="19"/>
      <c r="AW416">
        <f t="shared" si="278"/>
        <v>0</v>
      </c>
      <c r="AX416" s="19"/>
      <c r="AY416">
        <f t="shared" si="279"/>
        <v>0</v>
      </c>
      <c r="AZ416" s="19"/>
      <c r="BA416" s="19"/>
      <c r="BB416" s="19"/>
      <c r="BC416" s="19"/>
      <c r="BD416" s="19"/>
      <c r="BE416" s="19"/>
      <c r="BF416" s="19"/>
      <c r="BU416" s="100"/>
    </row>
    <row r="417" x14ac:dyDescent="0.25">
      <c r="B417" s="1" t="s">
        <v>477</v>
      </c>
      <c r="C417" s="19">
        <v>11</v>
      </c>
      <c r="D417" t="s">
        <v>509</v>
      </c>
      <c r="P417" s="93"/>
      <c r="Q417" s="109" t="str">
        <f>R400&amp;".04"</f>
        <v>A.04</v>
      </c>
      <c r="R417" s="19"/>
      <c r="S417" s="19"/>
      <c r="T417">
        <f t="shared" si="276"/>
        <v>0</v>
      </c>
      <c r="U417" s="19"/>
      <c r="V417">
        <f t="shared" si="277"/>
        <v>0</v>
      </c>
      <c r="W417" s="19"/>
      <c r="X417" s="19"/>
      <c r="Y417" s="19"/>
      <c r="Z417" s="19"/>
      <c r="AA417" s="19"/>
      <c r="AB417" s="19"/>
      <c r="AC417" s="19"/>
      <c r="AR417" s="100"/>
      <c r="AS417" s="93"/>
      <c r="AT417" s="109" t="str">
        <f>AU$400&amp;".04"</f>
        <v>1.04</v>
      </c>
      <c r="AU417" s="19"/>
      <c r="AV417" s="19"/>
      <c r="AW417">
        <f t="shared" si="278"/>
        <v>0</v>
      </c>
      <c r="AX417" s="19"/>
      <c r="AY417">
        <f t="shared" si="279"/>
        <v>0</v>
      </c>
      <c r="AZ417" s="19"/>
      <c r="BA417" s="19"/>
      <c r="BB417" s="19"/>
      <c r="BC417" s="19"/>
      <c r="BD417" s="19"/>
      <c r="BE417" s="19"/>
      <c r="BF417" s="19"/>
      <c r="BU417" s="100"/>
    </row>
    <row r="418" x14ac:dyDescent="0.25">
      <c r="B418" s="1" t="s">
        <v>478</v>
      </c>
      <c r="C418" s="19">
        <v>13</v>
      </c>
      <c r="D418" t="s">
        <v>510</v>
      </c>
      <c r="P418" s="93"/>
      <c r="Q418" s="109" t="str">
        <f>R400&amp;".05"</f>
        <v>A.05</v>
      </c>
      <c r="R418" s="19"/>
      <c r="S418" s="19"/>
      <c r="T418">
        <f t="shared" si="276"/>
        <v>0</v>
      </c>
      <c r="U418" s="19"/>
      <c r="V418">
        <f t="shared" si="277"/>
        <v>0</v>
      </c>
      <c r="W418" s="19"/>
      <c r="X418" s="19"/>
      <c r="Y418" s="19"/>
      <c r="Z418" s="19"/>
      <c r="AA418" s="19"/>
      <c r="AB418" s="19"/>
      <c r="AC418" s="19"/>
      <c r="AR418" s="100"/>
      <c r="AS418" s="93"/>
      <c r="AT418" s="109" t="str">
        <f>AU$400&amp;".05"</f>
        <v>1.05</v>
      </c>
      <c r="AU418" s="19"/>
      <c r="AV418" s="19"/>
      <c r="AW418">
        <f t="shared" si="278"/>
        <v>0</v>
      </c>
      <c r="AX418" s="19"/>
      <c r="AY418">
        <f t="shared" si="279"/>
        <v>0</v>
      </c>
      <c r="AZ418" s="19"/>
      <c r="BA418" s="19"/>
      <c r="BB418" s="19"/>
      <c r="BC418" s="19"/>
      <c r="BD418" s="19"/>
      <c r="BE418" s="19"/>
      <c r="BF418" s="19"/>
      <c r="BU418" s="100"/>
    </row>
    <row r="419" x14ac:dyDescent="0.25">
      <c r="B419" s="1" t="s">
        <v>515</v>
      </c>
      <c r="C419" s="19">
        <v>18</v>
      </c>
      <c r="D419" t="s">
        <v>511</v>
      </c>
      <c r="P419" s="93"/>
      <c r="Q419" s="109" t="str">
        <f>R400&amp;".06"</f>
        <v>A.06</v>
      </c>
      <c r="R419" s="19"/>
      <c r="S419" s="19"/>
      <c r="T419">
        <f t="shared" si="276"/>
        <v>0</v>
      </c>
      <c r="U419" s="19"/>
      <c r="V419">
        <f t="shared" si="277"/>
        <v>0</v>
      </c>
      <c r="W419" s="19"/>
      <c r="X419" s="19"/>
      <c r="Y419" s="19"/>
      <c r="Z419" s="19"/>
      <c r="AA419" s="19"/>
      <c r="AB419" s="19"/>
      <c r="AC419" s="19"/>
      <c r="AR419" s="100"/>
      <c r="AS419" s="93"/>
      <c r="AT419" s="109" t="str">
        <f>AU$400&amp;".06"</f>
        <v>1.06</v>
      </c>
      <c r="AU419" s="19"/>
      <c r="AV419" s="19"/>
      <c r="AW419">
        <f t="shared" si="278"/>
        <v>0</v>
      </c>
      <c r="AX419" s="19"/>
      <c r="AY419">
        <f t="shared" si="279"/>
        <v>0</v>
      </c>
      <c r="AZ419" s="19"/>
      <c r="BA419" s="19"/>
      <c r="BB419" s="19"/>
      <c r="BC419" s="19"/>
      <c r="BD419" s="19"/>
      <c r="BE419" s="19"/>
      <c r="BF419" s="19"/>
      <c r="BU419" s="100"/>
    </row>
    <row r="420" x14ac:dyDescent="0.25">
      <c r="B420" s="1" t="s">
        <v>516</v>
      </c>
      <c r="P420" s="93"/>
      <c r="Q420" s="109" t="str">
        <f>R400&amp;".07"</f>
        <v>A.07</v>
      </c>
      <c r="R420" s="19"/>
      <c r="S420" s="19"/>
      <c r="T420">
        <f t="shared" si="276"/>
        <v>0</v>
      </c>
      <c r="U420" s="19"/>
      <c r="V420">
        <f t="shared" si="277"/>
        <v>0</v>
      </c>
      <c r="W420" s="19"/>
      <c r="X420" s="19"/>
      <c r="Y420" s="19"/>
      <c r="Z420" s="19"/>
      <c r="AA420" s="19"/>
      <c r="AB420" s="19"/>
      <c r="AC420" s="19"/>
      <c r="AF420" s="109"/>
      <c r="AR420" s="100"/>
      <c r="AS420" s="93"/>
      <c r="AT420" s="109" t="str">
        <f>AU$400&amp;".07"</f>
        <v>1.07</v>
      </c>
      <c r="AU420" s="19"/>
      <c r="AV420" s="19"/>
      <c r="AW420">
        <f t="shared" si="278"/>
        <v>0</v>
      </c>
      <c r="AX420" s="19"/>
      <c r="AY420">
        <f t="shared" si="279"/>
        <v>0</v>
      </c>
      <c r="AZ420" s="19"/>
      <c r="BA420" s="19"/>
      <c r="BB420" s="19"/>
      <c r="BC420" s="19"/>
      <c r="BD420" s="19"/>
      <c r="BE420" s="19"/>
      <c r="BF420" s="19"/>
      <c r="BI420" s="109"/>
      <c r="BU420" s="100"/>
    </row>
    <row r="421" x14ac:dyDescent="0.25">
      <c r="B421" s="1" t="s">
        <v>517</v>
      </c>
      <c r="P421" s="93"/>
      <c r="Q421" s="109" t="str">
        <f>R400&amp;".08"</f>
        <v>A.08</v>
      </c>
      <c r="R421" s="19"/>
      <c r="S421" s="19"/>
      <c r="T421">
        <f t="shared" si="276"/>
        <v>0</v>
      </c>
      <c r="U421" s="19"/>
      <c r="V421">
        <f t="shared" si="277"/>
        <v>0</v>
      </c>
      <c r="W421" s="19"/>
      <c r="X421" s="19"/>
      <c r="Y421" s="19"/>
      <c r="Z421" s="19"/>
      <c r="AA421" s="19"/>
      <c r="AB421" s="19"/>
      <c r="AC421" s="19"/>
      <c r="AF421" s="109"/>
      <c r="AR421" s="100"/>
      <c r="AS421" s="93"/>
      <c r="AT421" s="109" t="str">
        <f>AU$400&amp;".08"</f>
        <v>1.08</v>
      </c>
      <c r="AU421" s="19"/>
      <c r="AV421" s="19"/>
      <c r="AW421">
        <f t="shared" si="278"/>
        <v>0</v>
      </c>
      <c r="AX421" s="19"/>
      <c r="AY421">
        <f t="shared" si="279"/>
        <v>0</v>
      </c>
      <c r="AZ421" s="19"/>
      <c r="BA421" s="19"/>
      <c r="BB421" s="19"/>
      <c r="BC421" s="19"/>
      <c r="BD421" s="19"/>
      <c r="BE421" s="19"/>
      <c r="BF421" s="19"/>
      <c r="BI421" s="109"/>
      <c r="BU421" s="100"/>
    </row>
    <row r="422" x14ac:dyDescent="0.25">
      <c r="B422" s="1" t="s">
        <v>518</v>
      </c>
      <c r="P422" s="93"/>
      <c r="Q422" s="109" t="str">
        <f>R400&amp;".09"</f>
        <v>A.09</v>
      </c>
      <c r="R422" s="19"/>
      <c r="S422" s="19"/>
      <c r="T422">
        <f t="shared" si="276"/>
        <v>0</v>
      </c>
      <c r="U422" s="19"/>
      <c r="V422">
        <f t="shared" si="277"/>
        <v>0</v>
      </c>
      <c r="W422" s="19"/>
      <c r="X422" s="19"/>
      <c r="Y422" s="19"/>
      <c r="Z422" s="19"/>
      <c r="AA422" s="19"/>
      <c r="AB422" s="19"/>
      <c r="AC422" s="19"/>
      <c r="AF422" s="109"/>
      <c r="AR422" s="100"/>
      <c r="AS422" s="93"/>
      <c r="AT422" s="109" t="str">
        <f>AU$400&amp;".09"</f>
        <v>1.09</v>
      </c>
      <c r="AU422" s="19"/>
      <c r="AV422" s="19"/>
      <c r="AW422">
        <f t="shared" si="278"/>
        <v>0</v>
      </c>
      <c r="AX422" s="19"/>
      <c r="AY422">
        <f t="shared" si="279"/>
        <v>0</v>
      </c>
      <c r="AZ422" s="19"/>
      <c r="BA422" s="19"/>
      <c r="BB422" s="19"/>
      <c r="BC422" s="19"/>
      <c r="BD422" s="19"/>
      <c r="BE422" s="19"/>
      <c r="BF422" s="19"/>
      <c r="BI422" s="109"/>
      <c r="BU422" s="100"/>
    </row>
    <row r="423" x14ac:dyDescent="0.25">
      <c r="P423" s="93"/>
      <c r="Q423" s="109" t="str">
        <f>R400&amp;".10"</f>
        <v>A.10</v>
      </c>
      <c r="R423" s="19"/>
      <c r="S423" s="19"/>
      <c r="T423">
        <f t="shared" si="276"/>
        <v>0</v>
      </c>
      <c r="U423" s="19"/>
      <c r="V423">
        <f t="shared" si="277"/>
        <v>0</v>
      </c>
      <c r="W423" s="19"/>
      <c r="X423" s="19"/>
      <c r="Y423" s="19"/>
      <c r="Z423" s="19"/>
      <c r="AA423" s="19"/>
      <c r="AB423" s="19"/>
      <c r="AC423" s="19"/>
      <c r="AF423" s="109"/>
      <c r="AR423" s="100"/>
      <c r="AS423" s="93"/>
      <c r="AT423" s="109" t="str">
        <f>AU$400&amp;".10"</f>
        <v>1.10</v>
      </c>
      <c r="AU423" s="19"/>
      <c r="AV423" s="19"/>
      <c r="AW423">
        <f t="shared" si="278"/>
        <v>0</v>
      </c>
      <c r="AX423" s="19"/>
      <c r="AY423">
        <f t="shared" si="279"/>
        <v>0</v>
      </c>
      <c r="AZ423" s="19"/>
      <c r="BA423" s="19"/>
      <c r="BB423" s="19"/>
      <c r="BC423" s="19"/>
      <c r="BD423" s="19"/>
      <c r="BE423" s="19"/>
      <c r="BF423" s="19"/>
      <c r="BI423" s="109"/>
      <c r="BU423" s="100"/>
    </row>
    <row r="424" x14ac:dyDescent="0.25">
      <c r="C424" s="112" t="s">
        <v>495</v>
      </c>
      <c r="D424" s="112"/>
      <c r="E424" s="112"/>
      <c r="I424" s="112" t="s">
        <v>495</v>
      </c>
      <c r="J424" s="112"/>
      <c r="K424" s="112"/>
      <c r="P424" s="93"/>
      <c r="Q424" s="109" t="str">
        <f>R400&amp;".11"</f>
        <v>A.11</v>
      </c>
      <c r="R424" s="19"/>
      <c r="S424" s="19"/>
      <c r="T424">
        <f t="shared" si="276"/>
        <v>0</v>
      </c>
      <c r="U424" s="19"/>
      <c r="V424">
        <f t="shared" si="277"/>
        <v>0</v>
      </c>
      <c r="W424" s="19"/>
      <c r="X424" s="19"/>
      <c r="Y424" s="19"/>
      <c r="Z424" s="19"/>
      <c r="AA424" s="19"/>
      <c r="AB424" s="19"/>
      <c r="AC424" s="19"/>
      <c r="AF424" s="109"/>
      <c r="AR424" s="100"/>
      <c r="AS424" s="93"/>
      <c r="AT424" s="109" t="str">
        <f>AU$400&amp;".11"</f>
        <v>1.11</v>
      </c>
      <c r="AU424" s="19"/>
      <c r="AV424" s="19"/>
      <c r="AW424">
        <f t="shared" si="278"/>
        <v>0</v>
      </c>
      <c r="AX424" s="19"/>
      <c r="AY424">
        <f t="shared" si="279"/>
        <v>0</v>
      </c>
      <c r="AZ424" s="19"/>
      <c r="BA424" s="19"/>
      <c r="BB424" s="19"/>
      <c r="BC424" s="19"/>
      <c r="BD424" s="19"/>
      <c r="BE424" s="19"/>
      <c r="BF424" s="19"/>
      <c r="BI424" s="109"/>
      <c r="BU424" s="100"/>
    </row>
    <row r="425" x14ac:dyDescent="0.25">
      <c r="B425" t="s">
        <v>474</v>
      </c>
      <c r="C425" t="s">
        <v>492</v>
      </c>
      <c r="D425" t="s">
        <v>493</v>
      </c>
      <c r="E425" t="s">
        <v>494</v>
      </c>
      <c r="H425" t="s">
        <v>455</v>
      </c>
      <c r="I425" t="s">
        <v>492</v>
      </c>
      <c r="J425" t="s">
        <v>493</v>
      </c>
      <c r="K425" t="s">
        <v>494</v>
      </c>
      <c r="P425" s="93"/>
      <c r="Q425" s="109" t="str">
        <f>R400&amp;".12"</f>
        <v>A.12</v>
      </c>
      <c r="R425" s="19"/>
      <c r="S425" s="19"/>
      <c r="T425">
        <f t="shared" si="276"/>
        <v>0</v>
      </c>
      <c r="U425" s="19"/>
      <c r="V425">
        <f t="shared" si="277"/>
        <v>0</v>
      </c>
      <c r="W425" s="19"/>
      <c r="X425" s="19"/>
      <c r="Y425" s="19"/>
      <c r="Z425" s="19"/>
      <c r="AA425" s="19"/>
      <c r="AB425" s="19"/>
      <c r="AC425" s="19"/>
      <c r="AF425" s="109"/>
      <c r="AR425" s="100"/>
      <c r="AS425" s="93"/>
      <c r="AT425" s="109" t="str">
        <f>AU$400&amp;".12"</f>
        <v>1.12</v>
      </c>
      <c r="AU425" s="19"/>
      <c r="AV425" s="19"/>
      <c r="AW425">
        <f t="shared" si="278"/>
        <v>0</v>
      </c>
      <c r="AX425" s="19"/>
      <c r="AY425">
        <f t="shared" si="279"/>
        <v>0</v>
      </c>
      <c r="AZ425" s="19"/>
      <c r="BA425" s="19"/>
      <c r="BB425" s="19"/>
      <c r="BC425" s="19"/>
      <c r="BD425" s="19"/>
      <c r="BE425" s="19"/>
      <c r="BF425" s="19"/>
      <c r="BI425" s="109"/>
      <c r="BU425" s="100"/>
    </row>
    <row r="426" x14ac:dyDescent="0.25">
      <c r="B426" t="s">
        <v>274</v>
      </c>
      <c r="C426" s="19">
        <v>0</v>
      </c>
      <c r="D426" s="19">
        <v>29</v>
      </c>
      <c r="E426">
        <f>C45+D45</f>
        <v>29</v>
      </c>
      <c r="H426">
        <v>1</v>
      </c>
      <c r="I426" s="19">
        <v>0</v>
      </c>
      <c r="J426" s="19">
        <v>27</v>
      </c>
      <c r="K426">
        <f>I45+J45</f>
        <v>27</v>
      </c>
      <c r="P426" s="93"/>
      <c r="Q426" s="109" t="str">
        <f>R400&amp;".13"</f>
        <v>A.13</v>
      </c>
      <c r="R426" s="19"/>
      <c r="S426" s="19"/>
      <c r="T426">
        <f t="shared" si="276"/>
        <v>0</v>
      </c>
      <c r="U426" s="19"/>
      <c r="V426">
        <f t="shared" si="277"/>
        <v>0</v>
      </c>
      <c r="W426" s="19"/>
      <c r="X426" s="19"/>
      <c r="Y426" s="19"/>
      <c r="Z426" s="19"/>
      <c r="AA426" s="19"/>
      <c r="AB426" s="19"/>
      <c r="AC426" s="19"/>
      <c r="AF426" s="109"/>
      <c r="AR426" s="100"/>
      <c r="AS426" s="93"/>
      <c r="AT426" s="109" t="str">
        <f>AU$400&amp;".13"</f>
        <v>1.13</v>
      </c>
      <c r="AU426" s="19"/>
      <c r="AV426" s="19"/>
      <c r="AW426">
        <f t="shared" si="278"/>
        <v>0</v>
      </c>
      <c r="AX426" s="19"/>
      <c r="AY426">
        <f t="shared" si="279"/>
        <v>0</v>
      </c>
      <c r="AZ426" s="19"/>
      <c r="BA426" s="19"/>
      <c r="BB426" s="19"/>
      <c r="BC426" s="19"/>
      <c r="BD426" s="19"/>
      <c r="BE426" s="19"/>
      <c r="BF426" s="19"/>
      <c r="BI426" s="109"/>
      <c r="BU426" s="100"/>
    </row>
    <row r="427" x14ac:dyDescent="0.25">
      <c r="B427" t="s">
        <v>279</v>
      </c>
      <c r="C427" s="19">
        <v>29</v>
      </c>
      <c r="D427" s="19">
        <v>6</v>
      </c>
      <c r="E427">
        <f t="shared" ref="E43:E67" si="280">C43+D43</f>
        <v>35</v>
      </c>
      <c r="H427">
        <v>2</v>
      </c>
      <c r="I427" s="19">
        <v>27</v>
      </c>
      <c r="J427" s="19">
        <v>14</v>
      </c>
      <c r="K427">
        <f t="shared" ref="K43:K67" si="281">I43+J43</f>
        <v>41</v>
      </c>
      <c r="P427" s="93"/>
      <c r="Q427" s="109" t="str">
        <f>R400&amp;".14"</f>
        <v>A.14</v>
      </c>
      <c r="R427" s="19"/>
      <c r="S427" s="19"/>
      <c r="T427">
        <f t="shared" si="276"/>
        <v>0</v>
      </c>
      <c r="U427" s="19"/>
      <c r="V427">
        <f t="shared" si="277"/>
        <v>0</v>
      </c>
      <c r="W427" s="19"/>
      <c r="X427" s="19"/>
      <c r="Y427" s="19"/>
      <c r="Z427" s="19"/>
      <c r="AA427" s="19"/>
      <c r="AB427" s="19"/>
      <c r="AC427" s="19"/>
      <c r="AF427" s="109"/>
      <c r="AR427" s="100"/>
      <c r="AS427" s="93"/>
      <c r="AT427" s="109" t="str">
        <f>AU$400&amp;".14"</f>
        <v>1.14</v>
      </c>
      <c r="AU427" s="19"/>
      <c r="AV427" s="19"/>
      <c r="AW427">
        <f t="shared" si="278"/>
        <v>0</v>
      </c>
      <c r="AX427" s="19"/>
      <c r="AY427">
        <f t="shared" si="279"/>
        <v>0</v>
      </c>
      <c r="AZ427" s="19"/>
      <c r="BA427" s="19"/>
      <c r="BB427" s="19"/>
      <c r="BC427" s="19"/>
      <c r="BD427" s="19"/>
      <c r="BE427" s="19"/>
      <c r="BF427" s="19"/>
      <c r="BI427" s="109"/>
      <c r="BU427" s="100"/>
    </row>
    <row r="428" x14ac:dyDescent="0.25">
      <c r="B428" t="s">
        <v>283</v>
      </c>
      <c r="C428" s="19">
        <v>6</v>
      </c>
      <c r="D428" s="19">
        <v>29</v>
      </c>
      <c r="E428">
        <f t="shared" si="280"/>
        <v>35</v>
      </c>
      <c r="H428">
        <v>3</v>
      </c>
      <c r="I428" s="19">
        <v>14</v>
      </c>
      <c r="J428" s="19">
        <v>13</v>
      </c>
      <c r="K428">
        <f t="shared" si="281"/>
        <v>27</v>
      </c>
      <c r="P428" s="93"/>
      <c r="Q428" s="109" t="str">
        <f>R400&amp;".15"</f>
        <v>A.15</v>
      </c>
      <c r="R428" s="19"/>
      <c r="S428" s="19"/>
      <c r="T428">
        <f t="shared" si="276"/>
        <v>0</v>
      </c>
      <c r="U428" s="19"/>
      <c r="V428">
        <f t="shared" si="277"/>
        <v>0</v>
      </c>
      <c r="W428" s="19"/>
      <c r="X428" s="19"/>
      <c r="Y428" s="19"/>
      <c r="Z428" s="19"/>
      <c r="AA428" s="19"/>
      <c r="AB428" s="19"/>
      <c r="AC428" s="19"/>
      <c r="AF428" s="109"/>
      <c r="AR428" s="100"/>
      <c r="AS428" s="93"/>
      <c r="AT428" s="109" t="str">
        <f>AU$400&amp;".15"</f>
        <v>1.15</v>
      </c>
      <c r="AU428" s="19"/>
      <c r="AV428" s="19"/>
      <c r="AW428">
        <f t="shared" si="278"/>
        <v>0</v>
      </c>
      <c r="AX428" s="19"/>
      <c r="AY428">
        <f t="shared" si="279"/>
        <v>0</v>
      </c>
      <c r="AZ428" s="19"/>
      <c r="BA428" s="19"/>
      <c r="BB428" s="19"/>
      <c r="BC428" s="19"/>
      <c r="BD428" s="19"/>
      <c r="BE428" s="19"/>
      <c r="BF428" s="19"/>
      <c r="BI428" s="109"/>
      <c r="BU428" s="100"/>
    </row>
    <row r="429" x14ac:dyDescent="0.25">
      <c r="B429" t="s">
        <v>287</v>
      </c>
      <c r="C429" s="19">
        <v>26</v>
      </c>
      <c r="D429" s="19">
        <v>26</v>
      </c>
      <c r="E429">
        <f t="shared" si="280"/>
        <v>52</v>
      </c>
      <c r="F429" t="s">
        <v>506</v>
      </c>
      <c r="H429">
        <v>4</v>
      </c>
      <c r="I429" s="19">
        <v>13</v>
      </c>
      <c r="J429" s="19">
        <v>27</v>
      </c>
      <c r="K429">
        <f t="shared" si="281"/>
        <v>40</v>
      </c>
      <c r="P429" s="93"/>
      <c r="Q429" s="109" t="str">
        <f>R400&amp;".16"</f>
        <v>A.16</v>
      </c>
      <c r="R429" s="19"/>
      <c r="S429" s="19"/>
      <c r="T429">
        <f t="shared" si="276"/>
        <v>0</v>
      </c>
      <c r="U429" s="19"/>
      <c r="V429">
        <f t="shared" si="277"/>
        <v>0</v>
      </c>
      <c r="W429" s="19"/>
      <c r="X429" s="19"/>
      <c r="Y429" s="19"/>
      <c r="Z429" s="19"/>
      <c r="AA429" s="19"/>
      <c r="AB429" s="19"/>
      <c r="AC429" s="19"/>
      <c r="AF429" s="109"/>
      <c r="AR429" s="100"/>
      <c r="AS429" s="93"/>
      <c r="AT429" s="109" t="str">
        <f>AU$400&amp;".16"</f>
        <v>1.16</v>
      </c>
      <c r="AU429" s="19"/>
      <c r="AV429" s="19"/>
      <c r="AW429">
        <f t="shared" si="278"/>
        <v>0</v>
      </c>
      <c r="AX429" s="19"/>
      <c r="AY429">
        <f t="shared" si="279"/>
        <v>0</v>
      </c>
      <c r="AZ429" s="19"/>
      <c r="BA429" s="19"/>
      <c r="BB429" s="19"/>
      <c r="BC429" s="19"/>
      <c r="BD429" s="19"/>
      <c r="BE429" s="19"/>
      <c r="BF429" s="19"/>
      <c r="BI429" s="109"/>
      <c r="BU429" s="100"/>
    </row>
    <row r="430" x14ac:dyDescent="0.25">
      <c r="B430" t="s">
        <v>288</v>
      </c>
      <c r="C430" s="19">
        <v>29</v>
      </c>
      <c r="D430" s="19">
        <v>0</v>
      </c>
      <c r="E430">
        <f t="shared" si="280"/>
        <v>29</v>
      </c>
      <c r="H430">
        <v>5</v>
      </c>
      <c r="I430" s="19">
        <v>27</v>
      </c>
      <c r="J430" s="19">
        <v>11</v>
      </c>
      <c r="K430">
        <f t="shared" si="281"/>
        <v>38</v>
      </c>
      <c r="P430" s="93"/>
      <c r="R430">
        <f>SUM(R414:R429)</f>
        <v>29</v>
      </c>
      <c r="AR430" s="100"/>
      <c r="AS430" s="93"/>
      <c r="AU430">
        <f>SUM(AU414:AU429)</f>
        <v>29</v>
      </c>
      <c r="BU430" s="100"/>
    </row>
    <row r="431" x14ac:dyDescent="0.25">
      <c r="B431" t="s">
        <v>293</v>
      </c>
      <c r="C431" s="19">
        <v>17</v>
      </c>
      <c r="D431" s="19">
        <v>27</v>
      </c>
      <c r="E431">
        <f t="shared" si="280"/>
        <v>44</v>
      </c>
      <c r="H431">
        <v>6</v>
      </c>
      <c r="I431" s="19">
        <v>11</v>
      </c>
      <c r="J431" s="19">
        <v>6</v>
      </c>
      <c r="K431">
        <f t="shared" si="281"/>
        <v>17</v>
      </c>
      <c r="P431" s="93"/>
      <c r="AP431" t="s">
        <v>746</v>
      </c>
      <c r="AR431" s="100"/>
      <c r="AS431" s="93"/>
      <c r="BS431" t="s">
        <v>746</v>
      </c>
      <c r="BU431" s="100"/>
    </row>
    <row r="432" x14ac:dyDescent="0.25">
      <c r="B432" t="s">
        <v>456</v>
      </c>
      <c r="C432" s="19">
        <v>27</v>
      </c>
      <c r="D432" s="19">
        <v>27</v>
      </c>
      <c r="E432">
        <f t="shared" si="280"/>
        <v>54</v>
      </c>
      <c r="H432">
        <v>7</v>
      </c>
      <c r="I432" s="19">
        <v>6</v>
      </c>
      <c r="J432" s="19">
        <v>11</v>
      </c>
      <c r="K432">
        <f t="shared" si="281"/>
        <v>17</v>
      </c>
      <c r="P432" s="93"/>
      <c r="Q432" t="s">
        <v>525</v>
      </c>
      <c r="R432" t="s">
        <v>263</v>
      </c>
      <c r="S432" t="s">
        <v>526</v>
      </c>
      <c r="T432" t="s">
        <v>570</v>
      </c>
      <c r="U432" t="s">
        <v>571</v>
      </c>
      <c r="V432" t="s">
        <v>572</v>
      </c>
      <c r="W432" t="s">
        <v>539</v>
      </c>
      <c r="X432" t="s">
        <v>538</v>
      </c>
      <c r="Z432" t="s">
        <v>522</v>
      </c>
      <c r="AA432" t="s">
        <v>523</v>
      </c>
      <c r="AB432" t="s">
        <v>541</v>
      </c>
      <c r="AC432" t="s">
        <v>540</v>
      </c>
      <c r="AD432" t="s">
        <v>542</v>
      </c>
      <c r="AE432" t="s">
        <v>520</v>
      </c>
      <c r="AF432" t="s">
        <v>521</v>
      </c>
      <c r="AG432" t="s">
        <v>527</v>
      </c>
      <c r="AH432" t="s">
        <v>528</v>
      </c>
      <c r="AI432" t="s">
        <v>543</v>
      </c>
      <c r="AJ432" t="s">
        <v>744</v>
      </c>
      <c r="AK432" t="s">
        <v>745</v>
      </c>
      <c r="AL432" t="s">
        <v>749</v>
      </c>
      <c r="AM432" t="s">
        <v>750</v>
      </c>
      <c r="AN432" t="s">
        <v>751</v>
      </c>
      <c r="AP432" t="s">
        <v>747</v>
      </c>
      <c r="AQ432" t="s">
        <v>748</v>
      </c>
      <c r="AR432" s="100"/>
      <c r="AS432" s="93"/>
      <c r="AT432" t="s">
        <v>525</v>
      </c>
      <c r="AU432" t="s">
        <v>263</v>
      </c>
      <c r="AV432" t="s">
        <v>526</v>
      </c>
      <c r="AW432" t="s">
        <v>570</v>
      </c>
      <c r="AX432" t="s">
        <v>571</v>
      </c>
      <c r="AY432" t="s">
        <v>572</v>
      </c>
      <c r="AZ432" t="s">
        <v>539</v>
      </c>
      <c r="BA432" t="s">
        <v>538</v>
      </c>
      <c r="BC432" t="s">
        <v>522</v>
      </c>
      <c r="BD432" t="s">
        <v>523</v>
      </c>
      <c r="BE432" t="s">
        <v>541</v>
      </c>
      <c r="BF432" t="s">
        <v>540</v>
      </c>
      <c r="BG432" t="s">
        <v>542</v>
      </c>
      <c r="BH432" t="s">
        <v>520</v>
      </c>
      <c r="BI432" t="s">
        <v>521</v>
      </c>
      <c r="BJ432" t="s">
        <v>527</v>
      </c>
      <c r="BK432" t="s">
        <v>528</v>
      </c>
      <c r="BL432" t="s">
        <v>543</v>
      </c>
      <c r="BM432" t="s">
        <v>744</v>
      </c>
      <c r="BN432" t="s">
        <v>745</v>
      </c>
      <c r="BO432" t="s">
        <v>749</v>
      </c>
      <c r="BP432" t="s">
        <v>750</v>
      </c>
      <c r="BQ432" t="s">
        <v>751</v>
      </c>
      <c r="BS432" t="s">
        <v>747</v>
      </c>
      <c r="BT432" t="s">
        <v>748</v>
      </c>
      <c r="BU432" s="100"/>
    </row>
    <row r="433" x14ac:dyDescent="0.25">
      <c r="B433" t="s">
        <v>457</v>
      </c>
      <c r="C433" s="19">
        <v>27</v>
      </c>
      <c r="D433" s="19">
        <v>27</v>
      </c>
      <c r="E433">
        <f t="shared" si="280"/>
        <v>54</v>
      </c>
      <c r="H433">
        <v>8</v>
      </c>
      <c r="I433" s="19">
        <v>20</v>
      </c>
      <c r="J433" s="19">
        <v>0</v>
      </c>
      <c r="K433">
        <f t="shared" si="281"/>
        <v>20</v>
      </c>
      <c r="L433" t="s">
        <v>506</v>
      </c>
      <c r="P433" s="93"/>
      <c r="Q433" s="110" t="str">
        <f>$Q$414</f>
        <v>A.01</v>
      </c>
      <c r="R433" t="str">
        <f>$Q$405</f>
        <v>L2</v>
      </c>
      <c r="S433">
        <f>$E$21</f>
        <v>10.6875</v>
      </c>
      <c r="T433" cm="1">
        <f t="array" ref="T433">IFERROR(IF(S433=0,0,(INDEX($C$33:$C$38,MATCH($W$414,$B$33:$B$38,0),0)*(S437+$X$414)+$T$414*COUNTIF(S433:S436,"&gt;0")*$C$32+$V$414*$C$31)*$R$414),0)</f>
        <v>30539.71875</v>
      </c>
      <c r="U433">
        <f>IF(S433=0,0,-(COUNTIF(S433:S436,"&gt;0")*$T$414*$C$32+$V$414*$C$31)*$H$27*$R$414)</f>
        <v>-363.31199999999995</v>
      </c>
      <c r="V433">
        <f>IF(S433=0,0,$V$414*$H$26*$R$414)</f>
        <v>-1328.1999999999998</v>
      </c>
      <c r="W433">
        <f>(0.6*T433+0.7*U433)*$R$414/2</f>
        <v>262007.93632499999</v>
      </c>
      <c r="X433">
        <f>(0.6*T433+0.6*V433)*$R$414/2</f>
        <v>254140.21312500001</v>
      </c>
      <c r="Z433">
        <f>IF(S433=0,0,$AD$414*$AP$405)</f>
        <v>343.06999999999994</v>
      </c>
      <c r="AA433">
        <f>IFERROR(Z433/$R$414,0)</f>
        <v>11.829999999999998</v>
      </c>
      <c r="AB433">
        <f>Z433*($F$21+IF($F$21=0,0,($C$14+$C$15+IF($C$13="single",1.5,3)+3)/12))</f>
        <v>3666.5606249999992</v>
      </c>
      <c r="AC433">
        <f>AB433-W433</f>
        <v>-258341.37569999998</v>
      </c>
      <c r="AD433" cm="1">
        <f t="array" ref="AD433">IFERROR(IF(AC433&lt;0,0,AC433/($R$414-INDEX(hd_off,MATCH(AQ433,hd_mark,0),0)/12)),0)</f>
        <v>0</v>
      </c>
      <c r="AE433">
        <f>IF(S433=0,0,$AD$414*$AM$405)</f>
        <v>7899.5999999999995</v>
      </c>
      <c r="AF433">
        <f>IFERROR(AE433/$R$414,0)</f>
        <v>272.39999999999998</v>
      </c>
      <c r="AG433">
        <f>AE433*($F$21+IF($F$21=0,0,($C$14+$C$15+IF($C$13="single",1.5,3)+3)/12))</f>
        <v>84426.974999999991</v>
      </c>
      <c r="AH433">
        <f>AG433-X433</f>
        <v>-169713.23812500003</v>
      </c>
      <c r="AI433" cm="1">
        <f t="array" ref="AI433">IFERROR(IF(AH433&lt;0,0,AH433/($R$414-INDEX(hd_off,MATCH(AQ433,hd_mark,0),0)/12)),0)</f>
        <v>0</v>
      </c>
      <c r="AJ433">
        <f>MAX($F$21,$Y$414)/$Q$436</f>
        <v>0.30172413793103448</v>
      </c>
      <c r="AK433">
        <f>IF(AJ433=0,0,IF(AJ433&gt;2,1.25-0.125*AJ433,1))</f>
        <v>1</v>
      </c>
      <c r="AL433" cm="1">
        <f t="array" ref="AL433">IFERROR(INDEX(sheath_ecap_asd,MATCH(AP433,sheath_mark,0),0)*AK433,0)</f>
        <v>239.85714285714286</v>
      </c>
      <c r="AM433" cm="1">
        <f t="array" ref="AM433">IFERROR(INDEX(sheath_wcap_asd,MATCH(AP433,sheath_mark,0),0)*AK433,0)</f>
        <v>335.8</v>
      </c>
      <c r="AN433" cm="1">
        <f t="array" ref="AN433">IFERROR(INDEX(hd_cap,MATCH(AQ433,hd_mark,0),0),0)</f>
        <v>0</v>
      </c>
      <c r="AP433" s="19">
        <v>21</v>
      </c>
      <c r="AQ433" s="19"/>
      <c r="AR433" s="100"/>
      <c r="AS433" s="93"/>
      <c r="AT433" s="110" t="str">
        <f>$AT$414</f>
        <v>1.01</v>
      </c>
      <c r="AU433" t="str">
        <f>$Q$405</f>
        <v>L2</v>
      </c>
      <c r="AV433">
        <f>$E$21</f>
        <v>10.6875</v>
      </c>
      <c r="AW433" cm="1">
        <f t="array" ref="AW433">IFERROR(IF(AV433=0,0,(INDEX($C$33:$C$38,MATCH($AZ$414,$B$33:$B$38,0),0)*(AV437+$BA$414)+$AW$414*COUNTIF(AV433:AV436,"&gt;0")*$C$32+$AY$414*$C$31)*$AU$414),0)</f>
        <v>30539.71875</v>
      </c>
      <c r="AX433">
        <f>IF(AV433=0,0,-(COUNTIF(AV433:AV436,"&gt;0")*$AW$414*$C$32+$AY$414*$C$31)*$H$27*$AU$414)</f>
        <v>-363.31199999999995</v>
      </c>
      <c r="AY433">
        <f>IF(AV433=0,0,$AY$414*$H$26*$AU$414)</f>
        <v>-1328.1999999999998</v>
      </c>
      <c r="AZ433">
        <f>(0.6*AW433+0.7*AX433)*$AU$414/2</f>
        <v>262007.93632499999</v>
      </c>
      <c r="BA433">
        <f>(0.6*AW433+0.6*AY433)*$AU$414/2</f>
        <v>254140.21312500001</v>
      </c>
      <c r="BC433">
        <f>IF(AV433=0,0,$BG$414*$AP$405)</f>
        <v>343.06999999999994</v>
      </c>
      <c r="BD433">
        <f>IFERROR(BC433/$AU$414,0)</f>
        <v>11.829999999999998</v>
      </c>
      <c r="BE433">
        <f>BC433*($F$21+IF($F$21=0,0,($C$14+$C$15+IF($C$13="single",1.5,3)+3)/12))</f>
        <v>3666.5606249999992</v>
      </c>
      <c r="BF433">
        <f>BE433-AZ433</f>
        <v>-258341.37569999998</v>
      </c>
      <c r="BG433" cm="1">
        <f t="array" ref="BG433">IFERROR(IF(BF433&lt;0,0,BF433/($AU$414-INDEX(hd_off,MATCH(BT433,hd_mark,0),0)/12)),0)</f>
        <v>0</v>
      </c>
      <c r="BH433">
        <f>IF(AV433=0,0,$BG$414*$AM$405)</f>
        <v>7899.5999999999995</v>
      </c>
      <c r="BI433">
        <f>IFERROR(BH433/$AU$414,0)</f>
        <v>272.39999999999998</v>
      </c>
      <c r="BJ433">
        <f>BH433*($F$21+IF($F$21=0,0,($C$14+$C$15+IF($C$13="single",1.5,3)+3)/12))</f>
        <v>84426.974999999991</v>
      </c>
      <c r="BK433">
        <f>BJ433-BA433</f>
        <v>-169713.23812500003</v>
      </c>
      <c r="BL433" cm="1">
        <f t="array" ref="BL433">IFERROR(IF(BK433&lt;0,0,BK433/($AU$414-INDEX(hd_off,MATCH(BT433,hd_mark,0),0)/12)),0)</f>
        <v>0</v>
      </c>
      <c r="BM433">
        <f>MAX($F$21,$BB$414)/$Q$436</f>
        <v>0.30172413793103448</v>
      </c>
      <c r="BN433">
        <f>IF(BM433=0,0,IF(BM433&gt;2,1.25-0.125*BM433,1))</f>
        <v>1</v>
      </c>
      <c r="BO433" cm="1">
        <f t="array" ref="BO433">IFERROR(INDEX(sheath_ecap_asd,MATCH(BS433,sheath_mark,0),0)*BN433,0)</f>
        <v>239.85714285714286</v>
      </c>
      <c r="BP433" cm="1">
        <f t="array" ref="BP433">IFERROR(INDEX(sheath_wcap_asd,MATCH(BS433,sheath_mark,0),0)*BN433,0)</f>
        <v>335.8</v>
      </c>
      <c r="BQ433" cm="1">
        <f t="array" ref="BQ433">IFERROR(INDEX(hd_cap,MATCH(BT433,hd_mark,0),0),0)</f>
        <v>0</v>
      </c>
      <c r="BS433" s="19">
        <v>21</v>
      </c>
      <c r="BT433" s="19"/>
      <c r="BU433" s="100"/>
    </row>
    <row r="434" x14ac:dyDescent="0.25">
      <c r="B434" t="s">
        <v>458</v>
      </c>
      <c r="C434" s="19">
        <v>27</v>
      </c>
      <c r="D434" s="19">
        <v>27</v>
      </c>
      <c r="E434">
        <f t="shared" si="280"/>
        <v>54</v>
      </c>
      <c r="H434">
        <v>9</v>
      </c>
      <c r="I434" s="19">
        <v>30</v>
      </c>
      <c r="J434" s="19">
        <v>0</v>
      </c>
      <c r="K434">
        <f t="shared" si="281"/>
        <v>30</v>
      </c>
      <c r="P434" s="93"/>
      <c r="Q434" s="109"/>
      <c r="R434" t="str">
        <f>$Q$406</f>
        <v>L3</v>
      </c>
      <c r="S434">
        <f>$E$22</f>
        <v>21.375</v>
      </c>
      <c r="T434" cm="1">
        <f t="array" ref="T434">IFERROR(IF(S434=0,0,(INDEX($C$33:$C$38,MATCH($W$414,$B$33:$B$38,0),0)*(S437+$X$414)+$T$414*COUNTIF(S434:S436,"&gt;0")*$C$32+$V$414*$C$31)*$R$414),0)</f>
        <v>26015.71875</v>
      </c>
      <c r="U434">
        <f>IF(S434=0,0,-(COUNTIF(S434:S436,"&gt;0")*$T$414*$C$32+$V$414*$C$31)*$H$27*$R$414)</f>
        <v>-200.44799999999998</v>
      </c>
      <c r="V434">
        <f>IF(S434=0,0,$V$414*$H$26*$R$414)</f>
        <v>-1328.1999999999998</v>
      </c>
      <c r="W434">
        <f t="shared" ref="W434:W436" si="282">(0.6*T434+0.7*U434)*$R$414/2</f>
        <v>224302.20592500002</v>
      </c>
      <c r="X434">
        <f>T434*$R$414/2</f>
        <v>377227.921875</v>
      </c>
      <c r="Z434">
        <f>IF(S434=0,0,$AD$414*$AP$406)</f>
        <v>376.565</v>
      </c>
      <c r="AA434">
        <f>IFERROR(Z434/$R$414,0)</f>
        <v>12.984999999999999</v>
      </c>
      <c r="AB434">
        <f>Z434*($F$22+IF($F$22=0,0,($C$14+$C$15+IF($C$13="single",1.5,3)+3)/12))</f>
        <v>4024.5384374999999</v>
      </c>
      <c r="AC434">
        <f>AB434-W434</f>
        <v>-220277.6674875</v>
      </c>
      <c r="AD434" cm="1">
        <f t="array" ref="AD434">IFERROR(IF(AC434&lt;0,0,AC434/($R$414-INDEX(hd_off,MATCH(AQ434,hd_mark,0),0)/12)),0)</f>
        <v>0</v>
      </c>
      <c r="AE434">
        <f>IF(S434=0,0,$AD$414*$AM$406)</f>
        <v>5846.4</v>
      </c>
      <c r="AF434">
        <f>IFERROR(AE434/$R$414,0)</f>
        <v>201.6</v>
      </c>
      <c r="AG434">
        <f>AE434*($F$22+IF($F$22=0,0,($C$14+$C$15+IF($C$13="single",1.5,3)+3)/12))</f>
        <v>62483.399999999994</v>
      </c>
      <c r="AH434">
        <f>AG434-X434</f>
        <v>-314744.52187499998</v>
      </c>
      <c r="AI434" cm="1">
        <f t="array" ref="AI434">IFERROR(IF(AH434&lt;0,0,AH434/($R$414-INDEX(hd_off,MATCH(AQ434,hd_mark,0),0)/12)),0)</f>
        <v>0</v>
      </c>
      <c r="AJ434">
        <f>MAX($F$22,$Z$414)/$Q$436</f>
        <v>0.30172413793103448</v>
      </c>
      <c r="AK434">
        <f t="shared" ref="AK434:AK437" si="283">IF(AJ434=0,0,IF(AJ434&gt;2,1.25-0.125*AJ434,1))</f>
        <v>1</v>
      </c>
      <c r="AL434" cm="1">
        <f t="array" ref="AL434">IFERROR(INDEX(sheath_ecap_asd,MATCH(AP434,sheath_mark,0),0)*AK434,0)</f>
        <v>239.85714285714286</v>
      </c>
      <c r="AM434" cm="1">
        <f t="array" ref="AM434">IFERROR(INDEX(sheath_wcap_asd,MATCH(AP434,sheath_mark,0),0)*AK434,0)</f>
        <v>335.8</v>
      </c>
      <c r="AN434" cm="1">
        <f t="array" ref="AN434">IFERROR(INDEX(hd_cap,MATCH(AQ434,hd_mark,0),0),0)</f>
        <v>0</v>
      </c>
      <c r="AP434" s="19">
        <v>21</v>
      </c>
      <c r="AQ434" s="19"/>
      <c r="AR434" s="100"/>
      <c r="AS434" s="93"/>
      <c r="AT434" s="109"/>
      <c r="AU434" t="str">
        <f>$Q$406</f>
        <v>L3</v>
      </c>
      <c r="AV434">
        <f>$E$22</f>
        <v>21.375</v>
      </c>
      <c r="AW434" cm="1">
        <f t="array" ref="AW434">IFERROR(IF(AV434=0,0,(INDEX($C$33:$C$38,MATCH($AZ$414,$B$33:$B$38,0),0)*(AV437+$BA$414)+$AW$414*COUNTIF(AV434:AV436,"&gt;0")*$C$32+$AY$414*$C$31)*$AU$414),0)</f>
        <v>26015.71875</v>
      </c>
      <c r="AX434">
        <f>IF(AV434=0,0,-(COUNTIF(AV434:AV436,"&gt;0")*$AW$414*$C$32+$AY$414*$C$31)*$H$27*$AU$414)</f>
        <v>-200.44799999999998</v>
      </c>
      <c r="AY434">
        <f>IF(AV434=0,0,$AY$414*$H$26*$AU$414)</f>
        <v>-1328.1999999999998</v>
      </c>
      <c r="AZ434">
        <f>(0.6*AW434+0.7*AX434)*$AU$414/2</f>
        <v>224302.20592500002</v>
      </c>
      <c r="BA434">
        <f>AW434*$AU$414/2</f>
        <v>377227.921875</v>
      </c>
      <c r="BC434">
        <f>IF(AV434=0,0,$BG$414*$AP$406)</f>
        <v>376.565</v>
      </c>
      <c r="BD434">
        <f>IFERROR(BC434/$AU$414,0)</f>
        <v>12.984999999999999</v>
      </c>
      <c r="BE434">
        <f>BC434*($F$22+IF($F$22=0,0,($C$14+$C$15+IF($C$13="single",1.5,3)+3)/12))</f>
        <v>4024.5384374999999</v>
      </c>
      <c r="BF434">
        <f>BE434-AZ434</f>
        <v>-220277.6674875</v>
      </c>
      <c r="BG434" cm="1">
        <f t="array" ref="BG434">IFERROR(IF(BF434&lt;0,0,BF434/($AU$414-INDEX(hd_off,MATCH(BT434,hd_mark,0),0)/12)),0)</f>
        <v>0</v>
      </c>
      <c r="BH434">
        <f>IF(AV434=0,0,$BG$414*$AM$406)</f>
        <v>5846.4</v>
      </c>
      <c r="BI434">
        <f>IFERROR(BH434/$AU$414,0)</f>
        <v>201.6</v>
      </c>
      <c r="BJ434">
        <f>BH434*($F$22+IF($F$22=0,0,($C$14+$C$15+IF($C$13="single",1.5,3)+3)/12))</f>
        <v>62483.399999999994</v>
      </c>
      <c r="BK434">
        <f>BJ434-BA434</f>
        <v>-314744.52187499998</v>
      </c>
      <c r="BL434" cm="1">
        <f t="array" ref="BL434">IFERROR(IF(BK434&lt;0,0,BK434/($AU$414-INDEX(hd_off,MATCH(BT434,hd_mark,0),0)/12)),0)</f>
        <v>0</v>
      </c>
      <c r="BM434">
        <f>MAX($F$22,$BC$414)/$Q$436</f>
        <v>0.30172413793103448</v>
      </c>
      <c r="BN434">
        <f t="shared" ref="BN434:BN437" si="284">IF(BM434=0,0,IF(BM434&gt;2,1.25-0.125*BM434,1))</f>
        <v>1</v>
      </c>
      <c r="BO434" cm="1">
        <f t="array" ref="BO434">IFERROR(INDEX(sheath_ecap_asd,MATCH(BS434,sheath_mark,0),0)*BN434,0)</f>
        <v>239.85714285714286</v>
      </c>
      <c r="BP434" cm="1">
        <f t="array" ref="BP434">IFERROR(INDEX(sheath_wcap_asd,MATCH(BS434,sheath_mark,0),0)*BN434,0)</f>
        <v>335.8</v>
      </c>
      <c r="BQ434" cm="1">
        <f t="array" ref="BQ434">IFERROR(INDEX(hd_cap,MATCH(BT434,hd_mark,0),0),0)</f>
        <v>0</v>
      </c>
      <c r="BS434" s="19">
        <v>21</v>
      </c>
      <c r="BT434" s="19"/>
      <c r="BU434" s="100"/>
    </row>
    <row r="435" x14ac:dyDescent="0.25">
      <c r="B435" t="s">
        <v>459</v>
      </c>
      <c r="C435" s="19">
        <v>27</v>
      </c>
      <c r="D435" s="19">
        <v>41</v>
      </c>
      <c r="E435">
        <f t="shared" si="280"/>
        <v>68</v>
      </c>
      <c r="F435" t="s">
        <v>506</v>
      </c>
      <c r="H435">
        <v>10</v>
      </c>
      <c r="I435" s="19">
        <v>30</v>
      </c>
      <c r="J435" s="19">
        <v>0</v>
      </c>
      <c r="K435">
        <f t="shared" si="281"/>
        <v>30</v>
      </c>
      <c r="P435" s="93"/>
      <c r="Q435" s="109" t="s">
        <v>491</v>
      </c>
      <c r="R435" t="str">
        <f>$Q$407</f>
        <v>L4</v>
      </c>
      <c r="S435">
        <f>$E$23</f>
        <v>0</v>
      </c>
      <c r="T435" cm="1">
        <f t="array" ref="T435">IFERROR(IF(S435=0,0,(INDEX($C$33:$C$38,MATCH($W$414,$B$33:$B$38,0),0)*(S437+$X$414)+$T$414*COUNTIF(S435:S436,"&gt;0")*$C$32+$V$414*$C$31)*$R$414),0)</f>
        <v>0</v>
      </c>
      <c r="U435">
        <f>IF(S435=0,0,-(COUNTIF(S435:S436,"&gt;0")*$T$414*$C$32+$V$414*$C$31)*$H$27*$R$414)</f>
        <v>0</v>
      </c>
      <c r="V435">
        <f>IF(S435=0,0,$V$414*$H$26*$R$414)</f>
        <v>0</v>
      </c>
      <c r="W435">
        <f t="shared" si="282"/>
        <v>0</v>
      </c>
      <c r="X435">
        <f>T435*$R$414/2</f>
        <v>0</v>
      </c>
      <c r="Z435">
        <f>IF(S435=0,0,$AD$414*$AP$407)</f>
        <v>0</v>
      </c>
      <c r="AA435">
        <f>IFERROR(Z435/$R$414,0)</f>
        <v>0</v>
      </c>
      <c r="AB435">
        <f>Z435*($F$23+IF($F$23=0,0,($C$14+$C$15+IF($C$13="single",1.5,3)+3)/12))</f>
        <v>0</v>
      </c>
      <c r="AC435">
        <f>AB435-W435</f>
        <v>0</v>
      </c>
      <c r="AD435" cm="1">
        <f t="array" ref="AD435">IFERROR(IF(AC435&lt;0,0,AC435/($R$414-INDEX(hd_off,MATCH(AQ435,hd_mark,0),0)/12)),0)</f>
        <v>0</v>
      </c>
      <c r="AE435">
        <f>IF(S435=0,0,$AD$414*$AM$407)</f>
        <v>0</v>
      </c>
      <c r="AF435">
        <f>IFERROR(AE435/$R$414,0)</f>
        <v>0</v>
      </c>
      <c r="AG435">
        <f>AE435*($F$23+IF($F$23=0,0,($C$14+$C$15+IF($C$13="single",1.5,3)+3)/12))</f>
        <v>0</v>
      </c>
      <c r="AH435">
        <f>AG435-X435</f>
        <v>0</v>
      </c>
      <c r="AI435" cm="1">
        <f t="array" ref="AI435">IFERROR(IF(AH435&lt;0,0,AH435/($R$414-INDEX(hd_off,MATCH(AQ435,hd_mark,0),0)/12)),0)</f>
        <v>0</v>
      </c>
      <c r="AJ435">
        <f>MAX($F$23,$AA$414)/$Q$436</f>
        <v>0</v>
      </c>
      <c r="AK435">
        <f t="shared" si="283"/>
        <v>0</v>
      </c>
      <c r="AL435" cm="1">
        <f t="array" ref="AL435">IFERROR(INDEX(sheath_ecap_asd,MATCH(AP435,sheath_mark,0),0)*AK435,0)</f>
        <v>0</v>
      </c>
      <c r="AM435" cm="1">
        <f t="array" ref="AM435">IFERROR(INDEX(sheath_wcap_asd,MATCH(AP435,sheath_mark,0),0)*AK435,0)</f>
        <v>0</v>
      </c>
      <c r="AN435" cm="1">
        <f t="array" ref="AN435">IFERROR(INDEX(hd_cap,MATCH(AQ435,hd_mark,0),0),0)</f>
        <v>0</v>
      </c>
      <c r="AP435" s="19"/>
      <c r="AQ435" s="19"/>
      <c r="AR435" s="100"/>
      <c r="AS435" s="93"/>
      <c r="AT435" s="109" t="s">
        <v>491</v>
      </c>
      <c r="AU435" t="str">
        <f>$Q$407</f>
        <v>L4</v>
      </c>
      <c r="AV435">
        <f>$E$23</f>
        <v>0</v>
      </c>
      <c r="AW435" cm="1">
        <f t="array" ref="AW435">IFERROR(IF(AV435=0,0,(INDEX($C$33:$C$38,MATCH($AZ$414,$B$33:$B$38,0),0)*(AV437+$BA$414)+$AW$414*COUNTIF(AV435:AV436,"&gt;0")*$C$32+$AY$414*$C$31)*$AU$414),0)</f>
        <v>0</v>
      </c>
      <c r="AX435">
        <f>IF(AV435=0,0,-(COUNTIF(AV435:AV436,"&gt;0")*$AW$414*$C$32+$AY$414*$C$31)*$H$27*$AU$414)</f>
        <v>0</v>
      </c>
      <c r="AY435">
        <f>IF(AV435=0,0,$AY$414*$H$26*$AU$414)</f>
        <v>0</v>
      </c>
      <c r="AZ435">
        <f>(0.6*AW435+0.7*AX435)*$AU$414/2</f>
        <v>0</v>
      </c>
      <c r="BA435">
        <f>AW435*$AU$414/2</f>
        <v>0</v>
      </c>
      <c r="BC435">
        <f>IF(AV435=0,0,$BG$414*$AP$407)</f>
        <v>0</v>
      </c>
      <c r="BD435">
        <f>IFERROR(BC435/$AU$414,0)</f>
        <v>0</v>
      </c>
      <c r="BE435">
        <f>BC435*($F$23+IF($F$23=0,0,($C$14+$C$15+IF($C$13="single",1.5,3)+3)/12))</f>
        <v>0</v>
      </c>
      <c r="BF435">
        <f>BE435-AZ435</f>
        <v>0</v>
      </c>
      <c r="BG435" cm="1">
        <f t="array" ref="BG435">IFERROR(IF(BF435&lt;0,0,BF435/($AU$414-INDEX(hd_off,MATCH(BT435,hd_mark,0),0)/12)),0)</f>
        <v>0</v>
      </c>
      <c r="BH435">
        <f>IF(AV435=0,0,$BG$414*$AM$407)</f>
        <v>0</v>
      </c>
      <c r="BI435">
        <f>IFERROR(BH435/$AU$414,0)</f>
        <v>0</v>
      </c>
      <c r="BJ435">
        <f>BH435*($F$23+IF($F$23=0,0,($C$14+$C$15+IF($C$13="single",1.5,3)+3)/12))</f>
        <v>0</v>
      </c>
      <c r="BK435">
        <f>BJ435-BA435</f>
        <v>0</v>
      </c>
      <c r="BL435" cm="1">
        <f t="array" ref="BL435">IFERROR(IF(BK435&lt;0,0,BK435/($AU$414-INDEX(hd_off,MATCH(BT435,hd_mark,0),0)/12)),0)</f>
        <v>0</v>
      </c>
      <c r="BM435">
        <f>MAX($F$23,$BD$414)/$Q$436</f>
        <v>0</v>
      </c>
      <c r="BN435">
        <f t="shared" si="284"/>
        <v>0</v>
      </c>
      <c r="BO435" cm="1">
        <f t="array" ref="BO435">IFERROR(INDEX(sheath_ecap_asd,MATCH(BS435,sheath_mark,0),0)*BN435,0)</f>
        <v>0</v>
      </c>
      <c r="BP435" cm="1">
        <f t="array" ref="BP435">IFERROR(INDEX(sheath_wcap_asd,MATCH(BS435,sheath_mark,0),0)*BN435,0)</f>
        <v>0</v>
      </c>
      <c r="BQ435" cm="1">
        <f t="array" ref="BQ435">IFERROR(INDEX(hd_cap,MATCH(BT435,hd_mark,0),0),0)</f>
        <v>0</v>
      </c>
      <c r="BS435" s="19"/>
      <c r="BT435" s="19"/>
      <c r="BU435" s="100"/>
    </row>
    <row r="436" x14ac:dyDescent="0.25">
      <c r="B436" t="s">
        <v>171</v>
      </c>
      <c r="C436" s="19">
        <v>0</v>
      </c>
      <c r="D436" s="19">
        <v>29</v>
      </c>
      <c r="E436">
        <f t="shared" si="280"/>
        <v>29</v>
      </c>
      <c r="H436">
        <v>11</v>
      </c>
      <c r="I436" s="19">
        <v>0</v>
      </c>
      <c r="J436" s="19">
        <v>27</v>
      </c>
      <c r="K436">
        <f t="shared" si="281"/>
        <v>27</v>
      </c>
      <c r="P436" s="93"/>
      <c r="Q436" s="111">
        <f>$R$414</f>
        <v>29</v>
      </c>
      <c r="R436" t="str">
        <f>$Q$408</f>
        <v>L5</v>
      </c>
      <c r="S436">
        <f>$E$24</f>
        <v>0</v>
      </c>
      <c r="T436" cm="1">
        <f t="array" ref="T436">IFERROR(IF(S436=0,0,(INDEX($C$33:$C$38,MATCH($W$414,$B$33:$B$38,0),0)*(S437+$X$414)+$T$414*COUNTIF(S436:S436,"&gt;0")*$C$32+$V$414*$C$31)*$R$414),0)</f>
        <v>0</v>
      </c>
      <c r="U436">
        <f>IF(S436=0,0,-(COUNTIF(S436:S436,"&gt;0")*$T$414*$C$32+$V$414*$C$31)*$H$27*$R$414)</f>
        <v>0</v>
      </c>
      <c r="V436">
        <f>IF(S436=0,0,$V$414*$H$26*$R$414)</f>
        <v>0</v>
      </c>
      <c r="W436">
        <f t="shared" si="282"/>
        <v>0</v>
      </c>
      <c r="X436">
        <f>T436*$R$414/2</f>
        <v>0</v>
      </c>
      <c r="Z436">
        <f>IF(S436=0,0,$AD$414*$AP$408)</f>
        <v>0</v>
      </c>
      <c r="AA436">
        <f>IFERROR(Z436/$R$414,0)</f>
        <v>0</v>
      </c>
      <c r="AB436">
        <f>Z436*($F$24+IF($F$24=0,0,($C$14+$C$15+IF($C$13="single",1.5,3)+3)/12))</f>
        <v>0</v>
      </c>
      <c r="AC436">
        <f>AB436-W436</f>
        <v>0</v>
      </c>
      <c r="AD436" cm="1">
        <f t="array" ref="AD436">IFERROR(IF(AC436&lt;0,0,AC436/($R$414-INDEX(hd_off,MATCH(AQ436,hd_mark,0),0)/12)),0)</f>
        <v>0</v>
      </c>
      <c r="AE436">
        <f>IF(S436=0,0,$AD$414*$AM$408)</f>
        <v>0</v>
      </c>
      <c r="AF436">
        <f>IFERROR(AE436/$R$414,0)</f>
        <v>0</v>
      </c>
      <c r="AG436">
        <f>AE436*($F$24+IF($F$24=0,0,($C$14+$C$15+IF($C$13="single",1.5,3)+3)/12))</f>
        <v>0</v>
      </c>
      <c r="AH436">
        <f>AG436-X436</f>
        <v>0</v>
      </c>
      <c r="AI436" cm="1">
        <f t="array" ref="AI436">IFERROR(IF(AH436&lt;0,0,AH436/($R$414-INDEX(hd_off,MATCH(AQ436,hd_mark,0),0)/12)),0)</f>
        <v>0</v>
      </c>
      <c r="AJ436">
        <f>MAX($F$24,$AB$414)/$Q$436</f>
        <v>0</v>
      </c>
      <c r="AK436">
        <f t="shared" si="283"/>
        <v>0</v>
      </c>
      <c r="AL436" cm="1">
        <f t="array" ref="AL436">IFERROR(INDEX(sheath_ecap_asd,MATCH(AP436,sheath_mark,0),0)*AK436,0)</f>
        <v>0</v>
      </c>
      <c r="AM436" cm="1">
        <f t="array" ref="AM436">IFERROR(INDEX(sheath_wcap_asd,MATCH(AP436,sheath_mark,0),0)*AK436,0)</f>
        <v>0</v>
      </c>
      <c r="AN436" cm="1">
        <f t="array" ref="AN436">IFERROR(INDEX(hd_cap,MATCH(AQ436,hd_mark,0),0),0)</f>
        <v>0</v>
      </c>
      <c r="AP436" s="19"/>
      <c r="AQ436" s="19"/>
      <c r="AR436" s="100"/>
      <c r="AS436" s="93"/>
      <c r="AT436" s="111">
        <f>$R$414</f>
        <v>29</v>
      </c>
      <c r="AU436" t="str">
        <f>$Q$408</f>
        <v>L5</v>
      </c>
      <c r="AV436">
        <f>$E$24</f>
        <v>0</v>
      </c>
      <c r="AW436" cm="1">
        <f t="array" ref="AW436">IFERROR(IF(AV436=0,0,(INDEX($C$33:$C$38,MATCH($AZ$414,$B$33:$B$38,0),0)*(AV437+$BA$414)+$AW$414*COUNTIF(AV436:AV436,"&gt;0")*$C$32+$AY$414*$C$31)*$AU$414),0)</f>
        <v>0</v>
      </c>
      <c r="AX436">
        <f>IF(AV436=0,0,-(COUNTIF(AV436:AV436,"&gt;0")*$AW$414*$C$32+$AY$414*$C$31)*$H$27*$AU$414)</f>
        <v>0</v>
      </c>
      <c r="AY436">
        <f>IF(AV436=0,0,$AY$414*$H$26*$AU$414)</f>
        <v>0</v>
      </c>
      <c r="AZ436">
        <f>(0.6*AW436+0.7*AX436)*$AU$414/2</f>
        <v>0</v>
      </c>
      <c r="BA436">
        <f>AW436*$AU$414/2</f>
        <v>0</v>
      </c>
      <c r="BC436">
        <f>IF(AV436=0,0,$BG$414*$AP$408)</f>
        <v>0</v>
      </c>
      <c r="BD436">
        <f>IFERROR(BC436/$AU$414,0)</f>
        <v>0</v>
      </c>
      <c r="BE436">
        <f>BC436*($F$24+IF($F$24=0,0,($C$14+$C$15+IF($C$13="single",1.5,3)+3)/12))</f>
        <v>0</v>
      </c>
      <c r="BF436">
        <f>BE436-AZ436</f>
        <v>0</v>
      </c>
      <c r="BG436" cm="1">
        <f t="array" ref="BG436">IFERROR(IF(BF436&lt;0,0,BF436/($AU$414-INDEX(hd_off,MATCH(BT436,hd_mark,0),0)/12)),0)</f>
        <v>0</v>
      </c>
      <c r="BH436">
        <f>IF(AV436=0,0,$BG$414*$AM$408)</f>
        <v>0</v>
      </c>
      <c r="BI436">
        <f>IFERROR(BH436/$AU$414,0)</f>
        <v>0</v>
      </c>
      <c r="BJ436">
        <f>BH436*($F$24+IF($F$24=0,0,($C$14+$C$15+IF($C$13="single",1.5,3)+3)/12))</f>
        <v>0</v>
      </c>
      <c r="BK436">
        <f>BJ436-BA436</f>
        <v>0</v>
      </c>
      <c r="BL436" cm="1">
        <f t="array" ref="BL436">IFERROR(IF(BK436&lt;0,0,BK436/($AU$414-INDEX(hd_off,MATCH(BT436,hd_mark,0),0)/12)),0)</f>
        <v>0</v>
      </c>
      <c r="BM436">
        <f>MAX($F$24,$BE$414)/$Q$436</f>
        <v>0</v>
      </c>
      <c r="BN436">
        <f t="shared" si="284"/>
        <v>0</v>
      </c>
      <c r="BO436" cm="1">
        <f t="array" ref="BO436">IFERROR(INDEX(sheath_ecap_asd,MATCH(BS436,sheath_mark,0),0)*BN436,0)</f>
        <v>0</v>
      </c>
      <c r="BP436" cm="1">
        <f t="array" ref="BP436">IFERROR(INDEX(sheath_wcap_asd,MATCH(BS436,sheath_mark,0),0)*BN436,0)</f>
        <v>0</v>
      </c>
      <c r="BQ436" cm="1">
        <f t="array" ref="BQ436">IFERROR(INDEX(hd_cap,MATCH(BT436,hd_mark,0),0),0)</f>
        <v>0</v>
      </c>
      <c r="BS436" s="19"/>
      <c r="BT436" s="19"/>
      <c r="BU436" s="100"/>
    </row>
    <row r="437" x14ac:dyDescent="0.25">
      <c r="B437" t="s">
        <v>460</v>
      </c>
      <c r="C437" s="19">
        <v>29</v>
      </c>
      <c r="D437" s="19">
        <v>6</v>
      </c>
      <c r="E437">
        <f t="shared" si="280"/>
        <v>35</v>
      </c>
      <c r="H437">
        <v>12</v>
      </c>
      <c r="I437" s="19">
        <v>27</v>
      </c>
      <c r="J437" s="19">
        <v>14</v>
      </c>
      <c r="K437">
        <f t="shared" si="281"/>
        <v>41</v>
      </c>
      <c r="P437" s="93"/>
      <c r="Q437" s="109"/>
      <c r="R437" t="str">
        <f>$Q$409</f>
        <v>Roof</v>
      </c>
      <c r="S437">
        <f>$E$25</f>
        <v>33.171875</v>
      </c>
      <c r="T437" cm="1">
        <f t="array" ref="T437">IFERROR(IF(S437=0,0,(INDEX($C$33:$C$38,MATCH($W$414,$B$33:$B$38,0),0)*(S437+$X$414)+$V$414*$C$31)*$R$414),0)</f>
        <v>21491.71875</v>
      </c>
      <c r="U437">
        <f>IF(S437=0,0,-$V$414*$C$31*$H$27*$R$414)</f>
        <v>-37.583999999999996</v>
      </c>
      <c r="V437">
        <f>IF(S437=0,0,$V$414*$H$26*$R$414)</f>
        <v>-1328.1999999999998</v>
      </c>
      <c r="W437">
        <f>(0.6*T437+0.7*U437)*$R$414/2</f>
        <v>186596.47552499999</v>
      </c>
      <c r="X437">
        <f>T437*$R$414/2</f>
        <v>311629.921875</v>
      </c>
      <c r="Z437">
        <f>IF(S437=0,0,$AD$414*$AP$409)</f>
        <v>191.83499999999995</v>
      </c>
      <c r="AA437">
        <f>IFERROR(Z437/$R$414,0)</f>
        <v>6.6149999999999984</v>
      </c>
      <c r="AB437">
        <f>Z437*($F$25+($C$16+$C$17+IF($C$13="single",1.5,3)+3)/12)</f>
        <v>2263.0535156249989</v>
      </c>
      <c r="AC437">
        <f>AB437-W437</f>
        <v>-184333.42200937498</v>
      </c>
      <c r="AD437" cm="1">
        <f t="array" ref="AD437">IFERROR(IF(AC437&lt;0,0,AC437/($R$414-INDEX(hd_off,MATCH(AQ437,hd_mark,0),0)/12)),0)</f>
        <v>0</v>
      </c>
      <c r="AE437">
        <f>IF(S437=0,0,$AD$414*$AM$409)</f>
        <v>3854.1</v>
      </c>
      <c r="AF437">
        <f>IFERROR(AE437/$R$414,0)</f>
        <v>132.9</v>
      </c>
      <c r="AG437">
        <f>AE437*($F$25+($C$16+$C$17+IF($C$13="single",1.5,3)+3)/12)</f>
        <v>45466.335937499993</v>
      </c>
      <c r="AH437">
        <f>AG437-X437</f>
        <v>-266163.5859375</v>
      </c>
      <c r="AI437" cm="1">
        <f t="array" ref="AI437">IFERROR(IF(AH437&lt;0,0,AH437/($R$414-INDEX(hd_off,MATCH(AQ437,hd_mark,0),0)/12)),0)</f>
        <v>0</v>
      </c>
      <c r="AJ437">
        <f>MAX($F$25,$AC$414)/$Q$436</f>
        <v>0.29920977011494249</v>
      </c>
      <c r="AK437">
        <f t="shared" si="283"/>
        <v>1</v>
      </c>
      <c r="AL437" cm="1">
        <f t="array" ref="AL437">IFERROR(INDEX(sheath_ecap_asd,MATCH(AP437,sheath_mark,0),0)*AK437,0)</f>
        <v>95.285714285714306</v>
      </c>
      <c r="AM437" cm="1">
        <f t="array" ref="AM437">IFERROR(INDEX(sheath_wcap_asd,MATCH(AP437,sheath_mark,0),0)*AK437,0)</f>
        <v>133.4</v>
      </c>
      <c r="AN437" cm="1">
        <f t="array" ref="AN437">IFERROR(INDEX(hd_cap,MATCH(AQ437,hd_mark,0),0),0)</f>
        <v>0</v>
      </c>
      <c r="AP437" s="19">
        <v>11</v>
      </c>
      <c r="AQ437" s="19"/>
      <c r="AR437" s="100"/>
      <c r="AS437" s="93"/>
      <c r="AT437" s="109"/>
      <c r="AU437" t="str">
        <f>$Q$409</f>
        <v>Roof</v>
      </c>
      <c r="AV437">
        <f>$E$25</f>
        <v>33.171875</v>
      </c>
      <c r="AW437" cm="1">
        <f t="array" ref="AW437">IFERROR(IF(AV437=0,0,(INDEX($C$33:$C$38,MATCH($AZ$414,$B$33:$B$38,0),0)*(AV437+$BA$414)+$AY$414*$C$31)*$AU$414),0)</f>
        <v>21491.71875</v>
      </c>
      <c r="AX437">
        <f>IF(AV437=0,0,-$AY$414*$C$31*$H$27*$AU$414)</f>
        <v>-37.583999999999996</v>
      </c>
      <c r="AY437">
        <f>IF(AV437=0,0,$AY$414*$H$26*$AU$414)</f>
        <v>-1328.1999999999998</v>
      </c>
      <c r="AZ437">
        <f>(0.6*AW437+0.7*AX437)*$AU$414/2</f>
        <v>186596.47552499999</v>
      </c>
      <c r="BA437">
        <f>AW437*$AU$414/2</f>
        <v>311629.921875</v>
      </c>
      <c r="BC437">
        <f>IF(AV437=0,0,$BG$414*$AP$409)</f>
        <v>191.83499999999995</v>
      </c>
      <c r="BD437">
        <f>IFERROR(BC437/$AU$414,0)</f>
        <v>6.6149999999999984</v>
      </c>
      <c r="BE437">
        <f>BC437*($F$25+($C$16+$C$17+IF($C$13="single",1.5,3)+3)/12)</f>
        <v>2263.0535156249989</v>
      </c>
      <c r="BF437">
        <f>BE437-AZ437</f>
        <v>-184333.42200937498</v>
      </c>
      <c r="BG437" cm="1">
        <f t="array" ref="BG437">IFERROR(IF(BF437&lt;0,0,BF437/($AU$414-INDEX(hd_off,MATCH(BT437,hd_mark,0),0)/12)),0)</f>
        <v>0</v>
      </c>
      <c r="BH437">
        <f>IF(AV437=0,0,$BG$414*$AM$409)</f>
        <v>3854.1</v>
      </c>
      <c r="BI437">
        <f>IFERROR(BH437/$AU$414,0)</f>
        <v>132.9</v>
      </c>
      <c r="BJ437">
        <f>BH437*($F$25+($C$16+$C$17+IF($C$13="single",1.5,3)+3)/12)</f>
        <v>45466.335937499993</v>
      </c>
      <c r="BK437">
        <f>BJ437-BA437</f>
        <v>-266163.5859375</v>
      </c>
      <c r="BL437" cm="1">
        <f t="array" ref="BL437">IFERROR(IF(BK437&lt;0,0,BK437/($AU$414-INDEX(hd_off,MATCH(BT437,hd_mark,0),0)/12)),0)</f>
        <v>0</v>
      </c>
      <c r="BM437">
        <f>MAX($F$25,$BF$414)/$Q$436</f>
        <v>0.29920977011494249</v>
      </c>
      <c r="BN437">
        <f t="shared" si="284"/>
        <v>1</v>
      </c>
      <c r="BO437" cm="1">
        <f t="array" ref="BO437">IFERROR(INDEX(sheath_ecap_asd,MATCH(BS437,sheath_mark,0),0)*BN437,0)</f>
        <v>95.285714285714306</v>
      </c>
      <c r="BP437" cm="1">
        <f t="array" ref="BP437">IFERROR(INDEX(sheath_wcap_asd,MATCH(BS437,sheath_mark,0),0)*BN437,0)</f>
        <v>133.4</v>
      </c>
      <c r="BQ437" cm="1">
        <f t="array" ref="BQ437">IFERROR(INDEX(hd_cap,MATCH(BT437,hd_mark,0),0),0)</f>
        <v>0</v>
      </c>
      <c r="BS437" s="19">
        <v>11</v>
      </c>
      <c r="BT437" s="19"/>
      <c r="BU437" s="100"/>
    </row>
    <row r="438" x14ac:dyDescent="0.25">
      <c r="B438" t="s">
        <v>461</v>
      </c>
      <c r="C438" s="19">
        <v>6</v>
      </c>
      <c r="D438" s="19">
        <v>29</v>
      </c>
      <c r="E438">
        <f t="shared" si="280"/>
        <v>35</v>
      </c>
      <c r="H438">
        <v>13</v>
      </c>
      <c r="I438" s="19">
        <v>14</v>
      </c>
      <c r="J438" s="19">
        <v>12</v>
      </c>
      <c r="K438">
        <f t="shared" si="281"/>
        <v>26</v>
      </c>
      <c r="P438" s="93"/>
      <c r="Q438" s="109"/>
      <c r="AR438" s="100"/>
      <c r="AS438" s="93"/>
      <c r="AT438" s="109"/>
      <c r="BU438" s="100"/>
    </row>
    <row r="439" x14ac:dyDescent="0.25">
      <c r="B439" t="s">
        <v>462</v>
      </c>
      <c r="C439" s="19">
        <v>29</v>
      </c>
      <c r="D439" s="19">
        <v>0</v>
      </c>
      <c r="E439">
        <f t="shared" si="280"/>
        <v>29</v>
      </c>
      <c r="H439">
        <v>14</v>
      </c>
      <c r="I439" s="19">
        <v>12</v>
      </c>
      <c r="J439" s="19">
        <v>27</v>
      </c>
      <c r="K439">
        <f t="shared" si="281"/>
        <v>39</v>
      </c>
      <c r="P439" s="93"/>
      <c r="Q439" s="110" t="str">
        <f>$Q$415</f>
        <v>A.02</v>
      </c>
      <c r="R439" t="str">
        <f>$Q$405</f>
        <v>L2</v>
      </c>
      <c r="S439">
        <f>$E$21</f>
        <v>10.6875</v>
      </c>
      <c r="T439" cm="1">
        <f t="array" ref="T439">IFERROR(IF(S439=0,0,(INDEX($C$33:$C$38,MATCH($W$415,$B$33:$B$38,0),0)*(S443+$X$415)+$T$415*COUNTIF(S439:S442,"&gt;0")*$C$32+$V$415*$C$31)*$R$415),0)</f>
        <v>0</v>
      </c>
      <c r="U439">
        <f>IF(S439=0,0,-(COUNTIF(S439:S442,"&gt;0")*$T$415*$C$32+$V$415*$C$31)*$H$27*$R$415)</f>
        <v>0</v>
      </c>
      <c r="V439">
        <f>IF(S439=0,0,$V$415*$H$26*$R$415)</f>
        <v>0</v>
      </c>
      <c r="W439">
        <f>(0.6*T439+0.7*U439)*$R$415/2</f>
        <v>0</v>
      </c>
      <c r="X439">
        <f>(0.6*T439+0.6*V439)*$R$415/2</f>
        <v>0</v>
      </c>
      <c r="Z439">
        <f>IF(S439=0,0,$AD$415*$AP$405)</f>
        <v>0</v>
      </c>
      <c r="AA439">
        <f>IFERROR(Z439/$R$415,0)</f>
        <v>0</v>
      </c>
      <c r="AB439">
        <f>Z439*($F$21+IF($F$21=0,0,($C$14+$C$15+IF($C$13="single",1.5,3)+3)/12))</f>
        <v>0</v>
      </c>
      <c r="AC439">
        <f>AB439-W439</f>
        <v>0</v>
      </c>
      <c r="AD439" cm="1">
        <f t="array" ref="AD439">IFERROR(IF(AC439&lt;0,0,AC439/($R$415-INDEX(hd_off,MATCH(AQ439,hd_mark,0),0)/12)),0)</f>
        <v>0</v>
      </c>
      <c r="AE439">
        <f>IF(S439=0,0,$AD$415*$AM$405)</f>
        <v>0</v>
      </c>
      <c r="AF439">
        <f>IFERROR(AE439/$R$415,0)</f>
        <v>0</v>
      </c>
      <c r="AG439">
        <f>AE439*($F$21+IF($F$21=0,0,($C$14+$C$15+IF($C$13="single",1.5,3)+3)/12))</f>
        <v>0</v>
      </c>
      <c r="AH439">
        <f>AG439-X439</f>
        <v>0</v>
      </c>
      <c r="AI439" cm="1">
        <f t="array" ref="AI439">IFERROR(IF(AH439&lt;0,0,AH439/($R$415-INDEX(hd_off,MATCH(AQ439,hd_mark,0),0)/12)),0)</f>
        <v>0</v>
      </c>
      <c r="AJ439">
        <f>MAX($F$21,$Y$415)/$Q$436</f>
        <v>0.30172413793103448</v>
      </c>
      <c r="AK439">
        <f>IF(AJ439=0,0,IF(AJ439&gt;2,1.25-0.125*AJ439,1))</f>
        <v>1</v>
      </c>
      <c r="AL439" cm="1">
        <f t="array" ref="AL439">IFERROR(INDEX(sheath_ecap_asd,MATCH(AP439,sheath_mark,0),0)*AK439,0)</f>
        <v>0</v>
      </c>
      <c r="AM439" cm="1">
        <f t="array" ref="AM439">IFERROR(INDEX(sheath_wcap_asd,MATCH(AP439,sheath_mark,0),0)*AK439,0)</f>
        <v>0</v>
      </c>
      <c r="AN439" cm="1">
        <f t="array" ref="AN439">IFERROR(INDEX(hd_cap,MATCH(AQ439,hd_mark,0),0),0)</f>
        <v>0</v>
      </c>
      <c r="AP439" s="19"/>
      <c r="AQ439" s="19"/>
      <c r="AR439" s="100"/>
      <c r="AS439" s="93"/>
      <c r="AT439" s="110" t="str">
        <f>$AT$415</f>
        <v>1.02</v>
      </c>
      <c r="AU439" t="str">
        <f>$Q$405</f>
        <v>L2</v>
      </c>
      <c r="AV439">
        <f>$E$21</f>
        <v>10.6875</v>
      </c>
      <c r="AW439" cm="1">
        <f t="array" ref="AW439">IFERROR(IF(AV439=0,0,(INDEX($C$33:$C$38,MATCH($AZ$415,$B$33:$B$38,0),0)*(AV443+$BA$415)+$AW$415*COUNTIF(AV439:AV442,"&gt;0")*$C$32+$AY$415*$C$31)*$AU$415),0)</f>
        <v>0</v>
      </c>
      <c r="AX439">
        <f>IF(AV439=0,0,-(COUNTIF(AV439:AV442,"&gt;0")*$AW$415*$C$32+$AY$415*$C$31)*$H$27*$AU$415)</f>
        <v>0</v>
      </c>
      <c r="AY439">
        <f>IF(AV439=0,0,$AY$415*$H$26*$AU$415)</f>
        <v>0</v>
      </c>
      <c r="AZ439">
        <f>(0.6*AW439+0.7*AX439)*$AU$415/2</f>
        <v>0</v>
      </c>
      <c r="BA439">
        <f>(0.6*AW439+0.6*AY439)*$AU$415/2</f>
        <v>0</v>
      </c>
      <c r="BC439">
        <f>IF(AV439=0,0,$BG$415*$AP$405)</f>
        <v>0</v>
      </c>
      <c r="BD439">
        <f>IFERROR(BC439/$AU$415,0)</f>
        <v>0</v>
      </c>
      <c r="BE439">
        <f>BC439*($F$21+IF($F$21=0,0,($C$14+$C$15+IF($C$13="single",1.5,3)+3)/12))</f>
        <v>0</v>
      </c>
      <c r="BF439">
        <f>BE439-AZ439</f>
        <v>0</v>
      </c>
      <c r="BG439" cm="1">
        <f t="array" ref="BG439">IFERROR(IF(BF439&lt;0,0,BF439/($AU$415-INDEX(hd_off,MATCH(BT439,hd_mark,0),0)/12)),0)</f>
        <v>0</v>
      </c>
      <c r="BH439">
        <f>IF(AV439=0,0,$BG$415*$AM$405)</f>
        <v>0</v>
      </c>
      <c r="BI439">
        <f>IFERROR(BH439/$AU$415,0)</f>
        <v>0</v>
      </c>
      <c r="BJ439">
        <f>BH439*($F$21+IF($F$21=0,0,($C$14+$C$15+IF($C$13="single",1.5,3)+3)/12))</f>
        <v>0</v>
      </c>
      <c r="BK439">
        <f>BJ439-BA439</f>
        <v>0</v>
      </c>
      <c r="BL439" cm="1">
        <f t="array" ref="BL439">IFERROR(IF(BK439&lt;0,0,BK439/($AU$415-INDEX(hd_off,MATCH(BT439,hd_mark,0),0)/12)),0)</f>
        <v>0</v>
      </c>
      <c r="BM439">
        <f>MAX($F$21,$BB$415)/$Q$436</f>
        <v>0.30172413793103448</v>
      </c>
      <c r="BN439">
        <f>IF(BM439=0,0,IF(BM439&gt;2,1.25-0.125*BM439,1))</f>
        <v>1</v>
      </c>
      <c r="BO439" cm="1">
        <f t="array" ref="BO439">IFERROR(INDEX(sheath_ecap_asd,MATCH(BS439,sheath_mark,0),0)*BN439,0)</f>
        <v>0</v>
      </c>
      <c r="BP439" cm="1">
        <f t="array" ref="BP439">IFERROR(INDEX(sheath_wcap_asd,MATCH(BS439,sheath_mark,0),0)*BN439,0)</f>
        <v>0</v>
      </c>
      <c r="BQ439" cm="1">
        <f t="array" ref="BQ439">IFERROR(INDEX(hd_cap,MATCH(BT439,hd_mark,0),0),0)</f>
        <v>0</v>
      </c>
      <c r="BS439" s="19"/>
      <c r="BT439" s="19"/>
      <c r="BU439" s="100"/>
    </row>
    <row r="440" x14ac:dyDescent="0.25">
      <c r="B440" t="s">
        <v>463</v>
      </c>
      <c r="C440" s="19"/>
      <c r="D440" s="19"/>
      <c r="E440">
        <f t="shared" si="280"/>
        <v>0</v>
      </c>
      <c r="H440">
        <v>15</v>
      </c>
      <c r="I440" s="19">
        <v>27</v>
      </c>
      <c r="J440" s="19">
        <v>18</v>
      </c>
      <c r="K440">
        <f t="shared" si="281"/>
        <v>45</v>
      </c>
      <c r="P440" s="93"/>
      <c r="Q440" s="109"/>
      <c r="R440" t="str">
        <f>$Q$406</f>
        <v>L3</v>
      </c>
      <c r="S440">
        <f>$E$22</f>
        <v>21.375</v>
      </c>
      <c r="T440" cm="1">
        <f t="array" ref="T440">IFERROR(IF(S440=0,0,(INDEX($C$33:$C$38,MATCH($W$415,$B$33:$B$38,0),0)*(S443+$X$415)+$T$415*COUNTIF(S440:S442,"&gt;0")*$C$32+$V$415*$C$31)*$R$415),0)</f>
        <v>0</v>
      </c>
      <c r="U440">
        <f>IF(S440=0,0,-(COUNTIF(S440:S442,"&gt;0")*$T$415*$C$32+$V$415*$C$31)*$H$27*$R$415)</f>
        <v>0</v>
      </c>
      <c r="V440">
        <f>IF(S440=0,0,$V$415*$H$26*$R$415)</f>
        <v>0</v>
      </c>
      <c r="W440">
        <f>(0.6*T440+0.7*U440)*$R$415/2</f>
        <v>0</v>
      </c>
      <c r="X440">
        <f>T440*$R$415/2</f>
        <v>0</v>
      </c>
      <c r="Z440">
        <f>IF(S440=0,0,$AD$415*$AP$406)</f>
        <v>0</v>
      </c>
      <c r="AA440">
        <f>IFERROR(Z440/$R$415,0)</f>
        <v>0</v>
      </c>
      <c r="AB440">
        <f>Z440*($F$22+IF($F$22=0,0,($C$14+$C$15+IF($C$13="single",1.5,3)+3)/12))</f>
        <v>0</v>
      </c>
      <c r="AC440">
        <f>AB440-W440</f>
        <v>0</v>
      </c>
      <c r="AD440" cm="1">
        <f t="array" ref="AD440">IFERROR(IF(AC440&lt;0,0,AC440/($R$415-INDEX(hd_off,MATCH(AQ440,hd_mark,0),0)/12)),0)</f>
        <v>0</v>
      </c>
      <c r="AE440">
        <f>IF(S440=0,0,$AD$415*$AM$406)</f>
        <v>0</v>
      </c>
      <c r="AF440">
        <f>IFERROR(AE440/$R$415,0)</f>
        <v>0</v>
      </c>
      <c r="AG440">
        <f>AE440*($F$22+IF($F$22=0,0,($C$14+$C$15+IF($C$13="single",1.5,3)+3)/12))</f>
        <v>0</v>
      </c>
      <c r="AH440">
        <f>AG440-X440</f>
        <v>0</v>
      </c>
      <c r="AI440" cm="1">
        <f t="array" ref="AI440">IFERROR(IF(AH440&lt;0,0,AH440/($R$415-INDEX(hd_off,MATCH(AQ440,hd_mark,0),0)/12)),0)</f>
        <v>0</v>
      </c>
      <c r="AJ440">
        <f>MAX($F$22,$Z$415)/$Q$436</f>
        <v>0.30172413793103448</v>
      </c>
      <c r="AK440">
        <f t="shared" ref="AK440:AK443" si="285">IF(AJ440=0,0,IF(AJ440&gt;2,1.25-0.125*AJ440,1))</f>
        <v>1</v>
      </c>
      <c r="AL440" cm="1">
        <f t="array" ref="AL440">IFERROR(INDEX(sheath_ecap_asd,MATCH(AP440,sheath_mark,0),0)*AK440,0)</f>
        <v>0</v>
      </c>
      <c r="AM440" cm="1">
        <f t="array" ref="AM440">IFERROR(INDEX(sheath_wcap_asd,MATCH(AP440,sheath_mark,0),0)*AK440,0)</f>
        <v>0</v>
      </c>
      <c r="AN440" cm="1">
        <f t="array" ref="AN440">IFERROR(INDEX(hd_cap,MATCH(AQ440,hd_mark,0),0),0)</f>
        <v>0</v>
      </c>
      <c r="AP440" s="19"/>
      <c r="AQ440" s="19"/>
      <c r="AR440" s="100"/>
      <c r="AS440" s="93"/>
      <c r="AT440" s="109"/>
      <c r="AU440" t="str">
        <f>$Q$406</f>
        <v>L3</v>
      </c>
      <c r="AV440">
        <f>$E$22</f>
        <v>21.375</v>
      </c>
      <c r="AW440" cm="1">
        <f t="array" ref="AW440">IFERROR(IF(AV440=0,0,(INDEX($C$33:$C$38,MATCH($AZ$415,$B$33:$B$38,0),0)*(AV443+$BA$415)+$AW$415*COUNTIF(AV440:AV442,"&gt;0")*$C$32+$AY$415*$C$31)*$AU$415),0)</f>
        <v>0</v>
      </c>
      <c r="AX440">
        <f>IF(AV440=0,0,-(COUNTIF(AV440:AV442,"&gt;0")*$AW$415*$C$32+$AY$415*$C$31)*$H$27*$AU$415)</f>
        <v>0</v>
      </c>
      <c r="AY440">
        <f>IF(AV440=0,0,$AY$415*$H$26*$AU$415)</f>
        <v>0</v>
      </c>
      <c r="AZ440">
        <f>(0.6*AW440+0.7*AX440)*$AU$415/2</f>
        <v>0</v>
      </c>
      <c r="BA440">
        <f>AW440*$AU$415/2</f>
        <v>0</v>
      </c>
      <c r="BC440">
        <f>IF(AV440=0,0,$BG$415*$AP$406)</f>
        <v>0</v>
      </c>
      <c r="BD440">
        <f>IFERROR(BC440/$AU$415,0)</f>
        <v>0</v>
      </c>
      <c r="BE440">
        <f>BC440*($F$22+IF($F$22=0,0,($C$14+$C$15+IF($C$13="single",1.5,3)+3)/12))</f>
        <v>0</v>
      </c>
      <c r="BF440">
        <f>BE440-AZ440</f>
        <v>0</v>
      </c>
      <c r="BG440" cm="1">
        <f t="array" ref="BG440">IFERROR(IF(BF440&lt;0,0,BF440/($AU$415-INDEX(hd_off,MATCH(BT440,hd_mark,0),0)/12)),0)</f>
        <v>0</v>
      </c>
      <c r="BH440">
        <f>IF(AV440=0,0,$BG$415*$AM$406)</f>
        <v>0</v>
      </c>
      <c r="BI440">
        <f>IFERROR(BH440/$AU$415,0)</f>
        <v>0</v>
      </c>
      <c r="BJ440">
        <f>BH440*($F$22+IF($F$22=0,0,($C$14+$C$15+IF($C$13="single",1.5,3)+3)/12))</f>
        <v>0</v>
      </c>
      <c r="BK440">
        <f>BJ440-BA440</f>
        <v>0</v>
      </c>
      <c r="BL440" cm="1">
        <f t="array" ref="BL440">IFERROR(IF(BK440&lt;0,0,BK440/($AU$415-INDEX(hd_off,MATCH(BT440,hd_mark,0),0)/12)),0)</f>
        <v>0</v>
      </c>
      <c r="BM440">
        <f>MAX($F$22,$BC$415)/$Q$436</f>
        <v>0.30172413793103448</v>
      </c>
      <c r="BN440">
        <f t="shared" ref="BN440:BN443" si="286">IF(BM440=0,0,IF(BM440&gt;2,1.25-0.125*BM440,1))</f>
        <v>1</v>
      </c>
      <c r="BO440" cm="1">
        <f t="array" ref="BO440">IFERROR(INDEX(sheath_ecap_asd,MATCH(BS440,sheath_mark,0),0)*BN440,0)</f>
        <v>0</v>
      </c>
      <c r="BP440" cm="1">
        <f t="array" ref="BP440">IFERROR(INDEX(sheath_wcap_asd,MATCH(BS440,sheath_mark,0),0)*BN440,0)</f>
        <v>0</v>
      </c>
      <c r="BQ440" cm="1">
        <f t="array" ref="BQ440">IFERROR(INDEX(hd_cap,MATCH(BT440,hd_mark,0),0),0)</f>
        <v>0</v>
      </c>
      <c r="BS440" s="19"/>
      <c r="BT440" s="19"/>
      <c r="BU440" s="100"/>
    </row>
    <row r="441" x14ac:dyDescent="0.25">
      <c r="B441" t="s">
        <v>464</v>
      </c>
      <c r="C441" s="19"/>
      <c r="D441" s="19"/>
      <c r="E441">
        <f t="shared" si="280"/>
        <v>0</v>
      </c>
      <c r="H441">
        <v>16</v>
      </c>
      <c r="I441" s="19"/>
      <c r="J441" s="19"/>
      <c r="K441">
        <f t="shared" si="281"/>
        <v>0</v>
      </c>
      <c r="P441" s="93"/>
      <c r="Q441" s="109" t="s">
        <v>491</v>
      </c>
      <c r="R441" t="str">
        <f>$Q$407</f>
        <v>L4</v>
      </c>
      <c r="S441">
        <f>$E$23</f>
        <v>0</v>
      </c>
      <c r="T441" cm="1">
        <f t="array" ref="T441">IFERROR(IF(S441=0,0,(INDEX($C$33:$C$38,MATCH($W$415,$B$33:$B$38,0),0)*(S443+$X$415)+$T$415*COUNTIF(S441:S442,"&gt;0")*$C$32+$V$415*$C$31)*$R$415),0)</f>
        <v>0</v>
      </c>
      <c r="U441">
        <f>IF(S441=0,0,-(COUNTIF(S441:S442,"&gt;0")*$T$415*$C$32+$V$415*$C$31)*$H$27*$R$415)</f>
        <v>0</v>
      </c>
      <c r="V441">
        <f>IF(S441=0,0,$V$415*$H$26*$R$415)</f>
        <v>0</v>
      </c>
      <c r="W441">
        <f>(0.6*T441+0.7*U441)*$R$415/2</f>
        <v>0</v>
      </c>
      <c r="X441">
        <f>T441*$R$415/2</f>
        <v>0</v>
      </c>
      <c r="Z441">
        <f>IF(S441=0,0,$AD$415*$AP$407)</f>
        <v>0</v>
      </c>
      <c r="AA441">
        <f>IFERROR(Z441/$R$415,0)</f>
        <v>0</v>
      </c>
      <c r="AB441">
        <f>Z441*($F$23+IF($F$23=0,0,($C$14+$C$15+IF($C$13="single",1.5,3)+3)/12))</f>
        <v>0</v>
      </c>
      <c r="AC441">
        <f>AB441-W441</f>
        <v>0</v>
      </c>
      <c r="AD441" cm="1">
        <f t="array" ref="AD441">IFERROR(IF(AC441&lt;0,0,AC441/($R$415-INDEX(hd_off,MATCH(AQ441,hd_mark,0),0)/12)),0)</f>
        <v>0</v>
      </c>
      <c r="AE441">
        <f>IF(S441=0,0,$AD$415*$AM$407)</f>
        <v>0</v>
      </c>
      <c r="AF441">
        <f>IFERROR(AE441/$R$415,0)</f>
        <v>0</v>
      </c>
      <c r="AG441">
        <f>AE441*($F$23+IF($F$23=0,0,($C$14+$C$15+IF($C$13="single",1.5,3)+3)/12))</f>
        <v>0</v>
      </c>
      <c r="AH441">
        <f>AG441-X441</f>
        <v>0</v>
      </c>
      <c r="AI441" cm="1">
        <f t="array" ref="AI441">IFERROR(IF(AH441&lt;0,0,AH441/($R$415-INDEX(hd_off,MATCH(AQ441,hd_mark,0),0)/12)),0)</f>
        <v>0</v>
      </c>
      <c r="AJ441">
        <f>MAX($F$23,$AA$415)/$Q$436</f>
        <v>0</v>
      </c>
      <c r="AK441">
        <f t="shared" si="285"/>
        <v>0</v>
      </c>
      <c r="AL441" cm="1">
        <f t="array" ref="AL441">IFERROR(INDEX(sheath_ecap_asd,MATCH(AP441,sheath_mark,0),0)*AK441,0)</f>
        <v>0</v>
      </c>
      <c r="AM441" cm="1">
        <f t="array" ref="AM441">IFERROR(INDEX(sheath_wcap_asd,MATCH(AP441,sheath_mark,0),0)*AK441,0)</f>
        <v>0</v>
      </c>
      <c r="AN441" cm="1">
        <f t="array" ref="AN441">IFERROR(INDEX(hd_cap,MATCH(AQ441,hd_mark,0),0),0)</f>
        <v>0</v>
      </c>
      <c r="AP441" s="19"/>
      <c r="AQ441" s="19"/>
      <c r="AR441" s="100"/>
      <c r="AS441" s="93"/>
      <c r="AT441" s="109" t="s">
        <v>491</v>
      </c>
      <c r="AU441" t="str">
        <f>$Q$407</f>
        <v>L4</v>
      </c>
      <c r="AV441">
        <f>$E$23</f>
        <v>0</v>
      </c>
      <c r="AW441" cm="1">
        <f t="array" ref="AW441">IFERROR(IF(AV441=0,0,(INDEX($C$33:$C$38,MATCH($AZ$415,$B$33:$B$38,0),0)*(AV443+$BA$415)+$AW$415*COUNTIF(AV441:AV442,"&gt;0")*$C$32+$AY$415*$C$31)*$AU$415),0)</f>
        <v>0</v>
      </c>
      <c r="AX441">
        <f>IF(AV441=0,0,-(COUNTIF(AV441:AV442,"&gt;0")*$AW$415*$C$32+$AY$415*$C$31)*$H$27*$AU$415)</f>
        <v>0</v>
      </c>
      <c r="AY441">
        <f>IF(AV441=0,0,$AY$415*$H$26*$AU$415)</f>
        <v>0</v>
      </c>
      <c r="AZ441">
        <f>(0.6*AW441+0.7*AX441)*$AU$415/2</f>
        <v>0</v>
      </c>
      <c r="BA441">
        <f>AW441*$AU$415/2</f>
        <v>0</v>
      </c>
      <c r="BC441">
        <f>IF(AV441=0,0,$BG$415*$AP$407)</f>
        <v>0</v>
      </c>
      <c r="BD441">
        <f>IFERROR(BC441/$AU$415,0)</f>
        <v>0</v>
      </c>
      <c r="BE441">
        <f>BC441*($F$23+IF($F$23=0,0,($C$14+$C$15+IF($C$13="single",1.5,3)+3)/12))</f>
        <v>0</v>
      </c>
      <c r="BF441">
        <f>BE441-AZ441</f>
        <v>0</v>
      </c>
      <c r="BG441" cm="1">
        <f t="array" ref="BG441">IFERROR(IF(BF441&lt;0,0,BF441/($AU$415-INDEX(hd_off,MATCH(BT441,hd_mark,0),0)/12)),0)</f>
        <v>0</v>
      </c>
      <c r="BH441">
        <f>IF(AV441=0,0,$BG$415*$AM$407)</f>
        <v>0</v>
      </c>
      <c r="BI441">
        <f>IFERROR(BH441/$AU$415,0)</f>
        <v>0</v>
      </c>
      <c r="BJ441">
        <f>BH441*($F$23+IF($F$23=0,0,($C$14+$C$15+IF($C$13="single",1.5,3)+3)/12))</f>
        <v>0</v>
      </c>
      <c r="BK441">
        <f>BJ441-BA441</f>
        <v>0</v>
      </c>
      <c r="BL441" cm="1">
        <f t="array" ref="BL441">IFERROR(IF(BK441&lt;0,0,BK441/($AU$415-INDEX(hd_off,MATCH(BT441,hd_mark,0),0)/12)),0)</f>
        <v>0</v>
      </c>
      <c r="BM441">
        <f>MAX($F$23,$BD$415)/$Q$436</f>
        <v>0</v>
      </c>
      <c r="BN441">
        <f t="shared" si="286"/>
        <v>0</v>
      </c>
      <c r="BO441" cm="1">
        <f t="array" ref="BO441">IFERROR(INDEX(sheath_ecap_asd,MATCH(BS441,sheath_mark,0),0)*BN441,0)</f>
        <v>0</v>
      </c>
      <c r="BP441" cm="1">
        <f t="array" ref="BP441">IFERROR(INDEX(sheath_wcap_asd,MATCH(BS441,sheath_mark,0),0)*BN441,0)</f>
        <v>0</v>
      </c>
      <c r="BQ441" cm="1">
        <f t="array" ref="BQ441">IFERROR(INDEX(hd_cap,MATCH(BT441,hd_mark,0),0),0)</f>
        <v>0</v>
      </c>
      <c r="BS441" s="19"/>
      <c r="BT441" s="19"/>
      <c r="BU441" s="100"/>
    </row>
    <row r="442" x14ac:dyDescent="0.25">
      <c r="B442" t="s">
        <v>465</v>
      </c>
      <c r="C442" s="19"/>
      <c r="D442" s="19"/>
      <c r="E442">
        <f t="shared" si="280"/>
        <v>0</v>
      </c>
      <c r="H442">
        <v>17</v>
      </c>
      <c r="I442" s="19"/>
      <c r="J442" s="19"/>
      <c r="K442">
        <f t="shared" si="281"/>
        <v>0</v>
      </c>
      <c r="P442" s="93"/>
      <c r="Q442" s="111">
        <f>$R$415</f>
        <v>0</v>
      </c>
      <c r="R442" t="str">
        <f>$Q$408</f>
        <v>L5</v>
      </c>
      <c r="S442">
        <f>$E$24</f>
        <v>0</v>
      </c>
      <c r="T442" cm="1">
        <f t="array" ref="T442">IFERROR(IF(S442=0,0,(INDEX($C$33:$C$38,MATCH($W$415,$B$33:$B$38,0),0)*(S443+$X$415)+$T$415*COUNTIF(S442:S442,"&gt;0")*$C$32+$V$415*$C$31)*$R$415),0)</f>
        <v>0</v>
      </c>
      <c r="U442">
        <f>IF(S442=0,0,-(COUNTIF(S442:S442,"&gt;0")*$T$415*$C$32+$V$415*$C$31)*$H$27*$R$415)</f>
        <v>0</v>
      </c>
      <c r="V442">
        <f>IF(S442=0,0,$V$415*$H$26*$R$415)</f>
        <v>0</v>
      </c>
      <c r="W442">
        <f>(0.6*T442+0.7*U442)*$R$415/2</f>
        <v>0</v>
      </c>
      <c r="X442">
        <f>T442*$R$415/2</f>
        <v>0</v>
      </c>
      <c r="Z442">
        <f>IF(S442=0,0,$AD$415*$AP$408)</f>
        <v>0</v>
      </c>
      <c r="AA442">
        <f>IFERROR(Z442/$R$415,0)</f>
        <v>0</v>
      </c>
      <c r="AB442">
        <f>Z442*($F$24+IF($F$24=0,0,($C$14+$C$15+IF($C$13="single",1.5,3)+3)/12))</f>
        <v>0</v>
      </c>
      <c r="AC442">
        <f>AB442-W442</f>
        <v>0</v>
      </c>
      <c r="AD442" cm="1">
        <f t="array" ref="AD442">IFERROR(IF(AC442&lt;0,0,AC442/($R$415-INDEX(hd_off,MATCH(AQ442,hd_mark,0),0)/12)),0)</f>
        <v>0</v>
      </c>
      <c r="AE442">
        <f>IF(S442=0,0,$AD$415*$AM$408)</f>
        <v>0</v>
      </c>
      <c r="AF442">
        <f>IFERROR(AE442/$R$415,0)</f>
        <v>0</v>
      </c>
      <c r="AG442">
        <f>AE442*($F$24+IF($F$24=0,0,($C$14+$C$15+IF($C$13="single",1.5,3)+3)/12))</f>
        <v>0</v>
      </c>
      <c r="AH442">
        <f>AG442-X442</f>
        <v>0</v>
      </c>
      <c r="AI442" cm="1">
        <f t="array" ref="AI442">IFERROR(IF(AH442&lt;0,0,AH442/($R$415-INDEX(hd_off,MATCH(AQ442,hd_mark,0),0)/12)),0)</f>
        <v>0</v>
      </c>
      <c r="AJ442">
        <f>MAX($F$24,$AB$415)/$Q$436</f>
        <v>0</v>
      </c>
      <c r="AK442">
        <f t="shared" si="285"/>
        <v>0</v>
      </c>
      <c r="AL442" cm="1">
        <f t="array" ref="AL442">IFERROR(INDEX(sheath_ecap_asd,MATCH(AP442,sheath_mark,0),0)*AK442,0)</f>
        <v>0</v>
      </c>
      <c r="AM442" cm="1">
        <f t="array" ref="AM442">IFERROR(INDEX(sheath_wcap_asd,MATCH(AP442,sheath_mark,0),0)*AK442,0)</f>
        <v>0</v>
      </c>
      <c r="AN442" cm="1">
        <f t="array" ref="AN442">IFERROR(INDEX(hd_cap,MATCH(AQ442,hd_mark,0),0),0)</f>
        <v>0</v>
      </c>
      <c r="AP442" s="19"/>
      <c r="AQ442" s="19"/>
      <c r="AR442" s="100"/>
      <c r="AS442" s="93"/>
      <c r="AT442" s="111">
        <f>$R$415</f>
        <v>0</v>
      </c>
      <c r="AU442" t="str">
        <f>$Q$408</f>
        <v>L5</v>
      </c>
      <c r="AV442">
        <f>$E$24</f>
        <v>0</v>
      </c>
      <c r="AW442" cm="1">
        <f t="array" ref="AW442">IFERROR(IF(AV442=0,0,(INDEX($C$33:$C$38,MATCH($AZ$415,$B$33:$B$38,0),0)*(AV443+$BA$415)+$AW$415*COUNTIF(AV442:AV442,"&gt;0")*$C$32+$AY$415*$C$31)*$AU$415),0)</f>
        <v>0</v>
      </c>
      <c r="AX442">
        <f>IF(AV442=0,0,-(COUNTIF(AV442:AV442,"&gt;0")*$AW$415*$C$32+$AY$415*$C$31)*$H$27*$AU$415)</f>
        <v>0</v>
      </c>
      <c r="AY442">
        <f>IF(AV442=0,0,$AY$415*$H$26*$AU$415)</f>
        <v>0</v>
      </c>
      <c r="AZ442">
        <f>(0.6*AW442+0.7*AX442)*$AU$415/2</f>
        <v>0</v>
      </c>
      <c r="BA442">
        <f>AW442*$AU$415/2</f>
        <v>0</v>
      </c>
      <c r="BC442">
        <f>IF(AV442=0,0,$BG$415*$AP$408)</f>
        <v>0</v>
      </c>
      <c r="BD442">
        <f>IFERROR(BC442/$AU$415,0)</f>
        <v>0</v>
      </c>
      <c r="BE442">
        <f>BC442*($F$24+IF($F$24=0,0,($C$14+$C$15+IF($C$13="single",1.5,3)+3)/12))</f>
        <v>0</v>
      </c>
      <c r="BF442">
        <f>BE442-AZ442</f>
        <v>0</v>
      </c>
      <c r="BG442" cm="1">
        <f t="array" ref="BG442">IFERROR(IF(BF442&lt;0,0,BF442/($AU$415-INDEX(hd_off,MATCH(BT442,hd_mark,0),0)/12)),0)</f>
        <v>0</v>
      </c>
      <c r="BH442">
        <f>IF(AV442=0,0,$BG$415*$AM$408)</f>
        <v>0</v>
      </c>
      <c r="BI442">
        <f>IFERROR(BH442/$AU$415,0)</f>
        <v>0</v>
      </c>
      <c r="BJ442">
        <f>BH442*($F$24+IF($F$24=0,0,($C$14+$C$15+IF($C$13="single",1.5,3)+3)/12))</f>
        <v>0</v>
      </c>
      <c r="BK442">
        <f>BJ442-BA442</f>
        <v>0</v>
      </c>
      <c r="BL442" cm="1">
        <f t="array" ref="BL442">IFERROR(IF(BK442&lt;0,0,BK442/($AU$415-INDEX(hd_off,MATCH(BT442,hd_mark,0),0)/12)),0)</f>
        <v>0</v>
      </c>
      <c r="BM442">
        <f>MAX($F$24,$BE$415)/$Q$436</f>
        <v>0</v>
      </c>
      <c r="BN442">
        <f t="shared" si="286"/>
        <v>0</v>
      </c>
      <c r="BO442" cm="1">
        <f t="array" ref="BO442">IFERROR(INDEX(sheath_ecap_asd,MATCH(BS442,sheath_mark,0),0)*BN442,0)</f>
        <v>0</v>
      </c>
      <c r="BP442" cm="1">
        <f t="array" ref="BP442">IFERROR(INDEX(sheath_wcap_asd,MATCH(BS442,sheath_mark,0),0)*BN442,0)</f>
        <v>0</v>
      </c>
      <c r="BQ442" cm="1">
        <f t="array" ref="BQ442">IFERROR(INDEX(hd_cap,MATCH(BT442,hd_mark,0),0),0)</f>
        <v>0</v>
      </c>
      <c r="BS442" s="19"/>
      <c r="BT442" s="19"/>
      <c r="BU442" s="100"/>
    </row>
    <row r="443" x14ac:dyDescent="0.25">
      <c r="B443" t="s">
        <v>466</v>
      </c>
      <c r="C443" s="19"/>
      <c r="D443" s="19"/>
      <c r="E443">
        <f t="shared" si="280"/>
        <v>0</v>
      </c>
      <c r="H443">
        <v>18</v>
      </c>
      <c r="I443" s="19"/>
      <c r="J443" s="19"/>
      <c r="K443">
        <f t="shared" si="281"/>
        <v>0</v>
      </c>
      <c r="P443" s="93"/>
      <c r="Q443" s="109"/>
      <c r="R443" t="str">
        <f>$Q$409</f>
        <v>Roof</v>
      </c>
      <c r="S443">
        <f>$E$25</f>
        <v>33.171875</v>
      </c>
      <c r="T443" cm="1">
        <f t="array" ref="T443">IFERROR(IF(S443=0,0,(INDEX($C$33:$C$38,MATCH($W$415,$B$33:$B$38,0),0)*(S443+$X$415)+$V$415*$C$31)*$R$415),0)</f>
        <v>0</v>
      </c>
      <c r="U443">
        <f>IF(S443=0,0,-$V$415*$C$31*$H$27*$R$415)</f>
        <v>0</v>
      </c>
      <c r="V443">
        <f>IF(S443=0,0,$V$415*$H$26*$R$415)</f>
        <v>0</v>
      </c>
      <c r="W443">
        <f>(0.6*T443+0.7*U443)*$R$415/2</f>
        <v>0</v>
      </c>
      <c r="X443">
        <f>T443*$R$415/2</f>
        <v>0</v>
      </c>
      <c r="Z443">
        <f>IF(S443=0,0,$AD$415*$AP$409)</f>
        <v>0</v>
      </c>
      <c r="AA443">
        <f>IFERROR(Z443/$R$415,0)</f>
        <v>0</v>
      </c>
      <c r="AB443">
        <f>Z443*($F$25+($C$16+$C$17+IF($C$13="single",1.5,3)+3)/12)</f>
        <v>0</v>
      </c>
      <c r="AC443">
        <f>AB443-W443</f>
        <v>0</v>
      </c>
      <c r="AD443" cm="1">
        <f t="array" ref="AD443">IFERROR(IF(AC443&lt;0,0,AC443/($R$415-INDEX(hd_off,MATCH(AQ443,hd_mark,0),0)/12)),0)</f>
        <v>0</v>
      </c>
      <c r="AE443">
        <f>IF(S443=0,0,$AD$415*$AM$409)</f>
        <v>0</v>
      </c>
      <c r="AF443">
        <f>IFERROR(AE443/$R$415,0)</f>
        <v>0</v>
      </c>
      <c r="AG443">
        <f>AE443*($F$25+($C$16+$C$17+IF($C$13="single",1.5,3)+3)/12)</f>
        <v>0</v>
      </c>
      <c r="AH443">
        <f>AG443-X443</f>
        <v>0</v>
      </c>
      <c r="AI443" cm="1">
        <f t="array" ref="AI443">IFERROR(IF(AH443&lt;0,0,AH443/($R$415-INDEX(hd_off,MATCH(AQ443,hd_mark,0),0)/12)),0)</f>
        <v>0</v>
      </c>
      <c r="AJ443">
        <f>MAX($F$25,$AC$415)/$Q$436</f>
        <v>0.29920977011494249</v>
      </c>
      <c r="AK443">
        <f t="shared" si="285"/>
        <v>1</v>
      </c>
      <c r="AL443" cm="1">
        <f t="array" ref="AL443">IFERROR(INDEX(sheath_ecap_asd,MATCH(AP443,sheath_mark,0),0)*AK443,0)</f>
        <v>0</v>
      </c>
      <c r="AM443" cm="1">
        <f t="array" ref="AM443">IFERROR(INDEX(sheath_wcap_asd,MATCH(AP443,sheath_mark,0),0)*AK443,0)</f>
        <v>0</v>
      </c>
      <c r="AN443" cm="1">
        <f t="array" ref="AN443">IFERROR(INDEX(hd_cap,MATCH(AQ443,hd_mark,0),0),0)</f>
        <v>0</v>
      </c>
      <c r="AP443" s="19"/>
      <c r="AQ443" s="19"/>
      <c r="AR443" s="100"/>
      <c r="AS443" s="93"/>
      <c r="AT443" s="109"/>
      <c r="AU443" t="str">
        <f>$Q$409</f>
        <v>Roof</v>
      </c>
      <c r="AV443">
        <f>$E$25</f>
        <v>33.171875</v>
      </c>
      <c r="AW443" cm="1">
        <f t="array" ref="AW443">IFERROR(IF(AV443=0,0,(INDEX($C$33:$C$38,MATCH($AZ$415,$B$33:$B$38,0),0)*(AV443+$BA$415)+$AY$415*$C$31)*$AU$415),0)</f>
        <v>0</v>
      </c>
      <c r="AX443">
        <f>IF(AV443=0,0,-$AY$415*$C$31*$H$27*$AU$415)</f>
        <v>0</v>
      </c>
      <c r="AY443">
        <f>IF(AV443=0,0,$AY$415*$H$26*$AU$415)</f>
        <v>0</v>
      </c>
      <c r="AZ443">
        <f>(0.6*AW443+0.7*AX443)*$AU$415/2</f>
        <v>0</v>
      </c>
      <c r="BA443">
        <f>AW443*$AU$415/2</f>
        <v>0</v>
      </c>
      <c r="BC443">
        <f>IF(AV443=0,0,$BG$415*$AP$409)</f>
        <v>0</v>
      </c>
      <c r="BD443">
        <f>IFERROR(BC443/$AU$415,0)</f>
        <v>0</v>
      </c>
      <c r="BE443">
        <f>BC443*($F$25+($C$16+$C$17+IF($C$13="single",1.5,3)+3)/12)</f>
        <v>0</v>
      </c>
      <c r="BF443">
        <f>BE443-AZ443</f>
        <v>0</v>
      </c>
      <c r="BG443" cm="1">
        <f t="array" ref="BG443">IFERROR(IF(BF443&lt;0,0,BF443/($AU$415-INDEX(hd_off,MATCH(BT443,hd_mark,0),0)/12)),0)</f>
        <v>0</v>
      </c>
      <c r="BH443">
        <f>IF(AV443=0,0,$BG$415*$AM$409)</f>
        <v>0</v>
      </c>
      <c r="BI443">
        <f>IFERROR(BH443/$AU$415,0)</f>
        <v>0</v>
      </c>
      <c r="BJ443">
        <f>BH443*($F$25+($C$16+$C$17+IF($C$13="single",1.5,3)+3)/12)</f>
        <v>0</v>
      </c>
      <c r="BK443">
        <f>BJ443-BA443</f>
        <v>0</v>
      </c>
      <c r="BL443" cm="1">
        <f t="array" ref="BL443">IFERROR(IF(BK443&lt;0,0,BK443/($AU$415-INDEX(hd_off,MATCH(BT443,hd_mark,0),0)/12)),0)</f>
        <v>0</v>
      </c>
      <c r="BM443">
        <f>MAX($F$25,$BF$415)/$Q$436</f>
        <v>0.29920977011494249</v>
      </c>
      <c r="BN443">
        <f t="shared" si="286"/>
        <v>1</v>
      </c>
      <c r="BO443" cm="1">
        <f t="array" ref="BO443">IFERROR(INDEX(sheath_ecap_asd,MATCH(BS443,sheath_mark,0),0)*BN443,0)</f>
        <v>0</v>
      </c>
      <c r="BP443" cm="1">
        <f t="array" ref="BP443">IFERROR(INDEX(sheath_wcap_asd,MATCH(BS443,sheath_mark,0),0)*BN443,0)</f>
        <v>0</v>
      </c>
      <c r="BQ443" cm="1">
        <f t="array" ref="BQ443">IFERROR(INDEX(hd_cap,MATCH(BT443,hd_mark,0),0),0)</f>
        <v>0</v>
      </c>
      <c r="BS443" s="19"/>
      <c r="BT443" s="19"/>
      <c r="BU443" s="100"/>
    </row>
    <row r="444" x14ac:dyDescent="0.25">
      <c r="B444" t="s">
        <v>467</v>
      </c>
      <c r="C444" s="19"/>
      <c r="D444" s="19"/>
      <c r="E444">
        <f t="shared" si="280"/>
        <v>0</v>
      </c>
      <c r="H444">
        <v>19</v>
      </c>
      <c r="I444" s="19"/>
      <c r="J444" s="19"/>
      <c r="K444">
        <f t="shared" si="281"/>
        <v>0</v>
      </c>
      <c r="P444" s="93"/>
      <c r="AR444" s="100"/>
      <c r="AS444" s="93"/>
      <c r="BU444" s="100"/>
    </row>
    <row r="445" x14ac:dyDescent="0.25">
      <c r="B445" t="s">
        <v>468</v>
      </c>
      <c r="C445" s="19"/>
      <c r="D445" s="19"/>
      <c r="E445">
        <f t="shared" si="280"/>
        <v>0</v>
      </c>
      <c r="H445">
        <v>20</v>
      </c>
      <c r="I445" s="19"/>
      <c r="J445" s="19"/>
      <c r="K445">
        <f t="shared" si="281"/>
        <v>0</v>
      </c>
      <c r="P445" s="93"/>
      <c r="Q445" s="110" t="str">
        <f>$Q$416</f>
        <v>A.03</v>
      </c>
      <c r="R445" t="str">
        <f>$Q$405</f>
        <v>L2</v>
      </c>
      <c r="S445">
        <f>$E$21</f>
        <v>10.6875</v>
      </c>
      <c r="T445" cm="1">
        <f t="array" ref="T445">IFERROR(IF(S445=0,0,(INDEX($C$33:$C$38,MATCH($W$416,$B$33:$B$38,0),0)*(S449+$X$416)+$T$416*COUNTIF(S445:S448,"&gt;0")*$C$32+$V$416*$C$31)*$R$416),0)</f>
        <v>0</v>
      </c>
      <c r="U445">
        <f>IF(S445=0,0,-(COUNTIF(S445:S448,"&gt;0")*$T$416*$C$32+$V$416*$C$31)*$H$27*$R$416)</f>
        <v>0</v>
      </c>
      <c r="V445">
        <f>IF(S445=0,0,$V$416*$H$26*$R$416)</f>
        <v>0</v>
      </c>
      <c r="W445">
        <f>(0.6*T445+0.7*U445)*$R$416/2</f>
        <v>0</v>
      </c>
      <c r="X445">
        <f>(0.6*T445+0.6*V445)*$R$416/2</f>
        <v>0</v>
      </c>
      <c r="Z445">
        <f>IF(S445=0,0,$AD$416*$AP$405)</f>
        <v>0</v>
      </c>
      <c r="AA445">
        <f>IFERROR(Z445/$R$416,0)</f>
        <v>0</v>
      </c>
      <c r="AB445">
        <f>Z445*($F$21+IF($F$21=0,0,($C$14+$C$15+IF($C$13="single",1.5,3)+3)/12))</f>
        <v>0</v>
      </c>
      <c r="AC445">
        <f>AB445-W445</f>
        <v>0</v>
      </c>
      <c r="AD445" cm="1">
        <f t="array" ref="AD445">IFERROR(IF(AC445&lt;0,0,AC445/($R$416-INDEX(hd_off,MATCH(AQ445,hd_mark,0),0)/12)),0)</f>
        <v>0</v>
      </c>
      <c r="AE445">
        <f>IF(S445=0,0,$AD$416*$AM$405)</f>
        <v>0</v>
      </c>
      <c r="AF445">
        <f>IFERROR(AE445/$R$416,0)</f>
        <v>0</v>
      </c>
      <c r="AG445">
        <f>AE445*($F$21+IF($F$21=0,0,($C$14+$C$15+IF($C$13="single",1.5,3)+3)/12))</f>
        <v>0</v>
      </c>
      <c r="AH445">
        <f>AG445-X445</f>
        <v>0</v>
      </c>
      <c r="AI445" cm="1">
        <f t="array" ref="AI445">IFERROR(IF(AH445&lt;0,0,AH445/($R$416-INDEX(hd_off,MATCH(AQ445,hd_mark,0),0)/12)),0)</f>
        <v>0</v>
      </c>
      <c r="AJ445">
        <f>MAX($F$21,$Y$416)/$Q$436</f>
        <v>0.30172413793103448</v>
      </c>
      <c r="AK445">
        <f>IF(AJ445=0,0,IF(AJ445&gt;2,1.25-0.125*AJ445,1))</f>
        <v>1</v>
      </c>
      <c r="AL445" cm="1">
        <f t="array" ref="AL445">IFERROR(INDEX(sheath_ecap_asd,MATCH(AP445,sheath_mark,0),0)*AK445,0)</f>
        <v>0</v>
      </c>
      <c r="AM445" cm="1">
        <f t="array" ref="AM445">IFERROR(INDEX(sheath_wcap_asd,MATCH(AP445,sheath_mark,0),0)*AK445,0)</f>
        <v>0</v>
      </c>
      <c r="AN445" cm="1">
        <f t="array" ref="AN445">IFERROR(INDEX(hd_cap,MATCH(AQ445,hd_mark,0),0),0)</f>
        <v>0</v>
      </c>
      <c r="AP445" s="19"/>
      <c r="AQ445" s="19"/>
      <c r="AR445" s="100"/>
      <c r="AS445" s="93"/>
      <c r="AT445" s="110" t="str">
        <f>$AT$416</f>
        <v>1.03</v>
      </c>
      <c r="AU445" t="str">
        <f>$Q$405</f>
        <v>L2</v>
      </c>
      <c r="AV445">
        <f>$E$21</f>
        <v>10.6875</v>
      </c>
      <c r="AW445" cm="1">
        <f t="array" ref="AW445">IFERROR(IF(AV445=0,0,(INDEX($C$33:$C$38,MATCH($AZ$416,$B$33:$B$38,0),0)*(AV449+$BA$416)+$AW$416*COUNTIF(AV445:AV448,"&gt;0")*$C$32+$AY$416*$C$31)*$AU$416),0)</f>
        <v>0</v>
      </c>
      <c r="AX445">
        <f>IF(AV445=0,0,-(COUNTIF(AV445:AV448,"&gt;0")*$AW$416*$C$32+$AY$416*$C$31)*$H$27*$AU$416)</f>
        <v>0</v>
      </c>
      <c r="AY445">
        <f>IF(AV445=0,0,$AY$416*$H$26*$AU$416)</f>
        <v>0</v>
      </c>
      <c r="AZ445">
        <f>(0.6*AW445+0.7*AX445)*$AU$416/2</f>
        <v>0</v>
      </c>
      <c r="BA445">
        <f>(0.6*AW445+0.6*AY445)*$AU$416/2</f>
        <v>0</v>
      </c>
      <c r="BC445">
        <f>IF(AV445=0,0,$BG$416*$AP$405)</f>
        <v>0</v>
      </c>
      <c r="BD445">
        <f>IFERROR(BC445/$AU$416,0)</f>
        <v>0</v>
      </c>
      <c r="BE445">
        <f>BC445*($F$21+IF($F$21=0,0,($C$14+$C$15+IF($C$13="single",1.5,3)+3)/12))</f>
        <v>0</v>
      </c>
      <c r="BF445">
        <f>BE445-AZ445</f>
        <v>0</v>
      </c>
      <c r="BG445" cm="1">
        <f t="array" ref="BG445">IFERROR(IF(BF445&lt;0,0,BF445/($AU$416-INDEX(hd_off,MATCH(BT445,hd_mark,0),0)/12)),0)</f>
        <v>0</v>
      </c>
      <c r="BH445">
        <f>IF(AV445=0,0,$BG$416*$AM$405)</f>
        <v>0</v>
      </c>
      <c r="BI445">
        <f>IFERROR(BH445/$AU$416,0)</f>
        <v>0</v>
      </c>
      <c r="BJ445">
        <f>BH445*($F$21+IF($F$21=0,0,($C$14+$C$15+IF($C$13="single",1.5,3)+3)/12))</f>
        <v>0</v>
      </c>
      <c r="BK445">
        <f>BJ445-BA445</f>
        <v>0</v>
      </c>
      <c r="BL445" cm="1">
        <f t="array" ref="BL445">IFERROR(IF(BK445&lt;0,0,BK445/($AU$416-INDEX(hd_off,MATCH(BT445,hd_mark,0),0)/12)),0)</f>
        <v>0</v>
      </c>
      <c r="BM445">
        <f>MAX($F$21,$BB$416)/$Q$436</f>
        <v>0.30172413793103448</v>
      </c>
      <c r="BN445">
        <f>IF(BM445=0,0,IF(BM445&gt;2,1.25-0.125*BM445,1))</f>
        <v>1</v>
      </c>
      <c r="BO445" cm="1">
        <f t="array" ref="BO445">IFERROR(INDEX(sheath_ecap_asd,MATCH(BS445,sheath_mark,0),0)*BN445,0)</f>
        <v>0</v>
      </c>
      <c r="BP445" cm="1">
        <f t="array" ref="BP445">IFERROR(INDEX(sheath_wcap_asd,MATCH(BS445,sheath_mark,0),0)*BN445,0)</f>
        <v>0</v>
      </c>
      <c r="BQ445" cm="1">
        <f t="array" ref="BQ445">IFERROR(INDEX(hd_cap,MATCH(BT445,hd_mark,0),0),0)</f>
        <v>0</v>
      </c>
      <c r="BS445" s="19"/>
      <c r="BT445" s="19"/>
      <c r="BU445" s="100"/>
    </row>
    <row r="446" x14ac:dyDescent="0.25">
      <c r="B446" t="s">
        <v>469</v>
      </c>
      <c r="C446" s="19"/>
      <c r="D446" s="19"/>
      <c r="E446">
        <f t="shared" si="280"/>
        <v>0</v>
      </c>
      <c r="H446">
        <v>21</v>
      </c>
      <c r="I446" s="19"/>
      <c r="J446" s="19"/>
      <c r="K446">
        <f t="shared" si="281"/>
        <v>0</v>
      </c>
      <c r="P446" s="93"/>
      <c r="Q446" s="109"/>
      <c r="R446" t="str">
        <f>$Q$406</f>
        <v>L3</v>
      </c>
      <c r="S446">
        <f>$E$22</f>
        <v>21.375</v>
      </c>
      <c r="T446" cm="1">
        <f t="array" ref="T446">IFERROR(IF(S446=0,0,(INDEX($C$33:$C$38,MATCH($W$416,$B$33:$B$38,0),0)*(S449+$X$416)+$T$416*COUNTIF(S446:S448,"&gt;0")*$C$32+$V$416*$C$31)*$R$416),0)</f>
        <v>0</v>
      </c>
      <c r="U446">
        <f>IF(S446=0,0,-(COUNTIF(S446:S448,"&gt;0")*$T$416*$C$32+$V$416*$C$31)*$H$27*$R$416)</f>
        <v>0</v>
      </c>
      <c r="V446">
        <f>IF(S446=0,0,$V$416*$H$26*$R$416)</f>
        <v>0</v>
      </c>
      <c r="W446">
        <f>(0.6*T446+0.7*U446)*$R$416/2</f>
        <v>0</v>
      </c>
      <c r="X446">
        <f>T446*$R$416/2</f>
        <v>0</v>
      </c>
      <c r="Z446">
        <f>IF(S446=0,0,$AD$416*$AP$406)</f>
        <v>0</v>
      </c>
      <c r="AA446">
        <f>IFERROR(Z446/$R$416,0)</f>
        <v>0</v>
      </c>
      <c r="AB446">
        <f>Z446*($F$22+IF($F$22=0,0,($C$14+$C$15+IF($C$13="single",1.5,3)+3)/12))</f>
        <v>0</v>
      </c>
      <c r="AC446">
        <f>AB446-W446</f>
        <v>0</v>
      </c>
      <c r="AD446" cm="1">
        <f t="array" ref="AD446">IFERROR(IF(AC446&lt;0,0,AC446/($R$416-INDEX(hd_off,MATCH(AQ446,hd_mark,0),0)/12)),0)</f>
        <v>0</v>
      </c>
      <c r="AE446">
        <f>IF(S446=0,0,$AD$416*$AM$406)</f>
        <v>0</v>
      </c>
      <c r="AF446">
        <f>IFERROR(AE446/$R$416,0)</f>
        <v>0</v>
      </c>
      <c r="AG446">
        <f>AE446*($F$22+IF($F$22=0,0,($C$14+$C$15+IF($C$13="single",1.5,3)+3)/12))</f>
        <v>0</v>
      </c>
      <c r="AH446">
        <f>AG446-X446</f>
        <v>0</v>
      </c>
      <c r="AI446" cm="1">
        <f t="array" ref="AI446">IFERROR(IF(AH446&lt;0,0,AH446/($R$416-INDEX(hd_off,MATCH(AQ446,hd_mark,0),0)/12)),0)</f>
        <v>0</v>
      </c>
      <c r="AJ446">
        <f>MAX($F$22,$Z$416)/$Q$436</f>
        <v>0.30172413793103448</v>
      </c>
      <c r="AK446">
        <f t="shared" ref="AK446:AK449" si="287">IF(AJ446=0,0,IF(AJ446&gt;2,1.25-0.125*AJ446,1))</f>
        <v>1</v>
      </c>
      <c r="AL446" cm="1">
        <f t="array" ref="AL446">IFERROR(INDEX(sheath_ecap_asd,MATCH(AP446,sheath_mark,0),0)*AK446,0)</f>
        <v>0</v>
      </c>
      <c r="AM446" cm="1">
        <f t="array" ref="AM446">IFERROR(INDEX(sheath_wcap_asd,MATCH(AP446,sheath_mark,0),0)*AK446,0)</f>
        <v>0</v>
      </c>
      <c r="AN446" cm="1">
        <f t="array" ref="AN446">IFERROR(INDEX(hd_cap,MATCH(AQ446,hd_mark,0),0),0)</f>
        <v>0</v>
      </c>
      <c r="AP446" s="19"/>
      <c r="AQ446" s="19"/>
      <c r="AR446" s="100"/>
      <c r="AS446" s="93"/>
      <c r="AT446" s="109"/>
      <c r="AU446" t="str">
        <f>$Q$406</f>
        <v>L3</v>
      </c>
      <c r="AV446">
        <f>$E$22</f>
        <v>21.375</v>
      </c>
      <c r="AW446" cm="1">
        <f t="array" ref="AW446">IFERROR(IF(AV446=0,0,(INDEX($C$33:$C$38,MATCH($AZ$416,$B$33:$B$38,0),0)*(AV449+$BA$416)+$AW$416*COUNTIF(AV446:AV448,"&gt;0")*$C$32+$AY$416*$C$31)*$AU$416),0)</f>
        <v>0</v>
      </c>
      <c r="AX446">
        <f>IF(AV446=0,0,-(COUNTIF(AV446:AV448,"&gt;0")*$AW$416*$C$32+$AY$416*$C$31)*$H$27*$AU$416)</f>
        <v>0</v>
      </c>
      <c r="AY446">
        <f>IF(AV446=0,0,$AY$416*$H$26*$AU$416)</f>
        <v>0</v>
      </c>
      <c r="AZ446">
        <f>(0.6*AW446+0.7*AX446)*$AU$416/2</f>
        <v>0</v>
      </c>
      <c r="BA446">
        <f>AW446*$AU$416/2</f>
        <v>0</v>
      </c>
      <c r="BC446">
        <f>IF(AV446=0,0,$BG$416*$AP$406)</f>
        <v>0</v>
      </c>
      <c r="BD446">
        <f>IFERROR(BC446/$AU$416,0)</f>
        <v>0</v>
      </c>
      <c r="BE446">
        <f>BC446*($F$22+IF($F$22=0,0,($C$14+$C$15+IF($C$13="single",1.5,3)+3)/12))</f>
        <v>0</v>
      </c>
      <c r="BF446">
        <f>BE446-AZ446</f>
        <v>0</v>
      </c>
      <c r="BG446" cm="1">
        <f t="array" ref="BG446">IFERROR(IF(BF446&lt;0,0,BF446/($AU$416-INDEX(hd_off,MATCH(BT446,hd_mark,0),0)/12)),0)</f>
        <v>0</v>
      </c>
      <c r="BH446">
        <f>IF(AV446=0,0,$BG$416*$AM$406)</f>
        <v>0</v>
      </c>
      <c r="BI446">
        <f>IFERROR(BH446/$AU$416,0)</f>
        <v>0</v>
      </c>
      <c r="BJ446">
        <f>BH446*($F$22+IF($F$22=0,0,($C$14+$C$15+IF($C$13="single",1.5,3)+3)/12))</f>
        <v>0</v>
      </c>
      <c r="BK446">
        <f>BJ446-BA446</f>
        <v>0</v>
      </c>
      <c r="BL446" cm="1">
        <f t="array" ref="BL446">IFERROR(IF(BK446&lt;0,0,BK446/($AU$416-INDEX(hd_off,MATCH(BT446,hd_mark,0),0)/12)),0)</f>
        <v>0</v>
      </c>
      <c r="BM446">
        <f>MAX($F$22,$BC$416)/$Q$436</f>
        <v>0.30172413793103448</v>
      </c>
      <c r="BN446">
        <f t="shared" ref="BN446:BN449" si="288">IF(BM446=0,0,IF(BM446&gt;2,1.25-0.125*BM446,1))</f>
        <v>1</v>
      </c>
      <c r="BO446" cm="1">
        <f t="array" ref="BO446">IFERROR(INDEX(sheath_ecap_asd,MATCH(BS446,sheath_mark,0),0)*BN446,0)</f>
        <v>0</v>
      </c>
      <c r="BP446" cm="1">
        <f t="array" ref="BP446">IFERROR(INDEX(sheath_wcap_asd,MATCH(BS446,sheath_mark,0),0)*BN446,0)</f>
        <v>0</v>
      </c>
      <c r="BQ446" cm="1">
        <f t="array" ref="BQ446">IFERROR(INDEX(hd_cap,MATCH(BT446,hd_mark,0),0),0)</f>
        <v>0</v>
      </c>
      <c r="BS446" s="19"/>
      <c r="BT446" s="19"/>
      <c r="BU446" s="100"/>
    </row>
    <row r="447" x14ac:dyDescent="0.25">
      <c r="B447" t="s">
        <v>285</v>
      </c>
      <c r="C447" s="19"/>
      <c r="D447" s="19"/>
      <c r="E447">
        <f t="shared" si="280"/>
        <v>0</v>
      </c>
      <c r="H447">
        <v>22</v>
      </c>
      <c r="I447" s="19"/>
      <c r="J447" s="19"/>
      <c r="K447">
        <f t="shared" si="281"/>
        <v>0</v>
      </c>
      <c r="P447" s="93"/>
      <c r="Q447" s="109" t="s">
        <v>491</v>
      </c>
      <c r="R447" t="str">
        <f>$Q$407</f>
        <v>L4</v>
      </c>
      <c r="S447">
        <f>$E$23</f>
        <v>0</v>
      </c>
      <c r="T447" cm="1">
        <f t="array" ref="T447">IFERROR(IF(S447=0,0,(INDEX($C$33:$C$38,MATCH($W$416,$B$33:$B$38,0),0)*(S449+$X$416)+$T$416*COUNTIF(S447:S448,"&gt;0")*$C$32+$V$416*$C$31)*$R$416),0)</f>
        <v>0</v>
      </c>
      <c r="U447">
        <f>IF(S447=0,0,-(COUNTIF(S447:S448,"&gt;0")*$T$416*$C$32+$V$416*$C$31)*$H$27*$R$416)</f>
        <v>0</v>
      </c>
      <c r="V447">
        <f>IF(S447=0,0,$V$416*$H$26*$R$416)</f>
        <v>0</v>
      </c>
      <c r="W447">
        <f>(0.6*T447+0.7*U447)*$R$416/2</f>
        <v>0</v>
      </c>
      <c r="X447">
        <f>T447*$R$416/2</f>
        <v>0</v>
      </c>
      <c r="Z447">
        <f>IF(S447=0,0,$AD$416*$AP$407)</f>
        <v>0</v>
      </c>
      <c r="AA447">
        <f>IFERROR(Z447/$R$416,0)</f>
        <v>0</v>
      </c>
      <c r="AB447">
        <f>Z447*($F$23+IF($F$23=0,0,($C$14+$C$15+IF($C$13="single",1.5,3)+3)/12))</f>
        <v>0</v>
      </c>
      <c r="AC447">
        <f>AB447-W447</f>
        <v>0</v>
      </c>
      <c r="AD447" cm="1">
        <f t="array" ref="AD447">IFERROR(IF(AC447&lt;0,0,AC447/($R$416-INDEX(hd_off,MATCH(AQ447,hd_mark,0),0)/12)),0)</f>
        <v>0</v>
      </c>
      <c r="AE447">
        <f>IF(S447=0,0,$AD$416*$AM$407)</f>
        <v>0</v>
      </c>
      <c r="AF447">
        <f>IFERROR(AE447/$R$416,0)</f>
        <v>0</v>
      </c>
      <c r="AG447">
        <f>AE447*($F$23+IF($F$23=0,0,($C$14+$C$15+IF($C$13="single",1.5,3)+3)/12))</f>
        <v>0</v>
      </c>
      <c r="AH447">
        <f>AG447-X447</f>
        <v>0</v>
      </c>
      <c r="AI447" cm="1">
        <f t="array" ref="AI447">IFERROR(IF(AH447&lt;0,0,AH447/($R$416-INDEX(hd_off,MATCH(AQ447,hd_mark,0),0)/12)),0)</f>
        <v>0</v>
      </c>
      <c r="AJ447">
        <f>MAX($F$23,$AA$416)/$Q$436</f>
        <v>0</v>
      </c>
      <c r="AK447">
        <f t="shared" si="287"/>
        <v>0</v>
      </c>
      <c r="AL447" cm="1">
        <f t="array" ref="AL447">IFERROR(INDEX(sheath_ecap_asd,MATCH(AP447,sheath_mark,0),0)*AK447,0)</f>
        <v>0</v>
      </c>
      <c r="AM447" cm="1">
        <f t="array" ref="AM447">IFERROR(INDEX(sheath_wcap_asd,MATCH(AP447,sheath_mark,0),0)*AK447,0)</f>
        <v>0</v>
      </c>
      <c r="AN447" cm="1">
        <f t="array" ref="AN447">IFERROR(INDEX(hd_cap,MATCH(AQ447,hd_mark,0),0),0)</f>
        <v>0</v>
      </c>
      <c r="AP447" s="19"/>
      <c r="AQ447" s="19"/>
      <c r="AR447" s="100"/>
      <c r="AS447" s="93"/>
      <c r="AT447" s="109" t="s">
        <v>491</v>
      </c>
      <c r="AU447" t="str">
        <f>$Q$407</f>
        <v>L4</v>
      </c>
      <c r="AV447">
        <f>$E$23</f>
        <v>0</v>
      </c>
      <c r="AW447" cm="1">
        <f t="array" ref="AW447">IFERROR(IF(AV447=0,0,(INDEX($C$33:$C$38,MATCH($AZ$416,$B$33:$B$38,0),0)*(AV449+$BA$416)+$AW$416*COUNTIF(AV447:AV448,"&gt;0")*$C$32+$AY$416*$C$31)*$AU$416),0)</f>
        <v>0</v>
      </c>
      <c r="AX447">
        <f>IF(AV447=0,0,-(COUNTIF(AV447:AV448,"&gt;0")*$AW$416*$C$32+$AY$416*$C$31)*$H$27*$AU$416)</f>
        <v>0</v>
      </c>
      <c r="AY447">
        <f>IF(AV447=0,0,$AY$416*$H$26*$AU$416)</f>
        <v>0</v>
      </c>
      <c r="AZ447">
        <f>(0.6*AW447+0.7*AX447)*$AU$416/2</f>
        <v>0</v>
      </c>
      <c r="BA447">
        <f>AW447*$AU$416/2</f>
        <v>0</v>
      </c>
      <c r="BC447">
        <f>IF(AV447=0,0,$BG$416*$AP$407)</f>
        <v>0</v>
      </c>
      <c r="BD447">
        <f>IFERROR(BC447/$AU$416,0)</f>
        <v>0</v>
      </c>
      <c r="BE447">
        <f>BC447*($F$23+IF($F$23=0,0,($C$14+$C$15+IF($C$13="single",1.5,3)+3)/12))</f>
        <v>0</v>
      </c>
      <c r="BF447">
        <f>BE447-AZ447</f>
        <v>0</v>
      </c>
      <c r="BG447" cm="1">
        <f t="array" ref="BG447">IFERROR(IF(BF447&lt;0,0,BF447/($AU$416-INDEX(hd_off,MATCH(BT447,hd_mark,0),0)/12)),0)</f>
        <v>0</v>
      </c>
      <c r="BH447">
        <f>IF(AV447=0,0,$BG$416*$AM$407)</f>
        <v>0</v>
      </c>
      <c r="BI447">
        <f>IFERROR(BH447/$AU$416,0)</f>
        <v>0</v>
      </c>
      <c r="BJ447">
        <f>BH447*($F$23+IF($F$23=0,0,($C$14+$C$15+IF($C$13="single",1.5,3)+3)/12))</f>
        <v>0</v>
      </c>
      <c r="BK447">
        <f>BJ447-BA447</f>
        <v>0</v>
      </c>
      <c r="BL447" cm="1">
        <f t="array" ref="BL447">IFERROR(IF(BK447&lt;0,0,BK447/($AU$416-INDEX(hd_off,MATCH(BT447,hd_mark,0),0)/12)),0)</f>
        <v>0</v>
      </c>
      <c r="BM447">
        <f>MAX($F$23,$BD$416)/$Q$436</f>
        <v>0</v>
      </c>
      <c r="BN447">
        <f t="shared" si="288"/>
        <v>0</v>
      </c>
      <c r="BO447" cm="1">
        <f t="array" ref="BO447">IFERROR(INDEX(sheath_ecap_asd,MATCH(BS447,sheath_mark,0),0)*BN447,0)</f>
        <v>0</v>
      </c>
      <c r="BP447" cm="1">
        <f t="array" ref="BP447">IFERROR(INDEX(sheath_wcap_asd,MATCH(BS447,sheath_mark,0),0)*BN447,0)</f>
        <v>0</v>
      </c>
      <c r="BQ447" cm="1">
        <f t="array" ref="BQ447">IFERROR(INDEX(hd_cap,MATCH(BT447,hd_mark,0),0),0)</f>
        <v>0</v>
      </c>
      <c r="BS447" s="19"/>
      <c r="BT447" s="19"/>
      <c r="BU447" s="100"/>
    </row>
    <row r="448" x14ac:dyDescent="0.25">
      <c r="B448" t="s">
        <v>470</v>
      </c>
      <c r="C448" s="19"/>
      <c r="D448" s="19"/>
      <c r="E448">
        <f t="shared" si="280"/>
        <v>0</v>
      </c>
      <c r="H448">
        <v>23</v>
      </c>
      <c r="I448" s="19"/>
      <c r="J448" s="19"/>
      <c r="K448">
        <f t="shared" si="281"/>
        <v>0</v>
      </c>
      <c r="P448" s="93"/>
      <c r="Q448" s="111">
        <f>$R$416</f>
        <v>0</v>
      </c>
      <c r="R448" t="str">
        <f>$Q$408</f>
        <v>L5</v>
      </c>
      <c r="S448">
        <f>$E$24</f>
        <v>0</v>
      </c>
      <c r="T448" cm="1">
        <f t="array" ref="T448">IFERROR(IF(S448=0,0,(INDEX($C$33:$C$38,MATCH($W$416,$B$33:$B$38,0),0)*(S449+$X$416)+$T$416*COUNTIF(S448:S448,"&gt;0")*$C$32+$V$416*$C$31)*$R$416),0)</f>
        <v>0</v>
      </c>
      <c r="U448">
        <f>IF(S448=0,0,-(COUNTIF(S448:S448,"&gt;0")*$T$416*$C$32+$V$416*$C$31)*$H$27*$R$416)</f>
        <v>0</v>
      </c>
      <c r="V448">
        <f>IF(S448=0,0,$V$416*$H$26*$R$416)</f>
        <v>0</v>
      </c>
      <c r="W448">
        <f>(0.6*T448+0.7*U448)*$R$416/2</f>
        <v>0</v>
      </c>
      <c r="X448">
        <f>T448*$R$416/2</f>
        <v>0</v>
      </c>
      <c r="Z448">
        <f>IF(S448=0,0,$AD$416*$AP$408)</f>
        <v>0</v>
      </c>
      <c r="AA448">
        <f>IFERROR(Z448/$R$416,0)</f>
        <v>0</v>
      </c>
      <c r="AB448">
        <f>Z448*($F$24+IF($F$24=0,0,($C$14+$C$15+IF($C$13="single",1.5,3)+3)/12))</f>
        <v>0</v>
      </c>
      <c r="AC448">
        <f>AB448-W448</f>
        <v>0</v>
      </c>
      <c r="AD448" cm="1">
        <f t="array" ref="AD448">IFERROR(IF(AC448&lt;0,0,AC448/($R$416-INDEX(hd_off,MATCH(AQ448,hd_mark,0),0)/12)),0)</f>
        <v>0</v>
      </c>
      <c r="AE448">
        <f>IF(S448=0,0,$AD$416*$AM$408)</f>
        <v>0</v>
      </c>
      <c r="AF448">
        <f>IFERROR(AE448/$R$416,0)</f>
        <v>0</v>
      </c>
      <c r="AG448">
        <f>AE448*($F$24+IF($F$24=0,0,($C$14+$C$15+IF($C$13="single",1.5,3)+3)/12))</f>
        <v>0</v>
      </c>
      <c r="AH448">
        <f>AG448-X448</f>
        <v>0</v>
      </c>
      <c r="AI448" cm="1">
        <f t="array" ref="AI448">IFERROR(IF(AH448&lt;0,0,AH448/($R$416-INDEX(hd_off,MATCH(AQ448,hd_mark,0),0)/12)),0)</f>
        <v>0</v>
      </c>
      <c r="AJ448">
        <f>MAX($F$24,$AB$416)/$Q$436</f>
        <v>0</v>
      </c>
      <c r="AK448">
        <f t="shared" si="287"/>
        <v>0</v>
      </c>
      <c r="AL448" cm="1">
        <f t="array" ref="AL448">IFERROR(INDEX(sheath_ecap_asd,MATCH(AP448,sheath_mark,0),0)*AK448,0)</f>
        <v>0</v>
      </c>
      <c r="AM448" cm="1">
        <f t="array" ref="AM448">IFERROR(INDEX(sheath_wcap_asd,MATCH(AP448,sheath_mark,0),0)*AK448,0)</f>
        <v>0</v>
      </c>
      <c r="AN448" cm="1">
        <f t="array" ref="AN448">IFERROR(INDEX(hd_cap,MATCH(AQ448,hd_mark,0),0),0)</f>
        <v>0</v>
      </c>
      <c r="AP448" s="19"/>
      <c r="AQ448" s="19"/>
      <c r="AR448" s="100"/>
      <c r="AS448" s="93"/>
      <c r="AT448" s="111">
        <f>$R$416</f>
        <v>0</v>
      </c>
      <c r="AU448" t="str">
        <f>$Q$408</f>
        <v>L5</v>
      </c>
      <c r="AV448">
        <f>$E$24</f>
        <v>0</v>
      </c>
      <c r="AW448" cm="1">
        <f t="array" ref="AW448">IFERROR(IF(AV448=0,0,(INDEX($C$33:$C$38,MATCH($AZ$416,$B$33:$B$38,0),0)*(AV449+$BA$416)+$AW$416*COUNTIF(AV448:AV448,"&gt;0")*$C$32+$AY$416*$C$31)*$AU$416),0)</f>
        <v>0</v>
      </c>
      <c r="AX448">
        <f>IF(AV448=0,0,-(COUNTIF(AV448:AV448,"&gt;0")*$AW$416*$C$32+$AY$416*$C$31)*$H$27*$AU$416)</f>
        <v>0</v>
      </c>
      <c r="AY448">
        <f>IF(AV448=0,0,$AY$416*$H$26*$AU$416)</f>
        <v>0</v>
      </c>
      <c r="AZ448">
        <f>(0.6*AW448+0.7*AX448)*$AU$416/2</f>
        <v>0</v>
      </c>
      <c r="BA448">
        <f>AW448*$AU$416/2</f>
        <v>0</v>
      </c>
      <c r="BC448">
        <f>IF(AV448=0,0,$BG$416*$AP$408)</f>
        <v>0</v>
      </c>
      <c r="BD448">
        <f>IFERROR(BC448/$AU$416,0)</f>
        <v>0</v>
      </c>
      <c r="BE448">
        <f>BC448*($F$24+IF($F$24=0,0,($C$14+$C$15+IF($C$13="single",1.5,3)+3)/12))</f>
        <v>0</v>
      </c>
      <c r="BF448">
        <f>BE448-AZ448</f>
        <v>0</v>
      </c>
      <c r="BG448" cm="1">
        <f t="array" ref="BG448">IFERROR(IF(BF448&lt;0,0,BF448/($AU$416-INDEX(hd_off,MATCH(BT448,hd_mark,0),0)/12)),0)</f>
        <v>0</v>
      </c>
      <c r="BH448">
        <f>IF(AV448=0,0,$BG$416*$AM$408)</f>
        <v>0</v>
      </c>
      <c r="BI448">
        <f>IFERROR(BH448/$AU$416,0)</f>
        <v>0</v>
      </c>
      <c r="BJ448">
        <f>BH448*($F$24+IF($F$24=0,0,($C$14+$C$15+IF($C$13="single",1.5,3)+3)/12))</f>
        <v>0</v>
      </c>
      <c r="BK448">
        <f>BJ448-BA448</f>
        <v>0</v>
      </c>
      <c r="BL448" cm="1">
        <f t="array" ref="BL448">IFERROR(IF(BK448&lt;0,0,BK448/($AU$416-INDEX(hd_off,MATCH(BT448,hd_mark,0),0)/12)),0)</f>
        <v>0</v>
      </c>
      <c r="BM448">
        <f>MAX($F$24,$BE$416)/$Q$436</f>
        <v>0</v>
      </c>
      <c r="BN448">
        <f t="shared" si="288"/>
        <v>0</v>
      </c>
      <c r="BO448" cm="1">
        <f t="array" ref="BO448">IFERROR(INDEX(sheath_ecap_asd,MATCH(BS448,sheath_mark,0),0)*BN448,0)</f>
        <v>0</v>
      </c>
      <c r="BP448" cm="1">
        <f t="array" ref="BP448">IFERROR(INDEX(sheath_wcap_asd,MATCH(BS448,sheath_mark,0),0)*BN448,0)</f>
        <v>0</v>
      </c>
      <c r="BQ448" cm="1">
        <f t="array" ref="BQ448">IFERROR(INDEX(hd_cap,MATCH(BT448,hd_mark,0),0),0)</f>
        <v>0</v>
      </c>
      <c r="BS448" s="19"/>
      <c r="BT448" s="19"/>
      <c r="BU448" s="100"/>
    </row>
    <row r="449" x14ac:dyDescent="0.25">
      <c r="B449" t="s">
        <v>471</v>
      </c>
      <c r="C449" s="19"/>
      <c r="D449" s="19"/>
      <c r="E449">
        <f t="shared" si="280"/>
        <v>0</v>
      </c>
      <c r="H449">
        <v>24</v>
      </c>
      <c r="I449" s="19"/>
      <c r="J449" s="19"/>
      <c r="K449">
        <f t="shared" si="281"/>
        <v>0</v>
      </c>
      <c r="P449" s="93"/>
      <c r="Q449" s="109"/>
      <c r="R449" t="str">
        <f>$Q$409</f>
        <v>Roof</v>
      </c>
      <c r="S449">
        <f>$E$25</f>
        <v>33.171875</v>
      </c>
      <c r="T449" cm="1">
        <f t="array" ref="T449">IFERROR(IF(S449=0,0,(INDEX($C$33:$C$38,MATCH($W$416,$B$33:$B$38,0),0)*(S449+$X$416)+$V$416*$C$31)*$R$416),0)</f>
        <v>0</v>
      </c>
      <c r="U449">
        <f>IF(S449=0,0,-$V$416*$C$31*$H$27*$R$416)</f>
        <v>0</v>
      </c>
      <c r="V449">
        <f>IF(S449=0,0,$V$416*$H$26*$R$416)</f>
        <v>0</v>
      </c>
      <c r="W449">
        <f>(0.6*T449+0.7*U449)*$R$416/2</f>
        <v>0</v>
      </c>
      <c r="X449">
        <f>T449*$R$416/2</f>
        <v>0</v>
      </c>
      <c r="Z449">
        <f>IF(S449=0,0,$AD$416*$AP$409)</f>
        <v>0</v>
      </c>
      <c r="AA449">
        <f>IFERROR(Z449/$R$416,0)</f>
        <v>0</v>
      </c>
      <c r="AB449">
        <f>Z449*($F$25+($C$16+$C$17+IF($C$13="single",1.5,3)+3)/12)</f>
        <v>0</v>
      </c>
      <c r="AC449">
        <f>AB449-W449</f>
        <v>0</v>
      </c>
      <c r="AD449" cm="1">
        <f t="array" ref="AD449">IFERROR(IF(AC449&lt;0,0,AC449/($R$416-INDEX(hd_off,MATCH(AQ449,hd_mark,0),0)/12)),0)</f>
        <v>0</v>
      </c>
      <c r="AE449">
        <f>IF(S449=0,0,$AD$416*$AM$409)</f>
        <v>0</v>
      </c>
      <c r="AF449">
        <f>IFERROR(AE449/$R$416,0)</f>
        <v>0</v>
      </c>
      <c r="AG449">
        <f>AE449*($F$25+($C$16+$C$17+IF($C$13="single",1.5,3)+3)/12)</f>
        <v>0</v>
      </c>
      <c r="AH449">
        <f>AG449-X449</f>
        <v>0</v>
      </c>
      <c r="AI449" cm="1">
        <f t="array" ref="AI449">IFERROR(IF(AH449&lt;0,0,AH449/($R$416-INDEX(hd_off,MATCH(AQ449,hd_mark,0),0)/12)),0)</f>
        <v>0</v>
      </c>
      <c r="AJ449">
        <f>MAX($F$25,$AC$416)/$Q$436</f>
        <v>0.29920977011494249</v>
      </c>
      <c r="AK449">
        <f t="shared" si="287"/>
        <v>1</v>
      </c>
      <c r="AL449" cm="1">
        <f t="array" ref="AL449">IFERROR(INDEX(sheath_ecap_asd,MATCH(AP449,sheath_mark,0),0)*AK449,0)</f>
        <v>0</v>
      </c>
      <c r="AM449" cm="1">
        <f t="array" ref="AM449">IFERROR(INDEX(sheath_wcap_asd,MATCH(AP449,sheath_mark,0),0)*AK449,0)</f>
        <v>0</v>
      </c>
      <c r="AN449" cm="1">
        <f t="array" ref="AN449">IFERROR(INDEX(hd_cap,MATCH(AQ449,hd_mark,0),0),0)</f>
        <v>0</v>
      </c>
      <c r="AP449" s="19"/>
      <c r="AQ449" s="19"/>
      <c r="AR449" s="100"/>
      <c r="AS449" s="93"/>
      <c r="AT449" s="109"/>
      <c r="AU449" t="str">
        <f>$Q$409</f>
        <v>Roof</v>
      </c>
      <c r="AV449">
        <f>$E$25</f>
        <v>33.171875</v>
      </c>
      <c r="AW449" cm="1">
        <f t="array" ref="AW449">IFERROR(IF(AV449=0,0,(INDEX($C$33:$C$38,MATCH($AZ$416,$B$33:$B$38,0),0)*(AV449+$BA$416)+$AY$416*$C$31)*$AU$416),0)</f>
        <v>0</v>
      </c>
      <c r="AX449">
        <f>IF(AV449=0,0,-$AY$416*$C$31*$H$27*$AU$416)</f>
        <v>0</v>
      </c>
      <c r="AY449">
        <f>IF(AV449=0,0,$AY$416*$H$26*$AU$416)</f>
        <v>0</v>
      </c>
      <c r="AZ449">
        <f>(0.6*AW449+0.7*AX449)*$AU$416/2</f>
        <v>0</v>
      </c>
      <c r="BA449">
        <f>AW449*$AU$416/2</f>
        <v>0</v>
      </c>
      <c r="BC449">
        <f>IF(AV449=0,0,$BG$416*$AP$409)</f>
        <v>0</v>
      </c>
      <c r="BD449">
        <f>IFERROR(BC449/$AU$416,0)</f>
        <v>0</v>
      </c>
      <c r="BE449">
        <f>BC449*($F$25+($C$16+$C$17+IF($C$13="single",1.5,3)+3)/12)</f>
        <v>0</v>
      </c>
      <c r="BF449">
        <f>BE449-AZ449</f>
        <v>0</v>
      </c>
      <c r="BG449" cm="1">
        <f t="array" ref="BG449">IFERROR(IF(BF449&lt;0,0,BF449/($AU$416-INDEX(hd_off,MATCH(BT449,hd_mark,0),0)/12)),0)</f>
        <v>0</v>
      </c>
      <c r="BH449">
        <f>IF(AV449=0,0,$BG$416*$AM$409)</f>
        <v>0</v>
      </c>
      <c r="BI449">
        <f>IFERROR(BH449/$AU$416,0)</f>
        <v>0</v>
      </c>
      <c r="BJ449">
        <f>BH449*($F$25+($C$16+$C$17+IF($C$13="single",1.5,3)+3)/12)</f>
        <v>0</v>
      </c>
      <c r="BK449">
        <f>BJ449-BA449</f>
        <v>0</v>
      </c>
      <c r="BL449" cm="1">
        <f t="array" ref="BL449">IFERROR(IF(BK449&lt;0,0,BK449/($AU$416-INDEX(hd_off,MATCH(BT449,hd_mark,0),0)/12)),0)</f>
        <v>0</v>
      </c>
      <c r="BM449">
        <f>MAX($F$25,$BF$416)/$Q$436</f>
        <v>0.29920977011494249</v>
      </c>
      <c r="BN449">
        <f t="shared" si="288"/>
        <v>1</v>
      </c>
      <c r="BO449" cm="1">
        <f t="array" ref="BO449">IFERROR(INDEX(sheath_ecap_asd,MATCH(BS449,sheath_mark,0),0)*BN449,0)</f>
        <v>0</v>
      </c>
      <c r="BP449" cm="1">
        <f t="array" ref="BP449">IFERROR(INDEX(sheath_wcap_asd,MATCH(BS449,sheath_mark,0),0)*BN449,0)</f>
        <v>0</v>
      </c>
      <c r="BQ449" cm="1">
        <f t="array" ref="BQ449">IFERROR(INDEX(hd_cap,MATCH(BT449,hd_mark,0),0),0)</f>
        <v>0</v>
      </c>
      <c r="BS449" s="19"/>
      <c r="BT449" s="19"/>
      <c r="BU449" s="100"/>
    </row>
    <row r="450" x14ac:dyDescent="0.25">
      <c r="B450" t="s">
        <v>472</v>
      </c>
      <c r="C450" s="19"/>
      <c r="D450" s="19"/>
      <c r="E450">
        <f t="shared" si="280"/>
        <v>0</v>
      </c>
      <c r="H450">
        <v>25</v>
      </c>
      <c r="I450" s="19"/>
      <c r="J450" s="19"/>
      <c r="K450">
        <f t="shared" si="281"/>
        <v>0</v>
      </c>
      <c r="P450" s="93"/>
      <c r="AR450" s="100"/>
      <c r="AS450" s="93"/>
      <c r="BU450" s="100"/>
    </row>
    <row r="451" x14ac:dyDescent="0.25">
      <c r="B451" t="s">
        <v>473</v>
      </c>
      <c r="C451" s="19"/>
      <c r="D451" s="19"/>
      <c r="E451">
        <f t="shared" si="280"/>
        <v>0</v>
      </c>
      <c r="H451">
        <v>26</v>
      </c>
      <c r="I451" s="19"/>
      <c r="J451" s="19"/>
      <c r="K451">
        <f t="shared" si="281"/>
        <v>0</v>
      </c>
      <c r="P451" s="93"/>
      <c r="Q451" s="110" t="str">
        <f>$Q$417</f>
        <v>A.04</v>
      </c>
      <c r="R451" t="str">
        <f>$Q$405</f>
        <v>L2</v>
      </c>
      <c r="S451">
        <f>$E$21</f>
        <v>10.6875</v>
      </c>
      <c r="T451" cm="1">
        <f t="array" ref="T451">IFERROR(IF(S451=0,0,(INDEX($C$33:$C$38,MATCH($W$417,$B$33:$B$38,0),0)*(S455+$X$417)+$T$417*COUNTIF(S451:S454,"&gt;0")*$C$32+$V$417*$C$31)*$R$417),0)</f>
        <v>0</v>
      </c>
      <c r="U451">
        <f>IF(S451=0,0,-(COUNTIF(S451:S454,"&gt;0")*$T$417*$C$32+$V$417*$C$31)*$H$27*$R$417)</f>
        <v>0</v>
      </c>
      <c r="V451">
        <f>IF(S451=0,0,$V$417*$H$26*$R$417)</f>
        <v>0</v>
      </c>
      <c r="W451">
        <f>(0.6*T451+0.7*U451)*$R$417/2</f>
        <v>0</v>
      </c>
      <c r="X451">
        <f>(0.6*T451+0.6*V451)*$R$417/2</f>
        <v>0</v>
      </c>
      <c r="Z451">
        <f>IF(S451=0,0,$AD$417*$AP$405)</f>
        <v>0</v>
      </c>
      <c r="AA451">
        <f>IFERROR(Z451/$R$417,0)</f>
        <v>0</v>
      </c>
      <c r="AB451">
        <f>Z451*($F$21+IF($F$21=0,0,($C$14+$C$15+IF($C$13="single",1.5,3)+3)/12))</f>
        <v>0</v>
      </c>
      <c r="AC451">
        <f>AB451-W451</f>
        <v>0</v>
      </c>
      <c r="AD451" cm="1">
        <f t="array" ref="AD451">IFERROR(IF(AC451&lt;0,0,AC451/($R$417-INDEX(hd_off,MATCH(AQ451,hd_mark,0),0)/12)),0)</f>
        <v>0</v>
      </c>
      <c r="AE451">
        <f>IF(S451=0,0,$AD$417*$AM$405)</f>
        <v>0</v>
      </c>
      <c r="AF451">
        <f>IFERROR(AE451/$R$417,0)</f>
        <v>0</v>
      </c>
      <c r="AG451">
        <f>AE451*($F$21+IF($F$21=0,0,($C$14+$C$15+IF($C$13="single",1.5,3)+3)/12))</f>
        <v>0</v>
      </c>
      <c r="AH451">
        <f>AG451-X451</f>
        <v>0</v>
      </c>
      <c r="AI451" cm="1">
        <f t="array" ref="AI451">IFERROR(IF(AH451&lt;0,0,AH451/($R$417-INDEX(hd_off,MATCH(AQ451,hd_mark,0),0)/12)),0)</f>
        <v>0</v>
      </c>
      <c r="AJ451">
        <f>MAX($F$21,$Y$417)/$Q$436</f>
        <v>0.30172413793103448</v>
      </c>
      <c r="AK451">
        <f>IF(AJ451=0,0,IF(AJ451&gt;2,1.25-0.125*AJ451,1))</f>
        <v>1</v>
      </c>
      <c r="AL451" cm="1">
        <f t="array" ref="AL451">IFERROR(INDEX(sheath_ecap_asd,MATCH(AP451,sheath_mark,0),0)*AK451,0)</f>
        <v>0</v>
      </c>
      <c r="AM451" cm="1">
        <f t="array" ref="AM451">IFERROR(INDEX(sheath_wcap_asd,MATCH(AP451,sheath_mark,0),0)*AK451,0)</f>
        <v>0</v>
      </c>
      <c r="AN451" cm="1">
        <f t="array" ref="AN451">IFERROR(INDEX(hd_cap,MATCH(AQ451,hd_mark,0),0),0)</f>
        <v>0</v>
      </c>
      <c r="AP451" s="19"/>
      <c r="AQ451" s="19"/>
      <c r="AR451" s="100"/>
      <c r="AS451" s="93"/>
      <c r="AT451" s="110" t="str">
        <f>$AT$417</f>
        <v>1.04</v>
      </c>
      <c r="AU451" t="str">
        <f>$Q$405</f>
        <v>L2</v>
      </c>
      <c r="AV451">
        <f>$E$21</f>
        <v>10.6875</v>
      </c>
      <c r="AW451" cm="1">
        <f t="array" ref="AW451">IFERROR(IF(AV451=0,0,(INDEX($C$33:$C$38,MATCH($AZ$417,$B$33:$B$38,0),0)*(AV455+$BA$417)+$AW$417*COUNTIF(AV451:AV454,"&gt;0")*$C$32+$AY$417*$C$31)*$AU$417),0)</f>
        <v>0</v>
      </c>
      <c r="AX451">
        <f>IF(AV451=0,0,-(COUNTIF(AV451:AV454,"&gt;0")*$AW$417*$C$32+$AY$417*$C$31)*$H$27*$AU$417)</f>
        <v>0</v>
      </c>
      <c r="AY451">
        <f>IF(AV451=0,0,$AY$417*$H$26*$AU$417)</f>
        <v>0</v>
      </c>
      <c r="AZ451">
        <f>(0.6*AW451+0.7*AX451)*$AU$417/2</f>
        <v>0</v>
      </c>
      <c r="BA451">
        <f>(0.6*AW451+0.6*AY451)*$AU$417/2</f>
        <v>0</v>
      </c>
      <c r="BC451">
        <f>IF(AV451=0,0,$BG$417*$AP$405)</f>
        <v>0</v>
      </c>
      <c r="BD451">
        <f>IFERROR(BC451/$AU$417,0)</f>
        <v>0</v>
      </c>
      <c r="BE451">
        <f>BC451*($F$21+IF($F$21=0,0,($C$14+$C$15+IF($C$13="single",1.5,3)+3)/12))</f>
        <v>0</v>
      </c>
      <c r="BF451">
        <f>BE451-AZ451</f>
        <v>0</v>
      </c>
      <c r="BG451" cm="1">
        <f t="array" ref="BG451">IFERROR(IF(BF451&lt;0,0,BF451/($AU$417-INDEX(hd_off,MATCH(BT451,hd_mark,0),0)/12)),0)</f>
        <v>0</v>
      </c>
      <c r="BH451">
        <f>IF(AV451=0,0,$BG$417*$AM$405)</f>
        <v>0</v>
      </c>
      <c r="BI451">
        <f>IFERROR(BH451/$AU$417,0)</f>
        <v>0</v>
      </c>
      <c r="BJ451">
        <f>BH451*($F$21+IF($F$21=0,0,($C$14+$C$15+IF($C$13="single",1.5,3)+3)/12))</f>
        <v>0</v>
      </c>
      <c r="BK451">
        <f>BJ451-BA451</f>
        <v>0</v>
      </c>
      <c r="BL451" cm="1">
        <f t="array" ref="BL451">IFERROR(IF(BK451&lt;0,0,BK451/($AU$417-INDEX(hd_off,MATCH(BT451,hd_mark,0),0)/12)),0)</f>
        <v>0</v>
      </c>
      <c r="BM451">
        <f>MAX($F$21,$BB$417)/$Q$436</f>
        <v>0.30172413793103448</v>
      </c>
      <c r="BN451">
        <f>IF(BM451=0,0,IF(BM451&gt;2,1.25-0.125*BM451,1))</f>
        <v>1</v>
      </c>
      <c r="BO451" cm="1">
        <f t="array" ref="BO451">IFERROR(INDEX(sheath_ecap_asd,MATCH(BS451,sheath_mark,0),0)*BN451,0)</f>
        <v>0</v>
      </c>
      <c r="BP451" cm="1">
        <f t="array" ref="BP451">IFERROR(INDEX(sheath_wcap_asd,MATCH(BS451,sheath_mark,0),0)*BN451,0)</f>
        <v>0</v>
      </c>
      <c r="BQ451" cm="1">
        <f t="array" ref="BQ451">IFERROR(INDEX(hd_cap,MATCH(BT451,hd_mark,0),0),0)</f>
        <v>0</v>
      </c>
      <c r="BS451" s="19"/>
      <c r="BT451" s="19"/>
      <c r="BU451" s="100"/>
    </row>
    <row r="452" x14ac:dyDescent="0.25">
      <c r="P452" s="93"/>
      <c r="Q452" s="109"/>
      <c r="R452" t="str">
        <f>$Q$406</f>
        <v>L3</v>
      </c>
      <c r="S452">
        <f>$E$22</f>
        <v>21.375</v>
      </c>
      <c r="T452" cm="1">
        <f t="array" ref="T452">IFERROR(IF(S452=0,0,(INDEX($C$33:$C$38,MATCH($W$417,$B$33:$B$38,0),0)*(S455+$X$417)+$T$417*COUNTIF(S452:S454,"&gt;0")*$C$32+$V$417*$C$31)*$R$417),0)</f>
        <v>0</v>
      </c>
      <c r="U452">
        <f>IF(S452=0,0,-(COUNTIF(S452:S454,"&gt;0")*$T$417*$C$32+$V$417*$C$31)*$H$27*$R$417)</f>
        <v>0</v>
      </c>
      <c r="V452">
        <f>IF(S452=0,0,$V$417*$H$26*$R$417)</f>
        <v>0</v>
      </c>
      <c r="W452">
        <f>(0.6*T452+0.7*U452)*$R$417/2</f>
        <v>0</v>
      </c>
      <c r="X452">
        <f>T452*$R$417/2</f>
        <v>0</v>
      </c>
      <c r="Z452">
        <f>IF(S452=0,0,$AD$417*$AP$406)</f>
        <v>0</v>
      </c>
      <c r="AA452">
        <f>IFERROR(Z452/$R$417,0)</f>
        <v>0</v>
      </c>
      <c r="AB452">
        <f>Z452*($F$22+IF($F$22=0,0,($C$14+$C$15+IF($C$13="single",1.5,3)+3)/12))</f>
        <v>0</v>
      </c>
      <c r="AC452">
        <f>AB452-W452</f>
        <v>0</v>
      </c>
      <c r="AD452" cm="1">
        <f t="array" ref="AD452">IFERROR(IF(AC452&lt;0,0,AC452/($R$417-INDEX(hd_off,MATCH(AQ452,hd_mark,0),0)/12)),0)</f>
        <v>0</v>
      </c>
      <c r="AE452">
        <f>IF(S452=0,0,$AD$417*$AM$406)</f>
        <v>0</v>
      </c>
      <c r="AF452">
        <f>IFERROR(AE452/$R$417,0)</f>
        <v>0</v>
      </c>
      <c r="AG452">
        <f>AE452*($F$22+IF($F$22=0,0,($C$14+$C$15+IF($C$13="single",1.5,3)+3)/12))</f>
        <v>0</v>
      </c>
      <c r="AH452">
        <f>AG452-X452</f>
        <v>0</v>
      </c>
      <c r="AI452" cm="1">
        <f t="array" ref="AI452">IFERROR(IF(AH452&lt;0,0,AH452/($R$417-INDEX(hd_off,MATCH(AQ452,hd_mark,0),0)/12)),0)</f>
        <v>0</v>
      </c>
      <c r="AJ452">
        <f>MAX($F$22,$Z$417)/$Q$436</f>
        <v>0.30172413793103448</v>
      </c>
      <c r="AK452">
        <f t="shared" ref="AK452:AK455" si="289">IF(AJ452=0,0,IF(AJ452&gt;2,1.25-0.125*AJ452,1))</f>
        <v>1</v>
      </c>
      <c r="AL452" cm="1">
        <f t="array" ref="AL452">IFERROR(INDEX(sheath_ecap_asd,MATCH(AP452,sheath_mark,0),0)*AK452,0)</f>
        <v>0</v>
      </c>
      <c r="AM452" cm="1">
        <f t="array" ref="AM452">IFERROR(INDEX(sheath_wcap_asd,MATCH(AP452,sheath_mark,0),0)*AK452,0)</f>
        <v>0</v>
      </c>
      <c r="AN452" cm="1">
        <f t="array" ref="AN452">IFERROR(INDEX(hd_cap,MATCH(AQ452,hd_mark,0),0),0)</f>
        <v>0</v>
      </c>
      <c r="AP452" s="19"/>
      <c r="AQ452" s="19"/>
      <c r="AR452" s="100"/>
      <c r="AS452" s="93"/>
      <c r="AT452" s="109"/>
      <c r="AU452" t="str">
        <f>$Q$406</f>
        <v>L3</v>
      </c>
      <c r="AV452">
        <f>$E$22</f>
        <v>21.375</v>
      </c>
      <c r="AW452" cm="1">
        <f t="array" ref="AW452">IFERROR(IF(AV452=0,0,(INDEX($C$33:$C$38,MATCH($AZ$417,$B$33:$B$38,0),0)*(AV455+$BA$417)+$AW$417*COUNTIF(AV452:AV454,"&gt;0")*$C$32+$AY$417*$C$31)*$AU$417),0)</f>
        <v>0</v>
      </c>
      <c r="AX452">
        <f>IF(AV452=0,0,-(COUNTIF(AV452:AV454,"&gt;0")*$AW$417*$C$32+$AY$417*$C$31)*$H$27*$AU$417)</f>
        <v>0</v>
      </c>
      <c r="AY452">
        <f>IF(AV452=0,0,$AY$417*$H$26*$AU$417)</f>
        <v>0</v>
      </c>
      <c r="AZ452">
        <f>(0.6*AW452+0.7*AX452)*$AU$417/2</f>
        <v>0</v>
      </c>
      <c r="BA452">
        <f>AW452*$AU$417/2</f>
        <v>0</v>
      </c>
      <c r="BC452">
        <f>IF(AV452=0,0,$BG$417*$AP$406)</f>
        <v>0</v>
      </c>
      <c r="BD452">
        <f>IFERROR(BC452/$AU$417,0)</f>
        <v>0</v>
      </c>
      <c r="BE452">
        <f>BC452*($F$22+IF($F$22=0,0,($C$14+$C$15+IF($C$13="single",1.5,3)+3)/12))</f>
        <v>0</v>
      </c>
      <c r="BF452">
        <f>BE452-AZ452</f>
        <v>0</v>
      </c>
      <c r="BG452" cm="1">
        <f t="array" ref="BG452">IFERROR(IF(BF452&lt;0,0,BF452/($AU$417-INDEX(hd_off,MATCH(BT452,hd_mark,0),0)/12)),0)</f>
        <v>0</v>
      </c>
      <c r="BH452">
        <f>IF(AV452=0,0,$BG$417*$AM$406)</f>
        <v>0</v>
      </c>
      <c r="BI452">
        <f>IFERROR(BH452/$AU$417,0)</f>
        <v>0</v>
      </c>
      <c r="BJ452">
        <f>BH452*($F$22+IF($F$22=0,0,($C$14+$C$15+IF($C$13="single",1.5,3)+3)/12))</f>
        <v>0</v>
      </c>
      <c r="BK452">
        <f>BJ452-BA452</f>
        <v>0</v>
      </c>
      <c r="BL452" cm="1">
        <f t="array" ref="BL452">IFERROR(IF(BK452&lt;0,0,BK452/($AU$417-INDEX(hd_off,MATCH(BT452,hd_mark,0),0)/12)),0)</f>
        <v>0</v>
      </c>
      <c r="BM452">
        <f>MAX($F$22,$BC$417)/$Q$436</f>
        <v>0.30172413793103448</v>
      </c>
      <c r="BN452">
        <f t="shared" ref="BN452:BN455" si="290">IF(BM452=0,0,IF(BM452&gt;2,1.25-0.125*BM452,1))</f>
        <v>1</v>
      </c>
      <c r="BO452" cm="1">
        <f t="array" ref="BO452">IFERROR(INDEX(sheath_ecap_asd,MATCH(BS452,sheath_mark,0),0)*BN452,0)</f>
        <v>0</v>
      </c>
      <c r="BP452" cm="1">
        <f t="array" ref="BP452">IFERROR(INDEX(sheath_wcap_asd,MATCH(BS452,sheath_mark,0),0)*BN452,0)</f>
        <v>0</v>
      </c>
      <c r="BQ452" cm="1">
        <f t="array" ref="BQ452">IFERROR(INDEX(hd_cap,MATCH(BT452,hd_mark,0),0),0)</f>
        <v>0</v>
      </c>
      <c r="BS452" s="19"/>
      <c r="BT452" s="19"/>
      <c r="BU452" s="100"/>
    </row>
    <row r="453" x14ac:dyDescent="0.25">
      <c r="B453" s="1"/>
      <c r="P453" s="93"/>
      <c r="Q453" s="109" t="s">
        <v>491</v>
      </c>
      <c r="R453" t="str">
        <f>$Q$407</f>
        <v>L4</v>
      </c>
      <c r="S453">
        <f>$E$23</f>
        <v>0</v>
      </c>
      <c r="T453" cm="1">
        <f t="array" ref="T453">IFERROR(IF(S453=0,0,(INDEX($C$33:$C$38,MATCH($W$417,$B$33:$B$38,0),0)*(S455+$X$417)+$T$417*COUNTIF(S453:S454,"&gt;0")*$C$32+$V$417*$C$31)*$R$417),0)</f>
        <v>0</v>
      </c>
      <c r="U453">
        <f>IF(S453=0,0,-(COUNTIF(S453:S454,"&gt;0")*$T$417*$C$32+$V$417*$C$31)*$H$27*$R$417)</f>
        <v>0</v>
      </c>
      <c r="V453">
        <f>IF(S453=0,0,$V$417*$H$26*$R$417)</f>
        <v>0</v>
      </c>
      <c r="W453">
        <f>(0.6*T453+0.7*U453)*$R$417/2</f>
        <v>0</v>
      </c>
      <c r="X453">
        <f>T453*$R$417/2</f>
        <v>0</v>
      </c>
      <c r="Z453">
        <f>IF(S453=0,0,$AD$417*$AP$407)</f>
        <v>0</v>
      </c>
      <c r="AA453">
        <f>IFERROR(Z453/$R$417,0)</f>
        <v>0</v>
      </c>
      <c r="AB453">
        <f>Z453*($F$23+IF($F$23=0,0,($C$14+$C$15+IF($C$13="single",1.5,3)+3)/12))</f>
        <v>0</v>
      </c>
      <c r="AC453">
        <f>AB453-W453</f>
        <v>0</v>
      </c>
      <c r="AD453" cm="1">
        <f t="array" ref="AD453">IFERROR(IF(AC453&lt;0,0,AC453/($R$417-INDEX(hd_off,MATCH(AQ453,hd_mark,0),0)/12)),0)</f>
        <v>0</v>
      </c>
      <c r="AE453">
        <f>IF(S453=0,0,$AD$417*$AM$407)</f>
        <v>0</v>
      </c>
      <c r="AF453">
        <f>IFERROR(AE453/$R$417,0)</f>
        <v>0</v>
      </c>
      <c r="AG453">
        <f>AE453*($F$23+IF($F$23=0,0,($C$14+$C$15+IF($C$13="single",1.5,3)+3)/12))</f>
        <v>0</v>
      </c>
      <c r="AH453">
        <f>AG453-X453</f>
        <v>0</v>
      </c>
      <c r="AI453" cm="1">
        <f t="array" ref="AI453">IFERROR(IF(AH453&lt;0,0,AH453/($R$417-INDEX(hd_off,MATCH(AQ453,hd_mark,0),0)/12)),0)</f>
        <v>0</v>
      </c>
      <c r="AJ453">
        <f>MAX($F$23,$AA$417)/$Q$436</f>
        <v>0</v>
      </c>
      <c r="AK453">
        <f t="shared" si="289"/>
        <v>0</v>
      </c>
      <c r="AL453" cm="1">
        <f t="array" ref="AL453">IFERROR(INDEX(sheath_ecap_asd,MATCH(AP453,sheath_mark,0),0)*AK453,0)</f>
        <v>0</v>
      </c>
      <c r="AM453" cm="1">
        <f t="array" ref="AM453">IFERROR(INDEX(sheath_wcap_asd,MATCH(AP453,sheath_mark,0),0)*AK453,0)</f>
        <v>0</v>
      </c>
      <c r="AN453" cm="1">
        <f t="array" ref="AN453">IFERROR(INDEX(hd_cap,MATCH(AQ453,hd_mark,0),0),0)</f>
        <v>0</v>
      </c>
      <c r="AP453" s="19"/>
      <c r="AQ453" s="19"/>
      <c r="AR453" s="100"/>
      <c r="AS453" s="93"/>
      <c r="AT453" s="109" t="s">
        <v>491</v>
      </c>
      <c r="AU453" t="str">
        <f>$Q$407</f>
        <v>L4</v>
      </c>
      <c r="AV453">
        <f>$E$23</f>
        <v>0</v>
      </c>
      <c r="AW453" cm="1">
        <f t="array" ref="AW453">IFERROR(IF(AV453=0,0,(INDEX($C$33:$C$38,MATCH($AZ$417,$B$33:$B$38,0),0)*(AV455+$BA$417)+$AW$417*COUNTIF(AV453:AV454,"&gt;0")*$C$32+$AY$417*$C$31)*$AU$417),0)</f>
        <v>0</v>
      </c>
      <c r="AX453">
        <f>IF(AV453=0,0,-(COUNTIF(AV453:AV454,"&gt;0")*$AW$417*$C$32+$AY$417*$C$31)*$H$27*$AU$417)</f>
        <v>0</v>
      </c>
      <c r="AY453">
        <f>IF(AV453=0,0,$AY$417*$H$26*$AU$417)</f>
        <v>0</v>
      </c>
      <c r="AZ453">
        <f>(0.6*AW453+0.7*AX453)*$AU$417/2</f>
        <v>0</v>
      </c>
      <c r="BA453">
        <f>AW453*$AU$417/2</f>
        <v>0</v>
      </c>
      <c r="BC453">
        <f>IF(AV453=0,0,$BG$417*$AP$407)</f>
        <v>0</v>
      </c>
      <c r="BD453">
        <f>IFERROR(BC453/$AU$417,0)</f>
        <v>0</v>
      </c>
      <c r="BE453">
        <f>BC453*($F$23+IF($F$23=0,0,($C$14+$C$15+IF($C$13="single",1.5,3)+3)/12))</f>
        <v>0</v>
      </c>
      <c r="BF453">
        <f>BE453-AZ453</f>
        <v>0</v>
      </c>
      <c r="BG453" cm="1">
        <f t="array" ref="BG453">IFERROR(IF(BF453&lt;0,0,BF453/($AU$417-INDEX(hd_off,MATCH(BT453,hd_mark,0),0)/12)),0)</f>
        <v>0</v>
      </c>
      <c r="BH453">
        <f>IF(AV453=0,0,$BG$417*$AM$407)</f>
        <v>0</v>
      </c>
      <c r="BI453">
        <f>IFERROR(BH453/$AU$417,0)</f>
        <v>0</v>
      </c>
      <c r="BJ453">
        <f>BH453*($F$23+IF($F$23=0,0,($C$14+$C$15+IF($C$13="single",1.5,3)+3)/12))</f>
        <v>0</v>
      </c>
      <c r="BK453">
        <f>BJ453-BA453</f>
        <v>0</v>
      </c>
      <c r="BL453" cm="1">
        <f t="array" ref="BL453">IFERROR(IF(BK453&lt;0,0,BK453/($AU$417-INDEX(hd_off,MATCH(BT453,hd_mark,0),0)/12)),0)</f>
        <v>0</v>
      </c>
      <c r="BM453">
        <f>MAX($F$23,$BD$417)/$Q$436</f>
        <v>0</v>
      </c>
      <c r="BN453">
        <f t="shared" si="290"/>
        <v>0</v>
      </c>
      <c r="BO453" cm="1">
        <f t="array" ref="BO453">IFERROR(INDEX(sheath_ecap_asd,MATCH(BS453,sheath_mark,0),0)*BN453,0)</f>
        <v>0</v>
      </c>
      <c r="BP453" cm="1">
        <f t="array" ref="BP453">IFERROR(INDEX(sheath_wcap_asd,MATCH(BS453,sheath_mark,0),0)*BN453,0)</f>
        <v>0</v>
      </c>
      <c r="BQ453" cm="1">
        <f t="array" ref="BQ453">IFERROR(INDEX(hd_cap,MATCH(BT453,hd_mark,0),0),0)</f>
        <v>0</v>
      </c>
      <c r="BS453" s="19"/>
      <c r="BT453" s="19"/>
      <c r="BU453" s="100"/>
    </row>
    <row r="454" x14ac:dyDescent="0.25">
      <c r="P454" s="93"/>
      <c r="Q454" s="111">
        <f>$R$417</f>
        <v>0</v>
      </c>
      <c r="R454" t="str">
        <f>$Q$408</f>
        <v>L5</v>
      </c>
      <c r="S454">
        <f>$E$24</f>
        <v>0</v>
      </c>
      <c r="T454" cm="1">
        <f t="array" ref="T454">IFERROR(IF(S454=0,0,(INDEX($C$33:$C$38,MATCH($W$417,$B$33:$B$38,0),0)*(S455+$X$417)+$T$417*COUNTIF(S454:S454,"&gt;0")*$C$32+$V$417*$C$31)*$R$417),0)</f>
        <v>0</v>
      </c>
      <c r="U454">
        <f>IF(S454=0,0,-(COUNTIF(S454:S454,"&gt;0")*$T$417*$C$32+$V$417*$C$31)*$H$27*$R$417)</f>
        <v>0</v>
      </c>
      <c r="V454">
        <f>IF(S454=0,0,$V$417*$H$26*$R$417)</f>
        <v>0</v>
      </c>
      <c r="W454">
        <f>(0.6*T454+0.7*U454)*$R$417/2</f>
        <v>0</v>
      </c>
      <c r="X454">
        <f>T454*$R$417/2</f>
        <v>0</v>
      </c>
      <c r="Z454">
        <f>IF(S454=0,0,$AD$417*$AP$408)</f>
        <v>0</v>
      </c>
      <c r="AA454">
        <f>IFERROR(Z454/$R$417,0)</f>
        <v>0</v>
      </c>
      <c r="AB454">
        <f>Z454*($F$24+IF($F$24=0,0,($C$14+$C$15+IF($C$13="single",1.5,3)+3)/12))</f>
        <v>0</v>
      </c>
      <c r="AC454">
        <f>AB454-W454</f>
        <v>0</v>
      </c>
      <c r="AD454" cm="1">
        <f t="array" ref="AD454">IFERROR(IF(AC454&lt;0,0,AC454/($R$417-INDEX(hd_off,MATCH(AQ454,hd_mark,0),0)/12)),0)</f>
        <v>0</v>
      </c>
      <c r="AE454">
        <f>IF(S454=0,0,$AD$417*$AM$408)</f>
        <v>0</v>
      </c>
      <c r="AF454">
        <f>IFERROR(AE454/$R$417,0)</f>
        <v>0</v>
      </c>
      <c r="AG454">
        <f>AE454*($F$24+IF($F$24=0,0,($C$14+$C$15+IF($C$13="single",1.5,3)+3)/12))</f>
        <v>0</v>
      </c>
      <c r="AH454">
        <f>AG454-X454</f>
        <v>0</v>
      </c>
      <c r="AI454" cm="1">
        <f t="array" ref="AI454">IFERROR(IF(AH454&lt;0,0,AH454/($R$417-INDEX(hd_off,MATCH(AQ454,hd_mark,0),0)/12)),0)</f>
        <v>0</v>
      </c>
      <c r="AJ454">
        <f>MAX($F$24,$AB$417)/$Q$436</f>
        <v>0</v>
      </c>
      <c r="AK454">
        <f t="shared" si="289"/>
        <v>0</v>
      </c>
      <c r="AL454" cm="1">
        <f t="array" ref="AL454">IFERROR(INDEX(sheath_ecap_asd,MATCH(AP454,sheath_mark,0),0)*AK454,0)</f>
        <v>0</v>
      </c>
      <c r="AM454" cm="1">
        <f t="array" ref="AM454">IFERROR(INDEX(sheath_wcap_asd,MATCH(AP454,sheath_mark,0),0)*AK454,0)</f>
        <v>0</v>
      </c>
      <c r="AN454" cm="1">
        <f t="array" ref="AN454">IFERROR(INDEX(hd_cap,MATCH(AQ454,hd_mark,0),0),0)</f>
        <v>0</v>
      </c>
      <c r="AP454" s="19"/>
      <c r="AQ454" s="19"/>
      <c r="AR454" s="100"/>
      <c r="AS454" s="93"/>
      <c r="AT454" s="111">
        <f>$R$417</f>
        <v>0</v>
      </c>
      <c r="AU454" t="str">
        <f>$Q$408</f>
        <v>L5</v>
      </c>
      <c r="AV454">
        <f>$E$24</f>
        <v>0</v>
      </c>
      <c r="AW454" cm="1">
        <f t="array" ref="AW454">IFERROR(IF(AV454=0,0,(INDEX($C$33:$C$38,MATCH($AZ$417,$B$33:$B$38,0),0)*(AV455+$BA$417)+$AW$417*COUNTIF(AV454:AV454,"&gt;0")*$C$32+$AY$417*$C$31)*$AU$417),0)</f>
        <v>0</v>
      </c>
      <c r="AX454">
        <f>IF(AV454=0,0,-(COUNTIF(AV454:AV454,"&gt;0")*$AW$417*$C$32+$AY$417*$C$31)*$H$27*$AU$417)</f>
        <v>0</v>
      </c>
      <c r="AY454">
        <f>IF(AV454=0,0,$AY$417*$H$26*$AU$417)</f>
        <v>0</v>
      </c>
      <c r="AZ454">
        <f>(0.6*AW454+0.7*AX454)*$AU$417/2</f>
        <v>0</v>
      </c>
      <c r="BA454">
        <f>AW454*$AU$417/2</f>
        <v>0</v>
      </c>
      <c r="BC454">
        <f>IF(AV454=0,0,$BG$417*$AP$408)</f>
        <v>0</v>
      </c>
      <c r="BD454">
        <f>IFERROR(BC454/$AU$417,0)</f>
        <v>0</v>
      </c>
      <c r="BE454">
        <f>BC454*($F$24+IF($F$24=0,0,($C$14+$C$15+IF($C$13="single",1.5,3)+3)/12))</f>
        <v>0</v>
      </c>
      <c r="BF454">
        <f>BE454-AZ454</f>
        <v>0</v>
      </c>
      <c r="BG454" cm="1">
        <f t="array" ref="BG454">IFERROR(IF(BF454&lt;0,0,BF454/($AU$417-INDEX(hd_off,MATCH(BT454,hd_mark,0),0)/12)),0)</f>
        <v>0</v>
      </c>
      <c r="BH454">
        <f>IF(AV454=0,0,$BG$417*$AM$408)</f>
        <v>0</v>
      </c>
      <c r="BI454">
        <f>IFERROR(BH454/$AU$417,0)</f>
        <v>0</v>
      </c>
      <c r="BJ454">
        <f>BH454*($F$24+IF($F$24=0,0,($C$14+$C$15+IF($C$13="single",1.5,3)+3)/12))</f>
        <v>0</v>
      </c>
      <c r="BK454">
        <f>BJ454-BA454</f>
        <v>0</v>
      </c>
      <c r="BL454" cm="1">
        <f t="array" ref="BL454">IFERROR(IF(BK454&lt;0,0,BK454/($AU$417-INDEX(hd_off,MATCH(BT454,hd_mark,0),0)/12)),0)</f>
        <v>0</v>
      </c>
      <c r="BM454">
        <f>MAX($F$24,$BE$417)/$Q$436</f>
        <v>0</v>
      </c>
      <c r="BN454">
        <f t="shared" si="290"/>
        <v>0</v>
      </c>
      <c r="BO454" cm="1">
        <f t="array" ref="BO454">IFERROR(INDEX(sheath_ecap_asd,MATCH(BS454,sheath_mark,0),0)*BN454,0)</f>
        <v>0</v>
      </c>
      <c r="BP454" cm="1">
        <f t="array" ref="BP454">IFERROR(INDEX(sheath_wcap_asd,MATCH(BS454,sheath_mark,0),0)*BN454,0)</f>
        <v>0</v>
      </c>
      <c r="BQ454" cm="1">
        <f t="array" ref="BQ454">IFERROR(INDEX(hd_cap,MATCH(BT454,hd_mark,0),0),0)</f>
        <v>0</v>
      </c>
      <c r="BS454" s="19"/>
      <c r="BT454" s="19"/>
      <c r="BU454" s="100"/>
    </row>
    <row r="455" x14ac:dyDescent="0.25">
      <c r="P455" s="93"/>
      <c r="Q455" s="109"/>
      <c r="R455" t="str">
        <f>$Q$409</f>
        <v>Roof</v>
      </c>
      <c r="S455">
        <f>$E$25</f>
        <v>33.171875</v>
      </c>
      <c r="T455" cm="1">
        <f t="array" ref="T455">IFERROR(IF(S455=0,0,(INDEX($C$33:$C$38,MATCH($W$417,$B$33:$B$38,0),0)*(S455+$X$417)+$V$417*$C$31)*$R$417),0)</f>
        <v>0</v>
      </c>
      <c r="U455">
        <f>IF(S455=0,0,-$V$417*$C$31*$H$27*$R$417)</f>
        <v>0</v>
      </c>
      <c r="V455">
        <f>IF(S455=0,0,$V$417*$H$26*$R$417)</f>
        <v>0</v>
      </c>
      <c r="W455">
        <f>(0.6*T455+0.7*U455)*$R$417/2</f>
        <v>0</v>
      </c>
      <c r="X455">
        <f>T455*$R$417/2</f>
        <v>0</v>
      </c>
      <c r="Z455">
        <f>IF(S455=0,0,$AD$417*$AP$409)</f>
        <v>0</v>
      </c>
      <c r="AA455">
        <f>IFERROR(Z455/$R$417,0)</f>
        <v>0</v>
      </c>
      <c r="AB455">
        <f>Z455*($F$25+($C$16+$C$17+IF($C$13="single",1.5,3)+3)/12)</f>
        <v>0</v>
      </c>
      <c r="AC455">
        <f>AB455-W455</f>
        <v>0</v>
      </c>
      <c r="AD455" cm="1">
        <f t="array" ref="AD455">IFERROR(IF(AC455&lt;0,0,AC455/($R$417-INDEX(hd_off,MATCH(AQ455,hd_mark,0),0)/12)),0)</f>
        <v>0</v>
      </c>
      <c r="AE455">
        <f>IF(S455=0,0,$AD$417*$AM$409)</f>
        <v>0</v>
      </c>
      <c r="AF455">
        <f>IFERROR(AE455/$R$417,0)</f>
        <v>0</v>
      </c>
      <c r="AG455">
        <f>AE455*($F$25+($C$16+$C$17+IF($C$13="single",1.5,3)+3)/12)</f>
        <v>0</v>
      </c>
      <c r="AH455">
        <f>AG455-X455</f>
        <v>0</v>
      </c>
      <c r="AI455" cm="1">
        <f t="array" ref="AI455">IFERROR(IF(AH455&lt;0,0,AH455/($R$417-INDEX(hd_off,MATCH(AQ455,hd_mark,0),0)/12)),0)</f>
        <v>0</v>
      </c>
      <c r="AJ455">
        <f>MAX($F$25,$AC$417)/$Q$436</f>
        <v>0.29920977011494249</v>
      </c>
      <c r="AK455">
        <f t="shared" si="289"/>
        <v>1</v>
      </c>
      <c r="AL455" cm="1">
        <f t="array" ref="AL455">IFERROR(INDEX(sheath_ecap_asd,MATCH(AP455,sheath_mark,0),0)*AK455,0)</f>
        <v>0</v>
      </c>
      <c r="AM455" cm="1">
        <f t="array" ref="AM455">IFERROR(INDEX(sheath_wcap_asd,MATCH(AP455,sheath_mark,0),0)*AK455,0)</f>
        <v>0</v>
      </c>
      <c r="AN455" cm="1">
        <f t="array" ref="AN455">IFERROR(INDEX(hd_cap,MATCH(AQ455,hd_mark,0),0),0)</f>
        <v>0</v>
      </c>
      <c r="AP455" s="19"/>
      <c r="AQ455" s="19"/>
      <c r="AR455" s="100"/>
      <c r="AS455" s="93"/>
      <c r="AT455" s="109"/>
      <c r="AU455" t="str">
        <f>$Q$409</f>
        <v>Roof</v>
      </c>
      <c r="AV455">
        <f>$E$25</f>
        <v>33.171875</v>
      </c>
      <c r="AW455" cm="1">
        <f t="array" ref="AW455">IFERROR(IF(AV455=0,0,(INDEX($C$33:$C$38,MATCH($AZ$417,$B$33:$B$38,0),0)*(AV455+$BA$417)+$AY$417*$C$31)*$AU$417),0)</f>
        <v>0</v>
      </c>
      <c r="AX455">
        <f>IF(AV455=0,0,-$AY$417*$C$31*$H$27*$AU$417)</f>
        <v>0</v>
      </c>
      <c r="AY455">
        <f>IF(AV455=0,0,$AY$417*$H$26*$AU$417)</f>
        <v>0</v>
      </c>
      <c r="AZ455">
        <f>(0.6*AW455+0.7*AX455)*$AU$417/2</f>
        <v>0</v>
      </c>
      <c r="BA455">
        <f>AW455*$AU$417/2</f>
        <v>0</v>
      </c>
      <c r="BC455">
        <f>IF(AV455=0,0,$BG$417*$AP$409)</f>
        <v>0</v>
      </c>
      <c r="BD455">
        <f>IFERROR(BC455/$AU$417,0)</f>
        <v>0</v>
      </c>
      <c r="BE455">
        <f>BC455*($F$25+($C$16+$C$17+IF($C$13="single",1.5,3)+3)/12)</f>
        <v>0</v>
      </c>
      <c r="BF455">
        <f>BE455-AZ455</f>
        <v>0</v>
      </c>
      <c r="BG455" cm="1">
        <f t="array" ref="BG455">IFERROR(IF(BF455&lt;0,0,BF455/($AU$417-INDEX(hd_off,MATCH(BT455,hd_mark,0),0)/12)),0)</f>
        <v>0</v>
      </c>
      <c r="BH455">
        <f>IF(AV455=0,0,$BG$417*$AM$409)</f>
        <v>0</v>
      </c>
      <c r="BI455">
        <f>IFERROR(BH455/$AU$417,0)</f>
        <v>0</v>
      </c>
      <c r="BJ455">
        <f>BH455*($F$25+($C$16+$C$17+IF($C$13="single",1.5,3)+3)/12)</f>
        <v>0</v>
      </c>
      <c r="BK455">
        <f>BJ455-BA455</f>
        <v>0</v>
      </c>
      <c r="BL455" cm="1">
        <f t="array" ref="BL455">IFERROR(IF(BK455&lt;0,0,BK455/($AU$417-INDEX(hd_off,MATCH(BT455,hd_mark,0),0)/12)),0)</f>
        <v>0</v>
      </c>
      <c r="BM455">
        <f>MAX($F$25,$BF$417)/$Q$436</f>
        <v>0.29920977011494249</v>
      </c>
      <c r="BN455">
        <f t="shared" si="290"/>
        <v>1</v>
      </c>
      <c r="BO455" cm="1">
        <f t="array" ref="BO455">IFERROR(INDEX(sheath_ecap_asd,MATCH(BS455,sheath_mark,0),0)*BN455,0)</f>
        <v>0</v>
      </c>
      <c r="BP455" cm="1">
        <f t="array" ref="BP455">IFERROR(INDEX(sheath_wcap_asd,MATCH(BS455,sheath_mark,0),0)*BN455,0)</f>
        <v>0</v>
      </c>
      <c r="BQ455" cm="1">
        <f t="array" ref="BQ455">IFERROR(INDEX(hd_cap,MATCH(BT455,hd_mark,0),0),0)</f>
        <v>0</v>
      </c>
      <c r="BS455" s="19"/>
      <c r="BT455" s="19"/>
      <c r="BU455" s="100"/>
    </row>
    <row r="456" x14ac:dyDescent="0.25">
      <c r="P456" s="93"/>
      <c r="AR456" s="100"/>
      <c r="AS456" s="93"/>
      <c r="BU456" s="100"/>
    </row>
    <row r="457" x14ac:dyDescent="0.25">
      <c r="P457" s="93"/>
      <c r="Q457" s="110" t="str">
        <f>$Q$418</f>
        <v>A.05</v>
      </c>
      <c r="R457" t="str">
        <f>$Q$405</f>
        <v>L2</v>
      </c>
      <c r="S457">
        <f>$E$21</f>
        <v>10.6875</v>
      </c>
      <c r="T457" cm="1">
        <f t="array" ref="T457">IFERROR(IF(S457=0,0,(INDEX($C$33:$C$38,MATCH($W$418,$B$33:$B$38,0),0)*(S461+$X$418)+$T$418*COUNTIF(S457:S460,"&gt;0")*$C$32+$V$418*$C$31)*$R$418),0)</f>
        <v>0</v>
      </c>
      <c r="U457">
        <f>IF(S457=0,0,-(COUNTIF(S457:S460,"&gt;0")*$T$418*$C$32+$V$418*$C$31)*$H$27*$R$418)</f>
        <v>0</v>
      </c>
      <c r="V457">
        <f>IF(S457=0,0,$V$418*$H$26*$R$418)</f>
        <v>0</v>
      </c>
      <c r="W457">
        <f>(0.6*T457+0.7*U457)*$R$418/2</f>
        <v>0</v>
      </c>
      <c r="X457">
        <f>(0.6*T457+0.6*V457)*$R$418/2</f>
        <v>0</v>
      </c>
      <c r="Z457">
        <f>IF(S457=0,0,$AD$418*$AP$405)</f>
        <v>0</v>
      </c>
      <c r="AA457">
        <f>IFERROR(Z457/$R$418,0)</f>
        <v>0</v>
      </c>
      <c r="AB457">
        <f>Z457*($F$21+IF($F$21=0,0,($C$14+$C$15+IF($C$13="single",1.5,3)+3)/12))</f>
        <v>0</v>
      </c>
      <c r="AC457">
        <f>AB457-W457</f>
        <v>0</v>
      </c>
      <c r="AD457" cm="1">
        <f t="array" ref="AD457">IFERROR(IF(AC457&lt;0,0,AC457/($R$418-INDEX(hd_off,MATCH(AQ457,hd_mark,0),0)/12)),0)</f>
        <v>0</v>
      </c>
      <c r="AE457">
        <f>IF(S457=0,0,$AD$418*$AM$405)</f>
        <v>0</v>
      </c>
      <c r="AF457">
        <f>IFERROR(AE457/$R$418,0)</f>
        <v>0</v>
      </c>
      <c r="AG457">
        <f>AE457*($F$21+IF($F$21=0,0,($C$14+$C$15+IF($C$13="single",1.5,3)+3)/12))</f>
        <v>0</v>
      </c>
      <c r="AH457">
        <f>AG457-X457</f>
        <v>0</v>
      </c>
      <c r="AI457" cm="1">
        <f t="array" ref="AI457">IFERROR(IF(AH457&lt;0,0,AH457/($R$418-INDEX(hd_off,MATCH(AQ457,hd_mark,0),0)/12)),0)</f>
        <v>0</v>
      </c>
      <c r="AJ457">
        <f>MAX($F$21,$Y$418)/$Q$436</f>
        <v>0.30172413793103448</v>
      </c>
      <c r="AK457">
        <f>IF(AJ457=0,0,IF(AJ457&gt;2,1.25-0.125*AJ457,1))</f>
        <v>1</v>
      </c>
      <c r="AL457" cm="1">
        <f t="array" ref="AL457">IFERROR(INDEX(sheath_ecap_asd,MATCH(AP457,sheath_mark,0),0)*AK457,0)</f>
        <v>0</v>
      </c>
      <c r="AM457" cm="1">
        <f t="array" ref="AM457">IFERROR(INDEX(sheath_wcap_asd,MATCH(AP457,sheath_mark,0),0)*AK457,0)</f>
        <v>0</v>
      </c>
      <c r="AN457" cm="1">
        <f t="array" ref="AN457">IFERROR(INDEX(hd_cap,MATCH(AQ457,hd_mark,0),0),0)</f>
        <v>0</v>
      </c>
      <c r="AP457" s="19"/>
      <c r="AQ457" s="19"/>
      <c r="AR457" s="100"/>
      <c r="AS457" s="93"/>
      <c r="AT457" s="110" t="str">
        <f>$AT$418</f>
        <v>1.05</v>
      </c>
      <c r="AU457" t="str">
        <f>$Q$405</f>
        <v>L2</v>
      </c>
      <c r="AV457">
        <f>$E$21</f>
        <v>10.6875</v>
      </c>
      <c r="AW457" cm="1">
        <f t="array" ref="AW457">IFERROR(IF(AV457=0,0,(INDEX($C$33:$C$38,MATCH($AZ$418,$B$33:$B$38,0),0)*(AV461+$BA$418)+$AW$418*COUNTIF(AV457:AV460,"&gt;0")*$C$32+$AY$418*$C$31)*$AU$418),0)</f>
        <v>0</v>
      </c>
      <c r="AX457">
        <f>IF(AV457=0,0,-(COUNTIF(AV457:AV460,"&gt;0")*$AW$418*$C$32+$AY$418*$C$31)*$H$27*$AU$418)</f>
        <v>0</v>
      </c>
      <c r="AY457">
        <f>IF(AV457=0,0,$AY$418*$H$26*$AU$418)</f>
        <v>0</v>
      </c>
      <c r="AZ457">
        <f>(0.6*AW457+0.7*AX457)*$AU$418/2</f>
        <v>0</v>
      </c>
      <c r="BA457">
        <f>(0.6*AW457+0.6*AY457)*$AU$418/2</f>
        <v>0</v>
      </c>
      <c r="BC457">
        <f>IF(AV457=0,0,$BG$418*$AP$405)</f>
        <v>0</v>
      </c>
      <c r="BD457">
        <f>IFERROR(BC457/$AU$418,0)</f>
        <v>0</v>
      </c>
      <c r="BE457">
        <f>BC457*($F$21+IF($F$21=0,0,($C$14+$C$15+IF($C$13="single",1.5,3)+3)/12))</f>
        <v>0</v>
      </c>
      <c r="BF457">
        <f>BE457-AZ457</f>
        <v>0</v>
      </c>
      <c r="BG457" cm="1">
        <f t="array" ref="BG457">IFERROR(IF(BF457&lt;0,0,BF457/($AU$418-INDEX(hd_off,MATCH(BT457,hd_mark,0),0)/12)),0)</f>
        <v>0</v>
      </c>
      <c r="BH457">
        <f>IF(AV457=0,0,$BG$418*$AM$405)</f>
        <v>0</v>
      </c>
      <c r="BI457">
        <f>IFERROR(BH457/$AU$418,0)</f>
        <v>0</v>
      </c>
      <c r="BJ457">
        <f>BH457*($F$21+IF($F$21=0,0,($C$14+$C$15+IF($C$13="single",1.5,3)+3)/12))</f>
        <v>0</v>
      </c>
      <c r="BK457">
        <f>BJ457-BA457</f>
        <v>0</v>
      </c>
      <c r="BL457" cm="1">
        <f t="array" ref="BL457">IFERROR(IF(BK457&lt;0,0,BK457/($AU$418-INDEX(hd_off,MATCH(BT457,hd_mark,0),0)/12)),0)</f>
        <v>0</v>
      </c>
      <c r="BM457">
        <f>MAX($F$21,$BB$418)/$Q$436</f>
        <v>0.30172413793103448</v>
      </c>
      <c r="BN457">
        <f>IF(BM457=0,0,IF(BM457&gt;2,1.25-0.125*BM457,1))</f>
        <v>1</v>
      </c>
      <c r="BO457" cm="1">
        <f t="array" ref="BO457">IFERROR(INDEX(sheath_ecap_asd,MATCH(BS457,sheath_mark,0),0)*BN457,0)</f>
        <v>0</v>
      </c>
      <c r="BP457" cm="1">
        <f t="array" ref="BP457">IFERROR(INDEX(sheath_wcap_asd,MATCH(BS457,sheath_mark,0),0)*BN457,0)</f>
        <v>0</v>
      </c>
      <c r="BQ457" cm="1">
        <f t="array" ref="BQ457">IFERROR(INDEX(hd_cap,MATCH(BT457,hd_mark,0),0),0)</f>
        <v>0</v>
      </c>
      <c r="BS457" s="19"/>
      <c r="BT457" s="19"/>
      <c r="BU457" s="100"/>
    </row>
    <row r="458" x14ac:dyDescent="0.25">
      <c r="B458" s="1"/>
      <c r="P458" s="93"/>
      <c r="Q458" s="109"/>
      <c r="R458" t="str">
        <f>$Q$406</f>
        <v>L3</v>
      </c>
      <c r="S458">
        <f>$E$22</f>
        <v>21.375</v>
      </c>
      <c r="T458" cm="1">
        <f t="array" ref="T458">IFERROR(IF(S458=0,0,(INDEX($C$33:$C$38,MATCH($W$418,$B$33:$B$38,0),0)*(S461+$X$418)+$T$418*COUNTIF(S458:S460,"&gt;0")*$C$32+$V$418*$C$31)*$R$418),0)</f>
        <v>0</v>
      </c>
      <c r="U458">
        <f>IF(S458=0,0,-(COUNTIF(S458:S460,"&gt;0")*$T$418*$C$32+$V$418*$C$31)*$H$27*$R$418)</f>
        <v>0</v>
      </c>
      <c r="V458">
        <f>IF(S458=0,0,$V$418*$H$26*$R$418)</f>
        <v>0</v>
      </c>
      <c r="W458">
        <f>(0.6*T458+0.7*U458)*$R$418/2</f>
        <v>0</v>
      </c>
      <c r="X458">
        <f>T458*$R$418/2</f>
        <v>0</v>
      </c>
      <c r="Z458">
        <f>IF(S458=0,0,$AD$418*$AP$406)</f>
        <v>0</v>
      </c>
      <c r="AA458">
        <f>IFERROR(Z458/$R$418,0)</f>
        <v>0</v>
      </c>
      <c r="AB458">
        <f>Z458*($F$22+IF($F$22=0,0,($C$14+$C$15+IF($C$13="single",1.5,3)+3)/12))</f>
        <v>0</v>
      </c>
      <c r="AC458">
        <f>AB458-W458</f>
        <v>0</v>
      </c>
      <c r="AD458" cm="1">
        <f t="array" ref="AD458">IFERROR(IF(AC458&lt;0,0,AC458/($R$418-INDEX(hd_off,MATCH(AQ458,hd_mark,0),0)/12)),0)</f>
        <v>0</v>
      </c>
      <c r="AE458">
        <f>IF(S458=0,0,$AD$418*$AM$406)</f>
        <v>0</v>
      </c>
      <c r="AF458">
        <f>IFERROR(AE458/$R$418,0)</f>
        <v>0</v>
      </c>
      <c r="AG458">
        <f>AE458*($F$22+IF($F$22=0,0,($C$14+$C$15+IF($C$13="single",1.5,3)+3)/12))</f>
        <v>0</v>
      </c>
      <c r="AH458">
        <f>AG458-X458</f>
        <v>0</v>
      </c>
      <c r="AI458" cm="1">
        <f t="array" ref="AI458">IFERROR(IF(AH458&lt;0,0,AH458/($R$418-INDEX(hd_off,MATCH(AQ458,hd_mark,0),0)/12)),0)</f>
        <v>0</v>
      </c>
      <c r="AJ458">
        <f>MAX($F$22,$Z$418)/$Q$436</f>
        <v>0.30172413793103448</v>
      </c>
      <c r="AK458">
        <f t="shared" ref="AK458:AK461" si="291">IF(AJ458=0,0,IF(AJ458&gt;2,1.25-0.125*AJ458,1))</f>
        <v>1</v>
      </c>
      <c r="AL458" cm="1">
        <f t="array" ref="AL458">IFERROR(INDEX(sheath_ecap_asd,MATCH(AP458,sheath_mark,0),0)*AK458,0)</f>
        <v>0</v>
      </c>
      <c r="AM458" cm="1">
        <f t="array" ref="AM458">IFERROR(INDEX(sheath_wcap_asd,MATCH(AP458,sheath_mark,0),0)*AK458,0)</f>
        <v>0</v>
      </c>
      <c r="AN458" cm="1">
        <f t="array" ref="AN458">IFERROR(INDEX(hd_cap,MATCH(AQ458,hd_mark,0),0),0)</f>
        <v>0</v>
      </c>
      <c r="AP458" s="19"/>
      <c r="AQ458" s="19"/>
      <c r="AR458" s="100"/>
      <c r="AS458" s="93"/>
      <c r="AT458" s="109"/>
      <c r="AU458" t="str">
        <f>$Q$406</f>
        <v>L3</v>
      </c>
      <c r="AV458">
        <f>$E$22</f>
        <v>21.375</v>
      </c>
      <c r="AW458" cm="1">
        <f t="array" ref="AW458">IFERROR(IF(AV458=0,0,(INDEX($C$33:$C$38,MATCH($AZ$418,$B$33:$B$38,0),0)*(AV461+$BA$418)+$AW$418*COUNTIF(AV458:AV460,"&gt;0")*$C$32+$AY$418*$C$31)*$AU$418),0)</f>
        <v>0</v>
      </c>
      <c r="AX458">
        <f>IF(AV458=0,0,-(COUNTIF(AV458:AV460,"&gt;0")*$AW$418*$C$32+$AY$418*$C$31)*$H$27*$AU$418)</f>
        <v>0</v>
      </c>
      <c r="AY458">
        <f>IF(AV458=0,0,$AY$418*$H$26*$AU$418)</f>
        <v>0</v>
      </c>
      <c r="AZ458">
        <f>(0.6*AW458+0.7*AX458)*$AU$418/2</f>
        <v>0</v>
      </c>
      <c r="BA458">
        <f>AW458*$AU$418/2</f>
        <v>0</v>
      </c>
      <c r="BC458">
        <f>IF(AV458=0,0,$BG$418*$AP$406)</f>
        <v>0</v>
      </c>
      <c r="BD458">
        <f>IFERROR(BC458/$AU$418,0)</f>
        <v>0</v>
      </c>
      <c r="BE458">
        <f>BC458*($F$22+IF($F$22=0,0,($C$14+$C$15+IF($C$13="single",1.5,3)+3)/12))</f>
        <v>0</v>
      </c>
      <c r="BF458">
        <f>BE458-AZ458</f>
        <v>0</v>
      </c>
      <c r="BG458" cm="1">
        <f t="array" ref="BG458">IFERROR(IF(BF458&lt;0,0,BF458/($AU$418-INDEX(hd_off,MATCH(BT458,hd_mark,0),0)/12)),0)</f>
        <v>0</v>
      </c>
      <c r="BH458">
        <f>IF(AV458=0,0,$BG$418*$AM$406)</f>
        <v>0</v>
      </c>
      <c r="BI458">
        <f>IFERROR(BH458/$AU$418,0)</f>
        <v>0</v>
      </c>
      <c r="BJ458">
        <f>BH458*($F$22+IF($F$22=0,0,($C$14+$C$15+IF($C$13="single",1.5,3)+3)/12))</f>
        <v>0</v>
      </c>
      <c r="BK458">
        <f>BJ458-BA458</f>
        <v>0</v>
      </c>
      <c r="BL458" cm="1">
        <f t="array" ref="BL458">IFERROR(IF(BK458&lt;0,0,BK458/($AU$418-INDEX(hd_off,MATCH(BT458,hd_mark,0),0)/12)),0)</f>
        <v>0</v>
      </c>
      <c r="BM458">
        <f>MAX($F$22,$BC$418)/$Q$436</f>
        <v>0.30172413793103448</v>
      </c>
      <c r="BN458">
        <f t="shared" ref="BN458:BN461" si="292">IF(BM458=0,0,IF(BM458&gt;2,1.25-0.125*BM458,1))</f>
        <v>1</v>
      </c>
      <c r="BO458" cm="1">
        <f t="array" ref="BO458">IFERROR(INDEX(sheath_ecap_asd,MATCH(BS458,sheath_mark,0),0)*BN458,0)</f>
        <v>0</v>
      </c>
      <c r="BP458" cm="1">
        <f t="array" ref="BP458">IFERROR(INDEX(sheath_wcap_asd,MATCH(BS458,sheath_mark,0),0)*BN458,0)</f>
        <v>0</v>
      </c>
      <c r="BQ458" cm="1">
        <f t="array" ref="BQ458">IFERROR(INDEX(hd_cap,MATCH(BT458,hd_mark,0),0),0)</f>
        <v>0</v>
      </c>
      <c r="BS458" s="19"/>
      <c r="BT458" s="19"/>
      <c r="BU458" s="100"/>
    </row>
    <row r="459" x14ac:dyDescent="0.25">
      <c r="P459" s="93"/>
      <c r="Q459" s="109" t="s">
        <v>491</v>
      </c>
      <c r="R459" t="str">
        <f>$Q$407</f>
        <v>L4</v>
      </c>
      <c r="S459">
        <f>$E$23</f>
        <v>0</v>
      </c>
      <c r="T459" cm="1">
        <f t="array" ref="T459">IFERROR(IF(S459=0,0,(INDEX($C$33:$C$38,MATCH($W$418,$B$33:$B$38,0),0)*(S461+$X$418)+$T$418*COUNTIF(S459:S460,"&gt;0")*$C$32+$V$418*$C$31)*$R$418),0)</f>
        <v>0</v>
      </c>
      <c r="U459">
        <f>IF(S459=0,0,-(COUNTIF(S459:S460,"&gt;0")*$T$418*$C$32+$V$418*$C$31)*$H$27*$R$418)</f>
        <v>0</v>
      </c>
      <c r="V459">
        <f>IF(S459=0,0,$V$418*$H$26*$R$418)</f>
        <v>0</v>
      </c>
      <c r="W459">
        <f>(0.6*T459+0.7*U459)*$R$418/2</f>
        <v>0</v>
      </c>
      <c r="X459">
        <f>T459*$R$418/2</f>
        <v>0</v>
      </c>
      <c r="Z459">
        <f>IF(S459=0,0,$AD$418*$AP$407)</f>
        <v>0</v>
      </c>
      <c r="AA459">
        <f>IFERROR(Z459/$R$418,0)</f>
        <v>0</v>
      </c>
      <c r="AB459">
        <f>Z459*($F$23+IF($F$23=0,0,($C$14+$C$15+IF($C$13="single",1.5,3)+3)/12))</f>
        <v>0</v>
      </c>
      <c r="AC459">
        <f>AB459-W459</f>
        <v>0</v>
      </c>
      <c r="AD459" cm="1">
        <f t="array" ref="AD459">IFERROR(IF(AC459&lt;0,0,AC459/($R$418-INDEX(hd_off,MATCH(AQ459,hd_mark,0),0)/12)),0)</f>
        <v>0</v>
      </c>
      <c r="AE459">
        <f>IF(S459=0,0,$AD$418*$AM$407)</f>
        <v>0</v>
      </c>
      <c r="AF459">
        <f>IFERROR(AE459/$R$418,0)</f>
        <v>0</v>
      </c>
      <c r="AG459">
        <f>AE459*($F$23+IF($F$23=0,0,($C$14+$C$15+IF($C$13="single",1.5,3)+3)/12))</f>
        <v>0</v>
      </c>
      <c r="AH459">
        <f>AG459-X459</f>
        <v>0</v>
      </c>
      <c r="AI459" cm="1">
        <f t="array" ref="AI459">IFERROR(IF(AH459&lt;0,0,AH459/($R$418-INDEX(hd_off,MATCH(AQ459,hd_mark,0),0)/12)),0)</f>
        <v>0</v>
      </c>
      <c r="AJ459">
        <f>MAX($F$23,$AA$418)/$Q$436</f>
        <v>0</v>
      </c>
      <c r="AK459">
        <f t="shared" si="291"/>
        <v>0</v>
      </c>
      <c r="AL459" cm="1">
        <f t="array" ref="AL459">IFERROR(INDEX(sheath_ecap_asd,MATCH(AP459,sheath_mark,0),0)*AK459,0)</f>
        <v>0</v>
      </c>
      <c r="AM459" cm="1">
        <f t="array" ref="AM459">IFERROR(INDEX(sheath_wcap_asd,MATCH(AP459,sheath_mark,0),0)*AK459,0)</f>
        <v>0</v>
      </c>
      <c r="AN459" cm="1">
        <f t="array" ref="AN459">IFERROR(INDEX(hd_cap,MATCH(AQ459,hd_mark,0),0),0)</f>
        <v>0</v>
      </c>
      <c r="AP459" s="19"/>
      <c r="AQ459" s="19"/>
      <c r="AR459" s="100"/>
      <c r="AS459" s="93"/>
      <c r="AT459" s="109" t="s">
        <v>491</v>
      </c>
      <c r="AU459" t="str">
        <f>$Q$407</f>
        <v>L4</v>
      </c>
      <c r="AV459">
        <f>$E$23</f>
        <v>0</v>
      </c>
      <c r="AW459" cm="1">
        <f t="array" ref="AW459">IFERROR(IF(AV459=0,0,(INDEX($C$33:$C$38,MATCH($AZ$418,$B$33:$B$38,0),0)*(AV461+$BA$418)+$AW$418*COUNTIF(AV459:AV460,"&gt;0")*$C$32+$AY$418*$C$31)*$AU$418),0)</f>
        <v>0</v>
      </c>
      <c r="AX459">
        <f>IF(AV459=0,0,-(COUNTIF(AV459:AV460,"&gt;0")*$AW$418*$C$32+$AY$418*$C$31)*$H$27*$AU$418)</f>
        <v>0</v>
      </c>
      <c r="AY459">
        <f>IF(AV459=0,0,$AY$418*$H$26*$AU$418)</f>
        <v>0</v>
      </c>
      <c r="AZ459">
        <f>(0.6*AW459+0.7*AX459)*$AU$418/2</f>
        <v>0</v>
      </c>
      <c r="BA459">
        <f>AW459*$AU$418/2</f>
        <v>0</v>
      </c>
      <c r="BC459">
        <f>IF(AV459=0,0,$BG$418*$AP$407)</f>
        <v>0</v>
      </c>
      <c r="BD459">
        <f>IFERROR(BC459/$AU$418,0)</f>
        <v>0</v>
      </c>
      <c r="BE459">
        <f>BC459*($F$23+IF($F$23=0,0,($C$14+$C$15+IF($C$13="single",1.5,3)+3)/12))</f>
        <v>0</v>
      </c>
      <c r="BF459">
        <f>BE459-AZ459</f>
        <v>0</v>
      </c>
      <c r="BG459" cm="1">
        <f t="array" ref="BG459">IFERROR(IF(BF459&lt;0,0,BF459/($AU$418-INDEX(hd_off,MATCH(BT459,hd_mark,0),0)/12)),0)</f>
        <v>0</v>
      </c>
      <c r="BH459">
        <f>IF(AV459=0,0,$BG$418*$AM$407)</f>
        <v>0</v>
      </c>
      <c r="BI459">
        <f>IFERROR(BH459/$AU$418,0)</f>
        <v>0</v>
      </c>
      <c r="BJ459">
        <f>BH459*($F$23+IF($F$23=0,0,($C$14+$C$15+IF($C$13="single",1.5,3)+3)/12))</f>
        <v>0</v>
      </c>
      <c r="BK459">
        <f>BJ459-BA459</f>
        <v>0</v>
      </c>
      <c r="BL459" cm="1">
        <f t="array" ref="BL459">IFERROR(IF(BK459&lt;0,0,BK459/($AU$418-INDEX(hd_off,MATCH(BT459,hd_mark,0),0)/12)),0)</f>
        <v>0</v>
      </c>
      <c r="BM459">
        <f>MAX($F$23,$BD$418)/$Q$436</f>
        <v>0</v>
      </c>
      <c r="BN459">
        <f t="shared" si="292"/>
        <v>0</v>
      </c>
      <c r="BO459" cm="1">
        <f t="array" ref="BO459">IFERROR(INDEX(sheath_ecap_asd,MATCH(BS459,sheath_mark,0),0)*BN459,0)</f>
        <v>0</v>
      </c>
      <c r="BP459" cm="1">
        <f t="array" ref="BP459">IFERROR(INDEX(sheath_wcap_asd,MATCH(BS459,sheath_mark,0),0)*BN459,0)</f>
        <v>0</v>
      </c>
      <c r="BQ459" cm="1">
        <f t="array" ref="BQ459">IFERROR(INDEX(hd_cap,MATCH(BT459,hd_mark,0),0),0)</f>
        <v>0</v>
      </c>
      <c r="BS459" s="19"/>
      <c r="BT459" s="19"/>
      <c r="BU459" s="100"/>
    </row>
    <row r="460" x14ac:dyDescent="0.25">
      <c r="P460" s="93"/>
      <c r="Q460" s="111">
        <f>$R$418</f>
        <v>0</v>
      </c>
      <c r="R460" t="str">
        <f>$Q$408</f>
        <v>L5</v>
      </c>
      <c r="S460">
        <f>$E$24</f>
        <v>0</v>
      </c>
      <c r="T460" cm="1">
        <f t="array" ref="T460">IFERROR(IF(S460=0,0,(INDEX($C$33:$C$38,MATCH($W$418,$B$33:$B$38,0),0)*(S461+$X$418)+$T$418*COUNTIF(S460:S460,"&gt;0")*$C$32+$V$418*$C$31)*$R$418),0)</f>
        <v>0</v>
      </c>
      <c r="U460">
        <f>IF(S460=0,0,-(COUNTIF(S460:S460,"&gt;0")*$T$418*$C$32+$V$418*$C$31)*$H$27*$R$418)</f>
        <v>0</v>
      </c>
      <c r="V460">
        <f>IF(S460=0,0,$V$418*$H$26*$R$418)</f>
        <v>0</v>
      </c>
      <c r="W460">
        <f>(0.6*T460+0.7*U460)*$R$418/2</f>
        <v>0</v>
      </c>
      <c r="X460">
        <f>T460*$R$418/2</f>
        <v>0</v>
      </c>
      <c r="Z460">
        <f>IF(S460=0,0,$AD$418*$AP$408)</f>
        <v>0</v>
      </c>
      <c r="AA460">
        <f>IFERROR(Z460/$R$418,0)</f>
        <v>0</v>
      </c>
      <c r="AB460">
        <f>Z460*($F$24+IF($F$24=0,0,($C$14+$C$15+IF($C$13="single",1.5,3)+3)/12))</f>
        <v>0</v>
      </c>
      <c r="AC460">
        <f>AB460-W460</f>
        <v>0</v>
      </c>
      <c r="AD460" cm="1">
        <f t="array" ref="AD460">IFERROR(IF(AC460&lt;0,0,AC460/($R$418-INDEX(hd_off,MATCH(AQ460,hd_mark,0),0)/12)),0)</f>
        <v>0</v>
      </c>
      <c r="AE460">
        <f>IF(S460=0,0,$AD$418*$AM$408)</f>
        <v>0</v>
      </c>
      <c r="AF460">
        <f>IFERROR(AE460/$R$418,0)</f>
        <v>0</v>
      </c>
      <c r="AG460">
        <f>AE460*($F$24+IF($F$24=0,0,($C$14+$C$15+IF($C$13="single",1.5,3)+3)/12))</f>
        <v>0</v>
      </c>
      <c r="AH460">
        <f>AG460-X460</f>
        <v>0</v>
      </c>
      <c r="AI460" cm="1">
        <f t="array" ref="AI460">IFERROR(IF(AH460&lt;0,0,AH460/($R$418-INDEX(hd_off,MATCH(AQ460,hd_mark,0),0)/12)),0)</f>
        <v>0</v>
      </c>
      <c r="AJ460">
        <f>MAX($F$24,$AB$418)/$Q$436</f>
        <v>0</v>
      </c>
      <c r="AK460">
        <f t="shared" si="291"/>
        <v>0</v>
      </c>
      <c r="AL460" cm="1">
        <f t="array" ref="AL460">IFERROR(INDEX(sheath_ecap_asd,MATCH(AP460,sheath_mark,0),0)*AK460,0)</f>
        <v>0</v>
      </c>
      <c r="AM460" cm="1">
        <f t="array" ref="AM460">IFERROR(INDEX(sheath_wcap_asd,MATCH(AP460,sheath_mark,0),0)*AK460,0)</f>
        <v>0</v>
      </c>
      <c r="AN460" cm="1">
        <f t="array" ref="AN460">IFERROR(INDEX(hd_cap,MATCH(AQ460,hd_mark,0),0),0)</f>
        <v>0</v>
      </c>
      <c r="AP460" s="19"/>
      <c r="AQ460" s="19"/>
      <c r="AR460" s="100"/>
      <c r="AS460" s="93"/>
      <c r="AT460" s="111">
        <f>$R$418</f>
        <v>0</v>
      </c>
      <c r="AU460" t="str">
        <f>$Q$408</f>
        <v>L5</v>
      </c>
      <c r="AV460">
        <f>$E$24</f>
        <v>0</v>
      </c>
      <c r="AW460" cm="1">
        <f t="array" ref="AW460">IFERROR(IF(AV460=0,0,(INDEX($C$33:$C$38,MATCH($AZ$418,$B$33:$B$38,0),0)*(AV461+$BA$418)+$AW$418*COUNTIF(AV460:AV460,"&gt;0")*$C$32+$AY$418*$C$31)*$AU$418),0)</f>
        <v>0</v>
      </c>
      <c r="AX460">
        <f>IF(AV460=0,0,-(COUNTIF(AV460:AV460,"&gt;0")*$AW$418*$C$32+$AY$418*$C$31)*$H$27*$AU$418)</f>
        <v>0</v>
      </c>
      <c r="AY460">
        <f>IF(AV460=0,0,$AY$418*$H$26*$AU$418)</f>
        <v>0</v>
      </c>
      <c r="AZ460">
        <f>(0.6*AW460+0.7*AX460)*$AU$418/2</f>
        <v>0</v>
      </c>
      <c r="BA460">
        <f>AW460*$AU$418/2</f>
        <v>0</v>
      </c>
      <c r="BC460">
        <f>IF(AV460=0,0,$BG$418*$AP$408)</f>
        <v>0</v>
      </c>
      <c r="BD460">
        <f>IFERROR(BC460/$AU$418,0)</f>
        <v>0</v>
      </c>
      <c r="BE460">
        <f>BC460*($F$24+IF($F$24=0,0,($C$14+$C$15+IF($C$13="single",1.5,3)+3)/12))</f>
        <v>0</v>
      </c>
      <c r="BF460">
        <f>BE460-AZ460</f>
        <v>0</v>
      </c>
      <c r="BG460" cm="1">
        <f t="array" ref="BG460">IFERROR(IF(BF460&lt;0,0,BF460/($AU$418-INDEX(hd_off,MATCH(BT460,hd_mark,0),0)/12)),0)</f>
        <v>0</v>
      </c>
      <c r="BH460">
        <f>IF(AV460=0,0,$BG$418*$AM$408)</f>
        <v>0</v>
      </c>
      <c r="BI460">
        <f>IFERROR(BH460/$AU$418,0)</f>
        <v>0</v>
      </c>
      <c r="BJ460">
        <f>BH460*($F$24+IF($F$24=0,0,($C$14+$C$15+IF($C$13="single",1.5,3)+3)/12))</f>
        <v>0</v>
      </c>
      <c r="BK460">
        <f>BJ460-BA460</f>
        <v>0</v>
      </c>
      <c r="BL460" cm="1">
        <f t="array" ref="BL460">IFERROR(IF(BK460&lt;0,0,BK460/($AU$418-INDEX(hd_off,MATCH(BT460,hd_mark,0),0)/12)),0)</f>
        <v>0</v>
      </c>
      <c r="BM460">
        <f>MAX($F$24,$BE$418)/$Q$436</f>
        <v>0</v>
      </c>
      <c r="BN460">
        <f t="shared" si="292"/>
        <v>0</v>
      </c>
      <c r="BO460" cm="1">
        <f t="array" ref="BO460">IFERROR(INDEX(sheath_ecap_asd,MATCH(BS460,sheath_mark,0),0)*BN460,0)</f>
        <v>0</v>
      </c>
      <c r="BP460" cm="1">
        <f t="array" ref="BP460">IFERROR(INDEX(sheath_wcap_asd,MATCH(BS460,sheath_mark,0),0)*BN460,0)</f>
        <v>0</v>
      </c>
      <c r="BQ460" cm="1">
        <f t="array" ref="BQ460">IFERROR(INDEX(hd_cap,MATCH(BT460,hd_mark,0),0),0)</f>
        <v>0</v>
      </c>
      <c r="BS460" s="19"/>
      <c r="BT460" s="19"/>
      <c r="BU460" s="100"/>
    </row>
    <row r="461" x14ac:dyDescent="0.25">
      <c r="P461" s="93"/>
      <c r="Q461" s="109"/>
      <c r="R461" t="str">
        <f>$Q$409</f>
        <v>Roof</v>
      </c>
      <c r="S461">
        <f>$E$25</f>
        <v>33.171875</v>
      </c>
      <c r="T461" cm="1">
        <f t="array" ref="T461">IFERROR(IF(S461=0,0,(INDEX($C$33:$C$38,MATCH($W$418,$B$33:$B$38,0),0)*(S461+$X$418)+$V$418*$C$31)*$R$418),0)</f>
        <v>0</v>
      </c>
      <c r="U461">
        <f>IF(S461=0,0,-$V$418*$C$31*$H$27*$R$418)</f>
        <v>0</v>
      </c>
      <c r="V461">
        <f>IF(S461=0,0,$V$418*$H$26*$R$418)</f>
        <v>0</v>
      </c>
      <c r="W461">
        <f>(0.6*T461+0.7*U461)*$R$418/2</f>
        <v>0</v>
      </c>
      <c r="X461">
        <f>T461*$R$418/2</f>
        <v>0</v>
      </c>
      <c r="Z461">
        <f>IF(S461=0,0,$AD$418*$AP$409)</f>
        <v>0</v>
      </c>
      <c r="AA461">
        <f>IFERROR(Z461/$R$418,0)</f>
        <v>0</v>
      </c>
      <c r="AB461">
        <f>Z461*($F$25+($C$16+$C$17+IF($C$13="single",1.5,3)+3)/12)</f>
        <v>0</v>
      </c>
      <c r="AC461">
        <f>AB461-W461</f>
        <v>0</v>
      </c>
      <c r="AD461" cm="1">
        <f t="array" ref="AD461">IFERROR(IF(AC461&lt;0,0,AC461/($R$418-INDEX(hd_off,MATCH(AQ461,hd_mark,0),0)/12)),0)</f>
        <v>0</v>
      </c>
      <c r="AE461">
        <f>IF(S461=0,0,$AD$418*$AM$409)</f>
        <v>0</v>
      </c>
      <c r="AF461">
        <f>IFERROR(AE461/$R$418,0)</f>
        <v>0</v>
      </c>
      <c r="AG461">
        <f>AE461*($F$25+($C$16+$C$17+IF($C$13="single",1.5,3)+3)/12)</f>
        <v>0</v>
      </c>
      <c r="AH461">
        <f>AG461-X461</f>
        <v>0</v>
      </c>
      <c r="AI461" cm="1">
        <f t="array" ref="AI461">IFERROR(IF(AH461&lt;0,0,AH461/($R$418-INDEX(hd_off,MATCH(AQ461,hd_mark,0),0)/12)),0)</f>
        <v>0</v>
      </c>
      <c r="AJ461">
        <f>MAX($F$25,$AC$418)/$Q$436</f>
        <v>0.29920977011494249</v>
      </c>
      <c r="AK461">
        <f t="shared" si="291"/>
        <v>1</v>
      </c>
      <c r="AL461" cm="1">
        <f t="array" ref="AL461">IFERROR(INDEX(sheath_ecap_asd,MATCH(AP461,sheath_mark,0),0)*AK461,0)</f>
        <v>0</v>
      </c>
      <c r="AM461" cm="1">
        <f t="array" ref="AM461">IFERROR(INDEX(sheath_wcap_asd,MATCH(AP461,sheath_mark,0),0)*AK461,0)</f>
        <v>0</v>
      </c>
      <c r="AN461" cm="1">
        <f t="array" ref="AN461">IFERROR(INDEX(hd_cap,MATCH(AQ461,hd_mark,0),0),0)</f>
        <v>0</v>
      </c>
      <c r="AP461" s="19"/>
      <c r="AQ461" s="19"/>
      <c r="AR461" s="100"/>
      <c r="AS461" s="93"/>
      <c r="AT461" s="109"/>
      <c r="AU461" t="str">
        <f>$Q$409</f>
        <v>Roof</v>
      </c>
      <c r="AV461">
        <f>$E$25</f>
        <v>33.171875</v>
      </c>
      <c r="AW461" cm="1">
        <f t="array" ref="AW461">IFERROR(IF(AV461=0,0,(INDEX($C$33:$C$38,MATCH($AZ$418,$B$33:$B$38,0),0)*(AV461+$BA$418)+$AY$418*$C$31)*$AU$418),0)</f>
        <v>0</v>
      </c>
      <c r="AX461">
        <f>IF(AV461=0,0,-$AY$418*$C$31*$H$27*$AU$418)</f>
        <v>0</v>
      </c>
      <c r="AY461">
        <f>IF(AV461=0,0,$AY$418*$H$26*$AU$418)</f>
        <v>0</v>
      </c>
      <c r="AZ461">
        <f>(0.6*AW461+0.7*AX461)*$AU$418/2</f>
        <v>0</v>
      </c>
      <c r="BA461">
        <f>AW461*$AU$418/2</f>
        <v>0</v>
      </c>
      <c r="BC461">
        <f>IF(AV461=0,0,$BG$418*$AP$409)</f>
        <v>0</v>
      </c>
      <c r="BD461">
        <f>IFERROR(BC461/$AU$418,0)</f>
        <v>0</v>
      </c>
      <c r="BE461">
        <f>BC461*($F$25+($C$16+$C$17+IF($C$13="single",1.5,3)+3)/12)</f>
        <v>0</v>
      </c>
      <c r="BF461">
        <f>BE461-AZ461</f>
        <v>0</v>
      </c>
      <c r="BG461" cm="1">
        <f t="array" ref="BG461">IFERROR(IF(BF461&lt;0,0,BF461/($AU$418-INDEX(hd_off,MATCH(BT461,hd_mark,0),0)/12)),0)</f>
        <v>0</v>
      </c>
      <c r="BH461">
        <f>IF(AV461=0,0,$BG$418*$AM$409)</f>
        <v>0</v>
      </c>
      <c r="BI461">
        <f>IFERROR(BH461/$AU$418,0)</f>
        <v>0</v>
      </c>
      <c r="BJ461">
        <f>BH461*($F$25+($C$16+$C$17+IF($C$13="single",1.5,3)+3)/12)</f>
        <v>0</v>
      </c>
      <c r="BK461">
        <f>BJ461-BA461</f>
        <v>0</v>
      </c>
      <c r="BL461" cm="1">
        <f t="array" ref="BL461">IFERROR(IF(BK461&lt;0,0,BK461/($AU$418-INDEX(hd_off,MATCH(BT461,hd_mark,0),0)/12)),0)</f>
        <v>0</v>
      </c>
      <c r="BM461">
        <f>MAX($F$25,$BF$418)/$Q$436</f>
        <v>0.29920977011494249</v>
      </c>
      <c r="BN461">
        <f t="shared" si="292"/>
        <v>1</v>
      </c>
      <c r="BO461" cm="1">
        <f t="array" ref="BO461">IFERROR(INDEX(sheath_ecap_asd,MATCH(BS461,sheath_mark,0),0)*BN461,0)</f>
        <v>0</v>
      </c>
      <c r="BP461" cm="1">
        <f t="array" ref="BP461">IFERROR(INDEX(sheath_wcap_asd,MATCH(BS461,sheath_mark,0),0)*BN461,0)</f>
        <v>0</v>
      </c>
      <c r="BQ461" cm="1">
        <f t="array" ref="BQ461">IFERROR(INDEX(hd_cap,MATCH(BT461,hd_mark,0),0),0)</f>
        <v>0</v>
      </c>
      <c r="BS461" s="19"/>
      <c r="BT461" s="19"/>
      <c r="BU461" s="100"/>
    </row>
    <row r="462" x14ac:dyDescent="0.25">
      <c r="P462" s="93"/>
      <c r="AR462" s="100"/>
      <c r="AS462" s="93"/>
      <c r="BU462" s="100"/>
    </row>
    <row r="463" x14ac:dyDescent="0.25">
      <c r="P463" s="93"/>
      <c r="Q463" s="110" t="str">
        <f>$Q$419</f>
        <v>A.06</v>
      </c>
      <c r="R463" t="str">
        <f>$Q$405</f>
        <v>L2</v>
      </c>
      <c r="S463">
        <f>$E$21</f>
        <v>10.6875</v>
      </c>
      <c r="T463" cm="1">
        <f t="array" ref="T463">IFERROR(IF(S463=0,0,(INDEX($C$33:$C$38,MATCH($W$419,$B$33:$B$38,0),0)*(S467+$X$419)+$T$419*COUNTIF(S463:S466,"&gt;0")*$C$32+$V$419*$C$31)*$R$419),0)</f>
        <v>0</v>
      </c>
      <c r="U463">
        <f>IF(S463=0,0,-(COUNTIF(S463:S466,"&gt;0")*$T$419*$C$32+$V$419*$C$31)*$H$27*$R$419)</f>
        <v>0</v>
      </c>
      <c r="V463">
        <f>IF(S463=0,0,$V$419*$H$26*$R$419)</f>
        <v>0</v>
      </c>
      <c r="W463">
        <f>(0.6*T463+0.7*U463)*$R$419/2</f>
        <v>0</v>
      </c>
      <c r="X463">
        <f>(0.6*T463+0.6*V463)*$R$419/2</f>
        <v>0</v>
      </c>
      <c r="Z463">
        <f>IF(S463=0,0,$AD$419*$AP$405)</f>
        <v>0</v>
      </c>
      <c r="AA463">
        <f>IFERROR(Z463/$R$419,0)</f>
        <v>0</v>
      </c>
      <c r="AB463">
        <f>Z463*($F$21+IF($F$21=0,0,($C$14+$C$15+IF($C$13="single",1.5,3)+3)/12))</f>
        <v>0</v>
      </c>
      <c r="AC463">
        <f>AB463-W463</f>
        <v>0</v>
      </c>
      <c r="AD463" cm="1">
        <f t="array" ref="AD463">IFERROR(IF(AC463&lt;0,0,AC463/($R$419-INDEX(hd_off,MATCH(AQ463,hd_mark,0),0)/12)),0)</f>
        <v>0</v>
      </c>
      <c r="AE463">
        <f>IF(S463=0,0,$AD$419*$AM$405)</f>
        <v>0</v>
      </c>
      <c r="AF463">
        <f>IFERROR(AE463/$R$419,0)</f>
        <v>0</v>
      </c>
      <c r="AG463">
        <f>AE463*($F$21+IF($F$21=0,0,($C$14+$C$15+IF($C$13="single",1.5,3)+3)/12))</f>
        <v>0</v>
      </c>
      <c r="AH463">
        <f>AG463-X463</f>
        <v>0</v>
      </c>
      <c r="AI463" cm="1">
        <f t="array" ref="AI463">IFERROR(IF(AH463&lt;0,0,AH463/($R$419-INDEX(hd_off,MATCH(AQ463,hd_mark,0),0)/12)),0)</f>
        <v>0</v>
      </c>
      <c r="AJ463">
        <f>MAX($F$21,$Y$419)/$Q$436</f>
        <v>0.30172413793103448</v>
      </c>
      <c r="AK463">
        <f>IF(AJ463=0,0,IF(AJ463&gt;2,1.25-0.125*AJ463,1))</f>
        <v>1</v>
      </c>
      <c r="AL463" cm="1">
        <f t="array" ref="AL463">IFERROR(INDEX(sheath_ecap_asd,MATCH(AP463,sheath_mark,0),0)*AK463,0)</f>
        <v>0</v>
      </c>
      <c r="AM463" cm="1">
        <f t="array" ref="AM463">IFERROR(INDEX(sheath_wcap_asd,MATCH(AP463,sheath_mark,0),0)*AK463,0)</f>
        <v>0</v>
      </c>
      <c r="AN463" cm="1">
        <f t="array" ref="AN463">IFERROR(INDEX(hd_cap,MATCH(AQ463,hd_mark,0),0),0)</f>
        <v>0</v>
      </c>
      <c r="AP463" s="19"/>
      <c r="AQ463" s="19"/>
      <c r="AR463" s="100"/>
      <c r="AS463" s="93"/>
      <c r="AT463" s="110" t="str">
        <f>$AT$419</f>
        <v>1.06</v>
      </c>
      <c r="AU463" t="str">
        <f>$Q$405</f>
        <v>L2</v>
      </c>
      <c r="AV463">
        <f>$E$21</f>
        <v>10.6875</v>
      </c>
      <c r="AW463" cm="1">
        <f t="array" ref="AW463">IFERROR(IF(AV463=0,0,(INDEX($C$33:$C$38,MATCH($AZ$419,$B$33:$B$38,0),0)*(AV467+$BA$419)+$AW$419*COUNTIF(AV463:AV466,"&gt;0")*$C$32+$AY$419*$C$31)*$AU$419),0)</f>
        <v>0</v>
      </c>
      <c r="AX463">
        <f>IF(AV463=0,0,-(COUNTIF(AV463:AV466,"&gt;0")*$AW$419*$C$32+$AY$419*$C$31)*$H$27*$AU$419)</f>
        <v>0</v>
      </c>
      <c r="AY463">
        <f>IF(AV463=0,0,$AY$419*$H$26*$AU$419)</f>
        <v>0</v>
      </c>
      <c r="AZ463">
        <f>(0.6*AW463+0.7*AX463)*$AU$419/2</f>
        <v>0</v>
      </c>
      <c r="BA463">
        <f>(0.6*AW463+0.6*AY463)*$AU$419/2</f>
        <v>0</v>
      </c>
      <c r="BC463">
        <f>IF(AV463=0,0,$BG$419*$AP$405)</f>
        <v>0</v>
      </c>
      <c r="BD463">
        <f>IFERROR(BC463/$AU$419,0)</f>
        <v>0</v>
      </c>
      <c r="BE463">
        <f>BC463*($F$21+IF($F$21=0,0,($C$14+$C$15+IF($C$13="single",1.5,3)+3)/12))</f>
        <v>0</v>
      </c>
      <c r="BF463">
        <f>BE463-AZ463</f>
        <v>0</v>
      </c>
      <c r="BG463" cm="1">
        <f t="array" ref="BG463">IFERROR(IF(BF463&lt;0,0,BF463/($AU$419-INDEX(hd_off,MATCH(BT463,hd_mark,0),0)/12)),0)</f>
        <v>0</v>
      </c>
      <c r="BH463">
        <f>IF(AV463=0,0,$BG$419*$AM$405)</f>
        <v>0</v>
      </c>
      <c r="BI463">
        <f>IFERROR(BH463/$AU$419,0)</f>
        <v>0</v>
      </c>
      <c r="BJ463">
        <f>BH463*($F$21+IF($F$21=0,0,($C$14+$C$15+IF($C$13="single",1.5,3)+3)/12))</f>
        <v>0</v>
      </c>
      <c r="BK463">
        <f>BJ463-BA463</f>
        <v>0</v>
      </c>
      <c r="BL463" cm="1">
        <f t="array" ref="BL463">IFERROR(IF(BK463&lt;0,0,BK463/($AU$419-INDEX(hd_off,MATCH(BT463,hd_mark,0),0)/12)),0)</f>
        <v>0</v>
      </c>
      <c r="BM463">
        <f>MAX($F$21,$BB$419)/$Q$436</f>
        <v>0.30172413793103448</v>
      </c>
      <c r="BN463">
        <f>IF(BM463=0,0,IF(BM463&gt;2,1.25-0.125*BM463,1))</f>
        <v>1</v>
      </c>
      <c r="BO463" cm="1">
        <f t="array" ref="BO463">IFERROR(INDEX(sheath_ecap_asd,MATCH(BS463,sheath_mark,0),0)*BN463,0)</f>
        <v>0</v>
      </c>
      <c r="BP463" cm="1">
        <f t="array" ref="BP463">IFERROR(INDEX(sheath_wcap_asd,MATCH(BS463,sheath_mark,0),0)*BN463,0)</f>
        <v>0</v>
      </c>
      <c r="BQ463" cm="1">
        <f t="array" ref="BQ463">IFERROR(INDEX(hd_cap,MATCH(BT463,hd_mark,0),0),0)</f>
        <v>0</v>
      </c>
      <c r="BS463" s="19"/>
      <c r="BT463" s="19"/>
      <c r="BU463" s="100"/>
    </row>
    <row r="464" x14ac:dyDescent="0.25">
      <c r="P464" s="93"/>
      <c r="Q464" s="109"/>
      <c r="R464" t="str">
        <f>$Q$406</f>
        <v>L3</v>
      </c>
      <c r="S464">
        <f>$E$22</f>
        <v>21.375</v>
      </c>
      <c r="T464" cm="1">
        <f t="array" ref="T464">IFERROR(IF(S464=0,0,(INDEX($C$33:$C$38,MATCH($W$419,$B$33:$B$38,0),0)*(S467+$X$419)+$T$419*COUNTIF(S464:S466,"&gt;0")*$C$32+$V$419*$C$31)*$R$419),0)</f>
        <v>0</v>
      </c>
      <c r="U464">
        <f>IF(S464=0,0,-(COUNTIF(S464:S466,"&gt;0")*$T$419*$C$32+$V$419*$C$31)*$H$27*$R$419)</f>
        <v>0</v>
      </c>
      <c r="V464">
        <f>IF(S464=0,0,$V$419*$H$26*$R$419)</f>
        <v>0</v>
      </c>
      <c r="W464">
        <f>(0.6*T464+0.7*U464)*$R$419/2</f>
        <v>0</v>
      </c>
      <c r="X464">
        <f>T464*$R$419/2</f>
        <v>0</v>
      </c>
      <c r="Z464">
        <f>IF(S464=0,0,$AD$419*$AP$406)</f>
        <v>0</v>
      </c>
      <c r="AA464">
        <f>IFERROR(Z464/$R$419,0)</f>
        <v>0</v>
      </c>
      <c r="AB464">
        <f>Z464*($F$22+IF($F$22=0,0,($C$14+$C$15+IF($C$13="single",1.5,3)+3)/12))</f>
        <v>0</v>
      </c>
      <c r="AC464">
        <f>AB464-W464</f>
        <v>0</v>
      </c>
      <c r="AD464" cm="1">
        <f t="array" ref="AD464">IFERROR(IF(AC464&lt;0,0,AC464/($R$419-INDEX(hd_off,MATCH(AQ464,hd_mark,0),0)/12)),0)</f>
        <v>0</v>
      </c>
      <c r="AE464">
        <f>IF(S464=0,0,$AD$419*$AM$406)</f>
        <v>0</v>
      </c>
      <c r="AF464">
        <f>IFERROR(AE464/$R$419,0)</f>
        <v>0</v>
      </c>
      <c r="AG464">
        <f>AE464*($F$22+IF($F$22=0,0,($C$14+$C$15+IF($C$13="single",1.5,3)+3)/12))</f>
        <v>0</v>
      </c>
      <c r="AH464">
        <f>AG464-X464</f>
        <v>0</v>
      </c>
      <c r="AI464" cm="1">
        <f t="array" ref="AI464">IFERROR(IF(AH464&lt;0,0,AH464/($R$419-INDEX(hd_off,MATCH(AQ464,hd_mark,0),0)/12)),0)</f>
        <v>0</v>
      </c>
      <c r="AJ464">
        <f>MAX($F$22,$Z$419)/$Q$436</f>
        <v>0.30172413793103448</v>
      </c>
      <c r="AK464">
        <f t="shared" ref="AK464:AK467" si="293">IF(AJ464=0,0,IF(AJ464&gt;2,1.25-0.125*AJ464,1))</f>
        <v>1</v>
      </c>
      <c r="AL464" cm="1">
        <f t="array" ref="AL464">IFERROR(INDEX(sheath_ecap_asd,MATCH(AP464,sheath_mark,0),0)*AK464,0)</f>
        <v>0</v>
      </c>
      <c r="AM464" cm="1">
        <f t="array" ref="AM464">IFERROR(INDEX(sheath_wcap_asd,MATCH(AP464,sheath_mark,0),0)*AK464,0)</f>
        <v>0</v>
      </c>
      <c r="AN464" cm="1">
        <f t="array" ref="AN464">IFERROR(INDEX(hd_cap,MATCH(AQ464,hd_mark,0),0),0)</f>
        <v>0</v>
      </c>
      <c r="AP464" s="19"/>
      <c r="AQ464" s="19"/>
      <c r="AR464" s="100"/>
      <c r="AS464" s="93"/>
      <c r="AT464" s="109"/>
      <c r="AU464" t="str">
        <f>$Q$406</f>
        <v>L3</v>
      </c>
      <c r="AV464">
        <f>$E$22</f>
        <v>21.375</v>
      </c>
      <c r="AW464" cm="1">
        <f t="array" ref="AW464">IFERROR(IF(AV464=0,0,(INDEX($C$33:$C$38,MATCH($AZ$419,$B$33:$B$38,0),0)*(AV467+$BA$419)+$AW$419*COUNTIF(AV464:AV466,"&gt;0")*$C$32+$AY$419*$C$31)*$AU$419),0)</f>
        <v>0</v>
      </c>
      <c r="AX464">
        <f>IF(AV464=0,0,-(COUNTIF(AV464:AV466,"&gt;0")*$AW$419*$C$32+$AY$419*$C$31)*$H$27*$AU$419)</f>
        <v>0</v>
      </c>
      <c r="AY464">
        <f>IF(AV464=0,0,$AY$419*$H$26*$AU$419)</f>
        <v>0</v>
      </c>
      <c r="AZ464">
        <f>(0.6*AW464+0.7*AX464)*$AU$419/2</f>
        <v>0</v>
      </c>
      <c r="BA464">
        <f>AW464*$AU$419/2</f>
        <v>0</v>
      </c>
      <c r="BC464">
        <f>IF(AV464=0,0,$BG$419*$AP$406)</f>
        <v>0</v>
      </c>
      <c r="BD464">
        <f>IFERROR(BC464/$AU$419,0)</f>
        <v>0</v>
      </c>
      <c r="BE464">
        <f>BC464*($F$22+IF($F$22=0,0,($C$14+$C$15+IF($C$13="single",1.5,3)+3)/12))</f>
        <v>0</v>
      </c>
      <c r="BF464">
        <f>BE464-AZ464</f>
        <v>0</v>
      </c>
      <c r="BG464" cm="1">
        <f t="array" ref="BG464">IFERROR(IF(BF464&lt;0,0,BF464/($AU$419-INDEX(hd_off,MATCH(BT464,hd_mark,0),0)/12)),0)</f>
        <v>0</v>
      </c>
      <c r="BH464">
        <f>IF(AV464=0,0,$BG$419*$AM$406)</f>
        <v>0</v>
      </c>
      <c r="BI464">
        <f>IFERROR(BH464/$AU$419,0)</f>
        <v>0</v>
      </c>
      <c r="BJ464">
        <f>BH464*($F$22+IF($F$22=0,0,($C$14+$C$15+IF($C$13="single",1.5,3)+3)/12))</f>
        <v>0</v>
      </c>
      <c r="BK464">
        <f>BJ464-BA464</f>
        <v>0</v>
      </c>
      <c r="BL464" cm="1">
        <f t="array" ref="BL464">IFERROR(IF(BK464&lt;0,0,BK464/($AU$419-INDEX(hd_off,MATCH(BT464,hd_mark,0),0)/12)),0)</f>
        <v>0</v>
      </c>
      <c r="BM464">
        <f>MAX($F$22,$BC$419)/$Q$436</f>
        <v>0.30172413793103448</v>
      </c>
      <c r="BN464">
        <f t="shared" ref="BN464:BN467" si="294">IF(BM464=0,0,IF(BM464&gt;2,1.25-0.125*BM464,1))</f>
        <v>1</v>
      </c>
      <c r="BO464" cm="1">
        <f t="array" ref="BO464">IFERROR(INDEX(sheath_ecap_asd,MATCH(BS464,sheath_mark,0),0)*BN464,0)</f>
        <v>0</v>
      </c>
      <c r="BP464" cm="1">
        <f t="array" ref="BP464">IFERROR(INDEX(sheath_wcap_asd,MATCH(BS464,sheath_mark,0),0)*BN464,0)</f>
        <v>0</v>
      </c>
      <c r="BQ464" cm="1">
        <f t="array" ref="BQ464">IFERROR(INDEX(hd_cap,MATCH(BT464,hd_mark,0),0),0)</f>
        <v>0</v>
      </c>
      <c r="BS464" s="19"/>
      <c r="BT464" s="19"/>
      <c r="BU464" s="100"/>
    </row>
    <row r="465" x14ac:dyDescent="0.25">
      <c r="P465" s="93"/>
      <c r="Q465" s="109" t="s">
        <v>491</v>
      </c>
      <c r="R465" t="str">
        <f>$Q$407</f>
        <v>L4</v>
      </c>
      <c r="S465">
        <f>$E$23</f>
        <v>0</v>
      </c>
      <c r="T465" cm="1">
        <f t="array" ref="T465">IFERROR(IF(S465=0,0,(INDEX($C$33:$C$38,MATCH($W$419,$B$33:$B$38,0),0)*(S467+$X$419)+$T$419*COUNTIF(S465:S466,"&gt;0")*$C$32+$V$419*$C$31)*$R$419),0)</f>
        <v>0</v>
      </c>
      <c r="U465">
        <f>IF(S465=0,0,-(COUNTIF(S465:S466,"&gt;0")*$T$419*$C$32+$V$419*$C$31)*$H$27*$R$419)</f>
        <v>0</v>
      </c>
      <c r="V465">
        <f>IF(S465=0,0,$V$419*$H$26*$R$419)</f>
        <v>0</v>
      </c>
      <c r="W465">
        <f>(0.6*T465+0.7*U465)*$R$419/2</f>
        <v>0</v>
      </c>
      <c r="X465">
        <f>T465*$R$419/2</f>
        <v>0</v>
      </c>
      <c r="Z465">
        <f>IF(S465=0,0,$AD$419*$AP$407)</f>
        <v>0</v>
      </c>
      <c r="AA465">
        <f>IFERROR(Z465/$R$419,0)</f>
        <v>0</v>
      </c>
      <c r="AB465">
        <f>Z465*($F$23+IF($F$23=0,0,($C$14+$C$15+IF($C$13="single",1.5,3)+3)/12))</f>
        <v>0</v>
      </c>
      <c r="AC465">
        <f>AB465-W465</f>
        <v>0</v>
      </c>
      <c r="AD465" cm="1">
        <f t="array" ref="AD465">IFERROR(IF(AC465&lt;0,0,AC465/($R$419-INDEX(hd_off,MATCH(AQ465,hd_mark,0),0)/12)),0)</f>
        <v>0</v>
      </c>
      <c r="AE465">
        <f>IF(S465=0,0,$AD$419*$AM$407)</f>
        <v>0</v>
      </c>
      <c r="AF465">
        <f>IFERROR(AE465/$R$419,0)</f>
        <v>0</v>
      </c>
      <c r="AG465">
        <f>AE465*($F$23+IF($F$23=0,0,($C$14+$C$15+IF($C$13="single",1.5,3)+3)/12))</f>
        <v>0</v>
      </c>
      <c r="AH465">
        <f>AG465-X465</f>
        <v>0</v>
      </c>
      <c r="AI465" cm="1">
        <f t="array" ref="AI465">IFERROR(IF(AH465&lt;0,0,AH465/($R$419-INDEX(hd_off,MATCH(AQ465,hd_mark,0),0)/12)),0)</f>
        <v>0</v>
      </c>
      <c r="AJ465">
        <f>MAX($F$23,$AA$419)/$Q$436</f>
        <v>0</v>
      </c>
      <c r="AK465">
        <f t="shared" si="293"/>
        <v>0</v>
      </c>
      <c r="AL465" cm="1">
        <f t="array" ref="AL465">IFERROR(INDEX(sheath_ecap_asd,MATCH(AP465,sheath_mark,0),0)*AK465,0)</f>
        <v>0</v>
      </c>
      <c r="AM465" cm="1">
        <f t="array" ref="AM465">IFERROR(INDEX(sheath_wcap_asd,MATCH(AP465,sheath_mark,0),0)*AK465,0)</f>
        <v>0</v>
      </c>
      <c r="AN465" cm="1">
        <f t="array" ref="AN465">IFERROR(INDEX(hd_cap,MATCH(AQ465,hd_mark,0),0),0)</f>
        <v>0</v>
      </c>
      <c r="AP465" s="19"/>
      <c r="AQ465" s="19"/>
      <c r="AR465" s="100"/>
      <c r="AS465" s="93"/>
      <c r="AT465" s="109" t="s">
        <v>491</v>
      </c>
      <c r="AU465" t="str">
        <f>$Q$407</f>
        <v>L4</v>
      </c>
      <c r="AV465">
        <f>$E$23</f>
        <v>0</v>
      </c>
      <c r="AW465" cm="1">
        <f t="array" ref="AW465">IFERROR(IF(AV465=0,0,(INDEX($C$33:$C$38,MATCH($AZ$419,$B$33:$B$38,0),0)*(AV467+$BA$419)+$AW$419*COUNTIF(AV465:AV466,"&gt;0")*$C$32+$AY$419*$C$31)*$AU$419),0)</f>
        <v>0</v>
      </c>
      <c r="AX465">
        <f>IF(AV465=0,0,-(COUNTIF(AV465:AV466,"&gt;0")*$AW$419*$C$32+$AY$419*$C$31)*$H$27*$AU$419)</f>
        <v>0</v>
      </c>
      <c r="AY465">
        <f>IF(AV465=0,0,$AY$419*$H$26*$AU$419)</f>
        <v>0</v>
      </c>
      <c r="AZ465">
        <f>(0.6*AW465+0.7*AX465)*$AU$419/2</f>
        <v>0</v>
      </c>
      <c r="BA465">
        <f>AW465*$AU$419/2</f>
        <v>0</v>
      </c>
      <c r="BC465">
        <f>IF(AV465=0,0,$BG$419*$AP$407)</f>
        <v>0</v>
      </c>
      <c r="BD465">
        <f>IFERROR(BC465/$AU$419,0)</f>
        <v>0</v>
      </c>
      <c r="BE465">
        <f>BC465*($F$23+IF($F$23=0,0,($C$14+$C$15+IF($C$13="single",1.5,3)+3)/12))</f>
        <v>0</v>
      </c>
      <c r="BF465">
        <f>BE465-AZ465</f>
        <v>0</v>
      </c>
      <c r="BG465" cm="1">
        <f t="array" ref="BG465">IFERROR(IF(BF465&lt;0,0,BF465/($AU$419-INDEX(hd_off,MATCH(BT465,hd_mark,0),0)/12)),0)</f>
        <v>0</v>
      </c>
      <c r="BH465">
        <f>IF(AV465=0,0,$BG$419*$AM$407)</f>
        <v>0</v>
      </c>
      <c r="BI465">
        <f>IFERROR(BH465/$AU$419,0)</f>
        <v>0</v>
      </c>
      <c r="BJ465">
        <f>BH465*($F$23+IF($F$23=0,0,($C$14+$C$15+IF($C$13="single",1.5,3)+3)/12))</f>
        <v>0</v>
      </c>
      <c r="BK465">
        <f>BJ465-BA465</f>
        <v>0</v>
      </c>
      <c r="BL465" cm="1">
        <f t="array" ref="BL465">IFERROR(IF(BK465&lt;0,0,BK465/($AU$419-INDEX(hd_off,MATCH(BT465,hd_mark,0),0)/12)),0)</f>
        <v>0</v>
      </c>
      <c r="BM465">
        <f>MAX($F$23,$BD$419)/$Q$436</f>
        <v>0</v>
      </c>
      <c r="BN465">
        <f t="shared" si="294"/>
        <v>0</v>
      </c>
      <c r="BO465" cm="1">
        <f t="array" ref="BO465">IFERROR(INDEX(sheath_ecap_asd,MATCH(BS465,sheath_mark,0),0)*BN465,0)</f>
        <v>0</v>
      </c>
      <c r="BP465" cm="1">
        <f t="array" ref="BP465">IFERROR(INDEX(sheath_wcap_asd,MATCH(BS465,sheath_mark,0),0)*BN465,0)</f>
        <v>0</v>
      </c>
      <c r="BQ465" cm="1">
        <f t="array" ref="BQ465">IFERROR(INDEX(hd_cap,MATCH(BT465,hd_mark,0),0),0)</f>
        <v>0</v>
      </c>
      <c r="BS465" s="19"/>
      <c r="BT465" s="19"/>
      <c r="BU465" s="100"/>
    </row>
    <row r="466" x14ac:dyDescent="0.25">
      <c r="P466" s="93"/>
      <c r="Q466" s="111">
        <f>$R$419</f>
        <v>0</v>
      </c>
      <c r="R466" t="str">
        <f>$Q$408</f>
        <v>L5</v>
      </c>
      <c r="S466">
        <f>$E$24</f>
        <v>0</v>
      </c>
      <c r="T466" cm="1">
        <f t="array" ref="T466">IFERROR(IF(S466=0,0,(INDEX($C$33:$C$38,MATCH($W$419,$B$33:$B$38,0),0)*(S467+$X$419)+$T$419*COUNTIF(S466:S466,"&gt;0")*$C$32+$V$419*$C$31)*$R$419),0)</f>
        <v>0</v>
      </c>
      <c r="U466">
        <f>IF(S466=0,0,-(COUNTIF(S466:S466,"&gt;0")*$T$419*$C$32+$V$419*$C$31)*$H$27*$R$419)</f>
        <v>0</v>
      </c>
      <c r="V466">
        <f>IF(S466=0,0,$V$419*$H$26*$R$419)</f>
        <v>0</v>
      </c>
      <c r="W466">
        <f>(0.6*T466+0.7*U466)*$R$419/2</f>
        <v>0</v>
      </c>
      <c r="X466">
        <f>T466*$R$419/2</f>
        <v>0</v>
      </c>
      <c r="Z466">
        <f>IF(S466=0,0,$AD$419*$AP$408)</f>
        <v>0</v>
      </c>
      <c r="AA466">
        <f>IFERROR(Z466/$R$419,0)</f>
        <v>0</v>
      </c>
      <c r="AB466">
        <f>Z466*($F$24+IF($F$24=0,0,($C$14+$C$15+IF($C$13="single",1.5,3)+3)/12))</f>
        <v>0</v>
      </c>
      <c r="AC466">
        <f>AB466-W466</f>
        <v>0</v>
      </c>
      <c r="AD466" cm="1">
        <f t="array" ref="AD466">IFERROR(IF(AC466&lt;0,0,AC466/($R$419-INDEX(hd_off,MATCH(AQ466,hd_mark,0),0)/12)),0)</f>
        <v>0</v>
      </c>
      <c r="AE466">
        <f>IF(S466=0,0,$AD$419*$AM$408)</f>
        <v>0</v>
      </c>
      <c r="AF466">
        <f>IFERROR(AE466/$R$419,0)</f>
        <v>0</v>
      </c>
      <c r="AG466">
        <f>AE466*($F$24+IF($F$24=0,0,($C$14+$C$15+IF($C$13="single",1.5,3)+3)/12))</f>
        <v>0</v>
      </c>
      <c r="AH466">
        <f>AG466-X466</f>
        <v>0</v>
      </c>
      <c r="AI466" cm="1">
        <f t="array" ref="AI466">IFERROR(IF(AH466&lt;0,0,AH466/($R$419-INDEX(hd_off,MATCH(AQ466,hd_mark,0),0)/12)),0)</f>
        <v>0</v>
      </c>
      <c r="AJ466">
        <f>MAX($F$24,$AB$419)/$Q$436</f>
        <v>0</v>
      </c>
      <c r="AK466">
        <f t="shared" si="293"/>
        <v>0</v>
      </c>
      <c r="AL466" cm="1">
        <f t="array" ref="AL466">IFERROR(INDEX(sheath_ecap_asd,MATCH(AP466,sheath_mark,0),0)*AK466,0)</f>
        <v>0</v>
      </c>
      <c r="AM466" cm="1">
        <f t="array" ref="AM466">IFERROR(INDEX(sheath_wcap_asd,MATCH(AP466,sheath_mark,0),0)*AK466,0)</f>
        <v>0</v>
      </c>
      <c r="AN466" cm="1">
        <f t="array" ref="AN466">IFERROR(INDEX(hd_cap,MATCH(AQ466,hd_mark,0),0),0)</f>
        <v>0</v>
      </c>
      <c r="AP466" s="19"/>
      <c r="AQ466" s="19"/>
      <c r="AR466" s="100"/>
      <c r="AS466" s="93"/>
      <c r="AT466" s="111">
        <f>$R$419</f>
        <v>0</v>
      </c>
      <c r="AU466" t="str">
        <f>$Q$408</f>
        <v>L5</v>
      </c>
      <c r="AV466">
        <f>$E$24</f>
        <v>0</v>
      </c>
      <c r="AW466" cm="1">
        <f t="array" ref="AW466">IFERROR(IF(AV466=0,0,(INDEX($C$33:$C$38,MATCH($AZ$419,$B$33:$B$38,0),0)*(AV467+$BA$419)+$AW$419*COUNTIF(AV466:AV466,"&gt;0")*$C$32+$AY$419*$C$31)*$AU$419),0)</f>
        <v>0</v>
      </c>
      <c r="AX466">
        <f>IF(AV466=0,0,-(COUNTIF(AV466:AV466,"&gt;0")*$AW$419*$C$32+$AY$419*$C$31)*$H$27*$AU$419)</f>
        <v>0</v>
      </c>
      <c r="AY466">
        <f>IF(AV466=0,0,$AY$419*$H$26*$AU$419)</f>
        <v>0</v>
      </c>
      <c r="AZ466">
        <f>(0.6*AW466+0.7*AX466)*$AU$419/2</f>
        <v>0</v>
      </c>
      <c r="BA466">
        <f>AW466*$AU$419/2</f>
        <v>0</v>
      </c>
      <c r="BC466">
        <f>IF(AV466=0,0,$BG$419*$AP$408)</f>
        <v>0</v>
      </c>
      <c r="BD466">
        <f>IFERROR(BC466/$AU$419,0)</f>
        <v>0</v>
      </c>
      <c r="BE466">
        <f>BC466*($F$24+IF($F$24=0,0,($C$14+$C$15+IF($C$13="single",1.5,3)+3)/12))</f>
        <v>0</v>
      </c>
      <c r="BF466">
        <f>BE466-AZ466</f>
        <v>0</v>
      </c>
      <c r="BG466" cm="1">
        <f t="array" ref="BG466">IFERROR(IF(BF466&lt;0,0,BF466/($AU$419-INDEX(hd_off,MATCH(BT466,hd_mark,0),0)/12)),0)</f>
        <v>0</v>
      </c>
      <c r="BH466">
        <f>IF(AV466=0,0,$BG$419*$AM$408)</f>
        <v>0</v>
      </c>
      <c r="BI466">
        <f>IFERROR(BH466/$AU$419,0)</f>
        <v>0</v>
      </c>
      <c r="BJ466">
        <f>BH466*($F$24+IF($F$24=0,0,($C$14+$C$15+IF($C$13="single",1.5,3)+3)/12))</f>
        <v>0</v>
      </c>
      <c r="BK466">
        <f>BJ466-BA466</f>
        <v>0</v>
      </c>
      <c r="BL466" cm="1">
        <f t="array" ref="BL466">IFERROR(IF(BK466&lt;0,0,BK466/($AU$419-INDEX(hd_off,MATCH(BT466,hd_mark,0),0)/12)),0)</f>
        <v>0</v>
      </c>
      <c r="BM466">
        <f>MAX($F$24,$BE$419)/$Q$436</f>
        <v>0</v>
      </c>
      <c r="BN466">
        <f t="shared" si="294"/>
        <v>0</v>
      </c>
      <c r="BO466" cm="1">
        <f t="array" ref="BO466">IFERROR(INDEX(sheath_ecap_asd,MATCH(BS466,sheath_mark,0),0)*BN466,0)</f>
        <v>0</v>
      </c>
      <c r="BP466" cm="1">
        <f t="array" ref="BP466">IFERROR(INDEX(sheath_wcap_asd,MATCH(BS466,sheath_mark,0),0)*BN466,0)</f>
        <v>0</v>
      </c>
      <c r="BQ466" cm="1">
        <f t="array" ref="BQ466">IFERROR(INDEX(hd_cap,MATCH(BT466,hd_mark,0),0),0)</f>
        <v>0</v>
      </c>
      <c r="BS466" s="19"/>
      <c r="BT466" s="19"/>
      <c r="BU466" s="100"/>
    </row>
    <row r="467" x14ac:dyDescent="0.25">
      <c r="P467" s="93"/>
      <c r="Q467" s="109"/>
      <c r="R467" t="str">
        <f>$Q$409</f>
        <v>Roof</v>
      </c>
      <c r="S467">
        <f>$E$25</f>
        <v>33.171875</v>
      </c>
      <c r="T467" cm="1">
        <f t="array" ref="T467">IFERROR(IF(S467=0,0,(INDEX($C$33:$C$38,MATCH($W$419,$B$33:$B$38,0),0)*(S467+$X$419)+$V$419*$C$31)*$R$419),0)</f>
        <v>0</v>
      </c>
      <c r="U467">
        <f>IF(S467=0,0,-$V$419*$C$31*$H$27*$R$419)</f>
        <v>0</v>
      </c>
      <c r="V467">
        <f>IF(S467=0,0,$V$419*$H$26*$R$419)</f>
        <v>0</v>
      </c>
      <c r="W467">
        <f>(0.6*T467+0.7*U467)*$R$419/2</f>
        <v>0</v>
      </c>
      <c r="X467">
        <f>T467*$R$419/2</f>
        <v>0</v>
      </c>
      <c r="Z467">
        <f>IF(S467=0,0,$AD$419*$AP$409)</f>
        <v>0</v>
      </c>
      <c r="AA467">
        <f>IFERROR(Z467/$R$419,0)</f>
        <v>0</v>
      </c>
      <c r="AB467">
        <f>Z467*($F$25+($C$16+$C$17+IF($C$13="single",1.5,3)+3)/12)</f>
        <v>0</v>
      </c>
      <c r="AC467">
        <f>AB467-W467</f>
        <v>0</v>
      </c>
      <c r="AD467" cm="1">
        <f t="array" ref="AD467">IFERROR(IF(AC467&lt;0,0,AC467/($R$419-INDEX(hd_off,MATCH(AQ467,hd_mark,0),0)/12)),0)</f>
        <v>0</v>
      </c>
      <c r="AE467">
        <f>IF(S467=0,0,$AD$419*$AM$409)</f>
        <v>0</v>
      </c>
      <c r="AF467">
        <f>IFERROR(AE467/$R$419,0)</f>
        <v>0</v>
      </c>
      <c r="AG467">
        <f>AE467*($F$25+($C$16+$C$17+IF($C$13="single",1.5,3)+3)/12)</f>
        <v>0</v>
      </c>
      <c r="AH467">
        <f>AG467-X467</f>
        <v>0</v>
      </c>
      <c r="AI467" cm="1">
        <f t="array" ref="AI467">IFERROR(IF(AH467&lt;0,0,AH467/($R$419-INDEX(hd_off,MATCH(AQ467,hd_mark,0),0)/12)),0)</f>
        <v>0</v>
      </c>
      <c r="AJ467">
        <f>MAX($F$25,$AC$419)/$Q$436</f>
        <v>0.29920977011494249</v>
      </c>
      <c r="AK467">
        <f t="shared" si="293"/>
        <v>1</v>
      </c>
      <c r="AL467" cm="1">
        <f t="array" ref="AL467">IFERROR(INDEX(sheath_ecap_asd,MATCH(AP467,sheath_mark,0),0)*AK467,0)</f>
        <v>0</v>
      </c>
      <c r="AM467" cm="1">
        <f t="array" ref="AM467">IFERROR(INDEX(sheath_wcap_asd,MATCH(AP467,sheath_mark,0),0)*AK467,0)</f>
        <v>0</v>
      </c>
      <c r="AN467" cm="1">
        <f t="array" ref="AN467">IFERROR(INDEX(hd_cap,MATCH(AQ467,hd_mark,0),0),0)</f>
        <v>0</v>
      </c>
      <c r="AP467" s="19"/>
      <c r="AQ467" s="19"/>
      <c r="AR467" s="100"/>
      <c r="AS467" s="93"/>
      <c r="AT467" s="109"/>
      <c r="AU467" t="str">
        <f>$Q$409</f>
        <v>Roof</v>
      </c>
      <c r="AV467">
        <f>$E$25</f>
        <v>33.171875</v>
      </c>
      <c r="AW467" cm="1">
        <f t="array" ref="AW467">IFERROR(IF(AV467=0,0,(INDEX($C$33:$C$38,MATCH($AZ$419,$B$33:$B$38,0),0)*(AV467+$BA$419)+$AY$419*$C$31)*$AU$419),0)</f>
        <v>0</v>
      </c>
      <c r="AX467">
        <f>IF(AV467=0,0,-$AY$419*$C$31*$H$27*$AU$419)</f>
        <v>0</v>
      </c>
      <c r="AY467">
        <f>IF(AV467=0,0,$AY$419*$H$26*$AU$419)</f>
        <v>0</v>
      </c>
      <c r="AZ467">
        <f>(0.6*AW467+0.7*AX467)*$AU$419/2</f>
        <v>0</v>
      </c>
      <c r="BA467">
        <f>AW467*$AU$419/2</f>
        <v>0</v>
      </c>
      <c r="BC467">
        <f>IF(AV467=0,0,$BG$419*$AP$409)</f>
        <v>0</v>
      </c>
      <c r="BD467">
        <f>IFERROR(BC467/$AU$419,0)</f>
        <v>0</v>
      </c>
      <c r="BE467">
        <f>BC467*($F$25+($C$16+$C$17+IF($C$13="single",1.5,3)+3)/12)</f>
        <v>0</v>
      </c>
      <c r="BF467">
        <f>BE467-AZ467</f>
        <v>0</v>
      </c>
      <c r="BG467" cm="1">
        <f t="array" ref="BG467">IFERROR(IF(BF467&lt;0,0,BF467/($AU$419-INDEX(hd_off,MATCH(BT467,hd_mark,0),0)/12)),0)</f>
        <v>0</v>
      </c>
      <c r="BH467">
        <f>IF(AV467=0,0,$BG$419*$AM$409)</f>
        <v>0</v>
      </c>
      <c r="BI467">
        <f>IFERROR(BH467/$AU$419,0)</f>
        <v>0</v>
      </c>
      <c r="BJ467">
        <f>BH467*($F$25+($C$16+$C$17+IF($C$13="single",1.5,3)+3)/12)</f>
        <v>0</v>
      </c>
      <c r="BK467">
        <f>BJ467-BA467</f>
        <v>0</v>
      </c>
      <c r="BL467" cm="1">
        <f t="array" ref="BL467">IFERROR(IF(BK467&lt;0,0,BK467/($AU$419-INDEX(hd_off,MATCH(BT467,hd_mark,0),0)/12)),0)</f>
        <v>0</v>
      </c>
      <c r="BM467">
        <f>MAX($F$25,$BF$419)/$Q$436</f>
        <v>0.29920977011494249</v>
      </c>
      <c r="BN467">
        <f t="shared" si="294"/>
        <v>1</v>
      </c>
      <c r="BO467" cm="1">
        <f t="array" ref="BO467">IFERROR(INDEX(sheath_ecap_asd,MATCH(BS467,sheath_mark,0),0)*BN467,0)</f>
        <v>0</v>
      </c>
      <c r="BP467" cm="1">
        <f t="array" ref="BP467">IFERROR(INDEX(sheath_wcap_asd,MATCH(BS467,sheath_mark,0),0)*BN467,0)</f>
        <v>0</v>
      </c>
      <c r="BQ467" cm="1">
        <f t="array" ref="BQ467">IFERROR(INDEX(hd_cap,MATCH(BT467,hd_mark,0),0),0)</f>
        <v>0</v>
      </c>
      <c r="BS467" s="19"/>
      <c r="BT467" s="19"/>
      <c r="BU467" s="100"/>
    </row>
    <row r="468" x14ac:dyDescent="0.25">
      <c r="P468" s="93"/>
      <c r="AR468" s="100"/>
      <c r="AS468" s="93"/>
      <c r="BU468" s="100"/>
    </row>
    <row r="469" x14ac:dyDescent="0.25">
      <c r="P469" s="93"/>
      <c r="Q469" s="110" t="str">
        <f>$Q$420</f>
        <v>A.07</v>
      </c>
      <c r="R469" t="str">
        <f>$Q$405</f>
        <v>L2</v>
      </c>
      <c r="S469">
        <f>$E$21</f>
        <v>10.6875</v>
      </c>
      <c r="T469" cm="1">
        <f t="array" ref="T469">IFERROR(IF(S469=0,0,(INDEX($C$33:$C$38,MATCH($W$420,$B$33:$B$38,0),0)*(S473+$X$420)+$T$420*COUNTIF(S469:S472,"&gt;0")*$C$32+$V$420*$C$31)*$R$420),0)</f>
        <v>0</v>
      </c>
      <c r="U469">
        <f>IF(S469=0,0,-(COUNTIF(S469:S472,"&gt;0")*$T$420*$C$32+$V$420*$C$31)*$H$27*$R$420)</f>
        <v>0</v>
      </c>
      <c r="V469">
        <f>IF(S469=0,0,$V$420*$H$26*$R$420)</f>
        <v>0</v>
      </c>
      <c r="W469">
        <f>(0.6*T469+0.7*U469)*$R$420/2</f>
        <v>0</v>
      </c>
      <c r="X469">
        <f>(0.6*T469+0.6*V469)*$R$420/2</f>
        <v>0</v>
      </c>
      <c r="Z469">
        <f>IF(S469=0,0,$AD$420*$AP$405)</f>
        <v>0</v>
      </c>
      <c r="AA469">
        <f>IFERROR(Z469/$R$420,0)</f>
        <v>0</v>
      </c>
      <c r="AB469">
        <f>Z469*($F$21+IF($F$21=0,0,($C$14+$C$15+IF($C$13="single",1.5,3)+3)/12))</f>
        <v>0</v>
      </c>
      <c r="AC469">
        <f>AB469-W469</f>
        <v>0</v>
      </c>
      <c r="AD469" cm="1">
        <f t="array" ref="AD469">IFERROR(IF(AC469&lt;0,0,AC469/($R$420-INDEX(hd_off,MATCH(AQ469,hd_mark,0),0)/12)),0)</f>
        <v>0</v>
      </c>
      <c r="AE469">
        <f>IF(S469=0,0,$AD$420*$AM$405)</f>
        <v>0</v>
      </c>
      <c r="AF469">
        <f>IFERROR(AE469/$R$420,0)</f>
        <v>0</v>
      </c>
      <c r="AG469">
        <f>AE469*($F$21+IF($F$21=0,0,($C$14+$C$15+IF($C$13="single",1.5,3)+3)/12))</f>
        <v>0</v>
      </c>
      <c r="AH469">
        <f>AG469-X469</f>
        <v>0</v>
      </c>
      <c r="AI469" cm="1">
        <f t="array" ref="AI469">IFERROR(IF(AH469&lt;0,0,AH469/($R$420-INDEX(hd_off,MATCH(AQ469,hd_mark,0),0)/12)),0)</f>
        <v>0</v>
      </c>
      <c r="AJ469">
        <f>MAX($F$21,$Y$420)/$Q$436</f>
        <v>0.30172413793103448</v>
      </c>
      <c r="AK469">
        <f>IF(AJ469=0,0,IF(AJ469&gt;2,1.25-0.125*AJ469,1))</f>
        <v>1</v>
      </c>
      <c r="AL469" cm="1">
        <f t="array" ref="AL469">IFERROR(INDEX(sheath_ecap_asd,MATCH(AP469,sheath_mark,0),0)*AK469,0)</f>
        <v>0</v>
      </c>
      <c r="AM469" cm="1">
        <f t="array" ref="AM469">IFERROR(INDEX(sheath_wcap_asd,MATCH(AP469,sheath_mark,0),0)*AK469,0)</f>
        <v>0</v>
      </c>
      <c r="AN469" cm="1">
        <f t="array" ref="AN469">IFERROR(INDEX(hd_cap,MATCH(AQ469,hd_mark,0),0),0)</f>
        <v>0</v>
      </c>
      <c r="AP469" s="19"/>
      <c r="AQ469" s="19"/>
      <c r="AR469" s="100"/>
      <c r="AS469" s="93"/>
      <c r="AT469" s="110" t="str">
        <f>$AT$420</f>
        <v>1.07</v>
      </c>
      <c r="AU469" t="str">
        <f>$Q$405</f>
        <v>L2</v>
      </c>
      <c r="AV469">
        <f>$E$21</f>
        <v>10.6875</v>
      </c>
      <c r="AW469" cm="1">
        <f t="array" ref="AW469">IFERROR(IF(AV469=0,0,(INDEX($C$33:$C$38,MATCH($AZ$420,$B$33:$B$38,0),0)*(AV473+$BA$420)+$AW$420*COUNTIF(AV469:AV472,"&gt;0")*$C$32+$AY$420*$C$31)*$AU$420),0)</f>
        <v>0</v>
      </c>
      <c r="AX469">
        <f>IF(AV469=0,0,-(COUNTIF(AV469:AV472,"&gt;0")*$AW$420*$C$32+$AY$420*$C$31)*$H$27*$AU$420)</f>
        <v>0</v>
      </c>
      <c r="AY469">
        <f>IF(AV469=0,0,$AY$420*$H$26*$AU$420)</f>
        <v>0</v>
      </c>
      <c r="AZ469">
        <f>(0.6*AW469+0.7*AX469)*$AU$420/2</f>
        <v>0</v>
      </c>
      <c r="BA469">
        <f>(0.6*AW469+0.6*AY469)*$AU$420/2</f>
        <v>0</v>
      </c>
      <c r="BC469">
        <f>IF(AV469=0,0,$BG$420*$AP$405)</f>
        <v>0</v>
      </c>
      <c r="BD469">
        <f>IFERROR(BC469/$AU$420,0)</f>
        <v>0</v>
      </c>
      <c r="BE469">
        <f>BC469*($F$21+IF($F$21=0,0,($C$14+$C$15+IF($C$13="single",1.5,3)+3)/12))</f>
        <v>0</v>
      </c>
      <c r="BF469">
        <f>BE469-AZ469</f>
        <v>0</v>
      </c>
      <c r="BG469" cm="1">
        <f t="array" ref="BG469">IFERROR(IF(BF469&lt;0,0,BF469/($AU$420-INDEX(hd_off,MATCH(BT469,hd_mark,0),0)/12)),0)</f>
        <v>0</v>
      </c>
      <c r="BH469">
        <f>IF(AV469=0,0,$BG$420*$AM$405)</f>
        <v>0</v>
      </c>
      <c r="BI469">
        <f>IFERROR(BH469/$AU$420,0)</f>
        <v>0</v>
      </c>
      <c r="BJ469">
        <f>BH469*($F$21+IF($F$21=0,0,($C$14+$C$15+IF($C$13="single",1.5,3)+3)/12))</f>
        <v>0</v>
      </c>
      <c r="BK469">
        <f>BJ469-BA469</f>
        <v>0</v>
      </c>
      <c r="BL469" cm="1">
        <f t="array" ref="BL469">IFERROR(IF(BK469&lt;0,0,BK469/($AU$420-INDEX(hd_off,MATCH(BT469,hd_mark,0),0)/12)),0)</f>
        <v>0</v>
      </c>
      <c r="BM469">
        <f>MAX($F$21,$BB$420)/$Q$436</f>
        <v>0.30172413793103448</v>
      </c>
      <c r="BN469">
        <f>IF(BM469=0,0,IF(BM469&gt;2,1.25-0.125*BM469,1))</f>
        <v>1</v>
      </c>
      <c r="BO469" cm="1">
        <f t="array" ref="BO469">IFERROR(INDEX(sheath_ecap_asd,MATCH(BS469,sheath_mark,0),0)*BN469,0)</f>
        <v>0</v>
      </c>
      <c r="BP469" cm="1">
        <f t="array" ref="BP469">IFERROR(INDEX(sheath_wcap_asd,MATCH(BS469,sheath_mark,0),0)*BN469,0)</f>
        <v>0</v>
      </c>
      <c r="BQ469" cm="1">
        <f t="array" ref="BQ469">IFERROR(INDEX(hd_cap,MATCH(BT469,hd_mark,0),0),0)</f>
        <v>0</v>
      </c>
      <c r="BS469" s="19"/>
      <c r="BT469" s="19"/>
      <c r="BU469" s="100"/>
    </row>
    <row r="470" x14ac:dyDescent="0.25">
      <c r="P470" s="93"/>
      <c r="Q470" s="109"/>
      <c r="R470" t="str">
        <f>$Q$406</f>
        <v>L3</v>
      </c>
      <c r="S470">
        <f>$E$22</f>
        <v>21.375</v>
      </c>
      <c r="T470" cm="1">
        <f t="array" ref="T470">IFERROR(IF(S470=0,0,(INDEX($C$33:$C$38,MATCH($W$420,$B$33:$B$38,0),0)*(S473+$X$420)+$T$420*COUNTIF(S470:S472,"&gt;0")*$C$32+$V$420*$C$31)*$R$420),0)</f>
        <v>0</v>
      </c>
      <c r="U470">
        <f>IF(S470=0,0,-(COUNTIF(S470:S472,"&gt;0")*$T$420*$C$32+$V$420*$C$31)*$H$27*$R$420)</f>
        <v>0</v>
      </c>
      <c r="V470">
        <f>IF(S470=0,0,$V$420*$H$26*$R$420)</f>
        <v>0</v>
      </c>
      <c r="W470">
        <f>(0.6*T470+0.7*U470)*$R$420/2</f>
        <v>0</v>
      </c>
      <c r="X470">
        <f>T470*$R$420/2</f>
        <v>0</v>
      </c>
      <c r="Z470">
        <f>IF(S470=0,0,$AD$420*$AP$406)</f>
        <v>0</v>
      </c>
      <c r="AA470">
        <f>IFERROR(Z470/$R$420,0)</f>
        <v>0</v>
      </c>
      <c r="AB470">
        <f>Z470*($F$22+IF($F$22=0,0,($C$14+$C$15+IF($C$13="single",1.5,3)+3)/12))</f>
        <v>0</v>
      </c>
      <c r="AC470">
        <f>AB470-W470</f>
        <v>0</v>
      </c>
      <c r="AD470" cm="1">
        <f t="array" ref="AD470">IFERROR(IF(AC470&lt;0,0,AC470/($R$420-INDEX(hd_off,MATCH(AQ470,hd_mark,0),0)/12)),0)</f>
        <v>0</v>
      </c>
      <c r="AE470">
        <f>IF(S470=0,0,$AD$420*$AM$406)</f>
        <v>0</v>
      </c>
      <c r="AF470">
        <f>IFERROR(AE470/$R$420,0)</f>
        <v>0</v>
      </c>
      <c r="AG470">
        <f>AE470*($F$22+IF($F$22=0,0,($C$14+$C$15+IF($C$13="single",1.5,3)+3)/12))</f>
        <v>0</v>
      </c>
      <c r="AH470">
        <f>AG470-X470</f>
        <v>0</v>
      </c>
      <c r="AI470" cm="1">
        <f t="array" ref="AI470">IFERROR(IF(AH470&lt;0,0,AH470/($R$420-INDEX(hd_off,MATCH(AQ470,hd_mark,0),0)/12)),0)</f>
        <v>0</v>
      </c>
      <c r="AJ470">
        <f>MAX($F$22,$Z$420)/$Q$436</f>
        <v>0.30172413793103448</v>
      </c>
      <c r="AK470">
        <f t="shared" ref="AK470:AK473" si="295">IF(AJ470=0,0,IF(AJ470&gt;2,1.25-0.125*AJ470,1))</f>
        <v>1</v>
      </c>
      <c r="AL470" cm="1">
        <f t="array" ref="AL470">IFERROR(INDEX(sheath_ecap_asd,MATCH(AP470,sheath_mark,0),0)*AK470,0)</f>
        <v>0</v>
      </c>
      <c r="AM470" cm="1">
        <f t="array" ref="AM470">IFERROR(INDEX(sheath_wcap_asd,MATCH(AP470,sheath_mark,0),0)*AK470,0)</f>
        <v>0</v>
      </c>
      <c r="AN470" cm="1">
        <f t="array" ref="AN470">IFERROR(INDEX(hd_cap,MATCH(AQ470,hd_mark,0),0),0)</f>
        <v>0</v>
      </c>
      <c r="AP470" s="19"/>
      <c r="AQ470" s="19"/>
      <c r="AR470" s="100"/>
      <c r="AS470" s="93"/>
      <c r="AT470" s="109"/>
      <c r="AU470" t="str">
        <f>$Q$406</f>
        <v>L3</v>
      </c>
      <c r="AV470">
        <f>$E$22</f>
        <v>21.375</v>
      </c>
      <c r="AW470" cm="1">
        <f t="array" ref="AW470">IFERROR(IF(AV470=0,0,(INDEX($C$33:$C$38,MATCH($AZ$420,$B$33:$B$38,0),0)*(AV473+$BA$420)+$AW$420*COUNTIF(AV470:AV472,"&gt;0")*$C$32+$AY$420*$C$31)*$AU$420),0)</f>
        <v>0</v>
      </c>
      <c r="AX470">
        <f>IF(AV470=0,0,-(COUNTIF(AV470:AV472,"&gt;0")*$AW$420*$C$32+$AY$420*$C$31)*$H$27*$AU$420)</f>
        <v>0</v>
      </c>
      <c r="AY470">
        <f>IF(AV470=0,0,$AY$420*$H$26*$AU$420)</f>
        <v>0</v>
      </c>
      <c r="AZ470">
        <f>(0.6*AW470+0.7*AX470)*$AU$420/2</f>
        <v>0</v>
      </c>
      <c r="BA470">
        <f>AW470*$AU$420/2</f>
        <v>0</v>
      </c>
      <c r="BC470">
        <f>IF(AV470=0,0,$BG$420*$AP$406)</f>
        <v>0</v>
      </c>
      <c r="BD470">
        <f>IFERROR(BC470/$AU$420,0)</f>
        <v>0</v>
      </c>
      <c r="BE470">
        <f>BC470*($F$22+IF($F$22=0,0,($C$14+$C$15+IF($C$13="single",1.5,3)+3)/12))</f>
        <v>0</v>
      </c>
      <c r="BF470">
        <f>BE470-AZ470</f>
        <v>0</v>
      </c>
      <c r="BG470" cm="1">
        <f t="array" ref="BG470">IFERROR(IF(BF470&lt;0,0,BF470/($AU$420-INDEX(hd_off,MATCH(BT470,hd_mark,0),0)/12)),0)</f>
        <v>0</v>
      </c>
      <c r="BH470">
        <f>IF(AV470=0,0,$BG$420*$AM$406)</f>
        <v>0</v>
      </c>
      <c r="BI470">
        <f>IFERROR(BH470/$AU$420,0)</f>
        <v>0</v>
      </c>
      <c r="BJ470">
        <f>BH470*($F$22+IF($F$22=0,0,($C$14+$C$15+IF($C$13="single",1.5,3)+3)/12))</f>
        <v>0</v>
      </c>
      <c r="BK470">
        <f>BJ470-BA470</f>
        <v>0</v>
      </c>
      <c r="BL470" cm="1">
        <f t="array" ref="BL470">IFERROR(IF(BK470&lt;0,0,BK470/($AU$420-INDEX(hd_off,MATCH(BT470,hd_mark,0),0)/12)),0)</f>
        <v>0</v>
      </c>
      <c r="BM470">
        <f>MAX($F$22,$BC$420)/$Q$436</f>
        <v>0.30172413793103448</v>
      </c>
      <c r="BN470">
        <f t="shared" ref="BN470:BN473" si="296">IF(BM470=0,0,IF(BM470&gt;2,1.25-0.125*BM470,1))</f>
        <v>1</v>
      </c>
      <c r="BO470" cm="1">
        <f t="array" ref="BO470">IFERROR(INDEX(sheath_ecap_asd,MATCH(BS470,sheath_mark,0),0)*BN470,0)</f>
        <v>0</v>
      </c>
      <c r="BP470" cm="1">
        <f t="array" ref="BP470">IFERROR(INDEX(sheath_wcap_asd,MATCH(BS470,sheath_mark,0),0)*BN470,0)</f>
        <v>0</v>
      </c>
      <c r="BQ470" cm="1">
        <f t="array" ref="BQ470">IFERROR(INDEX(hd_cap,MATCH(BT470,hd_mark,0),0),0)</f>
        <v>0</v>
      </c>
      <c r="BS470" s="19"/>
      <c r="BT470" s="19"/>
      <c r="BU470" s="100"/>
    </row>
    <row r="471" x14ac:dyDescent="0.25">
      <c r="P471" s="93"/>
      <c r="Q471" s="109" t="s">
        <v>491</v>
      </c>
      <c r="R471" t="str">
        <f>$Q$407</f>
        <v>L4</v>
      </c>
      <c r="S471">
        <f>$E$23</f>
        <v>0</v>
      </c>
      <c r="T471" cm="1">
        <f t="array" ref="T471">IFERROR(IF(S471=0,0,(INDEX($C$33:$C$38,MATCH($W$420,$B$33:$B$38,0),0)*(S473+$X$420)+$T$420*COUNTIF(S471:S472,"&gt;0")*$C$32+$V$420*$C$31)*$R$420),0)</f>
        <v>0</v>
      </c>
      <c r="U471">
        <f>IF(S471=0,0,-(COUNTIF(S471:S472,"&gt;0")*$T$420*$C$32+$V$420*$C$31)*$H$27*$R$420)</f>
        <v>0</v>
      </c>
      <c r="V471">
        <f>IF(S471=0,0,$V$420*$H$26*$R$420)</f>
        <v>0</v>
      </c>
      <c r="W471">
        <f>(0.6*T471+0.7*U471)*$R$420/2</f>
        <v>0</v>
      </c>
      <c r="X471">
        <f>T471*$R$420/2</f>
        <v>0</v>
      </c>
      <c r="Z471">
        <f>IF(S471=0,0,$AD$420*$AP$407)</f>
        <v>0</v>
      </c>
      <c r="AA471">
        <f>IFERROR(Z471/$R$420,0)</f>
        <v>0</v>
      </c>
      <c r="AB471">
        <f>Z471*($F$23+IF($F$23=0,0,($C$14+$C$15+IF($C$13="single",1.5,3)+3)/12))</f>
        <v>0</v>
      </c>
      <c r="AC471">
        <f>AB471-W471</f>
        <v>0</v>
      </c>
      <c r="AD471" cm="1">
        <f t="array" ref="AD471">IFERROR(IF(AC471&lt;0,0,AC471/($R$420-INDEX(hd_off,MATCH(AQ471,hd_mark,0),0)/12)),0)</f>
        <v>0</v>
      </c>
      <c r="AE471">
        <f>IF(S471=0,0,$AD$420*$AM$407)</f>
        <v>0</v>
      </c>
      <c r="AF471">
        <f>IFERROR(AE471/$R$420,0)</f>
        <v>0</v>
      </c>
      <c r="AG471">
        <f>AE471*($F$23+IF($F$23=0,0,($C$14+$C$15+IF($C$13="single",1.5,3)+3)/12))</f>
        <v>0</v>
      </c>
      <c r="AH471">
        <f>AG471-X471</f>
        <v>0</v>
      </c>
      <c r="AI471" cm="1">
        <f t="array" ref="AI471">IFERROR(IF(AH471&lt;0,0,AH471/($R$420-INDEX(hd_off,MATCH(AQ471,hd_mark,0),0)/12)),0)</f>
        <v>0</v>
      </c>
      <c r="AJ471">
        <f>MAX($F$23,$AA$420)/$Q$436</f>
        <v>0</v>
      </c>
      <c r="AK471">
        <f t="shared" si="295"/>
        <v>0</v>
      </c>
      <c r="AL471" cm="1">
        <f t="array" ref="AL471">IFERROR(INDEX(sheath_ecap_asd,MATCH(AP471,sheath_mark,0),0)*AK471,0)</f>
        <v>0</v>
      </c>
      <c r="AM471" cm="1">
        <f t="array" ref="AM471">IFERROR(INDEX(sheath_wcap_asd,MATCH(AP471,sheath_mark,0),0)*AK471,0)</f>
        <v>0</v>
      </c>
      <c r="AN471" cm="1">
        <f t="array" ref="AN471">IFERROR(INDEX(hd_cap,MATCH(AQ471,hd_mark,0),0),0)</f>
        <v>0</v>
      </c>
      <c r="AP471" s="19"/>
      <c r="AQ471" s="19"/>
      <c r="AR471" s="100"/>
      <c r="AS471" s="93"/>
      <c r="AT471" s="109" t="s">
        <v>491</v>
      </c>
      <c r="AU471" t="str">
        <f>$Q$407</f>
        <v>L4</v>
      </c>
      <c r="AV471">
        <f>$E$23</f>
        <v>0</v>
      </c>
      <c r="AW471" cm="1">
        <f t="array" ref="AW471">IFERROR(IF(AV471=0,0,(INDEX($C$33:$C$38,MATCH($AZ$420,$B$33:$B$38,0),0)*(AV473+$BA$420)+$AW$420*COUNTIF(AV471:AV472,"&gt;0")*$C$32+$AY$420*$C$31)*$AU$420),0)</f>
        <v>0</v>
      </c>
      <c r="AX471">
        <f>IF(AV471=0,0,-(COUNTIF(AV471:AV472,"&gt;0")*$AW$420*$C$32+$AY$420*$C$31)*$H$27*$AU$420)</f>
        <v>0</v>
      </c>
      <c r="AY471">
        <f>IF(AV471=0,0,$AY$420*$H$26*$AU$420)</f>
        <v>0</v>
      </c>
      <c r="AZ471">
        <f>(0.6*AW471+0.7*AX471)*$AU$420/2</f>
        <v>0</v>
      </c>
      <c r="BA471">
        <f>AW471*$AU$420/2</f>
        <v>0</v>
      </c>
      <c r="BC471">
        <f>IF(AV471=0,0,$BG$420*$AP$407)</f>
        <v>0</v>
      </c>
      <c r="BD471">
        <f>IFERROR(BC471/$AU$420,0)</f>
        <v>0</v>
      </c>
      <c r="BE471">
        <f>BC471*($F$23+IF($F$23=0,0,($C$14+$C$15+IF($C$13="single",1.5,3)+3)/12))</f>
        <v>0</v>
      </c>
      <c r="BF471">
        <f>BE471-AZ471</f>
        <v>0</v>
      </c>
      <c r="BG471" cm="1">
        <f t="array" ref="BG471">IFERROR(IF(BF471&lt;0,0,BF471/($AU$420-INDEX(hd_off,MATCH(BT471,hd_mark,0),0)/12)),0)</f>
        <v>0</v>
      </c>
      <c r="BH471">
        <f>IF(AV471=0,0,$BG$420*$AM$407)</f>
        <v>0</v>
      </c>
      <c r="BI471">
        <f>IFERROR(BH471/$AU$420,0)</f>
        <v>0</v>
      </c>
      <c r="BJ471">
        <f>BH471*($F$23+IF($F$23=0,0,($C$14+$C$15+IF($C$13="single",1.5,3)+3)/12))</f>
        <v>0</v>
      </c>
      <c r="BK471">
        <f>BJ471-BA471</f>
        <v>0</v>
      </c>
      <c r="BL471" cm="1">
        <f t="array" ref="BL471">IFERROR(IF(BK471&lt;0,0,BK471/($AU$420-INDEX(hd_off,MATCH(BT471,hd_mark,0),0)/12)),0)</f>
        <v>0</v>
      </c>
      <c r="BM471">
        <f>MAX($F$23,$BD$420)/$Q$436</f>
        <v>0</v>
      </c>
      <c r="BN471">
        <f t="shared" si="296"/>
        <v>0</v>
      </c>
      <c r="BO471" cm="1">
        <f t="array" ref="BO471">IFERROR(INDEX(sheath_ecap_asd,MATCH(BS471,sheath_mark,0),0)*BN471,0)</f>
        <v>0</v>
      </c>
      <c r="BP471" cm="1">
        <f t="array" ref="BP471">IFERROR(INDEX(sheath_wcap_asd,MATCH(BS471,sheath_mark,0),0)*BN471,0)</f>
        <v>0</v>
      </c>
      <c r="BQ471" cm="1">
        <f t="array" ref="BQ471">IFERROR(INDEX(hd_cap,MATCH(BT471,hd_mark,0),0),0)</f>
        <v>0</v>
      </c>
      <c r="BS471" s="19"/>
      <c r="BT471" s="19"/>
      <c r="BU471" s="100"/>
    </row>
    <row r="472" x14ac:dyDescent="0.25">
      <c r="P472" s="93"/>
      <c r="Q472" s="111">
        <f>$R$420</f>
        <v>0</v>
      </c>
      <c r="R472" t="str">
        <f>$Q$408</f>
        <v>L5</v>
      </c>
      <c r="S472">
        <f>$E$24</f>
        <v>0</v>
      </c>
      <c r="T472" cm="1">
        <f t="array" ref="T472">IFERROR(IF(S472=0,0,(INDEX($C$33:$C$38,MATCH($W$420,$B$33:$B$38,0),0)*(S473+$X$420)+$T$420*COUNTIF(S472:S472,"&gt;0")*$C$32+$V$420*$C$31)*$R$420),0)</f>
        <v>0</v>
      </c>
      <c r="U472">
        <f>IF(S472=0,0,-(COUNTIF(S472:S472,"&gt;0")*$T$420*$C$32+$V$420*$C$31)*$H$27*$R$420)</f>
        <v>0</v>
      </c>
      <c r="V472">
        <f>IF(S472=0,0,$V$420*$H$26*$R$420)</f>
        <v>0</v>
      </c>
      <c r="W472">
        <f>(0.6*T472+0.7*U472)*$R$420/2</f>
        <v>0</v>
      </c>
      <c r="X472">
        <f>T472*$R$420/2</f>
        <v>0</v>
      </c>
      <c r="Z472">
        <f>IF(S472=0,0,$AD$420*$AP$408)</f>
        <v>0</v>
      </c>
      <c r="AA472">
        <f>IFERROR(Z472/$R$420,0)</f>
        <v>0</v>
      </c>
      <c r="AB472">
        <f>Z472*($F$24+IF($F$24=0,0,($C$14+$C$15+IF($C$13="single",1.5,3)+3)/12))</f>
        <v>0</v>
      </c>
      <c r="AC472">
        <f>AB472-W472</f>
        <v>0</v>
      </c>
      <c r="AD472" cm="1">
        <f t="array" ref="AD472">IFERROR(IF(AC472&lt;0,0,AC472/($R$420-INDEX(hd_off,MATCH(AQ472,hd_mark,0),0)/12)),0)</f>
        <v>0</v>
      </c>
      <c r="AE472">
        <f>IF(S472=0,0,$AD$420*$AM$408)</f>
        <v>0</v>
      </c>
      <c r="AF472">
        <f>IFERROR(AE472/$R$420,0)</f>
        <v>0</v>
      </c>
      <c r="AG472">
        <f>AE472*($F$24+IF($F$24=0,0,($C$14+$C$15+IF($C$13="single",1.5,3)+3)/12))</f>
        <v>0</v>
      </c>
      <c r="AH472">
        <f>AG472-X472</f>
        <v>0</v>
      </c>
      <c r="AI472" cm="1">
        <f t="array" ref="AI472">IFERROR(IF(AH472&lt;0,0,AH472/($R$420-INDEX(hd_off,MATCH(AQ472,hd_mark,0),0)/12)),0)</f>
        <v>0</v>
      </c>
      <c r="AJ472">
        <f>MAX($F$24,$AB$420)/$Q$436</f>
        <v>0</v>
      </c>
      <c r="AK472">
        <f t="shared" si="295"/>
        <v>0</v>
      </c>
      <c r="AL472" cm="1">
        <f t="array" ref="AL472">IFERROR(INDEX(sheath_ecap_asd,MATCH(AP472,sheath_mark,0),0)*AK472,0)</f>
        <v>0</v>
      </c>
      <c r="AM472" cm="1">
        <f t="array" ref="AM472">IFERROR(INDEX(sheath_wcap_asd,MATCH(AP472,sheath_mark,0),0)*AK472,0)</f>
        <v>0</v>
      </c>
      <c r="AN472" cm="1">
        <f t="array" ref="AN472">IFERROR(INDEX(hd_cap,MATCH(AQ472,hd_mark,0),0),0)</f>
        <v>0</v>
      </c>
      <c r="AP472" s="19"/>
      <c r="AQ472" s="19"/>
      <c r="AR472" s="100"/>
      <c r="AS472" s="93"/>
      <c r="AT472" s="111">
        <f>$R$420</f>
        <v>0</v>
      </c>
      <c r="AU472" t="str">
        <f>$Q$408</f>
        <v>L5</v>
      </c>
      <c r="AV472">
        <f>$E$24</f>
        <v>0</v>
      </c>
      <c r="AW472" cm="1">
        <f t="array" ref="AW472">IFERROR(IF(AV472=0,0,(INDEX($C$33:$C$38,MATCH($AZ$420,$B$33:$B$38,0),0)*(AV473+$BA$420)+$AW$420*COUNTIF(AV472:AV472,"&gt;0")*$C$32+$AY$420*$C$31)*$AU$420),0)</f>
        <v>0</v>
      </c>
      <c r="AX472">
        <f>IF(AV472=0,0,-(COUNTIF(AV472:AV472,"&gt;0")*$AW$420*$C$32+$AY$420*$C$31)*$H$27*$AU$420)</f>
        <v>0</v>
      </c>
      <c r="AY472">
        <f>IF(AV472=0,0,$AY$420*$H$26*$AU$420)</f>
        <v>0</v>
      </c>
      <c r="AZ472">
        <f>(0.6*AW472+0.7*AX472)*$AU$420/2</f>
        <v>0</v>
      </c>
      <c r="BA472">
        <f>AW472*$AU$420/2</f>
        <v>0</v>
      </c>
      <c r="BC472">
        <f>IF(AV472=0,0,$BG$420*$AP$408)</f>
        <v>0</v>
      </c>
      <c r="BD472">
        <f>IFERROR(BC472/$AU$420,0)</f>
        <v>0</v>
      </c>
      <c r="BE472">
        <f>BC472*($F$24+IF($F$24=0,0,($C$14+$C$15+IF($C$13="single",1.5,3)+3)/12))</f>
        <v>0</v>
      </c>
      <c r="BF472">
        <f>BE472-AZ472</f>
        <v>0</v>
      </c>
      <c r="BG472" cm="1">
        <f t="array" ref="BG472">IFERROR(IF(BF472&lt;0,0,BF472/($AU$420-INDEX(hd_off,MATCH(BT472,hd_mark,0),0)/12)),0)</f>
        <v>0</v>
      </c>
      <c r="BH472">
        <f>IF(AV472=0,0,$BG$420*$AM$408)</f>
        <v>0</v>
      </c>
      <c r="BI472">
        <f>IFERROR(BH472/$AU$420,0)</f>
        <v>0</v>
      </c>
      <c r="BJ472">
        <f>BH472*($F$24+IF($F$24=0,0,($C$14+$C$15+IF($C$13="single",1.5,3)+3)/12))</f>
        <v>0</v>
      </c>
      <c r="BK472">
        <f>BJ472-BA472</f>
        <v>0</v>
      </c>
      <c r="BL472" cm="1">
        <f t="array" ref="BL472">IFERROR(IF(BK472&lt;0,0,BK472/($AU$420-INDEX(hd_off,MATCH(BT472,hd_mark,0),0)/12)),0)</f>
        <v>0</v>
      </c>
      <c r="BM472">
        <f>MAX($F$24,$BE$420)/$Q$436</f>
        <v>0</v>
      </c>
      <c r="BN472">
        <f t="shared" si="296"/>
        <v>0</v>
      </c>
      <c r="BO472" cm="1">
        <f t="array" ref="BO472">IFERROR(INDEX(sheath_ecap_asd,MATCH(BS472,sheath_mark,0),0)*BN472,0)</f>
        <v>0</v>
      </c>
      <c r="BP472" cm="1">
        <f t="array" ref="BP472">IFERROR(INDEX(sheath_wcap_asd,MATCH(BS472,sheath_mark,0),0)*BN472,0)</f>
        <v>0</v>
      </c>
      <c r="BQ472" cm="1">
        <f t="array" ref="BQ472">IFERROR(INDEX(hd_cap,MATCH(BT472,hd_mark,0),0),0)</f>
        <v>0</v>
      </c>
      <c r="BS472" s="19"/>
      <c r="BT472" s="19"/>
      <c r="BU472" s="100"/>
    </row>
    <row r="473" x14ac:dyDescent="0.25">
      <c r="P473" s="93"/>
      <c r="Q473" s="109"/>
      <c r="R473" t="str">
        <f>$Q$409</f>
        <v>Roof</v>
      </c>
      <c r="S473">
        <f>$E$25</f>
        <v>33.171875</v>
      </c>
      <c r="T473" cm="1">
        <f t="array" ref="T473">IFERROR(IF(S473=0,0,(INDEX($C$33:$C$38,MATCH($W$420,$B$33:$B$38,0),0)*(S473+$X$420)+$V$420*$C$31)*$R$420),0)</f>
        <v>0</v>
      </c>
      <c r="U473">
        <f>IF(S473=0,0,-$V$420*$C$31*$H$27*$R$420)</f>
        <v>0</v>
      </c>
      <c r="V473">
        <f>IF(S473=0,0,$V$420*$H$26*$R$420)</f>
        <v>0</v>
      </c>
      <c r="W473">
        <f>(0.6*T473+0.7*U473)*$R$420/2</f>
        <v>0</v>
      </c>
      <c r="X473">
        <f>T473*$R$420/2</f>
        <v>0</v>
      </c>
      <c r="Z473">
        <f>IF(S473=0,0,$AD$420*$AP$409)</f>
        <v>0</v>
      </c>
      <c r="AA473">
        <f>IFERROR(Z473/$R$420,0)</f>
        <v>0</v>
      </c>
      <c r="AB473">
        <f>Z473*($F$25+($C$16+$C$17+IF($C$13="single",1.5,3)+3)/12)</f>
        <v>0</v>
      </c>
      <c r="AC473">
        <f>AB473-W473</f>
        <v>0</v>
      </c>
      <c r="AD473" cm="1">
        <f t="array" ref="AD473">IFERROR(IF(AC473&lt;0,0,AC473/($R$420-INDEX(hd_off,MATCH(AQ473,hd_mark,0),0)/12)),0)</f>
        <v>0</v>
      </c>
      <c r="AE473">
        <f>IF(S473=0,0,$AD$420*$AM$409)</f>
        <v>0</v>
      </c>
      <c r="AF473">
        <f>IFERROR(AE473/$R$420,0)</f>
        <v>0</v>
      </c>
      <c r="AG473">
        <f>AE473*($F$25+($C$16+$C$17+IF($C$13="single",1.5,3)+3)/12)</f>
        <v>0</v>
      </c>
      <c r="AH473">
        <f>AG473-X473</f>
        <v>0</v>
      </c>
      <c r="AI473" cm="1">
        <f t="array" ref="AI473">IFERROR(IF(AH473&lt;0,0,AH473/($R$420-INDEX(hd_off,MATCH(AQ473,hd_mark,0),0)/12)),0)</f>
        <v>0</v>
      </c>
      <c r="AJ473">
        <f>MAX($F$25,$AC$420)/$Q$436</f>
        <v>0.29920977011494249</v>
      </c>
      <c r="AK473">
        <f t="shared" si="295"/>
        <v>1</v>
      </c>
      <c r="AL473" cm="1">
        <f t="array" ref="AL473">IFERROR(INDEX(sheath_ecap_asd,MATCH(AP473,sheath_mark,0),0)*AK473,0)</f>
        <v>0</v>
      </c>
      <c r="AM473" cm="1">
        <f t="array" ref="AM473">IFERROR(INDEX(sheath_wcap_asd,MATCH(AP473,sheath_mark,0),0)*AK473,0)</f>
        <v>0</v>
      </c>
      <c r="AN473" cm="1">
        <f t="array" ref="AN473">IFERROR(INDEX(hd_cap,MATCH(AQ473,hd_mark,0),0),0)</f>
        <v>0</v>
      </c>
      <c r="AP473" s="19"/>
      <c r="AQ473" s="19"/>
      <c r="AR473" s="100"/>
      <c r="AS473" s="93"/>
      <c r="AT473" s="109"/>
      <c r="AU473" t="str">
        <f>$Q$409</f>
        <v>Roof</v>
      </c>
      <c r="AV473">
        <f>$E$25</f>
        <v>33.171875</v>
      </c>
      <c r="AW473" cm="1">
        <f t="array" ref="AW473">IFERROR(IF(AV473=0,0,(INDEX($C$33:$C$38,MATCH($AZ$420,$B$33:$B$38,0),0)*(AV473+$BA$420)+$AY$420*$C$31)*$AU$420),0)</f>
        <v>0</v>
      </c>
      <c r="AX473">
        <f>IF(AV473=0,0,-$AY$420*$C$31*$H$27*$AU$420)</f>
        <v>0</v>
      </c>
      <c r="AY473">
        <f>IF(AV473=0,0,$AY$420*$H$26*$AU$420)</f>
        <v>0</v>
      </c>
      <c r="AZ473">
        <f>(0.6*AW473+0.7*AX473)*$AU$420/2</f>
        <v>0</v>
      </c>
      <c r="BA473">
        <f>AW473*$AU$420/2</f>
        <v>0</v>
      </c>
      <c r="BC473">
        <f>IF(AV473=0,0,$BG$420*$AP$409)</f>
        <v>0</v>
      </c>
      <c r="BD473">
        <f>IFERROR(BC473/$AU$420,0)</f>
        <v>0</v>
      </c>
      <c r="BE473">
        <f>BC473*($F$25+($C$16+$C$17+IF($C$13="single",1.5,3)+3)/12)</f>
        <v>0</v>
      </c>
      <c r="BF473">
        <f>BE473-AZ473</f>
        <v>0</v>
      </c>
      <c r="BG473" cm="1">
        <f t="array" ref="BG473">IFERROR(IF(BF473&lt;0,0,BF473/($AU$420-INDEX(hd_off,MATCH(BT473,hd_mark,0),0)/12)),0)</f>
        <v>0</v>
      </c>
      <c r="BH473">
        <f>IF(AV473=0,0,$BG$420*$AM$409)</f>
        <v>0</v>
      </c>
      <c r="BI473">
        <f>IFERROR(BH473/$AU$420,0)</f>
        <v>0</v>
      </c>
      <c r="BJ473">
        <f>BH473*($F$25+($C$16+$C$17+IF($C$13="single",1.5,3)+3)/12)</f>
        <v>0</v>
      </c>
      <c r="BK473">
        <f>BJ473-BA473</f>
        <v>0</v>
      </c>
      <c r="BL473" cm="1">
        <f t="array" ref="BL473">IFERROR(IF(BK473&lt;0,0,BK473/($AU$420-INDEX(hd_off,MATCH(BT473,hd_mark,0),0)/12)),0)</f>
        <v>0</v>
      </c>
      <c r="BM473">
        <f>MAX($F$25,$BF$420)/$Q$436</f>
        <v>0.29920977011494249</v>
      </c>
      <c r="BN473">
        <f t="shared" si="296"/>
        <v>1</v>
      </c>
      <c r="BO473" cm="1">
        <f t="array" ref="BO473">IFERROR(INDEX(sheath_ecap_asd,MATCH(BS473,sheath_mark,0),0)*BN473,0)</f>
        <v>0</v>
      </c>
      <c r="BP473" cm="1">
        <f t="array" ref="BP473">IFERROR(INDEX(sheath_wcap_asd,MATCH(BS473,sheath_mark,0),0)*BN473,0)</f>
        <v>0</v>
      </c>
      <c r="BQ473" cm="1">
        <f t="array" ref="BQ473">IFERROR(INDEX(hd_cap,MATCH(BT473,hd_mark,0),0),0)</f>
        <v>0</v>
      </c>
      <c r="BS473" s="19"/>
      <c r="BT473" s="19"/>
      <c r="BU473" s="100"/>
    </row>
    <row r="474" x14ac:dyDescent="0.25">
      <c r="P474" s="93"/>
      <c r="AR474" s="100"/>
      <c r="AS474" s="93"/>
      <c r="BU474" s="100"/>
    </row>
    <row r="475" x14ac:dyDescent="0.25">
      <c r="P475" s="93"/>
      <c r="Q475" s="110" t="str">
        <f>$Q$421</f>
        <v>A.08</v>
      </c>
      <c r="R475" t="str">
        <f>$Q$405</f>
        <v>L2</v>
      </c>
      <c r="S475">
        <f>$E$21</f>
        <v>10.6875</v>
      </c>
      <c r="T475" cm="1">
        <f t="array" ref="T475">IFERROR(IF(S475=0,0,(INDEX($C$33:$C$38,MATCH($W$421,$B$33:$B$38,0),0)*(S479+$X$421)+$T$421*COUNTIF(S475:S478,"&gt;0")*$C$32+$V$421*$C$31)*$R$421),0)</f>
        <v>0</v>
      </c>
      <c r="U475">
        <f>IF(S475=0,0,-(COUNTIF(S475:S478,"&gt;0")*$T$421*$C$32+$V$421*$C$31)*$H$27*$R$421)</f>
        <v>0</v>
      </c>
      <c r="V475">
        <f>IF(S475=0,0,$V$421*$H$26*$R$421)</f>
        <v>0</v>
      </c>
      <c r="W475">
        <f>(0.6*T475+0.7*U475)*$R$421/2</f>
        <v>0</v>
      </c>
      <c r="X475">
        <f>(0.6*T475+0.6*V475)*$R$421/2</f>
        <v>0</v>
      </c>
      <c r="Z475">
        <f>IF(S475=0,0,$AD$421*$AP$405)</f>
        <v>0</v>
      </c>
      <c r="AA475">
        <f>IFERROR(Z475/$R$421,0)</f>
        <v>0</v>
      </c>
      <c r="AB475">
        <f>Z475*($F$21+IF($F$21=0,0,($C$14+$C$15+IF($C$13="single",1.5,3)+3)/12))</f>
        <v>0</v>
      </c>
      <c r="AC475">
        <f>AB475-W475</f>
        <v>0</v>
      </c>
      <c r="AD475" cm="1">
        <f t="array" ref="AD475">IFERROR(IF(AC475&lt;0,0,AC475/($R$421-INDEX(hd_off,MATCH(AQ475,hd_mark,0),0)/12)),0)</f>
        <v>0</v>
      </c>
      <c r="AE475">
        <f>IF(S475=0,0,$AD$421*$AM$405)</f>
        <v>0</v>
      </c>
      <c r="AF475">
        <f>IFERROR(AE475/$R$421,0)</f>
        <v>0</v>
      </c>
      <c r="AG475">
        <f>AE475*($F$21+IF($F$21=0,0,($C$14+$C$15+IF($C$13="single",1.5,3)+3)/12))</f>
        <v>0</v>
      </c>
      <c r="AH475">
        <f>AG475-X475</f>
        <v>0</v>
      </c>
      <c r="AI475" cm="1">
        <f t="array" ref="AI475">IFERROR(IF(AH475&lt;0,0,AH475/($R$421-INDEX(hd_off,MATCH(AQ475,hd_mark,0),0)/12)),0)</f>
        <v>0</v>
      </c>
      <c r="AJ475">
        <f>MAX($F$21,$Y$421)/$Q$436</f>
        <v>0.30172413793103448</v>
      </c>
      <c r="AK475">
        <f>IF(AJ475=0,0,IF(AJ475&gt;2,1.25-0.125*AJ475,1))</f>
        <v>1</v>
      </c>
      <c r="AL475" cm="1">
        <f t="array" ref="AL475">IFERROR(INDEX(sheath_ecap_asd,MATCH(AP475,sheath_mark,0),0)*AK475,0)</f>
        <v>0</v>
      </c>
      <c r="AM475" cm="1">
        <f t="array" ref="AM475">IFERROR(INDEX(sheath_wcap_asd,MATCH(AP475,sheath_mark,0),0)*AK475,0)</f>
        <v>0</v>
      </c>
      <c r="AN475" cm="1">
        <f t="array" ref="AN475">IFERROR(INDEX(hd_cap,MATCH(AQ475,hd_mark,0),0),0)</f>
        <v>0</v>
      </c>
      <c r="AP475" s="19"/>
      <c r="AQ475" s="19"/>
      <c r="AR475" s="100"/>
      <c r="AS475" s="93"/>
      <c r="AT475" s="110" t="str">
        <f>$AT$421</f>
        <v>1.08</v>
      </c>
      <c r="AU475" t="str">
        <f>$Q$405</f>
        <v>L2</v>
      </c>
      <c r="AV475">
        <f>$E$21</f>
        <v>10.6875</v>
      </c>
      <c r="AW475" cm="1">
        <f t="array" ref="AW475">IFERROR(IF(AV475=0,0,(INDEX($C$33:$C$38,MATCH($AZ$421,$B$33:$B$38,0),0)*(AV479+$BA$421)+$AW$421*COUNTIF(AV475:AV478,"&gt;0")*$C$32+$AY$421*$C$31)*$AU$421),0)</f>
        <v>0</v>
      </c>
      <c r="AX475">
        <f>IF(AV475=0,0,-(COUNTIF(AV475:AV478,"&gt;0")*$AW$421*$C$32+$AY$421*$C$31)*$H$27*$AU$421)</f>
        <v>0</v>
      </c>
      <c r="AY475">
        <f>IF(AV475=0,0,$AY$421*$H$26*$AU$421)</f>
        <v>0</v>
      </c>
      <c r="AZ475">
        <f>(0.6*AW475+0.7*AX475)*$AU$421/2</f>
        <v>0</v>
      </c>
      <c r="BA475">
        <f>(0.6*AW475+0.6*AY475)*$AU$421/2</f>
        <v>0</v>
      </c>
      <c r="BC475">
        <f>IF(AV475=0,0,$BG$421*$AP$405)</f>
        <v>0</v>
      </c>
      <c r="BD475">
        <f>IFERROR(BC475/$AU$421,0)</f>
        <v>0</v>
      </c>
      <c r="BE475">
        <f>BC475*($F$21+IF($F$21=0,0,($C$14+$C$15+IF($C$13="single",1.5,3)+3)/12))</f>
        <v>0</v>
      </c>
      <c r="BF475">
        <f>BE475-AZ475</f>
        <v>0</v>
      </c>
      <c r="BG475" cm="1">
        <f t="array" ref="BG475">IFERROR(IF(BF475&lt;0,0,BF475/($AU$421-INDEX(hd_off,MATCH(BT475,hd_mark,0),0)/12)),0)</f>
        <v>0</v>
      </c>
      <c r="BH475">
        <f>IF(AV475=0,0,$BG$421*$AM$405)</f>
        <v>0</v>
      </c>
      <c r="BI475">
        <f>IFERROR(BH475/$AU$421,0)</f>
        <v>0</v>
      </c>
      <c r="BJ475">
        <f>BH475*($F$21+IF($F$21=0,0,($C$14+$C$15+IF($C$13="single",1.5,3)+3)/12))</f>
        <v>0</v>
      </c>
      <c r="BK475">
        <f>BJ475-BA475</f>
        <v>0</v>
      </c>
      <c r="BL475" cm="1">
        <f t="array" ref="BL475">IFERROR(IF(BK475&lt;0,0,BK475/($AU$421-INDEX(hd_off,MATCH(BT475,hd_mark,0),0)/12)),0)</f>
        <v>0</v>
      </c>
      <c r="BM475">
        <f>MAX($F$21,$BB$421)/$Q$436</f>
        <v>0.30172413793103448</v>
      </c>
      <c r="BN475">
        <f>IF(BM475=0,0,IF(BM475&gt;2,1.25-0.125*BM475,1))</f>
        <v>1</v>
      </c>
      <c r="BO475" cm="1">
        <f t="array" ref="BO475">IFERROR(INDEX(sheath_ecap_asd,MATCH(BS475,sheath_mark,0),0)*BN475,0)</f>
        <v>0</v>
      </c>
      <c r="BP475" cm="1">
        <f t="array" ref="BP475">IFERROR(INDEX(sheath_wcap_asd,MATCH(BS475,sheath_mark,0),0)*BN475,0)</f>
        <v>0</v>
      </c>
      <c r="BQ475" cm="1">
        <f t="array" ref="BQ475">IFERROR(INDEX(hd_cap,MATCH(BT475,hd_mark,0),0),0)</f>
        <v>0</v>
      </c>
      <c r="BS475" s="19"/>
      <c r="BT475" s="19"/>
      <c r="BU475" s="100"/>
    </row>
    <row r="476" x14ac:dyDescent="0.25">
      <c r="P476" s="93"/>
      <c r="Q476" s="109"/>
      <c r="R476" t="str">
        <f>$Q$406</f>
        <v>L3</v>
      </c>
      <c r="S476">
        <f>$E$22</f>
        <v>21.375</v>
      </c>
      <c r="T476" cm="1">
        <f t="array" ref="T476">IFERROR(IF(S476=0,0,(INDEX($C$33:$C$38,MATCH($W$421,$B$33:$B$38,0),0)*(S479+$X$421)+$T$421*COUNTIF(S476:S478,"&gt;0")*$C$32+$V$421*$C$31)*$R$421),0)</f>
        <v>0</v>
      </c>
      <c r="U476">
        <f>IF(S476=0,0,-(COUNTIF(S476:S478,"&gt;0")*$T$421*$C$32+$V$421*$C$31)*$H$27*$R$421)</f>
        <v>0</v>
      </c>
      <c r="V476">
        <f>IF(S476=0,0,$V$421*$H$26*$R$421)</f>
        <v>0</v>
      </c>
      <c r="W476">
        <f>(0.6*T476+0.7*U476)*$R$421/2</f>
        <v>0</v>
      </c>
      <c r="X476">
        <f>T476*$R$421/2</f>
        <v>0</v>
      </c>
      <c r="Z476">
        <f>IF(S476=0,0,$AD$421*$AP$406)</f>
        <v>0</v>
      </c>
      <c r="AA476">
        <f>IFERROR(Z476/$R$421,0)</f>
        <v>0</v>
      </c>
      <c r="AB476">
        <f>Z476*($F$22+IF($F$22=0,0,($C$14+$C$15+IF($C$13="single",1.5,3)+3)/12))</f>
        <v>0</v>
      </c>
      <c r="AC476">
        <f>AB476-W476</f>
        <v>0</v>
      </c>
      <c r="AD476" cm="1">
        <f t="array" ref="AD476">IFERROR(IF(AC476&lt;0,0,AC476/($R$421-INDEX(hd_off,MATCH(AQ476,hd_mark,0),0)/12)),0)</f>
        <v>0</v>
      </c>
      <c r="AE476">
        <f>IF(S476=0,0,$AD$421*$AM$406)</f>
        <v>0</v>
      </c>
      <c r="AF476">
        <f>IFERROR(AE476/$R$421,0)</f>
        <v>0</v>
      </c>
      <c r="AG476">
        <f>AE476*($F$22+IF($F$22=0,0,($C$14+$C$15+IF($C$13="single",1.5,3)+3)/12))</f>
        <v>0</v>
      </c>
      <c r="AH476">
        <f>AG476-X476</f>
        <v>0</v>
      </c>
      <c r="AI476" cm="1">
        <f t="array" ref="AI476">IFERROR(IF(AH476&lt;0,0,AH476/($R$421-INDEX(hd_off,MATCH(AQ476,hd_mark,0),0)/12)),0)</f>
        <v>0</v>
      </c>
      <c r="AJ476">
        <f>MAX($F$22,$Z$421)/$Q$436</f>
        <v>0.30172413793103448</v>
      </c>
      <c r="AK476">
        <f t="shared" ref="AK476:AK479" si="297">IF(AJ476=0,0,IF(AJ476&gt;2,1.25-0.125*AJ476,1))</f>
        <v>1</v>
      </c>
      <c r="AL476" cm="1">
        <f t="array" ref="AL476">IFERROR(INDEX(sheath_ecap_asd,MATCH(AP476,sheath_mark,0),0)*AK476,0)</f>
        <v>0</v>
      </c>
      <c r="AM476" cm="1">
        <f t="array" ref="AM476">IFERROR(INDEX(sheath_wcap_asd,MATCH(AP476,sheath_mark,0),0)*AK476,0)</f>
        <v>0</v>
      </c>
      <c r="AN476" cm="1">
        <f t="array" ref="AN476">IFERROR(INDEX(hd_cap,MATCH(AQ476,hd_mark,0),0),0)</f>
        <v>0</v>
      </c>
      <c r="AP476" s="19"/>
      <c r="AQ476" s="19"/>
      <c r="AR476" s="100"/>
      <c r="AS476" s="93"/>
      <c r="AT476" s="109"/>
      <c r="AU476" t="str">
        <f>$Q$406</f>
        <v>L3</v>
      </c>
      <c r="AV476">
        <f>$E$22</f>
        <v>21.375</v>
      </c>
      <c r="AW476" cm="1">
        <f t="array" ref="AW476">IFERROR(IF(AV476=0,0,(INDEX($C$33:$C$38,MATCH($AZ$421,$B$33:$B$38,0),0)*(AV479+$BA$421)+$AW$421*COUNTIF(AV476:AV478,"&gt;0")*$C$32+$AY$421*$C$31)*$AU$421),0)</f>
        <v>0</v>
      </c>
      <c r="AX476">
        <f>IF(AV476=0,0,-(COUNTIF(AV476:AV478,"&gt;0")*$AW$421*$C$32+$AY$421*$C$31)*$H$27*$AU$421)</f>
        <v>0</v>
      </c>
      <c r="AY476">
        <f>IF(AV476=0,0,$AY$421*$H$26*$AU$421)</f>
        <v>0</v>
      </c>
      <c r="AZ476">
        <f>(0.6*AW476+0.7*AX476)*$AU$421/2</f>
        <v>0</v>
      </c>
      <c r="BA476">
        <f>AW476*$AU$421/2</f>
        <v>0</v>
      </c>
      <c r="BC476">
        <f>IF(AV476=0,0,$BG$421*$AP$406)</f>
        <v>0</v>
      </c>
      <c r="BD476">
        <f>IFERROR(BC476/$AU$421,0)</f>
        <v>0</v>
      </c>
      <c r="BE476">
        <f>BC476*($F$22+IF($F$22=0,0,($C$14+$C$15+IF($C$13="single",1.5,3)+3)/12))</f>
        <v>0</v>
      </c>
      <c r="BF476">
        <f>BE476-AZ476</f>
        <v>0</v>
      </c>
      <c r="BG476" cm="1">
        <f t="array" ref="BG476">IFERROR(IF(BF476&lt;0,0,BF476/($AU$421-INDEX(hd_off,MATCH(BT476,hd_mark,0),0)/12)),0)</f>
        <v>0</v>
      </c>
      <c r="BH476">
        <f>IF(AV476=0,0,$BG$421*$AM$406)</f>
        <v>0</v>
      </c>
      <c r="BI476">
        <f>IFERROR(BH476/$AU$421,0)</f>
        <v>0</v>
      </c>
      <c r="BJ476">
        <f>BH476*($F$22+IF($F$22=0,0,($C$14+$C$15+IF($C$13="single",1.5,3)+3)/12))</f>
        <v>0</v>
      </c>
      <c r="BK476">
        <f>BJ476-BA476</f>
        <v>0</v>
      </c>
      <c r="BL476" cm="1">
        <f t="array" ref="BL476">IFERROR(IF(BK476&lt;0,0,BK476/($AU$421-INDEX(hd_off,MATCH(BT476,hd_mark,0),0)/12)),0)</f>
        <v>0</v>
      </c>
      <c r="BM476">
        <f>MAX($F$22,$BC$421)/$Q$436</f>
        <v>0.30172413793103448</v>
      </c>
      <c r="BN476">
        <f t="shared" ref="BN476:BN479" si="298">IF(BM476=0,0,IF(BM476&gt;2,1.25-0.125*BM476,1))</f>
        <v>1</v>
      </c>
      <c r="BO476" cm="1">
        <f t="array" ref="BO476">IFERROR(INDEX(sheath_ecap_asd,MATCH(BS476,sheath_mark,0),0)*BN476,0)</f>
        <v>0</v>
      </c>
      <c r="BP476" cm="1">
        <f t="array" ref="BP476">IFERROR(INDEX(sheath_wcap_asd,MATCH(BS476,sheath_mark,0),0)*BN476,0)</f>
        <v>0</v>
      </c>
      <c r="BQ476" cm="1">
        <f t="array" ref="BQ476">IFERROR(INDEX(hd_cap,MATCH(BT476,hd_mark,0),0),0)</f>
        <v>0</v>
      </c>
      <c r="BS476" s="19"/>
      <c r="BT476" s="19"/>
      <c r="BU476" s="100"/>
    </row>
    <row r="477" x14ac:dyDescent="0.25">
      <c r="P477" s="93"/>
      <c r="Q477" s="109" t="s">
        <v>491</v>
      </c>
      <c r="R477" t="str">
        <f>$Q$407</f>
        <v>L4</v>
      </c>
      <c r="S477">
        <f>$E$23</f>
        <v>0</v>
      </c>
      <c r="T477" cm="1">
        <f t="array" ref="T477">IFERROR(IF(S477=0,0,(INDEX($C$33:$C$38,MATCH($W$421,$B$33:$B$38,0),0)*(S479+$X$421)+$T$421*COUNTIF(S477:S478,"&gt;0")*$C$32+$V$421*$C$31)*$R$421),0)</f>
        <v>0</v>
      </c>
      <c r="U477">
        <f>IF(S477=0,0,-(COUNTIF(S477:S478,"&gt;0")*$T$421*$C$32+$V$421*$C$31)*$H$27*$R$421)</f>
        <v>0</v>
      </c>
      <c r="V477">
        <f>IF(S477=0,0,$V$421*$H$26*$R$421)</f>
        <v>0</v>
      </c>
      <c r="W477">
        <f>(0.6*T477+0.7*U477)*$R$421/2</f>
        <v>0</v>
      </c>
      <c r="X477">
        <f>T477*$R$421/2</f>
        <v>0</v>
      </c>
      <c r="Z477">
        <f>IF(S477=0,0,$AD$421*$AP$407)</f>
        <v>0</v>
      </c>
      <c r="AA477">
        <f>IFERROR(Z477/$R$421,0)</f>
        <v>0</v>
      </c>
      <c r="AB477">
        <f>Z477*($F$23+IF($F$23=0,0,($C$14+$C$15+IF($C$13="single",1.5,3)+3)/12))</f>
        <v>0</v>
      </c>
      <c r="AC477">
        <f>AB477-W477</f>
        <v>0</v>
      </c>
      <c r="AD477" cm="1">
        <f t="array" ref="AD477">IFERROR(IF(AC477&lt;0,0,AC477/($R$421-INDEX(hd_off,MATCH(AQ477,hd_mark,0),0)/12)),0)</f>
        <v>0</v>
      </c>
      <c r="AE477">
        <f>IF(S477=0,0,$AD$421*$AM$407)</f>
        <v>0</v>
      </c>
      <c r="AF477">
        <f>IFERROR(AE477/$R$421,0)</f>
        <v>0</v>
      </c>
      <c r="AG477">
        <f>AE477*($F$23+IF($F$23=0,0,($C$14+$C$15+IF($C$13="single",1.5,3)+3)/12))</f>
        <v>0</v>
      </c>
      <c r="AH477">
        <f>AG477-X477</f>
        <v>0</v>
      </c>
      <c r="AI477" cm="1">
        <f t="array" ref="AI477">IFERROR(IF(AH477&lt;0,0,AH477/($R$421-INDEX(hd_off,MATCH(AQ477,hd_mark,0),0)/12)),0)</f>
        <v>0</v>
      </c>
      <c r="AJ477">
        <f>MAX($F$23,$AA$421)/$Q$436</f>
        <v>0</v>
      </c>
      <c r="AK477">
        <f t="shared" si="297"/>
        <v>0</v>
      </c>
      <c r="AL477" cm="1">
        <f t="array" ref="AL477">IFERROR(INDEX(sheath_ecap_asd,MATCH(AP477,sheath_mark,0),0)*AK477,0)</f>
        <v>0</v>
      </c>
      <c r="AM477" cm="1">
        <f t="array" ref="AM477">IFERROR(INDEX(sheath_wcap_asd,MATCH(AP477,sheath_mark,0),0)*AK477,0)</f>
        <v>0</v>
      </c>
      <c r="AN477" cm="1">
        <f t="array" ref="AN477">IFERROR(INDEX(hd_cap,MATCH(AQ477,hd_mark,0),0),0)</f>
        <v>0</v>
      </c>
      <c r="AP477" s="19"/>
      <c r="AQ477" s="19"/>
      <c r="AR477" s="100"/>
      <c r="AS477" s="93"/>
      <c r="AT477" s="109" t="s">
        <v>491</v>
      </c>
      <c r="AU477" t="str">
        <f>$Q$407</f>
        <v>L4</v>
      </c>
      <c r="AV477">
        <f>$E$23</f>
        <v>0</v>
      </c>
      <c r="AW477" cm="1">
        <f t="array" ref="AW477">IFERROR(IF(AV477=0,0,(INDEX($C$33:$C$38,MATCH($AZ$421,$B$33:$B$38,0),0)*(AV479+$BA$421)+$AW$421*COUNTIF(AV477:AV478,"&gt;0")*$C$32+$AY$421*$C$31)*$AU$421),0)</f>
        <v>0</v>
      </c>
      <c r="AX477">
        <f>IF(AV477=0,0,-(COUNTIF(AV477:AV478,"&gt;0")*$AW$421*$C$32+$AY$421*$C$31)*$H$27*$AU$421)</f>
        <v>0</v>
      </c>
      <c r="AY477">
        <f>IF(AV477=0,0,$AY$421*$H$26*$AU$421)</f>
        <v>0</v>
      </c>
      <c r="AZ477">
        <f>(0.6*AW477+0.7*AX477)*$AU$421/2</f>
        <v>0</v>
      </c>
      <c r="BA477">
        <f>AW477*$AU$421/2</f>
        <v>0</v>
      </c>
      <c r="BC477">
        <f>IF(AV477=0,0,$BG$421*$AP$407)</f>
        <v>0</v>
      </c>
      <c r="BD477">
        <f>IFERROR(BC477/$AU$421,0)</f>
        <v>0</v>
      </c>
      <c r="BE477">
        <f>BC477*($F$23+IF($F$23=0,0,($C$14+$C$15+IF($C$13="single",1.5,3)+3)/12))</f>
        <v>0</v>
      </c>
      <c r="BF477">
        <f>BE477-AZ477</f>
        <v>0</v>
      </c>
      <c r="BG477" cm="1">
        <f t="array" ref="BG477">IFERROR(IF(BF477&lt;0,0,BF477/($AU$421-INDEX(hd_off,MATCH(BT477,hd_mark,0),0)/12)),0)</f>
        <v>0</v>
      </c>
      <c r="BH477">
        <f>IF(AV477=0,0,$BG$421*$AM$407)</f>
        <v>0</v>
      </c>
      <c r="BI477">
        <f>IFERROR(BH477/$AU$421,0)</f>
        <v>0</v>
      </c>
      <c r="BJ477">
        <f>BH477*($F$23+IF($F$23=0,0,($C$14+$C$15+IF($C$13="single",1.5,3)+3)/12))</f>
        <v>0</v>
      </c>
      <c r="BK477">
        <f>BJ477-BA477</f>
        <v>0</v>
      </c>
      <c r="BL477" cm="1">
        <f t="array" ref="BL477">IFERROR(IF(BK477&lt;0,0,BK477/($AU$421-INDEX(hd_off,MATCH(BT477,hd_mark,0),0)/12)),0)</f>
        <v>0</v>
      </c>
      <c r="BM477">
        <f>MAX($F$23,$BD$421)/$Q$436</f>
        <v>0</v>
      </c>
      <c r="BN477">
        <f t="shared" si="298"/>
        <v>0</v>
      </c>
      <c r="BO477" cm="1">
        <f t="array" ref="BO477">IFERROR(INDEX(sheath_ecap_asd,MATCH(BS477,sheath_mark,0),0)*BN477,0)</f>
        <v>0</v>
      </c>
      <c r="BP477" cm="1">
        <f t="array" ref="BP477">IFERROR(INDEX(sheath_wcap_asd,MATCH(BS477,sheath_mark,0),0)*BN477,0)</f>
        <v>0</v>
      </c>
      <c r="BQ477" cm="1">
        <f t="array" ref="BQ477">IFERROR(INDEX(hd_cap,MATCH(BT477,hd_mark,0),0),0)</f>
        <v>0</v>
      </c>
      <c r="BS477" s="19"/>
      <c r="BT477" s="19"/>
      <c r="BU477" s="100"/>
    </row>
    <row r="478" x14ac:dyDescent="0.25">
      <c r="P478" s="93"/>
      <c r="Q478" s="111">
        <f>$R$421</f>
        <v>0</v>
      </c>
      <c r="R478" t="str">
        <f>$Q$408</f>
        <v>L5</v>
      </c>
      <c r="S478">
        <f>$E$24</f>
        <v>0</v>
      </c>
      <c r="T478" cm="1">
        <f t="array" ref="T478">IFERROR(IF(S478=0,0,(INDEX($C$33:$C$38,MATCH($W$421,$B$33:$B$38,0),0)*(S479+$X$421)+$T$421*COUNTIF(S478:S478,"&gt;0")*$C$32+$V$421*$C$31)*$R$421),0)</f>
        <v>0</v>
      </c>
      <c r="U478">
        <f>IF(S478=0,0,-(COUNTIF(S478:S478,"&gt;0")*$T$421*$C$32+$V$421*$C$31)*$H$27*$R$421)</f>
        <v>0</v>
      </c>
      <c r="V478">
        <f>IF(S478=0,0,$V$421*$H$26*$R$421)</f>
        <v>0</v>
      </c>
      <c r="W478">
        <f>(0.6*T478+0.7*U478)*$R$421/2</f>
        <v>0</v>
      </c>
      <c r="X478">
        <f>T478*$R$421/2</f>
        <v>0</v>
      </c>
      <c r="Z478">
        <f>IF(S478=0,0,$AD$421*$AP$408)</f>
        <v>0</v>
      </c>
      <c r="AA478">
        <f>IFERROR(Z478/$R$421,0)</f>
        <v>0</v>
      </c>
      <c r="AB478">
        <f>Z478*($F$24+IF($F$24=0,0,($C$14+$C$15+IF($C$13="single",1.5,3)+3)/12))</f>
        <v>0</v>
      </c>
      <c r="AC478">
        <f>AB478-W478</f>
        <v>0</v>
      </c>
      <c r="AD478" cm="1">
        <f t="array" ref="AD478">IFERROR(IF(AC478&lt;0,0,AC478/($R$421-INDEX(hd_off,MATCH(AQ478,hd_mark,0),0)/12)),0)</f>
        <v>0</v>
      </c>
      <c r="AE478">
        <f>IF(S478=0,0,$AD$421*$AM$408)</f>
        <v>0</v>
      </c>
      <c r="AF478">
        <f>IFERROR(AE478/$R$421,0)</f>
        <v>0</v>
      </c>
      <c r="AG478">
        <f>AE478*($F$24+IF($F$24=0,0,($C$14+$C$15+IF($C$13="single",1.5,3)+3)/12))</f>
        <v>0</v>
      </c>
      <c r="AH478">
        <f>AG478-X478</f>
        <v>0</v>
      </c>
      <c r="AI478" cm="1">
        <f t="array" ref="AI478">IFERROR(IF(AH478&lt;0,0,AH478/($R$421-INDEX(hd_off,MATCH(AQ478,hd_mark,0),0)/12)),0)</f>
        <v>0</v>
      </c>
      <c r="AJ478">
        <f>MAX($F$24,$AB$421)/$Q$436</f>
        <v>0</v>
      </c>
      <c r="AK478">
        <f t="shared" si="297"/>
        <v>0</v>
      </c>
      <c r="AL478" cm="1">
        <f t="array" ref="AL478">IFERROR(INDEX(sheath_ecap_asd,MATCH(AP478,sheath_mark,0),0)*AK478,0)</f>
        <v>0</v>
      </c>
      <c r="AM478" cm="1">
        <f t="array" ref="AM478">IFERROR(INDEX(sheath_wcap_asd,MATCH(AP478,sheath_mark,0),0)*AK478,0)</f>
        <v>0</v>
      </c>
      <c r="AN478" cm="1">
        <f t="array" ref="AN478">IFERROR(INDEX(hd_cap,MATCH(AQ478,hd_mark,0),0),0)</f>
        <v>0</v>
      </c>
      <c r="AP478" s="19"/>
      <c r="AQ478" s="19"/>
      <c r="AR478" s="100"/>
      <c r="AS478" s="93"/>
      <c r="AT478" s="111">
        <f>$R$421</f>
        <v>0</v>
      </c>
      <c r="AU478" t="str">
        <f>$Q$408</f>
        <v>L5</v>
      </c>
      <c r="AV478">
        <f>$E$24</f>
        <v>0</v>
      </c>
      <c r="AW478" cm="1">
        <f t="array" ref="AW478">IFERROR(IF(AV478=0,0,(INDEX($C$33:$C$38,MATCH($AZ$421,$B$33:$B$38,0),0)*(AV479+$BA$421)+$AW$421*COUNTIF(AV478:AV478,"&gt;0")*$C$32+$AY$421*$C$31)*$AU$421),0)</f>
        <v>0</v>
      </c>
      <c r="AX478">
        <f>IF(AV478=0,0,-(COUNTIF(AV478:AV478,"&gt;0")*$AW$421*$C$32+$AY$421*$C$31)*$H$27*$AU$421)</f>
        <v>0</v>
      </c>
      <c r="AY478">
        <f>IF(AV478=0,0,$AY$421*$H$26*$AU$421)</f>
        <v>0</v>
      </c>
      <c r="AZ478">
        <f>(0.6*AW478+0.7*AX478)*$AU$421/2</f>
        <v>0</v>
      </c>
      <c r="BA478">
        <f>AW478*$AU$421/2</f>
        <v>0</v>
      </c>
      <c r="BC478">
        <f>IF(AV478=0,0,$BG$421*$AP$408)</f>
        <v>0</v>
      </c>
      <c r="BD478">
        <f>IFERROR(BC478/$AU$421,0)</f>
        <v>0</v>
      </c>
      <c r="BE478">
        <f>BC478*($F$24+IF($F$24=0,0,($C$14+$C$15+IF($C$13="single",1.5,3)+3)/12))</f>
        <v>0</v>
      </c>
      <c r="BF478">
        <f>BE478-AZ478</f>
        <v>0</v>
      </c>
      <c r="BG478" cm="1">
        <f t="array" ref="BG478">IFERROR(IF(BF478&lt;0,0,BF478/($AU$421-INDEX(hd_off,MATCH(BT478,hd_mark,0),0)/12)),0)</f>
        <v>0</v>
      </c>
      <c r="BH478">
        <f>IF(AV478=0,0,$BG$421*$AM$408)</f>
        <v>0</v>
      </c>
      <c r="BI478">
        <f>IFERROR(BH478/$AU$421,0)</f>
        <v>0</v>
      </c>
      <c r="BJ478">
        <f>BH478*($F$24+IF($F$24=0,0,($C$14+$C$15+IF($C$13="single",1.5,3)+3)/12))</f>
        <v>0</v>
      </c>
      <c r="BK478">
        <f>BJ478-BA478</f>
        <v>0</v>
      </c>
      <c r="BL478" cm="1">
        <f t="array" ref="BL478">IFERROR(IF(BK478&lt;0,0,BK478/($AU$421-INDEX(hd_off,MATCH(BT478,hd_mark,0),0)/12)),0)</f>
        <v>0</v>
      </c>
      <c r="BM478">
        <f>MAX($F$24,$BE$421)/$Q$436</f>
        <v>0</v>
      </c>
      <c r="BN478">
        <f t="shared" si="298"/>
        <v>0</v>
      </c>
      <c r="BO478" cm="1">
        <f t="array" ref="BO478">IFERROR(INDEX(sheath_ecap_asd,MATCH(BS478,sheath_mark,0),0)*BN478,0)</f>
        <v>0</v>
      </c>
      <c r="BP478" cm="1">
        <f t="array" ref="BP478">IFERROR(INDEX(sheath_wcap_asd,MATCH(BS478,sheath_mark,0),0)*BN478,0)</f>
        <v>0</v>
      </c>
      <c r="BQ478" cm="1">
        <f t="array" ref="BQ478">IFERROR(INDEX(hd_cap,MATCH(BT478,hd_mark,0),0),0)</f>
        <v>0</v>
      </c>
      <c r="BS478" s="19"/>
      <c r="BT478" s="19"/>
      <c r="BU478" s="100"/>
    </row>
    <row r="479" x14ac:dyDescent="0.25">
      <c r="P479" s="93"/>
      <c r="Q479" s="109"/>
      <c r="R479" t="str">
        <f>$Q$409</f>
        <v>Roof</v>
      </c>
      <c r="S479">
        <f>$E$25</f>
        <v>33.171875</v>
      </c>
      <c r="T479" cm="1">
        <f t="array" ref="T479">IFERROR(IF(S479=0,0,(INDEX($C$33:$C$38,MATCH($W$421,$B$33:$B$38,0),0)*(S479+$X$421)+$V$421*$C$31)*$R$421),0)</f>
        <v>0</v>
      </c>
      <c r="U479">
        <f>IF(S479=0,0,-$V$421*$C$31*$H$27*$R$421)</f>
        <v>0</v>
      </c>
      <c r="V479">
        <f>IF(S479=0,0,$V$421*$H$26*$R$421)</f>
        <v>0</v>
      </c>
      <c r="W479">
        <f>(0.6*T479+0.7*U479)*$R$421/2</f>
        <v>0</v>
      </c>
      <c r="X479">
        <f>T479*$R$421/2</f>
        <v>0</v>
      </c>
      <c r="Z479">
        <f>IF(S479=0,0,$AD$421*$AP$409)</f>
        <v>0</v>
      </c>
      <c r="AA479">
        <f>IFERROR(Z479/$R$421,0)</f>
        <v>0</v>
      </c>
      <c r="AB479">
        <f>Z479*($F$25+($C$16+$C$17+IF($C$13="single",1.5,3)+3)/12)</f>
        <v>0</v>
      </c>
      <c r="AC479">
        <f>AB479-W479</f>
        <v>0</v>
      </c>
      <c r="AD479" cm="1">
        <f t="array" ref="AD479">IFERROR(IF(AC479&lt;0,0,AC479/($R$421-INDEX(hd_off,MATCH(AQ479,hd_mark,0),0)/12)),0)</f>
        <v>0</v>
      </c>
      <c r="AE479">
        <f>IF(S479=0,0,$AD$421*$AM$409)</f>
        <v>0</v>
      </c>
      <c r="AF479">
        <f>IFERROR(AE479/$R$421,0)</f>
        <v>0</v>
      </c>
      <c r="AG479">
        <f>AE479*($F$25+($C$16+$C$17+IF($C$13="single",1.5,3)+3)/12)</f>
        <v>0</v>
      </c>
      <c r="AH479">
        <f>AG479-X479</f>
        <v>0</v>
      </c>
      <c r="AI479" cm="1">
        <f t="array" ref="AI479">IFERROR(IF(AH479&lt;0,0,AH479/($R$421-INDEX(hd_off,MATCH(AQ479,hd_mark,0),0)/12)),0)</f>
        <v>0</v>
      </c>
      <c r="AJ479">
        <f>MAX($F$25,$AC$421)/$Q$436</f>
        <v>0.29920977011494249</v>
      </c>
      <c r="AK479">
        <f t="shared" si="297"/>
        <v>1</v>
      </c>
      <c r="AL479" cm="1">
        <f t="array" ref="AL479">IFERROR(INDEX(sheath_ecap_asd,MATCH(AP479,sheath_mark,0),0)*AK479,0)</f>
        <v>0</v>
      </c>
      <c r="AM479" cm="1">
        <f t="array" ref="AM479">IFERROR(INDEX(sheath_wcap_asd,MATCH(AP479,sheath_mark,0),0)*AK479,0)</f>
        <v>0</v>
      </c>
      <c r="AN479" cm="1">
        <f t="array" ref="AN479">IFERROR(INDEX(hd_cap,MATCH(AQ479,hd_mark,0),0),0)</f>
        <v>0</v>
      </c>
      <c r="AP479" s="19"/>
      <c r="AQ479" s="19"/>
      <c r="AR479" s="100"/>
      <c r="AS479" s="93"/>
      <c r="AT479" s="109"/>
      <c r="AU479" t="str">
        <f>$Q$409</f>
        <v>Roof</v>
      </c>
      <c r="AV479">
        <f>$E$25</f>
        <v>33.171875</v>
      </c>
      <c r="AW479" cm="1">
        <f t="array" ref="AW479">IFERROR(IF(AV479=0,0,(INDEX($C$33:$C$38,MATCH($AZ$421,$B$33:$B$38,0),0)*(AV479+$BA$421)+$AY$421*$C$31)*$AU$421),0)</f>
        <v>0</v>
      </c>
      <c r="AX479">
        <f>IF(AV479=0,0,-$AY$421*$C$31*$H$27*$AU$421)</f>
        <v>0</v>
      </c>
      <c r="AY479">
        <f>IF(AV479=0,0,$AY$421*$H$26*$AU$421)</f>
        <v>0</v>
      </c>
      <c r="AZ479">
        <f>(0.6*AW479+0.7*AX479)*$AU$421/2</f>
        <v>0</v>
      </c>
      <c r="BA479">
        <f>AW479*$AU$421/2</f>
        <v>0</v>
      </c>
      <c r="BC479">
        <f>IF(AV479=0,0,$BG$421*$AP$409)</f>
        <v>0</v>
      </c>
      <c r="BD479">
        <f>IFERROR(BC479/$AU$421,0)</f>
        <v>0</v>
      </c>
      <c r="BE479">
        <f>BC479*($F$25+($C$16+$C$17+IF($C$13="single",1.5,3)+3)/12)</f>
        <v>0</v>
      </c>
      <c r="BF479">
        <f>BE479-AZ479</f>
        <v>0</v>
      </c>
      <c r="BG479" cm="1">
        <f t="array" ref="BG479">IFERROR(IF(BF479&lt;0,0,BF479/($AU$421-INDEX(hd_off,MATCH(BT479,hd_mark,0),0)/12)),0)</f>
        <v>0</v>
      </c>
      <c r="BH479">
        <f>IF(AV479=0,0,$BG$421*$AM$409)</f>
        <v>0</v>
      </c>
      <c r="BI479">
        <f>IFERROR(BH479/$AU$421,0)</f>
        <v>0</v>
      </c>
      <c r="BJ479">
        <f>BH479*($F$25+($C$16+$C$17+IF($C$13="single",1.5,3)+3)/12)</f>
        <v>0</v>
      </c>
      <c r="BK479">
        <f>BJ479-BA479</f>
        <v>0</v>
      </c>
      <c r="BL479" cm="1">
        <f t="array" ref="BL479">IFERROR(IF(BK479&lt;0,0,BK479/($AU$421-INDEX(hd_off,MATCH(BT479,hd_mark,0),0)/12)),0)</f>
        <v>0</v>
      </c>
      <c r="BM479">
        <f>MAX($F$25,$BF$421)/$Q$436</f>
        <v>0.29920977011494249</v>
      </c>
      <c r="BN479">
        <f t="shared" si="298"/>
        <v>1</v>
      </c>
      <c r="BO479" cm="1">
        <f t="array" ref="BO479">IFERROR(INDEX(sheath_ecap_asd,MATCH(BS479,sheath_mark,0),0)*BN479,0)</f>
        <v>0</v>
      </c>
      <c r="BP479" cm="1">
        <f t="array" ref="BP479">IFERROR(INDEX(sheath_wcap_asd,MATCH(BS479,sheath_mark,0),0)*BN479,0)</f>
        <v>0</v>
      </c>
      <c r="BQ479" cm="1">
        <f t="array" ref="BQ479">IFERROR(INDEX(hd_cap,MATCH(BT479,hd_mark,0),0),0)</f>
        <v>0</v>
      </c>
      <c r="BS479" s="19"/>
      <c r="BT479" s="19"/>
      <c r="BU479" s="100"/>
    </row>
    <row r="480" x14ac:dyDescent="0.25">
      <c r="P480" s="93"/>
      <c r="AR480" s="100"/>
      <c r="AS480" s="93"/>
      <c r="BU480" s="100"/>
    </row>
    <row r="481" x14ac:dyDescent="0.25">
      <c r="P481" s="93"/>
      <c r="Q481" s="110" t="str">
        <f>$Q$422</f>
        <v>A.09</v>
      </c>
      <c r="R481" t="str">
        <f>$Q$405</f>
        <v>L2</v>
      </c>
      <c r="S481">
        <f>$E$21</f>
        <v>10.6875</v>
      </c>
      <c r="T481" cm="1">
        <f t="array" ref="T481">IFERROR(IF(S481=0,0,(INDEX($C$33:$C$38,MATCH($W$422,$B$33:$B$38,0),0)*(S485+$X$422)+$T$422*COUNTIF(S481:S484,"&gt;0")*$C$32+$V$422*$C$31)*$R$422),0)</f>
        <v>0</v>
      </c>
      <c r="U481">
        <f>IF(S481=0,0,-(COUNTIF(S481:S484,"&gt;0")*$T$422*$C$32+$V$422*$C$31)*$H$27*$R$422)</f>
        <v>0</v>
      </c>
      <c r="V481">
        <f>IF(S481=0,0,$V$422*$H$26*$R$422)</f>
        <v>0</v>
      </c>
      <c r="W481">
        <f>(0.6*T481+0.7*U481)*$R$422/2</f>
        <v>0</v>
      </c>
      <c r="X481">
        <f>(0.6*T481+0.6*V481)*$R$422/2</f>
        <v>0</v>
      </c>
      <c r="Z481">
        <f>IF(S481=0,0,$AD$422*$AP$405)</f>
        <v>0</v>
      </c>
      <c r="AA481">
        <f>IFERROR(Z481/$R$422,0)</f>
        <v>0</v>
      </c>
      <c r="AB481">
        <f>Z481*($F$21+IF($F$21=0,0,($C$14+$C$15+IF($C$13="single",1.5,3)+3)/12))</f>
        <v>0</v>
      </c>
      <c r="AC481">
        <f>AB481-W481</f>
        <v>0</v>
      </c>
      <c r="AD481" cm="1">
        <f t="array" ref="AD481">IFERROR(IF(AC481&lt;0,0,AC481/($R$422-INDEX(hd_off,MATCH(AQ481,hd_mark,0),0)/12)),0)</f>
        <v>0</v>
      </c>
      <c r="AE481">
        <f>IF(S481=0,0,$AD$422*$AM$405)</f>
        <v>0</v>
      </c>
      <c r="AF481">
        <f>IFERROR(AE481/$R$422,0)</f>
        <v>0</v>
      </c>
      <c r="AG481">
        <f>AE481*($F$21+IF($F$21=0,0,($C$14+$C$15+IF($C$13="single",1.5,3)+3)/12))</f>
        <v>0</v>
      </c>
      <c r="AH481">
        <f>AG481-X481</f>
        <v>0</v>
      </c>
      <c r="AI481" cm="1">
        <f t="array" ref="AI481">IFERROR(IF(AH481&lt;0,0,AH481/($R$422-INDEX(hd_off,MATCH(AQ481,hd_mark,0),0)/12)),0)</f>
        <v>0</v>
      </c>
      <c r="AJ481">
        <f>MAX($F$21,$Y$422)/$Q$436</f>
        <v>0.30172413793103448</v>
      </c>
      <c r="AK481">
        <f>IF(AJ481=0,0,IF(AJ481&gt;2,1.25-0.125*AJ481,1))</f>
        <v>1</v>
      </c>
      <c r="AL481" cm="1">
        <f t="array" ref="AL481">IFERROR(INDEX(sheath_ecap_asd,MATCH(AP481,sheath_mark,0),0)*AK481,0)</f>
        <v>0</v>
      </c>
      <c r="AM481" cm="1">
        <f t="array" ref="AM481">IFERROR(INDEX(sheath_wcap_asd,MATCH(AP481,sheath_mark,0),0)*AK481,0)</f>
        <v>0</v>
      </c>
      <c r="AN481" cm="1">
        <f t="array" ref="AN481">IFERROR(INDEX(hd_cap,MATCH(AQ481,hd_mark,0),0),0)</f>
        <v>0</v>
      </c>
      <c r="AP481" s="19"/>
      <c r="AQ481" s="19"/>
      <c r="AR481" s="100"/>
      <c r="AS481" s="93"/>
      <c r="AT481" s="110" t="str">
        <f>$AT$422</f>
        <v>1.09</v>
      </c>
      <c r="AU481" t="str">
        <f>$Q$405</f>
        <v>L2</v>
      </c>
      <c r="AV481">
        <f>$E$21</f>
        <v>10.6875</v>
      </c>
      <c r="AW481" cm="1">
        <f t="array" ref="AW481">IFERROR(IF(AV481=0,0,(INDEX($C$33:$C$38,MATCH($AZ$422,$B$33:$B$38,0),0)*(AV485+$BA$422)+$AW$422*COUNTIF(AV481:AV484,"&gt;0")*$C$32+$AY$422*$C$31)*$AU$422),0)</f>
        <v>0</v>
      </c>
      <c r="AX481">
        <f>IF(AV481=0,0,-(COUNTIF(AV481:AV484,"&gt;0")*$AW$422*$C$32+$AY$422*$C$31)*$H$27*$AU$422)</f>
        <v>0</v>
      </c>
      <c r="AY481">
        <f>IF(AV481=0,0,$AY$422*$H$26*$AU$422)</f>
        <v>0</v>
      </c>
      <c r="AZ481">
        <f>(0.6*AW481+0.7*AX481)*$AU$422/2</f>
        <v>0</v>
      </c>
      <c r="BA481">
        <f>(0.6*AW481+0.6*AY481)*$AU$422/2</f>
        <v>0</v>
      </c>
      <c r="BC481">
        <f>IF(AV481=0,0,$BG$422*$AP$405)</f>
        <v>0</v>
      </c>
      <c r="BD481">
        <f>IFERROR(BC481/$AU$422,0)</f>
        <v>0</v>
      </c>
      <c r="BE481">
        <f>BC481*($F$21+IF($F$21=0,0,($C$14+$C$15+IF($C$13="single",1.5,3)+3)/12))</f>
        <v>0</v>
      </c>
      <c r="BF481">
        <f>BE481-AZ481</f>
        <v>0</v>
      </c>
      <c r="BG481" cm="1">
        <f t="array" ref="BG481">IFERROR(IF(BF481&lt;0,0,BF481/($AU$422-INDEX(hd_off,MATCH(BT481,hd_mark,0),0)/12)),0)</f>
        <v>0</v>
      </c>
      <c r="BH481">
        <f>IF(AV481=0,0,$BG$422*$AM$405)</f>
        <v>0</v>
      </c>
      <c r="BI481">
        <f>IFERROR(BH481/$AU$422,0)</f>
        <v>0</v>
      </c>
      <c r="BJ481">
        <f>BH481*($F$21+IF($F$21=0,0,($C$14+$C$15+IF($C$13="single",1.5,3)+3)/12))</f>
        <v>0</v>
      </c>
      <c r="BK481">
        <f>BJ481-BA481</f>
        <v>0</v>
      </c>
      <c r="BL481" cm="1">
        <f t="array" ref="BL481">IFERROR(IF(BK481&lt;0,0,BK481/($AU$422-INDEX(hd_off,MATCH(BT481,hd_mark,0),0)/12)),0)</f>
        <v>0</v>
      </c>
      <c r="BM481">
        <f>MAX($F$21,$BB$422)/$Q$436</f>
        <v>0.30172413793103448</v>
      </c>
      <c r="BN481">
        <f>IF(BM481=0,0,IF(BM481&gt;2,1.25-0.125*BM481,1))</f>
        <v>1</v>
      </c>
      <c r="BO481" cm="1">
        <f t="array" ref="BO481">IFERROR(INDEX(sheath_ecap_asd,MATCH(BS481,sheath_mark,0),0)*BN481,0)</f>
        <v>0</v>
      </c>
      <c r="BP481" cm="1">
        <f t="array" ref="BP481">IFERROR(INDEX(sheath_wcap_asd,MATCH(BS481,sheath_mark,0),0)*BN481,0)</f>
        <v>0</v>
      </c>
      <c r="BQ481" cm="1">
        <f t="array" ref="BQ481">IFERROR(INDEX(hd_cap,MATCH(BT481,hd_mark,0),0),0)</f>
        <v>0</v>
      </c>
      <c r="BS481" s="19"/>
      <c r="BT481" s="19"/>
      <c r="BU481" s="100"/>
    </row>
    <row r="482" x14ac:dyDescent="0.25">
      <c r="P482" s="93"/>
      <c r="Q482" s="109"/>
      <c r="R482" t="str">
        <f>$Q$406</f>
        <v>L3</v>
      </c>
      <c r="S482">
        <f>$E$22</f>
        <v>21.375</v>
      </c>
      <c r="T482" cm="1">
        <f t="array" ref="T482">IFERROR(IF(S482=0,0,(INDEX($C$33:$C$38,MATCH($W$422,$B$33:$B$38,0),0)*(S485+$X$422)+$T$422*COUNTIF(S482:S484,"&gt;0")*$C$32+$V$422*$C$31)*$R$422),0)</f>
        <v>0</v>
      </c>
      <c r="U482">
        <f>IF(S482=0,0,-(COUNTIF(S482:S484,"&gt;0")*$T$422*$C$32+$V$422*$C$31)*$H$27*$R$422)</f>
        <v>0</v>
      </c>
      <c r="V482">
        <f>IF(S482=0,0,$V$422*$H$26*$R$422)</f>
        <v>0</v>
      </c>
      <c r="W482">
        <f>(0.6*T482+0.7*U482)*$R$422/2</f>
        <v>0</v>
      </c>
      <c r="X482">
        <f>T482*$R$422/2</f>
        <v>0</v>
      </c>
      <c r="Z482">
        <f>IF(S482=0,0,$AD$422*$AP$406)</f>
        <v>0</v>
      </c>
      <c r="AA482">
        <f>IFERROR(Z482/$R$422,0)</f>
        <v>0</v>
      </c>
      <c r="AB482">
        <f>Z482*($F$22+IF($F$22=0,0,($C$14+$C$15+IF($C$13="single",1.5,3)+3)/12))</f>
        <v>0</v>
      </c>
      <c r="AC482">
        <f>AB482-W482</f>
        <v>0</v>
      </c>
      <c r="AD482" cm="1">
        <f t="array" ref="AD482">IFERROR(IF(AC482&lt;0,0,AC482/($R$422-INDEX(hd_off,MATCH(AQ482,hd_mark,0),0)/12)),0)</f>
        <v>0</v>
      </c>
      <c r="AE482">
        <f>IF(S482=0,0,$AD$422*$AM$406)</f>
        <v>0</v>
      </c>
      <c r="AF482">
        <f>IFERROR(AE482/$R$422,0)</f>
        <v>0</v>
      </c>
      <c r="AG482">
        <f>AE482*($F$22+IF($F$22=0,0,($C$14+$C$15+IF($C$13="single",1.5,3)+3)/12))</f>
        <v>0</v>
      </c>
      <c r="AH482">
        <f>AG482-X482</f>
        <v>0</v>
      </c>
      <c r="AI482" cm="1">
        <f t="array" ref="AI482">IFERROR(IF(AH482&lt;0,0,AH482/($R$422-INDEX(hd_off,MATCH(AQ482,hd_mark,0),0)/12)),0)</f>
        <v>0</v>
      </c>
      <c r="AJ482">
        <f>MAX($F$22,$Z$422)/$Q$436</f>
        <v>0.30172413793103448</v>
      </c>
      <c r="AK482">
        <f t="shared" ref="AK482:AK485" si="299">IF(AJ482=0,0,IF(AJ482&gt;2,1.25-0.125*AJ482,1))</f>
        <v>1</v>
      </c>
      <c r="AL482" cm="1">
        <f t="array" ref="AL482">IFERROR(INDEX(sheath_ecap_asd,MATCH(AP482,sheath_mark,0),0)*AK482,0)</f>
        <v>0</v>
      </c>
      <c r="AM482" cm="1">
        <f t="array" ref="AM482">IFERROR(INDEX(sheath_wcap_asd,MATCH(AP482,sheath_mark,0),0)*AK482,0)</f>
        <v>0</v>
      </c>
      <c r="AN482" cm="1">
        <f t="array" ref="AN482">IFERROR(INDEX(hd_cap,MATCH(AQ482,hd_mark,0),0),0)</f>
        <v>0</v>
      </c>
      <c r="AP482" s="19"/>
      <c r="AQ482" s="19"/>
      <c r="AR482" s="100"/>
      <c r="AS482" s="93"/>
      <c r="AT482" s="109"/>
      <c r="AU482" t="str">
        <f>$Q$406</f>
        <v>L3</v>
      </c>
      <c r="AV482">
        <f>$E$22</f>
        <v>21.375</v>
      </c>
      <c r="AW482" cm="1">
        <f t="array" ref="AW482">IFERROR(IF(AV482=0,0,(INDEX($C$33:$C$38,MATCH($AZ$422,$B$33:$B$38,0),0)*(AV485+$BA$422)+$AW$422*COUNTIF(AV482:AV484,"&gt;0")*$C$32+$AY$422*$C$31)*$AU$422),0)</f>
        <v>0</v>
      </c>
      <c r="AX482">
        <f>IF(AV482=0,0,-(COUNTIF(AV482:AV484,"&gt;0")*$AW$422*$C$32+$AY$422*$C$31)*$H$27*$AU$422)</f>
        <v>0</v>
      </c>
      <c r="AY482">
        <f>IF(AV482=0,0,$AY$422*$H$26*$AU$422)</f>
        <v>0</v>
      </c>
      <c r="AZ482">
        <f>(0.6*AW482+0.7*AX482)*$AU$422/2</f>
        <v>0</v>
      </c>
      <c r="BA482">
        <f>AW482*$AU$422/2</f>
        <v>0</v>
      </c>
      <c r="BC482">
        <f>IF(AV482=0,0,$BG$422*$AP$406)</f>
        <v>0</v>
      </c>
      <c r="BD482">
        <f>IFERROR(BC482/$AU$422,0)</f>
        <v>0</v>
      </c>
      <c r="BE482">
        <f>BC482*($F$22+IF($F$22=0,0,($C$14+$C$15+IF($C$13="single",1.5,3)+3)/12))</f>
        <v>0</v>
      </c>
      <c r="BF482">
        <f>BE482-AZ482</f>
        <v>0</v>
      </c>
      <c r="BG482" cm="1">
        <f t="array" ref="BG482">IFERROR(IF(BF482&lt;0,0,BF482/($AU$422-INDEX(hd_off,MATCH(BT482,hd_mark,0),0)/12)),0)</f>
        <v>0</v>
      </c>
      <c r="BH482">
        <f>IF(AV482=0,0,$BG$422*$AM$406)</f>
        <v>0</v>
      </c>
      <c r="BI482">
        <f>IFERROR(BH482/$AU$422,0)</f>
        <v>0</v>
      </c>
      <c r="BJ482">
        <f>BH482*($F$22+IF($F$22=0,0,($C$14+$C$15+IF($C$13="single",1.5,3)+3)/12))</f>
        <v>0</v>
      </c>
      <c r="BK482">
        <f>BJ482-BA482</f>
        <v>0</v>
      </c>
      <c r="BL482" cm="1">
        <f t="array" ref="BL482">IFERROR(IF(BK482&lt;0,0,BK482/($AU$422-INDEX(hd_off,MATCH(BT482,hd_mark,0),0)/12)),0)</f>
        <v>0</v>
      </c>
      <c r="BM482">
        <f>MAX($F$22,$BC$422)/$Q$436</f>
        <v>0.30172413793103448</v>
      </c>
      <c r="BN482">
        <f t="shared" ref="BN482:BN485" si="300">IF(BM482=0,0,IF(BM482&gt;2,1.25-0.125*BM482,1))</f>
        <v>1</v>
      </c>
      <c r="BO482" cm="1">
        <f t="array" ref="BO482">IFERROR(INDEX(sheath_ecap_asd,MATCH(BS482,sheath_mark,0),0)*BN482,0)</f>
        <v>0</v>
      </c>
      <c r="BP482" cm="1">
        <f t="array" ref="BP482">IFERROR(INDEX(sheath_wcap_asd,MATCH(BS482,sheath_mark,0),0)*BN482,0)</f>
        <v>0</v>
      </c>
      <c r="BQ482" cm="1">
        <f t="array" ref="BQ482">IFERROR(INDEX(hd_cap,MATCH(BT482,hd_mark,0),0),0)</f>
        <v>0</v>
      </c>
      <c r="BS482" s="19"/>
      <c r="BT482" s="19"/>
      <c r="BU482" s="100"/>
    </row>
    <row r="483" x14ac:dyDescent="0.25">
      <c r="P483" s="93"/>
      <c r="Q483" s="109" t="s">
        <v>491</v>
      </c>
      <c r="R483" t="str">
        <f>$Q$407</f>
        <v>L4</v>
      </c>
      <c r="S483">
        <f>$E$23</f>
        <v>0</v>
      </c>
      <c r="T483" cm="1">
        <f t="array" ref="T483">IFERROR(IF(S483=0,0,(INDEX($C$33:$C$38,MATCH($W$422,$B$33:$B$38,0),0)*(S485+$X$422)+$T$422*COUNTIF(S483:S484,"&gt;0")*$C$32+$V$422*$C$31)*$R$422),0)</f>
        <v>0</v>
      </c>
      <c r="U483">
        <f>IF(S483=0,0,-(COUNTIF(S483:S484,"&gt;0")*$T$422*$C$32+$V$422*$C$31)*$H$27*$R$422)</f>
        <v>0</v>
      </c>
      <c r="V483">
        <f>IF(S483=0,0,$V$422*$H$26*$R$422)</f>
        <v>0</v>
      </c>
      <c r="W483">
        <f>(0.6*T483+0.7*U483)*$R$422/2</f>
        <v>0</v>
      </c>
      <c r="X483">
        <f>T483*$R$422/2</f>
        <v>0</v>
      </c>
      <c r="Z483">
        <f>IF(S483=0,0,$AD$422*$AP$407)</f>
        <v>0</v>
      </c>
      <c r="AA483">
        <f>IFERROR(Z483/$R$422,0)</f>
        <v>0</v>
      </c>
      <c r="AB483">
        <f>Z483*($F$23+IF($F$23=0,0,($C$14+$C$15+IF($C$13="single",1.5,3)+3)/12))</f>
        <v>0</v>
      </c>
      <c r="AC483">
        <f>AB483-W483</f>
        <v>0</v>
      </c>
      <c r="AD483" cm="1">
        <f t="array" ref="AD483">IFERROR(IF(AC483&lt;0,0,AC483/($R$422-INDEX(hd_off,MATCH(AQ483,hd_mark,0),0)/12)),0)</f>
        <v>0</v>
      </c>
      <c r="AE483">
        <f>IF(S483=0,0,$AD$422*$AM$407)</f>
        <v>0</v>
      </c>
      <c r="AF483">
        <f>IFERROR(AE483/$R$422,0)</f>
        <v>0</v>
      </c>
      <c r="AG483">
        <f>AE483*($F$23+IF($F$23=0,0,($C$14+$C$15+IF($C$13="single",1.5,3)+3)/12))</f>
        <v>0</v>
      </c>
      <c r="AH483">
        <f>AG483-X483</f>
        <v>0</v>
      </c>
      <c r="AI483" cm="1">
        <f t="array" ref="AI483">IFERROR(IF(AH483&lt;0,0,AH483/($R$422-INDEX(hd_off,MATCH(AQ483,hd_mark,0),0)/12)),0)</f>
        <v>0</v>
      </c>
      <c r="AJ483">
        <f>MAX($F$23,$AA$422)/$Q$436</f>
        <v>0</v>
      </c>
      <c r="AK483">
        <f t="shared" si="299"/>
        <v>0</v>
      </c>
      <c r="AL483" cm="1">
        <f t="array" ref="AL483">IFERROR(INDEX(sheath_ecap_asd,MATCH(AP483,sheath_mark,0),0)*AK483,0)</f>
        <v>0</v>
      </c>
      <c r="AM483" cm="1">
        <f t="array" ref="AM483">IFERROR(INDEX(sheath_wcap_asd,MATCH(AP483,sheath_mark,0),0)*AK483,0)</f>
        <v>0</v>
      </c>
      <c r="AN483" cm="1">
        <f t="array" ref="AN483">IFERROR(INDEX(hd_cap,MATCH(AQ483,hd_mark,0),0),0)</f>
        <v>0</v>
      </c>
      <c r="AP483" s="19"/>
      <c r="AQ483" s="19"/>
      <c r="AR483" s="100"/>
      <c r="AS483" s="93"/>
      <c r="AT483" s="109" t="s">
        <v>491</v>
      </c>
      <c r="AU483" t="str">
        <f>$Q$407</f>
        <v>L4</v>
      </c>
      <c r="AV483">
        <f>$E$23</f>
        <v>0</v>
      </c>
      <c r="AW483" cm="1">
        <f t="array" ref="AW483">IFERROR(IF(AV483=0,0,(INDEX($C$33:$C$38,MATCH($AZ$422,$B$33:$B$38,0),0)*(AV485+$BA$422)+$AW$422*COUNTIF(AV483:AV484,"&gt;0")*$C$32+$AY$422*$C$31)*$AU$422),0)</f>
        <v>0</v>
      </c>
      <c r="AX483">
        <f>IF(AV483=0,0,-(COUNTIF(AV483:AV484,"&gt;0")*$AW$422*$C$32+$AY$422*$C$31)*$H$27*$AU$422)</f>
        <v>0</v>
      </c>
      <c r="AY483">
        <f>IF(AV483=0,0,$AY$422*$H$26*$AU$422)</f>
        <v>0</v>
      </c>
      <c r="AZ483">
        <f>(0.6*AW483+0.7*AX483)*$AU$422/2</f>
        <v>0</v>
      </c>
      <c r="BA483">
        <f>AW483*$AU$422/2</f>
        <v>0</v>
      </c>
      <c r="BC483">
        <f>IF(AV483=0,0,$BG$422*$AP$407)</f>
        <v>0</v>
      </c>
      <c r="BD483">
        <f>IFERROR(BC483/$AU$422,0)</f>
        <v>0</v>
      </c>
      <c r="BE483">
        <f>BC483*($F$23+IF($F$23=0,0,($C$14+$C$15+IF($C$13="single",1.5,3)+3)/12))</f>
        <v>0</v>
      </c>
      <c r="BF483">
        <f>BE483-AZ483</f>
        <v>0</v>
      </c>
      <c r="BG483" cm="1">
        <f t="array" ref="BG483">IFERROR(IF(BF483&lt;0,0,BF483/($AU$422-INDEX(hd_off,MATCH(BT483,hd_mark,0),0)/12)),0)</f>
        <v>0</v>
      </c>
      <c r="BH483">
        <f>IF(AV483=0,0,$BG$422*$AM$407)</f>
        <v>0</v>
      </c>
      <c r="BI483">
        <f>IFERROR(BH483/$AU$422,0)</f>
        <v>0</v>
      </c>
      <c r="BJ483">
        <f>BH483*($F$23+IF($F$23=0,0,($C$14+$C$15+IF($C$13="single",1.5,3)+3)/12))</f>
        <v>0</v>
      </c>
      <c r="BK483">
        <f>BJ483-BA483</f>
        <v>0</v>
      </c>
      <c r="BL483" cm="1">
        <f t="array" ref="BL483">IFERROR(IF(BK483&lt;0,0,BK483/($AU$422-INDEX(hd_off,MATCH(BT483,hd_mark,0),0)/12)),0)</f>
        <v>0</v>
      </c>
      <c r="BM483">
        <f>MAX($F$23,$BD$422)/$Q$436</f>
        <v>0</v>
      </c>
      <c r="BN483">
        <f t="shared" si="300"/>
        <v>0</v>
      </c>
      <c r="BO483" cm="1">
        <f t="array" ref="BO483">IFERROR(INDEX(sheath_ecap_asd,MATCH(BS483,sheath_mark,0),0)*BN483,0)</f>
        <v>0</v>
      </c>
      <c r="BP483" cm="1">
        <f t="array" ref="BP483">IFERROR(INDEX(sheath_wcap_asd,MATCH(BS483,sheath_mark,0),0)*BN483,0)</f>
        <v>0</v>
      </c>
      <c r="BQ483" cm="1">
        <f t="array" ref="BQ483">IFERROR(INDEX(hd_cap,MATCH(BT483,hd_mark,0),0),0)</f>
        <v>0</v>
      </c>
      <c r="BS483" s="19"/>
      <c r="BT483" s="19"/>
      <c r="BU483" s="100"/>
    </row>
    <row r="484" x14ac:dyDescent="0.25">
      <c r="P484" s="93"/>
      <c r="Q484" s="111">
        <f>$R$422</f>
        <v>0</v>
      </c>
      <c r="R484" t="str">
        <f>$Q$408</f>
        <v>L5</v>
      </c>
      <c r="S484">
        <f>$E$24</f>
        <v>0</v>
      </c>
      <c r="T484" cm="1">
        <f t="array" ref="T484">IFERROR(IF(S484=0,0,(INDEX($C$33:$C$38,MATCH($W$422,$B$33:$B$38,0),0)*(S485+$X$422)+$T$422*COUNTIF(S484:S484,"&gt;0")*$C$32+$V$422*$C$31)*$R$422),0)</f>
        <v>0</v>
      </c>
      <c r="U484">
        <f>IF(S484=0,0,-(COUNTIF(S484:S484,"&gt;0")*$T$422*$C$32+$V$422*$C$31)*$H$27*$R$422)</f>
        <v>0</v>
      </c>
      <c r="V484">
        <f>IF(S484=0,0,$V$422*$H$26*$R$422)</f>
        <v>0</v>
      </c>
      <c r="W484">
        <f>(0.6*T484+0.7*U484)*$R$422/2</f>
        <v>0</v>
      </c>
      <c r="X484">
        <f>T484*$R$422/2</f>
        <v>0</v>
      </c>
      <c r="Z484">
        <f>IF(S484=0,0,$AD$422*$AP$408)</f>
        <v>0</v>
      </c>
      <c r="AA484">
        <f>IFERROR(Z484/$R$422,0)</f>
        <v>0</v>
      </c>
      <c r="AB484">
        <f>Z484*($F$24+IF($F$24=0,0,($C$14+$C$15+IF($C$13="single",1.5,3)+3)/12))</f>
        <v>0</v>
      </c>
      <c r="AC484">
        <f>AB484-W484</f>
        <v>0</v>
      </c>
      <c r="AD484" cm="1">
        <f t="array" ref="AD484">IFERROR(IF(AC484&lt;0,0,AC484/($R$422-INDEX(hd_off,MATCH(AQ484,hd_mark,0),0)/12)),0)</f>
        <v>0</v>
      </c>
      <c r="AE484">
        <f>IF(S484=0,0,$AD$422*$AM$408)</f>
        <v>0</v>
      </c>
      <c r="AF484">
        <f>IFERROR(AE484/$R$422,0)</f>
        <v>0</v>
      </c>
      <c r="AG484">
        <f>AE484*($F$24+IF($F$24=0,0,($C$14+$C$15+IF($C$13="single",1.5,3)+3)/12))</f>
        <v>0</v>
      </c>
      <c r="AH484">
        <f>AG484-X484</f>
        <v>0</v>
      </c>
      <c r="AI484" cm="1">
        <f t="array" ref="AI484">IFERROR(IF(AH484&lt;0,0,AH484/($R$422-INDEX(hd_off,MATCH(AQ484,hd_mark,0),0)/12)),0)</f>
        <v>0</v>
      </c>
      <c r="AJ484">
        <f>MAX($F$24,$AB$422)/$Q$436</f>
        <v>0</v>
      </c>
      <c r="AK484">
        <f t="shared" si="299"/>
        <v>0</v>
      </c>
      <c r="AL484" cm="1">
        <f t="array" ref="AL484">IFERROR(INDEX(sheath_ecap_asd,MATCH(AP484,sheath_mark,0),0)*AK484,0)</f>
        <v>0</v>
      </c>
      <c r="AM484" cm="1">
        <f t="array" ref="AM484">IFERROR(INDEX(sheath_wcap_asd,MATCH(AP484,sheath_mark,0),0)*AK484,0)</f>
        <v>0</v>
      </c>
      <c r="AN484" cm="1">
        <f t="array" ref="AN484">IFERROR(INDEX(hd_cap,MATCH(AQ484,hd_mark,0),0),0)</f>
        <v>0</v>
      </c>
      <c r="AP484" s="19"/>
      <c r="AQ484" s="19"/>
      <c r="AR484" s="100"/>
      <c r="AS484" s="93"/>
      <c r="AT484" s="111">
        <f>$R$422</f>
        <v>0</v>
      </c>
      <c r="AU484" t="str">
        <f>$Q$408</f>
        <v>L5</v>
      </c>
      <c r="AV484">
        <f>$E$24</f>
        <v>0</v>
      </c>
      <c r="AW484" cm="1">
        <f t="array" ref="AW484">IFERROR(IF(AV484=0,0,(INDEX($C$33:$C$38,MATCH($AZ$422,$B$33:$B$38,0),0)*(AV485+$BA$422)+$AW$422*COUNTIF(AV484:AV484,"&gt;0")*$C$32+$AY$422*$C$31)*$AU$422),0)</f>
        <v>0</v>
      </c>
      <c r="AX484">
        <f>IF(AV484=0,0,-(COUNTIF(AV484:AV484,"&gt;0")*$AW$422*$C$32+$AY$422*$C$31)*$H$27*$AU$422)</f>
        <v>0</v>
      </c>
      <c r="AY484">
        <f>IF(AV484=0,0,$AY$422*$H$26*$AU$422)</f>
        <v>0</v>
      </c>
      <c r="AZ484">
        <f>(0.6*AW484+0.7*AX484)*$AU$422/2</f>
        <v>0</v>
      </c>
      <c r="BA484">
        <f>AW484*$AU$422/2</f>
        <v>0</v>
      </c>
      <c r="BC484">
        <f>IF(AV484=0,0,$BG$422*$AP$408)</f>
        <v>0</v>
      </c>
      <c r="BD484">
        <f>IFERROR(BC484/$AU$422,0)</f>
        <v>0</v>
      </c>
      <c r="BE484">
        <f>BC484*($F$24+IF($F$24=0,0,($C$14+$C$15+IF($C$13="single",1.5,3)+3)/12))</f>
        <v>0</v>
      </c>
      <c r="BF484">
        <f>BE484-AZ484</f>
        <v>0</v>
      </c>
      <c r="BG484" cm="1">
        <f t="array" ref="BG484">IFERROR(IF(BF484&lt;0,0,BF484/($AU$422-INDEX(hd_off,MATCH(BT484,hd_mark,0),0)/12)),0)</f>
        <v>0</v>
      </c>
      <c r="BH484">
        <f>IF(AV484=0,0,$BG$422*$AM$408)</f>
        <v>0</v>
      </c>
      <c r="BI484">
        <f>IFERROR(BH484/$AU$422,0)</f>
        <v>0</v>
      </c>
      <c r="BJ484">
        <f>BH484*($F$24+IF($F$24=0,0,($C$14+$C$15+IF($C$13="single",1.5,3)+3)/12))</f>
        <v>0</v>
      </c>
      <c r="BK484">
        <f>BJ484-BA484</f>
        <v>0</v>
      </c>
      <c r="BL484" cm="1">
        <f t="array" ref="BL484">IFERROR(IF(BK484&lt;0,0,BK484/($AU$422-INDEX(hd_off,MATCH(BT484,hd_mark,0),0)/12)),0)</f>
        <v>0</v>
      </c>
      <c r="BM484">
        <f>MAX($F$24,$BE$422)/$Q$436</f>
        <v>0</v>
      </c>
      <c r="BN484">
        <f t="shared" si="300"/>
        <v>0</v>
      </c>
      <c r="BO484" cm="1">
        <f t="array" ref="BO484">IFERROR(INDEX(sheath_ecap_asd,MATCH(BS484,sheath_mark,0),0)*BN484,0)</f>
        <v>0</v>
      </c>
      <c r="BP484" cm="1">
        <f t="array" ref="BP484">IFERROR(INDEX(sheath_wcap_asd,MATCH(BS484,sheath_mark,0),0)*BN484,0)</f>
        <v>0</v>
      </c>
      <c r="BQ484" cm="1">
        <f t="array" ref="BQ484">IFERROR(INDEX(hd_cap,MATCH(BT484,hd_mark,0),0),0)</f>
        <v>0</v>
      </c>
      <c r="BS484" s="19"/>
      <c r="BT484" s="19"/>
      <c r="BU484" s="100"/>
    </row>
    <row r="485" x14ac:dyDescent="0.25">
      <c r="P485" s="93"/>
      <c r="Q485" s="109"/>
      <c r="R485" t="str">
        <f>$Q$409</f>
        <v>Roof</v>
      </c>
      <c r="S485">
        <f>$E$25</f>
        <v>33.171875</v>
      </c>
      <c r="T485" cm="1">
        <f t="array" ref="T485">IFERROR(IF(S485=0,0,(INDEX($C$33:$C$38,MATCH($W$422,$B$33:$B$38,0),0)*(S485+$X$422)+$V$422*$C$31)*$R$422),0)</f>
        <v>0</v>
      </c>
      <c r="U485">
        <f>IF(S485=0,0,-$V$422*$C$31*$H$27*$R$422)</f>
        <v>0</v>
      </c>
      <c r="V485">
        <f>IF(S485=0,0,$V$422*$H$26*$R$422)</f>
        <v>0</v>
      </c>
      <c r="W485">
        <f>(0.6*T485+0.7*U485)*$R$422/2</f>
        <v>0</v>
      </c>
      <c r="X485">
        <f>T485*$R$422/2</f>
        <v>0</v>
      </c>
      <c r="Z485">
        <f>IF(S485=0,0,$AD$422*$AP$409)</f>
        <v>0</v>
      </c>
      <c r="AA485">
        <f>IFERROR(Z485/$R$422,0)</f>
        <v>0</v>
      </c>
      <c r="AB485">
        <f>Z485*($F$25+($C$16+$C$17+IF($C$13="single",1.5,3)+3)/12)</f>
        <v>0</v>
      </c>
      <c r="AC485">
        <f>AB485-W485</f>
        <v>0</v>
      </c>
      <c r="AD485" cm="1">
        <f t="array" ref="AD485">IFERROR(IF(AC485&lt;0,0,AC485/($R$422-INDEX(hd_off,MATCH(AQ485,hd_mark,0),0)/12)),0)</f>
        <v>0</v>
      </c>
      <c r="AE485">
        <f>IF(S485=0,0,$AD$422*$AM$409)</f>
        <v>0</v>
      </c>
      <c r="AF485">
        <f>IFERROR(AE485/$R$422,0)</f>
        <v>0</v>
      </c>
      <c r="AG485">
        <f>AE485*($F$25+($C$16+$C$17+IF($C$13="single",1.5,3)+3)/12)</f>
        <v>0</v>
      </c>
      <c r="AH485">
        <f>AG485-X485</f>
        <v>0</v>
      </c>
      <c r="AI485" cm="1">
        <f t="array" ref="AI485">IFERROR(IF(AH485&lt;0,0,AH485/($R$422-INDEX(hd_off,MATCH(AQ485,hd_mark,0),0)/12)),0)</f>
        <v>0</v>
      </c>
      <c r="AJ485">
        <f>MAX($F$25,$AC$422)/$Q$436</f>
        <v>0.29920977011494249</v>
      </c>
      <c r="AK485">
        <f t="shared" si="299"/>
        <v>1</v>
      </c>
      <c r="AL485" cm="1">
        <f t="array" ref="AL485">IFERROR(INDEX(sheath_ecap_asd,MATCH(AP485,sheath_mark,0),0)*AK485,0)</f>
        <v>0</v>
      </c>
      <c r="AM485" cm="1">
        <f t="array" ref="AM485">IFERROR(INDEX(sheath_wcap_asd,MATCH(AP485,sheath_mark,0),0)*AK485,0)</f>
        <v>0</v>
      </c>
      <c r="AN485" cm="1">
        <f t="array" ref="AN485">IFERROR(INDEX(hd_cap,MATCH(AQ485,hd_mark,0),0),0)</f>
        <v>0</v>
      </c>
      <c r="AP485" s="19"/>
      <c r="AQ485" s="19"/>
      <c r="AR485" s="100"/>
      <c r="AS485" s="93"/>
      <c r="AT485" s="109"/>
      <c r="AU485" t="str">
        <f>$Q$409</f>
        <v>Roof</v>
      </c>
      <c r="AV485">
        <f>$E$25</f>
        <v>33.171875</v>
      </c>
      <c r="AW485" cm="1">
        <f t="array" ref="AW485">IFERROR(IF(AV485=0,0,(INDEX($C$33:$C$38,MATCH($AZ$422,$B$33:$B$38,0),0)*(AV485+$BA$422)+$AY$422*$C$31)*$AU$422),0)</f>
        <v>0</v>
      </c>
      <c r="AX485">
        <f>IF(AV485=0,0,-$AY$422*$C$31*$H$27*$AU$422)</f>
        <v>0</v>
      </c>
      <c r="AY485">
        <f>IF(AV485=0,0,$AY$422*$H$26*$AU$422)</f>
        <v>0</v>
      </c>
      <c r="AZ485">
        <f>(0.6*AW485+0.7*AX485)*$AU$422/2</f>
        <v>0</v>
      </c>
      <c r="BA485">
        <f>AW485*$AU$422/2</f>
        <v>0</v>
      </c>
      <c r="BC485">
        <f>IF(AV485=0,0,$BG$422*$AP$409)</f>
        <v>0</v>
      </c>
      <c r="BD485">
        <f>IFERROR(BC485/$AU$422,0)</f>
        <v>0</v>
      </c>
      <c r="BE485">
        <f>BC485*($F$25+($C$16+$C$17+IF($C$13="single",1.5,3)+3)/12)</f>
        <v>0</v>
      </c>
      <c r="BF485">
        <f>BE485-AZ485</f>
        <v>0</v>
      </c>
      <c r="BG485" cm="1">
        <f t="array" ref="BG485">IFERROR(IF(BF485&lt;0,0,BF485/($AU$422-INDEX(hd_off,MATCH(BT485,hd_mark,0),0)/12)),0)</f>
        <v>0</v>
      </c>
      <c r="BH485">
        <f>IF(AV485=0,0,$BG$422*$AM$409)</f>
        <v>0</v>
      </c>
      <c r="BI485">
        <f>IFERROR(BH485/$AU$422,0)</f>
        <v>0</v>
      </c>
      <c r="BJ485">
        <f>BH485*($F$25+($C$16+$C$17+IF($C$13="single",1.5,3)+3)/12)</f>
        <v>0</v>
      </c>
      <c r="BK485">
        <f>BJ485-BA485</f>
        <v>0</v>
      </c>
      <c r="BL485" cm="1">
        <f t="array" ref="BL485">IFERROR(IF(BK485&lt;0,0,BK485/($AU$422-INDEX(hd_off,MATCH(BT485,hd_mark,0),0)/12)),0)</f>
        <v>0</v>
      </c>
      <c r="BM485">
        <f>MAX($F$25,$BF$422)/$Q$436</f>
        <v>0.29920977011494249</v>
      </c>
      <c r="BN485">
        <f t="shared" si="300"/>
        <v>1</v>
      </c>
      <c r="BO485" cm="1">
        <f t="array" ref="BO485">IFERROR(INDEX(sheath_ecap_asd,MATCH(BS485,sheath_mark,0),0)*BN485,0)</f>
        <v>0</v>
      </c>
      <c r="BP485" cm="1">
        <f t="array" ref="BP485">IFERROR(INDEX(sheath_wcap_asd,MATCH(BS485,sheath_mark,0),0)*BN485,0)</f>
        <v>0</v>
      </c>
      <c r="BQ485" cm="1">
        <f t="array" ref="BQ485">IFERROR(INDEX(hd_cap,MATCH(BT485,hd_mark,0),0),0)</f>
        <v>0</v>
      </c>
      <c r="BS485" s="19"/>
      <c r="BT485" s="19"/>
      <c r="BU485" s="100"/>
    </row>
    <row r="486" x14ac:dyDescent="0.25">
      <c r="P486" s="93"/>
      <c r="AR486" s="100"/>
      <c r="AS486" s="93"/>
      <c r="BU486" s="100"/>
    </row>
    <row r="487" x14ac:dyDescent="0.25">
      <c r="P487" s="93"/>
      <c r="Q487" s="110" t="str">
        <f>$Q$423</f>
        <v>A.10</v>
      </c>
      <c r="R487" t="str">
        <f>$Q$405</f>
        <v>L2</v>
      </c>
      <c r="S487">
        <f>$E$21</f>
        <v>10.6875</v>
      </c>
      <c r="T487" cm="1">
        <f t="array" ref="T487">IFERROR(IF(S487=0,0,(INDEX($C$33:$C$38,MATCH($W$423,$B$33:$B$38,0),0)*(S491+$X$423)+$T$423*COUNTIF(S487:S490,"&gt;0")*$C$32+$V$423*$C$31)*$R$423),0)</f>
        <v>0</v>
      </c>
      <c r="U487">
        <f>IF(S487=0,0,-(COUNTIF(S487:S490,"&gt;0")*$T$423*$C$32+$V$423*$C$31)*$H$27*$R$423)</f>
        <v>0</v>
      </c>
      <c r="V487">
        <f>IF(S487=0,0,$V$423*$H$26*$R$423)</f>
        <v>0</v>
      </c>
      <c r="W487">
        <f>(0.6*T487+0.7*U487)*$R$423/2</f>
        <v>0</v>
      </c>
      <c r="X487">
        <f>(0.6*T487+0.6*V487)*$R$423/2</f>
        <v>0</v>
      </c>
      <c r="Z487">
        <f>IF(S487=0,0,$AD$423*$AP$405)</f>
        <v>0</v>
      </c>
      <c r="AA487">
        <f>IFERROR(Z487/$R$423,0)</f>
        <v>0</v>
      </c>
      <c r="AB487">
        <f>Z487*($F$21+IF($F$21=0,0,($C$14+$C$15+IF($C$13="single",1.5,3)+3)/12))</f>
        <v>0</v>
      </c>
      <c r="AC487">
        <f>AB487-W487</f>
        <v>0</v>
      </c>
      <c r="AD487" cm="1">
        <f t="array" ref="AD487">IFERROR(IF(AC487&lt;0,0,AC487/($R$423-INDEX(hd_off,MATCH(AQ487,hd_mark,0),0)/12)),0)</f>
        <v>0</v>
      </c>
      <c r="AE487">
        <f>IF(S487=0,0,$AD$423*$AM$405)</f>
        <v>0</v>
      </c>
      <c r="AF487">
        <f>IFERROR(AE487/$R$423,0)</f>
        <v>0</v>
      </c>
      <c r="AG487">
        <f>AE487*($F$21+IF($F$21=0,0,($C$14+$C$15+IF($C$13="single",1.5,3)+3)/12))</f>
        <v>0</v>
      </c>
      <c r="AH487">
        <f>AG487-X487</f>
        <v>0</v>
      </c>
      <c r="AI487" cm="1">
        <f t="array" ref="AI487">IFERROR(IF(AH487&lt;0,0,AH487/($R$423-INDEX(hd_off,MATCH(AQ487,hd_mark,0),0)/12)),0)</f>
        <v>0</v>
      </c>
      <c r="AJ487">
        <f>MAX($F$21,$Y$423)/$Q$436</f>
        <v>0.30172413793103448</v>
      </c>
      <c r="AK487">
        <f>IF(AJ487=0,0,IF(AJ487&gt;2,1.25-0.125*AJ487,1))</f>
        <v>1</v>
      </c>
      <c r="AL487" cm="1">
        <f t="array" ref="AL487">IFERROR(INDEX(sheath_ecap_asd,MATCH(AP487,sheath_mark,0),0)*AK487,0)</f>
        <v>0</v>
      </c>
      <c r="AM487" cm="1">
        <f t="array" ref="AM487">IFERROR(INDEX(sheath_wcap_asd,MATCH(AP487,sheath_mark,0),0)*AK487,0)</f>
        <v>0</v>
      </c>
      <c r="AN487" cm="1">
        <f t="array" ref="AN487">IFERROR(INDEX(hd_cap,MATCH(AQ487,hd_mark,0),0),0)</f>
        <v>0</v>
      </c>
      <c r="AP487" s="19"/>
      <c r="AQ487" s="19"/>
      <c r="AR487" s="100"/>
      <c r="AS487" s="93"/>
      <c r="AT487" s="110" t="str">
        <f>$AT$423</f>
        <v>1.10</v>
      </c>
      <c r="AU487" t="str">
        <f>$Q$405</f>
        <v>L2</v>
      </c>
      <c r="AV487">
        <f>$E$21</f>
        <v>10.6875</v>
      </c>
      <c r="AW487" cm="1">
        <f t="array" ref="AW487">IFERROR(IF(AV487=0,0,(INDEX($C$33:$C$38,MATCH($AZ$423,$B$33:$B$38,0),0)*(AV491+$BA$423)+$AW$423*COUNTIF(AV487:AV490,"&gt;0")*$C$32+$AY$423*$C$31)*$AU$423),0)</f>
        <v>0</v>
      </c>
      <c r="AX487">
        <f>IF(AV487=0,0,-(COUNTIF(AV487:AV490,"&gt;0")*$AW$423*$C$32+$AY$423*$C$31)*$H$27*$AU$423)</f>
        <v>0</v>
      </c>
      <c r="AY487">
        <f>IF(AV487=0,0,$AY$423*$H$26*$AU$423)</f>
        <v>0</v>
      </c>
      <c r="AZ487">
        <f>(0.6*AW487+0.7*AX487)*$AU$423/2</f>
        <v>0</v>
      </c>
      <c r="BA487">
        <f>(0.6*AW487+0.6*AY487)*$AU$423/2</f>
        <v>0</v>
      </c>
      <c r="BC487">
        <f>IF(AV487=0,0,$BG$423*$AP$405)</f>
        <v>0</v>
      </c>
      <c r="BD487">
        <f>IFERROR(BC487/$AU$423,0)</f>
        <v>0</v>
      </c>
      <c r="BE487">
        <f>BC487*($F$21+IF($F$21=0,0,($C$14+$C$15+IF($C$13="single",1.5,3)+3)/12))</f>
        <v>0</v>
      </c>
      <c r="BF487">
        <f>BE487-AZ487</f>
        <v>0</v>
      </c>
      <c r="BG487" cm="1">
        <f t="array" ref="BG487">IFERROR(IF(BF487&lt;0,0,BF487/($AU$423-INDEX(hd_off,MATCH(BT487,hd_mark,0),0)/12)),0)</f>
        <v>0</v>
      </c>
      <c r="BH487">
        <f>IF(AV487=0,0,$BG$423*$AM$405)</f>
        <v>0</v>
      </c>
      <c r="BI487">
        <f>IFERROR(BH487/$AU$423,0)</f>
        <v>0</v>
      </c>
      <c r="BJ487">
        <f>BH487*($F$21+IF($F$21=0,0,($C$14+$C$15+IF($C$13="single",1.5,3)+3)/12))</f>
        <v>0</v>
      </c>
      <c r="BK487">
        <f>BJ487-BA487</f>
        <v>0</v>
      </c>
      <c r="BL487" cm="1">
        <f t="array" ref="BL487">IFERROR(IF(BK487&lt;0,0,BK487/($AU$423-INDEX(hd_off,MATCH(BT487,hd_mark,0),0)/12)),0)</f>
        <v>0</v>
      </c>
      <c r="BM487">
        <f>MAX($F$21,$BB$423)/$Q$436</f>
        <v>0.30172413793103448</v>
      </c>
      <c r="BN487">
        <f>IF(BM487=0,0,IF(BM487&gt;2,1.25-0.125*BM487,1))</f>
        <v>1</v>
      </c>
      <c r="BO487" cm="1">
        <f t="array" ref="BO487">IFERROR(INDEX(sheath_ecap_asd,MATCH(BS487,sheath_mark,0),0)*BN487,0)</f>
        <v>0</v>
      </c>
      <c r="BP487" cm="1">
        <f t="array" ref="BP487">IFERROR(INDEX(sheath_wcap_asd,MATCH(BS487,sheath_mark,0),0)*BN487,0)</f>
        <v>0</v>
      </c>
      <c r="BQ487" cm="1">
        <f t="array" ref="BQ487">IFERROR(INDEX(hd_cap,MATCH(BT487,hd_mark,0),0),0)</f>
        <v>0</v>
      </c>
      <c r="BS487" s="19"/>
      <c r="BT487" s="19"/>
      <c r="BU487" s="100"/>
    </row>
    <row r="488" x14ac:dyDescent="0.25">
      <c r="P488" s="93"/>
      <c r="Q488" s="109"/>
      <c r="R488" t="str">
        <f>$Q$406</f>
        <v>L3</v>
      </c>
      <c r="S488">
        <f>$E$22</f>
        <v>21.375</v>
      </c>
      <c r="T488" cm="1">
        <f t="array" ref="T488">IFERROR(IF(S488=0,0,(INDEX($C$33:$C$38,MATCH($W$423,$B$33:$B$38,0),0)*(S491+$X$423)+$T$423*COUNTIF(S488:S490,"&gt;0")*$C$32+$V$423*$C$31)*$R$423),0)</f>
        <v>0</v>
      </c>
      <c r="U488">
        <f>IF(S488=0,0,-(COUNTIF(S488:S490,"&gt;0")*$T$423*$C$32+$V$423*$C$31)*$H$27*$R$423)</f>
        <v>0</v>
      </c>
      <c r="V488">
        <f>IF(S488=0,0,$V$423*$H$26*$R$423)</f>
        <v>0</v>
      </c>
      <c r="W488">
        <f>(0.6*T488+0.7*U488)*$R$423/2</f>
        <v>0</v>
      </c>
      <c r="X488">
        <f>T488*$R$423/2</f>
        <v>0</v>
      </c>
      <c r="Z488">
        <f>IF(S488=0,0,$AD$423*$AP$406)</f>
        <v>0</v>
      </c>
      <c r="AA488">
        <f>IFERROR(Z488/$R$423,0)</f>
        <v>0</v>
      </c>
      <c r="AB488">
        <f>Z488*($F$22+IF($F$22=0,0,($C$14+$C$15+IF($C$13="single",1.5,3)+3)/12))</f>
        <v>0</v>
      </c>
      <c r="AC488">
        <f>AB488-W488</f>
        <v>0</v>
      </c>
      <c r="AD488" cm="1">
        <f t="array" ref="AD488">IFERROR(IF(AC488&lt;0,0,AC488/($R$423-INDEX(hd_off,MATCH(AQ488,hd_mark,0),0)/12)),0)</f>
        <v>0</v>
      </c>
      <c r="AE488">
        <f>IF(S488=0,0,$AD$423*$AM$406)</f>
        <v>0</v>
      </c>
      <c r="AF488">
        <f>IFERROR(AE488/$R$423,0)</f>
        <v>0</v>
      </c>
      <c r="AG488">
        <f>AE488*($F$22+IF($F$22=0,0,($C$14+$C$15+IF($C$13="single",1.5,3)+3)/12))</f>
        <v>0</v>
      </c>
      <c r="AH488">
        <f>AG488-X488</f>
        <v>0</v>
      </c>
      <c r="AI488" cm="1">
        <f t="array" ref="AI488">IFERROR(IF(AH488&lt;0,0,AH488/($R$423-INDEX(hd_off,MATCH(AQ488,hd_mark,0),0)/12)),0)</f>
        <v>0</v>
      </c>
      <c r="AJ488">
        <f>MAX($F$22,$Z$423)/$Q$436</f>
        <v>0.30172413793103448</v>
      </c>
      <c r="AK488">
        <f t="shared" ref="AK488:AK491" si="301">IF(AJ488=0,0,IF(AJ488&gt;2,1.25-0.125*AJ488,1))</f>
        <v>1</v>
      </c>
      <c r="AL488" cm="1">
        <f t="array" ref="AL488">IFERROR(INDEX(sheath_ecap_asd,MATCH(AP488,sheath_mark,0),0)*AK488,0)</f>
        <v>0</v>
      </c>
      <c r="AM488" cm="1">
        <f t="array" ref="AM488">IFERROR(INDEX(sheath_wcap_asd,MATCH(AP488,sheath_mark,0),0)*AK488,0)</f>
        <v>0</v>
      </c>
      <c r="AN488" cm="1">
        <f t="array" ref="AN488">IFERROR(INDEX(hd_cap,MATCH(AQ488,hd_mark,0),0),0)</f>
        <v>0</v>
      </c>
      <c r="AP488" s="19"/>
      <c r="AQ488" s="19"/>
      <c r="AR488" s="100"/>
      <c r="AS488" s="93"/>
      <c r="AT488" s="109"/>
      <c r="AU488" t="str">
        <f>$Q$406</f>
        <v>L3</v>
      </c>
      <c r="AV488">
        <f>$E$22</f>
        <v>21.375</v>
      </c>
      <c r="AW488" cm="1">
        <f t="array" ref="AW488">IFERROR(IF(AV488=0,0,(INDEX($C$33:$C$38,MATCH($AZ$423,$B$33:$B$38,0),0)*(AV491+$BA$423)+$AW$423*COUNTIF(AV488:AV490,"&gt;0")*$C$32+$AY$423*$C$31)*$AU$423),0)</f>
        <v>0</v>
      </c>
      <c r="AX488">
        <f>IF(AV488=0,0,-(COUNTIF(AV488:AV490,"&gt;0")*$AW$423*$C$32+$AY$423*$C$31)*$H$27*$AU$423)</f>
        <v>0</v>
      </c>
      <c r="AY488">
        <f>IF(AV488=0,0,$AY$423*$H$26*$AU$423)</f>
        <v>0</v>
      </c>
      <c r="AZ488">
        <f>(0.6*AW488+0.7*AX488)*$AU$423/2</f>
        <v>0</v>
      </c>
      <c r="BA488">
        <f>AW488*$AU$423/2</f>
        <v>0</v>
      </c>
      <c r="BC488">
        <f>IF(AV488=0,0,$BG$423*$AP$406)</f>
        <v>0</v>
      </c>
      <c r="BD488">
        <f>IFERROR(BC488/$AU$423,0)</f>
        <v>0</v>
      </c>
      <c r="BE488">
        <f>BC488*($F$22+IF($F$22=0,0,($C$14+$C$15+IF($C$13="single",1.5,3)+3)/12))</f>
        <v>0</v>
      </c>
      <c r="BF488">
        <f>BE488-AZ488</f>
        <v>0</v>
      </c>
      <c r="BG488" cm="1">
        <f t="array" ref="BG488">IFERROR(IF(BF488&lt;0,0,BF488/($AU$423-INDEX(hd_off,MATCH(BT488,hd_mark,0),0)/12)),0)</f>
        <v>0</v>
      </c>
      <c r="BH488">
        <f>IF(AV488=0,0,$BG$423*$AM$406)</f>
        <v>0</v>
      </c>
      <c r="BI488">
        <f>IFERROR(BH488/$AU$423,0)</f>
        <v>0</v>
      </c>
      <c r="BJ488">
        <f>BH488*($F$22+IF($F$22=0,0,($C$14+$C$15+IF($C$13="single",1.5,3)+3)/12))</f>
        <v>0</v>
      </c>
      <c r="BK488">
        <f>BJ488-BA488</f>
        <v>0</v>
      </c>
      <c r="BL488" cm="1">
        <f t="array" ref="BL488">IFERROR(IF(BK488&lt;0,0,BK488/($AU$423-INDEX(hd_off,MATCH(BT488,hd_mark,0),0)/12)),0)</f>
        <v>0</v>
      </c>
      <c r="BM488">
        <f>MAX($F$22,$BC$423)/$Q$436</f>
        <v>0.30172413793103448</v>
      </c>
      <c r="BN488">
        <f t="shared" ref="BN488:BN491" si="302">IF(BM488=0,0,IF(BM488&gt;2,1.25-0.125*BM488,1))</f>
        <v>1</v>
      </c>
      <c r="BO488" cm="1">
        <f t="array" ref="BO488">IFERROR(INDEX(sheath_ecap_asd,MATCH(BS488,sheath_mark,0),0)*BN488,0)</f>
        <v>0</v>
      </c>
      <c r="BP488" cm="1">
        <f t="array" ref="BP488">IFERROR(INDEX(sheath_wcap_asd,MATCH(BS488,sheath_mark,0),0)*BN488,0)</f>
        <v>0</v>
      </c>
      <c r="BQ488" cm="1">
        <f t="array" ref="BQ488">IFERROR(INDEX(hd_cap,MATCH(BT488,hd_mark,0),0),0)</f>
        <v>0</v>
      </c>
      <c r="BS488" s="19"/>
      <c r="BT488" s="19"/>
      <c r="BU488" s="100"/>
    </row>
    <row r="489" x14ac:dyDescent="0.25">
      <c r="P489" s="93"/>
      <c r="Q489" s="109" t="s">
        <v>491</v>
      </c>
      <c r="R489" t="str">
        <f>$Q$407</f>
        <v>L4</v>
      </c>
      <c r="S489">
        <f>$E$23</f>
        <v>0</v>
      </c>
      <c r="T489" cm="1">
        <f t="array" ref="T489">IFERROR(IF(S489=0,0,(INDEX($C$33:$C$38,MATCH($W$423,$B$33:$B$38,0),0)*(S491+$X$423)+$T$423*COUNTIF(S489:S490,"&gt;0")*$C$32+$V$423*$C$31)*$R$423),0)</f>
        <v>0</v>
      </c>
      <c r="U489">
        <f>IF(S489=0,0,-(COUNTIF(S489:S490,"&gt;0")*$T$423*$C$32+$V$423*$C$31)*$H$27*$R$423)</f>
        <v>0</v>
      </c>
      <c r="V489">
        <f>IF(S489=0,0,$V$423*$H$26*$R$423)</f>
        <v>0</v>
      </c>
      <c r="W489">
        <f>(0.6*T489+0.7*U489)*$R$423/2</f>
        <v>0</v>
      </c>
      <c r="X489">
        <f>T489*$R$423/2</f>
        <v>0</v>
      </c>
      <c r="Z489">
        <f>IF(S489=0,0,$AD$423*$AP$407)</f>
        <v>0</v>
      </c>
      <c r="AA489">
        <f>IFERROR(Z489/$R$423,0)</f>
        <v>0</v>
      </c>
      <c r="AB489">
        <f>Z489*($F$23+IF($F$23=0,0,($C$14+$C$15+IF($C$13="single",1.5,3)+3)/12))</f>
        <v>0</v>
      </c>
      <c r="AC489">
        <f>AB489-W489</f>
        <v>0</v>
      </c>
      <c r="AD489" cm="1">
        <f t="array" ref="AD489">IFERROR(IF(AC489&lt;0,0,AC489/($R$423-INDEX(hd_off,MATCH(AQ489,hd_mark,0),0)/12)),0)</f>
        <v>0</v>
      </c>
      <c r="AE489">
        <f>IF(S489=0,0,$AD$423*$AM$407)</f>
        <v>0</v>
      </c>
      <c r="AF489">
        <f>IFERROR(AE489/$R$423,0)</f>
        <v>0</v>
      </c>
      <c r="AG489">
        <f>AE489*($F$23+IF($F$23=0,0,($C$14+$C$15+IF($C$13="single",1.5,3)+3)/12))</f>
        <v>0</v>
      </c>
      <c r="AH489">
        <f>AG489-X489</f>
        <v>0</v>
      </c>
      <c r="AI489" cm="1">
        <f t="array" ref="AI489">IFERROR(IF(AH489&lt;0,0,AH489/($R$423-INDEX(hd_off,MATCH(AQ489,hd_mark,0),0)/12)),0)</f>
        <v>0</v>
      </c>
      <c r="AJ489">
        <f>MAX($F$23,$AA$423)/$Q$436</f>
        <v>0</v>
      </c>
      <c r="AK489">
        <f t="shared" si="301"/>
        <v>0</v>
      </c>
      <c r="AL489" cm="1">
        <f t="array" ref="AL489">IFERROR(INDEX(sheath_ecap_asd,MATCH(AP489,sheath_mark,0),0)*AK489,0)</f>
        <v>0</v>
      </c>
      <c r="AM489" cm="1">
        <f t="array" ref="AM489">IFERROR(INDEX(sheath_wcap_asd,MATCH(AP489,sheath_mark,0),0)*AK489,0)</f>
        <v>0</v>
      </c>
      <c r="AN489" cm="1">
        <f t="array" ref="AN489">IFERROR(INDEX(hd_cap,MATCH(AQ489,hd_mark,0),0),0)</f>
        <v>0</v>
      </c>
      <c r="AP489" s="19"/>
      <c r="AQ489" s="19"/>
      <c r="AR489" s="100"/>
      <c r="AS489" s="93"/>
      <c r="AT489" s="109" t="s">
        <v>491</v>
      </c>
      <c r="AU489" t="str">
        <f>$Q$407</f>
        <v>L4</v>
      </c>
      <c r="AV489">
        <f>$E$23</f>
        <v>0</v>
      </c>
      <c r="AW489" cm="1">
        <f t="array" ref="AW489">IFERROR(IF(AV489=0,0,(INDEX($C$33:$C$38,MATCH($AZ$423,$B$33:$B$38,0),0)*(AV491+$BA$423)+$AW$423*COUNTIF(AV489:AV490,"&gt;0")*$C$32+$AY$423*$C$31)*$AU$423),0)</f>
        <v>0</v>
      </c>
      <c r="AX489">
        <f>IF(AV489=0,0,-(COUNTIF(AV489:AV490,"&gt;0")*$AW$423*$C$32+$AY$423*$C$31)*$H$27*$AU$423)</f>
        <v>0</v>
      </c>
      <c r="AY489">
        <f>IF(AV489=0,0,$AY$423*$H$26*$AU$423)</f>
        <v>0</v>
      </c>
      <c r="AZ489">
        <f>(0.6*AW489+0.7*AX489)*$AU$423/2</f>
        <v>0</v>
      </c>
      <c r="BA489">
        <f>AW489*$AU$423/2</f>
        <v>0</v>
      </c>
      <c r="BC489">
        <f>IF(AV489=0,0,$BG$423*$AP$407)</f>
        <v>0</v>
      </c>
      <c r="BD489">
        <f>IFERROR(BC489/$AU$423,0)</f>
        <v>0</v>
      </c>
      <c r="BE489">
        <f>BC489*($F$23+IF($F$23=0,0,($C$14+$C$15+IF($C$13="single",1.5,3)+3)/12))</f>
        <v>0</v>
      </c>
      <c r="BF489">
        <f>BE489-AZ489</f>
        <v>0</v>
      </c>
      <c r="BG489" cm="1">
        <f t="array" ref="BG489">IFERROR(IF(BF489&lt;0,0,BF489/($AU$423-INDEX(hd_off,MATCH(BT489,hd_mark,0),0)/12)),0)</f>
        <v>0</v>
      </c>
      <c r="BH489">
        <f>IF(AV489=0,0,$BG$423*$AM$407)</f>
        <v>0</v>
      </c>
      <c r="BI489">
        <f>IFERROR(BH489/$AU$423,0)</f>
        <v>0</v>
      </c>
      <c r="BJ489">
        <f>BH489*($F$23+IF($F$23=0,0,($C$14+$C$15+IF($C$13="single",1.5,3)+3)/12))</f>
        <v>0</v>
      </c>
      <c r="BK489">
        <f>BJ489-BA489</f>
        <v>0</v>
      </c>
      <c r="BL489" cm="1">
        <f t="array" ref="BL489">IFERROR(IF(BK489&lt;0,0,BK489/($AU$423-INDEX(hd_off,MATCH(BT489,hd_mark,0),0)/12)),0)</f>
        <v>0</v>
      </c>
      <c r="BM489">
        <f>MAX($F$23,$BD$423)/$Q$436</f>
        <v>0</v>
      </c>
      <c r="BN489">
        <f t="shared" si="302"/>
        <v>0</v>
      </c>
      <c r="BO489" cm="1">
        <f t="array" ref="BO489">IFERROR(INDEX(sheath_ecap_asd,MATCH(BS489,sheath_mark,0),0)*BN489,0)</f>
        <v>0</v>
      </c>
      <c r="BP489" cm="1">
        <f t="array" ref="BP489">IFERROR(INDEX(sheath_wcap_asd,MATCH(BS489,sheath_mark,0),0)*BN489,0)</f>
        <v>0</v>
      </c>
      <c r="BQ489" cm="1">
        <f t="array" ref="BQ489">IFERROR(INDEX(hd_cap,MATCH(BT489,hd_mark,0),0),0)</f>
        <v>0</v>
      </c>
      <c r="BS489" s="19"/>
      <c r="BT489" s="19"/>
      <c r="BU489" s="100"/>
    </row>
    <row r="490" x14ac:dyDescent="0.25">
      <c r="P490" s="93"/>
      <c r="Q490" s="111">
        <f>$R$423</f>
        <v>0</v>
      </c>
      <c r="R490" t="str">
        <f>$Q$408</f>
        <v>L5</v>
      </c>
      <c r="S490">
        <f>$E$24</f>
        <v>0</v>
      </c>
      <c r="T490" cm="1">
        <f t="array" ref="T490">IFERROR(IF(S490=0,0,(INDEX($C$33:$C$38,MATCH($W$423,$B$33:$B$38,0),0)*(S491+$X$423)+$T$423*COUNTIF(S490:S490,"&gt;0")*$C$32+$V$423*$C$31)*$R$423),0)</f>
        <v>0</v>
      </c>
      <c r="U490">
        <f>IF(S490=0,0,-(COUNTIF(S490:S490,"&gt;0")*$T$423*$C$32+$V$423*$C$31)*$H$27*$R$423)</f>
        <v>0</v>
      </c>
      <c r="V490">
        <f>IF(S490=0,0,$V$423*$H$26*$R$423)</f>
        <v>0</v>
      </c>
      <c r="W490">
        <f>(0.6*T490+0.7*U490)*$R$423/2</f>
        <v>0</v>
      </c>
      <c r="X490">
        <f>T490*$R$423/2</f>
        <v>0</v>
      </c>
      <c r="Z490">
        <f>IF(S490=0,0,$AD$423*$AP$408)</f>
        <v>0</v>
      </c>
      <c r="AA490">
        <f>IFERROR(Z490/$R$423,0)</f>
        <v>0</v>
      </c>
      <c r="AB490">
        <f>Z490*($F$24+IF($F$24=0,0,($C$14+$C$15+IF($C$13="single",1.5,3)+3)/12))</f>
        <v>0</v>
      </c>
      <c r="AC490">
        <f>AB490-W490</f>
        <v>0</v>
      </c>
      <c r="AD490" cm="1">
        <f t="array" ref="AD490">IFERROR(IF(AC490&lt;0,0,AC490/($R$423-INDEX(hd_off,MATCH(AQ490,hd_mark,0),0)/12)),0)</f>
        <v>0</v>
      </c>
      <c r="AE490">
        <f>IF(S490=0,0,$AD$423*$AM$408)</f>
        <v>0</v>
      </c>
      <c r="AF490">
        <f>IFERROR(AE490/$R$423,0)</f>
        <v>0</v>
      </c>
      <c r="AG490">
        <f>AE490*($F$24+IF($F$24=0,0,($C$14+$C$15+IF($C$13="single",1.5,3)+3)/12))</f>
        <v>0</v>
      </c>
      <c r="AH490">
        <f>AG490-X490</f>
        <v>0</v>
      </c>
      <c r="AI490" cm="1">
        <f t="array" ref="AI490">IFERROR(IF(AH490&lt;0,0,AH490/($R$423-INDEX(hd_off,MATCH(AQ490,hd_mark,0),0)/12)),0)</f>
        <v>0</v>
      </c>
      <c r="AJ490">
        <f>MAX($F$24,$AB$423)/$Q$436</f>
        <v>0</v>
      </c>
      <c r="AK490">
        <f t="shared" si="301"/>
        <v>0</v>
      </c>
      <c r="AL490" cm="1">
        <f t="array" ref="AL490">IFERROR(INDEX(sheath_ecap_asd,MATCH(AP490,sheath_mark,0),0)*AK490,0)</f>
        <v>0</v>
      </c>
      <c r="AM490" cm="1">
        <f t="array" ref="AM490">IFERROR(INDEX(sheath_wcap_asd,MATCH(AP490,sheath_mark,0),0)*AK490,0)</f>
        <v>0</v>
      </c>
      <c r="AN490" cm="1">
        <f t="array" ref="AN490">IFERROR(INDEX(hd_cap,MATCH(AQ490,hd_mark,0),0),0)</f>
        <v>0</v>
      </c>
      <c r="AP490" s="19"/>
      <c r="AQ490" s="19"/>
      <c r="AR490" s="100"/>
      <c r="AS490" s="93"/>
      <c r="AT490" s="111">
        <f>$R$423</f>
        <v>0</v>
      </c>
      <c r="AU490" t="str">
        <f>$Q$408</f>
        <v>L5</v>
      </c>
      <c r="AV490">
        <f>$E$24</f>
        <v>0</v>
      </c>
      <c r="AW490" cm="1">
        <f t="array" ref="AW490">IFERROR(IF(AV490=0,0,(INDEX($C$33:$C$38,MATCH($AZ$423,$B$33:$B$38,0),0)*(AV491+$BA$423)+$AW$423*COUNTIF(AV490:AV490,"&gt;0")*$C$32+$AY$423*$C$31)*$AU$423),0)</f>
        <v>0</v>
      </c>
      <c r="AX490">
        <f>IF(AV490=0,0,-(COUNTIF(AV490:AV490,"&gt;0")*$AW$423*$C$32+$AY$423*$C$31)*$H$27*$AU$423)</f>
        <v>0</v>
      </c>
      <c r="AY490">
        <f>IF(AV490=0,0,$AY$423*$H$26*$AU$423)</f>
        <v>0</v>
      </c>
      <c r="AZ490">
        <f>(0.6*AW490+0.7*AX490)*$AU$423/2</f>
        <v>0</v>
      </c>
      <c r="BA490">
        <f>AW490*$AU$423/2</f>
        <v>0</v>
      </c>
      <c r="BC490">
        <f>IF(AV490=0,0,$BG$423*$AP$408)</f>
        <v>0</v>
      </c>
      <c r="BD490">
        <f>IFERROR(BC490/$AU$423,0)</f>
        <v>0</v>
      </c>
      <c r="BE490">
        <f>BC490*($F$24+IF($F$24=0,0,($C$14+$C$15+IF($C$13="single",1.5,3)+3)/12))</f>
        <v>0</v>
      </c>
      <c r="BF490">
        <f>BE490-AZ490</f>
        <v>0</v>
      </c>
      <c r="BG490" cm="1">
        <f t="array" ref="BG490">IFERROR(IF(BF490&lt;0,0,BF490/($AU$423-INDEX(hd_off,MATCH(BT490,hd_mark,0),0)/12)),0)</f>
        <v>0</v>
      </c>
      <c r="BH490">
        <f>IF(AV490=0,0,$BG$423*$AM$408)</f>
        <v>0</v>
      </c>
      <c r="BI490">
        <f>IFERROR(BH490/$AU$423,0)</f>
        <v>0</v>
      </c>
      <c r="BJ490">
        <f>BH490*($F$24+IF($F$24=0,0,($C$14+$C$15+IF($C$13="single",1.5,3)+3)/12))</f>
        <v>0</v>
      </c>
      <c r="BK490">
        <f>BJ490-BA490</f>
        <v>0</v>
      </c>
      <c r="BL490" cm="1">
        <f t="array" ref="BL490">IFERROR(IF(BK490&lt;0,0,BK490/($AU$423-INDEX(hd_off,MATCH(BT490,hd_mark,0),0)/12)),0)</f>
        <v>0</v>
      </c>
      <c r="BM490">
        <f>MAX($F$24,$BE$423)/$Q$436</f>
        <v>0</v>
      </c>
      <c r="BN490">
        <f t="shared" si="302"/>
        <v>0</v>
      </c>
      <c r="BO490" cm="1">
        <f t="array" ref="BO490">IFERROR(INDEX(sheath_ecap_asd,MATCH(BS490,sheath_mark,0),0)*BN490,0)</f>
        <v>0</v>
      </c>
      <c r="BP490" cm="1">
        <f t="array" ref="BP490">IFERROR(INDEX(sheath_wcap_asd,MATCH(BS490,sheath_mark,0),0)*BN490,0)</f>
        <v>0</v>
      </c>
      <c r="BQ490" cm="1">
        <f t="array" ref="BQ490">IFERROR(INDEX(hd_cap,MATCH(BT490,hd_mark,0),0),0)</f>
        <v>0</v>
      </c>
      <c r="BS490" s="19"/>
      <c r="BT490" s="19"/>
      <c r="BU490" s="100"/>
    </row>
    <row r="491" x14ac:dyDescent="0.25">
      <c r="P491" s="93"/>
      <c r="Q491" s="109"/>
      <c r="R491" t="str">
        <f>$Q$409</f>
        <v>Roof</v>
      </c>
      <c r="S491">
        <f>$E$25</f>
        <v>33.171875</v>
      </c>
      <c r="T491" cm="1">
        <f t="array" ref="T491">IFERROR(IF(S491=0,0,(INDEX($C$33:$C$38,MATCH($W$423,$B$33:$B$38,0),0)*(S491+$X$423)+$V$423*$C$31)*$R$423),0)</f>
        <v>0</v>
      </c>
      <c r="U491">
        <f>IF(S491=0,0,-$V$423*$C$31*$H$27*$R$423)</f>
        <v>0</v>
      </c>
      <c r="V491">
        <f>IF(S491=0,0,$V$423*$H$26*$R$423)</f>
        <v>0</v>
      </c>
      <c r="W491">
        <f>(0.6*T491+0.7*U491)*$R$423/2</f>
        <v>0</v>
      </c>
      <c r="X491">
        <f>T491*$R$423/2</f>
        <v>0</v>
      </c>
      <c r="Z491">
        <f>IF(S491=0,0,$AD$423*$AP$409)</f>
        <v>0</v>
      </c>
      <c r="AA491">
        <f>IFERROR(Z491/$R$423,0)</f>
        <v>0</v>
      </c>
      <c r="AB491">
        <f>Z491*($F$25+($C$16+$C$17+IF($C$13="single",1.5,3)+3)/12)</f>
        <v>0</v>
      </c>
      <c r="AC491">
        <f>AB491-W491</f>
        <v>0</v>
      </c>
      <c r="AD491" cm="1">
        <f t="array" ref="AD491">IFERROR(IF(AC491&lt;0,0,AC491/($R$423-INDEX(hd_off,MATCH(AQ491,hd_mark,0),0)/12)),0)</f>
        <v>0</v>
      </c>
      <c r="AE491">
        <f>IF(S491=0,0,$AD$423*$AM$409)</f>
        <v>0</v>
      </c>
      <c r="AF491">
        <f>IFERROR(AE491/$R$423,0)</f>
        <v>0</v>
      </c>
      <c r="AG491">
        <f>AE491*($F$25+($C$16+$C$17+IF($C$13="single",1.5,3)+3)/12)</f>
        <v>0</v>
      </c>
      <c r="AH491">
        <f>AG491-X491</f>
        <v>0</v>
      </c>
      <c r="AI491" cm="1">
        <f t="array" ref="AI491">IFERROR(IF(AH491&lt;0,0,AH491/($R$423-INDEX(hd_off,MATCH(AQ491,hd_mark,0),0)/12)),0)</f>
        <v>0</v>
      </c>
      <c r="AJ491">
        <f>MAX($F$25,$AC$423)/$Q$436</f>
        <v>0.29920977011494249</v>
      </c>
      <c r="AK491">
        <f t="shared" si="301"/>
        <v>1</v>
      </c>
      <c r="AL491" cm="1">
        <f t="array" ref="AL491">IFERROR(INDEX(sheath_ecap_asd,MATCH(AP491,sheath_mark,0),0)*AK491,0)</f>
        <v>0</v>
      </c>
      <c r="AM491" cm="1">
        <f t="array" ref="AM491">IFERROR(INDEX(sheath_wcap_asd,MATCH(AP491,sheath_mark,0),0)*AK491,0)</f>
        <v>0</v>
      </c>
      <c r="AN491" cm="1">
        <f t="array" ref="AN491">IFERROR(INDEX(hd_cap,MATCH(AQ491,hd_mark,0),0),0)</f>
        <v>0</v>
      </c>
      <c r="AP491" s="19"/>
      <c r="AQ491" s="19"/>
      <c r="AR491" s="100"/>
      <c r="AS491" s="93"/>
      <c r="AT491" s="109"/>
      <c r="AU491" t="str">
        <f>$Q$409</f>
        <v>Roof</v>
      </c>
      <c r="AV491">
        <f>$E$25</f>
        <v>33.171875</v>
      </c>
      <c r="AW491" cm="1">
        <f t="array" ref="AW491">IFERROR(IF(AV491=0,0,(INDEX($C$33:$C$38,MATCH($AZ$423,$B$33:$B$38,0),0)*(AV491+$BA$423)+$AY$423*$C$31)*$AU$423),0)</f>
        <v>0</v>
      </c>
      <c r="AX491">
        <f>IF(AV491=0,0,-$AY$423*$C$31*$H$27*$AU$423)</f>
        <v>0</v>
      </c>
      <c r="AY491">
        <f>IF(AV491=0,0,$AY$423*$H$26*$AU$423)</f>
        <v>0</v>
      </c>
      <c r="AZ491">
        <f>(0.6*AW491+0.7*AX491)*$AU$423/2</f>
        <v>0</v>
      </c>
      <c r="BA491">
        <f>AW491*$AU$423/2</f>
        <v>0</v>
      </c>
      <c r="BC491">
        <f>IF(AV491=0,0,$BG$423*$AP$409)</f>
        <v>0</v>
      </c>
      <c r="BD491">
        <f>IFERROR(BC491/$AU$423,0)</f>
        <v>0</v>
      </c>
      <c r="BE491">
        <f>BC491*($F$25+($C$16+$C$17+IF($C$13="single",1.5,3)+3)/12)</f>
        <v>0</v>
      </c>
      <c r="BF491">
        <f>BE491-AZ491</f>
        <v>0</v>
      </c>
      <c r="BG491" cm="1">
        <f t="array" ref="BG491">IFERROR(IF(BF491&lt;0,0,BF491/($AU$423-INDEX(hd_off,MATCH(BT491,hd_mark,0),0)/12)),0)</f>
        <v>0</v>
      </c>
      <c r="BH491">
        <f>IF(AV491=0,0,$BG$423*$AM$409)</f>
        <v>0</v>
      </c>
      <c r="BI491">
        <f>IFERROR(BH491/$AU$423,0)</f>
        <v>0</v>
      </c>
      <c r="BJ491">
        <f>BH491*($F$25+($C$16+$C$17+IF($C$13="single",1.5,3)+3)/12)</f>
        <v>0</v>
      </c>
      <c r="BK491">
        <f>BJ491-BA491</f>
        <v>0</v>
      </c>
      <c r="BL491" cm="1">
        <f t="array" ref="BL491">IFERROR(IF(BK491&lt;0,0,BK491/($AU$423-INDEX(hd_off,MATCH(BT491,hd_mark,0),0)/12)),0)</f>
        <v>0</v>
      </c>
      <c r="BM491">
        <f>MAX($F$25,$BF$423)/$Q$436</f>
        <v>0.29920977011494249</v>
      </c>
      <c r="BN491">
        <f t="shared" si="302"/>
        <v>1</v>
      </c>
      <c r="BO491" cm="1">
        <f t="array" ref="BO491">IFERROR(INDEX(sheath_ecap_asd,MATCH(BS491,sheath_mark,0),0)*BN491,0)</f>
        <v>0</v>
      </c>
      <c r="BP491" cm="1">
        <f t="array" ref="BP491">IFERROR(INDEX(sheath_wcap_asd,MATCH(BS491,sheath_mark,0),0)*BN491,0)</f>
        <v>0</v>
      </c>
      <c r="BQ491" cm="1">
        <f t="array" ref="BQ491">IFERROR(INDEX(hd_cap,MATCH(BT491,hd_mark,0),0),0)</f>
        <v>0</v>
      </c>
      <c r="BS491" s="19"/>
      <c r="BT491" s="19"/>
      <c r="BU491" s="100"/>
    </row>
    <row r="492" x14ac:dyDescent="0.25">
      <c r="P492" s="93"/>
      <c r="AR492" s="100"/>
      <c r="AS492" s="93"/>
      <c r="BU492" s="100"/>
    </row>
    <row r="493" x14ac:dyDescent="0.25">
      <c r="P493" s="93"/>
      <c r="Q493" s="110" t="str">
        <f>$Q$424</f>
        <v>A.11</v>
      </c>
      <c r="R493" t="str">
        <f>$Q$405</f>
        <v>L2</v>
      </c>
      <c r="S493">
        <f>$E$21</f>
        <v>10.6875</v>
      </c>
      <c r="T493" cm="1">
        <f t="array" ref="T493">IFERROR(IF(S493=0,0,(INDEX($C$33:$C$38,MATCH($W$424,$B$33:$B$38,0),0)*(S497+$X$424)+$T$424*COUNTIF(S493:S496,"&gt;0")*$C$32+$V$424*$C$31)*$R$424),0)</f>
        <v>0</v>
      </c>
      <c r="U493">
        <f>IF(S493=0,0,-(COUNTIF(S493:S496,"&gt;0")*$T$424*$C$32+$V$424*$C$31)*$H$27*$R$424)</f>
        <v>0</v>
      </c>
      <c r="V493">
        <f>IF(S493=0,0,$V$424*$H$26*$R$424)</f>
        <v>0</v>
      </c>
      <c r="W493">
        <f>(0.6*T493+0.7*U493)*$R$424/2</f>
        <v>0</v>
      </c>
      <c r="X493">
        <f>(0.6*T493+0.6*V493)*$R$424/2</f>
        <v>0</v>
      </c>
      <c r="Z493">
        <f>IF(S493=0,0,$AD$424*$AP$405)</f>
        <v>0</v>
      </c>
      <c r="AA493">
        <f>IFERROR(Z493/$R$424,0)</f>
        <v>0</v>
      </c>
      <c r="AB493">
        <f>Z493*($F$21+IF($F$21=0,0,($C$14+$C$15+IF($C$13="single",1.5,3)+3)/12))</f>
        <v>0</v>
      </c>
      <c r="AC493">
        <f>AB493-W493</f>
        <v>0</v>
      </c>
      <c r="AD493" cm="1">
        <f t="array" ref="AD493">IFERROR(IF(AC493&lt;0,0,AC493/($R$424-INDEX(hd_off,MATCH(AQ493,hd_mark,0),0)/12)),0)</f>
        <v>0</v>
      </c>
      <c r="AE493">
        <f>IF(S493=0,0,$AD$424*$AM$405)</f>
        <v>0</v>
      </c>
      <c r="AF493">
        <f>IFERROR(AE493/$R$424,0)</f>
        <v>0</v>
      </c>
      <c r="AG493">
        <f>AE493*($F$21+IF($F$21=0,0,($C$14+$C$15+IF($C$13="single",1.5,3)+3)/12))</f>
        <v>0</v>
      </c>
      <c r="AH493">
        <f>AG493-X493</f>
        <v>0</v>
      </c>
      <c r="AI493" cm="1">
        <f t="array" ref="AI493">IFERROR(IF(AH493&lt;0,0,AH493/($R$424-INDEX(hd_off,MATCH(AQ493,hd_mark,0),0)/12)),0)</f>
        <v>0</v>
      </c>
      <c r="AJ493">
        <f>MAX($F$21,$Y$424)/$Q$436</f>
        <v>0.30172413793103448</v>
      </c>
      <c r="AK493">
        <f>IF(AJ493=0,0,IF(AJ493&gt;2,1.25-0.125*AJ493,1))</f>
        <v>1</v>
      </c>
      <c r="AL493" cm="1">
        <f t="array" ref="AL493">IFERROR(INDEX(sheath_ecap_asd,MATCH(AP493,sheath_mark,0),0)*AK493,0)</f>
        <v>0</v>
      </c>
      <c r="AM493" cm="1">
        <f t="array" ref="AM493">IFERROR(INDEX(sheath_wcap_asd,MATCH(AP493,sheath_mark,0),0)*AK493,0)</f>
        <v>0</v>
      </c>
      <c r="AN493" cm="1">
        <f t="array" ref="AN493">IFERROR(INDEX(hd_cap,MATCH(AQ493,hd_mark,0),0),0)</f>
        <v>0</v>
      </c>
      <c r="AP493" s="19"/>
      <c r="AQ493" s="19"/>
      <c r="AR493" s="100"/>
      <c r="AS493" s="93"/>
      <c r="AT493" s="110" t="str">
        <f>$AT$424</f>
        <v>1.11</v>
      </c>
      <c r="AU493" t="str">
        <f>$Q$405</f>
        <v>L2</v>
      </c>
      <c r="AV493">
        <f>$E$21</f>
        <v>10.6875</v>
      </c>
      <c r="AW493" cm="1">
        <f t="array" ref="AW493">IFERROR(IF(AV493=0,0,(INDEX($C$33:$C$38,MATCH($AZ$424,$B$33:$B$38,0),0)*(AV497+$BA$424)+$AW$424*COUNTIF(AV493:AV496,"&gt;0")*$C$32+$AY$424*$C$31)*$AU$424),0)</f>
        <v>0</v>
      </c>
      <c r="AX493">
        <f>IF(AV493=0,0,-(COUNTIF(AV493:AV496,"&gt;0")*$AW$424*$C$32+$AY$424*$C$31)*$H$27*$AU$424)</f>
        <v>0</v>
      </c>
      <c r="AY493">
        <f>IF(AV493=0,0,$AY$424*$H$26*$AU$424)</f>
        <v>0</v>
      </c>
      <c r="AZ493">
        <f>(0.6*AW493+0.7*AX493)*$AU$424/2</f>
        <v>0</v>
      </c>
      <c r="BA493">
        <f>(0.6*AW493+0.6*AY493)*$AU$424/2</f>
        <v>0</v>
      </c>
      <c r="BC493">
        <f>IF(AV493=0,0,$BG$424*$AP$405)</f>
        <v>0</v>
      </c>
      <c r="BD493">
        <f>IFERROR(BC493/$AU$424,0)</f>
        <v>0</v>
      </c>
      <c r="BE493">
        <f>BC493*($F$21+IF($F$21=0,0,($C$14+$C$15+IF($C$13="single",1.5,3)+3)/12))</f>
        <v>0</v>
      </c>
      <c r="BF493">
        <f>BE493-AZ493</f>
        <v>0</v>
      </c>
      <c r="BG493" cm="1">
        <f t="array" ref="BG493">IFERROR(IF(BF493&lt;0,0,BF493/($AU$424-INDEX(hd_off,MATCH(BT493,hd_mark,0),0)/12)),0)</f>
        <v>0</v>
      </c>
      <c r="BH493">
        <f>IF(AV493=0,0,$BG$424*$AM$405)</f>
        <v>0</v>
      </c>
      <c r="BI493">
        <f>IFERROR(BH493/$AU$424,0)</f>
        <v>0</v>
      </c>
      <c r="BJ493">
        <f>BH493*($F$21+IF($F$21=0,0,($C$14+$C$15+IF($C$13="single",1.5,3)+3)/12))</f>
        <v>0</v>
      </c>
      <c r="BK493">
        <f>BJ493-BA493</f>
        <v>0</v>
      </c>
      <c r="BL493" cm="1">
        <f t="array" ref="BL493">IFERROR(IF(BK493&lt;0,0,BK493/($AU$424-INDEX(hd_off,MATCH(BT493,hd_mark,0),0)/12)),0)</f>
        <v>0</v>
      </c>
      <c r="BM493">
        <f>MAX($F$21,$BB$424)/$Q$436</f>
        <v>0.30172413793103448</v>
      </c>
      <c r="BN493">
        <f>IF(BM493=0,0,IF(BM493&gt;2,1.25-0.125*BM493,1))</f>
        <v>1</v>
      </c>
      <c r="BO493" cm="1">
        <f t="array" ref="BO493">IFERROR(INDEX(sheath_ecap_asd,MATCH(BS493,sheath_mark,0),0)*BN493,0)</f>
        <v>0</v>
      </c>
      <c r="BP493" cm="1">
        <f t="array" ref="BP493">IFERROR(INDEX(sheath_wcap_asd,MATCH(BS493,sheath_mark,0),0)*BN493,0)</f>
        <v>0</v>
      </c>
      <c r="BQ493" cm="1">
        <f t="array" ref="BQ493">IFERROR(INDEX(hd_cap,MATCH(BT493,hd_mark,0),0),0)</f>
        <v>0</v>
      </c>
      <c r="BS493" s="19"/>
      <c r="BT493" s="19"/>
      <c r="BU493" s="100"/>
    </row>
    <row r="494" x14ac:dyDescent="0.25">
      <c r="P494" s="93"/>
      <c r="Q494" s="109"/>
      <c r="R494" t="str">
        <f>$Q$406</f>
        <v>L3</v>
      </c>
      <c r="S494">
        <f>$E$22</f>
        <v>21.375</v>
      </c>
      <c r="T494" cm="1">
        <f t="array" ref="T494">IFERROR(IF(S494=0,0,(INDEX($C$33:$C$38,MATCH($W$424,$B$33:$B$38,0),0)*(S497+$X$424)+$T$424*COUNTIF(S494:S496,"&gt;0")*$C$32+$V$424*$C$31)*$R$424),0)</f>
        <v>0</v>
      </c>
      <c r="U494">
        <f>IF(S494=0,0,-(COUNTIF(S494:S496,"&gt;0")*$T$424*$C$32+$V$424*$C$31)*$H$27*$R$424)</f>
        <v>0</v>
      </c>
      <c r="V494">
        <f>IF(S494=0,0,$V$424*$H$26*$R$424)</f>
        <v>0</v>
      </c>
      <c r="W494">
        <f>(0.6*T494+0.7*U494)*$R$424/2</f>
        <v>0</v>
      </c>
      <c r="X494">
        <f>T494*$R$424/2</f>
        <v>0</v>
      </c>
      <c r="Z494">
        <f>IF(S494=0,0,$AD$424*$AP$406)</f>
        <v>0</v>
      </c>
      <c r="AA494">
        <f>IFERROR(Z494/$R$424,0)</f>
        <v>0</v>
      </c>
      <c r="AB494">
        <f>Z494*($F$22+IF($F$22=0,0,($C$14+$C$15+IF($C$13="single",1.5,3)+3)/12))</f>
        <v>0</v>
      </c>
      <c r="AC494">
        <f>AB494-W494</f>
        <v>0</v>
      </c>
      <c r="AD494" cm="1">
        <f t="array" ref="AD494">IFERROR(IF(AC494&lt;0,0,AC494/($R$424-INDEX(hd_off,MATCH(AQ494,hd_mark,0),0)/12)),0)</f>
        <v>0</v>
      </c>
      <c r="AE494">
        <f>IF(S494=0,0,$AD$424*$AM$406)</f>
        <v>0</v>
      </c>
      <c r="AF494">
        <f>IFERROR(AE494/$R$424,0)</f>
        <v>0</v>
      </c>
      <c r="AG494">
        <f>AE494*($F$22+IF($F$22=0,0,($C$14+$C$15+IF($C$13="single",1.5,3)+3)/12))</f>
        <v>0</v>
      </c>
      <c r="AH494">
        <f>AG494-X494</f>
        <v>0</v>
      </c>
      <c r="AI494" cm="1">
        <f t="array" ref="AI494">IFERROR(IF(AH494&lt;0,0,AH494/($R$424-INDEX(hd_off,MATCH(AQ494,hd_mark,0),0)/12)),0)</f>
        <v>0</v>
      </c>
      <c r="AJ494">
        <f>MAX($F$22,$Z$424)/$Q$436</f>
        <v>0.30172413793103448</v>
      </c>
      <c r="AK494">
        <f t="shared" ref="AK494:AK497" si="303">IF(AJ494=0,0,IF(AJ494&gt;2,1.25-0.125*AJ494,1))</f>
        <v>1</v>
      </c>
      <c r="AL494" cm="1">
        <f t="array" ref="AL494">IFERROR(INDEX(sheath_ecap_asd,MATCH(AP494,sheath_mark,0),0)*AK494,0)</f>
        <v>0</v>
      </c>
      <c r="AM494" cm="1">
        <f t="array" ref="AM494">IFERROR(INDEX(sheath_wcap_asd,MATCH(AP494,sheath_mark,0),0)*AK494,0)</f>
        <v>0</v>
      </c>
      <c r="AN494" cm="1">
        <f t="array" ref="AN494">IFERROR(INDEX(hd_cap,MATCH(AQ494,hd_mark,0),0),0)</f>
        <v>0</v>
      </c>
      <c r="AP494" s="19"/>
      <c r="AQ494" s="19"/>
      <c r="AR494" s="100"/>
      <c r="AS494" s="93"/>
      <c r="AT494" s="109"/>
      <c r="AU494" t="str">
        <f>$Q$406</f>
        <v>L3</v>
      </c>
      <c r="AV494">
        <f>$E$22</f>
        <v>21.375</v>
      </c>
      <c r="AW494" cm="1">
        <f t="array" ref="AW494">IFERROR(IF(AV494=0,0,(INDEX($C$33:$C$38,MATCH($AZ$424,$B$33:$B$38,0),0)*(AV497+$BA$424)+$AW$424*COUNTIF(AV494:AV496,"&gt;0")*$C$32+$AY$424*$C$31)*$AU$424),0)</f>
        <v>0</v>
      </c>
      <c r="AX494">
        <f>IF(AV494=0,0,-(COUNTIF(AV494:AV496,"&gt;0")*$AW$424*$C$32+$AY$424*$C$31)*$H$27*$AU$424)</f>
        <v>0</v>
      </c>
      <c r="AY494">
        <f>IF(AV494=0,0,$AY$424*$H$26*$AU$424)</f>
        <v>0</v>
      </c>
      <c r="AZ494">
        <f>(0.6*AW494+0.7*AX494)*$AU$424/2</f>
        <v>0</v>
      </c>
      <c r="BA494">
        <f>AW494*$AU$424/2</f>
        <v>0</v>
      </c>
      <c r="BC494">
        <f>IF(AV494=0,0,$BG$424*$AP$406)</f>
        <v>0</v>
      </c>
      <c r="BD494">
        <f>IFERROR(BC494/$AU$424,0)</f>
        <v>0</v>
      </c>
      <c r="BE494">
        <f>BC494*($F$22+IF($F$22=0,0,($C$14+$C$15+IF($C$13="single",1.5,3)+3)/12))</f>
        <v>0</v>
      </c>
      <c r="BF494">
        <f>BE494-AZ494</f>
        <v>0</v>
      </c>
      <c r="BG494" cm="1">
        <f t="array" ref="BG494">IFERROR(IF(BF494&lt;0,0,BF494/($AU$424-INDEX(hd_off,MATCH(BT494,hd_mark,0),0)/12)),0)</f>
        <v>0</v>
      </c>
      <c r="BH494">
        <f>IF(AV494=0,0,$BG$424*$AM$406)</f>
        <v>0</v>
      </c>
      <c r="BI494">
        <f>IFERROR(BH494/$AU$424,0)</f>
        <v>0</v>
      </c>
      <c r="BJ494">
        <f>BH494*($F$22+IF($F$22=0,0,($C$14+$C$15+IF($C$13="single",1.5,3)+3)/12))</f>
        <v>0</v>
      </c>
      <c r="BK494">
        <f>BJ494-BA494</f>
        <v>0</v>
      </c>
      <c r="BL494" cm="1">
        <f t="array" ref="BL494">IFERROR(IF(BK494&lt;0,0,BK494/($AU$424-INDEX(hd_off,MATCH(BT494,hd_mark,0),0)/12)),0)</f>
        <v>0</v>
      </c>
      <c r="BM494">
        <f>MAX($F$22,$BC$424)/$Q$436</f>
        <v>0.30172413793103448</v>
      </c>
      <c r="BN494">
        <f t="shared" ref="BN494:BN497" si="304">IF(BM494=0,0,IF(BM494&gt;2,1.25-0.125*BM494,1))</f>
        <v>1</v>
      </c>
      <c r="BO494" cm="1">
        <f t="array" ref="BO494">IFERROR(INDEX(sheath_ecap_asd,MATCH(BS494,sheath_mark,0),0)*BN494,0)</f>
        <v>0</v>
      </c>
      <c r="BP494" cm="1">
        <f t="array" ref="BP494">IFERROR(INDEX(sheath_wcap_asd,MATCH(BS494,sheath_mark,0),0)*BN494,0)</f>
        <v>0</v>
      </c>
      <c r="BQ494" cm="1">
        <f t="array" ref="BQ494">IFERROR(INDEX(hd_cap,MATCH(BT494,hd_mark,0),0),0)</f>
        <v>0</v>
      </c>
      <c r="BS494" s="19"/>
      <c r="BT494" s="19"/>
      <c r="BU494" s="100"/>
    </row>
    <row r="495" x14ac:dyDescent="0.25">
      <c r="P495" s="93"/>
      <c r="Q495" s="109" t="s">
        <v>491</v>
      </c>
      <c r="R495" t="str">
        <f>$Q$407</f>
        <v>L4</v>
      </c>
      <c r="S495">
        <f>$E$23</f>
        <v>0</v>
      </c>
      <c r="T495" cm="1">
        <f t="array" ref="T495">IFERROR(IF(S495=0,0,(INDEX($C$33:$C$38,MATCH($W$424,$B$33:$B$38,0),0)*(S497+$X$424)+$T$424*COUNTIF(S495:S496,"&gt;0")*$C$32+$V$424*$C$31)*$R$424),0)</f>
        <v>0</v>
      </c>
      <c r="U495">
        <f>IF(S495=0,0,-(COUNTIF(S495:S496,"&gt;0")*$T$424*$C$32+$V$424*$C$31)*$H$27*$R$424)</f>
        <v>0</v>
      </c>
      <c r="V495">
        <f>IF(S495=0,0,$V$424*$H$26*$R$424)</f>
        <v>0</v>
      </c>
      <c r="W495">
        <f>(0.6*T495+0.7*U495)*$R$424/2</f>
        <v>0</v>
      </c>
      <c r="X495">
        <f>T495*$R$424/2</f>
        <v>0</v>
      </c>
      <c r="Z495">
        <f>IF(S495=0,0,$AD$424*$AP$407)</f>
        <v>0</v>
      </c>
      <c r="AA495">
        <f>IFERROR(Z495/$R$424,0)</f>
        <v>0</v>
      </c>
      <c r="AB495">
        <f>Z495*($F$23+IF($F$23=0,0,($C$14+$C$15+IF($C$13="single",1.5,3)+3)/12))</f>
        <v>0</v>
      </c>
      <c r="AC495">
        <f>AB495-W495</f>
        <v>0</v>
      </c>
      <c r="AD495" cm="1">
        <f t="array" ref="AD495">IFERROR(IF(AC495&lt;0,0,AC495/($R$424-INDEX(hd_off,MATCH(AQ495,hd_mark,0),0)/12)),0)</f>
        <v>0</v>
      </c>
      <c r="AE495">
        <f>IF(S495=0,0,$AD$424*$AM$407)</f>
        <v>0</v>
      </c>
      <c r="AF495">
        <f>IFERROR(AE495/$R$424,0)</f>
        <v>0</v>
      </c>
      <c r="AG495">
        <f>AE495*($F$23+IF($F$23=0,0,($C$14+$C$15+IF($C$13="single",1.5,3)+3)/12))</f>
        <v>0</v>
      </c>
      <c r="AH495">
        <f>AG495-X495</f>
        <v>0</v>
      </c>
      <c r="AI495" cm="1">
        <f t="array" ref="AI495">IFERROR(IF(AH495&lt;0,0,AH495/($R$424-INDEX(hd_off,MATCH(AQ495,hd_mark,0),0)/12)),0)</f>
        <v>0</v>
      </c>
      <c r="AJ495">
        <f>MAX($F$23,$AA$424)/$Q$436</f>
        <v>0</v>
      </c>
      <c r="AK495">
        <f t="shared" si="303"/>
        <v>0</v>
      </c>
      <c r="AL495" cm="1">
        <f t="array" ref="AL495">IFERROR(INDEX(sheath_ecap_asd,MATCH(AP495,sheath_mark,0),0)*AK495,0)</f>
        <v>0</v>
      </c>
      <c r="AM495" cm="1">
        <f t="array" ref="AM495">IFERROR(INDEX(sheath_wcap_asd,MATCH(AP495,sheath_mark,0),0)*AK495,0)</f>
        <v>0</v>
      </c>
      <c r="AN495" cm="1">
        <f t="array" ref="AN495">IFERROR(INDEX(hd_cap,MATCH(AQ495,hd_mark,0),0),0)</f>
        <v>0</v>
      </c>
      <c r="AP495" s="19"/>
      <c r="AQ495" s="19"/>
      <c r="AR495" s="100"/>
      <c r="AS495" s="93"/>
      <c r="AT495" s="109" t="s">
        <v>491</v>
      </c>
      <c r="AU495" t="str">
        <f>$Q$407</f>
        <v>L4</v>
      </c>
      <c r="AV495">
        <f>$E$23</f>
        <v>0</v>
      </c>
      <c r="AW495" cm="1">
        <f t="array" ref="AW495">IFERROR(IF(AV495=0,0,(INDEX($C$33:$C$38,MATCH($AZ$424,$B$33:$B$38,0),0)*(AV497+$BA$424)+$AW$424*COUNTIF(AV495:AV496,"&gt;0")*$C$32+$AY$424*$C$31)*$AU$424),0)</f>
        <v>0</v>
      </c>
      <c r="AX495">
        <f>IF(AV495=0,0,-(COUNTIF(AV495:AV496,"&gt;0")*$AW$424*$C$32+$AY$424*$C$31)*$H$27*$AU$424)</f>
        <v>0</v>
      </c>
      <c r="AY495">
        <f>IF(AV495=0,0,$AY$424*$H$26*$AU$424)</f>
        <v>0</v>
      </c>
      <c r="AZ495">
        <f>(0.6*AW495+0.7*AX495)*$AU$424/2</f>
        <v>0</v>
      </c>
      <c r="BA495">
        <f>AW495*$AU$424/2</f>
        <v>0</v>
      </c>
      <c r="BC495">
        <f>IF(AV495=0,0,$BG$424*$AP$407)</f>
        <v>0</v>
      </c>
      <c r="BD495">
        <f>IFERROR(BC495/$AU$424,0)</f>
        <v>0</v>
      </c>
      <c r="BE495">
        <f>BC495*($F$23+IF($F$23=0,0,($C$14+$C$15+IF($C$13="single",1.5,3)+3)/12))</f>
        <v>0</v>
      </c>
      <c r="BF495">
        <f>BE495-AZ495</f>
        <v>0</v>
      </c>
      <c r="BG495" cm="1">
        <f t="array" ref="BG495">IFERROR(IF(BF495&lt;0,0,BF495/($AU$424-INDEX(hd_off,MATCH(BT495,hd_mark,0),0)/12)),0)</f>
        <v>0</v>
      </c>
      <c r="BH495">
        <f>IF(AV495=0,0,$BG$424*$AM$407)</f>
        <v>0</v>
      </c>
      <c r="BI495">
        <f>IFERROR(BH495/$AU$424,0)</f>
        <v>0</v>
      </c>
      <c r="BJ495">
        <f>BH495*($F$23+IF($F$23=0,0,($C$14+$C$15+IF($C$13="single",1.5,3)+3)/12))</f>
        <v>0</v>
      </c>
      <c r="BK495">
        <f>BJ495-BA495</f>
        <v>0</v>
      </c>
      <c r="BL495" cm="1">
        <f t="array" ref="BL495">IFERROR(IF(BK495&lt;0,0,BK495/($AU$424-INDEX(hd_off,MATCH(BT495,hd_mark,0),0)/12)),0)</f>
        <v>0</v>
      </c>
      <c r="BM495">
        <f>MAX($F$23,$BD$424)/$Q$436</f>
        <v>0</v>
      </c>
      <c r="BN495">
        <f t="shared" si="304"/>
        <v>0</v>
      </c>
      <c r="BO495" cm="1">
        <f t="array" ref="BO495">IFERROR(INDEX(sheath_ecap_asd,MATCH(BS495,sheath_mark,0),0)*BN495,0)</f>
        <v>0</v>
      </c>
      <c r="BP495" cm="1">
        <f t="array" ref="BP495">IFERROR(INDEX(sheath_wcap_asd,MATCH(BS495,sheath_mark,0),0)*BN495,0)</f>
        <v>0</v>
      </c>
      <c r="BQ495" cm="1">
        <f t="array" ref="BQ495">IFERROR(INDEX(hd_cap,MATCH(BT495,hd_mark,0),0),0)</f>
        <v>0</v>
      </c>
      <c r="BS495" s="19"/>
      <c r="BT495" s="19"/>
      <c r="BU495" s="100"/>
    </row>
    <row r="496" x14ac:dyDescent="0.25">
      <c r="P496" s="93"/>
      <c r="Q496" s="111">
        <f>$R$424</f>
        <v>0</v>
      </c>
      <c r="R496" t="str">
        <f>$Q$408</f>
        <v>L5</v>
      </c>
      <c r="S496">
        <f>$E$24</f>
        <v>0</v>
      </c>
      <c r="T496" cm="1">
        <f t="array" ref="T496">IFERROR(IF(S496=0,0,(INDEX($C$33:$C$38,MATCH($W$424,$B$33:$B$38,0),0)*(S497+$X$424)+$T$424*COUNTIF(S496:S496,"&gt;0")*$C$32+$V$424*$C$31)*$R$424),0)</f>
        <v>0</v>
      </c>
      <c r="U496">
        <f>IF(S496=0,0,-(COUNTIF(S496:S496,"&gt;0")*$T$424*$C$32+$V$424*$C$31)*$H$27*$R$424)</f>
        <v>0</v>
      </c>
      <c r="V496">
        <f>IF(S496=0,0,$V$424*$H$26*$R$424)</f>
        <v>0</v>
      </c>
      <c r="W496">
        <f>(0.6*T496+0.7*U496)*$R$424/2</f>
        <v>0</v>
      </c>
      <c r="X496">
        <f>T496*$R$424/2</f>
        <v>0</v>
      </c>
      <c r="Z496">
        <f>IF(S496=0,0,$AD$424*$AP$408)</f>
        <v>0</v>
      </c>
      <c r="AA496">
        <f>IFERROR(Z496/$R$424,0)</f>
        <v>0</v>
      </c>
      <c r="AB496">
        <f>Z496*($F$24+IF($F$24=0,0,($C$14+$C$15+IF($C$13="single",1.5,3)+3)/12))</f>
        <v>0</v>
      </c>
      <c r="AC496">
        <f>AB496-W496</f>
        <v>0</v>
      </c>
      <c r="AD496" cm="1">
        <f t="array" ref="AD496">IFERROR(IF(AC496&lt;0,0,AC496/($R$424-INDEX(hd_off,MATCH(AQ496,hd_mark,0),0)/12)),0)</f>
        <v>0</v>
      </c>
      <c r="AE496">
        <f>IF(S496=0,0,$AD$424*$AM$408)</f>
        <v>0</v>
      </c>
      <c r="AF496">
        <f>IFERROR(AE496/$R$424,0)</f>
        <v>0</v>
      </c>
      <c r="AG496">
        <f>AE496*($F$24+IF($F$24=0,0,($C$14+$C$15+IF($C$13="single",1.5,3)+3)/12))</f>
        <v>0</v>
      </c>
      <c r="AH496">
        <f>AG496-X496</f>
        <v>0</v>
      </c>
      <c r="AI496" cm="1">
        <f t="array" ref="AI496">IFERROR(IF(AH496&lt;0,0,AH496/($R$424-INDEX(hd_off,MATCH(AQ496,hd_mark,0),0)/12)),0)</f>
        <v>0</v>
      </c>
      <c r="AJ496">
        <f>MAX($F$24,$AB$424)/$Q$436</f>
        <v>0</v>
      </c>
      <c r="AK496">
        <f t="shared" si="303"/>
        <v>0</v>
      </c>
      <c r="AL496" cm="1">
        <f t="array" ref="AL496">IFERROR(INDEX(sheath_ecap_asd,MATCH(AP496,sheath_mark,0),0)*AK496,0)</f>
        <v>0</v>
      </c>
      <c r="AM496" cm="1">
        <f t="array" ref="AM496">IFERROR(INDEX(sheath_wcap_asd,MATCH(AP496,sheath_mark,0),0)*AK496,0)</f>
        <v>0</v>
      </c>
      <c r="AN496" cm="1">
        <f t="array" ref="AN496">IFERROR(INDEX(hd_cap,MATCH(AQ496,hd_mark,0),0),0)</f>
        <v>0</v>
      </c>
      <c r="AP496" s="19"/>
      <c r="AQ496" s="19"/>
      <c r="AR496" s="100"/>
      <c r="AS496" s="93"/>
      <c r="AT496" s="111">
        <f>$R$424</f>
        <v>0</v>
      </c>
      <c r="AU496" t="str">
        <f>$Q$408</f>
        <v>L5</v>
      </c>
      <c r="AV496">
        <f>$E$24</f>
        <v>0</v>
      </c>
      <c r="AW496" cm="1">
        <f t="array" ref="AW496">IFERROR(IF(AV496=0,0,(INDEX($C$33:$C$38,MATCH($AZ$424,$B$33:$B$38,0),0)*(AV497+$BA$424)+$AW$424*COUNTIF(AV496:AV496,"&gt;0")*$C$32+$AY$424*$C$31)*$AU$424),0)</f>
        <v>0</v>
      </c>
      <c r="AX496">
        <f>IF(AV496=0,0,-(COUNTIF(AV496:AV496,"&gt;0")*$AW$424*$C$32+$AY$424*$C$31)*$H$27*$AU$424)</f>
        <v>0</v>
      </c>
      <c r="AY496">
        <f>IF(AV496=0,0,$AY$424*$H$26*$AU$424)</f>
        <v>0</v>
      </c>
      <c r="AZ496">
        <f>(0.6*AW496+0.7*AX496)*$AU$424/2</f>
        <v>0</v>
      </c>
      <c r="BA496">
        <f>AW496*$AU$424/2</f>
        <v>0</v>
      </c>
      <c r="BC496">
        <f>IF(AV496=0,0,$BG$424*$AP$408)</f>
        <v>0</v>
      </c>
      <c r="BD496">
        <f>IFERROR(BC496/$AU$424,0)</f>
        <v>0</v>
      </c>
      <c r="BE496">
        <f>BC496*($F$24+IF($F$24=0,0,($C$14+$C$15+IF($C$13="single",1.5,3)+3)/12))</f>
        <v>0</v>
      </c>
      <c r="BF496">
        <f>BE496-AZ496</f>
        <v>0</v>
      </c>
      <c r="BG496" cm="1">
        <f t="array" ref="BG496">IFERROR(IF(BF496&lt;0,0,BF496/($AU$424-INDEX(hd_off,MATCH(BT496,hd_mark,0),0)/12)),0)</f>
        <v>0</v>
      </c>
      <c r="BH496">
        <f>IF(AV496=0,0,$BG$424*$AM$408)</f>
        <v>0</v>
      </c>
      <c r="BI496">
        <f>IFERROR(BH496/$AU$424,0)</f>
        <v>0</v>
      </c>
      <c r="BJ496">
        <f>BH496*($F$24+IF($F$24=0,0,($C$14+$C$15+IF($C$13="single",1.5,3)+3)/12))</f>
        <v>0</v>
      </c>
      <c r="BK496">
        <f>BJ496-BA496</f>
        <v>0</v>
      </c>
      <c r="BL496" cm="1">
        <f t="array" ref="BL496">IFERROR(IF(BK496&lt;0,0,BK496/($AU$424-INDEX(hd_off,MATCH(BT496,hd_mark,0),0)/12)),0)</f>
        <v>0</v>
      </c>
      <c r="BM496">
        <f>MAX($F$24,$BE$424)/$Q$436</f>
        <v>0</v>
      </c>
      <c r="BN496">
        <f t="shared" si="304"/>
        <v>0</v>
      </c>
      <c r="BO496" cm="1">
        <f t="array" ref="BO496">IFERROR(INDEX(sheath_ecap_asd,MATCH(BS496,sheath_mark,0),0)*BN496,0)</f>
        <v>0</v>
      </c>
      <c r="BP496" cm="1">
        <f t="array" ref="BP496">IFERROR(INDEX(sheath_wcap_asd,MATCH(BS496,sheath_mark,0),0)*BN496,0)</f>
        <v>0</v>
      </c>
      <c r="BQ496" cm="1">
        <f t="array" ref="BQ496">IFERROR(INDEX(hd_cap,MATCH(BT496,hd_mark,0),0),0)</f>
        <v>0</v>
      </c>
      <c r="BS496" s="19"/>
      <c r="BT496" s="19"/>
      <c r="BU496" s="100"/>
    </row>
    <row r="497" x14ac:dyDescent="0.25">
      <c r="P497" s="93"/>
      <c r="Q497" s="109"/>
      <c r="R497" t="str">
        <f>$Q$409</f>
        <v>Roof</v>
      </c>
      <c r="S497">
        <f>$E$25</f>
        <v>33.171875</v>
      </c>
      <c r="T497" cm="1">
        <f t="array" ref="T497">IFERROR(IF(S497=0,0,(INDEX($C$33:$C$38,MATCH($W$424,$B$33:$B$38,0),0)*(S497+$X$424)+$V$424*$C$31)*$R$424),0)</f>
        <v>0</v>
      </c>
      <c r="U497">
        <f>IF(S497=0,0,-$V$424*$C$31*$H$27*$R$424)</f>
        <v>0</v>
      </c>
      <c r="V497">
        <f>IF(S497=0,0,$V$424*$H$26*$R$424)</f>
        <v>0</v>
      </c>
      <c r="W497">
        <f>(0.6*T497+0.7*U497)*$R$424/2</f>
        <v>0</v>
      </c>
      <c r="X497">
        <f>T497*$R$424/2</f>
        <v>0</v>
      </c>
      <c r="Z497">
        <f>IF(S497=0,0,$AD$424*$AP$409)</f>
        <v>0</v>
      </c>
      <c r="AA497">
        <f>IFERROR(Z497/$R$424,0)</f>
        <v>0</v>
      </c>
      <c r="AB497">
        <f>Z497*($F$25+($C$16+$C$17+IF($C$13="single",1.5,3)+3)/12)</f>
        <v>0</v>
      </c>
      <c r="AC497">
        <f>AB497-W497</f>
        <v>0</v>
      </c>
      <c r="AD497" cm="1">
        <f t="array" ref="AD497">IFERROR(IF(AC497&lt;0,0,AC497/($R$424-INDEX(hd_off,MATCH(AQ497,hd_mark,0),0)/12)),0)</f>
        <v>0</v>
      </c>
      <c r="AE497">
        <f>IF(S497=0,0,$AD$424*$AM$409)</f>
        <v>0</v>
      </c>
      <c r="AF497">
        <f>IFERROR(AE497/$R$424,0)</f>
        <v>0</v>
      </c>
      <c r="AG497">
        <f>AE497*($F$25+($C$16+$C$17+IF($C$13="single",1.5,3)+3)/12)</f>
        <v>0</v>
      </c>
      <c r="AH497">
        <f>AG497-X497</f>
        <v>0</v>
      </c>
      <c r="AI497" cm="1">
        <f t="array" ref="AI497">IFERROR(IF(AH497&lt;0,0,AH497/($R$424-INDEX(hd_off,MATCH(AQ497,hd_mark,0),0)/12)),0)</f>
        <v>0</v>
      </c>
      <c r="AJ497">
        <f>MAX($F$25,$AC$424)/$Q$436</f>
        <v>0.29920977011494249</v>
      </c>
      <c r="AK497">
        <f t="shared" si="303"/>
        <v>1</v>
      </c>
      <c r="AL497" cm="1">
        <f t="array" ref="AL497">IFERROR(INDEX(sheath_ecap_asd,MATCH(AP497,sheath_mark,0),0)*AK497,0)</f>
        <v>0</v>
      </c>
      <c r="AM497" cm="1">
        <f t="array" ref="AM497">IFERROR(INDEX(sheath_wcap_asd,MATCH(AP497,sheath_mark,0),0)*AK497,0)</f>
        <v>0</v>
      </c>
      <c r="AN497" cm="1">
        <f t="array" ref="AN497">IFERROR(INDEX(hd_cap,MATCH(AQ497,hd_mark,0),0),0)</f>
        <v>0</v>
      </c>
      <c r="AP497" s="19"/>
      <c r="AQ497" s="19"/>
      <c r="AR497" s="100"/>
      <c r="AS497" s="93"/>
      <c r="AT497" s="109"/>
      <c r="AU497" t="str">
        <f>$Q$409</f>
        <v>Roof</v>
      </c>
      <c r="AV497">
        <f>$E$25</f>
        <v>33.171875</v>
      </c>
      <c r="AW497" cm="1">
        <f t="array" ref="AW497">IFERROR(IF(AV497=0,0,(INDEX($C$33:$C$38,MATCH($AZ$424,$B$33:$B$38,0),0)*(AV497+$BA$424)+$AY$424*$C$31)*$AU$424),0)</f>
        <v>0</v>
      </c>
      <c r="AX497">
        <f>IF(AV497=0,0,-$AY$424*$C$31*$H$27*$AU$424)</f>
        <v>0</v>
      </c>
      <c r="AY497">
        <f>IF(AV497=0,0,$AY$424*$H$26*$AU$424)</f>
        <v>0</v>
      </c>
      <c r="AZ497">
        <f>(0.6*AW497+0.7*AX497)*$AU$424/2</f>
        <v>0</v>
      </c>
      <c r="BA497">
        <f>AW497*$AU$424/2</f>
        <v>0</v>
      </c>
      <c r="BC497">
        <f>IF(AV497=0,0,$BG$424*$AP$409)</f>
        <v>0</v>
      </c>
      <c r="BD497">
        <f>IFERROR(BC497/$AU$424,0)</f>
        <v>0</v>
      </c>
      <c r="BE497">
        <f>BC497*($F$25+($C$16+$C$17+IF($C$13="single",1.5,3)+3)/12)</f>
        <v>0</v>
      </c>
      <c r="BF497">
        <f>BE497-AZ497</f>
        <v>0</v>
      </c>
      <c r="BG497" cm="1">
        <f t="array" ref="BG497">IFERROR(IF(BF497&lt;0,0,BF497/($AU$424-INDEX(hd_off,MATCH(BT497,hd_mark,0),0)/12)),0)</f>
        <v>0</v>
      </c>
      <c r="BH497">
        <f>IF(AV497=0,0,$BG$424*$AM$409)</f>
        <v>0</v>
      </c>
      <c r="BI497">
        <f>IFERROR(BH497/$AU$424,0)</f>
        <v>0</v>
      </c>
      <c r="BJ497">
        <f>BH497*($F$25+($C$16+$C$17+IF($C$13="single",1.5,3)+3)/12)</f>
        <v>0</v>
      </c>
      <c r="BK497">
        <f>BJ497-BA497</f>
        <v>0</v>
      </c>
      <c r="BL497" cm="1">
        <f t="array" ref="BL497">IFERROR(IF(BK497&lt;0,0,BK497/($AU$424-INDEX(hd_off,MATCH(BT497,hd_mark,0),0)/12)),0)</f>
        <v>0</v>
      </c>
      <c r="BM497">
        <f>MAX($F$25,$BF$424)/$Q$436</f>
        <v>0.29920977011494249</v>
      </c>
      <c r="BN497">
        <f t="shared" si="304"/>
        <v>1</v>
      </c>
      <c r="BO497" cm="1">
        <f t="array" ref="BO497">IFERROR(INDEX(sheath_ecap_asd,MATCH(BS497,sheath_mark,0),0)*BN497,0)</f>
        <v>0</v>
      </c>
      <c r="BP497" cm="1">
        <f t="array" ref="BP497">IFERROR(INDEX(sheath_wcap_asd,MATCH(BS497,sheath_mark,0),0)*BN497,0)</f>
        <v>0</v>
      </c>
      <c r="BQ497" cm="1">
        <f t="array" ref="BQ497">IFERROR(INDEX(hd_cap,MATCH(BT497,hd_mark,0),0),0)</f>
        <v>0</v>
      </c>
      <c r="BS497" s="19"/>
      <c r="BT497" s="19"/>
      <c r="BU497" s="100"/>
    </row>
    <row r="498" x14ac:dyDescent="0.25">
      <c r="P498" s="93"/>
      <c r="AR498" s="100"/>
      <c r="AS498" s="93"/>
      <c r="BU498" s="100"/>
    </row>
    <row r="499" x14ac:dyDescent="0.25">
      <c r="P499" s="93"/>
      <c r="Q499" s="110" t="str">
        <f>$Q$425</f>
        <v>A.12</v>
      </c>
      <c r="R499" t="str">
        <f>$Q$405</f>
        <v>L2</v>
      </c>
      <c r="S499">
        <f>$E$21</f>
        <v>10.6875</v>
      </c>
      <c r="T499" cm="1">
        <f t="array" ref="T499">IFERROR(IF(S499=0,0,(INDEX($C$33:$C$38,MATCH($W$425,$B$33:$B$38,0),0)*(S503+$X$425)+$T$425*COUNTIF(S499:S502,"&gt;0")*$C$32+$V$425*$C$31)*$R$425),0)</f>
        <v>0</v>
      </c>
      <c r="U499">
        <f>IF(S499=0,0,-(COUNTIF(S499:S502,"&gt;0")*$T$425*$C$32+$V$425*$C$31)*$H$27*$R$425)</f>
        <v>0</v>
      </c>
      <c r="V499">
        <f>IF(S499=0,0,$V$425*$H$26*$R$425)</f>
        <v>0</v>
      </c>
      <c r="W499">
        <f>(0.6*T499+0.7*U499)*$R$425/2</f>
        <v>0</v>
      </c>
      <c r="X499">
        <f>(0.6*T499+0.6*V499)*$R$425/2</f>
        <v>0</v>
      </c>
      <c r="Z499">
        <f>IF(S499=0,0,$AD$425*$AP$405)</f>
        <v>0</v>
      </c>
      <c r="AA499">
        <f>IFERROR(Z499/$R$425,0)</f>
        <v>0</v>
      </c>
      <c r="AB499">
        <f>Z499*($F$21+IF($F$21=0,0,($C$14+$C$15+IF($C$13="single",1.5,3)+3)/12))</f>
        <v>0</v>
      </c>
      <c r="AC499">
        <f>AB499-W499</f>
        <v>0</v>
      </c>
      <c r="AD499" cm="1">
        <f t="array" ref="AD499">IFERROR(IF(AC499&lt;0,0,AC499/($R$425-INDEX(hd_off,MATCH(AQ499,hd_mark,0),0)/12)),0)</f>
        <v>0</v>
      </c>
      <c r="AE499">
        <f>IF(S499=0,0,$AD$425*$AM$405)</f>
        <v>0</v>
      </c>
      <c r="AF499">
        <f>IFERROR(AE499/$R$425,0)</f>
        <v>0</v>
      </c>
      <c r="AG499">
        <f>AE499*($F$21+IF($F$21=0,0,($C$14+$C$15+IF($C$13="single",1.5,3)+3)/12))</f>
        <v>0</v>
      </c>
      <c r="AH499">
        <f>AG499-X499</f>
        <v>0</v>
      </c>
      <c r="AI499" cm="1">
        <f t="array" ref="AI499">IFERROR(IF(AH499&lt;0,0,AH499/($R$425-INDEX(hd_off,MATCH(AQ499,hd_mark,0),0)/12)),0)</f>
        <v>0</v>
      </c>
      <c r="AJ499">
        <f>MAX($F$21,$Y$425)/$Q$436</f>
        <v>0.30172413793103448</v>
      </c>
      <c r="AK499">
        <f>IF(AJ499=0,0,IF(AJ499&gt;2,1.25-0.125*AJ499,1))</f>
        <v>1</v>
      </c>
      <c r="AL499" cm="1">
        <f t="array" ref="AL499">IFERROR(INDEX(sheath_ecap_asd,MATCH(AP499,sheath_mark,0),0)*AK499,0)</f>
        <v>0</v>
      </c>
      <c r="AM499" cm="1">
        <f t="array" ref="AM499">IFERROR(INDEX(sheath_wcap_asd,MATCH(AP499,sheath_mark,0),0)*AK499,0)</f>
        <v>0</v>
      </c>
      <c r="AN499" cm="1">
        <f t="array" ref="AN499">IFERROR(INDEX(hd_cap,MATCH(AQ499,hd_mark,0),0),0)</f>
        <v>0</v>
      </c>
      <c r="AP499" s="19"/>
      <c r="AQ499" s="19"/>
      <c r="AR499" s="100"/>
      <c r="AS499" s="93"/>
      <c r="AT499" s="110" t="str">
        <f>$AT$425</f>
        <v>1.12</v>
      </c>
      <c r="AU499" t="str">
        <f>$Q$405</f>
        <v>L2</v>
      </c>
      <c r="AV499">
        <f>$E$21</f>
        <v>10.6875</v>
      </c>
      <c r="AW499" cm="1">
        <f t="array" ref="AW499">IFERROR(IF(AV499=0,0,(INDEX($C$33:$C$38,MATCH($AZ$425,$B$33:$B$38,0),0)*(AV503+$BA$425)+$AW$425*COUNTIF(AV499:AV502,"&gt;0")*$C$32+$AY$425*$C$31)*$AU$425),0)</f>
        <v>0</v>
      </c>
      <c r="AX499">
        <f>IF(AV499=0,0,-(COUNTIF(AV499:AV502,"&gt;0")*$AW$425*$C$32+$AY$425*$C$31)*$H$27*$AU$425)</f>
        <v>0</v>
      </c>
      <c r="AY499">
        <f>IF(AV499=0,0,$AY$425*$H$26*$AU$425)</f>
        <v>0</v>
      </c>
      <c r="AZ499">
        <f>(0.6*AW499+0.7*AX499)*$AU$425/2</f>
        <v>0</v>
      </c>
      <c r="BA499">
        <f>(0.6*AW499+0.6*AY499)*$AU$425/2</f>
        <v>0</v>
      </c>
      <c r="BC499">
        <f>IF(AV499=0,0,$BG$425*$AP$405)</f>
        <v>0</v>
      </c>
      <c r="BD499">
        <f>IFERROR(BC499/$AU$425,0)</f>
        <v>0</v>
      </c>
      <c r="BE499">
        <f>BC499*($F$21+IF($F$21=0,0,($C$14+$C$15+IF($C$13="single",1.5,3)+3)/12))</f>
        <v>0</v>
      </c>
      <c r="BF499">
        <f>BE499-AZ499</f>
        <v>0</v>
      </c>
      <c r="BG499" cm="1">
        <f t="array" ref="BG499">IFERROR(IF(BF499&lt;0,0,BF499/($AU$425-INDEX(hd_off,MATCH(BT499,hd_mark,0),0)/12)),0)</f>
        <v>0</v>
      </c>
      <c r="BH499">
        <f>IF(AV499=0,0,$BG$425*$AM$405)</f>
        <v>0</v>
      </c>
      <c r="BI499">
        <f>IFERROR(BH499/$AU$425,0)</f>
        <v>0</v>
      </c>
      <c r="BJ499">
        <f>BH499*($F$21+IF($F$21=0,0,($C$14+$C$15+IF($C$13="single",1.5,3)+3)/12))</f>
        <v>0</v>
      </c>
      <c r="BK499">
        <f>BJ499-BA499</f>
        <v>0</v>
      </c>
      <c r="BL499" cm="1">
        <f t="array" ref="BL499">IFERROR(IF(BK499&lt;0,0,BK499/($AU$425-INDEX(hd_off,MATCH(BT499,hd_mark,0),0)/12)),0)</f>
        <v>0</v>
      </c>
      <c r="BM499">
        <f>MAX($F$21,$BB$425)/$Q$436</f>
        <v>0.30172413793103448</v>
      </c>
      <c r="BN499">
        <f>IF(BM499=0,0,IF(BM499&gt;2,1.25-0.125*BM499,1))</f>
        <v>1</v>
      </c>
      <c r="BO499" cm="1">
        <f t="array" ref="BO499">IFERROR(INDEX(sheath_ecap_asd,MATCH(BS499,sheath_mark,0),0)*BN499,0)</f>
        <v>0</v>
      </c>
      <c r="BP499" cm="1">
        <f t="array" ref="BP499">IFERROR(INDEX(sheath_wcap_asd,MATCH(BS499,sheath_mark,0),0)*BN499,0)</f>
        <v>0</v>
      </c>
      <c r="BQ499" cm="1">
        <f t="array" ref="BQ499">IFERROR(INDEX(hd_cap,MATCH(BT499,hd_mark,0),0),0)</f>
        <v>0</v>
      </c>
      <c r="BS499" s="19"/>
      <c r="BT499" s="19"/>
      <c r="BU499" s="100"/>
    </row>
    <row r="500" x14ac:dyDescent="0.25">
      <c r="P500" s="93"/>
      <c r="Q500" s="109"/>
      <c r="R500" t="str">
        <f>$Q$406</f>
        <v>L3</v>
      </c>
      <c r="S500">
        <f>$E$22</f>
        <v>21.375</v>
      </c>
      <c r="T500" cm="1">
        <f t="array" ref="T500">IFERROR(IF(S500=0,0,(INDEX($C$33:$C$38,MATCH($W$425,$B$33:$B$38,0),0)*(S503+$X$425)+$T$425*COUNTIF(S500:S502,"&gt;0")*$C$32+$V$425*$C$31)*$R$425),0)</f>
        <v>0</v>
      </c>
      <c r="U500">
        <f>IF(S500=0,0,-(COUNTIF(S500:S502,"&gt;0")*$T$425*$C$32+$V$425*$C$31)*$H$27*$R$425)</f>
        <v>0</v>
      </c>
      <c r="V500">
        <f>IF(S500=0,0,$V$425*$H$26*$R$425)</f>
        <v>0</v>
      </c>
      <c r="W500">
        <f>(0.6*T500+0.7*U500)*$R$425/2</f>
        <v>0</v>
      </c>
      <c r="X500">
        <f>T500*$R$425/2</f>
        <v>0</v>
      </c>
      <c r="Z500">
        <f>IF(S500=0,0,$AD$425*$AP$406)</f>
        <v>0</v>
      </c>
      <c r="AA500">
        <f>IFERROR(Z500/$R$425,0)</f>
        <v>0</v>
      </c>
      <c r="AB500">
        <f>Z500*($F$22+IF($F$22=0,0,($C$14+$C$15+IF($C$13="single",1.5,3)+3)/12))</f>
        <v>0</v>
      </c>
      <c r="AC500">
        <f>AB500-W500</f>
        <v>0</v>
      </c>
      <c r="AD500" cm="1">
        <f t="array" ref="AD500">IFERROR(IF(AC500&lt;0,0,AC500/($R$425-INDEX(hd_off,MATCH(AQ500,hd_mark,0),0)/12)),0)</f>
        <v>0</v>
      </c>
      <c r="AE500">
        <f>IF(S500=0,0,$AD$425*$AM$406)</f>
        <v>0</v>
      </c>
      <c r="AF500">
        <f>IFERROR(AE500/$R$425,0)</f>
        <v>0</v>
      </c>
      <c r="AG500">
        <f>AE500*($F$22+IF($F$22=0,0,($C$14+$C$15+IF($C$13="single",1.5,3)+3)/12))</f>
        <v>0</v>
      </c>
      <c r="AH500">
        <f>AG500-X500</f>
        <v>0</v>
      </c>
      <c r="AI500" cm="1">
        <f t="array" ref="AI500">IFERROR(IF(AH500&lt;0,0,AH500/($R$425-INDEX(hd_off,MATCH(AQ500,hd_mark,0),0)/12)),0)</f>
        <v>0</v>
      </c>
      <c r="AJ500">
        <f>MAX($F$22,$Z$425)/$Q$436</f>
        <v>0.30172413793103448</v>
      </c>
      <c r="AK500">
        <f t="shared" ref="AK500:AK503" si="305">IF(AJ500=0,0,IF(AJ500&gt;2,1.25-0.125*AJ500,1))</f>
        <v>1</v>
      </c>
      <c r="AL500" cm="1">
        <f t="array" ref="AL500">IFERROR(INDEX(sheath_ecap_asd,MATCH(AP500,sheath_mark,0),0)*AK500,0)</f>
        <v>0</v>
      </c>
      <c r="AM500" cm="1">
        <f t="array" ref="AM500">IFERROR(INDEX(sheath_wcap_asd,MATCH(AP500,sheath_mark,0),0)*AK500,0)</f>
        <v>0</v>
      </c>
      <c r="AN500" cm="1">
        <f t="array" ref="AN500">IFERROR(INDEX(hd_cap,MATCH(AQ500,hd_mark,0),0),0)</f>
        <v>0</v>
      </c>
      <c r="AP500" s="19"/>
      <c r="AQ500" s="19"/>
      <c r="AR500" s="100"/>
      <c r="AS500" s="93"/>
      <c r="AT500" s="109"/>
      <c r="AU500" t="str">
        <f>$Q$406</f>
        <v>L3</v>
      </c>
      <c r="AV500">
        <f>$E$22</f>
        <v>21.375</v>
      </c>
      <c r="AW500" cm="1">
        <f t="array" ref="AW500">IFERROR(IF(AV500=0,0,(INDEX($C$33:$C$38,MATCH($AZ$425,$B$33:$B$38,0),0)*(AV503+$BA$425)+$AW$425*COUNTIF(AV500:AV502,"&gt;0")*$C$32+$AY$425*$C$31)*$AU$425),0)</f>
        <v>0</v>
      </c>
      <c r="AX500">
        <f>IF(AV500=0,0,-(COUNTIF(AV500:AV502,"&gt;0")*$AW$425*$C$32+$AY$425*$C$31)*$H$27*$AU$425)</f>
        <v>0</v>
      </c>
      <c r="AY500">
        <f>IF(AV500=0,0,$AY$425*$H$26*$AU$425)</f>
        <v>0</v>
      </c>
      <c r="AZ500">
        <f>(0.6*AW500+0.7*AX500)*$AU$425/2</f>
        <v>0</v>
      </c>
      <c r="BA500">
        <f>AW500*$AU$425/2</f>
        <v>0</v>
      </c>
      <c r="BC500">
        <f>IF(AV500=0,0,$BG$425*$AP$406)</f>
        <v>0</v>
      </c>
      <c r="BD500">
        <f>IFERROR(BC500/$AU$425,0)</f>
        <v>0</v>
      </c>
      <c r="BE500">
        <f>BC500*($F$22+IF($F$22=0,0,($C$14+$C$15+IF($C$13="single",1.5,3)+3)/12))</f>
        <v>0</v>
      </c>
      <c r="BF500">
        <f>BE500-AZ500</f>
        <v>0</v>
      </c>
      <c r="BG500" cm="1">
        <f t="array" ref="BG500">IFERROR(IF(BF500&lt;0,0,BF500/($AU$425-INDEX(hd_off,MATCH(BT500,hd_mark,0),0)/12)),0)</f>
        <v>0</v>
      </c>
      <c r="BH500">
        <f>IF(AV500=0,0,$BG$425*$AM$406)</f>
        <v>0</v>
      </c>
      <c r="BI500">
        <f>IFERROR(BH500/$AU$425,0)</f>
        <v>0</v>
      </c>
      <c r="BJ500">
        <f>BH500*($F$22+IF($F$22=0,0,($C$14+$C$15+IF($C$13="single",1.5,3)+3)/12))</f>
        <v>0</v>
      </c>
      <c r="BK500">
        <f>BJ500-BA500</f>
        <v>0</v>
      </c>
      <c r="BL500" cm="1">
        <f t="array" ref="BL500">IFERROR(IF(BK500&lt;0,0,BK500/($AU$425-INDEX(hd_off,MATCH(BT500,hd_mark,0),0)/12)),0)</f>
        <v>0</v>
      </c>
      <c r="BM500">
        <f>MAX($F$22,$BC$425)/$Q$436</f>
        <v>0.30172413793103448</v>
      </c>
      <c r="BN500">
        <f t="shared" ref="BN500:BN503" si="306">IF(BM500=0,0,IF(BM500&gt;2,1.25-0.125*BM500,1))</f>
        <v>1</v>
      </c>
      <c r="BO500" cm="1">
        <f t="array" ref="BO500">IFERROR(INDEX(sheath_ecap_asd,MATCH(BS500,sheath_mark,0),0)*BN500,0)</f>
        <v>0</v>
      </c>
      <c r="BP500" cm="1">
        <f t="array" ref="BP500">IFERROR(INDEX(sheath_wcap_asd,MATCH(BS500,sheath_mark,0),0)*BN500,0)</f>
        <v>0</v>
      </c>
      <c r="BQ500" cm="1">
        <f t="array" ref="BQ500">IFERROR(INDEX(hd_cap,MATCH(BT500,hd_mark,0),0),0)</f>
        <v>0</v>
      </c>
      <c r="BS500" s="19"/>
      <c r="BT500" s="19"/>
      <c r="BU500" s="100"/>
    </row>
    <row r="501" x14ac:dyDescent="0.25">
      <c r="P501" s="93"/>
      <c r="Q501" s="109" t="s">
        <v>491</v>
      </c>
      <c r="R501" t="str">
        <f>$Q$407</f>
        <v>L4</v>
      </c>
      <c r="S501">
        <f>$E$23</f>
        <v>0</v>
      </c>
      <c r="T501" cm="1">
        <f t="array" ref="T501">IFERROR(IF(S501=0,0,(INDEX($C$33:$C$38,MATCH($W$425,$B$33:$B$38,0),0)*(S503+$X$425)+$T$425*COUNTIF(S501:S502,"&gt;0")*$C$32+$V$425*$C$31)*$R$425),0)</f>
        <v>0</v>
      </c>
      <c r="U501">
        <f>IF(S501=0,0,-(COUNTIF(S501:S502,"&gt;0")*$T$425*$C$32+$V$425*$C$31)*$H$27*$R$425)</f>
        <v>0</v>
      </c>
      <c r="V501">
        <f>IF(S501=0,0,$V$425*$H$26*$R$425)</f>
        <v>0</v>
      </c>
      <c r="W501">
        <f>(0.6*T501+0.7*U501)*$R$425/2</f>
        <v>0</v>
      </c>
      <c r="X501">
        <f>T501*$R$425/2</f>
        <v>0</v>
      </c>
      <c r="Z501">
        <f>IF(S501=0,0,$AD$425*$AP$407)</f>
        <v>0</v>
      </c>
      <c r="AA501">
        <f>IFERROR(Z501/$R$425,0)</f>
        <v>0</v>
      </c>
      <c r="AB501">
        <f>Z501*($F$23+IF($F$23=0,0,($C$14+$C$15+IF($C$13="single",1.5,3)+3)/12))</f>
        <v>0</v>
      </c>
      <c r="AC501">
        <f>AB501-W501</f>
        <v>0</v>
      </c>
      <c r="AD501" cm="1">
        <f t="array" ref="AD501">IFERROR(IF(AC501&lt;0,0,AC501/($R$425-INDEX(hd_off,MATCH(AQ501,hd_mark,0),0)/12)),0)</f>
        <v>0</v>
      </c>
      <c r="AE501">
        <f>IF(S501=0,0,$AD$425*$AM$407)</f>
        <v>0</v>
      </c>
      <c r="AF501">
        <f>IFERROR(AE501/$R$425,0)</f>
        <v>0</v>
      </c>
      <c r="AG501">
        <f>AE501*($F$23+IF($F$23=0,0,($C$14+$C$15+IF($C$13="single",1.5,3)+3)/12))</f>
        <v>0</v>
      </c>
      <c r="AH501">
        <f>AG501-X501</f>
        <v>0</v>
      </c>
      <c r="AI501" cm="1">
        <f t="array" ref="AI501">IFERROR(IF(AH501&lt;0,0,AH501/($R$425-INDEX(hd_off,MATCH(AQ501,hd_mark,0),0)/12)),0)</f>
        <v>0</v>
      </c>
      <c r="AJ501">
        <f>MAX($F$23,$AA$425)/$Q$436</f>
        <v>0</v>
      </c>
      <c r="AK501">
        <f t="shared" si="305"/>
        <v>0</v>
      </c>
      <c r="AL501" cm="1">
        <f t="array" ref="AL501">IFERROR(INDEX(sheath_ecap_asd,MATCH(AP501,sheath_mark,0),0)*AK501,0)</f>
        <v>0</v>
      </c>
      <c r="AM501" cm="1">
        <f t="array" ref="AM501">IFERROR(INDEX(sheath_wcap_asd,MATCH(AP501,sheath_mark,0),0)*AK501,0)</f>
        <v>0</v>
      </c>
      <c r="AN501" cm="1">
        <f t="array" ref="AN501">IFERROR(INDEX(hd_cap,MATCH(AQ501,hd_mark,0),0),0)</f>
        <v>0</v>
      </c>
      <c r="AP501" s="19"/>
      <c r="AQ501" s="19"/>
      <c r="AR501" s="100"/>
      <c r="AS501" s="93"/>
      <c r="AT501" s="109" t="s">
        <v>491</v>
      </c>
      <c r="AU501" t="str">
        <f>$Q$407</f>
        <v>L4</v>
      </c>
      <c r="AV501">
        <f>$E$23</f>
        <v>0</v>
      </c>
      <c r="AW501" cm="1">
        <f t="array" ref="AW501">IFERROR(IF(AV501=0,0,(INDEX($C$33:$C$38,MATCH($AZ$425,$B$33:$B$38,0),0)*(AV503+$BA$425)+$AW$425*COUNTIF(AV501:AV502,"&gt;0")*$C$32+$AY$425*$C$31)*$AU$425),0)</f>
        <v>0</v>
      </c>
      <c r="AX501">
        <f>IF(AV501=0,0,-(COUNTIF(AV501:AV502,"&gt;0")*$AW$425*$C$32+$AY$425*$C$31)*$H$27*$AU$425)</f>
        <v>0</v>
      </c>
      <c r="AY501">
        <f>IF(AV501=0,0,$AY$425*$H$26*$AU$425)</f>
        <v>0</v>
      </c>
      <c r="AZ501">
        <f>(0.6*AW501+0.7*AX501)*$AU$425/2</f>
        <v>0</v>
      </c>
      <c r="BA501">
        <f>AW501*$AU$425/2</f>
        <v>0</v>
      </c>
      <c r="BC501">
        <f>IF(AV501=0,0,$BG$425*$AP$407)</f>
        <v>0</v>
      </c>
      <c r="BD501">
        <f>IFERROR(BC501/$AU$425,0)</f>
        <v>0</v>
      </c>
      <c r="BE501">
        <f>BC501*($F$23+IF($F$23=0,0,($C$14+$C$15+IF($C$13="single",1.5,3)+3)/12))</f>
        <v>0</v>
      </c>
      <c r="BF501">
        <f>BE501-AZ501</f>
        <v>0</v>
      </c>
      <c r="BG501" cm="1">
        <f t="array" ref="BG501">IFERROR(IF(BF501&lt;0,0,BF501/($AU$425-INDEX(hd_off,MATCH(BT501,hd_mark,0),0)/12)),0)</f>
        <v>0</v>
      </c>
      <c r="BH501">
        <f>IF(AV501=0,0,$BG$425*$AM$407)</f>
        <v>0</v>
      </c>
      <c r="BI501">
        <f>IFERROR(BH501/$AU$425,0)</f>
        <v>0</v>
      </c>
      <c r="BJ501">
        <f>BH501*($F$23+IF($F$23=0,0,($C$14+$C$15+IF($C$13="single",1.5,3)+3)/12))</f>
        <v>0</v>
      </c>
      <c r="BK501">
        <f>BJ501-BA501</f>
        <v>0</v>
      </c>
      <c r="BL501" cm="1">
        <f t="array" ref="BL501">IFERROR(IF(BK501&lt;0,0,BK501/($AU$425-INDEX(hd_off,MATCH(BT501,hd_mark,0),0)/12)),0)</f>
        <v>0</v>
      </c>
      <c r="BM501">
        <f>MAX($F$23,$BD$425)/$Q$436</f>
        <v>0</v>
      </c>
      <c r="BN501">
        <f t="shared" si="306"/>
        <v>0</v>
      </c>
      <c r="BO501" cm="1">
        <f t="array" ref="BO501">IFERROR(INDEX(sheath_ecap_asd,MATCH(BS501,sheath_mark,0),0)*BN501,0)</f>
        <v>0</v>
      </c>
      <c r="BP501" cm="1">
        <f t="array" ref="BP501">IFERROR(INDEX(sheath_wcap_asd,MATCH(BS501,sheath_mark,0),0)*BN501,0)</f>
        <v>0</v>
      </c>
      <c r="BQ501" cm="1">
        <f t="array" ref="BQ501">IFERROR(INDEX(hd_cap,MATCH(BT501,hd_mark,0),0),0)</f>
        <v>0</v>
      </c>
      <c r="BS501" s="19"/>
      <c r="BT501" s="19"/>
      <c r="BU501" s="100"/>
    </row>
    <row r="502" x14ac:dyDescent="0.25">
      <c r="P502" s="93"/>
      <c r="Q502" s="111">
        <f>$R$425</f>
        <v>0</v>
      </c>
      <c r="R502" t="str">
        <f>$Q$408</f>
        <v>L5</v>
      </c>
      <c r="S502">
        <f>$E$24</f>
        <v>0</v>
      </c>
      <c r="T502" cm="1">
        <f t="array" ref="T502">IFERROR(IF(S502=0,0,(INDEX($C$33:$C$38,MATCH($W$425,$B$33:$B$38,0),0)*(S503+$X$425)+$T$425*COUNTIF(S502:S502,"&gt;0")*$C$32+$V$425*$C$31)*$R$425),0)</f>
        <v>0</v>
      </c>
      <c r="U502">
        <f>IF(S502=0,0,-(COUNTIF(S502:S502,"&gt;0")*$T$425*$C$32+$V$425*$C$31)*$H$27*$R$425)</f>
        <v>0</v>
      </c>
      <c r="V502">
        <f>IF(S502=0,0,$V$425*$H$26*$R$425)</f>
        <v>0</v>
      </c>
      <c r="W502">
        <f>(0.6*T502+0.7*U502)*$R$425/2</f>
        <v>0</v>
      </c>
      <c r="X502">
        <f>T502*$R$425/2</f>
        <v>0</v>
      </c>
      <c r="Z502">
        <f>IF(S502=0,0,$AD$425*$AP$408)</f>
        <v>0</v>
      </c>
      <c r="AA502">
        <f>IFERROR(Z502/$R$425,0)</f>
        <v>0</v>
      </c>
      <c r="AB502">
        <f>Z502*($F$24+IF($F$24=0,0,($C$14+$C$15+IF($C$13="single",1.5,3)+3)/12))</f>
        <v>0</v>
      </c>
      <c r="AC502">
        <f>AB502-W502</f>
        <v>0</v>
      </c>
      <c r="AD502" cm="1">
        <f t="array" ref="AD502">IFERROR(IF(AC502&lt;0,0,AC502/($R$425-INDEX(hd_off,MATCH(AQ502,hd_mark,0),0)/12)),0)</f>
        <v>0</v>
      </c>
      <c r="AE502">
        <f>IF(S502=0,0,$AD$425*$AM$408)</f>
        <v>0</v>
      </c>
      <c r="AF502">
        <f>IFERROR(AE502/$R$425,0)</f>
        <v>0</v>
      </c>
      <c r="AG502">
        <f>AE502*($F$24+IF($F$24=0,0,($C$14+$C$15+IF($C$13="single",1.5,3)+3)/12))</f>
        <v>0</v>
      </c>
      <c r="AH502">
        <f>AG502-X502</f>
        <v>0</v>
      </c>
      <c r="AI502" cm="1">
        <f t="array" ref="AI502">IFERROR(IF(AH502&lt;0,0,AH502/($R$425-INDEX(hd_off,MATCH(AQ502,hd_mark,0),0)/12)),0)</f>
        <v>0</v>
      </c>
      <c r="AJ502">
        <f>MAX($F$24,$AB$425)/$Q$436</f>
        <v>0</v>
      </c>
      <c r="AK502">
        <f t="shared" si="305"/>
        <v>0</v>
      </c>
      <c r="AL502" cm="1">
        <f t="array" ref="AL502">IFERROR(INDEX(sheath_ecap_asd,MATCH(AP502,sheath_mark,0),0)*AK502,0)</f>
        <v>0</v>
      </c>
      <c r="AM502" cm="1">
        <f t="array" ref="AM502">IFERROR(INDEX(sheath_wcap_asd,MATCH(AP502,sheath_mark,0),0)*AK502,0)</f>
        <v>0</v>
      </c>
      <c r="AN502" cm="1">
        <f t="array" ref="AN502">IFERROR(INDEX(hd_cap,MATCH(AQ502,hd_mark,0),0),0)</f>
        <v>0</v>
      </c>
      <c r="AP502" s="19"/>
      <c r="AQ502" s="19"/>
      <c r="AR502" s="100"/>
      <c r="AS502" s="93"/>
      <c r="AT502" s="111">
        <f>$R$425</f>
        <v>0</v>
      </c>
      <c r="AU502" t="str">
        <f>$Q$408</f>
        <v>L5</v>
      </c>
      <c r="AV502">
        <f>$E$24</f>
        <v>0</v>
      </c>
      <c r="AW502" cm="1">
        <f t="array" ref="AW502">IFERROR(IF(AV502=0,0,(INDEX($C$33:$C$38,MATCH($AZ$425,$B$33:$B$38,0),0)*(AV503+$BA$425)+$AW$425*COUNTIF(AV502:AV502,"&gt;0")*$C$32+$AY$425*$C$31)*$AU$425),0)</f>
        <v>0</v>
      </c>
      <c r="AX502">
        <f>IF(AV502=0,0,-(COUNTIF(AV502:AV502,"&gt;0")*$AW$425*$C$32+$AY$425*$C$31)*$H$27*$AU$425)</f>
        <v>0</v>
      </c>
      <c r="AY502">
        <f>IF(AV502=0,0,$AY$425*$H$26*$AU$425)</f>
        <v>0</v>
      </c>
      <c r="AZ502">
        <f>(0.6*AW502+0.7*AX502)*$AU$425/2</f>
        <v>0</v>
      </c>
      <c r="BA502">
        <f>AW502*$AU$425/2</f>
        <v>0</v>
      </c>
      <c r="BC502">
        <f>IF(AV502=0,0,$BG$425*$AP$408)</f>
        <v>0</v>
      </c>
      <c r="BD502">
        <f>IFERROR(BC502/$AU$425,0)</f>
        <v>0</v>
      </c>
      <c r="BE502">
        <f>BC502*($F$24+IF($F$24=0,0,($C$14+$C$15+IF($C$13="single",1.5,3)+3)/12))</f>
        <v>0</v>
      </c>
      <c r="BF502">
        <f>BE502-AZ502</f>
        <v>0</v>
      </c>
      <c r="BG502" cm="1">
        <f t="array" ref="BG502">IFERROR(IF(BF502&lt;0,0,BF502/($AU$425-INDEX(hd_off,MATCH(BT502,hd_mark,0),0)/12)),0)</f>
        <v>0</v>
      </c>
      <c r="BH502">
        <f>IF(AV502=0,0,$BG$425*$AM$408)</f>
        <v>0</v>
      </c>
      <c r="BI502">
        <f>IFERROR(BH502/$AU$425,0)</f>
        <v>0</v>
      </c>
      <c r="BJ502">
        <f>BH502*($F$24+IF($F$24=0,0,($C$14+$C$15+IF($C$13="single",1.5,3)+3)/12))</f>
        <v>0</v>
      </c>
      <c r="BK502">
        <f>BJ502-BA502</f>
        <v>0</v>
      </c>
      <c r="BL502" cm="1">
        <f t="array" ref="BL502">IFERROR(IF(BK502&lt;0,0,BK502/($AU$425-INDEX(hd_off,MATCH(BT502,hd_mark,0),0)/12)),0)</f>
        <v>0</v>
      </c>
      <c r="BM502">
        <f>MAX($F$24,$BE$425)/$Q$436</f>
        <v>0</v>
      </c>
      <c r="BN502">
        <f t="shared" si="306"/>
        <v>0</v>
      </c>
      <c r="BO502" cm="1">
        <f t="array" ref="BO502">IFERROR(INDEX(sheath_ecap_asd,MATCH(BS502,sheath_mark,0),0)*BN502,0)</f>
        <v>0</v>
      </c>
      <c r="BP502" cm="1">
        <f t="array" ref="BP502">IFERROR(INDEX(sheath_wcap_asd,MATCH(BS502,sheath_mark,0),0)*BN502,0)</f>
        <v>0</v>
      </c>
      <c r="BQ502" cm="1">
        <f t="array" ref="BQ502">IFERROR(INDEX(hd_cap,MATCH(BT502,hd_mark,0),0),0)</f>
        <v>0</v>
      </c>
      <c r="BS502" s="19"/>
      <c r="BT502" s="19"/>
      <c r="BU502" s="100"/>
    </row>
    <row r="503" x14ac:dyDescent="0.25">
      <c r="P503" s="93"/>
      <c r="Q503" s="109"/>
      <c r="R503" t="str">
        <f>$Q$409</f>
        <v>Roof</v>
      </c>
      <c r="S503">
        <f>$E$25</f>
        <v>33.171875</v>
      </c>
      <c r="T503" cm="1">
        <f t="array" ref="T503">IFERROR(IF(S503=0,0,(INDEX($C$33:$C$38,MATCH($W$425,$B$33:$B$38,0),0)*(S503+$X$425)+$V$425*$C$31)*$R$425),0)</f>
        <v>0</v>
      </c>
      <c r="U503">
        <f>IF(S503=0,0,-$V$425*$C$31*$H$27*$R$425)</f>
        <v>0</v>
      </c>
      <c r="V503">
        <f>IF(S503=0,0,$V$425*$H$26*$R$425)</f>
        <v>0</v>
      </c>
      <c r="W503">
        <f>(0.6*T503+0.7*U503)*$R$425/2</f>
        <v>0</v>
      </c>
      <c r="X503">
        <f>T503*$R$425/2</f>
        <v>0</v>
      </c>
      <c r="Z503">
        <f>IF(S503=0,0,$AD$425*$AP$409)</f>
        <v>0</v>
      </c>
      <c r="AA503">
        <f>IFERROR(Z503/$R$425,0)</f>
        <v>0</v>
      </c>
      <c r="AB503">
        <f>Z503*($F$25+($C$16+$C$17+IF($C$13="single",1.5,3)+3)/12)</f>
        <v>0</v>
      </c>
      <c r="AC503">
        <f>AB503-W503</f>
        <v>0</v>
      </c>
      <c r="AD503" cm="1">
        <f t="array" ref="AD503">IFERROR(IF(AC503&lt;0,0,AC503/($R$425-INDEX(hd_off,MATCH(AQ503,hd_mark,0),0)/12)),0)</f>
        <v>0</v>
      </c>
      <c r="AE503">
        <f>IF(S503=0,0,$AD$425*$AM$409)</f>
        <v>0</v>
      </c>
      <c r="AF503">
        <f>IFERROR(AE503/$R$425,0)</f>
        <v>0</v>
      </c>
      <c r="AG503">
        <f>AE503*($F$25+($C$16+$C$17+IF($C$13="single",1.5,3)+3)/12)</f>
        <v>0</v>
      </c>
      <c r="AH503">
        <f>AG503-X503</f>
        <v>0</v>
      </c>
      <c r="AI503" cm="1">
        <f t="array" ref="AI503">IFERROR(IF(AH503&lt;0,0,AH503/($R$425-INDEX(hd_off,MATCH(AQ503,hd_mark,0),0)/12)),0)</f>
        <v>0</v>
      </c>
      <c r="AJ503">
        <f>MAX($F$25,$AC$425)/$Q$436</f>
        <v>0.29920977011494249</v>
      </c>
      <c r="AK503">
        <f t="shared" si="305"/>
        <v>1</v>
      </c>
      <c r="AL503" cm="1">
        <f t="array" ref="AL503">IFERROR(INDEX(sheath_ecap_asd,MATCH(AP503,sheath_mark,0),0)*AK503,0)</f>
        <v>0</v>
      </c>
      <c r="AM503" cm="1">
        <f t="array" ref="AM503">IFERROR(INDEX(sheath_wcap_asd,MATCH(AP503,sheath_mark,0),0)*AK503,0)</f>
        <v>0</v>
      </c>
      <c r="AN503" cm="1">
        <f t="array" ref="AN503">IFERROR(INDEX(hd_cap,MATCH(AQ503,hd_mark,0),0),0)</f>
        <v>0</v>
      </c>
      <c r="AP503" s="19"/>
      <c r="AQ503" s="19"/>
      <c r="AR503" s="100"/>
      <c r="AS503" s="93"/>
      <c r="AT503" s="109"/>
      <c r="AU503" t="str">
        <f>$Q$409</f>
        <v>Roof</v>
      </c>
      <c r="AV503">
        <f>$E$25</f>
        <v>33.171875</v>
      </c>
      <c r="AW503" cm="1">
        <f t="array" ref="AW503">IFERROR(IF(AV503=0,0,(INDEX($C$33:$C$38,MATCH($AZ$425,$B$33:$B$38,0),0)*(AV503+$BA$425)+$AY$425*$C$31)*$AU$425),0)</f>
        <v>0</v>
      </c>
      <c r="AX503">
        <f>IF(AV503=0,0,-$AY$425*$C$31*$H$27*$AU$425)</f>
        <v>0</v>
      </c>
      <c r="AY503">
        <f>IF(AV503=0,0,$AY$425*$H$26*$AU$425)</f>
        <v>0</v>
      </c>
      <c r="AZ503">
        <f>(0.6*AW503+0.7*AX503)*$AU$425/2</f>
        <v>0</v>
      </c>
      <c r="BA503">
        <f>AW503*$AU$425/2</f>
        <v>0</v>
      </c>
      <c r="BC503">
        <f>IF(AV503=0,0,$BG$425*$AP$409)</f>
        <v>0</v>
      </c>
      <c r="BD503">
        <f>IFERROR(BC503/$AU$425,0)</f>
        <v>0</v>
      </c>
      <c r="BE503">
        <f>BC503*($F$25+($C$16+$C$17+IF($C$13="single",1.5,3)+3)/12)</f>
        <v>0</v>
      </c>
      <c r="BF503">
        <f>BE503-AZ503</f>
        <v>0</v>
      </c>
      <c r="BG503" cm="1">
        <f t="array" ref="BG503">IFERROR(IF(BF503&lt;0,0,BF503/($AU$425-INDEX(hd_off,MATCH(BT503,hd_mark,0),0)/12)),0)</f>
        <v>0</v>
      </c>
      <c r="BH503">
        <f>IF(AV503=0,0,$BG$425*$AM$409)</f>
        <v>0</v>
      </c>
      <c r="BI503">
        <f>IFERROR(BH503/$AU$425,0)</f>
        <v>0</v>
      </c>
      <c r="BJ503">
        <f>BH503*($F$25+($C$16+$C$17+IF($C$13="single",1.5,3)+3)/12)</f>
        <v>0</v>
      </c>
      <c r="BK503">
        <f>BJ503-BA503</f>
        <v>0</v>
      </c>
      <c r="BL503" cm="1">
        <f t="array" ref="BL503">IFERROR(IF(BK503&lt;0,0,BK503/($AU$425-INDEX(hd_off,MATCH(BT503,hd_mark,0),0)/12)),0)</f>
        <v>0</v>
      </c>
      <c r="BM503">
        <f>MAX($F$25,$BF$425)/$Q$436</f>
        <v>0.29920977011494249</v>
      </c>
      <c r="BN503">
        <f t="shared" si="306"/>
        <v>1</v>
      </c>
      <c r="BO503" cm="1">
        <f t="array" ref="BO503">IFERROR(INDEX(sheath_ecap_asd,MATCH(BS503,sheath_mark,0),0)*BN503,0)</f>
        <v>0</v>
      </c>
      <c r="BP503" cm="1">
        <f t="array" ref="BP503">IFERROR(INDEX(sheath_wcap_asd,MATCH(BS503,sheath_mark,0),0)*BN503,0)</f>
        <v>0</v>
      </c>
      <c r="BQ503" cm="1">
        <f t="array" ref="BQ503">IFERROR(INDEX(hd_cap,MATCH(BT503,hd_mark,0),0),0)</f>
        <v>0</v>
      </c>
      <c r="BS503" s="19"/>
      <c r="BT503" s="19"/>
      <c r="BU503" s="100"/>
    </row>
    <row r="504" x14ac:dyDescent="0.25">
      <c r="P504" s="93"/>
      <c r="AR504" s="100"/>
      <c r="AS504" s="93"/>
      <c r="BU504" s="100"/>
    </row>
    <row r="505" x14ac:dyDescent="0.25">
      <c r="P505" s="93"/>
      <c r="Q505" s="110" t="str">
        <f>$Q$426</f>
        <v>A.13</v>
      </c>
      <c r="R505" t="str">
        <f>$Q$405</f>
        <v>L2</v>
      </c>
      <c r="S505">
        <f>$E$21</f>
        <v>10.6875</v>
      </c>
      <c r="T505" cm="1">
        <f t="array" ref="T505">IFERROR(IF(S505=0,0,(INDEX($C$33:$C$38,MATCH($W$426,$B$33:$B$38,0),0)*(S509+$X$426)+$T$426*COUNTIF(S505:S508,"&gt;0")*$C$32+$V$426*$C$31)*$R$426),0)</f>
        <v>0</v>
      </c>
      <c r="U505">
        <f>IF(S505=0,0,-(COUNTIF(S505:S508,"&gt;0")*$T$426*$C$32+$V$426*$C$31)*$H$27*$R$426)</f>
        <v>0</v>
      </c>
      <c r="V505">
        <f>IF(S505=0,0,$V$426*$H$26*$R$426)</f>
        <v>0</v>
      </c>
      <c r="W505">
        <f>(0.6*T505+0.7*U505)*$R$426/2</f>
        <v>0</v>
      </c>
      <c r="X505">
        <f>(0.6*T505+0.6*V505)*$R$426/2</f>
        <v>0</v>
      </c>
      <c r="Z505">
        <f>IF(S505=0,0,$AD$426*$AP$405)</f>
        <v>0</v>
      </c>
      <c r="AA505">
        <f>IFERROR(Z505/$R$426,0)</f>
        <v>0</v>
      </c>
      <c r="AB505">
        <f>Z505*($F$21+IF($F$21=0,0,($C$14+$C$15+IF($C$13="single",1.5,3)+3)/12))</f>
        <v>0</v>
      </c>
      <c r="AC505">
        <f>AB505-W505</f>
        <v>0</v>
      </c>
      <c r="AD505" cm="1">
        <f t="array" ref="AD505">IFERROR(IF(AC505&lt;0,0,AC505/($R$426-INDEX(hd_off,MATCH(AQ505,hd_mark,0),0)/12)),0)</f>
        <v>0</v>
      </c>
      <c r="AE505">
        <f>IF(S505=0,0,$AD$426*$AM$405)</f>
        <v>0</v>
      </c>
      <c r="AF505">
        <f>IFERROR(AE505/$R$426,0)</f>
        <v>0</v>
      </c>
      <c r="AG505">
        <f>AE505*($F$21+IF($F$21=0,0,($C$14+$C$15+IF($C$13="single",1.5,3)+3)/12))</f>
        <v>0</v>
      </c>
      <c r="AH505">
        <f>AG505-X505</f>
        <v>0</v>
      </c>
      <c r="AI505" cm="1">
        <f t="array" ref="AI505">IFERROR(IF(AH505&lt;0,0,AH505/($R$426-INDEX(hd_off,MATCH(AQ505,hd_mark,0),0)/12)),0)</f>
        <v>0</v>
      </c>
      <c r="AJ505">
        <f>MAX($F$21,$Y$426)/$Q$436</f>
        <v>0.30172413793103448</v>
      </c>
      <c r="AK505">
        <f>IF(AJ505=0,0,IF(AJ505&gt;2,1.25-0.125*AJ505,1))</f>
        <v>1</v>
      </c>
      <c r="AL505" cm="1">
        <f t="array" ref="AL505">IFERROR(INDEX(sheath_ecap_asd,MATCH(AP505,sheath_mark,0),0)*AK505,0)</f>
        <v>0</v>
      </c>
      <c r="AM505" cm="1">
        <f t="array" ref="AM505">IFERROR(INDEX(sheath_wcap_asd,MATCH(AP505,sheath_mark,0),0)*AK505,0)</f>
        <v>0</v>
      </c>
      <c r="AN505" cm="1">
        <f t="array" ref="AN505">IFERROR(INDEX(hd_cap,MATCH(AQ505,hd_mark,0),0),0)</f>
        <v>0</v>
      </c>
      <c r="AP505" s="19"/>
      <c r="AQ505" s="19"/>
      <c r="AR505" s="100"/>
      <c r="AS505" s="93"/>
      <c r="AT505" s="110" t="str">
        <f>$AT$426</f>
        <v>1.13</v>
      </c>
      <c r="AU505" t="str">
        <f>$Q$405</f>
        <v>L2</v>
      </c>
      <c r="AV505">
        <f>$E$21</f>
        <v>10.6875</v>
      </c>
      <c r="AW505" cm="1">
        <f t="array" ref="AW505">IFERROR(IF(AV505=0,0,(INDEX($C$33:$C$38,MATCH($AZ$426,$B$33:$B$38,0),0)*(AV509+$BA$426)+$AW$426*COUNTIF(AV505:AV508,"&gt;0")*$C$32+$AY$426*$C$31)*$AU$426),0)</f>
        <v>0</v>
      </c>
      <c r="AX505">
        <f>IF(AV505=0,0,-(COUNTIF(AV505:AV508,"&gt;0")*$AW$426*$C$32+$AY$426*$C$31)*$H$27*$AU$426)</f>
        <v>0</v>
      </c>
      <c r="AY505">
        <f>IF(AV505=0,0,$AY$426*$H$26*$AU$426)</f>
        <v>0</v>
      </c>
      <c r="AZ505">
        <f>(0.6*AW505+0.7*AX505)*$AU$426/2</f>
        <v>0</v>
      </c>
      <c r="BA505">
        <f>(0.6*AW505+0.6*AY505)*$AU$426/2</f>
        <v>0</v>
      </c>
      <c r="BC505">
        <f>IF(AV505=0,0,$BG$426*$AP$405)</f>
        <v>0</v>
      </c>
      <c r="BD505">
        <f>IFERROR(BC505/$AU$426,0)</f>
        <v>0</v>
      </c>
      <c r="BE505">
        <f>BC505*($F$21+IF($F$21=0,0,($C$14+$C$15+IF($C$13="single",1.5,3)+3)/12))</f>
        <v>0</v>
      </c>
      <c r="BF505">
        <f>BE505-AZ505</f>
        <v>0</v>
      </c>
      <c r="BG505" cm="1">
        <f t="array" ref="BG505">IFERROR(IF(BF505&lt;0,0,BF505/($AU$426-INDEX(hd_off,MATCH(BT505,hd_mark,0),0)/12)),0)</f>
        <v>0</v>
      </c>
      <c r="BH505">
        <f>IF(AV505=0,0,$BG$426*$AM$405)</f>
        <v>0</v>
      </c>
      <c r="BI505">
        <f>IFERROR(BH505/$AU$426,0)</f>
        <v>0</v>
      </c>
      <c r="BJ505">
        <f>BH505*($F$21+IF($F$21=0,0,($C$14+$C$15+IF($C$13="single",1.5,3)+3)/12))</f>
        <v>0</v>
      </c>
      <c r="BK505">
        <f>BJ505-BA505</f>
        <v>0</v>
      </c>
      <c r="BL505" cm="1">
        <f t="array" ref="BL505">IFERROR(IF(BK505&lt;0,0,BK505/($AU$426-INDEX(hd_off,MATCH(BT505,hd_mark,0),0)/12)),0)</f>
        <v>0</v>
      </c>
      <c r="BM505">
        <f>MAX($F$21,$BB$426)/$Q$436</f>
        <v>0.30172413793103448</v>
      </c>
      <c r="BN505">
        <f>IF(BM505=0,0,IF(BM505&gt;2,1.25-0.125*BM505,1))</f>
        <v>1</v>
      </c>
      <c r="BO505" cm="1">
        <f t="array" ref="BO505">IFERROR(INDEX(sheath_ecap_asd,MATCH(BS505,sheath_mark,0),0)*BN505,0)</f>
        <v>0</v>
      </c>
      <c r="BP505" cm="1">
        <f t="array" ref="BP505">IFERROR(INDEX(sheath_wcap_asd,MATCH(BS505,sheath_mark,0),0)*BN505,0)</f>
        <v>0</v>
      </c>
      <c r="BQ505" cm="1">
        <f t="array" ref="BQ505">IFERROR(INDEX(hd_cap,MATCH(BT505,hd_mark,0),0),0)</f>
        <v>0</v>
      </c>
      <c r="BS505" s="19"/>
      <c r="BT505" s="19"/>
      <c r="BU505" s="100"/>
    </row>
    <row r="506" x14ac:dyDescent="0.25">
      <c r="P506" s="93"/>
      <c r="Q506" s="109"/>
      <c r="R506" t="str">
        <f>$Q$406</f>
        <v>L3</v>
      </c>
      <c r="S506">
        <f>$E$22</f>
        <v>21.375</v>
      </c>
      <c r="T506" cm="1">
        <f t="array" ref="T506">IFERROR(IF(S506=0,0,(INDEX($C$33:$C$38,MATCH($W$426,$B$33:$B$38,0),0)*(S509+$X$426)+$T$426*COUNTIF(S506:S508,"&gt;0")*$C$32+$V$426*$C$31)*$R$426),0)</f>
        <v>0</v>
      </c>
      <c r="U506">
        <f>IF(S506=0,0,-(COUNTIF(S506:S508,"&gt;0")*$T$426*$C$32+$V$426*$C$31)*$H$27*$R$426)</f>
        <v>0</v>
      </c>
      <c r="V506">
        <f>IF(S506=0,0,$V$426*$H$26*$R$426)</f>
        <v>0</v>
      </c>
      <c r="W506">
        <f>(0.6*T506+0.7*U506)*$R$426/2</f>
        <v>0</v>
      </c>
      <c r="X506">
        <f>T506*$R$426/2</f>
        <v>0</v>
      </c>
      <c r="Z506">
        <f>IF(S506=0,0,$AD$426*$AP$406)</f>
        <v>0</v>
      </c>
      <c r="AA506">
        <f>IFERROR(Z506/$R$426,0)</f>
        <v>0</v>
      </c>
      <c r="AB506">
        <f>Z506*($F$22+IF($F$22=0,0,($C$14+$C$15+IF($C$13="single",1.5,3)+3)/12))</f>
        <v>0</v>
      </c>
      <c r="AC506">
        <f>AB506-W506</f>
        <v>0</v>
      </c>
      <c r="AD506" cm="1">
        <f t="array" ref="AD506">IFERROR(IF(AC506&lt;0,0,AC506/($R$426-INDEX(hd_off,MATCH(AQ506,hd_mark,0),0)/12)),0)</f>
        <v>0</v>
      </c>
      <c r="AE506">
        <f>IF(S506=0,0,$AD$426*$AM$406)</f>
        <v>0</v>
      </c>
      <c r="AF506">
        <f>IFERROR(AE506/$R$426,0)</f>
        <v>0</v>
      </c>
      <c r="AG506">
        <f>AE506*($F$22+IF($F$22=0,0,($C$14+$C$15+IF($C$13="single",1.5,3)+3)/12))</f>
        <v>0</v>
      </c>
      <c r="AH506">
        <f>AG506-X506</f>
        <v>0</v>
      </c>
      <c r="AI506" cm="1">
        <f t="array" ref="AI506">IFERROR(IF(AH506&lt;0,0,AH506/($R$426-INDEX(hd_off,MATCH(AQ506,hd_mark,0),0)/12)),0)</f>
        <v>0</v>
      </c>
      <c r="AJ506">
        <f>MAX($F$22,$Z$426)/$Q$436</f>
        <v>0.30172413793103448</v>
      </c>
      <c r="AK506">
        <f t="shared" ref="AK506:AK509" si="307">IF(AJ506=0,0,IF(AJ506&gt;2,1.25-0.125*AJ506,1))</f>
        <v>1</v>
      </c>
      <c r="AL506" cm="1">
        <f t="array" ref="AL506">IFERROR(INDEX(sheath_ecap_asd,MATCH(AP506,sheath_mark,0),0)*AK506,0)</f>
        <v>0</v>
      </c>
      <c r="AM506" cm="1">
        <f t="array" ref="AM506">IFERROR(INDEX(sheath_wcap_asd,MATCH(AP506,sheath_mark,0),0)*AK506,0)</f>
        <v>0</v>
      </c>
      <c r="AN506" cm="1">
        <f t="array" ref="AN506">IFERROR(INDEX(hd_cap,MATCH(AQ506,hd_mark,0),0),0)</f>
        <v>0</v>
      </c>
      <c r="AP506" s="19"/>
      <c r="AQ506" s="19"/>
      <c r="AR506" s="100"/>
      <c r="AS506" s="93"/>
      <c r="AT506" s="109"/>
      <c r="AU506" t="str">
        <f>$Q$406</f>
        <v>L3</v>
      </c>
      <c r="AV506">
        <f>$E$22</f>
        <v>21.375</v>
      </c>
      <c r="AW506" cm="1">
        <f t="array" ref="AW506">IFERROR(IF(AV506=0,0,(INDEX($C$33:$C$38,MATCH($AZ$426,$B$33:$B$38,0),0)*(AV509+$BA$426)+$AW$426*COUNTIF(AV506:AV508,"&gt;0")*$C$32+$AY$426*$C$31)*$AU$426),0)</f>
        <v>0</v>
      </c>
      <c r="AX506">
        <f>IF(AV506=0,0,-(COUNTIF(AV506:AV508,"&gt;0")*$AW$426*$C$32+$AY$426*$C$31)*$H$27*$AU$426)</f>
        <v>0</v>
      </c>
      <c r="AY506">
        <f>IF(AV506=0,0,$AY$426*$H$26*$AU$426)</f>
        <v>0</v>
      </c>
      <c r="AZ506">
        <f>(0.6*AW506+0.7*AX506)*$AU$426/2</f>
        <v>0</v>
      </c>
      <c r="BA506">
        <f>AW506*$AU$426/2</f>
        <v>0</v>
      </c>
      <c r="BC506">
        <f>IF(AV506=0,0,$BG$426*$AP$406)</f>
        <v>0</v>
      </c>
      <c r="BD506">
        <f>IFERROR(BC506/$AU$426,0)</f>
        <v>0</v>
      </c>
      <c r="BE506">
        <f>BC506*($F$22+IF($F$22=0,0,($C$14+$C$15+IF($C$13="single",1.5,3)+3)/12))</f>
        <v>0</v>
      </c>
      <c r="BF506">
        <f>BE506-AZ506</f>
        <v>0</v>
      </c>
      <c r="BG506" cm="1">
        <f t="array" ref="BG506">IFERROR(IF(BF506&lt;0,0,BF506/($AU$426-INDEX(hd_off,MATCH(BT506,hd_mark,0),0)/12)),0)</f>
        <v>0</v>
      </c>
      <c r="BH506">
        <f>IF(AV506=0,0,$BG$426*$AM$406)</f>
        <v>0</v>
      </c>
      <c r="BI506">
        <f>IFERROR(BH506/$AU$426,0)</f>
        <v>0</v>
      </c>
      <c r="BJ506">
        <f>BH506*($F$22+IF($F$22=0,0,($C$14+$C$15+IF($C$13="single",1.5,3)+3)/12))</f>
        <v>0</v>
      </c>
      <c r="BK506">
        <f>BJ506-BA506</f>
        <v>0</v>
      </c>
      <c r="BL506" cm="1">
        <f t="array" ref="BL506">IFERROR(IF(BK506&lt;0,0,BK506/($AU$426-INDEX(hd_off,MATCH(BT506,hd_mark,0),0)/12)),0)</f>
        <v>0</v>
      </c>
      <c r="BM506">
        <f>MAX($F$22,$BC$426)/$Q$436</f>
        <v>0.30172413793103448</v>
      </c>
      <c r="BN506">
        <f t="shared" ref="BN506:BN509" si="308">IF(BM506=0,0,IF(BM506&gt;2,1.25-0.125*BM506,1))</f>
        <v>1</v>
      </c>
      <c r="BO506" cm="1">
        <f t="array" ref="BO506">IFERROR(INDEX(sheath_ecap_asd,MATCH(BS506,sheath_mark,0),0)*BN506,0)</f>
        <v>0</v>
      </c>
      <c r="BP506" cm="1">
        <f t="array" ref="BP506">IFERROR(INDEX(sheath_wcap_asd,MATCH(BS506,sheath_mark,0),0)*BN506,0)</f>
        <v>0</v>
      </c>
      <c r="BQ506" cm="1">
        <f t="array" ref="BQ506">IFERROR(INDEX(hd_cap,MATCH(BT506,hd_mark,0),0),0)</f>
        <v>0</v>
      </c>
      <c r="BS506" s="19"/>
      <c r="BT506" s="19"/>
      <c r="BU506" s="100"/>
    </row>
    <row r="507" x14ac:dyDescent="0.25">
      <c r="P507" s="93"/>
      <c r="Q507" s="109" t="s">
        <v>491</v>
      </c>
      <c r="R507" t="str">
        <f>$Q$407</f>
        <v>L4</v>
      </c>
      <c r="S507">
        <f>$E$23</f>
        <v>0</v>
      </c>
      <c r="T507" cm="1">
        <f t="array" ref="T507">IFERROR(IF(S507=0,0,(INDEX($C$33:$C$38,MATCH($W$426,$B$33:$B$38,0),0)*(S509+$X$426)+$T$426*COUNTIF(S507:S508,"&gt;0")*$C$32+$V$426*$C$31)*$R$426),0)</f>
        <v>0</v>
      </c>
      <c r="U507">
        <f>IF(S507=0,0,-(COUNTIF(S507:S508,"&gt;0")*$T$426*$C$32+$V$426*$C$31)*$H$27*$R$426)</f>
        <v>0</v>
      </c>
      <c r="V507">
        <f>IF(S507=0,0,$V$426*$H$26*$R$426)</f>
        <v>0</v>
      </c>
      <c r="W507">
        <f>(0.6*T507+0.7*U507)*$R$426/2</f>
        <v>0</v>
      </c>
      <c r="X507">
        <f>T507*$R$426/2</f>
        <v>0</v>
      </c>
      <c r="Z507">
        <f>IF(S507=0,0,$AD$426*$AP$407)</f>
        <v>0</v>
      </c>
      <c r="AA507">
        <f>IFERROR(Z507/$R$426,0)</f>
        <v>0</v>
      </c>
      <c r="AB507">
        <f>Z507*($F$23+IF($F$23=0,0,($C$14+$C$15+IF($C$13="single",1.5,3)+3)/12))</f>
        <v>0</v>
      </c>
      <c r="AC507">
        <f>AB507-W507</f>
        <v>0</v>
      </c>
      <c r="AD507" cm="1">
        <f t="array" ref="AD507">IFERROR(IF(AC507&lt;0,0,AC507/($R$426-INDEX(hd_off,MATCH(AQ507,hd_mark,0),0)/12)),0)</f>
        <v>0</v>
      </c>
      <c r="AE507">
        <f>IF(S507=0,0,$AD$426*$AM$407)</f>
        <v>0</v>
      </c>
      <c r="AF507">
        <f>IFERROR(AE507/$R$426,0)</f>
        <v>0</v>
      </c>
      <c r="AG507">
        <f>AE507*($F$23+IF($F$23=0,0,($C$14+$C$15+IF($C$13="single",1.5,3)+3)/12))</f>
        <v>0</v>
      </c>
      <c r="AH507">
        <f>AG507-X507</f>
        <v>0</v>
      </c>
      <c r="AI507" cm="1">
        <f t="array" ref="AI507">IFERROR(IF(AH507&lt;0,0,AH507/($R$426-INDEX(hd_off,MATCH(AQ507,hd_mark,0),0)/12)),0)</f>
        <v>0</v>
      </c>
      <c r="AJ507">
        <f>MAX($F$23,$AA$426)/$Q$436</f>
        <v>0</v>
      </c>
      <c r="AK507">
        <f t="shared" si="307"/>
        <v>0</v>
      </c>
      <c r="AL507" cm="1">
        <f t="array" ref="AL507">IFERROR(INDEX(sheath_ecap_asd,MATCH(AP507,sheath_mark,0),0)*AK507,0)</f>
        <v>0</v>
      </c>
      <c r="AM507" cm="1">
        <f t="array" ref="AM507">IFERROR(INDEX(sheath_wcap_asd,MATCH(AP507,sheath_mark,0),0)*AK507,0)</f>
        <v>0</v>
      </c>
      <c r="AN507" cm="1">
        <f t="array" ref="AN507">IFERROR(INDEX(hd_cap,MATCH(AQ507,hd_mark,0),0),0)</f>
        <v>0</v>
      </c>
      <c r="AP507" s="19"/>
      <c r="AQ507" s="19"/>
      <c r="AR507" s="100"/>
      <c r="AS507" s="93"/>
      <c r="AT507" s="109" t="s">
        <v>491</v>
      </c>
      <c r="AU507" t="str">
        <f>$Q$407</f>
        <v>L4</v>
      </c>
      <c r="AV507">
        <f>$E$23</f>
        <v>0</v>
      </c>
      <c r="AW507" cm="1">
        <f t="array" ref="AW507">IFERROR(IF(AV507=0,0,(INDEX($C$33:$C$38,MATCH($AZ$426,$B$33:$B$38,0),0)*(AV509+$BA$426)+$AW$426*COUNTIF(AV507:AV508,"&gt;0")*$C$32+$AY$426*$C$31)*$AU$426),0)</f>
        <v>0</v>
      </c>
      <c r="AX507">
        <f>IF(AV507=0,0,-(COUNTIF(AV507:AV508,"&gt;0")*$AW$426*$C$32+$AY$426*$C$31)*$H$27*$AU$426)</f>
        <v>0</v>
      </c>
      <c r="AY507">
        <f>IF(AV507=0,0,$AY$426*$H$26*$AU$426)</f>
        <v>0</v>
      </c>
      <c r="AZ507">
        <f>(0.6*AW507+0.7*AX507)*$AU$426/2</f>
        <v>0</v>
      </c>
      <c r="BA507">
        <f>AW507*$AU$426/2</f>
        <v>0</v>
      </c>
      <c r="BC507">
        <f>IF(AV507=0,0,$BG$426*$AP$407)</f>
        <v>0</v>
      </c>
      <c r="BD507">
        <f>IFERROR(BC507/$AU$426,0)</f>
        <v>0</v>
      </c>
      <c r="BE507">
        <f>BC507*($F$23+IF($F$23=0,0,($C$14+$C$15+IF($C$13="single",1.5,3)+3)/12))</f>
        <v>0</v>
      </c>
      <c r="BF507">
        <f>BE507-AZ507</f>
        <v>0</v>
      </c>
      <c r="BG507" cm="1">
        <f t="array" ref="BG507">IFERROR(IF(BF507&lt;0,0,BF507/($AU$426-INDEX(hd_off,MATCH(BT507,hd_mark,0),0)/12)),0)</f>
        <v>0</v>
      </c>
      <c r="BH507">
        <f>IF(AV507=0,0,$BG$426*$AM$407)</f>
        <v>0</v>
      </c>
      <c r="BI507">
        <f>IFERROR(BH507/$AU$426,0)</f>
        <v>0</v>
      </c>
      <c r="BJ507">
        <f>BH507*($F$23+IF($F$23=0,0,($C$14+$C$15+IF($C$13="single",1.5,3)+3)/12))</f>
        <v>0</v>
      </c>
      <c r="BK507">
        <f>BJ507-BA507</f>
        <v>0</v>
      </c>
      <c r="BL507" cm="1">
        <f t="array" ref="BL507">IFERROR(IF(BK507&lt;0,0,BK507/($AU$426-INDEX(hd_off,MATCH(BT507,hd_mark,0),0)/12)),0)</f>
        <v>0</v>
      </c>
      <c r="BM507">
        <f>MAX($F$23,$BD$426)/$Q$436</f>
        <v>0</v>
      </c>
      <c r="BN507">
        <f t="shared" si="308"/>
        <v>0</v>
      </c>
      <c r="BO507" cm="1">
        <f t="array" ref="BO507">IFERROR(INDEX(sheath_ecap_asd,MATCH(BS507,sheath_mark,0),0)*BN507,0)</f>
        <v>0</v>
      </c>
      <c r="BP507" cm="1">
        <f t="array" ref="BP507">IFERROR(INDEX(sheath_wcap_asd,MATCH(BS507,sheath_mark,0),0)*BN507,0)</f>
        <v>0</v>
      </c>
      <c r="BQ507" cm="1">
        <f t="array" ref="BQ507">IFERROR(INDEX(hd_cap,MATCH(BT507,hd_mark,0),0),0)</f>
        <v>0</v>
      </c>
      <c r="BS507" s="19"/>
      <c r="BT507" s="19"/>
      <c r="BU507" s="100"/>
    </row>
    <row r="508" x14ac:dyDescent="0.25">
      <c r="P508" s="93"/>
      <c r="Q508" s="111">
        <f>$R$426</f>
        <v>0</v>
      </c>
      <c r="R508" t="str">
        <f>$Q$408</f>
        <v>L5</v>
      </c>
      <c r="S508">
        <f>$E$24</f>
        <v>0</v>
      </c>
      <c r="T508" cm="1">
        <f t="array" ref="T508">IFERROR(IF(S508=0,0,(INDEX($C$33:$C$38,MATCH($W$426,$B$33:$B$38,0),0)*(S509+$X$426)+$T$426*COUNTIF(S508:S508,"&gt;0")*$C$32+$V$426*$C$31)*$R$426),0)</f>
        <v>0</v>
      </c>
      <c r="U508">
        <f>IF(S508=0,0,-(COUNTIF(S508:S508,"&gt;0")*$T$426*$C$32+$V$426*$C$31)*$H$27*$R$426)</f>
        <v>0</v>
      </c>
      <c r="V508">
        <f>IF(S508=0,0,$V$426*$H$26*$R$426)</f>
        <v>0</v>
      </c>
      <c r="W508">
        <f>(0.6*T508+0.7*U508)*$R$426/2</f>
        <v>0</v>
      </c>
      <c r="X508">
        <f>T508*$R$426/2</f>
        <v>0</v>
      </c>
      <c r="Z508">
        <f>IF(S508=0,0,$AD$426*$AP$408)</f>
        <v>0</v>
      </c>
      <c r="AA508">
        <f>IFERROR(Z508/$R$426,0)</f>
        <v>0</v>
      </c>
      <c r="AB508">
        <f>Z508*($F$24+IF($F$24=0,0,($C$14+$C$15+IF($C$13="single",1.5,3)+3)/12))</f>
        <v>0</v>
      </c>
      <c r="AC508">
        <f>AB508-W508</f>
        <v>0</v>
      </c>
      <c r="AD508" cm="1">
        <f t="array" ref="AD508">IFERROR(IF(AC508&lt;0,0,AC508/($R$426-INDEX(hd_off,MATCH(AQ508,hd_mark,0),0)/12)),0)</f>
        <v>0</v>
      </c>
      <c r="AE508">
        <f>IF(S508=0,0,$AD$426*$AM$408)</f>
        <v>0</v>
      </c>
      <c r="AF508">
        <f>IFERROR(AE508/$R$426,0)</f>
        <v>0</v>
      </c>
      <c r="AG508">
        <f>AE508*($F$24+IF($F$24=0,0,($C$14+$C$15+IF($C$13="single",1.5,3)+3)/12))</f>
        <v>0</v>
      </c>
      <c r="AH508">
        <f>AG508-X508</f>
        <v>0</v>
      </c>
      <c r="AI508" cm="1">
        <f t="array" ref="AI508">IFERROR(IF(AH508&lt;0,0,AH508/($R$426-INDEX(hd_off,MATCH(AQ508,hd_mark,0),0)/12)),0)</f>
        <v>0</v>
      </c>
      <c r="AJ508">
        <f>MAX($F$24,$AB$426)/$Q$436</f>
        <v>0</v>
      </c>
      <c r="AK508">
        <f t="shared" si="307"/>
        <v>0</v>
      </c>
      <c r="AL508" cm="1">
        <f t="array" ref="AL508">IFERROR(INDEX(sheath_ecap_asd,MATCH(AP508,sheath_mark,0),0)*AK508,0)</f>
        <v>0</v>
      </c>
      <c r="AM508" cm="1">
        <f t="array" ref="AM508">IFERROR(INDEX(sheath_wcap_asd,MATCH(AP508,sheath_mark,0),0)*AK508,0)</f>
        <v>0</v>
      </c>
      <c r="AN508" cm="1">
        <f t="array" ref="AN508">IFERROR(INDEX(hd_cap,MATCH(AQ508,hd_mark,0),0),0)</f>
        <v>0</v>
      </c>
      <c r="AP508" s="19"/>
      <c r="AQ508" s="19"/>
      <c r="AR508" s="100"/>
      <c r="AS508" s="93"/>
      <c r="AT508" s="111">
        <f>$R$426</f>
        <v>0</v>
      </c>
      <c r="AU508" t="str">
        <f>$Q$408</f>
        <v>L5</v>
      </c>
      <c r="AV508">
        <f>$E$24</f>
        <v>0</v>
      </c>
      <c r="AW508" cm="1">
        <f t="array" ref="AW508">IFERROR(IF(AV508=0,0,(INDEX($C$33:$C$38,MATCH($AZ$426,$B$33:$B$38,0),0)*(AV509+$BA$426)+$AW$426*COUNTIF(AV508:AV508,"&gt;0")*$C$32+$AY$426*$C$31)*$AU$426),0)</f>
        <v>0</v>
      </c>
      <c r="AX508">
        <f>IF(AV508=0,0,-(COUNTIF(AV508:AV508,"&gt;0")*$AW$426*$C$32+$AY$426*$C$31)*$H$27*$AU$426)</f>
        <v>0</v>
      </c>
      <c r="AY508">
        <f>IF(AV508=0,0,$AY$426*$H$26*$AU$426)</f>
        <v>0</v>
      </c>
      <c r="AZ508">
        <f>(0.6*AW508+0.7*AX508)*$AU$426/2</f>
        <v>0</v>
      </c>
      <c r="BA508">
        <f>AW508*$AU$426/2</f>
        <v>0</v>
      </c>
      <c r="BC508">
        <f>IF(AV508=0,0,$BG$426*$AP$408)</f>
        <v>0</v>
      </c>
      <c r="BD508">
        <f>IFERROR(BC508/$AU$426,0)</f>
        <v>0</v>
      </c>
      <c r="BE508">
        <f>BC508*($F$24+IF($F$24=0,0,($C$14+$C$15+IF($C$13="single",1.5,3)+3)/12))</f>
        <v>0</v>
      </c>
      <c r="BF508">
        <f>BE508-AZ508</f>
        <v>0</v>
      </c>
      <c r="BG508" cm="1">
        <f t="array" ref="BG508">IFERROR(IF(BF508&lt;0,0,BF508/($AU$426-INDEX(hd_off,MATCH(BT508,hd_mark,0),0)/12)),0)</f>
        <v>0</v>
      </c>
      <c r="BH508">
        <f>IF(AV508=0,0,$BG$426*$AM$408)</f>
        <v>0</v>
      </c>
      <c r="BI508">
        <f>IFERROR(BH508/$AU$426,0)</f>
        <v>0</v>
      </c>
      <c r="BJ508">
        <f>BH508*($F$24+IF($F$24=0,0,($C$14+$C$15+IF($C$13="single",1.5,3)+3)/12))</f>
        <v>0</v>
      </c>
      <c r="BK508">
        <f>BJ508-BA508</f>
        <v>0</v>
      </c>
      <c r="BL508" cm="1">
        <f t="array" ref="BL508">IFERROR(IF(BK508&lt;0,0,BK508/($AU$426-INDEX(hd_off,MATCH(BT508,hd_mark,0),0)/12)),0)</f>
        <v>0</v>
      </c>
      <c r="BM508">
        <f>MAX($F$24,$BE$426)/$Q$436</f>
        <v>0</v>
      </c>
      <c r="BN508">
        <f t="shared" si="308"/>
        <v>0</v>
      </c>
      <c r="BO508" cm="1">
        <f t="array" ref="BO508">IFERROR(INDEX(sheath_ecap_asd,MATCH(BS508,sheath_mark,0),0)*BN508,0)</f>
        <v>0</v>
      </c>
      <c r="BP508" cm="1">
        <f t="array" ref="BP508">IFERROR(INDEX(sheath_wcap_asd,MATCH(BS508,sheath_mark,0),0)*BN508,0)</f>
        <v>0</v>
      </c>
      <c r="BQ508" cm="1">
        <f t="array" ref="BQ508">IFERROR(INDEX(hd_cap,MATCH(BT508,hd_mark,0),0),0)</f>
        <v>0</v>
      </c>
      <c r="BS508" s="19"/>
      <c r="BT508" s="19"/>
      <c r="BU508" s="100"/>
    </row>
    <row r="509" x14ac:dyDescent="0.25">
      <c r="P509" s="93"/>
      <c r="Q509" s="109"/>
      <c r="R509" t="str">
        <f>$Q$409</f>
        <v>Roof</v>
      </c>
      <c r="S509">
        <f>$E$25</f>
        <v>33.171875</v>
      </c>
      <c r="T509" cm="1">
        <f t="array" ref="T509">IFERROR(IF(S509=0,0,(INDEX($C$33:$C$38,MATCH($W$426,$B$33:$B$38,0),0)*(S509+$X$426)+$V$426*$C$31)*$R$426),0)</f>
        <v>0</v>
      </c>
      <c r="U509">
        <f>IF(S509=0,0,-$V$426*$C$31*$H$27*$R$426)</f>
        <v>0</v>
      </c>
      <c r="V509">
        <f>IF(S509=0,0,$V$426*$H$26*$R$426)</f>
        <v>0</v>
      </c>
      <c r="W509">
        <f>(0.6*T509+0.7*U509)*$R$426/2</f>
        <v>0</v>
      </c>
      <c r="X509">
        <f>T509*$R$426/2</f>
        <v>0</v>
      </c>
      <c r="Z509">
        <f>IF(S509=0,0,$AD$426*$AP$409)</f>
        <v>0</v>
      </c>
      <c r="AA509">
        <f>IFERROR(Z509/$R$426,0)</f>
        <v>0</v>
      </c>
      <c r="AB509">
        <f>Z509*($F$25+($C$16+$C$17+IF($C$13="single",1.5,3)+3)/12)</f>
        <v>0</v>
      </c>
      <c r="AC509">
        <f>AB509-W509</f>
        <v>0</v>
      </c>
      <c r="AD509" cm="1">
        <f t="array" ref="AD509">IFERROR(IF(AC509&lt;0,0,AC509/($R$426-INDEX(hd_off,MATCH(AQ509,hd_mark,0),0)/12)),0)</f>
        <v>0</v>
      </c>
      <c r="AE509">
        <f>IF(S509=0,0,$AD$426*$AM$409)</f>
        <v>0</v>
      </c>
      <c r="AF509">
        <f>IFERROR(AE509/$R$426,0)</f>
        <v>0</v>
      </c>
      <c r="AG509">
        <f>AE509*($F$25+($C$16+$C$17+IF($C$13="single",1.5,3)+3)/12)</f>
        <v>0</v>
      </c>
      <c r="AH509">
        <f>AG509-X509</f>
        <v>0</v>
      </c>
      <c r="AI509" cm="1">
        <f t="array" ref="AI509">IFERROR(IF(AH509&lt;0,0,AH509/($R$426-INDEX(hd_off,MATCH(AQ509,hd_mark,0),0)/12)),0)</f>
        <v>0</v>
      </c>
      <c r="AJ509">
        <f>MAX($F$25,$AC$426)/$Q$436</f>
        <v>0.29920977011494249</v>
      </c>
      <c r="AK509">
        <f t="shared" si="307"/>
        <v>1</v>
      </c>
      <c r="AL509" cm="1">
        <f t="array" ref="AL509">IFERROR(INDEX(sheath_ecap_asd,MATCH(AP509,sheath_mark,0),0)*AK509,0)</f>
        <v>0</v>
      </c>
      <c r="AM509" cm="1">
        <f t="array" ref="AM509">IFERROR(INDEX(sheath_wcap_asd,MATCH(AP509,sheath_mark,0),0)*AK509,0)</f>
        <v>0</v>
      </c>
      <c r="AN509" cm="1">
        <f t="array" ref="AN509">IFERROR(INDEX(hd_cap,MATCH(AQ509,hd_mark,0),0),0)</f>
        <v>0</v>
      </c>
      <c r="AP509" s="19"/>
      <c r="AQ509" s="19"/>
      <c r="AR509" s="100"/>
      <c r="AS509" s="93"/>
      <c r="AT509" s="109"/>
      <c r="AU509" t="str">
        <f>$Q$409</f>
        <v>Roof</v>
      </c>
      <c r="AV509">
        <f>$E$25</f>
        <v>33.171875</v>
      </c>
      <c r="AW509" cm="1">
        <f t="array" ref="AW509">IFERROR(IF(AV509=0,0,(INDEX($C$33:$C$38,MATCH($AZ$426,$B$33:$B$38,0),0)*(AV509+$BA$426)+$AY$426*$C$31)*$AU$426),0)</f>
        <v>0</v>
      </c>
      <c r="AX509">
        <f>IF(AV509=0,0,-$AY$426*$C$31*$H$27*$AU$426)</f>
        <v>0</v>
      </c>
      <c r="AY509">
        <f>IF(AV509=0,0,$AY$426*$H$26*$AU$426)</f>
        <v>0</v>
      </c>
      <c r="AZ509">
        <f>(0.6*AW509+0.7*AX509)*$AU$426/2</f>
        <v>0</v>
      </c>
      <c r="BA509">
        <f>AW509*$AU$426/2</f>
        <v>0</v>
      </c>
      <c r="BC509">
        <f>IF(AV509=0,0,$BG$426*$AP$409)</f>
        <v>0</v>
      </c>
      <c r="BD509">
        <f>IFERROR(BC509/$AU$426,0)</f>
        <v>0</v>
      </c>
      <c r="BE509">
        <f>BC509*($F$25+($C$16+$C$17+IF($C$13="single",1.5,3)+3)/12)</f>
        <v>0</v>
      </c>
      <c r="BF509">
        <f>BE509-AZ509</f>
        <v>0</v>
      </c>
      <c r="BG509" cm="1">
        <f t="array" ref="BG509">IFERROR(IF(BF509&lt;0,0,BF509/($AU$426-INDEX(hd_off,MATCH(BT509,hd_mark,0),0)/12)),0)</f>
        <v>0</v>
      </c>
      <c r="BH509">
        <f>IF(AV509=0,0,$BG$426*$AM$409)</f>
        <v>0</v>
      </c>
      <c r="BI509">
        <f>IFERROR(BH509/$AU$426,0)</f>
        <v>0</v>
      </c>
      <c r="BJ509">
        <f>BH509*($F$25+($C$16+$C$17+IF($C$13="single",1.5,3)+3)/12)</f>
        <v>0</v>
      </c>
      <c r="BK509">
        <f>BJ509-BA509</f>
        <v>0</v>
      </c>
      <c r="BL509" cm="1">
        <f t="array" ref="BL509">IFERROR(IF(BK509&lt;0,0,BK509/($AU$426-INDEX(hd_off,MATCH(BT509,hd_mark,0),0)/12)),0)</f>
        <v>0</v>
      </c>
      <c r="BM509">
        <f>MAX($F$25,$BF$426)/$Q$436</f>
        <v>0.29920977011494249</v>
      </c>
      <c r="BN509">
        <f t="shared" si="308"/>
        <v>1</v>
      </c>
      <c r="BO509" cm="1">
        <f t="array" ref="BO509">IFERROR(INDEX(sheath_ecap_asd,MATCH(BS509,sheath_mark,0),0)*BN509,0)</f>
        <v>0</v>
      </c>
      <c r="BP509" cm="1">
        <f t="array" ref="BP509">IFERROR(INDEX(sheath_wcap_asd,MATCH(BS509,sheath_mark,0),0)*BN509,0)</f>
        <v>0</v>
      </c>
      <c r="BQ509" cm="1">
        <f t="array" ref="BQ509">IFERROR(INDEX(hd_cap,MATCH(BT509,hd_mark,0),0),0)</f>
        <v>0</v>
      </c>
      <c r="BS509" s="19"/>
      <c r="BT509" s="19"/>
      <c r="BU509" s="100"/>
    </row>
    <row r="510" x14ac:dyDescent="0.25">
      <c r="P510" s="93"/>
      <c r="AR510" s="100"/>
      <c r="AS510" s="93"/>
      <c r="BU510" s="100"/>
    </row>
    <row r="511" x14ac:dyDescent="0.25">
      <c r="P511" s="93"/>
      <c r="Q511" s="110" t="str">
        <f>$Q$427</f>
        <v>A.14</v>
      </c>
      <c r="R511" t="str">
        <f>$Q$405</f>
        <v>L2</v>
      </c>
      <c r="S511">
        <f>$E$21</f>
        <v>10.6875</v>
      </c>
      <c r="T511" cm="1">
        <f t="array" ref="T511">IFERROR(IF(S511=0,0,(INDEX($C$33:$C$38,MATCH($W$427,$B$33:$B$38,0),0)*(S515+$X$427)+$T$427*COUNTIF(S511:S527,"&gt;0")*$C$32+$V$427*$C$31)*$R$427),0)</f>
        <v>0</v>
      </c>
      <c r="U511">
        <f>IF(S511=0,0,-(COUNTIF(S511:S527,"&gt;0")*$T$427*$C$32+$V$427*$C$31)*$H$27*$R$427)</f>
        <v>0</v>
      </c>
      <c r="V511">
        <f>IF(S511=0,0,$V$427*$H$26*$R$427)</f>
        <v>0</v>
      </c>
      <c r="W511">
        <f>(0.6*T511+0.7*U511)*$R$427/2</f>
        <v>0</v>
      </c>
      <c r="X511">
        <f>(0.6*T511+0.6*V511)*$R$427/2</f>
        <v>0</v>
      </c>
      <c r="Z511">
        <f>IF(S511=0,0,$AD$427*$AP$405)</f>
        <v>0</v>
      </c>
      <c r="AA511">
        <f>IFERROR(Z511/$R$427,0)</f>
        <v>0</v>
      </c>
      <c r="AB511">
        <f>Z511*($F$21+IF($F$21=0,0,($C$14+$C$15+IF($C$13="single",1.5,3)+3)/12))</f>
        <v>0</v>
      </c>
      <c r="AC511">
        <f>AB511-W511</f>
        <v>0</v>
      </c>
      <c r="AD511" cm="1">
        <f t="array" ref="AD511">IFERROR(IF(AC511&lt;0,0,AC511/($R$427-INDEX(hd_off,MATCH(AQ511,hd_mark,0),0)/12)),0)</f>
        <v>0</v>
      </c>
      <c r="AE511">
        <f>IF(S511=0,0,$AD$427*$AM$405)</f>
        <v>0</v>
      </c>
      <c r="AF511">
        <f>IFERROR(AE511/$R$427,0)</f>
        <v>0</v>
      </c>
      <c r="AG511">
        <f>AE511*($F$21+IF($F$21=0,0,($C$14+$C$15+IF($C$13="single",1.5,3)+3)/12))</f>
        <v>0</v>
      </c>
      <c r="AH511">
        <f>AG511-X511</f>
        <v>0</v>
      </c>
      <c r="AI511" cm="1">
        <f t="array" ref="AI511">IFERROR(IF(AH511&lt;0,0,AH511/($R$427-INDEX(hd_off,MATCH(AQ511,hd_mark,0),0)/12)),0)</f>
        <v>0</v>
      </c>
      <c r="AJ511">
        <f>MAX($F$21,$Y$427)/$Q$436</f>
        <v>0.30172413793103448</v>
      </c>
      <c r="AK511">
        <f>IF(AJ511=0,0,IF(AJ511&gt;2,1.25-0.125*AJ511,1))</f>
        <v>1</v>
      </c>
      <c r="AL511" cm="1">
        <f t="array" ref="AL511">IFERROR(INDEX(sheath_ecap_asd,MATCH(AP511,sheath_mark,0),0)*AK511,0)</f>
        <v>0</v>
      </c>
      <c r="AM511" cm="1">
        <f t="array" ref="AM511">IFERROR(INDEX(sheath_wcap_asd,MATCH(AP511,sheath_mark,0),0)*AK511,0)</f>
        <v>0</v>
      </c>
      <c r="AN511" cm="1">
        <f t="array" ref="AN511">IFERROR(INDEX(hd_cap,MATCH(AQ511,hd_mark,0),0),0)</f>
        <v>0</v>
      </c>
      <c r="AP511" s="19"/>
      <c r="AQ511" s="19"/>
      <c r="AR511" s="100"/>
      <c r="AS511" s="93"/>
      <c r="AT511" s="110" t="str">
        <f>$AT$427</f>
        <v>1.14</v>
      </c>
      <c r="AU511" t="str">
        <f>$Q$405</f>
        <v>L2</v>
      </c>
      <c r="AV511">
        <f>$E$21</f>
        <v>10.6875</v>
      </c>
      <c r="AW511" cm="1">
        <f t="array" ref="AW511">IFERROR(IF(AV511=0,0,(INDEX($C$33:$C$38,MATCH($AZ$427,$B$33:$B$38,0),0)*(AV515+$BA$427)+$AW$427*COUNTIF(AV511:AV527,"&gt;0")*$C$32+$AY$427*$C$31)*$AU$427),0)</f>
        <v>0</v>
      </c>
      <c r="AX511">
        <f>IF(AV511=0,0,-(COUNTIF(AV511:AV527,"&gt;0")*$AW$427*$C$32+$AY$427*$C$31)*$H$27*$AU$427)</f>
        <v>0</v>
      </c>
      <c r="AY511">
        <f>IF(AV511=0,0,$AY$427*$H$26*$AU$427)</f>
        <v>0</v>
      </c>
      <c r="AZ511">
        <f>(0.6*AW511+0.7*AX511)*$AU$427/2</f>
        <v>0</v>
      </c>
      <c r="BA511">
        <f>(0.6*AW511+0.6*AY511)*$AU$427/2</f>
        <v>0</v>
      </c>
      <c r="BC511">
        <f>IF(AV511=0,0,$BG$427*$AP$405)</f>
        <v>0</v>
      </c>
      <c r="BD511">
        <f>IFERROR(BC511/$AU$427,0)</f>
        <v>0</v>
      </c>
      <c r="BE511">
        <f>BC511*($F$21+IF($F$21=0,0,($C$14+$C$15+IF($C$13="single",1.5,3)+3)/12))</f>
        <v>0</v>
      </c>
      <c r="BF511">
        <f>BE511-AZ511</f>
        <v>0</v>
      </c>
      <c r="BG511" cm="1">
        <f t="array" ref="BG511">IFERROR(IF(BF511&lt;0,0,BF511/($AU$427-INDEX(hd_off,MATCH(BT511,hd_mark,0),0)/12)),0)</f>
        <v>0</v>
      </c>
      <c r="BH511">
        <f>IF(AV511=0,0,$BG$427*$AM$405)</f>
        <v>0</v>
      </c>
      <c r="BI511">
        <f>IFERROR(BH511/$AU$427,0)</f>
        <v>0</v>
      </c>
      <c r="BJ511">
        <f>BH511*($F$21+IF($F$21=0,0,($C$14+$C$15+IF($C$13="single",1.5,3)+3)/12))</f>
        <v>0</v>
      </c>
      <c r="BK511">
        <f>BJ511-BA511</f>
        <v>0</v>
      </c>
      <c r="BL511" cm="1">
        <f t="array" ref="BL511">IFERROR(IF(BK511&lt;0,0,BK511/($AU$427-INDEX(hd_off,MATCH(BT511,hd_mark,0),0)/12)),0)</f>
        <v>0</v>
      </c>
      <c r="BM511">
        <f>MAX($F$21,$BB$427)/$Q$436</f>
        <v>0.30172413793103448</v>
      </c>
      <c r="BN511">
        <f>IF(BM511=0,0,IF(BM511&gt;2,1.25-0.125*BM511,1))</f>
        <v>1</v>
      </c>
      <c r="BO511" cm="1">
        <f t="array" ref="BO511">IFERROR(INDEX(sheath_ecap_asd,MATCH(BS511,sheath_mark,0),0)*BN511,0)</f>
        <v>0</v>
      </c>
      <c r="BP511" cm="1">
        <f t="array" ref="BP511">IFERROR(INDEX(sheath_wcap_asd,MATCH(BS511,sheath_mark,0),0)*BN511,0)</f>
        <v>0</v>
      </c>
      <c r="BQ511" cm="1">
        <f t="array" ref="BQ511">IFERROR(INDEX(hd_cap,MATCH(BT511,hd_mark,0),0),0)</f>
        <v>0</v>
      </c>
      <c r="BS511" s="19"/>
      <c r="BT511" s="19"/>
      <c r="BU511" s="100"/>
    </row>
    <row r="512" x14ac:dyDescent="0.25">
      <c r="P512" s="93"/>
      <c r="Q512" s="109"/>
      <c r="R512" t="str">
        <f>$Q$406</f>
        <v>L3</v>
      </c>
      <c r="S512">
        <f>$E$22</f>
        <v>21.375</v>
      </c>
      <c r="T512" cm="1">
        <f t="array" ref="T512">IFERROR(IF(S512=0,0,(INDEX($C$33:$C$38,MATCH($W$427,$B$33:$B$38,0),0)*(S515+$X$427)+$T$427*COUNTIF(S512:S527,"&gt;0")*$C$32+$V$427*$C$31)*$R$427),0)</f>
        <v>0</v>
      </c>
      <c r="U512">
        <f>IF(S512=0,0,-(COUNTIF(S512:S527,"&gt;0")*$T$427*$C$32+$V$427*$C$31)*$H$27*$R$427)</f>
        <v>0</v>
      </c>
      <c r="V512">
        <f>IF(S512=0,0,$V$427*$H$26*$R$427)</f>
        <v>0</v>
      </c>
      <c r="W512">
        <f>(0.6*T512+0.7*U512)*$R$427/2</f>
        <v>0</v>
      </c>
      <c r="X512">
        <f>T512*$R$427/2</f>
        <v>0</v>
      </c>
      <c r="Z512">
        <f>IF(S512=0,0,$AD$427*$AP$406)</f>
        <v>0</v>
      </c>
      <c r="AA512">
        <f>IFERROR(Z512/$R$427,0)</f>
        <v>0</v>
      </c>
      <c r="AB512">
        <f>Z512*($F$22+IF($F$22=0,0,($C$14+$C$15+IF($C$13="single",1.5,3)+3)/12))</f>
        <v>0</v>
      </c>
      <c r="AC512">
        <f>AB512-W512</f>
        <v>0</v>
      </c>
      <c r="AD512" cm="1">
        <f t="array" ref="AD512">IFERROR(IF(AC512&lt;0,0,AC512/($R$427-INDEX(hd_off,MATCH(AQ512,hd_mark,0),0)/12)),0)</f>
        <v>0</v>
      </c>
      <c r="AE512">
        <f>IF(S512=0,0,$AD$427*$AM$406)</f>
        <v>0</v>
      </c>
      <c r="AF512">
        <f>IFERROR(AE512/$R$427,0)</f>
        <v>0</v>
      </c>
      <c r="AG512">
        <f>AE512*($F$22+IF($F$22=0,0,($C$14+$C$15+IF($C$13="single",1.5,3)+3)/12))</f>
        <v>0</v>
      </c>
      <c r="AH512">
        <f>AG512-X512</f>
        <v>0</v>
      </c>
      <c r="AI512" cm="1">
        <f t="array" ref="AI512">IFERROR(IF(AH512&lt;0,0,AH512/($R$427-INDEX(hd_off,MATCH(AQ512,hd_mark,0),0)/12)),0)</f>
        <v>0</v>
      </c>
      <c r="AJ512">
        <f>MAX($F$22,$Z$427)/$Q$436</f>
        <v>0.30172413793103448</v>
      </c>
      <c r="AK512">
        <f t="shared" ref="AK512:AK515" si="309">IF(AJ512=0,0,IF(AJ512&gt;2,1.25-0.125*AJ512,1))</f>
        <v>1</v>
      </c>
      <c r="AL512" cm="1">
        <f t="array" ref="AL512">IFERROR(INDEX(sheath_ecap_asd,MATCH(AP512,sheath_mark,0),0)*AK512,0)</f>
        <v>0</v>
      </c>
      <c r="AM512" cm="1">
        <f t="array" ref="AM512">IFERROR(INDEX(sheath_wcap_asd,MATCH(AP512,sheath_mark,0),0)*AK512,0)</f>
        <v>0</v>
      </c>
      <c r="AN512" cm="1">
        <f t="array" ref="AN512">IFERROR(INDEX(hd_cap,MATCH(AQ512,hd_mark,0),0),0)</f>
        <v>0</v>
      </c>
      <c r="AP512" s="19"/>
      <c r="AQ512" s="19"/>
      <c r="AR512" s="100"/>
      <c r="AS512" s="93"/>
      <c r="AT512" s="109"/>
      <c r="AU512" t="str">
        <f>$Q$406</f>
        <v>L3</v>
      </c>
      <c r="AV512">
        <f>$E$22</f>
        <v>21.375</v>
      </c>
      <c r="AW512" cm="1">
        <f t="array" ref="AW512">IFERROR(IF(AV512=0,0,(INDEX($C$33:$C$38,MATCH($AZ$427,$B$33:$B$38,0),0)*(AV515+$BA$427)+$AW$427*COUNTIF(AV512:AV527,"&gt;0")*$C$32+$AY$427*$C$31)*$AU$427),0)</f>
        <v>0</v>
      </c>
      <c r="AX512">
        <f>IF(AV512=0,0,-(COUNTIF(AV512:AV527,"&gt;0")*$AW$427*$C$32+$AY$427*$C$31)*$H$27*$AU$427)</f>
        <v>0</v>
      </c>
      <c r="AY512">
        <f>IF(AV512=0,0,$AY$427*$H$26*$AU$427)</f>
        <v>0</v>
      </c>
      <c r="AZ512">
        <f>(0.6*AW512+0.7*AX512)*$AU$427/2</f>
        <v>0</v>
      </c>
      <c r="BA512">
        <f>AW512*$AU$427/2</f>
        <v>0</v>
      </c>
      <c r="BC512">
        <f>IF(AV512=0,0,$BG$427*$AP$406)</f>
        <v>0</v>
      </c>
      <c r="BD512">
        <f>IFERROR(BC512/$AU$427,0)</f>
        <v>0</v>
      </c>
      <c r="BE512">
        <f>BC512*($F$22+IF($F$22=0,0,($C$14+$C$15+IF($C$13="single",1.5,3)+3)/12))</f>
        <v>0</v>
      </c>
      <c r="BF512">
        <f>BE512-AZ512</f>
        <v>0</v>
      </c>
      <c r="BG512" cm="1">
        <f t="array" ref="BG512">IFERROR(IF(BF512&lt;0,0,BF512/($AU$427-INDEX(hd_off,MATCH(BT512,hd_mark,0),0)/12)),0)</f>
        <v>0</v>
      </c>
      <c r="BH512">
        <f>IF(AV512=0,0,$BG$427*$AM$406)</f>
        <v>0</v>
      </c>
      <c r="BI512">
        <f>IFERROR(BH512/$AU$427,0)</f>
        <v>0</v>
      </c>
      <c r="BJ512">
        <f>BH512*($F$22+IF($F$22=0,0,($C$14+$C$15+IF($C$13="single",1.5,3)+3)/12))</f>
        <v>0</v>
      </c>
      <c r="BK512">
        <f>BJ512-BA512</f>
        <v>0</v>
      </c>
      <c r="BL512" cm="1">
        <f t="array" ref="BL512">IFERROR(IF(BK512&lt;0,0,BK512/($AU$427-INDEX(hd_off,MATCH(BT512,hd_mark,0),0)/12)),0)</f>
        <v>0</v>
      </c>
      <c r="BM512">
        <f>MAX($F$22,$BC$427)/$Q$436</f>
        <v>0.30172413793103448</v>
      </c>
      <c r="BN512">
        <f t="shared" ref="BN512:BN513" si="310">IF(BM512=0,0,IF(BM512&gt;2,1.25-0.125*BM512,1))</f>
        <v>1</v>
      </c>
      <c r="BO512" cm="1">
        <f t="array" ref="BO512">IFERROR(INDEX(sheath_ecap_asd,MATCH(BS512,sheath_mark,0),0)*BN512,0)</f>
        <v>0</v>
      </c>
      <c r="BP512" cm="1">
        <f t="array" ref="BP512">IFERROR(INDEX(sheath_wcap_asd,MATCH(BS512,sheath_mark,0),0)*BN512,0)</f>
        <v>0</v>
      </c>
      <c r="BQ512" cm="1">
        <f t="array" ref="BQ512">IFERROR(INDEX(hd_cap,MATCH(BT512,hd_mark,0),0),0)</f>
        <v>0</v>
      </c>
      <c r="BS512" s="19"/>
      <c r="BT512" s="19"/>
      <c r="BU512" s="100"/>
    </row>
    <row r="513" x14ac:dyDescent="0.25">
      <c r="P513" s="93"/>
      <c r="Q513" s="109" t="s">
        <v>491</v>
      </c>
      <c r="R513" t="str">
        <f>$Q$407</f>
        <v>L4</v>
      </c>
      <c r="S513">
        <f>$E$23</f>
        <v>0</v>
      </c>
      <c r="T513" cm="1">
        <f t="array" ref="T513">IFERROR(IF(S513=0,0,(INDEX($C$33:$C$38,MATCH($W$427,$B$33:$B$38,0),0)*(S515+$X$427)+$T$427*COUNTIF(S513:S527,"&gt;0")*$C$32+$V$427*$C$31)*$R$427),0)</f>
        <v>0</v>
      </c>
      <c r="U513">
        <f>IF(S513=0,0,-(COUNTIF(S513:S527,"&gt;0")*$T$427*$C$32+$V$427*$C$31)*$H$27*$R$427)</f>
        <v>0</v>
      </c>
      <c r="V513">
        <f>IF(S513=0,0,$V$427*$H$26*$R$427)</f>
        <v>0</v>
      </c>
      <c r="W513">
        <f>(0.6*T513+0.7*U513)*$R$427/2</f>
        <v>0</v>
      </c>
      <c r="X513">
        <f>T513*$R$427/2</f>
        <v>0</v>
      </c>
      <c r="Z513">
        <f>IF(S513=0,0,$AD$427*$AP$407)</f>
        <v>0</v>
      </c>
      <c r="AA513">
        <f>IFERROR(Z513/$R$427,0)</f>
        <v>0</v>
      </c>
      <c r="AB513">
        <f>Z513*($F$23+IF($F$23=0,0,($C$14+$C$15+IF($C$13="single",1.5,3)+3)/12))</f>
        <v>0</v>
      </c>
      <c r="AC513">
        <f>AB513-W513</f>
        <v>0</v>
      </c>
      <c r="AD513" cm="1">
        <f t="array" ref="AD513">IFERROR(IF(AC513&lt;0,0,AC513/($R$427-INDEX(hd_off,MATCH(AQ513,hd_mark,0),0)/12)),0)</f>
        <v>0</v>
      </c>
      <c r="AE513">
        <f>IF(S513=0,0,$AD$427*$AM$407)</f>
        <v>0</v>
      </c>
      <c r="AF513">
        <f>IFERROR(AE513/$R$427,0)</f>
        <v>0</v>
      </c>
      <c r="AG513">
        <f>AE513*($F$23+IF($F$23=0,0,($C$14+$C$15+IF($C$13="single",1.5,3)+3)/12))</f>
        <v>0</v>
      </c>
      <c r="AH513">
        <f>AG513-X513</f>
        <v>0</v>
      </c>
      <c r="AI513" cm="1">
        <f t="array" ref="AI513">IFERROR(IF(AH513&lt;0,0,AH513/($R$427-INDEX(hd_off,MATCH(AQ513,hd_mark,0),0)/12)),0)</f>
        <v>0</v>
      </c>
      <c r="AJ513">
        <f>MAX($F$23,$AA$427)/$Q$436</f>
        <v>0</v>
      </c>
      <c r="AK513">
        <f t="shared" si="309"/>
        <v>0</v>
      </c>
      <c r="AL513" cm="1">
        <f t="array" ref="AL513">IFERROR(INDEX(sheath_ecap_asd,MATCH(AP513,sheath_mark,0),0)*AK513,0)</f>
        <v>0</v>
      </c>
      <c r="AM513" cm="1">
        <f t="array" ref="AM513">IFERROR(INDEX(sheath_wcap_asd,MATCH(AP513,sheath_mark,0),0)*AK513,0)</f>
        <v>0</v>
      </c>
      <c r="AN513" cm="1">
        <f t="array" ref="AN513">IFERROR(INDEX(hd_cap,MATCH(AQ513,hd_mark,0),0),0)</f>
        <v>0</v>
      </c>
      <c r="AP513" s="19"/>
      <c r="AQ513" s="19"/>
      <c r="AR513" s="100"/>
      <c r="AS513" s="93"/>
      <c r="AT513" s="109" t="s">
        <v>491</v>
      </c>
      <c r="AU513" t="str">
        <f>$Q$407</f>
        <v>L4</v>
      </c>
      <c r="AV513">
        <f>$E$23</f>
        <v>0</v>
      </c>
      <c r="AW513" cm="1">
        <f t="array" ref="AW513">IFERROR(IF(AV513=0,0,(INDEX($C$33:$C$38,MATCH($AZ$427,$B$33:$B$38,0),0)*(AV515+$BA$427)+$AW$427*COUNTIF(AV513:AV527,"&gt;0")*$C$32+$AY$427*$C$31)*$AU$427),0)</f>
        <v>0</v>
      </c>
      <c r="AX513">
        <f>IF(AV513=0,0,-(COUNTIF(AV513:AV527,"&gt;0")*$AW$427*$C$32+$AY$427*$C$31)*$H$27*$AU$427)</f>
        <v>0</v>
      </c>
      <c r="AY513">
        <f>IF(AV513=0,0,$AY$427*$H$26*$AU$427)</f>
        <v>0</v>
      </c>
      <c r="AZ513">
        <f>(0.6*AW513+0.7*AX513)*$AU$427/2</f>
        <v>0</v>
      </c>
      <c r="BA513">
        <f>AW513*$AU$427/2</f>
        <v>0</v>
      </c>
      <c r="BC513">
        <f>IF(AV513=0,0,$BG$427*$AP$407)</f>
        <v>0</v>
      </c>
      <c r="BD513">
        <f>IFERROR(BC513/$AU$427,0)</f>
        <v>0</v>
      </c>
      <c r="BE513">
        <f>BC513*($F$23+IF($F$23=0,0,($C$14+$C$15+IF($C$13="single",1.5,3)+3)/12))</f>
        <v>0</v>
      </c>
      <c r="BF513">
        <f>BE513-AZ513</f>
        <v>0</v>
      </c>
      <c r="BG513" cm="1">
        <f t="array" ref="BG513">IFERROR(IF(BF513&lt;0,0,BF513/($AU$427-INDEX(hd_off,MATCH(BT513,hd_mark,0),0)/12)),0)</f>
        <v>0</v>
      </c>
      <c r="BH513">
        <f>IF(AV513=0,0,$BG$427*$AM$407)</f>
        <v>0</v>
      </c>
      <c r="BI513">
        <f>IFERROR(BH513/$AU$427,0)</f>
        <v>0</v>
      </c>
      <c r="BJ513">
        <f>BH513*($F$23+IF($F$23=0,0,($C$14+$C$15+IF($C$13="single",1.5,3)+3)/12))</f>
        <v>0</v>
      </c>
      <c r="BK513">
        <f>BJ513-BA513</f>
        <v>0</v>
      </c>
      <c r="BL513" cm="1">
        <f t="array" ref="BL513">IFERROR(IF(BK513&lt;0,0,BK513/($AU$427-INDEX(hd_off,MATCH(BT513,hd_mark,0),0)/12)),0)</f>
        <v>0</v>
      </c>
      <c r="BM513">
        <f>MAX($F$23,$BD$427)/$Q$436</f>
        <v>0</v>
      </c>
      <c r="BN513">
        <f t="shared" si="310"/>
        <v>0</v>
      </c>
      <c r="BO513" cm="1">
        <f t="array" ref="BO513">IFERROR(INDEX(sheath_ecap_asd,MATCH(BS513,sheath_mark,0),0)*BN513,0)</f>
        <v>0</v>
      </c>
      <c r="BP513" cm="1">
        <f t="array" ref="BP513">IFERROR(INDEX(sheath_wcap_asd,MATCH(BS513,sheath_mark,0),0)*BN513,0)</f>
        <v>0</v>
      </c>
      <c r="BQ513" cm="1">
        <f t="array" ref="BQ513">IFERROR(INDEX(hd_cap,MATCH(BT513,hd_mark,0),0),0)</f>
        <v>0</v>
      </c>
      <c r="BS513" s="19"/>
      <c r="BT513" s="19"/>
      <c r="BU513" s="100"/>
    </row>
    <row r="514" x14ac:dyDescent="0.25">
      <c r="P514" s="93"/>
      <c r="Q514" s="111">
        <f>$R$427</f>
        <v>0</v>
      </c>
      <c r="R514" t="str">
        <f>$Q$408</f>
        <v>L5</v>
      </c>
      <c r="S514">
        <f>$E$24</f>
        <v>0</v>
      </c>
      <c r="T514" cm="1">
        <f t="array" ref="T514">IFERROR(IF(S527=0,0,(INDEX($C$33:$C$38,MATCH($W$427,$B$33:$B$38,0),0)*(S515+$X$427)+$T$427*COUNTIF(S527:S527,"&gt;0")*$C$32+$V$427*$C$31)*$R$427),0)</f>
        <v>0</v>
      </c>
      <c r="U514">
        <f>IF(S527=0,0,-(COUNTIF(S527:S527,"&gt;0")*$T$427*$C$32+$V$427*$C$31)*$H$27*$R$427)</f>
        <v>0</v>
      </c>
      <c r="V514">
        <f>IF(S527=0,0,$V$427*$H$26*$R$427)</f>
        <v>0</v>
      </c>
      <c r="W514">
        <f>(0.6*T527+0.7*U527)*$R$427/2</f>
        <v>0</v>
      </c>
      <c r="X514">
        <f>T527*$R$427/2</f>
        <v>0</v>
      </c>
      <c r="Z514">
        <f>IF(S527=0,0,$AD$427*$AP$408)</f>
        <v>0</v>
      </c>
      <c r="AA514">
        <f>IFERROR(Z527/$R$427,0)</f>
        <v>0</v>
      </c>
      <c r="AB514">
        <f>Z527*($F$24+IF($F$24=0,0,($C$14+$C$15+IF($C$13="single",1.5,3)+3)/12))</f>
        <v>0</v>
      </c>
      <c r="AC514">
        <f>AB527-W527</f>
        <v>0</v>
      </c>
      <c r="AD514" cm="1">
        <f t="array" ref="AD514">IFERROR(IF(AC527&lt;0,0,AC527/($R$427-INDEX(hd_off,MATCH(AQ527,hd_mark,0),0)/12)),0)</f>
        <v>0</v>
      </c>
      <c r="AE514">
        <f>IF(S527=0,0,$AD$427*$AM$408)</f>
        <v>0</v>
      </c>
      <c r="AF514">
        <f>IFERROR(AE527/$R$427,0)</f>
        <v>0</v>
      </c>
      <c r="AG514">
        <f>AE527*($F$24+IF($F$24=0,0,($C$14+$C$15+IF($C$13="single",1.5,3)+3)/12))</f>
        <v>0</v>
      </c>
      <c r="AH514">
        <f>AG527-X527</f>
        <v>0</v>
      </c>
      <c r="AI514" cm="1">
        <f t="array" ref="AI514">IFERROR(IF(AH527&lt;0,0,AH527/($R$427-INDEX(hd_off,MATCH(AQ527,hd_mark,0),0)/12)),0)</f>
        <v>0</v>
      </c>
      <c r="AJ514">
        <f>MAX($F$24,$AB$427)/$Q$436</f>
        <v>0</v>
      </c>
      <c r="AK514">
        <f>IF(AJ527=0,0,IF(AJ527&gt;2,1.25-0.125*AJ527,1))</f>
        <v>1</v>
      </c>
      <c r="AL514" cm="1">
        <f t="array" ref="AL514">IFERROR(INDEX(sheath_ecap_asd,MATCH(AP527,sheath_mark,0),0)*AK527,0)</f>
        <v>0</v>
      </c>
      <c r="AM514" cm="1">
        <f t="array" ref="AM514">IFERROR(INDEX(sheath_wcap_asd,MATCH(AP527,sheath_mark,0),0)*AK527,0)</f>
        <v>0</v>
      </c>
      <c r="AN514" cm="1">
        <f t="array" ref="AN514">IFERROR(INDEX(hd_cap,MATCH(AQ527,hd_mark,0),0),0)</f>
        <v>0</v>
      </c>
      <c r="AP514" s="19"/>
      <c r="AQ514" s="19"/>
      <c r="AR514" s="100"/>
      <c r="AS514" s="93"/>
      <c r="AT514" s="111">
        <f>$R$427</f>
        <v>0</v>
      </c>
      <c r="AU514" t="str">
        <f>$Q$408</f>
        <v>L5</v>
      </c>
      <c r="AV514">
        <f>$E$24</f>
        <v>0</v>
      </c>
      <c r="AW514" cm="1">
        <f t="array" ref="AW514">IFERROR(IF(AV527=0,0,(INDEX($C$33:$C$38,MATCH($AZ$427,$B$33:$B$38,0),0)*(AV515+$BA$427)+$AW$427*COUNTIF(AV527:AV527,"&gt;0")*$C$32+$AY$427*$C$31)*$AU$427),0)</f>
        <v>0</v>
      </c>
      <c r="AX514">
        <f>IF(AV527=0,0,-(COUNTIF(AV527:AV527,"&gt;0")*$AW$427*$C$32+$AY$427*$C$31)*$H$27*$AU$427)</f>
        <v>0</v>
      </c>
      <c r="AY514">
        <f>IF(AV527=0,0,$AY$427*$H$26*$AU$427)</f>
        <v>0</v>
      </c>
      <c r="AZ514">
        <f>(0.6*AW527+0.7*AX527)*$AU$427/2</f>
        <v>0</v>
      </c>
      <c r="BA514">
        <f>AW527*$AU$427/2</f>
        <v>0</v>
      </c>
      <c r="BC514">
        <f>IF(AV527=0,0,$BG$427*$AP$408)</f>
        <v>0</v>
      </c>
      <c r="BD514">
        <f>IFERROR(BC527/$AU$427,0)</f>
        <v>0</v>
      </c>
      <c r="BE514">
        <f>BC527*($F$24+IF($F$24=0,0,($C$14+$C$15+IF($C$13="single",1.5,3)+3)/12))</f>
        <v>0</v>
      </c>
      <c r="BF514">
        <f>BE527-AZ527</f>
        <v>0</v>
      </c>
      <c r="BG514" cm="1">
        <f t="array" ref="BG514">IFERROR(IF(BF527&lt;0,0,BF527/($AU$427-INDEX(hd_off,MATCH(BT527,hd_mark,0),0)/12)),0)</f>
        <v>0</v>
      </c>
      <c r="BH514">
        <f>IF(AV527=0,0,$BG$427*$AM$408)</f>
        <v>0</v>
      </c>
      <c r="BI514">
        <f>IFERROR(BH527/$AU$427,0)</f>
        <v>0</v>
      </c>
      <c r="BJ514">
        <f>BH527*($F$24+IF($F$24=0,0,($C$14+$C$15+IF($C$13="single",1.5,3)+3)/12))</f>
        <v>0</v>
      </c>
      <c r="BK514">
        <f>BJ527-BA527</f>
        <v>0</v>
      </c>
      <c r="BL514" cm="1">
        <f t="array" ref="BL514">IFERROR(IF(BK527&lt;0,0,BK527/($AU$427-INDEX(hd_off,MATCH(BT527,hd_mark,0),0)/12)),0)</f>
        <v>0</v>
      </c>
      <c r="BM514">
        <f>MAX($F$24,$BE$427)/$Q$436</f>
        <v>0</v>
      </c>
      <c r="BN514">
        <f>IF(BM527=0,0,IF(BM527&gt;2,1.25-0.125*BM527,1))</f>
        <v>0</v>
      </c>
      <c r="BO514" cm="1">
        <f t="array" ref="BO514">IFERROR(INDEX(sheath_ecap_asd,MATCH(BS527,sheath_mark,0),0)*BN527,0)</f>
        <v>0</v>
      </c>
      <c r="BP514" cm="1">
        <f t="array" ref="BP514">IFERROR(INDEX(sheath_wcap_asd,MATCH(BS527,sheath_mark,0),0)*BN527,0)</f>
        <v>0</v>
      </c>
      <c r="BQ514" cm="1">
        <f t="array" ref="BQ514">IFERROR(INDEX(hd_cap,MATCH(BT527,hd_mark,0),0),0)</f>
        <v>0</v>
      </c>
      <c r="BS514" s="19"/>
      <c r="BT514" s="19"/>
      <c r="BU514" s="100"/>
    </row>
    <row r="515" x14ac:dyDescent="0.25">
      <c r="P515" s="93"/>
      <c r="Q515" s="109"/>
      <c r="R515" t="str">
        <f>$Q$409</f>
        <v>Roof</v>
      </c>
      <c r="S515">
        <f>$E$25</f>
        <v>33.171875</v>
      </c>
      <c r="T515" cm="1">
        <f t="array" ref="T515">IFERROR(IF(S515=0,0,(INDEX($C$33:$C$38,MATCH($W$427,$B$33:$B$38,0),0)*(S515+$X$427)+$V$427*$C$31)*$R$427),0)</f>
        <v>0</v>
      </c>
      <c r="U515">
        <f>IF(S515=0,0,-$V$427*$C$31*$H$27*$R$427)</f>
        <v>0</v>
      </c>
      <c r="V515">
        <f>IF(S515=0,0,$V$427*$H$26*$R$427)</f>
        <v>0</v>
      </c>
      <c r="W515">
        <f>(0.6*T515+0.7*U515)*$R$427/2</f>
        <v>0</v>
      </c>
      <c r="X515">
        <f>T515*$R$427/2</f>
        <v>0</v>
      </c>
      <c r="Z515">
        <f>IF(S515=0,0,$AD$427*$AP$409)</f>
        <v>0</v>
      </c>
      <c r="AA515">
        <f>IFERROR(Z515/$R$427,0)</f>
        <v>0</v>
      </c>
      <c r="AB515">
        <f>Z515*($F$25+($C$16+$C$17+IF($C$13="single",1.5,3)+3)/12)</f>
        <v>0</v>
      </c>
      <c r="AC515">
        <f>AB515-W515</f>
        <v>0</v>
      </c>
      <c r="AD515" cm="1">
        <f t="array" ref="AD515">IFERROR(IF(AC515&lt;0,0,AC515/($R$427-INDEX(hd_off,MATCH(AQ515,hd_mark,0),0)/12)),0)</f>
        <v>0</v>
      </c>
      <c r="AE515">
        <f>IF(S515=0,0,$AD$427*$AM$409)</f>
        <v>0</v>
      </c>
      <c r="AF515">
        <f>IFERROR(AE515/$R$427,0)</f>
        <v>0</v>
      </c>
      <c r="AG515">
        <f>AE515*($F$25+($C$16+$C$17+IF($C$13="single",1.5,3)+3)/12)</f>
        <v>0</v>
      </c>
      <c r="AH515">
        <f>AG515-X515</f>
        <v>0</v>
      </c>
      <c r="AI515" cm="1">
        <f t="array" ref="AI515">IFERROR(IF(AH515&lt;0,0,AH515/($R$427-INDEX(hd_off,MATCH(AQ515,hd_mark,0),0)/12)),0)</f>
        <v>0</v>
      </c>
      <c r="AJ515">
        <f>MAX($F$25,$AC$427)/$Q$436</f>
        <v>0.29920977011494249</v>
      </c>
      <c r="AK515">
        <f t="shared" si="309"/>
        <v>1</v>
      </c>
      <c r="AL515" cm="1">
        <f t="array" ref="AL515">IFERROR(INDEX(sheath_ecap_asd,MATCH(AP515,sheath_mark,0),0)*AK515,0)</f>
        <v>0</v>
      </c>
      <c r="AM515" cm="1">
        <f t="array" ref="AM515">IFERROR(INDEX(sheath_wcap_asd,MATCH(AP515,sheath_mark,0),0)*AK515,0)</f>
        <v>0</v>
      </c>
      <c r="AN515" cm="1">
        <f t="array" ref="AN515">IFERROR(INDEX(hd_cap,MATCH(AQ515,hd_mark,0),0),0)</f>
        <v>0</v>
      </c>
      <c r="AP515" s="19"/>
      <c r="AQ515" s="19"/>
      <c r="AR515" s="100"/>
      <c r="AS515" s="93"/>
      <c r="AT515" s="109"/>
      <c r="AU515" t="str">
        <f>$Q$409</f>
        <v>Roof</v>
      </c>
      <c r="AV515">
        <f>$E$25</f>
        <v>33.171875</v>
      </c>
      <c r="AW515" cm="1">
        <f t="array" ref="AW515">IFERROR(IF(AV515=0,0,(INDEX($C$33:$C$38,MATCH($AZ$427,$B$33:$B$38,0),0)*(AV515+$BA$427)+$AY$427*$C$31)*$AU$427),0)</f>
        <v>0</v>
      </c>
      <c r="AX515">
        <f>IF(AV515=0,0,-$AY$427*$C$31*$H$27*$AU$427)</f>
        <v>0</v>
      </c>
      <c r="AY515">
        <f>IF(AV515=0,0,$AY$427*$H$26*$AU$427)</f>
        <v>0</v>
      </c>
      <c r="AZ515">
        <f>(0.6*AW515+0.7*AX515)*$AU$427/2</f>
        <v>0</v>
      </c>
      <c r="BA515">
        <f>AW515*$AU$427/2</f>
        <v>0</v>
      </c>
      <c r="BC515">
        <f>IF(AV515=0,0,$BG$427*$AP$409)</f>
        <v>0</v>
      </c>
      <c r="BD515">
        <f>IFERROR(BC515/$AU$427,0)</f>
        <v>0</v>
      </c>
      <c r="BE515">
        <f>BC515*($F$25+($C$16+$C$17+IF($C$13="single",1.5,3)+3)/12)</f>
        <v>0</v>
      </c>
      <c r="BF515">
        <f>BE515-AZ515</f>
        <v>0</v>
      </c>
      <c r="BG515" cm="1">
        <f t="array" ref="BG515">IFERROR(IF(BF515&lt;0,0,BF515/($AU$427-INDEX(hd_off,MATCH(BT515,hd_mark,0),0)/12)),0)</f>
        <v>0</v>
      </c>
      <c r="BH515">
        <f>IF(AV515=0,0,$BG$427*$AM$409)</f>
        <v>0</v>
      </c>
      <c r="BI515">
        <f>IFERROR(BH515/$AU$427,0)</f>
        <v>0</v>
      </c>
      <c r="BJ515">
        <f>BH515*($F$25+($C$16+$C$17+IF($C$13="single",1.5,3)+3)/12)</f>
        <v>0</v>
      </c>
      <c r="BK515">
        <f>BJ515-BA515</f>
        <v>0</v>
      </c>
      <c r="BL515" cm="1">
        <f t="array" ref="BL515">IFERROR(IF(BK515&lt;0,0,BK515/($AU$427-INDEX(hd_off,MATCH(BT515,hd_mark,0),0)/12)),0)</f>
        <v>0</v>
      </c>
      <c r="BM515">
        <f>MAX($F$25,$BF$427)/$Q$436</f>
        <v>0.29920977011494249</v>
      </c>
      <c r="BN515">
        <f t="shared" ref="BN515" si="311">IF(BM515=0,0,IF(BM515&gt;2,1.25-0.125*BM515,1))</f>
        <v>1</v>
      </c>
      <c r="BO515" cm="1">
        <f t="array" ref="BO515">IFERROR(INDEX(sheath_ecap_asd,MATCH(BS515,sheath_mark,0),0)*BN515,0)</f>
        <v>0</v>
      </c>
      <c r="BP515" cm="1">
        <f t="array" ref="BP515">IFERROR(INDEX(sheath_wcap_asd,MATCH(BS515,sheath_mark,0),0)*BN515,0)</f>
        <v>0</v>
      </c>
      <c r="BQ515" cm="1">
        <f t="array" ref="BQ515">IFERROR(INDEX(hd_cap,MATCH(BT515,hd_mark,0),0),0)</f>
        <v>0</v>
      </c>
      <c r="BS515" s="19"/>
      <c r="BT515" s="19"/>
      <c r="BU515" s="100"/>
    </row>
    <row r="516" x14ac:dyDescent="0.25">
      <c r="P516" s="93"/>
      <c r="AR516" s="100"/>
      <c r="AS516" s="93"/>
      <c r="BU516" s="100"/>
    </row>
    <row r="517" x14ac:dyDescent="0.25">
      <c r="P517" s="93"/>
      <c r="Q517" s="110" t="str">
        <f>$Q$428</f>
        <v>A.15</v>
      </c>
      <c r="R517" t="str">
        <f>$Q$405</f>
        <v>L2</v>
      </c>
      <c r="S517">
        <f>$E$21</f>
        <v>10.6875</v>
      </c>
      <c r="T517" cm="1">
        <f t="array" ref="T517">IFERROR(IF(S517=0,0,(INDEX($C$33:$C$38,MATCH($W$428,$B$33:$B$38,0),0)*(S521+$X$428)+$T$428*COUNTIF(S517:S520,"&gt;0")*$C$32+$V$428*$C$31)*$R$428),0)</f>
        <v>0</v>
      </c>
      <c r="U517">
        <f>IF(S517=0,0,-(COUNTIF(S517:S520,"&gt;0")*$T$428*$C$32+$V$428*$C$31)*$H$27*$R$428)</f>
        <v>0</v>
      </c>
      <c r="V517">
        <f>IF(S517=0,0,$V$428*$H$26*$R$428)</f>
        <v>0</v>
      </c>
      <c r="W517">
        <f>(0.6*T517+0.7*U517)*$R$428/2</f>
        <v>0</v>
      </c>
      <c r="X517">
        <f>(0.6*T517+0.6*V517)*$R$428/2</f>
        <v>0</v>
      </c>
      <c r="Z517">
        <f>IF(S517=0,0,$AD$428*$AP$405)</f>
        <v>0</v>
      </c>
      <c r="AA517">
        <f>IFERROR(Z517/$R$428,0)</f>
        <v>0</v>
      </c>
      <c r="AB517">
        <f>Z517*($F$21+IF($F$21=0,0,($C$14+$C$15+IF($C$13="single",1.5,3)+3)/12))</f>
        <v>0</v>
      </c>
      <c r="AC517">
        <f>AB517-W517</f>
        <v>0</v>
      </c>
      <c r="AD517" cm="1">
        <f t="array" ref="AD517">IFERROR(IF(AC517&lt;0,0,AC517/($R$428-INDEX(hd_off,MATCH(AQ517,hd_mark,0),0)/12)),0)</f>
        <v>0</v>
      </c>
      <c r="AE517">
        <f>IF(S517=0,0,$AD$428*$AM$405)</f>
        <v>0</v>
      </c>
      <c r="AF517">
        <f>IFERROR(AE517/$R$428,0)</f>
        <v>0</v>
      </c>
      <c r="AG517">
        <f>AE517*($F$21+IF($F$21=0,0,($C$14+$C$15+IF($C$13="single",1.5,3)+3)/12))</f>
        <v>0</v>
      </c>
      <c r="AH517">
        <f>AG517-X517</f>
        <v>0</v>
      </c>
      <c r="AI517" cm="1">
        <f t="array" ref="AI517">IFERROR(IF(AH517&lt;0,0,AH517/($R$428-INDEX(hd_off,MATCH(AQ517,hd_mark,0),0)/12)),0)</f>
        <v>0</v>
      </c>
      <c r="AJ517">
        <f>MAX($F$21,$Y$428)/$Q$436</f>
        <v>0.30172413793103448</v>
      </c>
      <c r="AK517">
        <f>IF(AJ517=0,0,IF(AJ517&gt;2,1.25-0.125*AJ517,1))</f>
        <v>1</v>
      </c>
      <c r="AL517" cm="1">
        <f t="array" ref="AL517">IFERROR(INDEX(sheath_ecap_asd,MATCH(AP517,sheath_mark,0),0)*AK517,0)</f>
        <v>0</v>
      </c>
      <c r="AM517" cm="1">
        <f t="array" ref="AM517">IFERROR(INDEX(sheath_wcap_asd,MATCH(AP517,sheath_mark,0),0)*AK517,0)</f>
        <v>0</v>
      </c>
      <c r="AN517" cm="1">
        <f t="array" ref="AN517">IFERROR(INDEX(hd_cap,MATCH(AQ517,hd_mark,0),0),0)</f>
        <v>0</v>
      </c>
      <c r="AP517" s="19"/>
      <c r="AQ517" s="19"/>
      <c r="AR517" s="100"/>
      <c r="AS517" s="93"/>
      <c r="AT517" s="110" t="str">
        <f>$AT$428</f>
        <v>1.15</v>
      </c>
      <c r="AU517" t="str">
        <f>$Q$405</f>
        <v>L2</v>
      </c>
      <c r="AV517">
        <f>$E$21</f>
        <v>10.6875</v>
      </c>
      <c r="AW517" cm="1">
        <f t="array" ref="AW517">IFERROR(IF(AV517=0,0,(INDEX($C$33:$C$38,MATCH($AZ$428,$B$33:$B$38,0),0)*(AV521+$BA$428)+$AW$428*COUNTIF(AV517:AV520,"&gt;0")*$C$32+$AY$428*$C$31)*$AU$428),0)</f>
        <v>0</v>
      </c>
      <c r="AX517">
        <f>IF(AV517=0,0,-(COUNTIF(AV517:AV520,"&gt;0")*$AW$428*$C$32+$AY$428*$C$31)*$H$27*$AU$428)</f>
        <v>0</v>
      </c>
      <c r="AY517">
        <f>IF(AV517=0,0,$AY$428*$H$26*$AU$428)</f>
        <v>0</v>
      </c>
      <c r="AZ517">
        <f>(0.6*AW517+0.7*AX517)*$AU$428/2</f>
        <v>0</v>
      </c>
      <c r="BA517">
        <f>(0.6*AW517+0.6*AY517)*$AU$428/2</f>
        <v>0</v>
      </c>
      <c r="BC517">
        <f>IF(AV517=0,0,$BG$428*$AP$405)</f>
        <v>0</v>
      </c>
      <c r="BD517">
        <f>IFERROR(BC517/$AU$428,0)</f>
        <v>0</v>
      </c>
      <c r="BE517">
        <f>BC517*($F$21+IF($F$21=0,0,($C$14+$C$15+IF($C$13="single",1.5,3)+3)/12))</f>
        <v>0</v>
      </c>
      <c r="BF517">
        <f>BE517-AZ517</f>
        <v>0</v>
      </c>
      <c r="BG517" cm="1">
        <f t="array" ref="BG517">IFERROR(IF(BF517&lt;0,0,BF517/($AU$428-INDEX(hd_off,MATCH(BT517,hd_mark,0),0)/12)),0)</f>
        <v>0</v>
      </c>
      <c r="BH517">
        <f>IF(AV517=0,0,$BG$428*$AM$405)</f>
        <v>0</v>
      </c>
      <c r="BI517">
        <f>IFERROR(BH517/$AU$428,0)</f>
        <v>0</v>
      </c>
      <c r="BJ517">
        <f>BH517*($F$21+IF($F$21=0,0,($C$14+$C$15+IF($C$13="single",1.5,3)+3)/12))</f>
        <v>0</v>
      </c>
      <c r="BK517">
        <f>BJ517-BA517</f>
        <v>0</v>
      </c>
      <c r="BL517" cm="1">
        <f t="array" ref="BL517">IFERROR(IF(BK517&lt;0,0,BK517/($AU$428-INDEX(hd_off,MATCH(BT517,hd_mark,0),0)/12)),0)</f>
        <v>0</v>
      </c>
      <c r="BM517">
        <f>MAX($F$21,$BB$428)/$Q$436</f>
        <v>0.30172413793103448</v>
      </c>
      <c r="BN517">
        <f>IF(BM517=0,0,IF(BM517&gt;2,1.25-0.125*BM517,1))</f>
        <v>1</v>
      </c>
      <c r="BO517" cm="1">
        <f t="array" ref="BO517">IFERROR(INDEX(sheath_ecap_asd,MATCH(BS517,sheath_mark,0),0)*BN517,0)</f>
        <v>0</v>
      </c>
      <c r="BP517" cm="1">
        <f t="array" ref="BP517">IFERROR(INDEX(sheath_wcap_asd,MATCH(BS517,sheath_mark,0),0)*BN517,0)</f>
        <v>0</v>
      </c>
      <c r="BQ517" cm="1">
        <f t="array" ref="BQ517">IFERROR(INDEX(hd_cap,MATCH(BT517,hd_mark,0),0),0)</f>
        <v>0</v>
      </c>
      <c r="BS517" s="19"/>
      <c r="BT517" s="19"/>
      <c r="BU517" s="100"/>
    </row>
    <row r="518" x14ac:dyDescent="0.25">
      <c r="P518" s="93"/>
      <c r="Q518" s="109"/>
      <c r="R518" t="str">
        <f>$Q$406</f>
        <v>L3</v>
      </c>
      <c r="S518">
        <f>$E$22</f>
        <v>21.375</v>
      </c>
      <c r="T518" cm="1">
        <f t="array" ref="T518">IFERROR(IF(S518=0,0,(INDEX($C$33:$C$38,MATCH($W$428,$B$33:$B$38,0),0)*(S521+$X$428)+$T$428*COUNTIF(S518:S520,"&gt;0")*$C$32+$V$428*$C$31)*$R$428),0)</f>
        <v>0</v>
      </c>
      <c r="U518">
        <f>IF(S518=0,0,-(COUNTIF(S518:S520,"&gt;0")*$T$428*$C$32+$V$428*$C$31)*$H$27*$R$428)</f>
        <v>0</v>
      </c>
      <c r="V518">
        <f>IF(S518=0,0,$V$428*$H$26*$R$428)</f>
        <v>0</v>
      </c>
      <c r="W518">
        <f>(0.6*T518+0.7*U518)*$R$428/2</f>
        <v>0</v>
      </c>
      <c r="X518">
        <f>T518*$R$428/2</f>
        <v>0</v>
      </c>
      <c r="Z518">
        <f>IF(S518=0,0,$AD$428*$AP$406)</f>
        <v>0</v>
      </c>
      <c r="AA518">
        <f>IFERROR(Z518/$R$428,0)</f>
        <v>0</v>
      </c>
      <c r="AB518">
        <f>Z518*($F$22+IF($F$22=0,0,($C$14+$C$15+IF($C$13="single",1.5,3)+3)/12))</f>
        <v>0</v>
      </c>
      <c r="AC518">
        <f>AB518-W518</f>
        <v>0</v>
      </c>
      <c r="AD518" cm="1">
        <f t="array" ref="AD518">IFERROR(IF(AC518&lt;0,0,AC518/($R$428-INDEX(hd_off,MATCH(AQ518,hd_mark,0),0)/12)),0)</f>
        <v>0</v>
      </c>
      <c r="AE518">
        <f>IF(S518=0,0,$AD$428*$AM$406)</f>
        <v>0</v>
      </c>
      <c r="AF518">
        <f>IFERROR(AE518/$R$428,0)</f>
        <v>0</v>
      </c>
      <c r="AG518">
        <f>AE518*($F$22+IF($F$22=0,0,($C$14+$C$15+IF($C$13="single",1.5,3)+3)/12))</f>
        <v>0</v>
      </c>
      <c r="AH518">
        <f>AG518-X518</f>
        <v>0</v>
      </c>
      <c r="AI518" cm="1">
        <f t="array" ref="AI518">IFERROR(IF(AH518&lt;0,0,AH518/($R$428-INDEX(hd_off,MATCH(AQ518,hd_mark,0),0)/12)),0)</f>
        <v>0</v>
      </c>
      <c r="AJ518">
        <f>MAX($F$22,$Z$428)/$Q$436</f>
        <v>0.30172413793103448</v>
      </c>
      <c r="AK518">
        <f t="shared" ref="AK518:AK521" si="312">IF(AJ518=0,0,IF(AJ518&gt;2,1.25-0.125*AJ518,1))</f>
        <v>1</v>
      </c>
      <c r="AL518" cm="1">
        <f t="array" ref="AL518">IFERROR(INDEX(sheath_ecap_asd,MATCH(AP518,sheath_mark,0),0)*AK518,0)</f>
        <v>0</v>
      </c>
      <c r="AM518" cm="1">
        <f t="array" ref="AM518">IFERROR(INDEX(sheath_wcap_asd,MATCH(AP518,sheath_mark,0),0)*AK518,0)</f>
        <v>0</v>
      </c>
      <c r="AN518" cm="1">
        <f t="array" ref="AN518">IFERROR(INDEX(hd_cap,MATCH(AQ518,hd_mark,0),0),0)</f>
        <v>0</v>
      </c>
      <c r="AP518" s="19"/>
      <c r="AQ518" s="19"/>
      <c r="AR518" s="100"/>
      <c r="AS518" s="93"/>
      <c r="AT518" s="109"/>
      <c r="AU518" t="str">
        <f>$Q$406</f>
        <v>L3</v>
      </c>
      <c r="AV518">
        <f>$E$22</f>
        <v>21.375</v>
      </c>
      <c r="AW518" cm="1">
        <f t="array" ref="AW518">IFERROR(IF(AV518=0,0,(INDEX($C$33:$C$38,MATCH($AZ$428,$B$33:$B$38,0),0)*(AV521+$BA$428)+$AW$428*COUNTIF(AV518:AV520,"&gt;0")*$C$32+$AY$428*$C$31)*$AU$428),0)</f>
        <v>0</v>
      </c>
      <c r="AX518">
        <f>IF(AV518=0,0,-(COUNTIF(AV518:AV520,"&gt;0")*$AW$428*$C$32+$AY$428*$C$31)*$H$27*$AU$428)</f>
        <v>0</v>
      </c>
      <c r="AY518">
        <f>IF(AV518=0,0,$AY$428*$H$26*$AU$428)</f>
        <v>0</v>
      </c>
      <c r="AZ518">
        <f>(0.6*AW518+0.7*AX518)*$AU$428/2</f>
        <v>0</v>
      </c>
      <c r="BA518">
        <f>AW518*$AU$428/2</f>
        <v>0</v>
      </c>
      <c r="BC518">
        <f>IF(AV518=0,0,$BG$428*$AP$406)</f>
        <v>0</v>
      </c>
      <c r="BD518">
        <f>IFERROR(BC518/$AU$428,0)</f>
        <v>0</v>
      </c>
      <c r="BE518">
        <f>BC518*($F$22+IF($F$22=0,0,($C$14+$C$15+IF($C$13="single",1.5,3)+3)/12))</f>
        <v>0</v>
      </c>
      <c r="BF518">
        <f>BE518-AZ518</f>
        <v>0</v>
      </c>
      <c r="BG518" cm="1">
        <f t="array" ref="BG518">IFERROR(IF(BF518&lt;0,0,BF518/($AU$428-INDEX(hd_off,MATCH(BT518,hd_mark,0),0)/12)),0)</f>
        <v>0</v>
      </c>
      <c r="BH518">
        <f>IF(AV518=0,0,$BG$428*$AM$406)</f>
        <v>0</v>
      </c>
      <c r="BI518">
        <f>IFERROR(BH518/$AU$428,0)</f>
        <v>0</v>
      </c>
      <c r="BJ518">
        <f>BH518*($F$22+IF($F$22=0,0,($C$14+$C$15+IF($C$13="single",1.5,3)+3)/12))</f>
        <v>0</v>
      </c>
      <c r="BK518">
        <f>BJ518-BA518</f>
        <v>0</v>
      </c>
      <c r="BL518" cm="1">
        <f t="array" ref="BL518">IFERROR(IF(BK518&lt;0,0,BK518/($AU$428-INDEX(hd_off,MATCH(BT518,hd_mark,0),0)/12)),0)</f>
        <v>0</v>
      </c>
      <c r="BM518">
        <f>MAX($F$22,$BC$428)/$Q$436</f>
        <v>0.30172413793103448</v>
      </c>
      <c r="BN518">
        <f t="shared" ref="BN518:BN521" si="313">IF(BM518=0,0,IF(BM518&gt;2,1.25-0.125*BM518,1))</f>
        <v>1</v>
      </c>
      <c r="BO518" cm="1">
        <f t="array" ref="BO518">IFERROR(INDEX(sheath_ecap_asd,MATCH(BS518,sheath_mark,0),0)*BN518,0)</f>
        <v>0</v>
      </c>
      <c r="BP518" cm="1">
        <f t="array" ref="BP518">IFERROR(INDEX(sheath_wcap_asd,MATCH(BS518,sheath_mark,0),0)*BN518,0)</f>
        <v>0</v>
      </c>
      <c r="BQ518" cm="1">
        <f t="array" ref="BQ518">IFERROR(INDEX(hd_cap,MATCH(BT518,hd_mark,0),0),0)</f>
        <v>0</v>
      </c>
      <c r="BS518" s="19"/>
      <c r="BT518" s="19"/>
      <c r="BU518" s="100"/>
    </row>
    <row r="519" x14ac:dyDescent="0.25">
      <c r="P519" s="93"/>
      <c r="Q519" s="109" t="s">
        <v>491</v>
      </c>
      <c r="R519" t="str">
        <f>$Q$407</f>
        <v>L4</v>
      </c>
      <c r="S519">
        <f>$E$23</f>
        <v>0</v>
      </c>
      <c r="T519" cm="1">
        <f t="array" ref="T519">IFERROR(IF(S519=0,0,(INDEX($C$33:$C$38,MATCH($W$428,$B$33:$B$38,0),0)*(S521+$X$428)+$T$428*COUNTIF(S519:S520,"&gt;0")*$C$32+$V$428*$C$31)*$R$428),0)</f>
        <v>0</v>
      </c>
      <c r="U519">
        <f>IF(S519=0,0,-(COUNTIF(S519:S520,"&gt;0")*$T$428*$C$32+$V$428*$C$31)*$H$27*$R$428)</f>
        <v>0</v>
      </c>
      <c r="V519">
        <f>IF(S519=0,0,$V$428*$H$26*$R$428)</f>
        <v>0</v>
      </c>
      <c r="W519">
        <f>(0.6*T519+0.7*U519)*$R$428/2</f>
        <v>0</v>
      </c>
      <c r="X519">
        <f>T519*$R$428/2</f>
        <v>0</v>
      </c>
      <c r="Z519">
        <f>IF(S519=0,0,$AD$428*$AP$407)</f>
        <v>0</v>
      </c>
      <c r="AA519">
        <f>IFERROR(Z519/$R$428,0)</f>
        <v>0</v>
      </c>
      <c r="AB519">
        <f>Z519*($F$23+IF($F$23=0,0,($C$14+$C$15+IF($C$13="single",1.5,3)+3)/12))</f>
        <v>0</v>
      </c>
      <c r="AC519">
        <f>AB519-W519</f>
        <v>0</v>
      </c>
      <c r="AD519" cm="1">
        <f t="array" ref="AD519">IFERROR(IF(AC519&lt;0,0,AC519/($R$428-INDEX(hd_off,MATCH(AQ519,hd_mark,0),0)/12)),0)</f>
        <v>0</v>
      </c>
      <c r="AE519">
        <f>IF(S519=0,0,$AD$428*$AM$407)</f>
        <v>0</v>
      </c>
      <c r="AF519">
        <f>IFERROR(AE519/$R$428,0)</f>
        <v>0</v>
      </c>
      <c r="AG519">
        <f>AE519*($F$23+IF($F$23=0,0,($C$14+$C$15+IF($C$13="single",1.5,3)+3)/12))</f>
        <v>0</v>
      </c>
      <c r="AH519">
        <f>AG519-X519</f>
        <v>0</v>
      </c>
      <c r="AI519" cm="1">
        <f t="array" ref="AI519">IFERROR(IF(AH519&lt;0,0,AH519/($R$428-INDEX(hd_off,MATCH(AQ519,hd_mark,0),0)/12)),0)</f>
        <v>0</v>
      </c>
      <c r="AJ519">
        <f>MAX($F$23,$AA$428)/$Q$436</f>
        <v>0</v>
      </c>
      <c r="AK519">
        <f t="shared" si="312"/>
        <v>0</v>
      </c>
      <c r="AL519" cm="1">
        <f t="array" ref="AL519">IFERROR(INDEX(sheath_ecap_asd,MATCH(AP519,sheath_mark,0),0)*AK519,0)</f>
        <v>0</v>
      </c>
      <c r="AM519" cm="1">
        <f t="array" ref="AM519">IFERROR(INDEX(sheath_wcap_asd,MATCH(AP519,sheath_mark,0),0)*AK519,0)</f>
        <v>0</v>
      </c>
      <c r="AN519" cm="1">
        <f t="array" ref="AN519">IFERROR(INDEX(hd_cap,MATCH(AQ519,hd_mark,0),0),0)</f>
        <v>0</v>
      </c>
      <c r="AP519" s="19"/>
      <c r="AQ519" s="19"/>
      <c r="AR519" s="100"/>
      <c r="AS519" s="93"/>
      <c r="AT519" s="109" t="s">
        <v>491</v>
      </c>
      <c r="AU519" t="str">
        <f>$Q$407</f>
        <v>L4</v>
      </c>
      <c r="AV519">
        <f>$E$23</f>
        <v>0</v>
      </c>
      <c r="AW519" cm="1">
        <f t="array" ref="AW519">IFERROR(IF(AV519=0,0,(INDEX($C$33:$C$38,MATCH($AZ$428,$B$33:$B$38,0),0)*(AV521+$BA$428)+$AW$428*COUNTIF(AV519:AV520,"&gt;0")*$C$32+$AY$428*$C$31)*$AU$428),0)</f>
        <v>0</v>
      </c>
      <c r="AX519">
        <f>IF(AV519=0,0,-(COUNTIF(AV519:AV520,"&gt;0")*$AW$428*$C$32+$AY$428*$C$31)*$H$27*$AU$428)</f>
        <v>0</v>
      </c>
      <c r="AY519">
        <f>IF(AV519=0,0,$AY$428*$H$26*$AU$428)</f>
        <v>0</v>
      </c>
      <c r="AZ519">
        <f>(0.6*AW519+0.7*AX519)*$AU$428/2</f>
        <v>0</v>
      </c>
      <c r="BA519">
        <f>AW519*$AU$428/2</f>
        <v>0</v>
      </c>
      <c r="BC519">
        <f>IF(AV519=0,0,$BG$428*$AP$407)</f>
        <v>0</v>
      </c>
      <c r="BD519">
        <f>IFERROR(BC519/$AU$428,0)</f>
        <v>0</v>
      </c>
      <c r="BE519">
        <f>BC519*($F$23+IF($F$23=0,0,($C$14+$C$15+IF($C$13="single",1.5,3)+3)/12))</f>
        <v>0</v>
      </c>
      <c r="BF519">
        <f>BE519-AZ519</f>
        <v>0</v>
      </c>
      <c r="BG519" cm="1">
        <f t="array" ref="BG519">IFERROR(IF(BF519&lt;0,0,BF519/($AU$428-INDEX(hd_off,MATCH(BT519,hd_mark,0),0)/12)),0)</f>
        <v>0</v>
      </c>
      <c r="BH519">
        <f>IF(AV519=0,0,$BG$428*$AM$407)</f>
        <v>0</v>
      </c>
      <c r="BI519">
        <f>IFERROR(BH519/$AU$428,0)</f>
        <v>0</v>
      </c>
      <c r="BJ519">
        <f>BH519*($F$23+IF($F$23=0,0,($C$14+$C$15+IF($C$13="single",1.5,3)+3)/12))</f>
        <v>0</v>
      </c>
      <c r="BK519">
        <f>BJ519-BA519</f>
        <v>0</v>
      </c>
      <c r="BL519" cm="1">
        <f t="array" ref="BL519">IFERROR(IF(BK519&lt;0,0,BK519/($AU$428-INDEX(hd_off,MATCH(BT519,hd_mark,0),0)/12)),0)</f>
        <v>0</v>
      </c>
      <c r="BM519">
        <f>MAX($F$23,$BD$428)/$Q$436</f>
        <v>0</v>
      </c>
      <c r="BN519">
        <f t="shared" si="313"/>
        <v>0</v>
      </c>
      <c r="BO519" cm="1">
        <f t="array" ref="BO519">IFERROR(INDEX(sheath_ecap_asd,MATCH(BS519,sheath_mark,0),0)*BN519,0)</f>
        <v>0</v>
      </c>
      <c r="BP519" cm="1">
        <f t="array" ref="BP519">IFERROR(INDEX(sheath_wcap_asd,MATCH(BS519,sheath_mark,0),0)*BN519,0)</f>
        <v>0</v>
      </c>
      <c r="BQ519" cm="1">
        <f t="array" ref="BQ519">IFERROR(INDEX(hd_cap,MATCH(BT519,hd_mark,0),0),0)</f>
        <v>0</v>
      </c>
      <c r="BS519" s="19"/>
      <c r="BT519" s="19"/>
      <c r="BU519" s="100"/>
    </row>
    <row r="520" x14ac:dyDescent="0.25">
      <c r="P520" s="93"/>
      <c r="Q520" s="111">
        <f>$R$428</f>
        <v>0</v>
      </c>
      <c r="R520" t="str">
        <f>$Q$408</f>
        <v>L5</v>
      </c>
      <c r="S520">
        <f>$E$24</f>
        <v>0</v>
      </c>
      <c r="T520" cm="1">
        <f t="array" ref="T520">IFERROR(IF(S520=0,0,(INDEX($C$33:$C$38,MATCH($W$428,$B$33:$B$38,0),0)*(S521+$X$428)+$T$428*COUNTIF(S520:S520,"&gt;0")*$C$32+$V$428*$C$31)*$R$428),0)</f>
        <v>0</v>
      </c>
      <c r="U520">
        <f>IF(S520=0,0,-(COUNTIF(S520:S520,"&gt;0")*$T$428*$C$32+$V$428*$C$31)*$H$27*$R$428)</f>
        <v>0</v>
      </c>
      <c r="V520">
        <f>IF(S520=0,0,$V$428*$H$26*$R$428)</f>
        <v>0</v>
      </c>
      <c r="W520">
        <f>(0.6*T520+0.7*U520)*$R$428/2</f>
        <v>0</v>
      </c>
      <c r="X520">
        <f>T520*$R$428/2</f>
        <v>0</v>
      </c>
      <c r="Z520">
        <f>IF(S520=0,0,$AD$428*$AP$408)</f>
        <v>0</v>
      </c>
      <c r="AA520">
        <f>IFERROR(Z520/$R$428,0)</f>
        <v>0</v>
      </c>
      <c r="AB520">
        <f>Z520*($F$24+IF($F$24=0,0,($C$14+$C$15+IF($C$13="single",1.5,3)+3)/12))</f>
        <v>0</v>
      </c>
      <c r="AC520">
        <f>AB520-W520</f>
        <v>0</v>
      </c>
      <c r="AD520" cm="1">
        <f t="array" ref="AD520">IFERROR(IF(AC520&lt;0,0,AC520/($R$428-INDEX(hd_off,MATCH(AQ520,hd_mark,0),0)/12)),0)</f>
        <v>0</v>
      </c>
      <c r="AE520">
        <f>IF(S520=0,0,$AD$428*$AM$408)</f>
        <v>0</v>
      </c>
      <c r="AF520">
        <f>IFERROR(AE520/$R$428,0)</f>
        <v>0</v>
      </c>
      <c r="AG520">
        <f>AE520*($F$24+IF($F$24=0,0,($C$14+$C$15+IF($C$13="single",1.5,3)+3)/12))</f>
        <v>0</v>
      </c>
      <c r="AH520">
        <f>AG520-X520</f>
        <v>0</v>
      </c>
      <c r="AI520" cm="1">
        <f t="array" ref="AI520">IFERROR(IF(AH520&lt;0,0,AH520/($R$428-INDEX(hd_off,MATCH(AQ520,hd_mark,0),0)/12)),0)</f>
        <v>0</v>
      </c>
      <c r="AJ520">
        <f>MAX($F$24,$AB$428)/$Q$436</f>
        <v>0</v>
      </c>
      <c r="AK520">
        <f t="shared" si="312"/>
        <v>0</v>
      </c>
      <c r="AL520" cm="1">
        <f t="array" ref="AL520">IFERROR(INDEX(sheath_ecap_asd,MATCH(AP520,sheath_mark,0),0)*AK520,0)</f>
        <v>0</v>
      </c>
      <c r="AM520" cm="1">
        <f t="array" ref="AM520">IFERROR(INDEX(sheath_wcap_asd,MATCH(AP520,sheath_mark,0),0)*AK520,0)</f>
        <v>0</v>
      </c>
      <c r="AN520" cm="1">
        <f t="array" ref="AN520">IFERROR(INDEX(hd_cap,MATCH(AQ520,hd_mark,0),0),0)</f>
        <v>0</v>
      </c>
      <c r="AP520" s="19"/>
      <c r="AQ520" s="19"/>
      <c r="AR520" s="100"/>
      <c r="AS520" s="93"/>
      <c r="AT520" s="111">
        <f>$R$428</f>
        <v>0</v>
      </c>
      <c r="AU520" t="str">
        <f>$Q$408</f>
        <v>L5</v>
      </c>
      <c r="AV520">
        <f>$E$24</f>
        <v>0</v>
      </c>
      <c r="AW520" cm="1">
        <f t="array" ref="AW520">IFERROR(IF(AV520=0,0,(INDEX($C$33:$C$38,MATCH($AZ$428,$B$33:$B$38,0),0)*(AV521+$BA$428)+$AW$428*COUNTIF(AV520:AV520,"&gt;0")*$C$32+$AY$428*$C$31)*$AU$428),0)</f>
        <v>0</v>
      </c>
      <c r="AX520">
        <f>IF(AV520=0,0,-(COUNTIF(AV520:AV520,"&gt;0")*$AW$428*$C$32+$AY$428*$C$31)*$H$27*$AU$428)</f>
        <v>0</v>
      </c>
      <c r="AY520">
        <f>IF(AV520=0,0,$AY$428*$H$26*$AU$428)</f>
        <v>0</v>
      </c>
      <c r="AZ520">
        <f>(0.6*AW520+0.7*AX520)*$AU$428/2</f>
        <v>0</v>
      </c>
      <c r="BA520">
        <f>AW520*$AU$428/2</f>
        <v>0</v>
      </c>
      <c r="BC520">
        <f>IF(AV520=0,0,$BG$428*$AP$408)</f>
        <v>0</v>
      </c>
      <c r="BD520">
        <f>IFERROR(BC520/$AU$428,0)</f>
        <v>0</v>
      </c>
      <c r="BE520">
        <f>BC520*($F$24+IF($F$24=0,0,($C$14+$C$15+IF($C$13="single",1.5,3)+3)/12))</f>
        <v>0</v>
      </c>
      <c r="BF520">
        <f>BE520-AZ520</f>
        <v>0</v>
      </c>
      <c r="BG520" cm="1">
        <f t="array" ref="BG520">IFERROR(IF(BF520&lt;0,0,BF520/($AU$428-INDEX(hd_off,MATCH(BT520,hd_mark,0),0)/12)),0)</f>
        <v>0</v>
      </c>
      <c r="BH520">
        <f>IF(AV520=0,0,$BG$428*$AM$408)</f>
        <v>0</v>
      </c>
      <c r="BI520">
        <f>IFERROR(BH520/$AU$428,0)</f>
        <v>0</v>
      </c>
      <c r="BJ520">
        <f>BH520*($F$24+IF($F$24=0,0,($C$14+$C$15+IF($C$13="single",1.5,3)+3)/12))</f>
        <v>0</v>
      </c>
      <c r="BK520">
        <f>BJ520-BA520</f>
        <v>0</v>
      </c>
      <c r="BL520" cm="1">
        <f t="array" ref="BL520">IFERROR(IF(BK520&lt;0,0,BK520/($AU$428-INDEX(hd_off,MATCH(BT520,hd_mark,0),0)/12)),0)</f>
        <v>0</v>
      </c>
      <c r="BM520">
        <f>MAX($F$24,$BE$428)/$Q$436</f>
        <v>0</v>
      </c>
      <c r="BN520">
        <f t="shared" si="313"/>
        <v>0</v>
      </c>
      <c r="BO520" cm="1">
        <f t="array" ref="BO520">IFERROR(INDEX(sheath_ecap_asd,MATCH(BS520,sheath_mark,0),0)*BN520,0)</f>
        <v>0</v>
      </c>
      <c r="BP520" cm="1">
        <f t="array" ref="BP520">IFERROR(INDEX(sheath_wcap_asd,MATCH(BS520,sheath_mark,0),0)*BN520,0)</f>
        <v>0</v>
      </c>
      <c r="BQ520" cm="1">
        <f t="array" ref="BQ520">IFERROR(INDEX(hd_cap,MATCH(BT520,hd_mark,0),0),0)</f>
        <v>0</v>
      </c>
      <c r="BS520" s="19"/>
      <c r="BT520" s="19"/>
      <c r="BU520" s="100"/>
    </row>
    <row r="521" x14ac:dyDescent="0.25">
      <c r="P521" s="93"/>
      <c r="Q521" s="109"/>
      <c r="R521" t="str">
        <f>$Q$409</f>
        <v>Roof</v>
      </c>
      <c r="S521">
        <f>$E$25</f>
        <v>33.171875</v>
      </c>
      <c r="T521" cm="1">
        <f t="array" ref="T521">IFERROR(IF(S521=0,0,(INDEX($C$33:$C$38,MATCH($W$428,$B$33:$B$38,0),0)*(S521+$X$428)+$V$428*$C$31)*$R$428),0)</f>
        <v>0</v>
      </c>
      <c r="U521">
        <f>IF(S521=0,0,-$V$428*$C$31*$H$27*$R$428)</f>
        <v>0</v>
      </c>
      <c r="V521">
        <f>IF(S521=0,0,$V$428*$H$26*$R$428)</f>
        <v>0</v>
      </c>
      <c r="W521">
        <f>(0.6*T521+0.7*U521)*$R$428/2</f>
        <v>0</v>
      </c>
      <c r="X521">
        <f>T521*$R$428/2</f>
        <v>0</v>
      </c>
      <c r="Z521">
        <f>IF(S521=0,0,$AD$428*$AP$409)</f>
        <v>0</v>
      </c>
      <c r="AA521">
        <f>IFERROR(Z521/$R$428,0)</f>
        <v>0</v>
      </c>
      <c r="AB521">
        <f>Z521*($F$25+($C$16+$C$17+IF($C$13="single",1.5,3)+3)/12)</f>
        <v>0</v>
      </c>
      <c r="AC521">
        <f>AB521-W521</f>
        <v>0</v>
      </c>
      <c r="AD521" cm="1">
        <f t="array" ref="AD521">IFERROR(IF(AC521&lt;0,0,AC521/($R$428-INDEX(hd_off,MATCH(AQ521,hd_mark,0),0)/12)),0)</f>
        <v>0</v>
      </c>
      <c r="AE521">
        <f>IF(S521=0,0,$AD$428*$AM$409)</f>
        <v>0</v>
      </c>
      <c r="AF521">
        <f>IFERROR(AE521/$R$428,0)</f>
        <v>0</v>
      </c>
      <c r="AG521">
        <f>AE521*($F$25+($C$16+$C$17+IF($C$13="single",1.5,3)+3)/12)</f>
        <v>0</v>
      </c>
      <c r="AH521">
        <f>AG521-X521</f>
        <v>0</v>
      </c>
      <c r="AI521" cm="1">
        <f t="array" ref="AI521">IFERROR(IF(AH521&lt;0,0,AH521/($R$428-INDEX(hd_off,MATCH(AQ521,hd_mark,0),0)/12)),0)</f>
        <v>0</v>
      </c>
      <c r="AJ521">
        <f>MAX($F$25,$AC$428)/$Q$436</f>
        <v>0.29920977011494249</v>
      </c>
      <c r="AK521">
        <f t="shared" si="312"/>
        <v>1</v>
      </c>
      <c r="AL521" cm="1">
        <f t="array" ref="AL521">IFERROR(INDEX(sheath_ecap_asd,MATCH(AP521,sheath_mark,0),0)*AK521,0)</f>
        <v>0</v>
      </c>
      <c r="AM521" cm="1">
        <f t="array" ref="AM521">IFERROR(INDEX(sheath_wcap_asd,MATCH(AP521,sheath_mark,0),0)*AK521,0)</f>
        <v>0</v>
      </c>
      <c r="AN521" cm="1">
        <f t="array" ref="AN521">IFERROR(INDEX(hd_cap,MATCH(AQ521,hd_mark,0),0),0)</f>
        <v>0</v>
      </c>
      <c r="AP521" s="19"/>
      <c r="AQ521" s="19"/>
      <c r="AR521" s="100"/>
      <c r="AS521" s="93"/>
      <c r="AT521" s="109"/>
      <c r="AU521" t="str">
        <f>$Q$409</f>
        <v>Roof</v>
      </c>
      <c r="AV521">
        <f>$E$25</f>
        <v>33.171875</v>
      </c>
      <c r="AW521" cm="1">
        <f t="array" ref="AW521">IFERROR(IF(AV521=0,0,(INDEX($C$33:$C$38,MATCH($AZ$428,$B$33:$B$38,0),0)*(AV521+$BA$428)+$AY$428*$C$31)*$AU$428),0)</f>
        <v>0</v>
      </c>
      <c r="AX521">
        <f>IF(AV521=0,0,-$AY$428*$C$31*$H$27*$AU$428)</f>
        <v>0</v>
      </c>
      <c r="AY521">
        <f>IF(AV521=0,0,$AY$428*$H$26*$AU$428)</f>
        <v>0</v>
      </c>
      <c r="AZ521">
        <f>(0.6*AW521+0.7*AX521)*$AU$428/2</f>
        <v>0</v>
      </c>
      <c r="BA521">
        <f>AW521*$AU$428/2</f>
        <v>0</v>
      </c>
      <c r="BC521">
        <f>IF(AV521=0,0,$BG$428*$AP$409)</f>
        <v>0</v>
      </c>
      <c r="BD521">
        <f>IFERROR(BC521/$AU$428,0)</f>
        <v>0</v>
      </c>
      <c r="BE521">
        <f>BC521*($F$25+($C$16+$C$17+IF($C$13="single",1.5,3)+3)/12)</f>
        <v>0</v>
      </c>
      <c r="BF521">
        <f>BE521-AZ521</f>
        <v>0</v>
      </c>
      <c r="BG521" cm="1">
        <f t="array" ref="BG521">IFERROR(IF(BF521&lt;0,0,BF521/($AU$428-INDEX(hd_off,MATCH(BT521,hd_mark,0),0)/12)),0)</f>
        <v>0</v>
      </c>
      <c r="BH521">
        <f>IF(AV521=0,0,$BG$428*$AM$409)</f>
        <v>0</v>
      </c>
      <c r="BI521">
        <f>IFERROR(BH521/$AU$428,0)</f>
        <v>0</v>
      </c>
      <c r="BJ521">
        <f>BH521*($F$25+($C$16+$C$17+IF($C$13="single",1.5,3)+3)/12)</f>
        <v>0</v>
      </c>
      <c r="BK521">
        <f>BJ521-BA521</f>
        <v>0</v>
      </c>
      <c r="BL521" cm="1">
        <f t="array" ref="BL521">IFERROR(IF(BK521&lt;0,0,BK521/($AU$428-INDEX(hd_off,MATCH(BT521,hd_mark,0),0)/12)),0)</f>
        <v>0</v>
      </c>
      <c r="BM521">
        <f>MAX($F$25,$BF$428)/$Q$436</f>
        <v>0.29920977011494249</v>
      </c>
      <c r="BN521">
        <f t="shared" si="313"/>
        <v>1</v>
      </c>
      <c r="BO521" cm="1">
        <f t="array" ref="BO521">IFERROR(INDEX(sheath_ecap_asd,MATCH(BS521,sheath_mark,0),0)*BN521,0)</f>
        <v>0</v>
      </c>
      <c r="BP521" cm="1">
        <f t="array" ref="BP521">IFERROR(INDEX(sheath_wcap_asd,MATCH(BS521,sheath_mark,0),0)*BN521,0)</f>
        <v>0</v>
      </c>
      <c r="BQ521" cm="1">
        <f t="array" ref="BQ521">IFERROR(INDEX(hd_cap,MATCH(BT521,hd_mark,0),0),0)</f>
        <v>0</v>
      </c>
      <c r="BS521" s="19"/>
      <c r="BT521" s="19"/>
      <c r="BU521" s="100"/>
    </row>
    <row r="522" x14ac:dyDescent="0.25">
      <c r="P522" s="93"/>
      <c r="AR522" s="100"/>
      <c r="AS522" s="93"/>
      <c r="BU522" s="100"/>
    </row>
    <row r="523" x14ac:dyDescent="0.25">
      <c r="P523" s="93"/>
      <c r="Q523" s="110" t="str">
        <f>$Q$429</f>
        <v>A.16</v>
      </c>
      <c r="R523" t="str">
        <f>$Q$405</f>
        <v>L2</v>
      </c>
      <c r="S523">
        <f>$E$21</f>
        <v>10.6875</v>
      </c>
      <c r="T523" cm="1">
        <f t="array" ref="T523">IFERROR(IF(S523=0,0,(INDEX($C$33:$C$38,MATCH($W$429,$B$33:$B$38,0),0)*(S527+$X$429)+$T$429*COUNTIF(S523:S526,"&gt;0")*$C$32+$V$429*$C$31)*$R$429),0)</f>
        <v>0</v>
      </c>
      <c r="U523">
        <f>IF(S523=0,0,-(COUNTIF(S523:S526,"&gt;0")*$T$429*$C$32+$V$429*$C$31)*$H$27*$R$429)</f>
        <v>0</v>
      </c>
      <c r="V523">
        <f>IF(S523=0,0,$V$429*$H$26*$R$429)</f>
        <v>0</v>
      </c>
      <c r="W523">
        <f>(0.6*T523+0.7*U523)*$R$429/2</f>
        <v>0</v>
      </c>
      <c r="X523">
        <f>(0.6*T523+0.6*V523)*$R$429/2</f>
        <v>0</v>
      </c>
      <c r="Z523">
        <f>IF(S523=0,0,$AD$429*$AP$405)</f>
        <v>0</v>
      </c>
      <c r="AA523">
        <f>IFERROR(Z523/$R$429,0)</f>
        <v>0</v>
      </c>
      <c r="AB523">
        <f>Z523*($F$21+IF($F$21=0,0,($C$14+$C$15+IF($C$13="single",1.5,3)+3)/12))</f>
        <v>0</v>
      </c>
      <c r="AC523">
        <f>AB523-W523</f>
        <v>0</v>
      </c>
      <c r="AD523" cm="1">
        <f t="array" ref="AD523">IFERROR(IF(AC523&lt;0,0,AC523/($R$429-INDEX(hd_off,MATCH(AQ523,hd_mark,0),0)/12)),0)</f>
        <v>0</v>
      </c>
      <c r="AE523">
        <f>IF(S523=0,0,$AD$429*$AM$405)</f>
        <v>0</v>
      </c>
      <c r="AF523">
        <f>IFERROR(AE523/$R$429,0)</f>
        <v>0</v>
      </c>
      <c r="AG523">
        <f>AE523*($F$21+IF($F$21=0,0,($C$14+$C$15+IF($C$13="single",1.5,3)+3)/12))</f>
        <v>0</v>
      </c>
      <c r="AH523">
        <f>AG523-X523</f>
        <v>0</v>
      </c>
      <c r="AI523" cm="1">
        <f t="array" ref="AI523">IFERROR(IF(AH523&lt;0,0,AH523/($R$429-INDEX(hd_off,MATCH(AQ523,hd_mark,0),0)/12)),0)</f>
        <v>0</v>
      </c>
      <c r="AJ523">
        <f>MAX($F$21,$Y$429)/$Q$436</f>
        <v>0.30172413793103448</v>
      </c>
      <c r="AK523">
        <f>IF(AJ523=0,0,IF(AJ523&gt;2,1.25-0.125*AJ523,1))</f>
        <v>1</v>
      </c>
      <c r="AL523" cm="1">
        <f t="array" ref="AL523">IFERROR(INDEX(sheath_ecap_asd,MATCH(AP523,sheath_mark,0),0)*AK523,0)</f>
        <v>0</v>
      </c>
      <c r="AM523" cm="1">
        <f t="array" ref="AM523">IFERROR(INDEX(sheath_wcap_asd,MATCH(AP523,sheath_mark,0),0)*AK523,0)</f>
        <v>0</v>
      </c>
      <c r="AN523" cm="1">
        <f t="array" ref="AN523">IFERROR(INDEX(hd_cap,MATCH(AQ523,hd_mark,0),0),0)</f>
        <v>0</v>
      </c>
      <c r="AP523" s="19"/>
      <c r="AQ523" s="19"/>
      <c r="AR523" s="100"/>
      <c r="AS523" s="93"/>
      <c r="AT523" s="110" t="str">
        <f>$AT$429</f>
        <v>1.16</v>
      </c>
      <c r="AU523" t="str">
        <f>$Q$405</f>
        <v>L2</v>
      </c>
      <c r="AV523">
        <f>$E$21</f>
        <v>10.6875</v>
      </c>
      <c r="AW523" cm="1">
        <f t="array" ref="AW523">IFERROR(IF(AV523=0,0,(INDEX($C$33:$C$38,MATCH($AZ$429,$B$33:$B$38,0),0)*(AV527+$BA$429)+$AW$429*COUNTIF(AV523:AV526,"&gt;0")*$C$32+$AY$429*$C$31)*$AU$429),0)</f>
        <v>0</v>
      </c>
      <c r="AX523">
        <f>IF(AV523=0,0,-(COUNTIF(AV523:AV526,"&gt;0")*$AW$429*$C$32+$AY$429*$C$31)*$H$27*$AU$429)</f>
        <v>0</v>
      </c>
      <c r="AY523">
        <f>IF(AV523=0,0,$AY$429*$H$26*$AU$429)</f>
        <v>0</v>
      </c>
      <c r="AZ523">
        <f>(0.6*AW523+0.7*AX523)*$AU$429/2</f>
        <v>0</v>
      </c>
      <c r="BA523">
        <f>(0.6*AW523+0.6*AY523)*$AU$429/2</f>
        <v>0</v>
      </c>
      <c r="BC523">
        <f>IF(AV523=0,0,$BG$429*$AP$405)</f>
        <v>0</v>
      </c>
      <c r="BD523">
        <f>IFERROR(BC523/$AU$429,0)</f>
        <v>0</v>
      </c>
      <c r="BE523">
        <f>BC523*($F$21+IF($F$21=0,0,($C$14+$C$15+IF($C$13="single",1.5,3)+3)/12))</f>
        <v>0</v>
      </c>
      <c r="BF523">
        <f>BE523-AZ523</f>
        <v>0</v>
      </c>
      <c r="BG523" cm="1">
        <f t="array" ref="BG523">IFERROR(IF(BF523&lt;0,0,BF523/($AU$429-INDEX(hd_off,MATCH(BT523,hd_mark,0),0)/12)),0)</f>
        <v>0</v>
      </c>
      <c r="BH523">
        <f>IF(AV523=0,0,$BG$429*$AM$405)</f>
        <v>0</v>
      </c>
      <c r="BI523">
        <f>IFERROR(BH523/$AU$429,0)</f>
        <v>0</v>
      </c>
      <c r="BJ523">
        <f>BH523*($F$21+IF($F$21=0,0,($C$14+$C$15+IF($C$13="single",1.5,3)+3)/12))</f>
        <v>0</v>
      </c>
      <c r="BK523">
        <f>BJ523-BA523</f>
        <v>0</v>
      </c>
      <c r="BL523" cm="1">
        <f t="array" ref="BL523">IFERROR(IF(BK523&lt;0,0,BK523/($AU$429-INDEX(hd_off,MATCH(BT523,hd_mark,0),0)/12)),0)</f>
        <v>0</v>
      </c>
      <c r="BM523">
        <f>MAX($F$21,$BB$429)/$Q$436</f>
        <v>0.30172413793103448</v>
      </c>
      <c r="BN523">
        <f>IF(BM523=0,0,IF(BM523&gt;2,1.25-0.125*BM523,1))</f>
        <v>1</v>
      </c>
      <c r="BO523" cm="1">
        <f t="array" ref="BO523">IFERROR(INDEX(sheath_ecap_asd,MATCH(BS523,sheath_mark,0),0)*BN523,0)</f>
        <v>0</v>
      </c>
      <c r="BP523" cm="1">
        <f t="array" ref="BP523">IFERROR(INDEX(sheath_wcap_asd,MATCH(BS523,sheath_mark,0),0)*BN523,0)</f>
        <v>0</v>
      </c>
      <c r="BQ523" cm="1">
        <f t="array" ref="BQ523">IFERROR(INDEX(hd_cap,MATCH(BT523,hd_mark,0),0),0)</f>
        <v>0</v>
      </c>
      <c r="BS523" s="19"/>
      <c r="BT523" s="19"/>
      <c r="BU523" s="100"/>
    </row>
    <row r="524" x14ac:dyDescent="0.25">
      <c r="P524" s="93"/>
      <c r="Q524" s="109"/>
      <c r="R524" t="str">
        <f>$Q$406</f>
        <v>L3</v>
      </c>
      <c r="S524">
        <f>$E$22</f>
        <v>21.375</v>
      </c>
      <c r="T524" cm="1">
        <f t="array" ref="T524">IFERROR(IF(S524=0,0,(INDEX($C$33:$C$38,MATCH($W$429,$B$33:$B$38,0),0)*(S527+$X$429)+$T$429*COUNTIF(S524:S526,"&gt;0")*$C$32+$V$429*$C$31)*$R$429),0)</f>
        <v>0</v>
      </c>
      <c r="U524">
        <f>IF(S524=0,0,-(COUNTIF(S524:S526,"&gt;0")*$T$429*$C$32+$V$429*$C$31)*$H$27*$R$429)</f>
        <v>0</v>
      </c>
      <c r="V524">
        <f>IF(S524=0,0,$V$429*$H$26*$R$429)</f>
        <v>0</v>
      </c>
      <c r="W524">
        <f>(0.6*T524+0.7*U524)*$R$429/2</f>
        <v>0</v>
      </c>
      <c r="X524">
        <f>T524*$R$429/2</f>
        <v>0</v>
      </c>
      <c r="Z524">
        <f>IF(S524=0,0,$AD$429*$AP$406)</f>
        <v>0</v>
      </c>
      <c r="AA524">
        <f>IFERROR(Z524/$R$429,0)</f>
        <v>0</v>
      </c>
      <c r="AB524">
        <f>Z524*($F$22+IF($F$22=0,0,($C$14+$C$15+IF($C$13="single",1.5,3)+3)/12))</f>
        <v>0</v>
      </c>
      <c r="AC524">
        <f>AB524-W524</f>
        <v>0</v>
      </c>
      <c r="AD524" cm="1">
        <f t="array" ref="AD524">IFERROR(IF(AC524&lt;0,0,AC524/($R$429-INDEX(hd_off,MATCH(AQ524,hd_mark,0),0)/12)),0)</f>
        <v>0</v>
      </c>
      <c r="AE524">
        <f>IF(S524=0,0,$AD$429*$AM$406)</f>
        <v>0</v>
      </c>
      <c r="AF524">
        <f>IFERROR(AE524/$R$429,0)</f>
        <v>0</v>
      </c>
      <c r="AG524">
        <f>AE524*($F$22+IF($F$22=0,0,($C$14+$C$15+IF($C$13="single",1.5,3)+3)/12))</f>
        <v>0</v>
      </c>
      <c r="AH524">
        <f>AG524-X524</f>
        <v>0</v>
      </c>
      <c r="AI524" cm="1">
        <f t="array" ref="AI524">IFERROR(IF(AH524&lt;0,0,AH524/($R$429-INDEX(hd_off,MATCH(AQ524,hd_mark,0),0)/12)),0)</f>
        <v>0</v>
      </c>
      <c r="AJ524">
        <f>MAX($F$22,$Z$429)/$Q$436</f>
        <v>0.30172413793103448</v>
      </c>
      <c r="AK524">
        <f t="shared" ref="AK524:AK527" si="314">IF(AJ524=0,0,IF(AJ524&gt;2,1.25-0.125*AJ524,1))</f>
        <v>1</v>
      </c>
      <c r="AL524" cm="1">
        <f t="array" ref="AL524">IFERROR(INDEX(sheath_ecap_asd,MATCH(AP524,sheath_mark,0),0)*AK524,0)</f>
        <v>0</v>
      </c>
      <c r="AM524" cm="1">
        <f t="array" ref="AM524">IFERROR(INDEX(sheath_wcap_asd,MATCH(AP524,sheath_mark,0),0)*AK524,0)</f>
        <v>0</v>
      </c>
      <c r="AN524" cm="1">
        <f t="array" ref="AN524">IFERROR(INDEX(hd_cap,MATCH(AQ524,hd_mark,0),0),0)</f>
        <v>0</v>
      </c>
      <c r="AP524" s="19"/>
      <c r="AQ524" s="19"/>
      <c r="AR524" s="100"/>
      <c r="AS524" s="93"/>
      <c r="AT524" s="109"/>
      <c r="AU524" t="str">
        <f>$Q$406</f>
        <v>L3</v>
      </c>
      <c r="AV524">
        <f>$E$22</f>
        <v>21.375</v>
      </c>
      <c r="AW524" cm="1">
        <f t="array" ref="AW524">IFERROR(IF(AV524=0,0,(INDEX($C$33:$C$38,MATCH($AZ$429,$B$33:$B$38,0),0)*(AV527+$BA$429)+$AW$429*COUNTIF(AV524:AV526,"&gt;0")*$C$32+$AY$429*$C$31)*$AU$429),0)</f>
        <v>0</v>
      </c>
      <c r="AX524">
        <f>IF(AV524=0,0,-(COUNTIF(AV524:AV526,"&gt;0")*$AW$429*$C$32+$AY$429*$C$31)*$H$27*$AU$429)</f>
        <v>0</v>
      </c>
      <c r="AY524">
        <f>IF(AV524=0,0,$AY$429*$H$26*$AU$429)</f>
        <v>0</v>
      </c>
      <c r="AZ524">
        <f>(0.6*AW524+0.7*AX524)*$AU$429/2</f>
        <v>0</v>
      </c>
      <c r="BA524">
        <f>AW524*$AU$429/2</f>
        <v>0</v>
      </c>
      <c r="BC524">
        <f>IF(AV524=0,0,$BG$429*$AP$406)</f>
        <v>0</v>
      </c>
      <c r="BD524">
        <f>IFERROR(BC524/$AU$429,0)</f>
        <v>0</v>
      </c>
      <c r="BE524">
        <f>BC524*($F$22+IF($F$22=0,0,($C$14+$C$15+IF($C$13="single",1.5,3)+3)/12))</f>
        <v>0</v>
      </c>
      <c r="BF524">
        <f>BE524-AZ524</f>
        <v>0</v>
      </c>
      <c r="BG524" cm="1">
        <f t="array" ref="BG524">IFERROR(IF(BF524&lt;0,0,BF524/($AU$429-INDEX(hd_off,MATCH(BT524,hd_mark,0),0)/12)),0)</f>
        <v>0</v>
      </c>
      <c r="BH524">
        <f>IF(AV524=0,0,$BG$429*$AM$406)</f>
        <v>0</v>
      </c>
      <c r="BI524">
        <f>IFERROR(BH524/$AU$429,0)</f>
        <v>0</v>
      </c>
      <c r="BJ524">
        <f>BH524*($F$22+IF($F$22=0,0,($C$14+$C$15+IF($C$13="single",1.5,3)+3)/12))</f>
        <v>0</v>
      </c>
      <c r="BK524">
        <f>BJ524-BA524</f>
        <v>0</v>
      </c>
      <c r="BL524" cm="1">
        <f t="array" ref="BL524">IFERROR(IF(BK524&lt;0,0,BK524/($AU$429-INDEX(hd_off,MATCH(BT524,hd_mark,0),0)/12)),0)</f>
        <v>0</v>
      </c>
      <c r="BM524">
        <f>MAX($F$22,$BC$429)/$Q$436</f>
        <v>0.30172413793103448</v>
      </c>
      <c r="BN524">
        <f t="shared" ref="BN524:BN526" si="315">IF(BM524=0,0,IF(BM524&gt;2,1.25-0.125*BM524,1))</f>
        <v>1</v>
      </c>
      <c r="BO524" cm="1">
        <f t="array" ref="BO524">IFERROR(INDEX(sheath_ecap_asd,MATCH(BS524,sheath_mark,0),0)*BN524,0)</f>
        <v>0</v>
      </c>
      <c r="BP524" cm="1">
        <f t="array" ref="BP524">IFERROR(INDEX(sheath_wcap_asd,MATCH(BS524,sheath_mark,0),0)*BN524,0)</f>
        <v>0</v>
      </c>
      <c r="BQ524" cm="1">
        <f t="array" ref="BQ524">IFERROR(INDEX(hd_cap,MATCH(BT524,hd_mark,0),0),0)</f>
        <v>0</v>
      </c>
      <c r="BS524" s="19"/>
      <c r="BT524" s="19"/>
      <c r="BU524" s="100"/>
    </row>
    <row r="525" x14ac:dyDescent="0.25">
      <c r="P525" s="93"/>
      <c r="Q525" s="109" t="s">
        <v>491</v>
      </c>
      <c r="R525" t="str">
        <f>$Q$407</f>
        <v>L4</v>
      </c>
      <c r="S525">
        <f>$E$23</f>
        <v>0</v>
      </c>
      <c r="T525" cm="1">
        <f t="array" ref="T525">IFERROR(IF(S525=0,0,(INDEX($C$33:$C$38,MATCH($W$429,$B$33:$B$38,0),0)*(S527+$X$429)+$T$429*COUNTIF(S525:S526,"&gt;0")*$C$32+$V$429*$C$31)*$R$429),0)</f>
        <v>0</v>
      </c>
      <c r="U525">
        <f>IF(S525=0,0,-(COUNTIF(S525:S526,"&gt;0")*$T$429*$C$32+$V$429*$C$31)*$H$27*$R$429)</f>
        <v>0</v>
      </c>
      <c r="V525">
        <f>IF(S525=0,0,$V$429*$H$26*$R$429)</f>
        <v>0</v>
      </c>
      <c r="W525">
        <f>(0.6*T525+0.7*U525)*$R$429/2</f>
        <v>0</v>
      </c>
      <c r="X525">
        <f>T525*$R$429/2</f>
        <v>0</v>
      </c>
      <c r="Z525">
        <f>IF(S525=0,0,$AD$429*$AP$407)</f>
        <v>0</v>
      </c>
      <c r="AA525">
        <f>IFERROR(Z525/$R$429,0)</f>
        <v>0</v>
      </c>
      <c r="AB525">
        <f>Z525*($F$23+IF($F$23=0,0,($C$14+$C$15+IF($C$13="single",1.5,3)+3)/12))</f>
        <v>0</v>
      </c>
      <c r="AC525">
        <f>AB525-W525</f>
        <v>0</v>
      </c>
      <c r="AD525" cm="1">
        <f t="array" ref="AD525">IFERROR(IF(AC525&lt;0,0,AC525/($R$429-INDEX(hd_off,MATCH(AQ525,hd_mark,0),0)/12)),0)</f>
        <v>0</v>
      </c>
      <c r="AE525">
        <f>IF(S525=0,0,$AD$429*$AM$407)</f>
        <v>0</v>
      </c>
      <c r="AF525">
        <f>IFERROR(AE525/$R$429,0)</f>
        <v>0</v>
      </c>
      <c r="AG525">
        <f>AE525*($F$23+IF($F$23=0,0,($C$14+$C$15+IF($C$13="single",1.5,3)+3)/12))</f>
        <v>0</v>
      </c>
      <c r="AH525">
        <f>AG525-X525</f>
        <v>0</v>
      </c>
      <c r="AI525" cm="1">
        <f t="array" ref="AI525">IFERROR(IF(AH525&lt;0,0,AH525/($R$429-INDEX(hd_off,MATCH(AQ525,hd_mark,0),0)/12)),0)</f>
        <v>0</v>
      </c>
      <c r="AJ525">
        <f>MAX($F$23,$AA$429)/$Q$436</f>
        <v>0</v>
      </c>
      <c r="AK525">
        <f t="shared" si="314"/>
        <v>0</v>
      </c>
      <c r="AL525" cm="1">
        <f t="array" ref="AL525">IFERROR(INDEX(sheath_ecap_asd,MATCH(AP525,sheath_mark,0),0)*AK525,0)</f>
        <v>0</v>
      </c>
      <c r="AM525" cm="1">
        <f t="array" ref="AM525">IFERROR(INDEX(sheath_wcap_asd,MATCH(AP525,sheath_mark,0),0)*AK525,0)</f>
        <v>0</v>
      </c>
      <c r="AN525" cm="1">
        <f t="array" ref="AN525">IFERROR(INDEX(hd_cap,MATCH(AQ525,hd_mark,0),0),0)</f>
        <v>0</v>
      </c>
      <c r="AP525" s="19"/>
      <c r="AQ525" s="19"/>
      <c r="AR525" s="100"/>
      <c r="AS525" s="93"/>
      <c r="AT525" s="109" t="s">
        <v>491</v>
      </c>
      <c r="AU525" t="str">
        <f>$Q$407</f>
        <v>L4</v>
      </c>
      <c r="AV525">
        <f>$E$23</f>
        <v>0</v>
      </c>
      <c r="AW525" cm="1">
        <f t="array" ref="AW525">IFERROR(IF(AV525=0,0,(INDEX($C$33:$C$38,MATCH($AZ$429,$B$33:$B$38,0),0)*(AV527+$BA$429)+$AW$429*COUNTIF(AV525:AV526,"&gt;0")*$C$32+$AY$429*$C$31)*$AU$429),0)</f>
        <v>0</v>
      </c>
      <c r="AX525">
        <f>IF(AV525=0,0,-(COUNTIF(AV525:AV526,"&gt;0")*$AW$429*$C$32+$AY$429*$C$31)*$H$27*$AU$429)</f>
        <v>0</v>
      </c>
      <c r="AY525">
        <f>IF(AV525=0,0,$AY$429*$H$26*$AU$429)</f>
        <v>0</v>
      </c>
      <c r="AZ525">
        <f>(0.6*AW525+0.7*AX525)*$AU$429/2</f>
        <v>0</v>
      </c>
      <c r="BA525">
        <f>AW525*$AU$429/2</f>
        <v>0</v>
      </c>
      <c r="BC525">
        <f>IF(AV525=0,0,$BG$429*$AP$407)</f>
        <v>0</v>
      </c>
      <c r="BD525">
        <f>IFERROR(BC525/$AU$429,0)</f>
        <v>0</v>
      </c>
      <c r="BE525">
        <f>BC525*($F$23+IF($F$23=0,0,($C$14+$C$15+IF($C$13="single",1.5,3)+3)/12))</f>
        <v>0</v>
      </c>
      <c r="BF525">
        <f>BE525-AZ525</f>
        <v>0</v>
      </c>
      <c r="BG525" cm="1">
        <f t="array" ref="BG525">IFERROR(IF(BF525&lt;0,0,BF525/($AU$429-INDEX(hd_off,MATCH(BT525,hd_mark,0),0)/12)),0)</f>
        <v>0</v>
      </c>
      <c r="BH525">
        <f>IF(AV525=0,0,$BG$429*$AM$407)</f>
        <v>0</v>
      </c>
      <c r="BI525">
        <f>IFERROR(BH525/$AU$429,0)</f>
        <v>0</v>
      </c>
      <c r="BJ525">
        <f>BH525*($F$23+IF($F$23=0,0,($C$14+$C$15+IF($C$13="single",1.5,3)+3)/12))</f>
        <v>0</v>
      </c>
      <c r="BK525">
        <f>BJ525-BA525</f>
        <v>0</v>
      </c>
      <c r="BL525" cm="1">
        <f t="array" ref="BL525">IFERROR(IF(BK525&lt;0,0,BK525/($AU$429-INDEX(hd_off,MATCH(BT525,hd_mark,0),0)/12)),0)</f>
        <v>0</v>
      </c>
      <c r="BM525">
        <f>MAX($F$23,$BD$429)/$Q$436</f>
        <v>0</v>
      </c>
      <c r="BN525">
        <f t="shared" si="315"/>
        <v>0</v>
      </c>
      <c r="BO525" cm="1">
        <f t="array" ref="BO525">IFERROR(INDEX(sheath_ecap_asd,MATCH(BS525,sheath_mark,0),0)*BN525,0)</f>
        <v>0</v>
      </c>
      <c r="BP525" cm="1">
        <f t="array" ref="BP525">IFERROR(INDEX(sheath_wcap_asd,MATCH(BS525,sheath_mark,0),0)*BN525,0)</f>
        <v>0</v>
      </c>
      <c r="BQ525" cm="1">
        <f t="array" ref="BQ525">IFERROR(INDEX(hd_cap,MATCH(BT525,hd_mark,0),0),0)</f>
        <v>0</v>
      </c>
      <c r="BS525" s="19"/>
      <c r="BT525" s="19"/>
      <c r="BU525" s="100"/>
    </row>
    <row r="526" x14ac:dyDescent="0.25">
      <c r="P526" s="93"/>
      <c r="Q526" s="111">
        <f>$R$429</f>
        <v>0</v>
      </c>
      <c r="R526" t="str">
        <f>$Q$408</f>
        <v>L5</v>
      </c>
      <c r="S526">
        <f>$E$24</f>
        <v>0</v>
      </c>
      <c r="T526" cm="1">
        <f t="array" ref="T526">IFERROR(IF(S526=0,0,(INDEX($C$33:$C$38,MATCH($W$429,$B$33:$B$38,0),0)*(S527+$X$429)+$T$429*COUNTIF(S526:S526,"&gt;0")*$C$32+$V$429*$C$31)*$R$429),0)</f>
        <v>0</v>
      </c>
      <c r="U526">
        <f>IF(S526=0,0,-(COUNTIF(S526:S526,"&gt;0")*$T$429*$C$32+$V$429*$C$31)*$H$27*$R$429)</f>
        <v>0</v>
      </c>
      <c r="V526">
        <f>IF(S526=0,0,$V$429*$H$26*$R$429)</f>
        <v>0</v>
      </c>
      <c r="W526">
        <f>(0.6*T526+0.7*U526)*$R$429/2</f>
        <v>0</v>
      </c>
      <c r="X526">
        <f>T526*$R$429/2</f>
        <v>0</v>
      </c>
      <c r="Z526">
        <f>IF(S526=0,0,$AD$429*$AP$408)</f>
        <v>0</v>
      </c>
      <c r="AA526">
        <f>IFERROR(Z526/$R$429,0)</f>
        <v>0</v>
      </c>
      <c r="AB526">
        <f>Z526*($F$24+IF($F$24=0,0,($C$14+$C$15+IF($C$13="single",1.5,3)+3)/12))</f>
        <v>0</v>
      </c>
      <c r="AC526">
        <f>AB526-W526</f>
        <v>0</v>
      </c>
      <c r="AD526" cm="1">
        <f t="array" ref="AD526">IFERROR(IF(AC526&lt;0,0,AC526/($R$429-INDEX(hd_off,MATCH(AQ526,hd_mark,0),0)/12)),0)</f>
        <v>0</v>
      </c>
      <c r="AE526">
        <f>IF(S526=0,0,$AD$429*$AM$408)</f>
        <v>0</v>
      </c>
      <c r="AF526">
        <f>IFERROR(AE526/$R$429,0)</f>
        <v>0</v>
      </c>
      <c r="AG526">
        <f>AE526*($F$24+IF($F$24=0,0,($C$14+$C$15+IF($C$13="single",1.5,3)+3)/12))</f>
        <v>0</v>
      </c>
      <c r="AH526">
        <f>AG526-X526</f>
        <v>0</v>
      </c>
      <c r="AI526" cm="1">
        <f t="array" ref="AI526">IFERROR(IF(AH526&lt;0,0,AH526/($R$429-INDEX(hd_off,MATCH(AQ526,hd_mark,0),0)/12)),0)</f>
        <v>0</v>
      </c>
      <c r="AJ526">
        <f>MAX($F$24,$AB$429)/$Q$436</f>
        <v>0</v>
      </c>
      <c r="AK526">
        <f t="shared" si="314"/>
        <v>0</v>
      </c>
      <c r="AL526" cm="1">
        <f t="array" ref="AL526">IFERROR(INDEX(sheath_ecap_asd,MATCH(AP526,sheath_mark,0),0)*AK526,0)</f>
        <v>0</v>
      </c>
      <c r="AM526" cm="1">
        <f t="array" ref="AM526">IFERROR(INDEX(sheath_wcap_asd,MATCH(AP526,sheath_mark,0),0)*AK526,0)</f>
        <v>0</v>
      </c>
      <c r="AN526" cm="1">
        <f t="array" ref="AN526">IFERROR(INDEX(hd_cap,MATCH(AQ526,hd_mark,0),0),0)</f>
        <v>0</v>
      </c>
      <c r="AP526" s="19"/>
      <c r="AQ526" s="19"/>
      <c r="AR526" s="100"/>
      <c r="AS526" s="93"/>
      <c r="AT526" s="111">
        <f>$R$429</f>
        <v>0</v>
      </c>
      <c r="AU526" t="str">
        <f>$Q$408</f>
        <v>L5</v>
      </c>
      <c r="AV526">
        <f>$E$24</f>
        <v>0</v>
      </c>
      <c r="AW526" cm="1">
        <f t="array" ref="AW526">IFERROR(IF(AV526=0,0,(INDEX($C$33:$C$38,MATCH($AZ$429,$B$33:$B$38,0),0)*(AV527+$BA$429)+$AW$429*COUNTIF(AV526:AV526,"&gt;0")*$C$32+$AY$429*$C$31)*$AU$429),0)</f>
        <v>0</v>
      </c>
      <c r="AX526">
        <f>IF(AV526=0,0,-(COUNTIF(AV526:AV526,"&gt;0")*$AW$429*$C$32+$AY$429*$C$31)*$H$27*$AU$429)</f>
        <v>0</v>
      </c>
      <c r="AY526">
        <f>IF(AV526=0,0,$AY$429*$H$26*$AU$429)</f>
        <v>0</v>
      </c>
      <c r="AZ526">
        <f>(0.6*AW526+0.7*AX526)*$AU$429/2</f>
        <v>0</v>
      </c>
      <c r="BA526">
        <f>AW526*$AU$429/2</f>
        <v>0</v>
      </c>
      <c r="BC526">
        <f>IF(AV526=0,0,$BG$429*$AP$408)</f>
        <v>0</v>
      </c>
      <c r="BD526">
        <f>IFERROR(BC526/$AU$429,0)</f>
        <v>0</v>
      </c>
      <c r="BE526">
        <f>BC526*($F$24+IF($F$24=0,0,($C$14+$C$15+IF($C$13="single",1.5,3)+3)/12))</f>
        <v>0</v>
      </c>
      <c r="BF526">
        <f>BE526-AZ526</f>
        <v>0</v>
      </c>
      <c r="BG526" cm="1">
        <f t="array" ref="BG526">IFERROR(IF(BF526&lt;0,0,BF526/($AU$429-INDEX(hd_off,MATCH(BT526,hd_mark,0),0)/12)),0)</f>
        <v>0</v>
      </c>
      <c r="BH526">
        <f>IF(AV526=0,0,$BG$429*$AM$408)</f>
        <v>0</v>
      </c>
      <c r="BI526">
        <f>IFERROR(BH526/$AU$429,0)</f>
        <v>0</v>
      </c>
      <c r="BJ526">
        <f>BH526*($F$24+IF($F$24=0,0,($C$14+$C$15+IF($C$13="single",1.5,3)+3)/12))</f>
        <v>0</v>
      </c>
      <c r="BK526">
        <f>BJ526-BA526</f>
        <v>0</v>
      </c>
      <c r="BL526" cm="1">
        <f t="array" ref="BL526">IFERROR(IF(BK526&lt;0,0,BK526/($AU$429-INDEX(hd_off,MATCH(BT526,hd_mark,0),0)/12)),0)</f>
        <v>0</v>
      </c>
      <c r="BM526">
        <f>MAX($F$24,$BE$429)/$Q$436</f>
        <v>0</v>
      </c>
      <c r="BN526">
        <f t="shared" si="315"/>
        <v>0</v>
      </c>
      <c r="BO526" cm="1">
        <f t="array" ref="BO526">IFERROR(INDEX(sheath_ecap_asd,MATCH(BS526,sheath_mark,0),0)*BN526,0)</f>
        <v>0</v>
      </c>
      <c r="BP526" cm="1">
        <f t="array" ref="BP526">IFERROR(INDEX(sheath_wcap_asd,MATCH(BS526,sheath_mark,0),0)*BN526,0)</f>
        <v>0</v>
      </c>
      <c r="BQ526" cm="1">
        <f t="array" ref="BQ526">IFERROR(INDEX(hd_cap,MATCH(BT526,hd_mark,0),0),0)</f>
        <v>0</v>
      </c>
      <c r="BS526" s="19"/>
      <c r="BT526" s="19"/>
      <c r="BU526" s="100"/>
    </row>
    <row r="527" x14ac:dyDescent="0.25">
      <c r="P527" s="93"/>
      <c r="Q527" s="109"/>
      <c r="R527" t="str">
        <f>$Q$409</f>
        <v>Roof</v>
      </c>
      <c r="S527">
        <f>$E$25</f>
        <v>33.171875</v>
      </c>
      <c r="T527" cm="1">
        <f t="array" ref="T527">IFERROR(IF(S527=0,0,(INDEX($C$33:$C$38,MATCH($W$429,$B$33:$B$38,0),0)*(S527+$X$429)+$V$429*$C$31)*$R$429),0)</f>
        <v>0</v>
      </c>
      <c r="U527">
        <f>IF(S527=0,0,-$V$429*$C$31*$H$27*$R$429)</f>
        <v>0</v>
      </c>
      <c r="V527">
        <f>IF(S527=0,0,$V$429*$H$26*$R$429)</f>
        <v>0</v>
      </c>
      <c r="W527">
        <f>(0.6*T527+0.7*U527)*$R$429/2</f>
        <v>0</v>
      </c>
      <c r="X527">
        <f>T527*$R$429/2</f>
        <v>0</v>
      </c>
      <c r="Z527">
        <f>IF(S527=0,0,$AD$429*$AP$409)</f>
        <v>0</v>
      </c>
      <c r="AA527">
        <f>IFERROR(Z527/$R$429,0)</f>
        <v>0</v>
      </c>
      <c r="AB527">
        <f>Z527*($F$25+($C$16+$C$17+IF($C$13="single",1.5,3)+3)/12)</f>
        <v>0</v>
      </c>
      <c r="AC527">
        <f>AB527-W527</f>
        <v>0</v>
      </c>
      <c r="AD527" cm="1">
        <f t="array" ref="AD527">IFERROR(IF(AC527&lt;0,0,AC527/($R$429-INDEX(hd_off,MATCH(AQ527,hd_mark,0),0)/12)),0)</f>
        <v>0</v>
      </c>
      <c r="AE527">
        <f>IF(S527=0,0,$AD$429*$AM$409)</f>
        <v>0</v>
      </c>
      <c r="AF527">
        <f>IFERROR(AE527/$R$429,0)</f>
        <v>0</v>
      </c>
      <c r="AG527">
        <f>AE527*($F$25+($C$16+$C$17+IF($C$13="single",1.5,3)+3)/12)</f>
        <v>0</v>
      </c>
      <c r="AH527">
        <f>AG527-X527</f>
        <v>0</v>
      </c>
      <c r="AI527" cm="1">
        <f t="array" ref="AI527">IFERROR(IF(AH527&lt;0,0,AH527/($R$429-INDEX(hd_off,MATCH(AQ527,hd_mark,0),0)/12)),0)</f>
        <v>0</v>
      </c>
      <c r="AJ527">
        <f>MAX($F$25,$AC$429)/$Q$436</f>
        <v>0.29920977011494249</v>
      </c>
      <c r="AK527">
        <f t="shared" si="314"/>
        <v>1</v>
      </c>
      <c r="AL527" cm="1">
        <f t="array" ref="AL527">IFERROR(INDEX(sheath_ecap_asd,MATCH(AP527,sheath_mark,0),0)*AK527,0)</f>
        <v>0</v>
      </c>
      <c r="AM527" cm="1">
        <f t="array" ref="AM527">IFERROR(INDEX(sheath_wcap_asd,MATCH(AP527,sheath_mark,0),0)*AK527,0)</f>
        <v>0</v>
      </c>
      <c r="AN527" cm="1">
        <f t="array" ref="AN527">IFERROR(INDEX(hd_cap,MATCH(AQ527,hd_mark,0),0),0)</f>
        <v>0</v>
      </c>
      <c r="AP527" s="19"/>
      <c r="AQ527" s="19"/>
      <c r="AR527" s="100"/>
      <c r="AS527" s="93"/>
      <c r="BU527" s="100"/>
    </row>
    <row r="528" x14ac:dyDescent="0.25">
      <c r="B528" s="1" t="s">
        <v>569</v>
      </c>
      <c r="C528">
        <f>E16+H16*12</f>
        <v>32.4375</v>
      </c>
      <c r="E528" s="19">
        <v>24</v>
      </c>
      <c r="F528" s="19">
        <f>32+5.625/12</f>
        <v>32.46875</v>
      </c>
      <c r="G528" s="19">
        <f>33+10.5/12</f>
        <v>33.875</v>
      </c>
      <c r="H528">
        <f>(G16-F16)/2</f>
        <v>0.703125</v>
      </c>
      <c r="P528" s="93"/>
      <c r="Q528" t="s">
        <v>524</v>
      </c>
      <c r="R528" s="2" t="str">
        <f>$B$46</f>
        <v>A</v>
      </c>
      <c r="AR528" s="100"/>
      <c r="AS528" s="93"/>
      <c r="AT528" t="s">
        <v>524</v>
      </c>
      <c r="AU528" s="2">
        <f>H46</f>
        <v>1</v>
      </c>
      <c r="BU528" s="100"/>
    </row>
    <row r="529" x14ac:dyDescent="0.25">
      <c r="B529" s="1" t="s">
        <v>500</v>
      </c>
      <c r="C529" s="19">
        <v>0.5</v>
      </c>
      <c r="P529" s="93"/>
      <c r="AR529" s="100"/>
      <c r="AS529" s="93"/>
      <c r="BU529" s="100"/>
    </row>
    <row r="530" x14ac:dyDescent="0.25">
      <c r="P530" s="93"/>
      <c r="R530" t="s">
        <v>482</v>
      </c>
      <c r="Z530" t="s">
        <v>483</v>
      </c>
      <c r="AH530" t="s">
        <v>502</v>
      </c>
      <c r="AJ530" t="s">
        <v>454</v>
      </c>
      <c r="AR530" s="100"/>
      <c r="AS530" s="93"/>
      <c r="AU530" t="s">
        <v>482</v>
      </c>
      <c r="BC530" t="s">
        <v>483</v>
      </c>
      <c r="BK530" t="s">
        <v>502</v>
      </c>
      <c r="BM530" t="s">
        <v>454</v>
      </c>
      <c r="BU530" s="100"/>
    </row>
    <row r="531" x14ac:dyDescent="0.25">
      <c r="B531" t="s">
        <v>448</v>
      </c>
      <c r="C531" t="s">
        <v>272</v>
      </c>
      <c r="D531" t="s">
        <v>193</v>
      </c>
      <c r="E531" s="70" t="s">
        <v>454</v>
      </c>
      <c r="F531" s="71" t="s">
        <v>501</v>
      </c>
      <c r="H531" t="s">
        <v>475</v>
      </c>
      <c r="J531" t="s">
        <v>476</v>
      </c>
      <c r="P531" s="93"/>
      <c r="R531" t="s">
        <v>480</v>
      </c>
      <c r="S531" t="s">
        <v>481</v>
      </c>
      <c r="T531" t="s">
        <v>486</v>
      </c>
      <c r="U531" t="s">
        <v>487</v>
      </c>
      <c r="V531" t="s">
        <v>484</v>
      </c>
      <c r="W531" t="s">
        <v>485</v>
      </c>
      <c r="X531" t="s">
        <v>488</v>
      </c>
      <c r="Y531" t="s">
        <v>489</v>
      </c>
      <c r="Z531" t="s">
        <v>480</v>
      </c>
      <c r="AA531" t="s">
        <v>481</v>
      </c>
      <c r="AB531" t="s">
        <v>486</v>
      </c>
      <c r="AC531" t="s">
        <v>487</v>
      </c>
      <c r="AD531" t="s">
        <v>484</v>
      </c>
      <c r="AE531" t="s">
        <v>485</v>
      </c>
      <c r="AF531" t="s">
        <v>488</v>
      </c>
      <c r="AG531" t="s">
        <v>489</v>
      </c>
      <c r="AH531" t="s">
        <v>312</v>
      </c>
      <c r="AI531" t="s">
        <v>258</v>
      </c>
      <c r="AJ531" t="s">
        <v>486</v>
      </c>
      <c r="AK531" t="s">
        <v>490</v>
      </c>
      <c r="AL531" t="s">
        <v>487</v>
      </c>
      <c r="AM531" t="s">
        <v>490</v>
      </c>
      <c r="AN531" t="s">
        <v>488</v>
      </c>
      <c r="AO531" t="s">
        <v>490</v>
      </c>
      <c r="AP531" t="s">
        <v>489</v>
      </c>
      <c r="AQ531" t="s">
        <v>490</v>
      </c>
      <c r="AR531" s="100"/>
      <c r="AS531" s="93"/>
      <c r="AU531" t="s">
        <v>480</v>
      </c>
      <c r="AV531" t="s">
        <v>481</v>
      </c>
      <c r="AW531" t="s">
        <v>486</v>
      </c>
      <c r="AX531" t="s">
        <v>487</v>
      </c>
      <c r="AY531" t="s">
        <v>484</v>
      </c>
      <c r="AZ531" t="s">
        <v>485</v>
      </c>
      <c r="BA531" t="s">
        <v>488</v>
      </c>
      <c r="BB531" t="s">
        <v>489</v>
      </c>
      <c r="BC531" t="s">
        <v>480</v>
      </c>
      <c r="BD531" t="s">
        <v>481</v>
      </c>
      <c r="BE531" t="s">
        <v>486</v>
      </c>
      <c r="BF531" t="s">
        <v>487</v>
      </c>
      <c r="BG531" t="s">
        <v>484</v>
      </c>
      <c r="BH531" t="s">
        <v>485</v>
      </c>
      <c r="BI531" t="s">
        <v>488</v>
      </c>
      <c r="BJ531" t="s">
        <v>489</v>
      </c>
      <c r="BK531" t="s">
        <v>312</v>
      </c>
      <c r="BL531" t="s">
        <v>258</v>
      </c>
      <c r="BM531" t="s">
        <v>486</v>
      </c>
      <c r="BN531" t="s">
        <v>490</v>
      </c>
      <c r="BO531" t="s">
        <v>487</v>
      </c>
      <c r="BP531" t="s">
        <v>490</v>
      </c>
      <c r="BQ531" t="s">
        <v>488</v>
      </c>
      <c r="BR531" t="s">
        <v>490</v>
      </c>
      <c r="BS531" t="s">
        <v>489</v>
      </c>
      <c r="BT531" t="s">
        <v>490</v>
      </c>
      <c r="BU531" s="100"/>
    </row>
    <row r="532" x14ac:dyDescent="0.25">
      <c r="B532" t="s">
        <v>449</v>
      </c>
      <c r="C532" s="19">
        <v>0</v>
      </c>
      <c r="D532" s="19">
        <v>0</v>
      </c>
      <c r="E532" s="66">
        <f>C20+D20/12</f>
        <v>0</v>
      </c>
      <c r="F532" s="67">
        <v>0</v>
      </c>
      <c r="H532" s="19">
        <v>0</v>
      </c>
      <c r="I532" s="64" t="s">
        <v>196</v>
      </c>
      <c r="J532" s="19">
        <v>0</v>
      </c>
      <c r="K532" s="19">
        <v>0</v>
      </c>
      <c r="L532" s="19">
        <v>0</v>
      </c>
      <c r="M532" s="19">
        <v>0</v>
      </c>
      <c r="P532" s="93"/>
      <c r="Q532" t="s">
        <v>449</v>
      </c>
      <c r="R532" s="19">
        <f>$H$20</f>
        <v>0</v>
      </c>
      <c r="S532">
        <f>R532*0.6</f>
        <v>0</v>
      </c>
      <c r="T532">
        <f>$C$46/2*R532</f>
        <v>0</v>
      </c>
      <c r="U532">
        <f>T532*0.6</f>
        <v>0</v>
      </c>
      <c r="V532" s="19">
        <v>0</v>
      </c>
      <c r="W532">
        <f>V532*0.7</f>
        <v>0</v>
      </c>
      <c r="X532">
        <f>$C$46/2*V532</f>
        <v>0</v>
      </c>
      <c r="Y532">
        <f>X532*0.7</f>
        <v>0</v>
      </c>
      <c r="Z532" s="19">
        <f>$H$20</f>
        <v>0</v>
      </c>
      <c r="AA532">
        <f>Z532*0.6</f>
        <v>0</v>
      </c>
      <c r="AB532">
        <f>$D$46/2*Z532</f>
        <v>0</v>
      </c>
      <c r="AC532">
        <f t="shared" ref="AC532:AC538" si="316">0.6*AB532</f>
        <v>0</v>
      </c>
      <c r="AD532" s="19">
        <v>0</v>
      </c>
      <c r="AE532">
        <f>AD532*0.7</f>
        <v>0</v>
      </c>
      <c r="AF532">
        <f>$D$46/2*AD532</f>
        <v>0</v>
      </c>
      <c r="AG532">
        <f>AF532*0.7</f>
        <v>0</v>
      </c>
      <c r="AH532" s="19">
        <v>0</v>
      </c>
      <c r="AI532" s="19">
        <v>0</v>
      </c>
      <c r="AJ532" s="17">
        <f>T532+AB532+AH532</f>
        <v>0</v>
      </c>
      <c r="AK532" s="17">
        <f>AK533+AJ532</f>
        <v>13166</v>
      </c>
      <c r="AL532" s="17">
        <f>AJ532*0.6</f>
        <v>0</v>
      </c>
      <c r="AM532" s="17">
        <f>AM533+AL532</f>
        <v>7899.5999999999995</v>
      </c>
      <c r="AN532" s="17">
        <f>X532+AF532+AI532</f>
        <v>0</v>
      </c>
      <c r="AO532" s="17">
        <f t="shared" ref="AO532:AQ535" si="317">AN532+AO533</f>
        <v>1302.0999999999999</v>
      </c>
      <c r="AP532" s="17">
        <f>AN532*0.7</f>
        <v>0</v>
      </c>
      <c r="AQ532" s="17">
        <f>AP532+AQ533</f>
        <v>911.46999999999991</v>
      </c>
      <c r="AR532" s="100"/>
      <c r="AS532" s="93"/>
      <c r="AT532" t="s">
        <v>449</v>
      </c>
      <c r="AU532" s="19">
        <f>$H$20</f>
        <v>0</v>
      </c>
      <c r="AV532">
        <f>AU532*0.6</f>
        <v>0</v>
      </c>
      <c r="AW532">
        <f t="shared" ref="AW532:AW538" si="318">$I$46/2*AU532</f>
        <v>0</v>
      </c>
      <c r="AX532">
        <f>AW532*0.6</f>
        <v>0</v>
      </c>
      <c r="AY532" s="19">
        <v>0</v>
      </c>
      <c r="AZ532">
        <f>AY532*0.7</f>
        <v>0</v>
      </c>
      <c r="BA532">
        <f t="shared" ref="BA532:BA537" si="319">$I$46/2*AY532</f>
        <v>0</v>
      </c>
      <c r="BB532">
        <f>BA532*0.7</f>
        <v>0</v>
      </c>
      <c r="BC532" s="19">
        <f>$H$20</f>
        <v>0</v>
      </c>
      <c r="BD532">
        <f>BC532*0.6</f>
        <v>0</v>
      </c>
      <c r="BE532">
        <f t="shared" ref="BE532:BE538" si="320">$J$46/2*BC532</f>
        <v>0</v>
      </c>
      <c r="BF532">
        <f t="shared" ref="BF532:BF538" si="321">0.6*BE532</f>
        <v>0</v>
      </c>
      <c r="BG532" s="19">
        <v>0</v>
      </c>
      <c r="BH532">
        <f>BG532*0.7</f>
        <v>0</v>
      </c>
      <c r="BI532">
        <f t="shared" ref="BI532:BI537" si="322">$J$46/2*BG532</f>
        <v>0</v>
      </c>
      <c r="BJ532">
        <f>BI532*0.7</f>
        <v>0</v>
      </c>
      <c r="BK532" s="19">
        <v>0</v>
      </c>
      <c r="BL532" s="19">
        <v>0</v>
      </c>
      <c r="BM532" s="17">
        <f>AW532+BE532+BK532</f>
        <v>0</v>
      </c>
      <c r="BN532" s="17">
        <f>BN533+BM532</f>
        <v>12258</v>
      </c>
      <c r="BO532" s="17">
        <f>BM532*0.6</f>
        <v>0</v>
      </c>
      <c r="BP532" s="17">
        <f>BP533+BO532</f>
        <v>7354.7999999999993</v>
      </c>
      <c r="BQ532" s="17">
        <f>BA532+BI532+BL532</f>
        <v>0</v>
      </c>
      <c r="BR532" s="17">
        <f t="shared" ref="BR532:BR535" si="323">BQ532+BR533</f>
        <v>1212.3</v>
      </c>
      <c r="BS532" s="17">
        <f>BQ532*0.7</f>
        <v>0</v>
      </c>
      <c r="BT532" s="17">
        <f>BS532+BT533</f>
        <v>848.6099999999999</v>
      </c>
      <c r="BU532" s="100"/>
    </row>
    <row r="533" x14ac:dyDescent="0.25">
      <c r="B533" t="s">
        <v>450</v>
      </c>
      <c r="C533" s="19">
        <v>10</v>
      </c>
      <c r="D533" s="19">
        <v>8.25</v>
      </c>
      <c r="E533" s="66">
        <f>C21+D21/12</f>
        <v>10.6875</v>
      </c>
      <c r="F533" s="67">
        <f>IF(E21&gt;0,E21-(C15+C14+2*1.5+IF(C13="single",1.5,3))/12-_xlfn.XLOOKUP(E21,E20,E20,,-1),0)</f>
        <v>8.75</v>
      </c>
      <c r="H533" s="19">
        <v>236</v>
      </c>
      <c r="I533" s="64" t="s">
        <v>196</v>
      </c>
      <c r="J533" s="19">
        <v>33.799999999999997</v>
      </c>
      <c r="K533" s="19">
        <v>65.599999999999994</v>
      </c>
      <c r="L533" s="19">
        <v>19.3</v>
      </c>
      <c r="M533" s="19">
        <v>119.6</v>
      </c>
      <c r="P533" s="93"/>
      <c r="Q533" t="s">
        <v>450</v>
      </c>
      <c r="R533" s="19">
        <f>$H$21</f>
        <v>236</v>
      </c>
      <c r="S533">
        <f t="shared" ref="S533:S538" si="324">R533*0.6</f>
        <v>141.6</v>
      </c>
      <c r="T533">
        <f t="shared" ref="T533:T537" si="325">$C$46/2*R533</f>
        <v>0</v>
      </c>
      <c r="U533">
        <f>T533*0.6</f>
        <v>0</v>
      </c>
      <c r="V533" s="19">
        <v>33.799999999999997</v>
      </c>
      <c r="W533">
        <f t="shared" ref="W533:W537" si="326">V533*0.7</f>
        <v>23.659999999999997</v>
      </c>
      <c r="X533">
        <f t="shared" ref="X533:X537" si="327">$C$46/2*V533</f>
        <v>0</v>
      </c>
      <c r="Y533">
        <f t="shared" ref="Y533:Y537" si="328">X533*0.7</f>
        <v>0</v>
      </c>
      <c r="Z533" s="19">
        <f>$H$21</f>
        <v>236</v>
      </c>
      <c r="AA533">
        <f t="shared" ref="AA533:AA537" si="329">Z533*0.6</f>
        <v>141.6</v>
      </c>
      <c r="AB533">
        <f t="shared" ref="AB533:AB537" si="330">$D$46/2*Z533</f>
        <v>3422</v>
      </c>
      <c r="AC533">
        <f t="shared" si="316"/>
        <v>2053.1999999999998</v>
      </c>
      <c r="AD533" s="19">
        <v>33.799999999999997</v>
      </c>
      <c r="AE533">
        <f t="shared" ref="AE533:AE537" si="331">AD533*0.7</f>
        <v>23.659999999999997</v>
      </c>
      <c r="AF533">
        <f t="shared" ref="AF533:AF537" si="332">$D$46/2*AD533</f>
        <v>490.09999999999997</v>
      </c>
      <c r="AG533">
        <f t="shared" ref="AG533:AG537" si="333">AF533*0.7</f>
        <v>343.06999999999994</v>
      </c>
      <c r="AH533" s="19">
        <v>0</v>
      </c>
      <c r="AI533" s="19">
        <v>0</v>
      </c>
      <c r="AJ533" s="17">
        <f>T533+AB533+AH533</f>
        <v>3422</v>
      </c>
      <c r="AK533" s="17">
        <f>AK534+AJ533</f>
        <v>13166</v>
      </c>
      <c r="AL533" s="17">
        <f t="shared" ref="AL533:AL537" si="334">AJ533*0.6</f>
        <v>2053.1999999999998</v>
      </c>
      <c r="AM533" s="17">
        <f t="shared" ref="AM533:AM535" si="335">AM534+AL533</f>
        <v>7899.5999999999995</v>
      </c>
      <c r="AN533" s="17">
        <f t="shared" ref="AN533:AN536" si="336">X533+AF533+AI533</f>
        <v>490.09999999999997</v>
      </c>
      <c r="AO533" s="17">
        <f t="shared" si="317"/>
        <v>1302.0999999999999</v>
      </c>
      <c r="AP533" s="17">
        <f t="shared" ref="AP533:AP536" si="337">AN533*0.7</f>
        <v>343.06999999999994</v>
      </c>
      <c r="AQ533" s="17">
        <f t="shared" si="317"/>
        <v>911.46999999999991</v>
      </c>
      <c r="AR533" s="100"/>
      <c r="AS533" s="93"/>
      <c r="AT533" t="s">
        <v>450</v>
      </c>
      <c r="AU533" s="19">
        <f>$H$21</f>
        <v>236</v>
      </c>
      <c r="AV533">
        <f t="shared" ref="AV533:AV538" si="338">AU533*0.6</f>
        <v>141.6</v>
      </c>
      <c r="AW533">
        <f t="shared" si="318"/>
        <v>0</v>
      </c>
      <c r="AX533">
        <f>AW533*0.6</f>
        <v>0</v>
      </c>
      <c r="AY533" s="19">
        <v>33.799999999999997</v>
      </c>
      <c r="AZ533">
        <f t="shared" ref="AZ533:AZ537" si="339">AY533*0.7</f>
        <v>23.659999999999997</v>
      </c>
      <c r="BA533">
        <f t="shared" si="319"/>
        <v>0</v>
      </c>
      <c r="BB533">
        <f t="shared" ref="BB533:BB537" si="340">BA533*0.7</f>
        <v>0</v>
      </c>
      <c r="BC533" s="19">
        <f>$H$21</f>
        <v>236</v>
      </c>
      <c r="BD533">
        <f t="shared" ref="BD533:BD537" si="341">BC533*0.6</f>
        <v>141.6</v>
      </c>
      <c r="BE533">
        <f t="shared" si="320"/>
        <v>3186</v>
      </c>
      <c r="BF533">
        <f t="shared" si="321"/>
        <v>1911.6</v>
      </c>
      <c r="BG533" s="19">
        <v>33.799999999999997</v>
      </c>
      <c r="BH533">
        <f t="shared" ref="BH533:BH537" si="342">BG533*0.7</f>
        <v>23.659999999999997</v>
      </c>
      <c r="BI533">
        <f t="shared" si="322"/>
        <v>456.29999999999995</v>
      </c>
      <c r="BJ533">
        <f t="shared" ref="BJ533:BJ537" si="343">BI533*0.7</f>
        <v>319.40999999999997</v>
      </c>
      <c r="BK533" s="19">
        <v>0</v>
      </c>
      <c r="BL533" s="19">
        <v>0</v>
      </c>
      <c r="BM533" s="17">
        <f>AW533+BE533+BK533</f>
        <v>3186</v>
      </c>
      <c r="BN533" s="17">
        <f>BN534+BM533</f>
        <v>12258</v>
      </c>
      <c r="BO533" s="17">
        <f t="shared" ref="BO533" si="344">BM533*0.6</f>
        <v>1911.6</v>
      </c>
      <c r="BP533" s="17">
        <f t="shared" ref="BP533:BP535" si="345">BP534+BO533</f>
        <v>7354.7999999999993</v>
      </c>
      <c r="BQ533" s="17">
        <f t="shared" ref="BQ533:BQ536" si="346">BA533+BI533+BL533</f>
        <v>456.29999999999995</v>
      </c>
      <c r="BR533" s="17">
        <f t="shared" si="323"/>
        <v>1212.3</v>
      </c>
      <c r="BS533" s="17">
        <f t="shared" ref="BS533:BS536" si="347">BQ533*0.7</f>
        <v>319.40999999999997</v>
      </c>
      <c r="BT533" s="17">
        <f t="shared" ref="BT533:BT535" si="348">BS533+BT534</f>
        <v>848.6099999999999</v>
      </c>
      <c r="BU533" s="100"/>
    </row>
    <row r="534" x14ac:dyDescent="0.25">
      <c r="B534" t="s">
        <v>451</v>
      </c>
      <c r="C534" s="19">
        <v>21</v>
      </c>
      <c r="D534" s="19">
        <v>4.5</v>
      </c>
      <c r="E534" s="66">
        <f t="shared" ref="E22:E25" si="349">C22+D22/12</f>
        <v>21.375</v>
      </c>
      <c r="F534" s="67">
        <f>IF(E22&gt;0,E22-(C15+C14+2*1.5+IF(C13="single",1.5,3))/12-_xlfn.XLOOKUP(E22,E20:E21,E20:E21,,-1),0)</f>
        <v>8.75</v>
      </c>
      <c r="H534" s="19">
        <v>229</v>
      </c>
      <c r="I534" s="64" t="s">
        <v>196</v>
      </c>
      <c r="J534" s="19">
        <v>37.1</v>
      </c>
      <c r="K534" s="19">
        <v>71.8</v>
      </c>
      <c r="L534" s="19">
        <v>21.1</v>
      </c>
      <c r="M534" s="19">
        <v>131.1</v>
      </c>
      <c r="P534" s="93"/>
      <c r="Q534" t="s">
        <v>451</v>
      </c>
      <c r="R534" s="19">
        <f>$H$22</f>
        <v>229</v>
      </c>
      <c r="S534">
        <f t="shared" si="324"/>
        <v>137.4</v>
      </c>
      <c r="T534">
        <f t="shared" si="325"/>
        <v>0</v>
      </c>
      <c r="U534">
        <f t="shared" ref="U534:U538" si="350">T534*0.6</f>
        <v>0</v>
      </c>
      <c r="V534" s="19">
        <v>37.1</v>
      </c>
      <c r="W534">
        <f t="shared" si="326"/>
        <v>25.97</v>
      </c>
      <c r="X534">
        <f>$C$46/2*V534</f>
        <v>0</v>
      </c>
      <c r="Y534">
        <f t="shared" si="328"/>
        <v>0</v>
      </c>
      <c r="Z534" s="19">
        <f>$H$22</f>
        <v>229</v>
      </c>
      <c r="AA534">
        <f t="shared" si="329"/>
        <v>137.4</v>
      </c>
      <c r="AB534">
        <f t="shared" si="330"/>
        <v>3320.5</v>
      </c>
      <c r="AC534">
        <f t="shared" si="316"/>
        <v>1992.3</v>
      </c>
      <c r="AD534" s="19">
        <v>37.1</v>
      </c>
      <c r="AE534">
        <f t="shared" si="331"/>
        <v>25.97</v>
      </c>
      <c r="AF534">
        <f t="shared" si="332"/>
        <v>537.95000000000005</v>
      </c>
      <c r="AG534">
        <f t="shared" si="333"/>
        <v>376.565</v>
      </c>
      <c r="AH534" s="19">
        <v>0</v>
      </c>
      <c r="AI534" s="19">
        <v>0</v>
      </c>
      <c r="AJ534" s="17">
        <f t="shared" ref="AJ534:AJ536" si="351">T534+AB534+AH534</f>
        <v>3320.5</v>
      </c>
      <c r="AK534" s="17">
        <f>AK535+AJ534</f>
        <v>9744</v>
      </c>
      <c r="AL534" s="17">
        <f>AJ534*0.6</f>
        <v>1992.3</v>
      </c>
      <c r="AM534" s="17">
        <f t="shared" si="335"/>
        <v>5846.4</v>
      </c>
      <c r="AN534" s="17">
        <f t="shared" si="336"/>
        <v>537.95000000000005</v>
      </c>
      <c r="AO534" s="17">
        <f t="shared" si="317"/>
        <v>812</v>
      </c>
      <c r="AP534" s="17">
        <f t="shared" si="337"/>
        <v>376.565</v>
      </c>
      <c r="AQ534" s="17">
        <f t="shared" si="317"/>
        <v>568.4</v>
      </c>
      <c r="AR534" s="100"/>
      <c r="AS534" s="93"/>
      <c r="AT534" t="s">
        <v>451</v>
      </c>
      <c r="AU534" s="19">
        <f>$H$22</f>
        <v>229</v>
      </c>
      <c r="AV534">
        <f t="shared" si="338"/>
        <v>137.4</v>
      </c>
      <c r="AW534">
        <f t="shared" si="318"/>
        <v>0</v>
      </c>
      <c r="AX534">
        <f t="shared" ref="AX534:AX538" si="352">AW534*0.6</f>
        <v>0</v>
      </c>
      <c r="AY534" s="19">
        <v>37.1</v>
      </c>
      <c r="AZ534">
        <f t="shared" si="339"/>
        <v>25.97</v>
      </c>
      <c r="BA534">
        <f t="shared" si="319"/>
        <v>0</v>
      </c>
      <c r="BB534">
        <f t="shared" si="340"/>
        <v>0</v>
      </c>
      <c r="BC534" s="19">
        <f>$H$22</f>
        <v>229</v>
      </c>
      <c r="BD534">
        <f t="shared" si="341"/>
        <v>137.4</v>
      </c>
      <c r="BE534">
        <f t="shared" si="320"/>
        <v>3091.5</v>
      </c>
      <c r="BF534">
        <f t="shared" si="321"/>
        <v>1854.8999999999999</v>
      </c>
      <c r="BG534" s="19">
        <v>37.1</v>
      </c>
      <c r="BH534">
        <f t="shared" si="342"/>
        <v>25.97</v>
      </c>
      <c r="BI534">
        <f t="shared" si="322"/>
        <v>500.85</v>
      </c>
      <c r="BJ534">
        <f t="shared" si="343"/>
        <v>350.59499999999997</v>
      </c>
      <c r="BK534" s="19">
        <v>0</v>
      </c>
      <c r="BL534" s="19">
        <v>0</v>
      </c>
      <c r="BM534" s="17">
        <f t="shared" ref="BM534:BM536" si="353">AW534+BE534+BK534</f>
        <v>3091.5</v>
      </c>
      <c r="BN534" s="17">
        <f>BN535+BM534</f>
        <v>9072</v>
      </c>
      <c r="BO534" s="17">
        <f>BM534*0.6</f>
        <v>1854.8999999999999</v>
      </c>
      <c r="BP534" s="17">
        <f t="shared" si="345"/>
        <v>5443.2</v>
      </c>
      <c r="BQ534" s="17">
        <f t="shared" si="346"/>
        <v>500.85</v>
      </c>
      <c r="BR534" s="17">
        <f t="shared" si="323"/>
        <v>756</v>
      </c>
      <c r="BS534" s="17">
        <f t="shared" si="347"/>
        <v>350.59499999999997</v>
      </c>
      <c r="BT534" s="17">
        <f t="shared" si="348"/>
        <v>529.19999999999993</v>
      </c>
      <c r="BU534" s="100"/>
    </row>
    <row r="535" x14ac:dyDescent="0.25">
      <c r="B535" t="s">
        <v>452</v>
      </c>
      <c r="C535" s="19">
        <v>0</v>
      </c>
      <c r="D535" s="19">
        <v>0</v>
      </c>
      <c r="E535" s="66">
        <f t="shared" si="349"/>
        <v>0</v>
      </c>
      <c r="F535" s="67">
        <f>IF(E23&gt;0,E23-(C15+C14+2*1.5+IF(C13="single",1.5,3))/12-_xlfn.XLOOKUP(E23,E20:E22,E20:E22,,-1),0)</f>
        <v>0</v>
      </c>
      <c r="H535" s="19">
        <v>0</v>
      </c>
      <c r="I535" s="64" t="s">
        <v>196</v>
      </c>
      <c r="J535" s="19">
        <v>0</v>
      </c>
      <c r="K535" s="19">
        <v>0</v>
      </c>
      <c r="L535" s="19">
        <v>0</v>
      </c>
      <c r="M535" s="19">
        <v>0</v>
      </c>
      <c r="P535" s="93"/>
      <c r="Q535" t="s">
        <v>452</v>
      </c>
      <c r="R535" s="19">
        <f>$H$23</f>
        <v>0</v>
      </c>
      <c r="S535">
        <f t="shared" si="324"/>
        <v>0</v>
      </c>
      <c r="T535">
        <f t="shared" si="325"/>
        <v>0</v>
      </c>
      <c r="U535">
        <f t="shared" si="350"/>
        <v>0</v>
      </c>
      <c r="V535" s="19">
        <v>0</v>
      </c>
      <c r="W535">
        <f t="shared" si="326"/>
        <v>0</v>
      </c>
      <c r="X535">
        <f t="shared" si="327"/>
        <v>0</v>
      </c>
      <c r="Y535">
        <f t="shared" si="328"/>
        <v>0</v>
      </c>
      <c r="Z535" s="19">
        <f>$H$23</f>
        <v>0</v>
      </c>
      <c r="AA535">
        <f t="shared" si="329"/>
        <v>0</v>
      </c>
      <c r="AB535">
        <f t="shared" si="330"/>
        <v>0</v>
      </c>
      <c r="AC535">
        <f t="shared" si="316"/>
        <v>0</v>
      </c>
      <c r="AD535" s="19">
        <v>0</v>
      </c>
      <c r="AE535">
        <f t="shared" si="331"/>
        <v>0</v>
      </c>
      <c r="AF535">
        <f t="shared" si="332"/>
        <v>0</v>
      </c>
      <c r="AG535">
        <f t="shared" si="333"/>
        <v>0</v>
      </c>
      <c r="AH535" s="19">
        <v>0</v>
      </c>
      <c r="AI535" s="19">
        <v>0</v>
      </c>
      <c r="AJ535" s="17">
        <f t="shared" si="351"/>
        <v>0</v>
      </c>
      <c r="AK535" s="17">
        <f>AK536+AJ535</f>
        <v>6423.5</v>
      </c>
      <c r="AL535" s="17">
        <f>AJ535*0.6</f>
        <v>0</v>
      </c>
      <c r="AM535" s="17">
        <f t="shared" si="335"/>
        <v>3854.1</v>
      </c>
      <c r="AN535" s="17">
        <f t="shared" si="336"/>
        <v>0</v>
      </c>
      <c r="AO535" s="17">
        <f t="shared" si="317"/>
        <v>274.04999999999995</v>
      </c>
      <c r="AP535" s="17">
        <f t="shared" si="337"/>
        <v>0</v>
      </c>
      <c r="AQ535" s="17">
        <f t="shared" si="317"/>
        <v>191.83499999999995</v>
      </c>
      <c r="AR535" s="100"/>
      <c r="AS535" s="93"/>
      <c r="AT535" t="s">
        <v>452</v>
      </c>
      <c r="AU535" s="19">
        <f>$H$23</f>
        <v>0</v>
      </c>
      <c r="AV535">
        <f t="shared" si="338"/>
        <v>0</v>
      </c>
      <c r="AW535">
        <f t="shared" si="318"/>
        <v>0</v>
      </c>
      <c r="AX535">
        <f t="shared" si="352"/>
        <v>0</v>
      </c>
      <c r="AY535" s="19">
        <v>0</v>
      </c>
      <c r="AZ535">
        <f t="shared" si="339"/>
        <v>0</v>
      </c>
      <c r="BA535">
        <f t="shared" si="319"/>
        <v>0</v>
      </c>
      <c r="BB535">
        <f t="shared" si="340"/>
        <v>0</v>
      </c>
      <c r="BC535" s="19">
        <f>$H$23</f>
        <v>0</v>
      </c>
      <c r="BD535">
        <f t="shared" si="341"/>
        <v>0</v>
      </c>
      <c r="BE535">
        <f t="shared" si="320"/>
        <v>0</v>
      </c>
      <c r="BF535">
        <f t="shared" si="321"/>
        <v>0</v>
      </c>
      <c r="BG535" s="19">
        <v>0</v>
      </c>
      <c r="BH535">
        <f t="shared" si="342"/>
        <v>0</v>
      </c>
      <c r="BI535">
        <f t="shared" si="322"/>
        <v>0</v>
      </c>
      <c r="BJ535">
        <f t="shared" si="343"/>
        <v>0</v>
      </c>
      <c r="BK535" s="19">
        <v>0</v>
      </c>
      <c r="BL535" s="19">
        <v>0</v>
      </c>
      <c r="BM535" s="17">
        <f t="shared" si="353"/>
        <v>0</v>
      </c>
      <c r="BN535" s="17">
        <f>BN536+BM535</f>
        <v>5980.5</v>
      </c>
      <c r="BO535" s="17">
        <f>BM535*0.6</f>
        <v>0</v>
      </c>
      <c r="BP535" s="17">
        <f t="shared" si="345"/>
        <v>3588.2999999999997</v>
      </c>
      <c r="BQ535" s="17">
        <f t="shared" si="346"/>
        <v>0</v>
      </c>
      <c r="BR535" s="17">
        <f t="shared" si="323"/>
        <v>255.14999999999998</v>
      </c>
      <c r="BS535" s="17">
        <f t="shared" si="347"/>
        <v>0</v>
      </c>
      <c r="BT535" s="17">
        <f t="shared" si="348"/>
        <v>178.60499999999996</v>
      </c>
      <c r="BU535" s="100"/>
    </row>
    <row r="536" x14ac:dyDescent="0.25">
      <c r="B536" t="s">
        <v>453</v>
      </c>
      <c r="C536" s="19">
        <v>0</v>
      </c>
      <c r="D536" s="19">
        <v>0</v>
      </c>
      <c r="E536" s="66">
        <f t="shared" si="349"/>
        <v>0</v>
      </c>
      <c r="F536" s="67">
        <f>IF(E24&gt;0,E24-(C15+C14+2*1.5+IF(C13="single",1.5,3))/12-_xlfn.XLOOKUP(E24,E20:E23,E20:E23,,-1),0)</f>
        <v>0</v>
      </c>
      <c r="H536" s="19">
        <v>0</v>
      </c>
      <c r="I536" s="64" t="s">
        <v>196</v>
      </c>
      <c r="J536" s="19">
        <v>0</v>
      </c>
      <c r="K536" s="19">
        <v>0</v>
      </c>
      <c r="L536" s="19">
        <v>0</v>
      </c>
      <c r="M536" s="19">
        <v>0</v>
      </c>
      <c r="P536" s="93"/>
      <c r="Q536" t="s">
        <v>453</v>
      </c>
      <c r="R536" s="19">
        <f>$H$24</f>
        <v>0</v>
      </c>
      <c r="S536">
        <f t="shared" si="324"/>
        <v>0</v>
      </c>
      <c r="T536">
        <f t="shared" si="325"/>
        <v>0</v>
      </c>
      <c r="U536">
        <f t="shared" si="350"/>
        <v>0</v>
      </c>
      <c r="V536" s="19">
        <v>0</v>
      </c>
      <c r="W536">
        <f t="shared" si="326"/>
        <v>0</v>
      </c>
      <c r="X536">
        <f t="shared" si="327"/>
        <v>0</v>
      </c>
      <c r="Y536">
        <f t="shared" si="328"/>
        <v>0</v>
      </c>
      <c r="Z536" s="19">
        <f>$H$24</f>
        <v>0</v>
      </c>
      <c r="AA536">
        <f t="shared" si="329"/>
        <v>0</v>
      </c>
      <c r="AB536">
        <f t="shared" si="330"/>
        <v>0</v>
      </c>
      <c r="AC536">
        <f t="shared" si="316"/>
        <v>0</v>
      </c>
      <c r="AD536" s="19">
        <v>0</v>
      </c>
      <c r="AE536">
        <f t="shared" si="331"/>
        <v>0</v>
      </c>
      <c r="AF536">
        <f t="shared" si="332"/>
        <v>0</v>
      </c>
      <c r="AG536">
        <f t="shared" si="333"/>
        <v>0</v>
      </c>
      <c r="AH536" s="19">
        <v>0</v>
      </c>
      <c r="AI536" s="19">
        <v>0</v>
      </c>
      <c r="AJ536" s="17">
        <f t="shared" si="351"/>
        <v>0</v>
      </c>
      <c r="AK536" s="17">
        <f>AK537+IF(AJ536=0,0,AJ536)</f>
        <v>6423.5</v>
      </c>
      <c r="AL536" s="17">
        <f t="shared" si="334"/>
        <v>0</v>
      </c>
      <c r="AM536" s="17">
        <f>AM537+AL536</f>
        <v>3854.1</v>
      </c>
      <c r="AN536" s="17">
        <f t="shared" si="336"/>
        <v>0</v>
      </c>
      <c r="AO536" s="17">
        <f>AN536+AO537</f>
        <v>274.04999999999995</v>
      </c>
      <c r="AP536" s="17">
        <f t="shared" si="337"/>
        <v>0</v>
      </c>
      <c r="AQ536" s="17">
        <f>AP536+AQ537</f>
        <v>191.83499999999995</v>
      </c>
      <c r="AR536" s="100"/>
      <c r="AS536" s="93"/>
      <c r="AT536" t="s">
        <v>453</v>
      </c>
      <c r="AU536" s="19">
        <f>$H$24</f>
        <v>0</v>
      </c>
      <c r="AV536">
        <f t="shared" si="338"/>
        <v>0</v>
      </c>
      <c r="AW536">
        <f t="shared" si="318"/>
        <v>0</v>
      </c>
      <c r="AX536">
        <f t="shared" si="352"/>
        <v>0</v>
      </c>
      <c r="AY536" s="19">
        <v>0</v>
      </c>
      <c r="AZ536">
        <f t="shared" si="339"/>
        <v>0</v>
      </c>
      <c r="BA536">
        <f t="shared" si="319"/>
        <v>0</v>
      </c>
      <c r="BB536">
        <f t="shared" si="340"/>
        <v>0</v>
      </c>
      <c r="BC536" s="19">
        <f>$H$24</f>
        <v>0</v>
      </c>
      <c r="BD536">
        <f t="shared" si="341"/>
        <v>0</v>
      </c>
      <c r="BE536">
        <f t="shared" si="320"/>
        <v>0</v>
      </c>
      <c r="BF536">
        <f t="shared" si="321"/>
        <v>0</v>
      </c>
      <c r="BG536" s="19">
        <v>0</v>
      </c>
      <c r="BH536">
        <f t="shared" si="342"/>
        <v>0</v>
      </c>
      <c r="BI536">
        <f t="shared" si="322"/>
        <v>0</v>
      </c>
      <c r="BJ536">
        <f t="shared" si="343"/>
        <v>0</v>
      </c>
      <c r="BK536" s="19">
        <v>0</v>
      </c>
      <c r="BL536" s="19">
        <v>0</v>
      </c>
      <c r="BM536" s="17">
        <f t="shared" si="353"/>
        <v>0</v>
      </c>
      <c r="BN536" s="17">
        <f>BN537+IF(BM536=0,0,BM536)</f>
        <v>5980.5</v>
      </c>
      <c r="BO536" s="17">
        <f t="shared" ref="BO536:BO537" si="354">BM536*0.6</f>
        <v>0</v>
      </c>
      <c r="BP536" s="17">
        <f>BP537+BO536</f>
        <v>3588.2999999999997</v>
      </c>
      <c r="BQ536" s="17">
        <f t="shared" si="346"/>
        <v>0</v>
      </c>
      <c r="BR536" s="17">
        <f>BQ536+BR537</f>
        <v>255.14999999999998</v>
      </c>
      <c r="BS536" s="17">
        <f t="shared" si="347"/>
        <v>0</v>
      </c>
      <c r="BT536" s="17">
        <f>BS536+BT537</f>
        <v>178.60499999999996</v>
      </c>
      <c r="BU536" s="100"/>
    </row>
    <row r="537" x14ac:dyDescent="0.25">
      <c r="B537" t="s">
        <v>275</v>
      </c>
      <c r="C537" s="19">
        <f>(33+32)/2</f>
        <v>32.5</v>
      </c>
      <c r="D537" s="19">
        <f>(10.5+5.625)/2</f>
        <v>8.0625</v>
      </c>
      <c r="E537" s="68">
        <f t="shared" si="349"/>
        <v>33.171875</v>
      </c>
      <c r="F537" s="69">
        <f>E25-(C17+C16+2*1.5+IF(C13="single",1.5,3))/12-_xlfn.XLOOKUP(E25,E20:E24,E20:E24,,-1)</f>
        <v>8.6770833333333321</v>
      </c>
      <c r="H537" s="19">
        <v>443</v>
      </c>
      <c r="I537" s="64" t="s">
        <v>196</v>
      </c>
      <c r="J537" s="19">
        <v>18.899999999999999</v>
      </c>
      <c r="K537" s="19">
        <v>36.6</v>
      </c>
      <c r="L537" s="19">
        <v>10.8</v>
      </c>
      <c r="M537" s="19">
        <v>66.7</v>
      </c>
      <c r="P537" s="93"/>
      <c r="Q537" t="s">
        <v>275</v>
      </c>
      <c r="R537" s="19">
        <f>$H$25</f>
        <v>443</v>
      </c>
      <c r="S537">
        <f t="shared" si="324"/>
        <v>265.8</v>
      </c>
      <c r="T537">
        <f t="shared" si="325"/>
        <v>0</v>
      </c>
      <c r="U537">
        <f t="shared" si="350"/>
        <v>0</v>
      </c>
      <c r="V537" s="19">
        <v>18.899999999999999</v>
      </c>
      <c r="W537">
        <f t="shared" si="326"/>
        <v>13.229999999999999</v>
      </c>
      <c r="X537">
        <f t="shared" si="327"/>
        <v>0</v>
      </c>
      <c r="Y537">
        <f t="shared" si="328"/>
        <v>0</v>
      </c>
      <c r="Z537" s="19">
        <f>$H$25</f>
        <v>443</v>
      </c>
      <c r="AA537">
        <f t="shared" si="329"/>
        <v>265.8</v>
      </c>
      <c r="AB537">
        <f t="shared" si="330"/>
        <v>6423.5</v>
      </c>
      <c r="AC537">
        <f t="shared" si="316"/>
        <v>3854.1</v>
      </c>
      <c r="AD537" s="19">
        <v>18.899999999999999</v>
      </c>
      <c r="AE537">
        <f t="shared" si="331"/>
        <v>13.229999999999999</v>
      </c>
      <c r="AF537">
        <f t="shared" si="332"/>
        <v>274.04999999999995</v>
      </c>
      <c r="AG537">
        <f t="shared" si="333"/>
        <v>191.83499999999995</v>
      </c>
      <c r="AH537" s="19">
        <v>0</v>
      </c>
      <c r="AI537" s="19">
        <v>0</v>
      </c>
      <c r="AJ537" s="17">
        <f>T537+AB537+AH537</f>
        <v>6423.5</v>
      </c>
      <c r="AK537" s="17">
        <f>AJ537</f>
        <v>6423.5</v>
      </c>
      <c r="AL537" s="17">
        <f t="shared" si="334"/>
        <v>3854.1</v>
      </c>
      <c r="AM537" s="17">
        <f>AL537</f>
        <v>3854.1</v>
      </c>
      <c r="AN537" s="17">
        <f>X537+AF537+AI537</f>
        <v>274.04999999999995</v>
      </c>
      <c r="AO537" s="17">
        <f>AN537</f>
        <v>274.04999999999995</v>
      </c>
      <c r="AP537" s="17">
        <f>AN537*0.7</f>
        <v>191.83499999999995</v>
      </c>
      <c r="AQ537" s="17">
        <f>AP537</f>
        <v>191.83499999999995</v>
      </c>
      <c r="AR537" s="100"/>
      <c r="AS537" s="93"/>
      <c r="AT537" t="s">
        <v>275</v>
      </c>
      <c r="AU537" s="19">
        <f>$H$25</f>
        <v>443</v>
      </c>
      <c r="AV537">
        <f t="shared" si="338"/>
        <v>265.8</v>
      </c>
      <c r="AW537">
        <f t="shared" si="318"/>
        <v>0</v>
      </c>
      <c r="AX537">
        <f t="shared" si="352"/>
        <v>0</v>
      </c>
      <c r="AY537" s="19">
        <v>18.899999999999999</v>
      </c>
      <c r="AZ537">
        <f t="shared" si="339"/>
        <v>13.229999999999999</v>
      </c>
      <c r="BA537">
        <f t="shared" si="319"/>
        <v>0</v>
      </c>
      <c r="BB537">
        <f t="shared" si="340"/>
        <v>0</v>
      </c>
      <c r="BC537" s="19">
        <f>$H$25</f>
        <v>443</v>
      </c>
      <c r="BD537">
        <f t="shared" si="341"/>
        <v>265.8</v>
      </c>
      <c r="BE537">
        <f t="shared" si="320"/>
        <v>5980.5</v>
      </c>
      <c r="BF537">
        <f t="shared" si="321"/>
        <v>3588.2999999999997</v>
      </c>
      <c r="BG537" s="19">
        <v>18.899999999999999</v>
      </c>
      <c r="BH537">
        <f t="shared" si="342"/>
        <v>13.229999999999999</v>
      </c>
      <c r="BI537">
        <f t="shared" si="322"/>
        <v>255.14999999999998</v>
      </c>
      <c r="BJ537">
        <f t="shared" si="343"/>
        <v>178.60499999999996</v>
      </c>
      <c r="BK537" s="19">
        <v>0</v>
      </c>
      <c r="BL537" s="19">
        <v>0</v>
      </c>
      <c r="BM537" s="17">
        <f>AW537+BE537+BK537</f>
        <v>5980.5</v>
      </c>
      <c r="BN537" s="17">
        <f>BM537</f>
        <v>5980.5</v>
      </c>
      <c r="BO537" s="17">
        <f t="shared" si="354"/>
        <v>3588.2999999999997</v>
      </c>
      <c r="BP537" s="17">
        <f>BO537</f>
        <v>3588.2999999999997</v>
      </c>
      <c r="BQ537" s="17">
        <f>BA537+BI537+BL537</f>
        <v>255.14999999999998</v>
      </c>
      <c r="BR537" s="17">
        <f>BQ537</f>
        <v>255.14999999999998</v>
      </c>
      <c r="BS537" s="17">
        <f>BQ537*0.7</f>
        <v>178.60499999999996</v>
      </c>
      <c r="BT537" s="17">
        <f>BS537</f>
        <v>178.60499999999996</v>
      </c>
      <c r="BU537" s="100"/>
    </row>
    <row r="538" x14ac:dyDescent="0.25">
      <c r="B538" t="s">
        <v>530</v>
      </c>
      <c r="E538" s="73"/>
      <c r="F538" s="73"/>
      <c r="H538" s="19">
        <v>-22.9</v>
      </c>
      <c r="I538" s="64" t="s">
        <v>270</v>
      </c>
      <c r="P538" s="93"/>
      <c r="R538" s="19">
        <f>$H$26</f>
        <v>-22.9</v>
      </c>
      <c r="S538">
        <f t="shared" si="324"/>
        <v>-13.739999999999998</v>
      </c>
      <c r="T538">
        <f>$I$46/2*R538</f>
        <v>0</v>
      </c>
      <c r="U538">
        <f t="shared" si="350"/>
        <v>0</v>
      </c>
      <c r="Z538" s="19">
        <f>$H$26</f>
        <v>-22.9</v>
      </c>
      <c r="AA538">
        <f>Z538*0.6</f>
        <v>-13.739999999999998</v>
      </c>
      <c r="AB538">
        <f>$J$46/2*Z538</f>
        <v>-309.14999999999998</v>
      </c>
      <c r="AC538">
        <f t="shared" si="316"/>
        <v>-185.48999999999998</v>
      </c>
      <c r="AR538" s="100"/>
      <c r="AS538" s="93"/>
      <c r="AU538" s="19">
        <f>$H$26</f>
        <v>-22.9</v>
      </c>
      <c r="AV538">
        <f t="shared" si="338"/>
        <v>-13.739999999999998</v>
      </c>
      <c r="AW538">
        <f t="shared" si="318"/>
        <v>0</v>
      </c>
      <c r="AX538">
        <f t="shared" si="352"/>
        <v>0</v>
      </c>
      <c r="BC538" s="19">
        <f>$H$26</f>
        <v>-22.9</v>
      </c>
      <c r="BD538">
        <f>BC538*0.6</f>
        <v>-13.739999999999998</v>
      </c>
      <c r="BE538">
        <f t="shared" si="320"/>
        <v>-309.14999999999998</v>
      </c>
      <c r="BF538">
        <f t="shared" si="321"/>
        <v>-185.48999999999998</v>
      </c>
      <c r="BU538" s="100"/>
    </row>
    <row r="539" x14ac:dyDescent="0.25">
      <c r="B539" t="s">
        <v>531</v>
      </c>
      <c r="C539" s="1" t="s">
        <v>533</v>
      </c>
      <c r="D539" s="19">
        <v>0.18</v>
      </c>
      <c r="E539" s="73"/>
      <c r="F539" s="73"/>
      <c r="H539">
        <f>0.2*D27</f>
        <v>3.5999999999999997E-2</v>
      </c>
      <c r="I539" s="64" t="s">
        <v>534</v>
      </c>
      <c r="P539" s="93"/>
      <c r="Q539" s="1"/>
      <c r="AR539" s="100"/>
      <c r="AS539" s="93"/>
      <c r="AT539" s="1"/>
      <c r="BU539" s="100"/>
    </row>
    <row r="540" x14ac:dyDescent="0.25">
      <c r="P540" s="93"/>
      <c r="Y540" s="112" t="s">
        <v>752</v>
      </c>
      <c r="Z540" s="112"/>
      <c r="AA540" s="112"/>
      <c r="AB540" s="112"/>
      <c r="AC540" s="112"/>
      <c r="AR540" s="100"/>
      <c r="AS540" s="93"/>
      <c r="BB540" s="112" t="s">
        <v>752</v>
      </c>
      <c r="BC540" s="112"/>
      <c r="BD540" s="112"/>
      <c r="BE540" s="112"/>
      <c r="BF540" s="112"/>
      <c r="BU540" s="100"/>
    </row>
    <row r="541" x14ac:dyDescent="0.25">
      <c r="B541" t="s">
        <v>513</v>
      </c>
      <c r="P541" s="93"/>
      <c r="Q541" t="s">
        <v>479</v>
      </c>
      <c r="R541" t="s">
        <v>491</v>
      </c>
      <c r="S541" t="s">
        <v>508</v>
      </c>
      <c r="T541" t="s">
        <v>507</v>
      </c>
      <c r="U541" t="s">
        <v>535</v>
      </c>
      <c r="V541" t="s">
        <v>536</v>
      </c>
      <c r="W541" t="s">
        <v>479</v>
      </c>
      <c r="X541" t="s">
        <v>537</v>
      </c>
      <c r="Y541" t="s">
        <v>450</v>
      </c>
      <c r="Z541" t="s">
        <v>451</v>
      </c>
      <c r="AA541" t="s">
        <v>452</v>
      </c>
      <c r="AB541" t="s">
        <v>453</v>
      </c>
      <c r="AC541" t="s">
        <v>753</v>
      </c>
      <c r="AD541" t="s">
        <v>519</v>
      </c>
      <c r="AR541" s="100"/>
      <c r="AS541" s="93"/>
      <c r="AT541" t="s">
        <v>479</v>
      </c>
      <c r="AU541" t="s">
        <v>491</v>
      </c>
      <c r="AV541" t="s">
        <v>508</v>
      </c>
      <c r="AW541" t="s">
        <v>507</v>
      </c>
      <c r="AX541" t="s">
        <v>535</v>
      </c>
      <c r="AY541" t="s">
        <v>536</v>
      </c>
      <c r="AZ541" t="s">
        <v>479</v>
      </c>
      <c r="BA541" t="s">
        <v>537</v>
      </c>
      <c r="BB541" t="s">
        <v>450</v>
      </c>
      <c r="BC541" t="s">
        <v>451</v>
      </c>
      <c r="BD541" t="s">
        <v>452</v>
      </c>
      <c r="BE541" t="s">
        <v>453</v>
      </c>
      <c r="BF541" t="s">
        <v>753</v>
      </c>
      <c r="BG541" t="s">
        <v>519</v>
      </c>
      <c r="BU541" s="100"/>
    </row>
    <row r="542" x14ac:dyDescent="0.25">
      <c r="B542" s="1" t="s">
        <v>275</v>
      </c>
      <c r="C542" s="19">
        <v>20</v>
      </c>
      <c r="D542" t="s">
        <v>567</v>
      </c>
      <c r="P542" s="93"/>
      <c r="Q542" s="109" t="str">
        <f>R528&amp;".01"</f>
        <v>A.01</v>
      </c>
      <c r="R542" s="19">
        <v>29</v>
      </c>
      <c r="S542" s="19">
        <v>12</v>
      </c>
      <c r="T542">
        <f>S542/2</f>
        <v>6</v>
      </c>
      <c r="U542" s="19">
        <v>4</v>
      </c>
      <c r="V542">
        <f>U542/2</f>
        <v>2</v>
      </c>
      <c r="W542" s="19" t="s">
        <v>515</v>
      </c>
      <c r="X542" s="19">
        <v>6</v>
      </c>
      <c r="Y542" s="19"/>
      <c r="Z542" s="19"/>
      <c r="AA542" s="19"/>
      <c r="AB542" s="19"/>
      <c r="AC542" s="19"/>
      <c r="AD542" s="108">
        <f>R542/R558</f>
        <v>1</v>
      </c>
      <c r="AR542" s="100"/>
      <c r="AS542" s="93"/>
      <c r="AT542" s="109" t="str">
        <f>AU$528&amp;".01"</f>
        <v>1.01</v>
      </c>
      <c r="AU542" s="19">
        <v>29</v>
      </c>
      <c r="AV542" s="19">
        <v>12</v>
      </c>
      <c r="AW542">
        <f>AV542/2</f>
        <v>6</v>
      </c>
      <c r="AX542" s="19">
        <v>4</v>
      </c>
      <c r="AY542">
        <f>AX542/2</f>
        <v>2</v>
      </c>
      <c r="AZ542" s="19" t="s">
        <v>515</v>
      </c>
      <c r="BA542" s="19">
        <v>6</v>
      </c>
      <c r="BB542" s="19"/>
      <c r="BC542" s="19"/>
      <c r="BD542" s="19"/>
      <c r="BE542" s="19"/>
      <c r="BF542" s="19"/>
      <c r="BG542" s="108">
        <f>AU542/AU558</f>
        <v>1</v>
      </c>
      <c r="BU542" s="100"/>
    </row>
    <row r="543" x14ac:dyDescent="0.25">
      <c r="B543" s="1"/>
      <c r="C543">
        <f>0.9*C30</f>
        <v>18</v>
      </c>
      <c r="D543" t="s">
        <v>532</v>
      </c>
      <c r="P543" s="93"/>
      <c r="Q543" s="109" t="str">
        <f>R528&amp;".02"</f>
        <v>A.02</v>
      </c>
      <c r="R543" s="19"/>
      <c r="S543" s="19"/>
      <c r="T543">
        <f t="shared" ref="T543:T557" si="355">S543/2</f>
        <v>0</v>
      </c>
      <c r="U543" s="19"/>
      <c r="V543">
        <f t="shared" ref="V543:V557" si="356">U543/2</f>
        <v>0</v>
      </c>
      <c r="W543" s="19"/>
      <c r="X543" s="19"/>
      <c r="Y543" s="19"/>
      <c r="Z543" s="19"/>
      <c r="AA543" s="19"/>
      <c r="AB543" s="19"/>
      <c r="AC543" s="19"/>
      <c r="AR543" s="100"/>
      <c r="AS543" s="93"/>
      <c r="AT543" s="109" t="str">
        <f>AU$528&amp;".02"</f>
        <v>1.02</v>
      </c>
      <c r="AU543" s="19"/>
      <c r="AV543" s="19"/>
      <c r="AW543">
        <f t="shared" ref="AW543:AW557" si="357">AV543/2</f>
        <v>0</v>
      </c>
      <c r="AX543" s="19"/>
      <c r="AY543">
        <f t="shared" ref="AY543:AY557" si="358">AX543/2</f>
        <v>0</v>
      </c>
      <c r="AZ543" s="19"/>
      <c r="BA543" s="19"/>
      <c r="BB543" s="19"/>
      <c r="BC543" s="19"/>
      <c r="BD543" s="19"/>
      <c r="BE543" s="19"/>
      <c r="BF543" s="19"/>
      <c r="BU543" s="100"/>
    </row>
    <row r="544" x14ac:dyDescent="0.25">
      <c r="B544" s="1" t="s">
        <v>514</v>
      </c>
      <c r="C544" s="19">
        <v>26</v>
      </c>
      <c r="D544" t="s">
        <v>512</v>
      </c>
      <c r="P544" s="93"/>
      <c r="Q544" s="109" t="str">
        <f>R528&amp;".03"</f>
        <v>A.03</v>
      </c>
      <c r="R544" s="19"/>
      <c r="S544" s="19"/>
      <c r="T544">
        <f t="shared" si="355"/>
        <v>0</v>
      </c>
      <c r="U544" s="19"/>
      <c r="V544">
        <f t="shared" si="356"/>
        <v>0</v>
      </c>
      <c r="W544" s="19"/>
      <c r="X544" s="19"/>
      <c r="Y544" s="19"/>
      <c r="Z544" s="19"/>
      <c r="AA544" s="19"/>
      <c r="AB544" s="19"/>
      <c r="AC544" s="19"/>
      <c r="AR544" s="100"/>
      <c r="AS544" s="93"/>
      <c r="AT544" s="109" t="str">
        <f>AU$528&amp;".03"</f>
        <v>1.03</v>
      </c>
      <c r="AU544" s="19"/>
      <c r="AV544" s="19"/>
      <c r="AW544">
        <f t="shared" si="357"/>
        <v>0</v>
      </c>
      <c r="AX544" s="19"/>
      <c r="AY544">
        <f t="shared" si="358"/>
        <v>0</v>
      </c>
      <c r="AZ544" s="19"/>
      <c r="BA544" s="19"/>
      <c r="BB544" s="19"/>
      <c r="BC544" s="19"/>
      <c r="BD544" s="19"/>
      <c r="BE544" s="19"/>
      <c r="BF544" s="19"/>
      <c r="BU544" s="100"/>
    </row>
    <row r="545" x14ac:dyDescent="0.25">
      <c r="B545" s="1" t="s">
        <v>477</v>
      </c>
      <c r="C545" s="19">
        <v>11</v>
      </c>
      <c r="D545" t="s">
        <v>509</v>
      </c>
      <c r="P545" s="93"/>
      <c r="Q545" s="109" t="str">
        <f>R528&amp;".04"</f>
        <v>A.04</v>
      </c>
      <c r="R545" s="19"/>
      <c r="S545" s="19"/>
      <c r="T545">
        <f t="shared" si="355"/>
        <v>0</v>
      </c>
      <c r="U545" s="19"/>
      <c r="V545">
        <f t="shared" si="356"/>
        <v>0</v>
      </c>
      <c r="W545" s="19"/>
      <c r="X545" s="19"/>
      <c r="Y545" s="19"/>
      <c r="Z545" s="19"/>
      <c r="AA545" s="19"/>
      <c r="AB545" s="19"/>
      <c r="AC545" s="19"/>
      <c r="AR545" s="100"/>
      <c r="AS545" s="93"/>
      <c r="AT545" s="109" t="str">
        <f>AU$528&amp;".04"</f>
        <v>1.04</v>
      </c>
      <c r="AU545" s="19"/>
      <c r="AV545" s="19"/>
      <c r="AW545">
        <f t="shared" si="357"/>
        <v>0</v>
      </c>
      <c r="AX545" s="19"/>
      <c r="AY545">
        <f t="shared" si="358"/>
        <v>0</v>
      </c>
      <c r="AZ545" s="19"/>
      <c r="BA545" s="19"/>
      <c r="BB545" s="19"/>
      <c r="BC545" s="19"/>
      <c r="BD545" s="19"/>
      <c r="BE545" s="19"/>
      <c r="BF545" s="19"/>
      <c r="BU545" s="100"/>
    </row>
    <row r="546" x14ac:dyDescent="0.25">
      <c r="B546" s="1" t="s">
        <v>478</v>
      </c>
      <c r="C546" s="19">
        <v>13</v>
      </c>
      <c r="D546" t="s">
        <v>510</v>
      </c>
      <c r="P546" s="93"/>
      <c r="Q546" s="109" t="str">
        <f>R528&amp;".05"</f>
        <v>A.05</v>
      </c>
      <c r="R546" s="19"/>
      <c r="S546" s="19"/>
      <c r="T546">
        <f t="shared" si="355"/>
        <v>0</v>
      </c>
      <c r="U546" s="19"/>
      <c r="V546">
        <f t="shared" si="356"/>
        <v>0</v>
      </c>
      <c r="W546" s="19"/>
      <c r="X546" s="19"/>
      <c r="Y546" s="19"/>
      <c r="Z546" s="19"/>
      <c r="AA546" s="19"/>
      <c r="AB546" s="19"/>
      <c r="AC546" s="19"/>
      <c r="AR546" s="100"/>
      <c r="AS546" s="93"/>
      <c r="AT546" s="109" t="str">
        <f>AU$528&amp;".05"</f>
        <v>1.05</v>
      </c>
      <c r="AU546" s="19"/>
      <c r="AV546" s="19"/>
      <c r="AW546">
        <f t="shared" si="357"/>
        <v>0</v>
      </c>
      <c r="AX546" s="19"/>
      <c r="AY546">
        <f t="shared" si="358"/>
        <v>0</v>
      </c>
      <c r="AZ546" s="19"/>
      <c r="BA546" s="19"/>
      <c r="BB546" s="19"/>
      <c r="BC546" s="19"/>
      <c r="BD546" s="19"/>
      <c r="BE546" s="19"/>
      <c r="BF546" s="19"/>
      <c r="BU546" s="100"/>
    </row>
    <row r="547" x14ac:dyDescent="0.25">
      <c r="B547" s="1" t="s">
        <v>515</v>
      </c>
      <c r="C547" s="19">
        <v>18</v>
      </c>
      <c r="D547" t="s">
        <v>511</v>
      </c>
      <c r="P547" s="93"/>
      <c r="Q547" s="109" t="str">
        <f>R528&amp;".06"</f>
        <v>A.06</v>
      </c>
      <c r="R547" s="19"/>
      <c r="S547" s="19"/>
      <c r="T547">
        <f t="shared" si="355"/>
        <v>0</v>
      </c>
      <c r="U547" s="19"/>
      <c r="V547">
        <f t="shared" si="356"/>
        <v>0</v>
      </c>
      <c r="W547" s="19"/>
      <c r="X547" s="19"/>
      <c r="Y547" s="19"/>
      <c r="Z547" s="19"/>
      <c r="AA547" s="19"/>
      <c r="AB547" s="19"/>
      <c r="AC547" s="19"/>
      <c r="AR547" s="100"/>
      <c r="AS547" s="93"/>
      <c r="AT547" s="109" t="str">
        <f>AU$528&amp;".06"</f>
        <v>1.06</v>
      </c>
      <c r="AU547" s="19"/>
      <c r="AV547" s="19"/>
      <c r="AW547">
        <f t="shared" si="357"/>
        <v>0</v>
      </c>
      <c r="AX547" s="19"/>
      <c r="AY547">
        <f t="shared" si="358"/>
        <v>0</v>
      </c>
      <c r="AZ547" s="19"/>
      <c r="BA547" s="19"/>
      <c r="BB547" s="19"/>
      <c r="BC547" s="19"/>
      <c r="BD547" s="19"/>
      <c r="BE547" s="19"/>
      <c r="BF547" s="19"/>
      <c r="BU547" s="100"/>
    </row>
    <row r="548" x14ac:dyDescent="0.25">
      <c r="B548" s="1" t="s">
        <v>516</v>
      </c>
      <c r="P548" s="93"/>
      <c r="Q548" s="109" t="str">
        <f>R528&amp;".07"</f>
        <v>A.07</v>
      </c>
      <c r="R548" s="19"/>
      <c r="S548" s="19"/>
      <c r="T548">
        <f t="shared" si="355"/>
        <v>0</v>
      </c>
      <c r="U548" s="19"/>
      <c r="V548">
        <f t="shared" si="356"/>
        <v>0</v>
      </c>
      <c r="W548" s="19"/>
      <c r="X548" s="19"/>
      <c r="Y548" s="19"/>
      <c r="Z548" s="19"/>
      <c r="AA548" s="19"/>
      <c r="AB548" s="19"/>
      <c r="AC548" s="19"/>
      <c r="AF548" s="109"/>
      <c r="AR548" s="100"/>
      <c r="AS548" s="93"/>
      <c r="AT548" s="109" t="str">
        <f>AU$528&amp;".07"</f>
        <v>1.07</v>
      </c>
      <c r="AU548" s="19"/>
      <c r="AV548" s="19"/>
      <c r="AW548">
        <f t="shared" si="357"/>
        <v>0</v>
      </c>
      <c r="AX548" s="19"/>
      <c r="AY548">
        <f t="shared" si="358"/>
        <v>0</v>
      </c>
      <c r="AZ548" s="19"/>
      <c r="BA548" s="19"/>
      <c r="BB548" s="19"/>
      <c r="BC548" s="19"/>
      <c r="BD548" s="19"/>
      <c r="BE548" s="19"/>
      <c r="BF548" s="19"/>
      <c r="BI548" s="109"/>
      <c r="BU548" s="100"/>
    </row>
    <row r="549" x14ac:dyDescent="0.25">
      <c r="B549" s="1" t="s">
        <v>517</v>
      </c>
      <c r="P549" s="93"/>
      <c r="Q549" s="109" t="str">
        <f>R528&amp;".08"</f>
        <v>A.08</v>
      </c>
      <c r="R549" s="19"/>
      <c r="S549" s="19"/>
      <c r="T549">
        <f t="shared" si="355"/>
        <v>0</v>
      </c>
      <c r="U549" s="19"/>
      <c r="V549">
        <f t="shared" si="356"/>
        <v>0</v>
      </c>
      <c r="W549" s="19"/>
      <c r="X549" s="19"/>
      <c r="Y549" s="19"/>
      <c r="Z549" s="19"/>
      <c r="AA549" s="19"/>
      <c r="AB549" s="19"/>
      <c r="AC549" s="19"/>
      <c r="AF549" s="109"/>
      <c r="AR549" s="100"/>
      <c r="AS549" s="93"/>
      <c r="AT549" s="109" t="str">
        <f>AU$528&amp;".08"</f>
        <v>1.08</v>
      </c>
      <c r="AU549" s="19"/>
      <c r="AV549" s="19"/>
      <c r="AW549">
        <f t="shared" si="357"/>
        <v>0</v>
      </c>
      <c r="AX549" s="19"/>
      <c r="AY549">
        <f t="shared" si="358"/>
        <v>0</v>
      </c>
      <c r="AZ549" s="19"/>
      <c r="BA549" s="19"/>
      <c r="BB549" s="19"/>
      <c r="BC549" s="19"/>
      <c r="BD549" s="19"/>
      <c r="BE549" s="19"/>
      <c r="BF549" s="19"/>
      <c r="BI549" s="109"/>
      <c r="BU549" s="100"/>
    </row>
    <row r="550" x14ac:dyDescent="0.25">
      <c r="B550" s="1" t="s">
        <v>518</v>
      </c>
      <c r="P550" s="93"/>
      <c r="Q550" s="109" t="str">
        <f>R528&amp;".09"</f>
        <v>A.09</v>
      </c>
      <c r="R550" s="19"/>
      <c r="S550" s="19"/>
      <c r="T550">
        <f t="shared" si="355"/>
        <v>0</v>
      </c>
      <c r="U550" s="19"/>
      <c r="V550">
        <f t="shared" si="356"/>
        <v>0</v>
      </c>
      <c r="W550" s="19"/>
      <c r="X550" s="19"/>
      <c r="Y550" s="19"/>
      <c r="Z550" s="19"/>
      <c r="AA550" s="19"/>
      <c r="AB550" s="19"/>
      <c r="AC550" s="19"/>
      <c r="AF550" s="109"/>
      <c r="AR550" s="100"/>
      <c r="AS550" s="93"/>
      <c r="AT550" s="109" t="str">
        <f>AU$528&amp;".09"</f>
        <v>1.09</v>
      </c>
      <c r="AU550" s="19"/>
      <c r="AV550" s="19"/>
      <c r="AW550">
        <f t="shared" si="357"/>
        <v>0</v>
      </c>
      <c r="AX550" s="19"/>
      <c r="AY550">
        <f t="shared" si="358"/>
        <v>0</v>
      </c>
      <c r="AZ550" s="19"/>
      <c r="BA550" s="19"/>
      <c r="BB550" s="19"/>
      <c r="BC550" s="19"/>
      <c r="BD550" s="19"/>
      <c r="BE550" s="19"/>
      <c r="BF550" s="19"/>
      <c r="BI550" s="109"/>
      <c r="BU550" s="100"/>
    </row>
    <row r="551" x14ac:dyDescent="0.25">
      <c r="P551" s="93"/>
      <c r="Q551" s="109" t="str">
        <f>R528&amp;".10"</f>
        <v>A.10</v>
      </c>
      <c r="R551" s="19"/>
      <c r="S551" s="19"/>
      <c r="T551">
        <f t="shared" si="355"/>
        <v>0</v>
      </c>
      <c r="U551" s="19"/>
      <c r="V551">
        <f t="shared" si="356"/>
        <v>0</v>
      </c>
      <c r="W551" s="19"/>
      <c r="X551" s="19"/>
      <c r="Y551" s="19"/>
      <c r="Z551" s="19"/>
      <c r="AA551" s="19"/>
      <c r="AB551" s="19"/>
      <c r="AC551" s="19"/>
      <c r="AF551" s="109"/>
      <c r="AR551" s="100"/>
      <c r="AS551" s="93"/>
      <c r="AT551" s="109" t="str">
        <f>AU$528&amp;".10"</f>
        <v>1.10</v>
      </c>
      <c r="AU551" s="19"/>
      <c r="AV551" s="19"/>
      <c r="AW551">
        <f t="shared" si="357"/>
        <v>0</v>
      </c>
      <c r="AX551" s="19"/>
      <c r="AY551">
        <f t="shared" si="358"/>
        <v>0</v>
      </c>
      <c r="AZ551" s="19"/>
      <c r="BA551" s="19"/>
      <c r="BB551" s="19"/>
      <c r="BC551" s="19"/>
      <c r="BD551" s="19"/>
      <c r="BE551" s="19"/>
      <c r="BF551" s="19"/>
      <c r="BI551" s="109"/>
      <c r="BU551" s="100"/>
    </row>
    <row r="552" x14ac:dyDescent="0.25">
      <c r="C552" s="112" t="s">
        <v>495</v>
      </c>
      <c r="D552" s="112"/>
      <c r="E552" s="112"/>
      <c r="I552" s="112" t="s">
        <v>495</v>
      </c>
      <c r="J552" s="112"/>
      <c r="K552" s="112"/>
      <c r="P552" s="93"/>
      <c r="Q552" s="109" t="str">
        <f>R528&amp;".11"</f>
        <v>A.11</v>
      </c>
      <c r="R552" s="19"/>
      <c r="S552" s="19"/>
      <c r="T552">
        <f t="shared" si="355"/>
        <v>0</v>
      </c>
      <c r="U552" s="19"/>
      <c r="V552">
        <f t="shared" si="356"/>
        <v>0</v>
      </c>
      <c r="W552" s="19"/>
      <c r="X552" s="19"/>
      <c r="Y552" s="19"/>
      <c r="Z552" s="19"/>
      <c r="AA552" s="19"/>
      <c r="AB552" s="19"/>
      <c r="AC552" s="19"/>
      <c r="AF552" s="109"/>
      <c r="AR552" s="100"/>
      <c r="AS552" s="93"/>
      <c r="AT552" s="109" t="str">
        <f>AU$528&amp;".11"</f>
        <v>1.11</v>
      </c>
      <c r="AU552" s="19"/>
      <c r="AV552" s="19"/>
      <c r="AW552">
        <f t="shared" si="357"/>
        <v>0</v>
      </c>
      <c r="AX552" s="19"/>
      <c r="AY552">
        <f t="shared" si="358"/>
        <v>0</v>
      </c>
      <c r="AZ552" s="19"/>
      <c r="BA552" s="19"/>
      <c r="BB552" s="19"/>
      <c r="BC552" s="19"/>
      <c r="BD552" s="19"/>
      <c r="BE552" s="19"/>
      <c r="BF552" s="19"/>
      <c r="BI552" s="109"/>
      <c r="BU552" s="100"/>
    </row>
    <row r="553" x14ac:dyDescent="0.25">
      <c r="B553" t="s">
        <v>474</v>
      </c>
      <c r="C553" t="s">
        <v>492</v>
      </c>
      <c r="D553" t="s">
        <v>493</v>
      </c>
      <c r="E553" t="s">
        <v>494</v>
      </c>
      <c r="H553" t="s">
        <v>455</v>
      </c>
      <c r="I553" t="s">
        <v>492</v>
      </c>
      <c r="J553" t="s">
        <v>493</v>
      </c>
      <c r="K553" t="s">
        <v>494</v>
      </c>
      <c r="P553" s="93"/>
      <c r="Q553" s="109" t="str">
        <f>R528&amp;".12"</f>
        <v>A.12</v>
      </c>
      <c r="R553" s="19"/>
      <c r="S553" s="19"/>
      <c r="T553">
        <f t="shared" si="355"/>
        <v>0</v>
      </c>
      <c r="U553" s="19"/>
      <c r="V553">
        <f t="shared" si="356"/>
        <v>0</v>
      </c>
      <c r="W553" s="19"/>
      <c r="X553" s="19"/>
      <c r="Y553" s="19"/>
      <c r="Z553" s="19"/>
      <c r="AA553" s="19"/>
      <c r="AB553" s="19"/>
      <c r="AC553" s="19"/>
      <c r="AF553" s="109"/>
      <c r="AR553" s="100"/>
      <c r="AS553" s="93"/>
      <c r="AT553" s="109" t="str">
        <f>AU$528&amp;".12"</f>
        <v>1.12</v>
      </c>
      <c r="AU553" s="19"/>
      <c r="AV553" s="19"/>
      <c r="AW553">
        <f t="shared" si="357"/>
        <v>0</v>
      </c>
      <c r="AX553" s="19"/>
      <c r="AY553">
        <f t="shared" si="358"/>
        <v>0</v>
      </c>
      <c r="AZ553" s="19"/>
      <c r="BA553" s="19"/>
      <c r="BB553" s="19"/>
      <c r="BC553" s="19"/>
      <c r="BD553" s="19"/>
      <c r="BE553" s="19"/>
      <c r="BF553" s="19"/>
      <c r="BI553" s="109"/>
      <c r="BU553" s="100"/>
    </row>
    <row r="554" x14ac:dyDescent="0.25">
      <c r="B554" t="s">
        <v>274</v>
      </c>
      <c r="C554" s="19">
        <v>0</v>
      </c>
      <c r="D554" s="19">
        <v>29</v>
      </c>
      <c r="E554">
        <f>C46+D46</f>
        <v>29</v>
      </c>
      <c r="H554">
        <v>1</v>
      </c>
      <c r="I554" s="19">
        <v>0</v>
      </c>
      <c r="J554" s="19">
        <v>27</v>
      </c>
      <c r="K554">
        <f>I46+J46</f>
        <v>27</v>
      </c>
      <c r="P554" s="93"/>
      <c r="Q554" s="109" t="str">
        <f>R528&amp;".13"</f>
        <v>A.13</v>
      </c>
      <c r="R554" s="19"/>
      <c r="S554" s="19"/>
      <c r="T554">
        <f t="shared" si="355"/>
        <v>0</v>
      </c>
      <c r="U554" s="19"/>
      <c r="V554">
        <f t="shared" si="356"/>
        <v>0</v>
      </c>
      <c r="W554" s="19"/>
      <c r="X554" s="19"/>
      <c r="Y554" s="19"/>
      <c r="Z554" s="19"/>
      <c r="AA554" s="19"/>
      <c r="AB554" s="19"/>
      <c r="AC554" s="19"/>
      <c r="AF554" s="109"/>
      <c r="AR554" s="100"/>
      <c r="AS554" s="93"/>
      <c r="AT554" s="109" t="str">
        <f>AU$528&amp;".13"</f>
        <v>1.13</v>
      </c>
      <c r="AU554" s="19"/>
      <c r="AV554" s="19"/>
      <c r="AW554">
        <f t="shared" si="357"/>
        <v>0</v>
      </c>
      <c r="AX554" s="19"/>
      <c r="AY554">
        <f t="shared" si="358"/>
        <v>0</v>
      </c>
      <c r="AZ554" s="19"/>
      <c r="BA554" s="19"/>
      <c r="BB554" s="19"/>
      <c r="BC554" s="19"/>
      <c r="BD554" s="19"/>
      <c r="BE554" s="19"/>
      <c r="BF554" s="19"/>
      <c r="BI554" s="109"/>
      <c r="BU554" s="100"/>
    </row>
    <row r="555" x14ac:dyDescent="0.25">
      <c r="B555" t="s">
        <v>279</v>
      </c>
      <c r="C555" s="19">
        <v>29</v>
      </c>
      <c r="D555" s="19">
        <v>6</v>
      </c>
      <c r="E555">
        <f t="shared" ref="E43:E67" si="359">C43+D43</f>
        <v>35</v>
      </c>
      <c r="H555">
        <v>2</v>
      </c>
      <c r="I555" s="19">
        <v>27</v>
      </c>
      <c r="J555" s="19">
        <v>14</v>
      </c>
      <c r="K555">
        <f t="shared" ref="K43:K67" si="360">I43+J43</f>
        <v>41</v>
      </c>
      <c r="P555" s="93"/>
      <c r="Q555" s="109" t="str">
        <f>R528&amp;".14"</f>
        <v>A.14</v>
      </c>
      <c r="R555" s="19"/>
      <c r="S555" s="19"/>
      <c r="T555">
        <f t="shared" si="355"/>
        <v>0</v>
      </c>
      <c r="U555" s="19"/>
      <c r="V555">
        <f t="shared" si="356"/>
        <v>0</v>
      </c>
      <c r="W555" s="19"/>
      <c r="X555" s="19"/>
      <c r="Y555" s="19"/>
      <c r="Z555" s="19"/>
      <c r="AA555" s="19"/>
      <c r="AB555" s="19"/>
      <c r="AC555" s="19"/>
      <c r="AF555" s="109"/>
      <c r="AR555" s="100"/>
      <c r="AS555" s="93"/>
      <c r="AT555" s="109" t="str">
        <f>AU$528&amp;".14"</f>
        <v>1.14</v>
      </c>
      <c r="AU555" s="19"/>
      <c r="AV555" s="19"/>
      <c r="AW555">
        <f t="shared" si="357"/>
        <v>0</v>
      </c>
      <c r="AX555" s="19"/>
      <c r="AY555">
        <f t="shared" si="358"/>
        <v>0</v>
      </c>
      <c r="AZ555" s="19"/>
      <c r="BA555" s="19"/>
      <c r="BB555" s="19"/>
      <c r="BC555" s="19"/>
      <c r="BD555" s="19"/>
      <c r="BE555" s="19"/>
      <c r="BF555" s="19"/>
      <c r="BI555" s="109"/>
      <c r="BU555" s="100"/>
    </row>
    <row r="556" x14ac:dyDescent="0.25">
      <c r="B556" t="s">
        <v>283</v>
      </c>
      <c r="C556" s="19">
        <v>6</v>
      </c>
      <c r="D556" s="19">
        <v>29</v>
      </c>
      <c r="E556">
        <f t="shared" si="359"/>
        <v>35</v>
      </c>
      <c r="H556">
        <v>3</v>
      </c>
      <c r="I556" s="19">
        <v>14</v>
      </c>
      <c r="J556" s="19">
        <v>13</v>
      </c>
      <c r="K556">
        <f t="shared" si="360"/>
        <v>27</v>
      </c>
      <c r="P556" s="93"/>
      <c r="Q556" s="109" t="str">
        <f>R528&amp;".15"</f>
        <v>A.15</v>
      </c>
      <c r="R556" s="19"/>
      <c r="S556" s="19"/>
      <c r="T556">
        <f t="shared" si="355"/>
        <v>0</v>
      </c>
      <c r="U556" s="19"/>
      <c r="V556">
        <f t="shared" si="356"/>
        <v>0</v>
      </c>
      <c r="W556" s="19"/>
      <c r="X556" s="19"/>
      <c r="Y556" s="19"/>
      <c r="Z556" s="19"/>
      <c r="AA556" s="19"/>
      <c r="AB556" s="19"/>
      <c r="AC556" s="19"/>
      <c r="AF556" s="109"/>
      <c r="AR556" s="100"/>
      <c r="AS556" s="93"/>
      <c r="AT556" s="109" t="str">
        <f>AU$528&amp;".15"</f>
        <v>1.15</v>
      </c>
      <c r="AU556" s="19"/>
      <c r="AV556" s="19"/>
      <c r="AW556">
        <f t="shared" si="357"/>
        <v>0</v>
      </c>
      <c r="AX556" s="19"/>
      <c r="AY556">
        <f t="shared" si="358"/>
        <v>0</v>
      </c>
      <c r="AZ556" s="19"/>
      <c r="BA556" s="19"/>
      <c r="BB556" s="19"/>
      <c r="BC556" s="19"/>
      <c r="BD556" s="19"/>
      <c r="BE556" s="19"/>
      <c r="BF556" s="19"/>
      <c r="BI556" s="109"/>
      <c r="BU556" s="100"/>
    </row>
    <row r="557" x14ac:dyDescent="0.25">
      <c r="B557" t="s">
        <v>287</v>
      </c>
      <c r="C557" s="19">
        <v>26</v>
      </c>
      <c r="D557" s="19">
        <v>26</v>
      </c>
      <c r="E557">
        <f t="shared" si="359"/>
        <v>52</v>
      </c>
      <c r="F557" t="s">
        <v>506</v>
      </c>
      <c r="H557">
        <v>4</v>
      </c>
      <c r="I557" s="19">
        <v>13</v>
      </c>
      <c r="J557" s="19">
        <v>27</v>
      </c>
      <c r="K557">
        <f t="shared" si="360"/>
        <v>40</v>
      </c>
      <c r="P557" s="93"/>
      <c r="Q557" s="109" t="str">
        <f>R528&amp;".16"</f>
        <v>A.16</v>
      </c>
      <c r="R557" s="19"/>
      <c r="S557" s="19"/>
      <c r="T557">
        <f t="shared" si="355"/>
        <v>0</v>
      </c>
      <c r="U557" s="19"/>
      <c r="V557">
        <f t="shared" si="356"/>
        <v>0</v>
      </c>
      <c r="W557" s="19"/>
      <c r="X557" s="19"/>
      <c r="Y557" s="19"/>
      <c r="Z557" s="19"/>
      <c r="AA557" s="19"/>
      <c r="AB557" s="19"/>
      <c r="AC557" s="19"/>
      <c r="AF557" s="109"/>
      <c r="AR557" s="100"/>
      <c r="AS557" s="93"/>
      <c r="AT557" s="109" t="str">
        <f>AU$528&amp;".16"</f>
        <v>1.16</v>
      </c>
      <c r="AU557" s="19"/>
      <c r="AV557" s="19"/>
      <c r="AW557">
        <f t="shared" si="357"/>
        <v>0</v>
      </c>
      <c r="AX557" s="19"/>
      <c r="AY557">
        <f t="shared" si="358"/>
        <v>0</v>
      </c>
      <c r="AZ557" s="19"/>
      <c r="BA557" s="19"/>
      <c r="BB557" s="19"/>
      <c r="BC557" s="19"/>
      <c r="BD557" s="19"/>
      <c r="BE557" s="19"/>
      <c r="BF557" s="19"/>
      <c r="BI557" s="109"/>
      <c r="BU557" s="100"/>
    </row>
    <row r="558" x14ac:dyDescent="0.25">
      <c r="B558" t="s">
        <v>288</v>
      </c>
      <c r="C558" s="19">
        <v>29</v>
      </c>
      <c r="D558" s="19">
        <v>0</v>
      </c>
      <c r="E558">
        <f t="shared" si="359"/>
        <v>29</v>
      </c>
      <c r="H558">
        <v>5</v>
      </c>
      <c r="I558" s="19">
        <v>27</v>
      </c>
      <c r="J558" s="19">
        <v>11</v>
      </c>
      <c r="K558">
        <f t="shared" si="360"/>
        <v>38</v>
      </c>
      <c r="P558" s="93"/>
      <c r="R558">
        <f>SUM(R542:R557)</f>
        <v>29</v>
      </c>
      <c r="AR558" s="100"/>
      <c r="AS558" s="93"/>
      <c r="AU558">
        <f>SUM(AU542:AU557)</f>
        <v>29</v>
      </c>
      <c r="BU558" s="100"/>
    </row>
    <row r="559" x14ac:dyDescent="0.25">
      <c r="B559" t="s">
        <v>293</v>
      </c>
      <c r="C559" s="19">
        <v>17</v>
      </c>
      <c r="D559" s="19">
        <v>27</v>
      </c>
      <c r="E559">
        <f t="shared" si="359"/>
        <v>44</v>
      </c>
      <c r="H559">
        <v>6</v>
      </c>
      <c r="I559" s="19">
        <v>11</v>
      </c>
      <c r="J559" s="19">
        <v>6</v>
      </c>
      <c r="K559">
        <f t="shared" si="360"/>
        <v>17</v>
      </c>
      <c r="P559" s="93"/>
      <c r="AP559" t="s">
        <v>746</v>
      </c>
      <c r="AR559" s="100"/>
      <c r="AS559" s="93"/>
      <c r="BS559" t="s">
        <v>746</v>
      </c>
      <c r="BU559" s="100"/>
    </row>
    <row r="560" x14ac:dyDescent="0.25">
      <c r="B560" t="s">
        <v>456</v>
      </c>
      <c r="C560" s="19">
        <v>27</v>
      </c>
      <c r="D560" s="19">
        <v>27</v>
      </c>
      <c r="E560">
        <f t="shared" si="359"/>
        <v>54</v>
      </c>
      <c r="H560">
        <v>7</v>
      </c>
      <c r="I560" s="19">
        <v>6</v>
      </c>
      <c r="J560" s="19">
        <v>11</v>
      </c>
      <c r="K560">
        <f t="shared" si="360"/>
        <v>17</v>
      </c>
      <c r="P560" s="93"/>
      <c r="Q560" t="s">
        <v>525</v>
      </c>
      <c r="R560" t="s">
        <v>263</v>
      </c>
      <c r="S560" t="s">
        <v>526</v>
      </c>
      <c r="T560" t="s">
        <v>570</v>
      </c>
      <c r="U560" t="s">
        <v>571</v>
      </c>
      <c r="V560" t="s">
        <v>572</v>
      </c>
      <c r="W560" t="s">
        <v>539</v>
      </c>
      <c r="X560" t="s">
        <v>538</v>
      </c>
      <c r="Z560" t="s">
        <v>522</v>
      </c>
      <c r="AA560" t="s">
        <v>523</v>
      </c>
      <c r="AB560" t="s">
        <v>541</v>
      </c>
      <c r="AC560" t="s">
        <v>540</v>
      </c>
      <c r="AD560" t="s">
        <v>542</v>
      </c>
      <c r="AE560" t="s">
        <v>520</v>
      </c>
      <c r="AF560" t="s">
        <v>521</v>
      </c>
      <c r="AG560" t="s">
        <v>527</v>
      </c>
      <c r="AH560" t="s">
        <v>528</v>
      </c>
      <c r="AI560" t="s">
        <v>543</v>
      </c>
      <c r="AJ560" t="s">
        <v>744</v>
      </c>
      <c r="AK560" t="s">
        <v>745</v>
      </c>
      <c r="AL560" t="s">
        <v>749</v>
      </c>
      <c r="AM560" t="s">
        <v>750</v>
      </c>
      <c r="AN560" t="s">
        <v>751</v>
      </c>
      <c r="AP560" t="s">
        <v>747</v>
      </c>
      <c r="AQ560" t="s">
        <v>748</v>
      </c>
      <c r="AR560" s="100"/>
      <c r="AS560" s="93"/>
      <c r="AT560" t="s">
        <v>525</v>
      </c>
      <c r="AU560" t="s">
        <v>263</v>
      </c>
      <c r="AV560" t="s">
        <v>526</v>
      </c>
      <c r="AW560" t="s">
        <v>570</v>
      </c>
      <c r="AX560" t="s">
        <v>571</v>
      </c>
      <c r="AY560" t="s">
        <v>572</v>
      </c>
      <c r="AZ560" t="s">
        <v>539</v>
      </c>
      <c r="BA560" t="s">
        <v>538</v>
      </c>
      <c r="BC560" t="s">
        <v>522</v>
      </c>
      <c r="BD560" t="s">
        <v>523</v>
      </c>
      <c r="BE560" t="s">
        <v>541</v>
      </c>
      <c r="BF560" t="s">
        <v>540</v>
      </c>
      <c r="BG560" t="s">
        <v>542</v>
      </c>
      <c r="BH560" t="s">
        <v>520</v>
      </c>
      <c r="BI560" t="s">
        <v>521</v>
      </c>
      <c r="BJ560" t="s">
        <v>527</v>
      </c>
      <c r="BK560" t="s">
        <v>528</v>
      </c>
      <c r="BL560" t="s">
        <v>543</v>
      </c>
      <c r="BM560" t="s">
        <v>744</v>
      </c>
      <c r="BN560" t="s">
        <v>745</v>
      </c>
      <c r="BO560" t="s">
        <v>749</v>
      </c>
      <c r="BP560" t="s">
        <v>750</v>
      </c>
      <c r="BQ560" t="s">
        <v>751</v>
      </c>
      <c r="BS560" t="s">
        <v>747</v>
      </c>
      <c r="BT560" t="s">
        <v>748</v>
      </c>
      <c r="BU560" s="100"/>
    </row>
    <row r="561" x14ac:dyDescent="0.25">
      <c r="B561" t="s">
        <v>457</v>
      </c>
      <c r="C561" s="19">
        <v>27</v>
      </c>
      <c r="D561" s="19">
        <v>27</v>
      </c>
      <c r="E561">
        <f t="shared" si="359"/>
        <v>54</v>
      </c>
      <c r="H561">
        <v>8</v>
      </c>
      <c r="I561" s="19">
        <v>20</v>
      </c>
      <c r="J561" s="19">
        <v>0</v>
      </c>
      <c r="K561">
        <f t="shared" si="360"/>
        <v>20</v>
      </c>
      <c r="L561" t="s">
        <v>506</v>
      </c>
      <c r="P561" s="93"/>
      <c r="Q561" s="110" t="str">
        <f>$Q$542</f>
        <v>A.01</v>
      </c>
      <c r="R561" t="str">
        <f>$Q$533</f>
        <v>L2</v>
      </c>
      <c r="S561">
        <f>$E$21</f>
        <v>10.6875</v>
      </c>
      <c r="T561" cm="1">
        <f t="array" ref="T561">IFERROR(IF(S561=0,0,(INDEX($C$33:$C$38,MATCH($W$542,$B$33:$B$38,0),0)*(S565+$X$542)+$T$542*COUNTIF(S561:S564,"&gt;0")*$C$32+$V$542*$C$31)*$R$542),0)</f>
        <v>30539.71875</v>
      </c>
      <c r="U561">
        <f>IF(S561=0,0,-(COUNTIF(S561:S564,"&gt;0")*$T$542*$C$32+$V$542*$C$31)*$H$27*$R$542)</f>
        <v>-363.31199999999995</v>
      </c>
      <c r="V561">
        <f>IF(S561=0,0,$V$542*$H$26*$R$542)</f>
        <v>-1328.1999999999998</v>
      </c>
      <c r="W561">
        <f>(0.6*T561+0.7*U561)*$R$542/2</f>
        <v>262007.93632499999</v>
      </c>
      <c r="X561">
        <f>(0.6*T561+0.6*V561)*$R$542/2</f>
        <v>254140.21312500001</v>
      </c>
      <c r="Z561">
        <f>IF(S561=0,0,$AD$542*$AP$533)</f>
        <v>343.06999999999994</v>
      </c>
      <c r="AA561">
        <f>IFERROR(Z561/$R$542,0)</f>
        <v>11.829999999999998</v>
      </c>
      <c r="AB561">
        <f>Z561*($F$21+IF($F$21=0,0,($C$14+$C$15+IF($C$13="single",1.5,3)+3)/12))</f>
        <v>3666.5606249999992</v>
      </c>
      <c r="AC561">
        <f>AB561-W561</f>
        <v>-258341.37569999998</v>
      </c>
      <c r="AD561" cm="1">
        <f t="array" ref="AD561">IFERROR(IF(AC561&lt;0,0,AC561/($R$542-INDEX(hd_off,MATCH(AQ561,hd_mark,0),0)/12)),0)</f>
        <v>0</v>
      </c>
      <c r="AE561">
        <f>IF(S561=0,0,$AD$542*$AM$533)</f>
        <v>7899.5999999999995</v>
      </c>
      <c r="AF561">
        <f>IFERROR(AE561/$R$542,0)</f>
        <v>272.39999999999998</v>
      </c>
      <c r="AG561">
        <f>AE561*($F$21+IF($F$21=0,0,($C$14+$C$15+IF($C$13="single",1.5,3)+3)/12))</f>
        <v>84426.974999999991</v>
      </c>
      <c r="AH561">
        <f>AG561-X561</f>
        <v>-169713.23812500003</v>
      </c>
      <c r="AI561" cm="1">
        <f t="array" ref="AI561">IFERROR(IF(AH561&lt;0,0,AH561/($R$542-INDEX(hd_off,MATCH(AQ561,hd_mark,0),0)/12)),0)</f>
        <v>0</v>
      </c>
      <c r="AJ561">
        <f>MAX($F$21,$Y$542)/$Q$564</f>
        <v>0.30172413793103448</v>
      </c>
      <c r="AK561">
        <f>IF(AJ561=0,0,IF(AJ561&gt;2,1.25-0.125*AJ561,1))</f>
        <v>1</v>
      </c>
      <c r="AL561" cm="1">
        <f t="array" ref="AL561">IFERROR(INDEX(sheath_ecap_asd,MATCH(AP561,sheath_mark,0),0)*AK561,0)</f>
        <v>239.85714285714286</v>
      </c>
      <c r="AM561" cm="1">
        <f t="array" ref="AM561">IFERROR(INDEX(sheath_wcap_asd,MATCH(AP561,sheath_mark,0),0)*AK561,0)</f>
        <v>335.8</v>
      </c>
      <c r="AN561" cm="1">
        <f t="array" ref="AN561">IFERROR(INDEX(hd_cap,MATCH(AQ561,hd_mark,0),0),0)</f>
        <v>0</v>
      </c>
      <c r="AP561" s="19">
        <v>21</v>
      </c>
      <c r="AQ561" s="19"/>
      <c r="AR561" s="100"/>
      <c r="AS561" s="93"/>
      <c r="AT561" s="110" t="str">
        <f>$AT$542</f>
        <v>1.01</v>
      </c>
      <c r="AU561" t="str">
        <f>$Q$533</f>
        <v>L2</v>
      </c>
      <c r="AV561">
        <f>$E$21</f>
        <v>10.6875</v>
      </c>
      <c r="AW561" cm="1">
        <f t="array" ref="AW561">IFERROR(IF(AV561=0,0,(INDEX($C$33:$C$38,MATCH($AZ$542,$B$33:$B$38,0),0)*(AV565+$BA$542)+$AW$542*COUNTIF(AV561:AV564,"&gt;0")*$C$32+$AY$542*$C$31)*$AU$542),0)</f>
        <v>30539.71875</v>
      </c>
      <c r="AX561">
        <f>IF(AV561=0,0,-(COUNTIF(AV561:AV564,"&gt;0")*$AW$542*$C$32+$AY$542*$C$31)*$H$27*$AU$542)</f>
        <v>-363.31199999999995</v>
      </c>
      <c r="AY561">
        <f>IF(AV561=0,0,$AY$542*$H$26*$AU$542)</f>
        <v>-1328.1999999999998</v>
      </c>
      <c r="AZ561">
        <f>(0.6*AW561+0.7*AX561)*$AU$542/2</f>
        <v>262007.93632499999</v>
      </c>
      <c r="BA561">
        <f>(0.6*AW561+0.6*AY561)*$AU$542/2</f>
        <v>254140.21312500001</v>
      </c>
      <c r="BC561">
        <f>IF(AV561=0,0,$BG$542*$AP$533)</f>
        <v>343.06999999999994</v>
      </c>
      <c r="BD561">
        <f>IFERROR(BC561/$AU$542,0)</f>
        <v>11.829999999999998</v>
      </c>
      <c r="BE561">
        <f>BC561*($F$21+IF($F$21=0,0,($C$14+$C$15+IF($C$13="single",1.5,3)+3)/12))</f>
        <v>3666.5606249999992</v>
      </c>
      <c r="BF561">
        <f>BE561-AZ561</f>
        <v>-258341.37569999998</v>
      </c>
      <c r="BG561" cm="1">
        <f t="array" ref="BG561">IFERROR(IF(BF561&lt;0,0,BF561/($AU$542-INDEX(hd_off,MATCH(BT561,hd_mark,0),0)/12)),0)</f>
        <v>0</v>
      </c>
      <c r="BH561">
        <f>IF(AV561=0,0,$BG$542*$AM$533)</f>
        <v>7899.5999999999995</v>
      </c>
      <c r="BI561">
        <f>IFERROR(BH561/$AU$542,0)</f>
        <v>272.39999999999998</v>
      </c>
      <c r="BJ561">
        <f>BH561*($F$21+IF($F$21=0,0,($C$14+$C$15+IF($C$13="single",1.5,3)+3)/12))</f>
        <v>84426.974999999991</v>
      </c>
      <c r="BK561">
        <f>BJ561-BA561</f>
        <v>-169713.23812500003</v>
      </c>
      <c r="BL561" cm="1">
        <f t="array" ref="BL561">IFERROR(IF(BK561&lt;0,0,BK561/($AU$542-INDEX(hd_off,MATCH(BT561,hd_mark,0),0)/12)),0)</f>
        <v>0</v>
      </c>
      <c r="BM561">
        <f>MAX($F$21,$BB$542)/$Q$564</f>
        <v>0.30172413793103448</v>
      </c>
      <c r="BN561">
        <f>IF(BM561=0,0,IF(BM561&gt;2,1.25-0.125*BM561,1))</f>
        <v>1</v>
      </c>
      <c r="BO561" cm="1">
        <f t="array" ref="BO561">IFERROR(INDEX(sheath_ecap_asd,MATCH(BS561,sheath_mark,0),0)*BN561,0)</f>
        <v>239.85714285714286</v>
      </c>
      <c r="BP561" cm="1">
        <f t="array" ref="BP561">IFERROR(INDEX(sheath_wcap_asd,MATCH(BS561,sheath_mark,0),0)*BN561,0)</f>
        <v>335.8</v>
      </c>
      <c r="BQ561" cm="1">
        <f t="array" ref="BQ561">IFERROR(INDEX(hd_cap,MATCH(BT561,hd_mark,0),0),0)</f>
        <v>0</v>
      </c>
      <c r="BS561" s="19">
        <v>21</v>
      </c>
      <c r="BT561" s="19"/>
      <c r="BU561" s="100"/>
    </row>
    <row r="562" x14ac:dyDescent="0.25">
      <c r="B562" t="s">
        <v>458</v>
      </c>
      <c r="C562" s="19">
        <v>27</v>
      </c>
      <c r="D562" s="19">
        <v>27</v>
      </c>
      <c r="E562">
        <f t="shared" si="359"/>
        <v>54</v>
      </c>
      <c r="H562">
        <v>9</v>
      </c>
      <c r="I562" s="19">
        <v>30</v>
      </c>
      <c r="J562" s="19">
        <v>0</v>
      </c>
      <c r="K562">
        <f t="shared" si="360"/>
        <v>30</v>
      </c>
      <c r="P562" s="93"/>
      <c r="Q562" s="109"/>
      <c r="R562" t="str">
        <f>$Q$534</f>
        <v>L3</v>
      </c>
      <c r="S562">
        <f>$E$22</f>
        <v>21.375</v>
      </c>
      <c r="T562" cm="1">
        <f t="array" ref="T562">IFERROR(IF(S562=0,0,(INDEX($C$33:$C$38,MATCH($W$542,$B$33:$B$38,0),0)*(S565+$X$542)+$T$542*COUNTIF(S562:S564,"&gt;0")*$C$32+$V$542*$C$31)*$R$542),0)</f>
        <v>26015.71875</v>
      </c>
      <c r="U562">
        <f>IF(S562=0,0,-(COUNTIF(S562:S564,"&gt;0")*$T$542*$C$32+$V$542*$C$31)*$H$27*$R$542)</f>
        <v>-200.44799999999998</v>
      </c>
      <c r="V562">
        <f>IF(S562=0,0,$V$542*$H$26*$R$542)</f>
        <v>-1328.1999999999998</v>
      </c>
      <c r="W562">
        <f t="shared" ref="W562:W564" si="361">(0.6*T562+0.7*U562)*$R$542/2</f>
        <v>224302.20592500002</v>
      </c>
      <c r="X562">
        <f>T562*$R$542/2</f>
        <v>377227.921875</v>
      </c>
      <c r="Z562">
        <f>IF(S562=0,0,$AD$542*$AP$534)</f>
        <v>376.565</v>
      </c>
      <c r="AA562">
        <f>IFERROR(Z562/$R$542,0)</f>
        <v>12.984999999999999</v>
      </c>
      <c r="AB562">
        <f>Z562*($F$22+IF($F$22=0,0,($C$14+$C$15+IF($C$13="single",1.5,3)+3)/12))</f>
        <v>4024.5384374999999</v>
      </c>
      <c r="AC562">
        <f>AB562-W562</f>
        <v>-220277.6674875</v>
      </c>
      <c r="AD562" cm="1">
        <f t="array" ref="AD562">IFERROR(IF(AC562&lt;0,0,AC562/($R$542-INDEX(hd_off,MATCH(AQ562,hd_mark,0),0)/12)),0)</f>
        <v>0</v>
      </c>
      <c r="AE562">
        <f>IF(S562=0,0,$AD$542*$AM$534)</f>
        <v>5846.4</v>
      </c>
      <c r="AF562">
        <f>IFERROR(AE562/$R$542,0)</f>
        <v>201.6</v>
      </c>
      <c r="AG562">
        <f>AE562*($F$22+IF($F$22=0,0,($C$14+$C$15+IF($C$13="single",1.5,3)+3)/12))</f>
        <v>62483.399999999994</v>
      </c>
      <c r="AH562">
        <f>AG562-X562</f>
        <v>-314744.52187499998</v>
      </c>
      <c r="AI562" cm="1">
        <f t="array" ref="AI562">IFERROR(IF(AH562&lt;0,0,AH562/($R$542-INDEX(hd_off,MATCH(AQ562,hd_mark,0),0)/12)),0)</f>
        <v>0</v>
      </c>
      <c r="AJ562">
        <f>MAX($F$22,$Z$542)/$Q$564</f>
        <v>0.30172413793103448</v>
      </c>
      <c r="AK562">
        <f t="shared" ref="AK562:AK565" si="362">IF(AJ562=0,0,IF(AJ562&gt;2,1.25-0.125*AJ562,1))</f>
        <v>1</v>
      </c>
      <c r="AL562" cm="1">
        <f t="array" ref="AL562">IFERROR(INDEX(sheath_ecap_asd,MATCH(AP562,sheath_mark,0),0)*AK562,0)</f>
        <v>239.85714285714286</v>
      </c>
      <c r="AM562" cm="1">
        <f t="array" ref="AM562">IFERROR(INDEX(sheath_wcap_asd,MATCH(AP562,sheath_mark,0),0)*AK562,0)</f>
        <v>335.8</v>
      </c>
      <c r="AN562" cm="1">
        <f t="array" ref="AN562">IFERROR(INDEX(hd_cap,MATCH(AQ562,hd_mark,0),0),0)</f>
        <v>0</v>
      </c>
      <c r="AP562" s="19">
        <v>21</v>
      </c>
      <c r="AQ562" s="19"/>
      <c r="AR562" s="100"/>
      <c r="AS562" s="93"/>
      <c r="AT562" s="109"/>
      <c r="AU562" t="str">
        <f>$Q$534</f>
        <v>L3</v>
      </c>
      <c r="AV562">
        <f>$E$22</f>
        <v>21.375</v>
      </c>
      <c r="AW562" cm="1">
        <f t="array" ref="AW562">IFERROR(IF(AV562=0,0,(INDEX($C$33:$C$38,MATCH($AZ$542,$B$33:$B$38,0),0)*(AV565+$BA$542)+$AW$542*COUNTIF(AV562:AV564,"&gt;0")*$C$32+$AY$542*$C$31)*$AU$542),0)</f>
        <v>26015.71875</v>
      </c>
      <c r="AX562">
        <f>IF(AV562=0,0,-(COUNTIF(AV562:AV564,"&gt;0")*$AW$542*$C$32+$AY$542*$C$31)*$H$27*$AU$542)</f>
        <v>-200.44799999999998</v>
      </c>
      <c r="AY562">
        <f>IF(AV562=0,0,$AY$542*$H$26*$AU$542)</f>
        <v>-1328.1999999999998</v>
      </c>
      <c r="AZ562">
        <f>(0.6*AW562+0.7*AX562)*$AU$542/2</f>
        <v>224302.20592500002</v>
      </c>
      <c r="BA562">
        <f>AW562*$AU$542/2</f>
        <v>377227.921875</v>
      </c>
      <c r="BC562">
        <f>IF(AV562=0,0,$BG$542*$AP$534)</f>
        <v>376.565</v>
      </c>
      <c r="BD562">
        <f>IFERROR(BC562/$AU$542,0)</f>
        <v>12.984999999999999</v>
      </c>
      <c r="BE562">
        <f>BC562*($F$22+IF($F$22=0,0,($C$14+$C$15+IF($C$13="single",1.5,3)+3)/12))</f>
        <v>4024.5384374999999</v>
      </c>
      <c r="BF562">
        <f>BE562-AZ562</f>
        <v>-220277.6674875</v>
      </c>
      <c r="BG562" cm="1">
        <f t="array" ref="BG562">IFERROR(IF(BF562&lt;0,0,BF562/($AU$542-INDEX(hd_off,MATCH(BT562,hd_mark,0),0)/12)),0)</f>
        <v>0</v>
      </c>
      <c r="BH562">
        <f>IF(AV562=0,0,$BG$542*$AM$534)</f>
        <v>5846.4</v>
      </c>
      <c r="BI562">
        <f>IFERROR(BH562/$AU$542,0)</f>
        <v>201.6</v>
      </c>
      <c r="BJ562">
        <f>BH562*($F$22+IF($F$22=0,0,($C$14+$C$15+IF($C$13="single",1.5,3)+3)/12))</f>
        <v>62483.399999999994</v>
      </c>
      <c r="BK562">
        <f>BJ562-BA562</f>
        <v>-314744.52187499998</v>
      </c>
      <c r="BL562" cm="1">
        <f t="array" ref="BL562">IFERROR(IF(BK562&lt;0,0,BK562/($AU$542-INDEX(hd_off,MATCH(BT562,hd_mark,0),0)/12)),0)</f>
        <v>0</v>
      </c>
      <c r="BM562">
        <f>MAX($F$22,$BC$542)/$Q$564</f>
        <v>0.30172413793103448</v>
      </c>
      <c r="BN562">
        <f t="shared" ref="BN562:BN565" si="363">IF(BM562=0,0,IF(BM562&gt;2,1.25-0.125*BM562,1))</f>
        <v>1</v>
      </c>
      <c r="BO562" cm="1">
        <f t="array" ref="BO562">IFERROR(INDEX(sheath_ecap_asd,MATCH(BS562,sheath_mark,0),0)*BN562,0)</f>
        <v>239.85714285714286</v>
      </c>
      <c r="BP562" cm="1">
        <f t="array" ref="BP562">IFERROR(INDEX(sheath_wcap_asd,MATCH(BS562,sheath_mark,0),0)*BN562,0)</f>
        <v>335.8</v>
      </c>
      <c r="BQ562" cm="1">
        <f t="array" ref="BQ562">IFERROR(INDEX(hd_cap,MATCH(BT562,hd_mark,0),0),0)</f>
        <v>0</v>
      </c>
      <c r="BS562" s="19">
        <v>21</v>
      </c>
      <c r="BT562" s="19"/>
      <c r="BU562" s="100"/>
    </row>
    <row r="563" x14ac:dyDescent="0.25">
      <c r="B563" t="s">
        <v>459</v>
      </c>
      <c r="C563" s="19">
        <v>27</v>
      </c>
      <c r="D563" s="19">
        <v>41</v>
      </c>
      <c r="E563">
        <f t="shared" si="359"/>
        <v>68</v>
      </c>
      <c r="F563" t="s">
        <v>506</v>
      </c>
      <c r="H563">
        <v>10</v>
      </c>
      <c r="I563" s="19">
        <v>30</v>
      </c>
      <c r="J563" s="19">
        <v>0</v>
      </c>
      <c r="K563">
        <f t="shared" si="360"/>
        <v>30</v>
      </c>
      <c r="P563" s="93"/>
      <c r="Q563" s="109" t="s">
        <v>491</v>
      </c>
      <c r="R563" t="str">
        <f>$Q$535</f>
        <v>L4</v>
      </c>
      <c r="S563">
        <f>$E$23</f>
        <v>0</v>
      </c>
      <c r="T563" cm="1">
        <f t="array" ref="T563">IFERROR(IF(S563=0,0,(INDEX($C$33:$C$38,MATCH($W$542,$B$33:$B$38,0),0)*(S565+$X$542)+$T$542*COUNTIF(S563:S564,"&gt;0")*$C$32+$V$542*$C$31)*$R$542),0)</f>
        <v>0</v>
      </c>
      <c r="U563">
        <f>IF(S563=0,0,-(COUNTIF(S563:S564,"&gt;0")*$T$542*$C$32+$V$542*$C$31)*$H$27*$R$542)</f>
        <v>0</v>
      </c>
      <c r="V563">
        <f>IF(S563=0,0,$V$542*$H$26*$R$542)</f>
        <v>0</v>
      </c>
      <c r="W563">
        <f t="shared" si="361"/>
        <v>0</v>
      </c>
      <c r="X563">
        <f>T563*$R$542/2</f>
        <v>0</v>
      </c>
      <c r="Z563">
        <f>IF(S563=0,0,$AD$542*$AP$535)</f>
        <v>0</v>
      </c>
      <c r="AA563">
        <f>IFERROR(Z563/$R$542,0)</f>
        <v>0</v>
      </c>
      <c r="AB563">
        <f>Z563*($F$23+IF($F$23=0,0,($C$14+$C$15+IF($C$13="single",1.5,3)+3)/12))</f>
        <v>0</v>
      </c>
      <c r="AC563">
        <f>AB563-W563</f>
        <v>0</v>
      </c>
      <c r="AD563" cm="1">
        <f t="array" ref="AD563">IFERROR(IF(AC563&lt;0,0,AC563/($R$542-INDEX(hd_off,MATCH(AQ563,hd_mark,0),0)/12)),0)</f>
        <v>0</v>
      </c>
      <c r="AE563">
        <f>IF(S563=0,0,$AD$542*$AM$535)</f>
        <v>0</v>
      </c>
      <c r="AF563">
        <f>IFERROR(AE563/$R$542,0)</f>
        <v>0</v>
      </c>
      <c r="AG563">
        <f>AE563*($F$23+IF($F$23=0,0,($C$14+$C$15+IF($C$13="single",1.5,3)+3)/12))</f>
        <v>0</v>
      </c>
      <c r="AH563">
        <f>AG563-X563</f>
        <v>0</v>
      </c>
      <c r="AI563" cm="1">
        <f t="array" ref="AI563">IFERROR(IF(AH563&lt;0,0,AH563/($R$542-INDEX(hd_off,MATCH(AQ563,hd_mark,0),0)/12)),0)</f>
        <v>0</v>
      </c>
      <c r="AJ563">
        <f>MAX($F$23,$AA$542)/$Q$564</f>
        <v>0</v>
      </c>
      <c r="AK563">
        <f t="shared" si="362"/>
        <v>0</v>
      </c>
      <c r="AL563" cm="1">
        <f t="array" ref="AL563">IFERROR(INDEX(sheath_ecap_asd,MATCH(AP563,sheath_mark,0),0)*AK563,0)</f>
        <v>0</v>
      </c>
      <c r="AM563" cm="1">
        <f t="array" ref="AM563">IFERROR(INDEX(sheath_wcap_asd,MATCH(AP563,sheath_mark,0),0)*AK563,0)</f>
        <v>0</v>
      </c>
      <c r="AN563" cm="1">
        <f t="array" ref="AN563">IFERROR(INDEX(hd_cap,MATCH(AQ563,hd_mark,0),0),0)</f>
        <v>0</v>
      </c>
      <c r="AP563" s="19"/>
      <c r="AQ563" s="19"/>
      <c r="AR563" s="100"/>
      <c r="AS563" s="93"/>
      <c r="AT563" s="109" t="s">
        <v>491</v>
      </c>
      <c r="AU563" t="str">
        <f>$Q$535</f>
        <v>L4</v>
      </c>
      <c r="AV563">
        <f>$E$23</f>
        <v>0</v>
      </c>
      <c r="AW563" cm="1">
        <f t="array" ref="AW563">IFERROR(IF(AV563=0,0,(INDEX($C$33:$C$38,MATCH($AZ$542,$B$33:$B$38,0),0)*(AV565+$BA$542)+$AW$542*COUNTIF(AV563:AV564,"&gt;0")*$C$32+$AY$542*$C$31)*$AU$542),0)</f>
        <v>0</v>
      </c>
      <c r="AX563">
        <f>IF(AV563=0,0,-(COUNTIF(AV563:AV564,"&gt;0")*$AW$542*$C$32+$AY$542*$C$31)*$H$27*$AU$542)</f>
        <v>0</v>
      </c>
      <c r="AY563">
        <f>IF(AV563=0,0,$AY$542*$H$26*$AU$542)</f>
        <v>0</v>
      </c>
      <c r="AZ563">
        <f>(0.6*AW563+0.7*AX563)*$AU$542/2</f>
        <v>0</v>
      </c>
      <c r="BA563">
        <f>AW563*$AU$542/2</f>
        <v>0</v>
      </c>
      <c r="BC563">
        <f>IF(AV563=0,0,$BG$542*$AP$535)</f>
        <v>0</v>
      </c>
      <c r="BD563">
        <f>IFERROR(BC563/$AU$542,0)</f>
        <v>0</v>
      </c>
      <c r="BE563">
        <f>BC563*($F$23+IF($F$23=0,0,($C$14+$C$15+IF($C$13="single",1.5,3)+3)/12))</f>
        <v>0</v>
      </c>
      <c r="BF563">
        <f>BE563-AZ563</f>
        <v>0</v>
      </c>
      <c r="BG563" cm="1">
        <f t="array" ref="BG563">IFERROR(IF(BF563&lt;0,0,BF563/($AU$542-INDEX(hd_off,MATCH(BT563,hd_mark,0),0)/12)),0)</f>
        <v>0</v>
      </c>
      <c r="BH563">
        <f>IF(AV563=0,0,$BG$542*$AM$535)</f>
        <v>0</v>
      </c>
      <c r="BI563">
        <f>IFERROR(BH563/$AU$542,0)</f>
        <v>0</v>
      </c>
      <c r="BJ563">
        <f>BH563*($F$23+IF($F$23=0,0,($C$14+$C$15+IF($C$13="single",1.5,3)+3)/12))</f>
        <v>0</v>
      </c>
      <c r="BK563">
        <f>BJ563-BA563</f>
        <v>0</v>
      </c>
      <c r="BL563" cm="1">
        <f t="array" ref="BL563">IFERROR(IF(BK563&lt;0,0,BK563/($AU$542-INDEX(hd_off,MATCH(BT563,hd_mark,0),0)/12)),0)</f>
        <v>0</v>
      </c>
      <c r="BM563">
        <f>MAX($F$23,$BD$542)/$Q$564</f>
        <v>0</v>
      </c>
      <c r="BN563">
        <f t="shared" si="363"/>
        <v>0</v>
      </c>
      <c r="BO563" cm="1">
        <f t="array" ref="BO563">IFERROR(INDEX(sheath_ecap_asd,MATCH(BS563,sheath_mark,0),0)*BN563,0)</f>
        <v>0</v>
      </c>
      <c r="BP563" cm="1">
        <f t="array" ref="BP563">IFERROR(INDEX(sheath_wcap_asd,MATCH(BS563,sheath_mark,0),0)*BN563,0)</f>
        <v>0</v>
      </c>
      <c r="BQ563" cm="1">
        <f t="array" ref="BQ563">IFERROR(INDEX(hd_cap,MATCH(BT563,hd_mark,0),0),0)</f>
        <v>0</v>
      </c>
      <c r="BS563" s="19"/>
      <c r="BT563" s="19"/>
      <c r="BU563" s="100"/>
    </row>
    <row r="564" x14ac:dyDescent="0.25">
      <c r="B564" t="s">
        <v>171</v>
      </c>
      <c r="C564" s="19">
        <v>0</v>
      </c>
      <c r="D564" s="19">
        <v>29</v>
      </c>
      <c r="E564">
        <f t="shared" si="359"/>
        <v>29</v>
      </c>
      <c r="H564">
        <v>11</v>
      </c>
      <c r="I564" s="19">
        <v>0</v>
      </c>
      <c r="J564" s="19">
        <v>27</v>
      </c>
      <c r="K564">
        <f t="shared" si="360"/>
        <v>27</v>
      </c>
      <c r="P564" s="93"/>
      <c r="Q564" s="111">
        <f>$R$542</f>
        <v>29</v>
      </c>
      <c r="R564" t="str">
        <f>$Q$536</f>
        <v>L5</v>
      </c>
      <c r="S564">
        <f>$E$24</f>
        <v>0</v>
      </c>
      <c r="T564" cm="1">
        <f t="array" ref="T564">IFERROR(IF(S564=0,0,(INDEX($C$33:$C$38,MATCH($W$542,$B$33:$B$38,0),0)*(S565+$X$542)+$T$542*COUNTIF(S564:S564,"&gt;0")*$C$32+$V$542*$C$31)*$R$542),0)</f>
        <v>0</v>
      </c>
      <c r="U564">
        <f>IF(S564=0,0,-(COUNTIF(S564:S564,"&gt;0")*$T$542*$C$32+$V$542*$C$31)*$H$27*$R$542)</f>
        <v>0</v>
      </c>
      <c r="V564">
        <f>IF(S564=0,0,$V$542*$H$26*$R$542)</f>
        <v>0</v>
      </c>
      <c r="W564">
        <f t="shared" si="361"/>
        <v>0</v>
      </c>
      <c r="X564">
        <f>T564*$R$542/2</f>
        <v>0</v>
      </c>
      <c r="Z564">
        <f>IF(S564=0,0,$AD$542*$AP$536)</f>
        <v>0</v>
      </c>
      <c r="AA564">
        <f>IFERROR(Z564/$R$542,0)</f>
        <v>0</v>
      </c>
      <c r="AB564">
        <f>Z564*($F$24+IF($F$24=0,0,($C$14+$C$15+IF($C$13="single",1.5,3)+3)/12))</f>
        <v>0</v>
      </c>
      <c r="AC564">
        <f>AB564-W564</f>
        <v>0</v>
      </c>
      <c r="AD564" cm="1">
        <f t="array" ref="AD564">IFERROR(IF(AC564&lt;0,0,AC564/($R$542-INDEX(hd_off,MATCH(AQ564,hd_mark,0),0)/12)),0)</f>
        <v>0</v>
      </c>
      <c r="AE564">
        <f>IF(S564=0,0,$AD$542*$AM$536)</f>
        <v>0</v>
      </c>
      <c r="AF564">
        <f>IFERROR(AE564/$R$542,0)</f>
        <v>0</v>
      </c>
      <c r="AG564">
        <f>AE564*($F$24+IF($F$24=0,0,($C$14+$C$15+IF($C$13="single",1.5,3)+3)/12))</f>
        <v>0</v>
      </c>
      <c r="AH564">
        <f>AG564-X564</f>
        <v>0</v>
      </c>
      <c r="AI564" cm="1">
        <f t="array" ref="AI564">IFERROR(IF(AH564&lt;0,0,AH564/($R$542-INDEX(hd_off,MATCH(AQ564,hd_mark,0),0)/12)),0)</f>
        <v>0</v>
      </c>
      <c r="AJ564">
        <f>MAX($F$24,$AB$542)/$Q$564</f>
        <v>0</v>
      </c>
      <c r="AK564">
        <f t="shared" si="362"/>
        <v>0</v>
      </c>
      <c r="AL564" cm="1">
        <f t="array" ref="AL564">IFERROR(INDEX(sheath_ecap_asd,MATCH(AP564,sheath_mark,0),0)*AK564,0)</f>
        <v>0</v>
      </c>
      <c r="AM564" cm="1">
        <f t="array" ref="AM564">IFERROR(INDEX(sheath_wcap_asd,MATCH(AP564,sheath_mark,0),0)*AK564,0)</f>
        <v>0</v>
      </c>
      <c r="AN564" cm="1">
        <f t="array" ref="AN564">IFERROR(INDEX(hd_cap,MATCH(AQ564,hd_mark,0),0),0)</f>
        <v>0</v>
      </c>
      <c r="AP564" s="19"/>
      <c r="AQ564" s="19"/>
      <c r="AR564" s="100"/>
      <c r="AS564" s="93"/>
      <c r="AT564" s="111">
        <f>$R$542</f>
        <v>29</v>
      </c>
      <c r="AU564" t="str">
        <f>$Q$536</f>
        <v>L5</v>
      </c>
      <c r="AV564">
        <f>$E$24</f>
        <v>0</v>
      </c>
      <c r="AW564" cm="1">
        <f t="array" ref="AW564">IFERROR(IF(AV564=0,0,(INDEX($C$33:$C$38,MATCH($AZ$542,$B$33:$B$38,0),0)*(AV565+$BA$542)+$AW$542*COUNTIF(AV564:AV564,"&gt;0")*$C$32+$AY$542*$C$31)*$AU$542),0)</f>
        <v>0</v>
      </c>
      <c r="AX564">
        <f>IF(AV564=0,0,-(COUNTIF(AV564:AV564,"&gt;0")*$AW$542*$C$32+$AY$542*$C$31)*$H$27*$AU$542)</f>
        <v>0</v>
      </c>
      <c r="AY564">
        <f>IF(AV564=0,0,$AY$542*$H$26*$AU$542)</f>
        <v>0</v>
      </c>
      <c r="AZ564">
        <f>(0.6*AW564+0.7*AX564)*$AU$542/2</f>
        <v>0</v>
      </c>
      <c r="BA564">
        <f>AW564*$AU$542/2</f>
        <v>0</v>
      </c>
      <c r="BC564">
        <f>IF(AV564=0,0,$BG$542*$AP$536)</f>
        <v>0</v>
      </c>
      <c r="BD564">
        <f>IFERROR(BC564/$AU$542,0)</f>
        <v>0</v>
      </c>
      <c r="BE564">
        <f>BC564*($F$24+IF($F$24=0,0,($C$14+$C$15+IF($C$13="single",1.5,3)+3)/12))</f>
        <v>0</v>
      </c>
      <c r="BF564">
        <f>BE564-AZ564</f>
        <v>0</v>
      </c>
      <c r="BG564" cm="1">
        <f t="array" ref="BG564">IFERROR(IF(BF564&lt;0,0,BF564/($AU$542-INDEX(hd_off,MATCH(BT564,hd_mark,0),0)/12)),0)</f>
        <v>0</v>
      </c>
      <c r="BH564">
        <f>IF(AV564=0,0,$BG$542*$AM$536)</f>
        <v>0</v>
      </c>
      <c r="BI564">
        <f>IFERROR(BH564/$AU$542,0)</f>
        <v>0</v>
      </c>
      <c r="BJ564">
        <f>BH564*($F$24+IF($F$24=0,0,($C$14+$C$15+IF($C$13="single",1.5,3)+3)/12))</f>
        <v>0</v>
      </c>
      <c r="BK564">
        <f>BJ564-BA564</f>
        <v>0</v>
      </c>
      <c r="BL564" cm="1">
        <f t="array" ref="BL564">IFERROR(IF(BK564&lt;0,0,BK564/($AU$542-INDEX(hd_off,MATCH(BT564,hd_mark,0),0)/12)),0)</f>
        <v>0</v>
      </c>
      <c r="BM564">
        <f>MAX($F$24,$BE$542)/$Q$564</f>
        <v>0</v>
      </c>
      <c r="BN564">
        <f t="shared" si="363"/>
        <v>0</v>
      </c>
      <c r="BO564" cm="1">
        <f t="array" ref="BO564">IFERROR(INDEX(sheath_ecap_asd,MATCH(BS564,sheath_mark,0),0)*BN564,0)</f>
        <v>0</v>
      </c>
      <c r="BP564" cm="1">
        <f t="array" ref="BP564">IFERROR(INDEX(sheath_wcap_asd,MATCH(BS564,sheath_mark,0),0)*BN564,0)</f>
        <v>0</v>
      </c>
      <c r="BQ564" cm="1">
        <f t="array" ref="BQ564">IFERROR(INDEX(hd_cap,MATCH(BT564,hd_mark,0),0),0)</f>
        <v>0</v>
      </c>
      <c r="BS564" s="19"/>
      <c r="BT564" s="19"/>
      <c r="BU564" s="100"/>
    </row>
    <row r="565" x14ac:dyDescent="0.25">
      <c r="B565" t="s">
        <v>460</v>
      </c>
      <c r="C565" s="19">
        <v>29</v>
      </c>
      <c r="D565" s="19">
        <v>6</v>
      </c>
      <c r="E565">
        <f t="shared" si="359"/>
        <v>35</v>
      </c>
      <c r="H565">
        <v>12</v>
      </c>
      <c r="I565" s="19">
        <v>27</v>
      </c>
      <c r="J565" s="19">
        <v>14</v>
      </c>
      <c r="K565">
        <f t="shared" si="360"/>
        <v>41</v>
      </c>
      <c r="P565" s="93"/>
      <c r="Q565" s="109"/>
      <c r="R565" t="str">
        <f>$Q$537</f>
        <v>Roof</v>
      </c>
      <c r="S565">
        <f>$E$25</f>
        <v>33.171875</v>
      </c>
      <c r="T565" cm="1">
        <f t="array" ref="T565">IFERROR(IF(S565=0,0,(INDEX($C$33:$C$38,MATCH($W$542,$B$33:$B$38,0),0)*(S565+$X$542)+$V$542*$C$31)*$R$542),0)</f>
        <v>21491.71875</v>
      </c>
      <c r="U565">
        <f>IF(S565=0,0,-$V$542*$C$31*$H$27*$R$542)</f>
        <v>-37.583999999999996</v>
      </c>
      <c r="V565">
        <f>IF(S565=0,0,$V$542*$H$26*$R$542)</f>
        <v>-1328.1999999999998</v>
      </c>
      <c r="W565">
        <f>(0.6*T565+0.7*U565)*$R$542/2</f>
        <v>186596.47552499999</v>
      </c>
      <c r="X565">
        <f>T565*$R$542/2</f>
        <v>311629.921875</v>
      </c>
      <c r="Z565">
        <f>IF(S565=0,0,$AD$542*$AP$537)</f>
        <v>191.83499999999995</v>
      </c>
      <c r="AA565">
        <f>IFERROR(Z565/$R$542,0)</f>
        <v>6.6149999999999984</v>
      </c>
      <c r="AB565">
        <f>Z565*($F$25+($C$16+$C$17+IF($C$13="single",1.5,3)+3)/12)</f>
        <v>2263.0535156249989</v>
      </c>
      <c r="AC565">
        <f>AB565-W565</f>
        <v>-184333.42200937498</v>
      </c>
      <c r="AD565" cm="1">
        <f t="array" ref="AD565">IFERROR(IF(AC565&lt;0,0,AC565/($R$542-INDEX(hd_off,MATCH(AQ565,hd_mark,0),0)/12)),0)</f>
        <v>0</v>
      </c>
      <c r="AE565">
        <f>IF(S565=0,0,$AD$542*$AM$537)</f>
        <v>3854.1</v>
      </c>
      <c r="AF565">
        <f>IFERROR(AE565/$R$542,0)</f>
        <v>132.9</v>
      </c>
      <c r="AG565">
        <f>AE565*($F$25+($C$16+$C$17+IF($C$13="single",1.5,3)+3)/12)</f>
        <v>45466.335937499993</v>
      </c>
      <c r="AH565">
        <f>AG565-X565</f>
        <v>-266163.5859375</v>
      </c>
      <c r="AI565" cm="1">
        <f t="array" ref="AI565">IFERROR(IF(AH565&lt;0,0,AH565/($R$542-INDEX(hd_off,MATCH(AQ565,hd_mark,0),0)/12)),0)</f>
        <v>0</v>
      </c>
      <c r="AJ565">
        <f>MAX($F$25,$AC$542)/$Q$564</f>
        <v>0.29920977011494249</v>
      </c>
      <c r="AK565">
        <f t="shared" si="362"/>
        <v>1</v>
      </c>
      <c r="AL565" cm="1">
        <f t="array" ref="AL565">IFERROR(INDEX(sheath_ecap_asd,MATCH(AP565,sheath_mark,0),0)*AK565,0)</f>
        <v>95.285714285714306</v>
      </c>
      <c r="AM565" cm="1">
        <f t="array" ref="AM565">IFERROR(INDEX(sheath_wcap_asd,MATCH(AP565,sheath_mark,0),0)*AK565,0)</f>
        <v>133.4</v>
      </c>
      <c r="AN565" cm="1">
        <f t="array" ref="AN565">IFERROR(INDEX(hd_cap,MATCH(AQ565,hd_mark,0),0),0)</f>
        <v>0</v>
      </c>
      <c r="AP565" s="19">
        <v>11</v>
      </c>
      <c r="AQ565" s="19"/>
      <c r="AR565" s="100"/>
      <c r="AS565" s="93"/>
      <c r="AT565" s="109"/>
      <c r="AU565" t="str">
        <f>$Q$537</f>
        <v>Roof</v>
      </c>
      <c r="AV565">
        <f>$E$25</f>
        <v>33.171875</v>
      </c>
      <c r="AW565" cm="1">
        <f t="array" ref="AW565">IFERROR(IF(AV565=0,0,(INDEX($C$33:$C$38,MATCH($AZ$542,$B$33:$B$38,0),0)*(AV565+$BA$542)+$AY$542*$C$31)*$AU$542),0)</f>
        <v>21491.71875</v>
      </c>
      <c r="AX565">
        <f>IF(AV565=0,0,-$AY$542*$C$31*$H$27*$AU$542)</f>
        <v>-37.583999999999996</v>
      </c>
      <c r="AY565">
        <f>IF(AV565=0,0,$AY$542*$H$26*$AU$542)</f>
        <v>-1328.1999999999998</v>
      </c>
      <c r="AZ565">
        <f>(0.6*AW565+0.7*AX565)*$AU$542/2</f>
        <v>186596.47552499999</v>
      </c>
      <c r="BA565">
        <f>AW565*$AU$542/2</f>
        <v>311629.921875</v>
      </c>
      <c r="BC565">
        <f>IF(AV565=0,0,$BG$542*$AP$537)</f>
        <v>191.83499999999995</v>
      </c>
      <c r="BD565">
        <f>IFERROR(BC565/$AU$542,0)</f>
        <v>6.6149999999999984</v>
      </c>
      <c r="BE565">
        <f>BC565*($F$25+($C$16+$C$17+IF($C$13="single",1.5,3)+3)/12)</f>
        <v>2263.0535156249989</v>
      </c>
      <c r="BF565">
        <f>BE565-AZ565</f>
        <v>-184333.42200937498</v>
      </c>
      <c r="BG565" cm="1">
        <f t="array" ref="BG565">IFERROR(IF(BF565&lt;0,0,BF565/($AU$542-INDEX(hd_off,MATCH(BT565,hd_mark,0),0)/12)),0)</f>
        <v>0</v>
      </c>
      <c r="BH565">
        <f>IF(AV565=0,0,$BG$542*$AM$537)</f>
        <v>3854.1</v>
      </c>
      <c r="BI565">
        <f>IFERROR(BH565/$AU$542,0)</f>
        <v>132.9</v>
      </c>
      <c r="BJ565">
        <f>BH565*($F$25+($C$16+$C$17+IF($C$13="single",1.5,3)+3)/12)</f>
        <v>45466.335937499993</v>
      </c>
      <c r="BK565">
        <f>BJ565-BA565</f>
        <v>-266163.5859375</v>
      </c>
      <c r="BL565" cm="1">
        <f t="array" ref="BL565">IFERROR(IF(BK565&lt;0,0,BK565/($AU$542-INDEX(hd_off,MATCH(BT565,hd_mark,0),0)/12)),0)</f>
        <v>0</v>
      </c>
      <c r="BM565">
        <f>MAX($F$25,$BF$542)/$Q$564</f>
        <v>0.29920977011494249</v>
      </c>
      <c r="BN565">
        <f t="shared" si="363"/>
        <v>1</v>
      </c>
      <c r="BO565" cm="1">
        <f t="array" ref="BO565">IFERROR(INDEX(sheath_ecap_asd,MATCH(BS565,sheath_mark,0),0)*BN565,0)</f>
        <v>95.285714285714306</v>
      </c>
      <c r="BP565" cm="1">
        <f t="array" ref="BP565">IFERROR(INDEX(sheath_wcap_asd,MATCH(BS565,sheath_mark,0),0)*BN565,0)</f>
        <v>133.4</v>
      </c>
      <c r="BQ565" cm="1">
        <f t="array" ref="BQ565">IFERROR(INDEX(hd_cap,MATCH(BT565,hd_mark,0),0),0)</f>
        <v>0</v>
      </c>
      <c r="BS565" s="19">
        <v>11</v>
      </c>
      <c r="BT565" s="19"/>
      <c r="BU565" s="100"/>
    </row>
    <row r="566" x14ac:dyDescent="0.25">
      <c r="B566" t="s">
        <v>461</v>
      </c>
      <c r="C566" s="19">
        <v>6</v>
      </c>
      <c r="D566" s="19">
        <v>29</v>
      </c>
      <c r="E566">
        <f t="shared" si="359"/>
        <v>35</v>
      </c>
      <c r="H566">
        <v>13</v>
      </c>
      <c r="I566" s="19">
        <v>14</v>
      </c>
      <c r="J566" s="19">
        <v>12</v>
      </c>
      <c r="K566">
        <f t="shared" si="360"/>
        <v>26</v>
      </c>
      <c r="P566" s="93"/>
      <c r="Q566" s="109"/>
      <c r="AR566" s="100"/>
      <c r="AS566" s="93"/>
      <c r="AT566" s="109"/>
      <c r="BU566" s="100"/>
    </row>
    <row r="567" x14ac:dyDescent="0.25">
      <c r="B567" t="s">
        <v>462</v>
      </c>
      <c r="C567" s="19">
        <v>29</v>
      </c>
      <c r="D567" s="19">
        <v>0</v>
      </c>
      <c r="E567">
        <f t="shared" si="359"/>
        <v>29</v>
      </c>
      <c r="H567">
        <v>14</v>
      </c>
      <c r="I567" s="19">
        <v>12</v>
      </c>
      <c r="J567" s="19">
        <v>27</v>
      </c>
      <c r="K567">
        <f t="shared" si="360"/>
        <v>39</v>
      </c>
      <c r="P567" s="93"/>
      <c r="Q567" s="110" t="str">
        <f>$Q$543</f>
        <v>A.02</v>
      </c>
      <c r="R567" t="str">
        <f>$Q$533</f>
        <v>L2</v>
      </c>
      <c r="S567">
        <f>$E$21</f>
        <v>10.6875</v>
      </c>
      <c r="T567" cm="1">
        <f t="array" ref="T567">IFERROR(IF(S567=0,0,(INDEX($C$33:$C$38,MATCH($W$543,$B$33:$B$38,0),0)*(S571+$X$543)+$T$543*COUNTIF(S567:S570,"&gt;0")*$C$32+$V$543*$C$31)*$R$543),0)</f>
        <v>0</v>
      </c>
      <c r="U567">
        <f>IF(S567=0,0,-(COUNTIF(S567:S570,"&gt;0")*$T$543*$C$32+$V$543*$C$31)*$H$27*$R$543)</f>
        <v>0</v>
      </c>
      <c r="V567">
        <f>IF(S567=0,0,$V$543*$H$26*$R$543)</f>
        <v>0</v>
      </c>
      <c r="W567">
        <f>(0.6*T567+0.7*U567)*$R$543/2</f>
        <v>0</v>
      </c>
      <c r="X567">
        <f>(0.6*T567+0.6*V567)*$R$543/2</f>
        <v>0</v>
      </c>
      <c r="Z567">
        <f>IF(S567=0,0,$AD$543*$AP$533)</f>
        <v>0</v>
      </c>
      <c r="AA567">
        <f>IFERROR(Z567/$R$543,0)</f>
        <v>0</v>
      </c>
      <c r="AB567">
        <f>Z567*($F$21+IF($F$21=0,0,($C$14+$C$15+IF($C$13="single",1.5,3)+3)/12))</f>
        <v>0</v>
      </c>
      <c r="AC567">
        <f>AB567-W567</f>
        <v>0</v>
      </c>
      <c r="AD567" cm="1">
        <f t="array" ref="AD567">IFERROR(IF(AC567&lt;0,0,AC567/($R$543-INDEX(hd_off,MATCH(AQ567,hd_mark,0),0)/12)),0)</f>
        <v>0</v>
      </c>
      <c r="AE567">
        <f>IF(S567=0,0,$AD$543*$AM$533)</f>
        <v>0</v>
      </c>
      <c r="AF567">
        <f>IFERROR(AE567/$R$543,0)</f>
        <v>0</v>
      </c>
      <c r="AG567">
        <f>AE567*($F$21+IF($F$21=0,0,($C$14+$C$15+IF($C$13="single",1.5,3)+3)/12))</f>
        <v>0</v>
      </c>
      <c r="AH567">
        <f>AG567-X567</f>
        <v>0</v>
      </c>
      <c r="AI567" cm="1">
        <f t="array" ref="AI567">IFERROR(IF(AH567&lt;0,0,AH567/($R$543-INDEX(hd_off,MATCH(AQ567,hd_mark,0),0)/12)),0)</f>
        <v>0</v>
      </c>
      <c r="AJ567">
        <f>MAX($F$21,$Y$543)/$Q$564</f>
        <v>0.30172413793103448</v>
      </c>
      <c r="AK567">
        <f>IF(AJ567=0,0,IF(AJ567&gt;2,1.25-0.125*AJ567,1))</f>
        <v>1</v>
      </c>
      <c r="AL567" cm="1">
        <f t="array" ref="AL567">IFERROR(INDEX(sheath_ecap_asd,MATCH(AP567,sheath_mark,0),0)*AK567,0)</f>
        <v>0</v>
      </c>
      <c r="AM567" cm="1">
        <f t="array" ref="AM567">IFERROR(INDEX(sheath_wcap_asd,MATCH(AP567,sheath_mark,0),0)*AK567,0)</f>
        <v>0</v>
      </c>
      <c r="AN567" cm="1">
        <f t="array" ref="AN567">IFERROR(INDEX(hd_cap,MATCH(AQ567,hd_mark,0),0),0)</f>
        <v>0</v>
      </c>
      <c r="AP567" s="19"/>
      <c r="AQ567" s="19"/>
      <c r="AR567" s="100"/>
      <c r="AS567" s="93"/>
      <c r="AT567" s="110" t="str">
        <f>$AT$543</f>
        <v>1.02</v>
      </c>
      <c r="AU567" t="str">
        <f>$Q$533</f>
        <v>L2</v>
      </c>
      <c r="AV567">
        <f>$E$21</f>
        <v>10.6875</v>
      </c>
      <c r="AW567" cm="1">
        <f t="array" ref="AW567">IFERROR(IF(AV567=0,0,(INDEX($C$33:$C$38,MATCH($AZ$543,$B$33:$B$38,0),0)*(AV571+$BA$543)+$AW$543*COUNTIF(AV567:AV570,"&gt;0")*$C$32+$AY$543*$C$31)*$AU$543),0)</f>
        <v>0</v>
      </c>
      <c r="AX567">
        <f>IF(AV567=0,0,-(COUNTIF(AV567:AV570,"&gt;0")*$AW$543*$C$32+$AY$543*$C$31)*$H$27*$AU$543)</f>
        <v>0</v>
      </c>
      <c r="AY567">
        <f>IF(AV567=0,0,$AY$543*$H$26*$AU$543)</f>
        <v>0</v>
      </c>
      <c r="AZ567">
        <f>(0.6*AW567+0.7*AX567)*$AU$543/2</f>
        <v>0</v>
      </c>
      <c r="BA567">
        <f>(0.6*AW567+0.6*AY567)*$AU$543/2</f>
        <v>0</v>
      </c>
      <c r="BC567">
        <f>IF(AV567=0,0,$BG$543*$AP$533)</f>
        <v>0</v>
      </c>
      <c r="BD567">
        <f>IFERROR(BC567/$AU$543,0)</f>
        <v>0</v>
      </c>
      <c r="BE567">
        <f>BC567*($F$21+IF($F$21=0,0,($C$14+$C$15+IF($C$13="single",1.5,3)+3)/12))</f>
        <v>0</v>
      </c>
      <c r="BF567">
        <f>BE567-AZ567</f>
        <v>0</v>
      </c>
      <c r="BG567" cm="1">
        <f t="array" ref="BG567">IFERROR(IF(BF567&lt;0,0,BF567/($AU$543-INDEX(hd_off,MATCH(BT567,hd_mark,0),0)/12)),0)</f>
        <v>0</v>
      </c>
      <c r="BH567">
        <f>IF(AV567=0,0,$BG$543*$AM$533)</f>
        <v>0</v>
      </c>
      <c r="BI567">
        <f>IFERROR(BH567/$AU$543,0)</f>
        <v>0</v>
      </c>
      <c r="BJ567">
        <f>BH567*($F$21+IF($F$21=0,0,($C$14+$C$15+IF($C$13="single",1.5,3)+3)/12))</f>
        <v>0</v>
      </c>
      <c r="BK567">
        <f>BJ567-BA567</f>
        <v>0</v>
      </c>
      <c r="BL567" cm="1">
        <f t="array" ref="BL567">IFERROR(IF(BK567&lt;0,0,BK567/($AU$543-INDEX(hd_off,MATCH(BT567,hd_mark,0),0)/12)),0)</f>
        <v>0</v>
      </c>
      <c r="BM567">
        <f>MAX($F$21,$BB$543)/$Q$564</f>
        <v>0.30172413793103448</v>
      </c>
      <c r="BN567">
        <f>IF(BM567=0,0,IF(BM567&gt;2,1.25-0.125*BM567,1))</f>
        <v>1</v>
      </c>
      <c r="BO567" cm="1">
        <f t="array" ref="BO567">IFERROR(INDEX(sheath_ecap_asd,MATCH(BS567,sheath_mark,0),0)*BN567,0)</f>
        <v>0</v>
      </c>
      <c r="BP567" cm="1">
        <f t="array" ref="BP567">IFERROR(INDEX(sheath_wcap_asd,MATCH(BS567,sheath_mark,0),0)*BN567,0)</f>
        <v>0</v>
      </c>
      <c r="BQ567" cm="1">
        <f t="array" ref="BQ567">IFERROR(INDEX(hd_cap,MATCH(BT567,hd_mark,0),0),0)</f>
        <v>0</v>
      </c>
      <c r="BS567" s="19"/>
      <c r="BT567" s="19"/>
      <c r="BU567" s="100"/>
    </row>
    <row r="568" x14ac:dyDescent="0.25">
      <c r="B568" t="s">
        <v>463</v>
      </c>
      <c r="C568" s="19"/>
      <c r="D568" s="19"/>
      <c r="E568">
        <f t="shared" si="359"/>
        <v>0</v>
      </c>
      <c r="H568">
        <v>15</v>
      </c>
      <c r="I568" s="19">
        <v>27</v>
      </c>
      <c r="J568" s="19">
        <v>18</v>
      </c>
      <c r="K568">
        <f t="shared" si="360"/>
        <v>45</v>
      </c>
      <c r="P568" s="93"/>
      <c r="Q568" s="109"/>
      <c r="R568" t="str">
        <f>$Q$534</f>
        <v>L3</v>
      </c>
      <c r="S568">
        <f>$E$22</f>
        <v>21.375</v>
      </c>
      <c r="T568" cm="1">
        <f t="array" ref="T568">IFERROR(IF(S568=0,0,(INDEX($C$33:$C$38,MATCH($W$543,$B$33:$B$38,0),0)*(S571+$X$543)+$T$543*COUNTIF(S568:S570,"&gt;0")*$C$32+$V$543*$C$31)*$R$543),0)</f>
        <v>0</v>
      </c>
      <c r="U568">
        <f>IF(S568=0,0,-(COUNTIF(S568:S570,"&gt;0")*$T$543*$C$32+$V$543*$C$31)*$H$27*$R$543)</f>
        <v>0</v>
      </c>
      <c r="V568">
        <f>IF(S568=0,0,$V$543*$H$26*$R$543)</f>
        <v>0</v>
      </c>
      <c r="W568">
        <f>(0.6*T568+0.7*U568)*$R$543/2</f>
        <v>0</v>
      </c>
      <c r="X568">
        <f>T568*$R$543/2</f>
        <v>0</v>
      </c>
      <c r="Z568">
        <f>IF(S568=0,0,$AD$543*$AP$534)</f>
        <v>0</v>
      </c>
      <c r="AA568">
        <f>IFERROR(Z568/$R$543,0)</f>
        <v>0</v>
      </c>
      <c r="AB568">
        <f>Z568*($F$22+IF($F$22=0,0,($C$14+$C$15+IF($C$13="single",1.5,3)+3)/12))</f>
        <v>0</v>
      </c>
      <c r="AC568">
        <f>AB568-W568</f>
        <v>0</v>
      </c>
      <c r="AD568" cm="1">
        <f t="array" ref="AD568">IFERROR(IF(AC568&lt;0,0,AC568/($R$543-INDEX(hd_off,MATCH(AQ568,hd_mark,0),0)/12)),0)</f>
        <v>0</v>
      </c>
      <c r="AE568">
        <f>IF(S568=0,0,$AD$543*$AM$534)</f>
        <v>0</v>
      </c>
      <c r="AF568">
        <f>IFERROR(AE568/$R$543,0)</f>
        <v>0</v>
      </c>
      <c r="AG568">
        <f>AE568*($F$22+IF($F$22=0,0,($C$14+$C$15+IF($C$13="single",1.5,3)+3)/12))</f>
        <v>0</v>
      </c>
      <c r="AH568">
        <f>AG568-X568</f>
        <v>0</v>
      </c>
      <c r="AI568" cm="1">
        <f t="array" ref="AI568">IFERROR(IF(AH568&lt;0,0,AH568/($R$543-INDEX(hd_off,MATCH(AQ568,hd_mark,0),0)/12)),0)</f>
        <v>0</v>
      </c>
      <c r="AJ568">
        <f>MAX($F$22,$Z$543)/$Q$564</f>
        <v>0.30172413793103448</v>
      </c>
      <c r="AK568">
        <f t="shared" ref="AK568:AK571" si="364">IF(AJ568=0,0,IF(AJ568&gt;2,1.25-0.125*AJ568,1))</f>
        <v>1</v>
      </c>
      <c r="AL568" cm="1">
        <f t="array" ref="AL568">IFERROR(INDEX(sheath_ecap_asd,MATCH(AP568,sheath_mark,0),0)*AK568,0)</f>
        <v>0</v>
      </c>
      <c r="AM568" cm="1">
        <f t="array" ref="AM568">IFERROR(INDEX(sheath_wcap_asd,MATCH(AP568,sheath_mark,0),0)*AK568,0)</f>
        <v>0</v>
      </c>
      <c r="AN568" cm="1">
        <f t="array" ref="AN568">IFERROR(INDEX(hd_cap,MATCH(AQ568,hd_mark,0),0),0)</f>
        <v>0</v>
      </c>
      <c r="AP568" s="19"/>
      <c r="AQ568" s="19"/>
      <c r="AR568" s="100"/>
      <c r="AS568" s="93"/>
      <c r="AT568" s="109"/>
      <c r="AU568" t="str">
        <f>$Q$534</f>
        <v>L3</v>
      </c>
      <c r="AV568">
        <f>$E$22</f>
        <v>21.375</v>
      </c>
      <c r="AW568" cm="1">
        <f t="array" ref="AW568">IFERROR(IF(AV568=0,0,(INDEX($C$33:$C$38,MATCH($AZ$543,$B$33:$B$38,0),0)*(AV571+$BA$543)+$AW$543*COUNTIF(AV568:AV570,"&gt;0")*$C$32+$AY$543*$C$31)*$AU$543),0)</f>
        <v>0</v>
      </c>
      <c r="AX568">
        <f>IF(AV568=0,0,-(COUNTIF(AV568:AV570,"&gt;0")*$AW$543*$C$32+$AY$543*$C$31)*$H$27*$AU$543)</f>
        <v>0</v>
      </c>
      <c r="AY568">
        <f>IF(AV568=0,0,$AY$543*$H$26*$AU$543)</f>
        <v>0</v>
      </c>
      <c r="AZ568">
        <f>(0.6*AW568+0.7*AX568)*$AU$543/2</f>
        <v>0</v>
      </c>
      <c r="BA568">
        <f>AW568*$AU$543/2</f>
        <v>0</v>
      </c>
      <c r="BC568">
        <f>IF(AV568=0,0,$BG$543*$AP$534)</f>
        <v>0</v>
      </c>
      <c r="BD568">
        <f>IFERROR(BC568/$AU$543,0)</f>
        <v>0</v>
      </c>
      <c r="BE568">
        <f>BC568*($F$22+IF($F$22=0,0,($C$14+$C$15+IF($C$13="single",1.5,3)+3)/12))</f>
        <v>0</v>
      </c>
      <c r="BF568">
        <f>BE568-AZ568</f>
        <v>0</v>
      </c>
      <c r="BG568" cm="1">
        <f t="array" ref="BG568">IFERROR(IF(BF568&lt;0,0,BF568/($AU$543-INDEX(hd_off,MATCH(BT568,hd_mark,0),0)/12)),0)</f>
        <v>0</v>
      </c>
      <c r="BH568">
        <f>IF(AV568=0,0,$BG$543*$AM$534)</f>
        <v>0</v>
      </c>
      <c r="BI568">
        <f>IFERROR(BH568/$AU$543,0)</f>
        <v>0</v>
      </c>
      <c r="BJ568">
        <f>BH568*($F$22+IF($F$22=0,0,($C$14+$C$15+IF($C$13="single",1.5,3)+3)/12))</f>
        <v>0</v>
      </c>
      <c r="BK568">
        <f>BJ568-BA568</f>
        <v>0</v>
      </c>
      <c r="BL568" cm="1">
        <f t="array" ref="BL568">IFERROR(IF(BK568&lt;0,0,BK568/($AU$543-INDEX(hd_off,MATCH(BT568,hd_mark,0),0)/12)),0)</f>
        <v>0</v>
      </c>
      <c r="BM568">
        <f>MAX($F$22,$BC$543)/$Q$564</f>
        <v>0.30172413793103448</v>
      </c>
      <c r="BN568">
        <f t="shared" ref="BN568:BN571" si="365">IF(BM568=0,0,IF(BM568&gt;2,1.25-0.125*BM568,1))</f>
        <v>1</v>
      </c>
      <c r="BO568" cm="1">
        <f t="array" ref="BO568">IFERROR(INDEX(sheath_ecap_asd,MATCH(BS568,sheath_mark,0),0)*BN568,0)</f>
        <v>0</v>
      </c>
      <c r="BP568" cm="1">
        <f t="array" ref="BP568">IFERROR(INDEX(sheath_wcap_asd,MATCH(BS568,sheath_mark,0),0)*BN568,0)</f>
        <v>0</v>
      </c>
      <c r="BQ568" cm="1">
        <f t="array" ref="BQ568">IFERROR(INDEX(hd_cap,MATCH(BT568,hd_mark,0),0),0)</f>
        <v>0</v>
      </c>
      <c r="BS568" s="19"/>
      <c r="BT568" s="19"/>
      <c r="BU568" s="100"/>
    </row>
    <row r="569" x14ac:dyDescent="0.25">
      <c r="B569" t="s">
        <v>464</v>
      </c>
      <c r="C569" s="19"/>
      <c r="D569" s="19"/>
      <c r="E569">
        <f t="shared" si="359"/>
        <v>0</v>
      </c>
      <c r="H569">
        <v>16</v>
      </c>
      <c r="I569" s="19"/>
      <c r="J569" s="19"/>
      <c r="K569">
        <f t="shared" si="360"/>
        <v>0</v>
      </c>
      <c r="P569" s="93"/>
      <c r="Q569" s="109" t="s">
        <v>491</v>
      </c>
      <c r="R569" t="str">
        <f>$Q$535</f>
        <v>L4</v>
      </c>
      <c r="S569">
        <f>$E$23</f>
        <v>0</v>
      </c>
      <c r="T569" cm="1">
        <f t="array" ref="T569">IFERROR(IF(S569=0,0,(INDEX($C$33:$C$38,MATCH($W$543,$B$33:$B$38,0),0)*(S571+$X$543)+$T$543*COUNTIF(S569:S570,"&gt;0")*$C$32+$V$543*$C$31)*$R$543),0)</f>
        <v>0</v>
      </c>
      <c r="U569">
        <f>IF(S569=0,0,-(COUNTIF(S569:S570,"&gt;0")*$T$543*$C$32+$V$543*$C$31)*$H$27*$R$543)</f>
        <v>0</v>
      </c>
      <c r="V569">
        <f>IF(S569=0,0,$V$543*$H$26*$R$543)</f>
        <v>0</v>
      </c>
      <c r="W569">
        <f>(0.6*T569+0.7*U569)*$R$543/2</f>
        <v>0</v>
      </c>
      <c r="X569">
        <f>T569*$R$543/2</f>
        <v>0</v>
      </c>
      <c r="Z569">
        <f>IF(S569=0,0,$AD$543*$AP$535)</f>
        <v>0</v>
      </c>
      <c r="AA569">
        <f>IFERROR(Z569/$R$543,0)</f>
        <v>0</v>
      </c>
      <c r="AB569">
        <f>Z569*($F$23+IF($F$23=0,0,($C$14+$C$15+IF($C$13="single",1.5,3)+3)/12))</f>
        <v>0</v>
      </c>
      <c r="AC569">
        <f>AB569-W569</f>
        <v>0</v>
      </c>
      <c r="AD569" cm="1">
        <f t="array" ref="AD569">IFERROR(IF(AC569&lt;0,0,AC569/($R$543-INDEX(hd_off,MATCH(AQ569,hd_mark,0),0)/12)),0)</f>
        <v>0</v>
      </c>
      <c r="AE569">
        <f>IF(S569=0,0,$AD$543*$AM$535)</f>
        <v>0</v>
      </c>
      <c r="AF569">
        <f>IFERROR(AE569/$R$543,0)</f>
        <v>0</v>
      </c>
      <c r="AG569">
        <f>AE569*($F$23+IF($F$23=0,0,($C$14+$C$15+IF($C$13="single",1.5,3)+3)/12))</f>
        <v>0</v>
      </c>
      <c r="AH569">
        <f>AG569-X569</f>
        <v>0</v>
      </c>
      <c r="AI569" cm="1">
        <f t="array" ref="AI569">IFERROR(IF(AH569&lt;0,0,AH569/($R$543-INDEX(hd_off,MATCH(AQ569,hd_mark,0),0)/12)),0)</f>
        <v>0</v>
      </c>
      <c r="AJ569">
        <f>MAX($F$23,$AA$543)/$Q$564</f>
        <v>0</v>
      </c>
      <c r="AK569">
        <f t="shared" si="364"/>
        <v>0</v>
      </c>
      <c r="AL569" cm="1">
        <f t="array" ref="AL569">IFERROR(INDEX(sheath_ecap_asd,MATCH(AP569,sheath_mark,0),0)*AK569,0)</f>
        <v>0</v>
      </c>
      <c r="AM569" cm="1">
        <f t="array" ref="AM569">IFERROR(INDEX(sheath_wcap_asd,MATCH(AP569,sheath_mark,0),0)*AK569,0)</f>
        <v>0</v>
      </c>
      <c r="AN569" cm="1">
        <f t="array" ref="AN569">IFERROR(INDEX(hd_cap,MATCH(AQ569,hd_mark,0),0),0)</f>
        <v>0</v>
      </c>
      <c r="AP569" s="19"/>
      <c r="AQ569" s="19"/>
      <c r="AR569" s="100"/>
      <c r="AS569" s="93"/>
      <c r="AT569" s="109" t="s">
        <v>491</v>
      </c>
      <c r="AU569" t="str">
        <f>$Q$535</f>
        <v>L4</v>
      </c>
      <c r="AV569">
        <f>$E$23</f>
        <v>0</v>
      </c>
      <c r="AW569" cm="1">
        <f t="array" ref="AW569">IFERROR(IF(AV569=0,0,(INDEX($C$33:$C$38,MATCH($AZ$543,$B$33:$B$38,0),0)*(AV571+$BA$543)+$AW$543*COUNTIF(AV569:AV570,"&gt;0")*$C$32+$AY$543*$C$31)*$AU$543),0)</f>
        <v>0</v>
      </c>
      <c r="AX569">
        <f>IF(AV569=0,0,-(COUNTIF(AV569:AV570,"&gt;0")*$AW$543*$C$32+$AY$543*$C$31)*$H$27*$AU$543)</f>
        <v>0</v>
      </c>
      <c r="AY569">
        <f>IF(AV569=0,0,$AY$543*$H$26*$AU$543)</f>
        <v>0</v>
      </c>
      <c r="AZ569">
        <f>(0.6*AW569+0.7*AX569)*$AU$543/2</f>
        <v>0</v>
      </c>
      <c r="BA569">
        <f>AW569*$AU$543/2</f>
        <v>0</v>
      </c>
      <c r="BC569">
        <f>IF(AV569=0,0,$BG$543*$AP$535)</f>
        <v>0</v>
      </c>
      <c r="BD569">
        <f>IFERROR(BC569/$AU$543,0)</f>
        <v>0</v>
      </c>
      <c r="BE569">
        <f>BC569*($F$23+IF($F$23=0,0,($C$14+$C$15+IF($C$13="single",1.5,3)+3)/12))</f>
        <v>0</v>
      </c>
      <c r="BF569">
        <f>BE569-AZ569</f>
        <v>0</v>
      </c>
      <c r="BG569" cm="1">
        <f t="array" ref="BG569">IFERROR(IF(BF569&lt;0,0,BF569/($AU$543-INDEX(hd_off,MATCH(BT569,hd_mark,0),0)/12)),0)</f>
        <v>0</v>
      </c>
      <c r="BH569">
        <f>IF(AV569=0,0,$BG$543*$AM$535)</f>
        <v>0</v>
      </c>
      <c r="BI569">
        <f>IFERROR(BH569/$AU$543,0)</f>
        <v>0</v>
      </c>
      <c r="BJ569">
        <f>BH569*($F$23+IF($F$23=0,0,($C$14+$C$15+IF($C$13="single",1.5,3)+3)/12))</f>
        <v>0</v>
      </c>
      <c r="BK569">
        <f>BJ569-BA569</f>
        <v>0</v>
      </c>
      <c r="BL569" cm="1">
        <f t="array" ref="BL569">IFERROR(IF(BK569&lt;0,0,BK569/($AU$543-INDEX(hd_off,MATCH(BT569,hd_mark,0),0)/12)),0)</f>
        <v>0</v>
      </c>
      <c r="BM569">
        <f>MAX($F$23,$BD$543)/$Q$564</f>
        <v>0</v>
      </c>
      <c r="BN569">
        <f t="shared" si="365"/>
        <v>0</v>
      </c>
      <c r="BO569" cm="1">
        <f t="array" ref="BO569">IFERROR(INDEX(sheath_ecap_asd,MATCH(BS569,sheath_mark,0),0)*BN569,0)</f>
        <v>0</v>
      </c>
      <c r="BP569" cm="1">
        <f t="array" ref="BP569">IFERROR(INDEX(sheath_wcap_asd,MATCH(BS569,sheath_mark,0),0)*BN569,0)</f>
        <v>0</v>
      </c>
      <c r="BQ569" cm="1">
        <f t="array" ref="BQ569">IFERROR(INDEX(hd_cap,MATCH(BT569,hd_mark,0),0),0)</f>
        <v>0</v>
      </c>
      <c r="BS569" s="19"/>
      <c r="BT569" s="19"/>
      <c r="BU569" s="100"/>
    </row>
    <row r="570" x14ac:dyDescent="0.25">
      <c r="B570" t="s">
        <v>465</v>
      </c>
      <c r="C570" s="19"/>
      <c r="D570" s="19"/>
      <c r="E570">
        <f t="shared" si="359"/>
        <v>0</v>
      </c>
      <c r="H570">
        <v>17</v>
      </c>
      <c r="I570" s="19"/>
      <c r="J570" s="19"/>
      <c r="K570">
        <f t="shared" si="360"/>
        <v>0</v>
      </c>
      <c r="P570" s="93"/>
      <c r="Q570" s="111">
        <f>$R$543</f>
        <v>0</v>
      </c>
      <c r="R570" t="str">
        <f>$Q$536</f>
        <v>L5</v>
      </c>
      <c r="S570">
        <f>$E$24</f>
        <v>0</v>
      </c>
      <c r="T570" cm="1">
        <f t="array" ref="T570">IFERROR(IF(S570=0,0,(INDEX($C$33:$C$38,MATCH($W$543,$B$33:$B$38,0),0)*(S571+$X$543)+$T$543*COUNTIF(S570:S570,"&gt;0")*$C$32+$V$543*$C$31)*$R$543),0)</f>
        <v>0</v>
      </c>
      <c r="U570">
        <f>IF(S570=0,0,-(COUNTIF(S570:S570,"&gt;0")*$T$543*$C$32+$V$543*$C$31)*$H$27*$R$543)</f>
        <v>0</v>
      </c>
      <c r="V570">
        <f>IF(S570=0,0,$V$543*$H$26*$R$543)</f>
        <v>0</v>
      </c>
      <c r="W570">
        <f>(0.6*T570+0.7*U570)*$R$543/2</f>
        <v>0</v>
      </c>
      <c r="X570">
        <f>T570*$R$543/2</f>
        <v>0</v>
      </c>
      <c r="Z570">
        <f>IF(S570=0,0,$AD$543*$AP$536)</f>
        <v>0</v>
      </c>
      <c r="AA570">
        <f>IFERROR(Z570/$R$543,0)</f>
        <v>0</v>
      </c>
      <c r="AB570">
        <f>Z570*($F$24+IF($F$24=0,0,($C$14+$C$15+IF($C$13="single",1.5,3)+3)/12))</f>
        <v>0</v>
      </c>
      <c r="AC570">
        <f>AB570-W570</f>
        <v>0</v>
      </c>
      <c r="AD570" cm="1">
        <f t="array" ref="AD570">IFERROR(IF(AC570&lt;0,0,AC570/($R$543-INDEX(hd_off,MATCH(AQ570,hd_mark,0),0)/12)),0)</f>
        <v>0</v>
      </c>
      <c r="AE570">
        <f>IF(S570=0,0,$AD$543*$AM$536)</f>
        <v>0</v>
      </c>
      <c r="AF570">
        <f>IFERROR(AE570/$R$543,0)</f>
        <v>0</v>
      </c>
      <c r="AG570">
        <f>AE570*($F$24+IF($F$24=0,0,($C$14+$C$15+IF($C$13="single",1.5,3)+3)/12))</f>
        <v>0</v>
      </c>
      <c r="AH570">
        <f>AG570-X570</f>
        <v>0</v>
      </c>
      <c r="AI570" cm="1">
        <f t="array" ref="AI570">IFERROR(IF(AH570&lt;0,0,AH570/($R$543-INDEX(hd_off,MATCH(AQ570,hd_mark,0),0)/12)),0)</f>
        <v>0</v>
      </c>
      <c r="AJ570">
        <f>MAX($F$24,$AB$543)/$Q$564</f>
        <v>0</v>
      </c>
      <c r="AK570">
        <f t="shared" si="364"/>
        <v>0</v>
      </c>
      <c r="AL570" cm="1">
        <f t="array" ref="AL570">IFERROR(INDEX(sheath_ecap_asd,MATCH(AP570,sheath_mark,0),0)*AK570,0)</f>
        <v>0</v>
      </c>
      <c r="AM570" cm="1">
        <f t="array" ref="AM570">IFERROR(INDEX(sheath_wcap_asd,MATCH(AP570,sheath_mark,0),0)*AK570,0)</f>
        <v>0</v>
      </c>
      <c r="AN570" cm="1">
        <f t="array" ref="AN570">IFERROR(INDEX(hd_cap,MATCH(AQ570,hd_mark,0),0),0)</f>
        <v>0</v>
      </c>
      <c r="AP570" s="19"/>
      <c r="AQ570" s="19"/>
      <c r="AR570" s="100"/>
      <c r="AS570" s="93"/>
      <c r="AT570" s="111">
        <f>$R$543</f>
        <v>0</v>
      </c>
      <c r="AU570" t="str">
        <f>$Q$536</f>
        <v>L5</v>
      </c>
      <c r="AV570">
        <f>$E$24</f>
        <v>0</v>
      </c>
      <c r="AW570" cm="1">
        <f t="array" ref="AW570">IFERROR(IF(AV570=0,0,(INDEX($C$33:$C$38,MATCH($AZ$543,$B$33:$B$38,0),0)*(AV571+$BA$543)+$AW$543*COUNTIF(AV570:AV570,"&gt;0")*$C$32+$AY$543*$C$31)*$AU$543),0)</f>
        <v>0</v>
      </c>
      <c r="AX570">
        <f>IF(AV570=0,0,-(COUNTIF(AV570:AV570,"&gt;0")*$AW$543*$C$32+$AY$543*$C$31)*$H$27*$AU$543)</f>
        <v>0</v>
      </c>
      <c r="AY570">
        <f>IF(AV570=0,0,$AY$543*$H$26*$AU$543)</f>
        <v>0</v>
      </c>
      <c r="AZ570">
        <f>(0.6*AW570+0.7*AX570)*$AU$543/2</f>
        <v>0</v>
      </c>
      <c r="BA570">
        <f>AW570*$AU$543/2</f>
        <v>0</v>
      </c>
      <c r="BC570">
        <f>IF(AV570=0,0,$BG$543*$AP$536)</f>
        <v>0</v>
      </c>
      <c r="BD570">
        <f>IFERROR(BC570/$AU$543,0)</f>
        <v>0</v>
      </c>
      <c r="BE570">
        <f>BC570*($F$24+IF($F$24=0,0,($C$14+$C$15+IF($C$13="single",1.5,3)+3)/12))</f>
        <v>0</v>
      </c>
      <c r="BF570">
        <f>BE570-AZ570</f>
        <v>0</v>
      </c>
      <c r="BG570" cm="1">
        <f t="array" ref="BG570">IFERROR(IF(BF570&lt;0,0,BF570/($AU$543-INDEX(hd_off,MATCH(BT570,hd_mark,0),0)/12)),0)</f>
        <v>0</v>
      </c>
      <c r="BH570">
        <f>IF(AV570=0,0,$BG$543*$AM$536)</f>
        <v>0</v>
      </c>
      <c r="BI570">
        <f>IFERROR(BH570/$AU$543,0)</f>
        <v>0</v>
      </c>
      <c r="BJ570">
        <f>BH570*($F$24+IF($F$24=0,0,($C$14+$C$15+IF($C$13="single",1.5,3)+3)/12))</f>
        <v>0</v>
      </c>
      <c r="BK570">
        <f>BJ570-BA570</f>
        <v>0</v>
      </c>
      <c r="BL570" cm="1">
        <f t="array" ref="BL570">IFERROR(IF(BK570&lt;0,0,BK570/($AU$543-INDEX(hd_off,MATCH(BT570,hd_mark,0),0)/12)),0)</f>
        <v>0</v>
      </c>
      <c r="BM570">
        <f>MAX($F$24,$BE$543)/$Q$564</f>
        <v>0</v>
      </c>
      <c r="BN570">
        <f t="shared" si="365"/>
        <v>0</v>
      </c>
      <c r="BO570" cm="1">
        <f t="array" ref="BO570">IFERROR(INDEX(sheath_ecap_asd,MATCH(BS570,sheath_mark,0),0)*BN570,0)</f>
        <v>0</v>
      </c>
      <c r="BP570" cm="1">
        <f t="array" ref="BP570">IFERROR(INDEX(sheath_wcap_asd,MATCH(BS570,sheath_mark,0),0)*BN570,0)</f>
        <v>0</v>
      </c>
      <c r="BQ570" cm="1">
        <f t="array" ref="BQ570">IFERROR(INDEX(hd_cap,MATCH(BT570,hd_mark,0),0),0)</f>
        <v>0</v>
      </c>
      <c r="BS570" s="19"/>
      <c r="BT570" s="19"/>
      <c r="BU570" s="100"/>
    </row>
    <row r="571" x14ac:dyDescent="0.25">
      <c r="B571" t="s">
        <v>466</v>
      </c>
      <c r="C571" s="19"/>
      <c r="D571" s="19"/>
      <c r="E571">
        <f t="shared" si="359"/>
        <v>0</v>
      </c>
      <c r="H571">
        <v>18</v>
      </c>
      <c r="I571" s="19"/>
      <c r="J571" s="19"/>
      <c r="K571">
        <f t="shared" si="360"/>
        <v>0</v>
      </c>
      <c r="P571" s="93"/>
      <c r="Q571" s="109"/>
      <c r="R571" t="str">
        <f>$Q$537</f>
        <v>Roof</v>
      </c>
      <c r="S571">
        <f>$E$25</f>
        <v>33.171875</v>
      </c>
      <c r="T571" cm="1">
        <f t="array" ref="T571">IFERROR(IF(S571=0,0,(INDEX($C$33:$C$38,MATCH($W$543,$B$33:$B$38,0),0)*(S571+$X$543)+$V$543*$C$31)*$R$543),0)</f>
        <v>0</v>
      </c>
      <c r="U571">
        <f>IF(S571=0,0,-$V$543*$C$31*$H$27*$R$543)</f>
        <v>0</v>
      </c>
      <c r="V571">
        <f>IF(S571=0,0,$V$543*$H$26*$R$543)</f>
        <v>0</v>
      </c>
      <c r="W571">
        <f>(0.6*T571+0.7*U571)*$R$543/2</f>
        <v>0</v>
      </c>
      <c r="X571">
        <f>T571*$R$543/2</f>
        <v>0</v>
      </c>
      <c r="Z571">
        <f>IF(S571=0,0,$AD$543*$AP$537)</f>
        <v>0</v>
      </c>
      <c r="AA571">
        <f>IFERROR(Z571/$R$543,0)</f>
        <v>0</v>
      </c>
      <c r="AB571">
        <f>Z571*($F$25+($C$16+$C$17+IF($C$13="single",1.5,3)+3)/12)</f>
        <v>0</v>
      </c>
      <c r="AC571">
        <f>AB571-W571</f>
        <v>0</v>
      </c>
      <c r="AD571" cm="1">
        <f t="array" ref="AD571">IFERROR(IF(AC571&lt;0,0,AC571/($R$543-INDEX(hd_off,MATCH(AQ571,hd_mark,0),0)/12)),0)</f>
        <v>0</v>
      </c>
      <c r="AE571">
        <f>IF(S571=0,0,$AD$543*$AM$537)</f>
        <v>0</v>
      </c>
      <c r="AF571">
        <f>IFERROR(AE571/$R$543,0)</f>
        <v>0</v>
      </c>
      <c r="AG571">
        <f>AE571*($F$25+($C$16+$C$17+IF($C$13="single",1.5,3)+3)/12)</f>
        <v>0</v>
      </c>
      <c r="AH571">
        <f>AG571-X571</f>
        <v>0</v>
      </c>
      <c r="AI571" cm="1">
        <f t="array" ref="AI571">IFERROR(IF(AH571&lt;0,0,AH571/($R$543-INDEX(hd_off,MATCH(AQ571,hd_mark,0),0)/12)),0)</f>
        <v>0</v>
      </c>
      <c r="AJ571">
        <f>MAX($F$25,$AC$543)/$Q$564</f>
        <v>0.29920977011494249</v>
      </c>
      <c r="AK571">
        <f t="shared" si="364"/>
        <v>1</v>
      </c>
      <c r="AL571" cm="1">
        <f t="array" ref="AL571">IFERROR(INDEX(sheath_ecap_asd,MATCH(AP571,sheath_mark,0),0)*AK571,0)</f>
        <v>0</v>
      </c>
      <c r="AM571" cm="1">
        <f t="array" ref="AM571">IFERROR(INDEX(sheath_wcap_asd,MATCH(AP571,sheath_mark,0),0)*AK571,0)</f>
        <v>0</v>
      </c>
      <c r="AN571" cm="1">
        <f t="array" ref="AN571">IFERROR(INDEX(hd_cap,MATCH(AQ571,hd_mark,0),0),0)</f>
        <v>0</v>
      </c>
      <c r="AP571" s="19"/>
      <c r="AQ571" s="19"/>
      <c r="AR571" s="100"/>
      <c r="AS571" s="93"/>
      <c r="AT571" s="109"/>
      <c r="AU571" t="str">
        <f>$Q$537</f>
        <v>Roof</v>
      </c>
      <c r="AV571">
        <f>$E$25</f>
        <v>33.171875</v>
      </c>
      <c r="AW571" cm="1">
        <f t="array" ref="AW571">IFERROR(IF(AV571=0,0,(INDEX($C$33:$C$38,MATCH($AZ$543,$B$33:$B$38,0),0)*(AV571+$BA$543)+$AY$543*$C$31)*$AU$543),0)</f>
        <v>0</v>
      </c>
      <c r="AX571">
        <f>IF(AV571=0,0,-$AY$543*$C$31*$H$27*$AU$543)</f>
        <v>0</v>
      </c>
      <c r="AY571">
        <f>IF(AV571=0,0,$AY$543*$H$26*$AU$543)</f>
        <v>0</v>
      </c>
      <c r="AZ571">
        <f>(0.6*AW571+0.7*AX571)*$AU$543/2</f>
        <v>0</v>
      </c>
      <c r="BA571">
        <f>AW571*$AU$543/2</f>
        <v>0</v>
      </c>
      <c r="BC571">
        <f>IF(AV571=0,0,$BG$543*$AP$537)</f>
        <v>0</v>
      </c>
      <c r="BD571">
        <f>IFERROR(BC571/$AU$543,0)</f>
        <v>0</v>
      </c>
      <c r="BE571">
        <f>BC571*($F$25+($C$16+$C$17+IF($C$13="single",1.5,3)+3)/12)</f>
        <v>0</v>
      </c>
      <c r="BF571">
        <f>BE571-AZ571</f>
        <v>0</v>
      </c>
      <c r="BG571" cm="1">
        <f t="array" ref="BG571">IFERROR(IF(BF571&lt;0,0,BF571/($AU$543-INDEX(hd_off,MATCH(BT571,hd_mark,0),0)/12)),0)</f>
        <v>0</v>
      </c>
      <c r="BH571">
        <f>IF(AV571=0,0,$BG$543*$AM$537)</f>
        <v>0</v>
      </c>
      <c r="BI571">
        <f>IFERROR(BH571/$AU$543,0)</f>
        <v>0</v>
      </c>
      <c r="BJ571">
        <f>BH571*($F$25+($C$16+$C$17+IF($C$13="single",1.5,3)+3)/12)</f>
        <v>0</v>
      </c>
      <c r="BK571">
        <f>BJ571-BA571</f>
        <v>0</v>
      </c>
      <c r="BL571" cm="1">
        <f t="array" ref="BL571">IFERROR(IF(BK571&lt;0,0,BK571/($AU$543-INDEX(hd_off,MATCH(BT571,hd_mark,0),0)/12)),0)</f>
        <v>0</v>
      </c>
      <c r="BM571">
        <f>MAX($F$25,$BF$543)/$Q$564</f>
        <v>0.29920977011494249</v>
      </c>
      <c r="BN571">
        <f t="shared" si="365"/>
        <v>1</v>
      </c>
      <c r="BO571" cm="1">
        <f t="array" ref="BO571">IFERROR(INDEX(sheath_ecap_asd,MATCH(BS571,sheath_mark,0),0)*BN571,0)</f>
        <v>0</v>
      </c>
      <c r="BP571" cm="1">
        <f t="array" ref="BP571">IFERROR(INDEX(sheath_wcap_asd,MATCH(BS571,sheath_mark,0),0)*BN571,0)</f>
        <v>0</v>
      </c>
      <c r="BQ571" cm="1">
        <f t="array" ref="BQ571">IFERROR(INDEX(hd_cap,MATCH(BT571,hd_mark,0),0),0)</f>
        <v>0</v>
      </c>
      <c r="BS571" s="19"/>
      <c r="BT571" s="19"/>
      <c r="BU571" s="100"/>
    </row>
    <row r="572" x14ac:dyDescent="0.25">
      <c r="B572" t="s">
        <v>467</v>
      </c>
      <c r="C572" s="19"/>
      <c r="D572" s="19"/>
      <c r="E572">
        <f t="shared" si="359"/>
        <v>0</v>
      </c>
      <c r="H572">
        <v>19</v>
      </c>
      <c r="I572" s="19"/>
      <c r="J572" s="19"/>
      <c r="K572">
        <f t="shared" si="360"/>
        <v>0</v>
      </c>
      <c r="P572" s="93"/>
      <c r="AR572" s="100"/>
      <c r="AS572" s="93"/>
      <c r="BU572" s="100"/>
    </row>
    <row r="573" x14ac:dyDescent="0.25">
      <c r="B573" t="s">
        <v>468</v>
      </c>
      <c r="C573" s="19"/>
      <c r="D573" s="19"/>
      <c r="E573">
        <f t="shared" si="359"/>
        <v>0</v>
      </c>
      <c r="H573">
        <v>20</v>
      </c>
      <c r="I573" s="19"/>
      <c r="J573" s="19"/>
      <c r="K573">
        <f t="shared" si="360"/>
        <v>0</v>
      </c>
      <c r="P573" s="93"/>
      <c r="Q573" s="110" t="str">
        <f>$Q$544</f>
        <v>A.03</v>
      </c>
      <c r="R573" t="str">
        <f>$Q$533</f>
        <v>L2</v>
      </c>
      <c r="S573">
        <f>$E$21</f>
        <v>10.6875</v>
      </c>
      <c r="T573" cm="1">
        <f t="array" ref="T573">IFERROR(IF(S573=0,0,(INDEX($C$33:$C$38,MATCH($W$544,$B$33:$B$38,0),0)*(S577+$X$544)+$T$544*COUNTIF(S573:S576,"&gt;0")*$C$32+$V$544*$C$31)*$R$544),0)</f>
        <v>0</v>
      </c>
      <c r="U573">
        <f>IF(S573=0,0,-(COUNTIF(S573:S576,"&gt;0")*$T$544*$C$32+$V$544*$C$31)*$H$27*$R$544)</f>
        <v>0</v>
      </c>
      <c r="V573">
        <f>IF(S573=0,0,$V$544*$H$26*$R$544)</f>
        <v>0</v>
      </c>
      <c r="W573">
        <f>(0.6*T573+0.7*U573)*$R$544/2</f>
        <v>0</v>
      </c>
      <c r="X573">
        <f>(0.6*T573+0.6*V573)*$R$544/2</f>
        <v>0</v>
      </c>
      <c r="Z573">
        <f>IF(S573=0,0,$AD$544*$AP$533)</f>
        <v>0</v>
      </c>
      <c r="AA573">
        <f>IFERROR(Z573/$R$544,0)</f>
        <v>0</v>
      </c>
      <c r="AB573">
        <f>Z573*($F$21+IF($F$21=0,0,($C$14+$C$15+IF($C$13="single",1.5,3)+3)/12))</f>
        <v>0</v>
      </c>
      <c r="AC573">
        <f>AB573-W573</f>
        <v>0</v>
      </c>
      <c r="AD573" cm="1">
        <f t="array" ref="AD573">IFERROR(IF(AC573&lt;0,0,AC573/($R$544-INDEX(hd_off,MATCH(AQ573,hd_mark,0),0)/12)),0)</f>
        <v>0</v>
      </c>
      <c r="AE573">
        <f>IF(S573=0,0,$AD$544*$AM$533)</f>
        <v>0</v>
      </c>
      <c r="AF573">
        <f>IFERROR(AE573/$R$544,0)</f>
        <v>0</v>
      </c>
      <c r="AG573">
        <f>AE573*($F$21+IF($F$21=0,0,($C$14+$C$15+IF($C$13="single",1.5,3)+3)/12))</f>
        <v>0</v>
      </c>
      <c r="AH573">
        <f>AG573-X573</f>
        <v>0</v>
      </c>
      <c r="AI573" cm="1">
        <f t="array" ref="AI573">IFERROR(IF(AH573&lt;0,0,AH573/($R$544-INDEX(hd_off,MATCH(AQ573,hd_mark,0),0)/12)),0)</f>
        <v>0</v>
      </c>
      <c r="AJ573">
        <f>MAX($F$21,$Y$544)/$Q$564</f>
        <v>0.30172413793103448</v>
      </c>
      <c r="AK573">
        <f>IF(AJ573=0,0,IF(AJ573&gt;2,1.25-0.125*AJ573,1))</f>
        <v>1</v>
      </c>
      <c r="AL573" cm="1">
        <f t="array" ref="AL573">IFERROR(INDEX(sheath_ecap_asd,MATCH(AP573,sheath_mark,0),0)*AK573,0)</f>
        <v>0</v>
      </c>
      <c r="AM573" cm="1">
        <f t="array" ref="AM573">IFERROR(INDEX(sheath_wcap_asd,MATCH(AP573,sheath_mark,0),0)*AK573,0)</f>
        <v>0</v>
      </c>
      <c r="AN573" cm="1">
        <f t="array" ref="AN573">IFERROR(INDEX(hd_cap,MATCH(AQ573,hd_mark,0),0),0)</f>
        <v>0</v>
      </c>
      <c r="AP573" s="19"/>
      <c r="AQ573" s="19"/>
      <c r="AR573" s="100"/>
      <c r="AS573" s="93"/>
      <c r="AT573" s="110" t="str">
        <f>$AT$544</f>
        <v>1.03</v>
      </c>
      <c r="AU573" t="str">
        <f>$Q$533</f>
        <v>L2</v>
      </c>
      <c r="AV573">
        <f>$E$21</f>
        <v>10.6875</v>
      </c>
      <c r="AW573" cm="1">
        <f t="array" ref="AW573">IFERROR(IF(AV573=0,0,(INDEX($C$33:$C$38,MATCH($AZ$544,$B$33:$B$38,0),0)*(AV577+$BA$544)+$AW$544*COUNTIF(AV573:AV576,"&gt;0")*$C$32+$AY$544*$C$31)*$AU$544),0)</f>
        <v>0</v>
      </c>
      <c r="AX573">
        <f>IF(AV573=0,0,-(COUNTIF(AV573:AV576,"&gt;0")*$AW$544*$C$32+$AY$544*$C$31)*$H$27*$AU$544)</f>
        <v>0</v>
      </c>
      <c r="AY573">
        <f>IF(AV573=0,0,$AY$544*$H$26*$AU$544)</f>
        <v>0</v>
      </c>
      <c r="AZ573">
        <f>(0.6*AW573+0.7*AX573)*$AU$544/2</f>
        <v>0</v>
      </c>
      <c r="BA573">
        <f>(0.6*AW573+0.6*AY573)*$AU$544/2</f>
        <v>0</v>
      </c>
      <c r="BC573">
        <f>IF(AV573=0,0,$BG$544*$AP$533)</f>
        <v>0</v>
      </c>
      <c r="BD573">
        <f>IFERROR(BC573/$AU$544,0)</f>
        <v>0</v>
      </c>
      <c r="BE573">
        <f>BC573*($F$21+IF($F$21=0,0,($C$14+$C$15+IF($C$13="single",1.5,3)+3)/12))</f>
        <v>0</v>
      </c>
      <c r="BF573">
        <f>BE573-AZ573</f>
        <v>0</v>
      </c>
      <c r="BG573" cm="1">
        <f t="array" ref="BG573">IFERROR(IF(BF573&lt;0,0,BF573/($AU$544-INDEX(hd_off,MATCH(BT573,hd_mark,0),0)/12)),0)</f>
        <v>0</v>
      </c>
      <c r="BH573">
        <f>IF(AV573=0,0,$BG$544*$AM$533)</f>
        <v>0</v>
      </c>
      <c r="BI573">
        <f>IFERROR(BH573/$AU$544,0)</f>
        <v>0</v>
      </c>
      <c r="BJ573">
        <f>BH573*($F$21+IF($F$21=0,0,($C$14+$C$15+IF($C$13="single",1.5,3)+3)/12))</f>
        <v>0</v>
      </c>
      <c r="BK573">
        <f>BJ573-BA573</f>
        <v>0</v>
      </c>
      <c r="BL573" cm="1">
        <f t="array" ref="BL573">IFERROR(IF(BK573&lt;0,0,BK573/($AU$544-INDEX(hd_off,MATCH(BT573,hd_mark,0),0)/12)),0)</f>
        <v>0</v>
      </c>
      <c r="BM573">
        <f>MAX($F$21,$BB$544)/$Q$564</f>
        <v>0.30172413793103448</v>
      </c>
      <c r="BN573">
        <f>IF(BM573=0,0,IF(BM573&gt;2,1.25-0.125*BM573,1))</f>
        <v>1</v>
      </c>
      <c r="BO573" cm="1">
        <f t="array" ref="BO573">IFERROR(INDEX(sheath_ecap_asd,MATCH(BS573,sheath_mark,0),0)*BN573,0)</f>
        <v>0</v>
      </c>
      <c r="BP573" cm="1">
        <f t="array" ref="BP573">IFERROR(INDEX(sheath_wcap_asd,MATCH(BS573,sheath_mark,0),0)*BN573,0)</f>
        <v>0</v>
      </c>
      <c r="BQ573" cm="1">
        <f t="array" ref="BQ573">IFERROR(INDEX(hd_cap,MATCH(BT573,hd_mark,0),0),0)</f>
        <v>0</v>
      </c>
      <c r="BS573" s="19"/>
      <c r="BT573" s="19"/>
      <c r="BU573" s="100"/>
    </row>
    <row r="574" x14ac:dyDescent="0.25">
      <c r="B574" t="s">
        <v>469</v>
      </c>
      <c r="C574" s="19"/>
      <c r="D574" s="19"/>
      <c r="E574">
        <f t="shared" si="359"/>
        <v>0</v>
      </c>
      <c r="H574">
        <v>21</v>
      </c>
      <c r="I574" s="19"/>
      <c r="J574" s="19"/>
      <c r="K574">
        <f t="shared" si="360"/>
        <v>0</v>
      </c>
      <c r="P574" s="93"/>
      <c r="Q574" s="109"/>
      <c r="R574" t="str">
        <f>$Q$534</f>
        <v>L3</v>
      </c>
      <c r="S574">
        <f>$E$22</f>
        <v>21.375</v>
      </c>
      <c r="T574" cm="1">
        <f t="array" ref="T574">IFERROR(IF(S574=0,0,(INDEX($C$33:$C$38,MATCH($W$544,$B$33:$B$38,0),0)*(S577+$X$544)+$T$544*COUNTIF(S574:S576,"&gt;0")*$C$32+$V$544*$C$31)*$R$544),0)</f>
        <v>0</v>
      </c>
      <c r="U574">
        <f>IF(S574=0,0,-(COUNTIF(S574:S576,"&gt;0")*$T$544*$C$32+$V$544*$C$31)*$H$27*$R$544)</f>
        <v>0</v>
      </c>
      <c r="V574">
        <f>IF(S574=0,0,$V$544*$H$26*$R$544)</f>
        <v>0</v>
      </c>
      <c r="W574">
        <f>(0.6*T574+0.7*U574)*$R$544/2</f>
        <v>0</v>
      </c>
      <c r="X574">
        <f>T574*$R$544/2</f>
        <v>0</v>
      </c>
      <c r="Z574">
        <f>IF(S574=0,0,$AD$544*$AP$534)</f>
        <v>0</v>
      </c>
      <c r="AA574">
        <f>IFERROR(Z574/$R$544,0)</f>
        <v>0</v>
      </c>
      <c r="AB574">
        <f>Z574*($F$22+IF($F$22=0,0,($C$14+$C$15+IF($C$13="single",1.5,3)+3)/12))</f>
        <v>0</v>
      </c>
      <c r="AC574">
        <f>AB574-W574</f>
        <v>0</v>
      </c>
      <c r="AD574" cm="1">
        <f t="array" ref="AD574">IFERROR(IF(AC574&lt;0,0,AC574/($R$544-INDEX(hd_off,MATCH(AQ574,hd_mark,0),0)/12)),0)</f>
        <v>0</v>
      </c>
      <c r="AE574">
        <f>IF(S574=0,0,$AD$544*$AM$534)</f>
        <v>0</v>
      </c>
      <c r="AF574">
        <f>IFERROR(AE574/$R$544,0)</f>
        <v>0</v>
      </c>
      <c r="AG574">
        <f>AE574*($F$22+IF($F$22=0,0,($C$14+$C$15+IF($C$13="single",1.5,3)+3)/12))</f>
        <v>0</v>
      </c>
      <c r="AH574">
        <f>AG574-X574</f>
        <v>0</v>
      </c>
      <c r="AI574" cm="1">
        <f t="array" ref="AI574">IFERROR(IF(AH574&lt;0,0,AH574/($R$544-INDEX(hd_off,MATCH(AQ574,hd_mark,0),0)/12)),0)</f>
        <v>0</v>
      </c>
      <c r="AJ574">
        <f>MAX($F$22,$Z$544)/$Q$564</f>
        <v>0.30172413793103448</v>
      </c>
      <c r="AK574">
        <f t="shared" ref="AK574:AK577" si="366">IF(AJ574=0,0,IF(AJ574&gt;2,1.25-0.125*AJ574,1))</f>
        <v>1</v>
      </c>
      <c r="AL574" cm="1">
        <f t="array" ref="AL574">IFERROR(INDEX(sheath_ecap_asd,MATCH(AP574,sheath_mark,0),0)*AK574,0)</f>
        <v>0</v>
      </c>
      <c r="AM574" cm="1">
        <f t="array" ref="AM574">IFERROR(INDEX(sheath_wcap_asd,MATCH(AP574,sheath_mark,0),0)*AK574,0)</f>
        <v>0</v>
      </c>
      <c r="AN574" cm="1">
        <f t="array" ref="AN574">IFERROR(INDEX(hd_cap,MATCH(AQ574,hd_mark,0),0),0)</f>
        <v>0</v>
      </c>
      <c r="AP574" s="19"/>
      <c r="AQ574" s="19"/>
      <c r="AR574" s="100"/>
      <c r="AS574" s="93"/>
      <c r="AT574" s="109"/>
      <c r="AU574" t="str">
        <f>$Q$534</f>
        <v>L3</v>
      </c>
      <c r="AV574">
        <f>$E$22</f>
        <v>21.375</v>
      </c>
      <c r="AW574" cm="1">
        <f t="array" ref="AW574">IFERROR(IF(AV574=0,0,(INDEX($C$33:$C$38,MATCH($AZ$544,$B$33:$B$38,0),0)*(AV577+$BA$544)+$AW$544*COUNTIF(AV574:AV576,"&gt;0")*$C$32+$AY$544*$C$31)*$AU$544),0)</f>
        <v>0</v>
      </c>
      <c r="AX574">
        <f>IF(AV574=0,0,-(COUNTIF(AV574:AV576,"&gt;0")*$AW$544*$C$32+$AY$544*$C$31)*$H$27*$AU$544)</f>
        <v>0</v>
      </c>
      <c r="AY574">
        <f>IF(AV574=0,0,$AY$544*$H$26*$AU$544)</f>
        <v>0</v>
      </c>
      <c r="AZ574">
        <f>(0.6*AW574+0.7*AX574)*$AU$544/2</f>
        <v>0</v>
      </c>
      <c r="BA574">
        <f>AW574*$AU$544/2</f>
        <v>0</v>
      </c>
      <c r="BC574">
        <f>IF(AV574=0,0,$BG$544*$AP$534)</f>
        <v>0</v>
      </c>
      <c r="BD574">
        <f>IFERROR(BC574/$AU$544,0)</f>
        <v>0</v>
      </c>
      <c r="BE574">
        <f>BC574*($F$22+IF($F$22=0,0,($C$14+$C$15+IF($C$13="single",1.5,3)+3)/12))</f>
        <v>0</v>
      </c>
      <c r="BF574">
        <f>BE574-AZ574</f>
        <v>0</v>
      </c>
      <c r="BG574" cm="1">
        <f t="array" ref="BG574">IFERROR(IF(BF574&lt;0,0,BF574/($AU$544-INDEX(hd_off,MATCH(BT574,hd_mark,0),0)/12)),0)</f>
        <v>0</v>
      </c>
      <c r="BH574">
        <f>IF(AV574=0,0,$BG$544*$AM$534)</f>
        <v>0</v>
      </c>
      <c r="BI574">
        <f>IFERROR(BH574/$AU$544,0)</f>
        <v>0</v>
      </c>
      <c r="BJ574">
        <f>BH574*($F$22+IF($F$22=0,0,($C$14+$C$15+IF($C$13="single",1.5,3)+3)/12))</f>
        <v>0</v>
      </c>
      <c r="BK574">
        <f>BJ574-BA574</f>
        <v>0</v>
      </c>
      <c r="BL574" cm="1">
        <f t="array" ref="BL574">IFERROR(IF(BK574&lt;0,0,BK574/($AU$544-INDEX(hd_off,MATCH(BT574,hd_mark,0),0)/12)),0)</f>
        <v>0</v>
      </c>
      <c r="BM574">
        <f>MAX($F$22,$BC$544)/$Q$564</f>
        <v>0.30172413793103448</v>
      </c>
      <c r="BN574">
        <f t="shared" ref="BN574:BN577" si="367">IF(BM574=0,0,IF(BM574&gt;2,1.25-0.125*BM574,1))</f>
        <v>1</v>
      </c>
      <c r="BO574" cm="1">
        <f t="array" ref="BO574">IFERROR(INDEX(sheath_ecap_asd,MATCH(BS574,sheath_mark,0),0)*BN574,0)</f>
        <v>0</v>
      </c>
      <c r="BP574" cm="1">
        <f t="array" ref="BP574">IFERROR(INDEX(sheath_wcap_asd,MATCH(BS574,sheath_mark,0),0)*BN574,0)</f>
        <v>0</v>
      </c>
      <c r="BQ574" cm="1">
        <f t="array" ref="BQ574">IFERROR(INDEX(hd_cap,MATCH(BT574,hd_mark,0),0),0)</f>
        <v>0</v>
      </c>
      <c r="BS574" s="19"/>
      <c r="BT574" s="19"/>
      <c r="BU574" s="100"/>
    </row>
    <row r="575" x14ac:dyDescent="0.25">
      <c r="B575" t="s">
        <v>285</v>
      </c>
      <c r="C575" s="19"/>
      <c r="D575" s="19"/>
      <c r="E575">
        <f t="shared" si="359"/>
        <v>0</v>
      </c>
      <c r="H575">
        <v>22</v>
      </c>
      <c r="I575" s="19"/>
      <c r="J575" s="19"/>
      <c r="K575">
        <f t="shared" si="360"/>
        <v>0</v>
      </c>
      <c r="P575" s="93"/>
      <c r="Q575" s="109" t="s">
        <v>491</v>
      </c>
      <c r="R575" t="str">
        <f>$Q$535</f>
        <v>L4</v>
      </c>
      <c r="S575">
        <f>$E$23</f>
        <v>0</v>
      </c>
      <c r="T575" cm="1">
        <f t="array" ref="T575">IFERROR(IF(S575=0,0,(INDEX($C$33:$C$38,MATCH($W$544,$B$33:$B$38,0),0)*(S577+$X$544)+$T$544*COUNTIF(S575:S576,"&gt;0")*$C$32+$V$544*$C$31)*$R$544),0)</f>
        <v>0</v>
      </c>
      <c r="U575">
        <f>IF(S575=0,0,-(COUNTIF(S575:S576,"&gt;0")*$T$544*$C$32+$V$544*$C$31)*$H$27*$R$544)</f>
        <v>0</v>
      </c>
      <c r="V575">
        <f>IF(S575=0,0,$V$544*$H$26*$R$544)</f>
        <v>0</v>
      </c>
      <c r="W575">
        <f>(0.6*T575+0.7*U575)*$R$544/2</f>
        <v>0</v>
      </c>
      <c r="X575">
        <f>T575*$R$544/2</f>
        <v>0</v>
      </c>
      <c r="Z575">
        <f>IF(S575=0,0,$AD$544*$AP$535)</f>
        <v>0</v>
      </c>
      <c r="AA575">
        <f>IFERROR(Z575/$R$544,0)</f>
        <v>0</v>
      </c>
      <c r="AB575">
        <f>Z575*($F$23+IF($F$23=0,0,($C$14+$C$15+IF($C$13="single",1.5,3)+3)/12))</f>
        <v>0</v>
      </c>
      <c r="AC575">
        <f>AB575-W575</f>
        <v>0</v>
      </c>
      <c r="AD575" cm="1">
        <f t="array" ref="AD575">IFERROR(IF(AC575&lt;0,0,AC575/($R$544-INDEX(hd_off,MATCH(AQ575,hd_mark,0),0)/12)),0)</f>
        <v>0</v>
      </c>
      <c r="AE575">
        <f>IF(S575=0,0,$AD$544*$AM$535)</f>
        <v>0</v>
      </c>
      <c r="AF575">
        <f>IFERROR(AE575/$R$544,0)</f>
        <v>0</v>
      </c>
      <c r="AG575">
        <f>AE575*($F$23+IF($F$23=0,0,($C$14+$C$15+IF($C$13="single",1.5,3)+3)/12))</f>
        <v>0</v>
      </c>
      <c r="AH575">
        <f>AG575-X575</f>
        <v>0</v>
      </c>
      <c r="AI575" cm="1">
        <f t="array" ref="AI575">IFERROR(IF(AH575&lt;0,0,AH575/($R$544-INDEX(hd_off,MATCH(AQ575,hd_mark,0),0)/12)),0)</f>
        <v>0</v>
      </c>
      <c r="AJ575">
        <f>MAX($F$23,$AA$544)/$Q$564</f>
        <v>0</v>
      </c>
      <c r="AK575">
        <f t="shared" si="366"/>
        <v>0</v>
      </c>
      <c r="AL575" cm="1">
        <f t="array" ref="AL575">IFERROR(INDEX(sheath_ecap_asd,MATCH(AP575,sheath_mark,0),0)*AK575,0)</f>
        <v>0</v>
      </c>
      <c r="AM575" cm="1">
        <f t="array" ref="AM575">IFERROR(INDEX(sheath_wcap_asd,MATCH(AP575,sheath_mark,0),0)*AK575,0)</f>
        <v>0</v>
      </c>
      <c r="AN575" cm="1">
        <f t="array" ref="AN575">IFERROR(INDEX(hd_cap,MATCH(AQ575,hd_mark,0),0),0)</f>
        <v>0</v>
      </c>
      <c r="AP575" s="19"/>
      <c r="AQ575" s="19"/>
      <c r="AR575" s="100"/>
      <c r="AS575" s="93"/>
      <c r="AT575" s="109" t="s">
        <v>491</v>
      </c>
      <c r="AU575" t="str">
        <f>$Q$535</f>
        <v>L4</v>
      </c>
      <c r="AV575">
        <f>$E$23</f>
        <v>0</v>
      </c>
      <c r="AW575" cm="1">
        <f t="array" ref="AW575">IFERROR(IF(AV575=0,0,(INDEX($C$33:$C$38,MATCH($AZ$544,$B$33:$B$38,0),0)*(AV577+$BA$544)+$AW$544*COUNTIF(AV575:AV576,"&gt;0")*$C$32+$AY$544*$C$31)*$AU$544),0)</f>
        <v>0</v>
      </c>
      <c r="AX575">
        <f>IF(AV575=0,0,-(COUNTIF(AV575:AV576,"&gt;0")*$AW$544*$C$32+$AY$544*$C$31)*$H$27*$AU$544)</f>
        <v>0</v>
      </c>
      <c r="AY575">
        <f>IF(AV575=0,0,$AY$544*$H$26*$AU$544)</f>
        <v>0</v>
      </c>
      <c r="AZ575">
        <f>(0.6*AW575+0.7*AX575)*$AU$544/2</f>
        <v>0</v>
      </c>
      <c r="BA575">
        <f>AW575*$AU$544/2</f>
        <v>0</v>
      </c>
      <c r="BC575">
        <f>IF(AV575=0,0,$BG$544*$AP$535)</f>
        <v>0</v>
      </c>
      <c r="BD575">
        <f>IFERROR(BC575/$AU$544,0)</f>
        <v>0</v>
      </c>
      <c r="BE575">
        <f>BC575*($F$23+IF($F$23=0,0,($C$14+$C$15+IF($C$13="single",1.5,3)+3)/12))</f>
        <v>0</v>
      </c>
      <c r="BF575">
        <f>BE575-AZ575</f>
        <v>0</v>
      </c>
      <c r="BG575" cm="1">
        <f t="array" ref="BG575">IFERROR(IF(BF575&lt;0,0,BF575/($AU$544-INDEX(hd_off,MATCH(BT575,hd_mark,0),0)/12)),0)</f>
        <v>0</v>
      </c>
      <c r="BH575">
        <f>IF(AV575=0,0,$BG$544*$AM$535)</f>
        <v>0</v>
      </c>
      <c r="BI575">
        <f>IFERROR(BH575/$AU$544,0)</f>
        <v>0</v>
      </c>
      <c r="BJ575">
        <f>BH575*($F$23+IF($F$23=0,0,($C$14+$C$15+IF($C$13="single",1.5,3)+3)/12))</f>
        <v>0</v>
      </c>
      <c r="BK575">
        <f>BJ575-BA575</f>
        <v>0</v>
      </c>
      <c r="BL575" cm="1">
        <f t="array" ref="BL575">IFERROR(IF(BK575&lt;0,0,BK575/($AU$544-INDEX(hd_off,MATCH(BT575,hd_mark,0),0)/12)),0)</f>
        <v>0</v>
      </c>
      <c r="BM575">
        <f>MAX($F$23,$BD$544)/$Q$564</f>
        <v>0</v>
      </c>
      <c r="BN575">
        <f t="shared" si="367"/>
        <v>0</v>
      </c>
      <c r="BO575" cm="1">
        <f t="array" ref="BO575">IFERROR(INDEX(sheath_ecap_asd,MATCH(BS575,sheath_mark,0),0)*BN575,0)</f>
        <v>0</v>
      </c>
      <c r="BP575" cm="1">
        <f t="array" ref="BP575">IFERROR(INDEX(sheath_wcap_asd,MATCH(BS575,sheath_mark,0),0)*BN575,0)</f>
        <v>0</v>
      </c>
      <c r="BQ575" cm="1">
        <f t="array" ref="BQ575">IFERROR(INDEX(hd_cap,MATCH(BT575,hd_mark,0),0),0)</f>
        <v>0</v>
      </c>
      <c r="BS575" s="19"/>
      <c r="BT575" s="19"/>
      <c r="BU575" s="100"/>
    </row>
    <row r="576" x14ac:dyDescent="0.25">
      <c r="B576" t="s">
        <v>470</v>
      </c>
      <c r="C576" s="19"/>
      <c r="D576" s="19"/>
      <c r="E576">
        <f t="shared" si="359"/>
        <v>0</v>
      </c>
      <c r="H576">
        <v>23</v>
      </c>
      <c r="I576" s="19"/>
      <c r="J576" s="19"/>
      <c r="K576">
        <f t="shared" si="360"/>
        <v>0</v>
      </c>
      <c r="P576" s="93"/>
      <c r="Q576" s="111">
        <f>$R$544</f>
        <v>0</v>
      </c>
      <c r="R576" t="str">
        <f>$Q$536</f>
        <v>L5</v>
      </c>
      <c r="S576">
        <f>$E$24</f>
        <v>0</v>
      </c>
      <c r="T576" cm="1">
        <f t="array" ref="T576">IFERROR(IF(S576=0,0,(INDEX($C$33:$C$38,MATCH($W$544,$B$33:$B$38,0),0)*(S577+$X$544)+$T$544*COUNTIF(S576:S576,"&gt;0")*$C$32+$V$544*$C$31)*$R$544),0)</f>
        <v>0</v>
      </c>
      <c r="U576">
        <f>IF(S576=0,0,-(COUNTIF(S576:S576,"&gt;0")*$T$544*$C$32+$V$544*$C$31)*$H$27*$R$544)</f>
        <v>0</v>
      </c>
      <c r="V576">
        <f>IF(S576=0,0,$V$544*$H$26*$R$544)</f>
        <v>0</v>
      </c>
      <c r="W576">
        <f>(0.6*T576+0.7*U576)*$R$544/2</f>
        <v>0</v>
      </c>
      <c r="X576">
        <f>T576*$R$544/2</f>
        <v>0</v>
      </c>
      <c r="Z576">
        <f>IF(S576=0,0,$AD$544*$AP$536)</f>
        <v>0</v>
      </c>
      <c r="AA576">
        <f>IFERROR(Z576/$R$544,0)</f>
        <v>0</v>
      </c>
      <c r="AB576">
        <f>Z576*($F$24+IF($F$24=0,0,($C$14+$C$15+IF($C$13="single",1.5,3)+3)/12))</f>
        <v>0</v>
      </c>
      <c r="AC576">
        <f>AB576-W576</f>
        <v>0</v>
      </c>
      <c r="AD576" cm="1">
        <f t="array" ref="AD576">IFERROR(IF(AC576&lt;0,0,AC576/($R$544-INDEX(hd_off,MATCH(AQ576,hd_mark,0),0)/12)),0)</f>
        <v>0</v>
      </c>
      <c r="AE576">
        <f>IF(S576=0,0,$AD$544*$AM$536)</f>
        <v>0</v>
      </c>
      <c r="AF576">
        <f>IFERROR(AE576/$R$544,0)</f>
        <v>0</v>
      </c>
      <c r="AG576">
        <f>AE576*($F$24+IF($F$24=0,0,($C$14+$C$15+IF($C$13="single",1.5,3)+3)/12))</f>
        <v>0</v>
      </c>
      <c r="AH576">
        <f>AG576-X576</f>
        <v>0</v>
      </c>
      <c r="AI576" cm="1">
        <f t="array" ref="AI576">IFERROR(IF(AH576&lt;0,0,AH576/($R$544-INDEX(hd_off,MATCH(AQ576,hd_mark,0),0)/12)),0)</f>
        <v>0</v>
      </c>
      <c r="AJ576">
        <f>MAX($F$24,$AB$544)/$Q$564</f>
        <v>0</v>
      </c>
      <c r="AK576">
        <f t="shared" si="366"/>
        <v>0</v>
      </c>
      <c r="AL576" cm="1">
        <f t="array" ref="AL576">IFERROR(INDEX(sheath_ecap_asd,MATCH(AP576,sheath_mark,0),0)*AK576,0)</f>
        <v>0</v>
      </c>
      <c r="AM576" cm="1">
        <f t="array" ref="AM576">IFERROR(INDEX(sheath_wcap_asd,MATCH(AP576,sheath_mark,0),0)*AK576,0)</f>
        <v>0</v>
      </c>
      <c r="AN576" cm="1">
        <f t="array" ref="AN576">IFERROR(INDEX(hd_cap,MATCH(AQ576,hd_mark,0),0),0)</f>
        <v>0</v>
      </c>
      <c r="AP576" s="19"/>
      <c r="AQ576" s="19"/>
      <c r="AR576" s="100"/>
      <c r="AS576" s="93"/>
      <c r="AT576" s="111">
        <f>$R$544</f>
        <v>0</v>
      </c>
      <c r="AU576" t="str">
        <f>$Q$536</f>
        <v>L5</v>
      </c>
      <c r="AV576">
        <f>$E$24</f>
        <v>0</v>
      </c>
      <c r="AW576" cm="1">
        <f t="array" ref="AW576">IFERROR(IF(AV576=0,0,(INDEX($C$33:$C$38,MATCH($AZ$544,$B$33:$B$38,0),0)*(AV577+$BA$544)+$AW$544*COUNTIF(AV576:AV576,"&gt;0")*$C$32+$AY$544*$C$31)*$AU$544),0)</f>
        <v>0</v>
      </c>
      <c r="AX576">
        <f>IF(AV576=0,0,-(COUNTIF(AV576:AV576,"&gt;0")*$AW$544*$C$32+$AY$544*$C$31)*$H$27*$AU$544)</f>
        <v>0</v>
      </c>
      <c r="AY576">
        <f>IF(AV576=0,0,$AY$544*$H$26*$AU$544)</f>
        <v>0</v>
      </c>
      <c r="AZ576">
        <f>(0.6*AW576+0.7*AX576)*$AU$544/2</f>
        <v>0</v>
      </c>
      <c r="BA576">
        <f>AW576*$AU$544/2</f>
        <v>0</v>
      </c>
      <c r="BC576">
        <f>IF(AV576=0,0,$BG$544*$AP$536)</f>
        <v>0</v>
      </c>
      <c r="BD576">
        <f>IFERROR(BC576/$AU$544,0)</f>
        <v>0</v>
      </c>
      <c r="BE576">
        <f>BC576*($F$24+IF($F$24=0,0,($C$14+$C$15+IF($C$13="single",1.5,3)+3)/12))</f>
        <v>0</v>
      </c>
      <c r="BF576">
        <f>BE576-AZ576</f>
        <v>0</v>
      </c>
      <c r="BG576" cm="1">
        <f t="array" ref="BG576">IFERROR(IF(BF576&lt;0,0,BF576/($AU$544-INDEX(hd_off,MATCH(BT576,hd_mark,0),0)/12)),0)</f>
        <v>0</v>
      </c>
      <c r="BH576">
        <f>IF(AV576=0,0,$BG$544*$AM$536)</f>
        <v>0</v>
      </c>
      <c r="BI576">
        <f>IFERROR(BH576/$AU$544,0)</f>
        <v>0</v>
      </c>
      <c r="BJ576">
        <f>BH576*($F$24+IF($F$24=0,0,($C$14+$C$15+IF($C$13="single",1.5,3)+3)/12))</f>
        <v>0</v>
      </c>
      <c r="BK576">
        <f>BJ576-BA576</f>
        <v>0</v>
      </c>
      <c r="BL576" cm="1">
        <f t="array" ref="BL576">IFERROR(IF(BK576&lt;0,0,BK576/($AU$544-INDEX(hd_off,MATCH(BT576,hd_mark,0),0)/12)),0)</f>
        <v>0</v>
      </c>
      <c r="BM576">
        <f>MAX($F$24,$BE$544)/$Q$564</f>
        <v>0</v>
      </c>
      <c r="BN576">
        <f t="shared" si="367"/>
        <v>0</v>
      </c>
      <c r="BO576" cm="1">
        <f t="array" ref="BO576">IFERROR(INDEX(sheath_ecap_asd,MATCH(BS576,sheath_mark,0),0)*BN576,0)</f>
        <v>0</v>
      </c>
      <c r="BP576" cm="1">
        <f t="array" ref="BP576">IFERROR(INDEX(sheath_wcap_asd,MATCH(BS576,sheath_mark,0),0)*BN576,0)</f>
        <v>0</v>
      </c>
      <c r="BQ576" cm="1">
        <f t="array" ref="BQ576">IFERROR(INDEX(hd_cap,MATCH(BT576,hd_mark,0),0),0)</f>
        <v>0</v>
      </c>
      <c r="BS576" s="19"/>
      <c r="BT576" s="19"/>
      <c r="BU576" s="100"/>
    </row>
    <row r="577" x14ac:dyDescent="0.25">
      <c r="B577" t="s">
        <v>471</v>
      </c>
      <c r="C577" s="19"/>
      <c r="D577" s="19"/>
      <c r="E577">
        <f t="shared" si="359"/>
        <v>0</v>
      </c>
      <c r="H577">
        <v>24</v>
      </c>
      <c r="I577" s="19"/>
      <c r="J577" s="19"/>
      <c r="K577">
        <f t="shared" si="360"/>
        <v>0</v>
      </c>
      <c r="P577" s="93"/>
      <c r="Q577" s="109"/>
      <c r="R577" t="str">
        <f>$Q$537</f>
        <v>Roof</v>
      </c>
      <c r="S577">
        <f>$E$25</f>
        <v>33.171875</v>
      </c>
      <c r="T577" cm="1">
        <f t="array" ref="T577">IFERROR(IF(S577=0,0,(INDEX($C$33:$C$38,MATCH($W$544,$B$33:$B$38,0),0)*(S577+$X$544)+$V$544*$C$31)*$R$544),0)</f>
        <v>0</v>
      </c>
      <c r="U577">
        <f>IF(S577=0,0,-$V$544*$C$31*$H$27*$R$544)</f>
        <v>0</v>
      </c>
      <c r="V577">
        <f>IF(S577=0,0,$V$544*$H$26*$R$544)</f>
        <v>0</v>
      </c>
      <c r="W577">
        <f>(0.6*T577+0.7*U577)*$R$544/2</f>
        <v>0</v>
      </c>
      <c r="X577">
        <f>T577*$R$544/2</f>
        <v>0</v>
      </c>
      <c r="Z577">
        <f>IF(S577=0,0,$AD$544*$AP$537)</f>
        <v>0</v>
      </c>
      <c r="AA577">
        <f>IFERROR(Z577/$R$544,0)</f>
        <v>0</v>
      </c>
      <c r="AB577">
        <f>Z577*($F$25+($C$16+$C$17+IF($C$13="single",1.5,3)+3)/12)</f>
        <v>0</v>
      </c>
      <c r="AC577">
        <f>AB577-W577</f>
        <v>0</v>
      </c>
      <c r="AD577" cm="1">
        <f t="array" ref="AD577">IFERROR(IF(AC577&lt;0,0,AC577/($R$544-INDEX(hd_off,MATCH(AQ577,hd_mark,0),0)/12)),0)</f>
        <v>0</v>
      </c>
      <c r="AE577">
        <f>IF(S577=0,0,$AD$544*$AM$537)</f>
        <v>0</v>
      </c>
      <c r="AF577">
        <f>IFERROR(AE577/$R$544,0)</f>
        <v>0</v>
      </c>
      <c r="AG577">
        <f>AE577*($F$25+($C$16+$C$17+IF($C$13="single",1.5,3)+3)/12)</f>
        <v>0</v>
      </c>
      <c r="AH577">
        <f>AG577-X577</f>
        <v>0</v>
      </c>
      <c r="AI577" cm="1">
        <f t="array" ref="AI577">IFERROR(IF(AH577&lt;0,0,AH577/($R$544-INDEX(hd_off,MATCH(AQ577,hd_mark,0),0)/12)),0)</f>
        <v>0</v>
      </c>
      <c r="AJ577">
        <f>MAX($F$25,$AC$544)/$Q$564</f>
        <v>0.29920977011494249</v>
      </c>
      <c r="AK577">
        <f t="shared" si="366"/>
        <v>1</v>
      </c>
      <c r="AL577" cm="1">
        <f t="array" ref="AL577">IFERROR(INDEX(sheath_ecap_asd,MATCH(AP577,sheath_mark,0),0)*AK577,0)</f>
        <v>0</v>
      </c>
      <c r="AM577" cm="1">
        <f t="array" ref="AM577">IFERROR(INDEX(sheath_wcap_asd,MATCH(AP577,sheath_mark,0),0)*AK577,0)</f>
        <v>0</v>
      </c>
      <c r="AN577" cm="1">
        <f t="array" ref="AN577">IFERROR(INDEX(hd_cap,MATCH(AQ577,hd_mark,0),0),0)</f>
        <v>0</v>
      </c>
      <c r="AP577" s="19"/>
      <c r="AQ577" s="19"/>
      <c r="AR577" s="100"/>
      <c r="AS577" s="93"/>
      <c r="AT577" s="109"/>
      <c r="AU577" t="str">
        <f>$Q$537</f>
        <v>Roof</v>
      </c>
      <c r="AV577">
        <f>$E$25</f>
        <v>33.171875</v>
      </c>
      <c r="AW577" cm="1">
        <f t="array" ref="AW577">IFERROR(IF(AV577=0,0,(INDEX($C$33:$C$38,MATCH($AZ$544,$B$33:$B$38,0),0)*(AV577+$BA$544)+$AY$544*$C$31)*$AU$544),0)</f>
        <v>0</v>
      </c>
      <c r="AX577">
        <f>IF(AV577=0,0,-$AY$544*$C$31*$H$27*$AU$544)</f>
        <v>0</v>
      </c>
      <c r="AY577">
        <f>IF(AV577=0,0,$AY$544*$H$26*$AU$544)</f>
        <v>0</v>
      </c>
      <c r="AZ577">
        <f>(0.6*AW577+0.7*AX577)*$AU$544/2</f>
        <v>0</v>
      </c>
      <c r="BA577">
        <f>AW577*$AU$544/2</f>
        <v>0</v>
      </c>
      <c r="BC577">
        <f>IF(AV577=0,0,$BG$544*$AP$537)</f>
        <v>0</v>
      </c>
      <c r="BD577">
        <f>IFERROR(BC577/$AU$544,0)</f>
        <v>0</v>
      </c>
      <c r="BE577">
        <f>BC577*($F$25+($C$16+$C$17+IF($C$13="single",1.5,3)+3)/12)</f>
        <v>0</v>
      </c>
      <c r="BF577">
        <f>BE577-AZ577</f>
        <v>0</v>
      </c>
      <c r="BG577" cm="1">
        <f t="array" ref="BG577">IFERROR(IF(BF577&lt;0,0,BF577/($AU$544-INDEX(hd_off,MATCH(BT577,hd_mark,0),0)/12)),0)</f>
        <v>0</v>
      </c>
      <c r="BH577">
        <f>IF(AV577=0,0,$BG$544*$AM$537)</f>
        <v>0</v>
      </c>
      <c r="BI577">
        <f>IFERROR(BH577/$AU$544,0)</f>
        <v>0</v>
      </c>
      <c r="BJ577">
        <f>BH577*($F$25+($C$16+$C$17+IF($C$13="single",1.5,3)+3)/12)</f>
        <v>0</v>
      </c>
      <c r="BK577">
        <f>BJ577-BA577</f>
        <v>0</v>
      </c>
      <c r="BL577" cm="1">
        <f t="array" ref="BL577">IFERROR(IF(BK577&lt;0,0,BK577/($AU$544-INDEX(hd_off,MATCH(BT577,hd_mark,0),0)/12)),0)</f>
        <v>0</v>
      </c>
      <c r="BM577">
        <f>MAX($F$25,$BF$544)/$Q$564</f>
        <v>0.29920977011494249</v>
      </c>
      <c r="BN577">
        <f t="shared" si="367"/>
        <v>1</v>
      </c>
      <c r="BO577" cm="1">
        <f t="array" ref="BO577">IFERROR(INDEX(sheath_ecap_asd,MATCH(BS577,sheath_mark,0),0)*BN577,0)</f>
        <v>0</v>
      </c>
      <c r="BP577" cm="1">
        <f t="array" ref="BP577">IFERROR(INDEX(sheath_wcap_asd,MATCH(BS577,sheath_mark,0),0)*BN577,0)</f>
        <v>0</v>
      </c>
      <c r="BQ577" cm="1">
        <f t="array" ref="BQ577">IFERROR(INDEX(hd_cap,MATCH(BT577,hd_mark,0),0),0)</f>
        <v>0</v>
      </c>
      <c r="BS577" s="19"/>
      <c r="BT577" s="19"/>
      <c r="BU577" s="100"/>
    </row>
    <row r="578" x14ac:dyDescent="0.25">
      <c r="B578" t="s">
        <v>472</v>
      </c>
      <c r="C578" s="19"/>
      <c r="D578" s="19"/>
      <c r="E578">
        <f t="shared" si="359"/>
        <v>0</v>
      </c>
      <c r="H578">
        <v>25</v>
      </c>
      <c r="I578" s="19"/>
      <c r="J578" s="19"/>
      <c r="K578">
        <f t="shared" si="360"/>
        <v>0</v>
      </c>
      <c r="P578" s="93"/>
      <c r="AR578" s="100"/>
      <c r="AS578" s="93"/>
      <c r="BU578" s="100"/>
    </row>
    <row r="579" x14ac:dyDescent="0.25">
      <c r="B579" t="s">
        <v>473</v>
      </c>
      <c r="C579" s="19"/>
      <c r="D579" s="19"/>
      <c r="E579">
        <f t="shared" si="359"/>
        <v>0</v>
      </c>
      <c r="H579">
        <v>26</v>
      </c>
      <c r="I579" s="19"/>
      <c r="J579" s="19"/>
      <c r="K579">
        <f t="shared" si="360"/>
        <v>0</v>
      </c>
      <c r="P579" s="93"/>
      <c r="Q579" s="110" t="str">
        <f>$Q$545</f>
        <v>A.04</v>
      </c>
      <c r="R579" t="str">
        <f>$Q$533</f>
        <v>L2</v>
      </c>
      <c r="S579">
        <f>$E$21</f>
        <v>10.6875</v>
      </c>
      <c r="T579" cm="1">
        <f t="array" ref="T579">IFERROR(IF(S579=0,0,(INDEX($C$33:$C$38,MATCH($W$545,$B$33:$B$38,0),0)*(S583+$X$545)+$T$545*COUNTIF(S579:S582,"&gt;0")*$C$32+$V$545*$C$31)*$R$545),0)</f>
        <v>0</v>
      </c>
      <c r="U579">
        <f>IF(S579=0,0,-(COUNTIF(S579:S582,"&gt;0")*$T$545*$C$32+$V$545*$C$31)*$H$27*$R$545)</f>
        <v>0</v>
      </c>
      <c r="V579">
        <f>IF(S579=0,0,$V$545*$H$26*$R$545)</f>
        <v>0</v>
      </c>
      <c r="W579">
        <f>(0.6*T579+0.7*U579)*$R$545/2</f>
        <v>0</v>
      </c>
      <c r="X579">
        <f>(0.6*T579+0.6*V579)*$R$545/2</f>
        <v>0</v>
      </c>
      <c r="Z579">
        <f>IF(S579=0,0,$AD$545*$AP$533)</f>
        <v>0</v>
      </c>
      <c r="AA579">
        <f>IFERROR(Z579/$R$545,0)</f>
        <v>0</v>
      </c>
      <c r="AB579">
        <f>Z579*($F$21+IF($F$21=0,0,($C$14+$C$15+IF($C$13="single",1.5,3)+3)/12))</f>
        <v>0</v>
      </c>
      <c r="AC579">
        <f>AB579-W579</f>
        <v>0</v>
      </c>
      <c r="AD579" cm="1">
        <f t="array" ref="AD579">IFERROR(IF(AC579&lt;0,0,AC579/($R$545-INDEX(hd_off,MATCH(AQ579,hd_mark,0),0)/12)),0)</f>
        <v>0</v>
      </c>
      <c r="AE579">
        <f>IF(S579=0,0,$AD$545*$AM$533)</f>
        <v>0</v>
      </c>
      <c r="AF579">
        <f>IFERROR(AE579/$R$545,0)</f>
        <v>0</v>
      </c>
      <c r="AG579">
        <f>AE579*($F$21+IF($F$21=0,0,($C$14+$C$15+IF($C$13="single",1.5,3)+3)/12))</f>
        <v>0</v>
      </c>
      <c r="AH579">
        <f>AG579-X579</f>
        <v>0</v>
      </c>
      <c r="AI579" cm="1">
        <f t="array" ref="AI579">IFERROR(IF(AH579&lt;0,0,AH579/($R$545-INDEX(hd_off,MATCH(AQ579,hd_mark,0),0)/12)),0)</f>
        <v>0</v>
      </c>
      <c r="AJ579">
        <f>MAX($F$21,$Y$545)/$Q$564</f>
        <v>0.30172413793103448</v>
      </c>
      <c r="AK579">
        <f>IF(AJ579=0,0,IF(AJ579&gt;2,1.25-0.125*AJ579,1))</f>
        <v>1</v>
      </c>
      <c r="AL579" cm="1">
        <f t="array" ref="AL579">IFERROR(INDEX(sheath_ecap_asd,MATCH(AP579,sheath_mark,0),0)*AK579,0)</f>
        <v>0</v>
      </c>
      <c r="AM579" cm="1">
        <f t="array" ref="AM579">IFERROR(INDEX(sheath_wcap_asd,MATCH(AP579,sheath_mark,0),0)*AK579,0)</f>
        <v>0</v>
      </c>
      <c r="AN579" cm="1">
        <f t="array" ref="AN579">IFERROR(INDEX(hd_cap,MATCH(AQ579,hd_mark,0),0),0)</f>
        <v>0</v>
      </c>
      <c r="AP579" s="19"/>
      <c r="AQ579" s="19"/>
      <c r="AR579" s="100"/>
      <c r="AS579" s="93"/>
      <c r="AT579" s="110" t="str">
        <f>$AT$545</f>
        <v>1.04</v>
      </c>
      <c r="AU579" t="str">
        <f>$Q$533</f>
        <v>L2</v>
      </c>
      <c r="AV579">
        <f>$E$21</f>
        <v>10.6875</v>
      </c>
      <c r="AW579" cm="1">
        <f t="array" ref="AW579">IFERROR(IF(AV579=0,0,(INDEX($C$33:$C$38,MATCH($AZ$545,$B$33:$B$38,0),0)*(AV583+$BA$545)+$AW$545*COUNTIF(AV579:AV582,"&gt;0")*$C$32+$AY$545*$C$31)*$AU$545),0)</f>
        <v>0</v>
      </c>
      <c r="AX579">
        <f>IF(AV579=0,0,-(COUNTIF(AV579:AV582,"&gt;0")*$AW$545*$C$32+$AY$545*$C$31)*$H$27*$AU$545)</f>
        <v>0</v>
      </c>
      <c r="AY579">
        <f>IF(AV579=0,0,$AY$545*$H$26*$AU$545)</f>
        <v>0</v>
      </c>
      <c r="AZ579">
        <f>(0.6*AW579+0.7*AX579)*$AU$545/2</f>
        <v>0</v>
      </c>
      <c r="BA579">
        <f>(0.6*AW579+0.6*AY579)*$AU$545/2</f>
        <v>0</v>
      </c>
      <c r="BC579">
        <f>IF(AV579=0,0,$BG$545*$AP$533)</f>
        <v>0</v>
      </c>
      <c r="BD579">
        <f>IFERROR(BC579/$AU$545,0)</f>
        <v>0</v>
      </c>
      <c r="BE579">
        <f>BC579*($F$21+IF($F$21=0,0,($C$14+$C$15+IF($C$13="single",1.5,3)+3)/12))</f>
        <v>0</v>
      </c>
      <c r="BF579">
        <f>BE579-AZ579</f>
        <v>0</v>
      </c>
      <c r="BG579" cm="1">
        <f t="array" ref="BG579">IFERROR(IF(BF579&lt;0,0,BF579/($AU$545-INDEX(hd_off,MATCH(BT579,hd_mark,0),0)/12)),0)</f>
        <v>0</v>
      </c>
      <c r="BH579">
        <f>IF(AV579=0,0,$BG$545*$AM$533)</f>
        <v>0</v>
      </c>
      <c r="BI579">
        <f>IFERROR(BH579/$AU$545,0)</f>
        <v>0</v>
      </c>
      <c r="BJ579">
        <f>BH579*($F$21+IF($F$21=0,0,($C$14+$C$15+IF($C$13="single",1.5,3)+3)/12))</f>
        <v>0</v>
      </c>
      <c r="BK579">
        <f>BJ579-BA579</f>
        <v>0</v>
      </c>
      <c r="BL579" cm="1">
        <f t="array" ref="BL579">IFERROR(IF(BK579&lt;0,0,BK579/($AU$545-INDEX(hd_off,MATCH(BT579,hd_mark,0),0)/12)),0)</f>
        <v>0</v>
      </c>
      <c r="BM579">
        <f>MAX($F$21,$BB$545)/$Q$564</f>
        <v>0.30172413793103448</v>
      </c>
      <c r="BN579">
        <f>IF(BM579=0,0,IF(BM579&gt;2,1.25-0.125*BM579,1))</f>
        <v>1</v>
      </c>
      <c r="BO579" cm="1">
        <f t="array" ref="BO579">IFERROR(INDEX(sheath_ecap_asd,MATCH(BS579,sheath_mark,0),0)*BN579,0)</f>
        <v>0</v>
      </c>
      <c r="BP579" cm="1">
        <f t="array" ref="BP579">IFERROR(INDEX(sheath_wcap_asd,MATCH(BS579,sheath_mark,0),0)*BN579,0)</f>
        <v>0</v>
      </c>
      <c r="BQ579" cm="1">
        <f t="array" ref="BQ579">IFERROR(INDEX(hd_cap,MATCH(BT579,hd_mark,0),0),0)</f>
        <v>0</v>
      </c>
      <c r="BS579" s="19"/>
      <c r="BT579" s="19"/>
      <c r="BU579" s="100"/>
    </row>
    <row r="580" x14ac:dyDescent="0.25">
      <c r="P580" s="93"/>
      <c r="Q580" s="109"/>
      <c r="R580" t="str">
        <f>$Q$534</f>
        <v>L3</v>
      </c>
      <c r="S580">
        <f>$E$22</f>
        <v>21.375</v>
      </c>
      <c r="T580" cm="1">
        <f t="array" ref="T580">IFERROR(IF(S580=0,0,(INDEX($C$33:$C$38,MATCH($W$545,$B$33:$B$38,0),0)*(S583+$X$545)+$T$545*COUNTIF(S580:S582,"&gt;0")*$C$32+$V$545*$C$31)*$R$545),0)</f>
        <v>0</v>
      </c>
      <c r="U580">
        <f>IF(S580=0,0,-(COUNTIF(S580:S582,"&gt;0")*$T$545*$C$32+$V$545*$C$31)*$H$27*$R$545)</f>
        <v>0</v>
      </c>
      <c r="V580">
        <f>IF(S580=0,0,$V$545*$H$26*$R$545)</f>
        <v>0</v>
      </c>
      <c r="W580">
        <f>(0.6*T580+0.7*U580)*$R$545/2</f>
        <v>0</v>
      </c>
      <c r="X580">
        <f>T580*$R$545/2</f>
        <v>0</v>
      </c>
      <c r="Z580">
        <f>IF(S580=0,0,$AD$545*$AP$534)</f>
        <v>0</v>
      </c>
      <c r="AA580">
        <f>IFERROR(Z580/$R$545,0)</f>
        <v>0</v>
      </c>
      <c r="AB580">
        <f>Z580*($F$22+IF($F$22=0,0,($C$14+$C$15+IF($C$13="single",1.5,3)+3)/12))</f>
        <v>0</v>
      </c>
      <c r="AC580">
        <f>AB580-W580</f>
        <v>0</v>
      </c>
      <c r="AD580" cm="1">
        <f t="array" ref="AD580">IFERROR(IF(AC580&lt;0,0,AC580/($R$545-INDEX(hd_off,MATCH(AQ580,hd_mark,0),0)/12)),0)</f>
        <v>0</v>
      </c>
      <c r="AE580">
        <f>IF(S580=0,0,$AD$545*$AM$534)</f>
        <v>0</v>
      </c>
      <c r="AF580">
        <f>IFERROR(AE580/$R$545,0)</f>
        <v>0</v>
      </c>
      <c r="AG580">
        <f>AE580*($F$22+IF($F$22=0,0,($C$14+$C$15+IF($C$13="single",1.5,3)+3)/12))</f>
        <v>0</v>
      </c>
      <c r="AH580">
        <f>AG580-X580</f>
        <v>0</v>
      </c>
      <c r="AI580" cm="1">
        <f t="array" ref="AI580">IFERROR(IF(AH580&lt;0,0,AH580/($R$545-INDEX(hd_off,MATCH(AQ580,hd_mark,0),0)/12)),0)</f>
        <v>0</v>
      </c>
      <c r="AJ580">
        <f>MAX($F$22,$Z$545)/$Q$564</f>
        <v>0.30172413793103448</v>
      </c>
      <c r="AK580">
        <f t="shared" ref="AK580:AK583" si="368">IF(AJ580=0,0,IF(AJ580&gt;2,1.25-0.125*AJ580,1))</f>
        <v>1</v>
      </c>
      <c r="AL580" cm="1">
        <f t="array" ref="AL580">IFERROR(INDEX(sheath_ecap_asd,MATCH(AP580,sheath_mark,0),0)*AK580,0)</f>
        <v>0</v>
      </c>
      <c r="AM580" cm="1">
        <f t="array" ref="AM580">IFERROR(INDEX(sheath_wcap_asd,MATCH(AP580,sheath_mark,0),0)*AK580,0)</f>
        <v>0</v>
      </c>
      <c r="AN580" cm="1">
        <f t="array" ref="AN580">IFERROR(INDEX(hd_cap,MATCH(AQ580,hd_mark,0),0),0)</f>
        <v>0</v>
      </c>
      <c r="AP580" s="19"/>
      <c r="AQ580" s="19"/>
      <c r="AR580" s="100"/>
      <c r="AS580" s="93"/>
      <c r="AT580" s="109"/>
      <c r="AU580" t="str">
        <f>$Q$534</f>
        <v>L3</v>
      </c>
      <c r="AV580">
        <f>$E$22</f>
        <v>21.375</v>
      </c>
      <c r="AW580" cm="1">
        <f t="array" ref="AW580">IFERROR(IF(AV580=0,0,(INDEX($C$33:$C$38,MATCH($AZ$545,$B$33:$B$38,0),0)*(AV583+$BA$545)+$AW$545*COUNTIF(AV580:AV582,"&gt;0")*$C$32+$AY$545*$C$31)*$AU$545),0)</f>
        <v>0</v>
      </c>
      <c r="AX580">
        <f>IF(AV580=0,0,-(COUNTIF(AV580:AV582,"&gt;0")*$AW$545*$C$32+$AY$545*$C$31)*$H$27*$AU$545)</f>
        <v>0</v>
      </c>
      <c r="AY580">
        <f>IF(AV580=0,0,$AY$545*$H$26*$AU$545)</f>
        <v>0</v>
      </c>
      <c r="AZ580">
        <f>(0.6*AW580+0.7*AX580)*$AU$545/2</f>
        <v>0</v>
      </c>
      <c r="BA580">
        <f>AW580*$AU$545/2</f>
        <v>0</v>
      </c>
      <c r="BC580">
        <f>IF(AV580=0,0,$BG$545*$AP$534)</f>
        <v>0</v>
      </c>
      <c r="BD580">
        <f>IFERROR(BC580/$AU$545,0)</f>
        <v>0</v>
      </c>
      <c r="BE580">
        <f>BC580*($F$22+IF($F$22=0,0,($C$14+$C$15+IF($C$13="single",1.5,3)+3)/12))</f>
        <v>0</v>
      </c>
      <c r="BF580">
        <f>BE580-AZ580</f>
        <v>0</v>
      </c>
      <c r="BG580" cm="1">
        <f t="array" ref="BG580">IFERROR(IF(BF580&lt;0,0,BF580/($AU$545-INDEX(hd_off,MATCH(BT580,hd_mark,0),0)/12)),0)</f>
        <v>0</v>
      </c>
      <c r="BH580">
        <f>IF(AV580=0,0,$BG$545*$AM$534)</f>
        <v>0</v>
      </c>
      <c r="BI580">
        <f>IFERROR(BH580/$AU$545,0)</f>
        <v>0</v>
      </c>
      <c r="BJ580">
        <f>BH580*($F$22+IF($F$22=0,0,($C$14+$C$15+IF($C$13="single",1.5,3)+3)/12))</f>
        <v>0</v>
      </c>
      <c r="BK580">
        <f>BJ580-BA580</f>
        <v>0</v>
      </c>
      <c r="BL580" cm="1">
        <f t="array" ref="BL580">IFERROR(IF(BK580&lt;0,0,BK580/($AU$545-INDEX(hd_off,MATCH(BT580,hd_mark,0),0)/12)),0)</f>
        <v>0</v>
      </c>
      <c r="BM580">
        <f>MAX($F$22,$BC$545)/$Q$564</f>
        <v>0.30172413793103448</v>
      </c>
      <c r="BN580">
        <f t="shared" ref="BN580:BN583" si="369">IF(BM580=0,0,IF(BM580&gt;2,1.25-0.125*BM580,1))</f>
        <v>1</v>
      </c>
      <c r="BO580" cm="1">
        <f t="array" ref="BO580">IFERROR(INDEX(sheath_ecap_asd,MATCH(BS580,sheath_mark,0),0)*BN580,0)</f>
        <v>0</v>
      </c>
      <c r="BP580" cm="1">
        <f t="array" ref="BP580">IFERROR(INDEX(sheath_wcap_asd,MATCH(BS580,sheath_mark,0),0)*BN580,0)</f>
        <v>0</v>
      </c>
      <c r="BQ580" cm="1">
        <f t="array" ref="BQ580">IFERROR(INDEX(hd_cap,MATCH(BT580,hd_mark,0),0),0)</f>
        <v>0</v>
      </c>
      <c r="BS580" s="19"/>
      <c r="BT580" s="19"/>
      <c r="BU580" s="100"/>
    </row>
    <row r="581" x14ac:dyDescent="0.25">
      <c r="B581" s="1"/>
      <c r="P581" s="93"/>
      <c r="Q581" s="109" t="s">
        <v>491</v>
      </c>
      <c r="R581" t="str">
        <f>$Q$535</f>
        <v>L4</v>
      </c>
      <c r="S581">
        <f>$E$23</f>
        <v>0</v>
      </c>
      <c r="T581" cm="1">
        <f t="array" ref="T581">IFERROR(IF(S581=0,0,(INDEX($C$33:$C$38,MATCH($W$545,$B$33:$B$38,0),0)*(S583+$X$545)+$T$545*COUNTIF(S581:S582,"&gt;0")*$C$32+$V$545*$C$31)*$R$545),0)</f>
        <v>0</v>
      </c>
      <c r="U581">
        <f>IF(S581=0,0,-(COUNTIF(S581:S582,"&gt;0")*$T$545*$C$32+$V$545*$C$31)*$H$27*$R$545)</f>
        <v>0</v>
      </c>
      <c r="V581">
        <f>IF(S581=0,0,$V$545*$H$26*$R$545)</f>
        <v>0</v>
      </c>
      <c r="W581">
        <f>(0.6*T581+0.7*U581)*$R$545/2</f>
        <v>0</v>
      </c>
      <c r="X581">
        <f>T581*$R$545/2</f>
        <v>0</v>
      </c>
      <c r="Z581">
        <f>IF(S581=0,0,$AD$545*$AP$535)</f>
        <v>0</v>
      </c>
      <c r="AA581">
        <f>IFERROR(Z581/$R$545,0)</f>
        <v>0</v>
      </c>
      <c r="AB581">
        <f>Z581*($F$23+IF($F$23=0,0,($C$14+$C$15+IF($C$13="single",1.5,3)+3)/12))</f>
        <v>0</v>
      </c>
      <c r="AC581">
        <f>AB581-W581</f>
        <v>0</v>
      </c>
      <c r="AD581" cm="1">
        <f t="array" ref="AD581">IFERROR(IF(AC581&lt;0,0,AC581/($R$545-INDEX(hd_off,MATCH(AQ581,hd_mark,0),0)/12)),0)</f>
        <v>0</v>
      </c>
      <c r="AE581">
        <f>IF(S581=0,0,$AD$545*$AM$535)</f>
        <v>0</v>
      </c>
      <c r="AF581">
        <f>IFERROR(AE581/$R$545,0)</f>
        <v>0</v>
      </c>
      <c r="AG581">
        <f>AE581*($F$23+IF($F$23=0,0,($C$14+$C$15+IF($C$13="single",1.5,3)+3)/12))</f>
        <v>0</v>
      </c>
      <c r="AH581">
        <f>AG581-X581</f>
        <v>0</v>
      </c>
      <c r="AI581" cm="1">
        <f t="array" ref="AI581">IFERROR(IF(AH581&lt;0,0,AH581/($R$545-INDEX(hd_off,MATCH(AQ581,hd_mark,0),0)/12)),0)</f>
        <v>0</v>
      </c>
      <c r="AJ581">
        <f>MAX($F$23,$AA$545)/$Q$564</f>
        <v>0</v>
      </c>
      <c r="AK581">
        <f t="shared" si="368"/>
        <v>0</v>
      </c>
      <c r="AL581" cm="1">
        <f t="array" ref="AL581">IFERROR(INDEX(sheath_ecap_asd,MATCH(AP581,sheath_mark,0),0)*AK581,0)</f>
        <v>0</v>
      </c>
      <c r="AM581" cm="1">
        <f t="array" ref="AM581">IFERROR(INDEX(sheath_wcap_asd,MATCH(AP581,sheath_mark,0),0)*AK581,0)</f>
        <v>0</v>
      </c>
      <c r="AN581" cm="1">
        <f t="array" ref="AN581">IFERROR(INDEX(hd_cap,MATCH(AQ581,hd_mark,0),0),0)</f>
        <v>0</v>
      </c>
      <c r="AP581" s="19"/>
      <c r="AQ581" s="19"/>
      <c r="AR581" s="100"/>
      <c r="AS581" s="93"/>
      <c r="AT581" s="109" t="s">
        <v>491</v>
      </c>
      <c r="AU581" t="str">
        <f>$Q$535</f>
        <v>L4</v>
      </c>
      <c r="AV581">
        <f>$E$23</f>
        <v>0</v>
      </c>
      <c r="AW581" cm="1">
        <f t="array" ref="AW581">IFERROR(IF(AV581=0,0,(INDEX($C$33:$C$38,MATCH($AZ$545,$B$33:$B$38,0),0)*(AV583+$BA$545)+$AW$545*COUNTIF(AV581:AV582,"&gt;0")*$C$32+$AY$545*$C$31)*$AU$545),0)</f>
        <v>0</v>
      </c>
      <c r="AX581">
        <f>IF(AV581=0,0,-(COUNTIF(AV581:AV582,"&gt;0")*$AW$545*$C$32+$AY$545*$C$31)*$H$27*$AU$545)</f>
        <v>0</v>
      </c>
      <c r="AY581">
        <f>IF(AV581=0,0,$AY$545*$H$26*$AU$545)</f>
        <v>0</v>
      </c>
      <c r="AZ581">
        <f>(0.6*AW581+0.7*AX581)*$AU$545/2</f>
        <v>0</v>
      </c>
      <c r="BA581">
        <f>AW581*$AU$545/2</f>
        <v>0</v>
      </c>
      <c r="BC581">
        <f>IF(AV581=0,0,$BG$545*$AP$535)</f>
        <v>0</v>
      </c>
      <c r="BD581">
        <f>IFERROR(BC581/$AU$545,0)</f>
        <v>0</v>
      </c>
      <c r="BE581">
        <f>BC581*($F$23+IF($F$23=0,0,($C$14+$C$15+IF($C$13="single",1.5,3)+3)/12))</f>
        <v>0</v>
      </c>
      <c r="BF581">
        <f>BE581-AZ581</f>
        <v>0</v>
      </c>
      <c r="BG581" cm="1">
        <f t="array" ref="BG581">IFERROR(IF(BF581&lt;0,0,BF581/($AU$545-INDEX(hd_off,MATCH(BT581,hd_mark,0),0)/12)),0)</f>
        <v>0</v>
      </c>
      <c r="BH581">
        <f>IF(AV581=0,0,$BG$545*$AM$535)</f>
        <v>0</v>
      </c>
      <c r="BI581">
        <f>IFERROR(BH581/$AU$545,0)</f>
        <v>0</v>
      </c>
      <c r="BJ581">
        <f>BH581*($F$23+IF($F$23=0,0,($C$14+$C$15+IF($C$13="single",1.5,3)+3)/12))</f>
        <v>0</v>
      </c>
      <c r="BK581">
        <f>BJ581-BA581</f>
        <v>0</v>
      </c>
      <c r="BL581" cm="1">
        <f t="array" ref="BL581">IFERROR(IF(BK581&lt;0,0,BK581/($AU$545-INDEX(hd_off,MATCH(BT581,hd_mark,0),0)/12)),0)</f>
        <v>0</v>
      </c>
      <c r="BM581">
        <f>MAX($F$23,$BD$545)/$Q$564</f>
        <v>0</v>
      </c>
      <c r="BN581">
        <f t="shared" si="369"/>
        <v>0</v>
      </c>
      <c r="BO581" cm="1">
        <f t="array" ref="BO581">IFERROR(INDEX(sheath_ecap_asd,MATCH(BS581,sheath_mark,0),0)*BN581,0)</f>
        <v>0</v>
      </c>
      <c r="BP581" cm="1">
        <f t="array" ref="BP581">IFERROR(INDEX(sheath_wcap_asd,MATCH(BS581,sheath_mark,0),0)*BN581,0)</f>
        <v>0</v>
      </c>
      <c r="BQ581" cm="1">
        <f t="array" ref="BQ581">IFERROR(INDEX(hd_cap,MATCH(BT581,hd_mark,0),0),0)</f>
        <v>0</v>
      </c>
      <c r="BS581" s="19"/>
      <c r="BT581" s="19"/>
      <c r="BU581" s="100"/>
    </row>
    <row r="582" x14ac:dyDescent="0.25">
      <c r="P582" s="93"/>
      <c r="Q582" s="111">
        <f>$R$545</f>
        <v>0</v>
      </c>
      <c r="R582" t="str">
        <f>$Q$536</f>
        <v>L5</v>
      </c>
      <c r="S582">
        <f>$E$24</f>
        <v>0</v>
      </c>
      <c r="T582" cm="1">
        <f t="array" ref="T582">IFERROR(IF(S582=0,0,(INDEX($C$33:$C$38,MATCH($W$545,$B$33:$B$38,0),0)*(S583+$X$545)+$T$545*COUNTIF(S582:S582,"&gt;0")*$C$32+$V$545*$C$31)*$R$545),0)</f>
        <v>0</v>
      </c>
      <c r="U582">
        <f>IF(S582=0,0,-(COUNTIF(S582:S582,"&gt;0")*$T$545*$C$32+$V$545*$C$31)*$H$27*$R$545)</f>
        <v>0</v>
      </c>
      <c r="V582">
        <f>IF(S582=0,0,$V$545*$H$26*$R$545)</f>
        <v>0</v>
      </c>
      <c r="W582">
        <f>(0.6*T582+0.7*U582)*$R$545/2</f>
        <v>0</v>
      </c>
      <c r="X582">
        <f>T582*$R$545/2</f>
        <v>0</v>
      </c>
      <c r="Z582">
        <f>IF(S582=0,0,$AD$545*$AP$536)</f>
        <v>0</v>
      </c>
      <c r="AA582">
        <f>IFERROR(Z582/$R$545,0)</f>
        <v>0</v>
      </c>
      <c r="AB582">
        <f>Z582*($F$24+IF($F$24=0,0,($C$14+$C$15+IF($C$13="single",1.5,3)+3)/12))</f>
        <v>0</v>
      </c>
      <c r="AC582">
        <f>AB582-W582</f>
        <v>0</v>
      </c>
      <c r="AD582" cm="1">
        <f t="array" ref="AD582">IFERROR(IF(AC582&lt;0,0,AC582/($R$545-INDEX(hd_off,MATCH(AQ582,hd_mark,0),0)/12)),0)</f>
        <v>0</v>
      </c>
      <c r="AE582">
        <f>IF(S582=0,0,$AD$545*$AM$536)</f>
        <v>0</v>
      </c>
      <c r="AF582">
        <f>IFERROR(AE582/$R$545,0)</f>
        <v>0</v>
      </c>
      <c r="AG582">
        <f>AE582*($F$24+IF($F$24=0,0,($C$14+$C$15+IF($C$13="single",1.5,3)+3)/12))</f>
        <v>0</v>
      </c>
      <c r="AH582">
        <f>AG582-X582</f>
        <v>0</v>
      </c>
      <c r="AI582" cm="1">
        <f t="array" ref="AI582">IFERROR(IF(AH582&lt;0,0,AH582/($R$545-INDEX(hd_off,MATCH(AQ582,hd_mark,0),0)/12)),0)</f>
        <v>0</v>
      </c>
      <c r="AJ582">
        <f>MAX($F$24,$AB$545)/$Q$564</f>
        <v>0</v>
      </c>
      <c r="AK582">
        <f t="shared" si="368"/>
        <v>0</v>
      </c>
      <c r="AL582" cm="1">
        <f t="array" ref="AL582">IFERROR(INDEX(sheath_ecap_asd,MATCH(AP582,sheath_mark,0),0)*AK582,0)</f>
        <v>0</v>
      </c>
      <c r="AM582" cm="1">
        <f t="array" ref="AM582">IFERROR(INDEX(sheath_wcap_asd,MATCH(AP582,sheath_mark,0),0)*AK582,0)</f>
        <v>0</v>
      </c>
      <c r="AN582" cm="1">
        <f t="array" ref="AN582">IFERROR(INDEX(hd_cap,MATCH(AQ582,hd_mark,0),0),0)</f>
        <v>0</v>
      </c>
      <c r="AP582" s="19"/>
      <c r="AQ582" s="19"/>
      <c r="AR582" s="100"/>
      <c r="AS582" s="93"/>
      <c r="AT582" s="111">
        <f>$R$545</f>
        <v>0</v>
      </c>
      <c r="AU582" t="str">
        <f>$Q$536</f>
        <v>L5</v>
      </c>
      <c r="AV582">
        <f>$E$24</f>
        <v>0</v>
      </c>
      <c r="AW582" cm="1">
        <f t="array" ref="AW582">IFERROR(IF(AV582=0,0,(INDEX($C$33:$C$38,MATCH($AZ$545,$B$33:$B$38,0),0)*(AV583+$BA$545)+$AW$545*COUNTIF(AV582:AV582,"&gt;0")*$C$32+$AY$545*$C$31)*$AU$545),0)</f>
        <v>0</v>
      </c>
      <c r="AX582">
        <f>IF(AV582=0,0,-(COUNTIF(AV582:AV582,"&gt;0")*$AW$545*$C$32+$AY$545*$C$31)*$H$27*$AU$545)</f>
        <v>0</v>
      </c>
      <c r="AY582">
        <f>IF(AV582=0,0,$AY$545*$H$26*$AU$545)</f>
        <v>0</v>
      </c>
      <c r="AZ582">
        <f>(0.6*AW582+0.7*AX582)*$AU$545/2</f>
        <v>0</v>
      </c>
      <c r="BA582">
        <f>AW582*$AU$545/2</f>
        <v>0</v>
      </c>
      <c r="BC582">
        <f>IF(AV582=0,0,$BG$545*$AP$536)</f>
        <v>0</v>
      </c>
      <c r="BD582">
        <f>IFERROR(BC582/$AU$545,0)</f>
        <v>0</v>
      </c>
      <c r="BE582">
        <f>BC582*($F$24+IF($F$24=0,0,($C$14+$C$15+IF($C$13="single",1.5,3)+3)/12))</f>
        <v>0</v>
      </c>
      <c r="BF582">
        <f>BE582-AZ582</f>
        <v>0</v>
      </c>
      <c r="BG582" cm="1">
        <f t="array" ref="BG582">IFERROR(IF(BF582&lt;0,0,BF582/($AU$545-INDEX(hd_off,MATCH(BT582,hd_mark,0),0)/12)),0)</f>
        <v>0</v>
      </c>
      <c r="BH582">
        <f>IF(AV582=0,0,$BG$545*$AM$536)</f>
        <v>0</v>
      </c>
      <c r="BI582">
        <f>IFERROR(BH582/$AU$545,0)</f>
        <v>0</v>
      </c>
      <c r="BJ582">
        <f>BH582*($F$24+IF($F$24=0,0,($C$14+$C$15+IF($C$13="single",1.5,3)+3)/12))</f>
        <v>0</v>
      </c>
      <c r="BK582">
        <f>BJ582-BA582</f>
        <v>0</v>
      </c>
      <c r="BL582" cm="1">
        <f t="array" ref="BL582">IFERROR(IF(BK582&lt;0,0,BK582/($AU$545-INDEX(hd_off,MATCH(BT582,hd_mark,0),0)/12)),0)</f>
        <v>0</v>
      </c>
      <c r="BM582">
        <f>MAX($F$24,$BE$545)/$Q$564</f>
        <v>0</v>
      </c>
      <c r="BN582">
        <f t="shared" si="369"/>
        <v>0</v>
      </c>
      <c r="BO582" cm="1">
        <f t="array" ref="BO582">IFERROR(INDEX(sheath_ecap_asd,MATCH(BS582,sheath_mark,0),0)*BN582,0)</f>
        <v>0</v>
      </c>
      <c r="BP582" cm="1">
        <f t="array" ref="BP582">IFERROR(INDEX(sheath_wcap_asd,MATCH(BS582,sheath_mark,0),0)*BN582,0)</f>
        <v>0</v>
      </c>
      <c r="BQ582" cm="1">
        <f t="array" ref="BQ582">IFERROR(INDEX(hd_cap,MATCH(BT582,hd_mark,0),0),0)</f>
        <v>0</v>
      </c>
      <c r="BS582" s="19"/>
      <c r="BT582" s="19"/>
      <c r="BU582" s="100"/>
    </row>
    <row r="583" x14ac:dyDescent="0.25">
      <c r="P583" s="93"/>
      <c r="Q583" s="109"/>
      <c r="R583" t="str">
        <f>$Q$537</f>
        <v>Roof</v>
      </c>
      <c r="S583">
        <f>$E$25</f>
        <v>33.171875</v>
      </c>
      <c r="T583" cm="1">
        <f t="array" ref="T583">IFERROR(IF(S583=0,0,(INDEX($C$33:$C$38,MATCH($W$545,$B$33:$B$38,0),0)*(S583+$X$545)+$V$545*$C$31)*$R$545),0)</f>
        <v>0</v>
      </c>
      <c r="U583">
        <f>IF(S583=0,0,-$V$545*$C$31*$H$27*$R$545)</f>
        <v>0</v>
      </c>
      <c r="V583">
        <f>IF(S583=0,0,$V$545*$H$26*$R$545)</f>
        <v>0</v>
      </c>
      <c r="W583">
        <f>(0.6*T583+0.7*U583)*$R$545/2</f>
        <v>0</v>
      </c>
      <c r="X583">
        <f>T583*$R$545/2</f>
        <v>0</v>
      </c>
      <c r="Z583">
        <f>IF(S583=0,0,$AD$545*$AP$537)</f>
        <v>0</v>
      </c>
      <c r="AA583">
        <f>IFERROR(Z583/$R$545,0)</f>
        <v>0</v>
      </c>
      <c r="AB583">
        <f>Z583*($F$25+($C$16+$C$17+IF($C$13="single",1.5,3)+3)/12)</f>
        <v>0</v>
      </c>
      <c r="AC583">
        <f>AB583-W583</f>
        <v>0</v>
      </c>
      <c r="AD583" cm="1">
        <f t="array" ref="AD583">IFERROR(IF(AC583&lt;0,0,AC583/($R$545-INDEX(hd_off,MATCH(AQ583,hd_mark,0),0)/12)),0)</f>
        <v>0</v>
      </c>
      <c r="AE583">
        <f>IF(S583=0,0,$AD$545*$AM$537)</f>
        <v>0</v>
      </c>
      <c r="AF583">
        <f>IFERROR(AE583/$R$545,0)</f>
        <v>0</v>
      </c>
      <c r="AG583">
        <f>AE583*($F$25+($C$16+$C$17+IF($C$13="single",1.5,3)+3)/12)</f>
        <v>0</v>
      </c>
      <c r="AH583">
        <f>AG583-X583</f>
        <v>0</v>
      </c>
      <c r="AI583" cm="1">
        <f t="array" ref="AI583">IFERROR(IF(AH583&lt;0,0,AH583/($R$545-INDEX(hd_off,MATCH(AQ583,hd_mark,0),0)/12)),0)</f>
        <v>0</v>
      </c>
      <c r="AJ583">
        <f>MAX($F$25,$AC$545)/$Q$564</f>
        <v>0.29920977011494249</v>
      </c>
      <c r="AK583">
        <f t="shared" si="368"/>
        <v>1</v>
      </c>
      <c r="AL583" cm="1">
        <f t="array" ref="AL583">IFERROR(INDEX(sheath_ecap_asd,MATCH(AP583,sheath_mark,0),0)*AK583,0)</f>
        <v>0</v>
      </c>
      <c r="AM583" cm="1">
        <f t="array" ref="AM583">IFERROR(INDEX(sheath_wcap_asd,MATCH(AP583,sheath_mark,0),0)*AK583,0)</f>
        <v>0</v>
      </c>
      <c r="AN583" cm="1">
        <f t="array" ref="AN583">IFERROR(INDEX(hd_cap,MATCH(AQ583,hd_mark,0),0),0)</f>
        <v>0</v>
      </c>
      <c r="AP583" s="19"/>
      <c r="AQ583" s="19"/>
      <c r="AR583" s="100"/>
      <c r="AS583" s="93"/>
      <c r="AT583" s="109"/>
      <c r="AU583" t="str">
        <f>$Q$537</f>
        <v>Roof</v>
      </c>
      <c r="AV583">
        <f>$E$25</f>
        <v>33.171875</v>
      </c>
      <c r="AW583" cm="1">
        <f t="array" ref="AW583">IFERROR(IF(AV583=0,0,(INDEX($C$33:$C$38,MATCH($AZ$545,$B$33:$B$38,0),0)*(AV583+$BA$545)+$AY$545*$C$31)*$AU$545),0)</f>
        <v>0</v>
      </c>
      <c r="AX583">
        <f>IF(AV583=0,0,-$AY$545*$C$31*$H$27*$AU$545)</f>
        <v>0</v>
      </c>
      <c r="AY583">
        <f>IF(AV583=0,0,$AY$545*$H$26*$AU$545)</f>
        <v>0</v>
      </c>
      <c r="AZ583">
        <f>(0.6*AW583+0.7*AX583)*$AU$545/2</f>
        <v>0</v>
      </c>
      <c r="BA583">
        <f>AW583*$AU$545/2</f>
        <v>0</v>
      </c>
      <c r="BC583">
        <f>IF(AV583=0,0,$BG$545*$AP$537)</f>
        <v>0</v>
      </c>
      <c r="BD583">
        <f>IFERROR(BC583/$AU$545,0)</f>
        <v>0</v>
      </c>
      <c r="BE583">
        <f>BC583*($F$25+($C$16+$C$17+IF($C$13="single",1.5,3)+3)/12)</f>
        <v>0</v>
      </c>
      <c r="BF583">
        <f>BE583-AZ583</f>
        <v>0</v>
      </c>
      <c r="BG583" cm="1">
        <f t="array" ref="BG583">IFERROR(IF(BF583&lt;0,0,BF583/($AU$545-INDEX(hd_off,MATCH(BT583,hd_mark,0),0)/12)),0)</f>
        <v>0</v>
      </c>
      <c r="BH583">
        <f>IF(AV583=0,0,$BG$545*$AM$537)</f>
        <v>0</v>
      </c>
      <c r="BI583">
        <f>IFERROR(BH583/$AU$545,0)</f>
        <v>0</v>
      </c>
      <c r="BJ583">
        <f>BH583*($F$25+($C$16+$C$17+IF($C$13="single",1.5,3)+3)/12)</f>
        <v>0</v>
      </c>
      <c r="BK583">
        <f>BJ583-BA583</f>
        <v>0</v>
      </c>
      <c r="BL583" cm="1">
        <f t="array" ref="BL583">IFERROR(IF(BK583&lt;0,0,BK583/($AU$545-INDEX(hd_off,MATCH(BT583,hd_mark,0),0)/12)),0)</f>
        <v>0</v>
      </c>
      <c r="BM583">
        <f>MAX($F$25,$BF$545)/$Q$564</f>
        <v>0.29920977011494249</v>
      </c>
      <c r="BN583">
        <f t="shared" si="369"/>
        <v>1</v>
      </c>
      <c r="BO583" cm="1">
        <f t="array" ref="BO583">IFERROR(INDEX(sheath_ecap_asd,MATCH(BS583,sheath_mark,0),0)*BN583,0)</f>
        <v>0</v>
      </c>
      <c r="BP583" cm="1">
        <f t="array" ref="BP583">IFERROR(INDEX(sheath_wcap_asd,MATCH(BS583,sheath_mark,0),0)*BN583,0)</f>
        <v>0</v>
      </c>
      <c r="BQ583" cm="1">
        <f t="array" ref="BQ583">IFERROR(INDEX(hd_cap,MATCH(BT583,hd_mark,0),0),0)</f>
        <v>0</v>
      </c>
      <c r="BS583" s="19"/>
      <c r="BT583" s="19"/>
      <c r="BU583" s="100"/>
    </row>
    <row r="584" x14ac:dyDescent="0.25">
      <c r="P584" s="93"/>
      <c r="AR584" s="100"/>
      <c r="AS584" s="93"/>
      <c r="BU584" s="100"/>
    </row>
    <row r="585" x14ac:dyDescent="0.25">
      <c r="P585" s="93"/>
      <c r="Q585" s="110" t="str">
        <f>$Q$546</f>
        <v>A.05</v>
      </c>
      <c r="R585" t="str">
        <f>$Q$533</f>
        <v>L2</v>
      </c>
      <c r="S585">
        <f>$E$21</f>
        <v>10.6875</v>
      </c>
      <c r="T585" cm="1">
        <f t="array" ref="T585">IFERROR(IF(S585=0,0,(INDEX($C$33:$C$38,MATCH($W$546,$B$33:$B$38,0),0)*(S589+$X$546)+$T$546*COUNTIF(S585:S588,"&gt;0")*$C$32+$V$546*$C$31)*$R$546),0)</f>
        <v>0</v>
      </c>
      <c r="U585">
        <f>IF(S585=0,0,-(COUNTIF(S585:S588,"&gt;0")*$T$546*$C$32+$V$546*$C$31)*$H$27*$R$546)</f>
        <v>0</v>
      </c>
      <c r="V585">
        <f>IF(S585=0,0,$V$546*$H$26*$R$546)</f>
        <v>0</v>
      </c>
      <c r="W585">
        <f>(0.6*T585+0.7*U585)*$R$546/2</f>
        <v>0</v>
      </c>
      <c r="X585">
        <f>(0.6*T585+0.6*V585)*$R$546/2</f>
        <v>0</v>
      </c>
      <c r="Z585">
        <f>IF(S585=0,0,$AD$546*$AP$533)</f>
        <v>0</v>
      </c>
      <c r="AA585">
        <f>IFERROR(Z585/$R$546,0)</f>
        <v>0</v>
      </c>
      <c r="AB585">
        <f>Z585*($F$21+IF($F$21=0,0,($C$14+$C$15+IF($C$13="single",1.5,3)+3)/12))</f>
        <v>0</v>
      </c>
      <c r="AC585">
        <f>AB585-W585</f>
        <v>0</v>
      </c>
      <c r="AD585" cm="1">
        <f t="array" ref="AD585">IFERROR(IF(AC585&lt;0,0,AC585/($R$546-INDEX(hd_off,MATCH(AQ585,hd_mark,0),0)/12)),0)</f>
        <v>0</v>
      </c>
      <c r="AE585">
        <f>IF(S585=0,0,$AD$546*$AM$533)</f>
        <v>0</v>
      </c>
      <c r="AF585">
        <f>IFERROR(AE585/$R$546,0)</f>
        <v>0</v>
      </c>
      <c r="AG585">
        <f>AE585*($F$21+IF($F$21=0,0,($C$14+$C$15+IF($C$13="single",1.5,3)+3)/12))</f>
        <v>0</v>
      </c>
      <c r="AH585">
        <f>AG585-X585</f>
        <v>0</v>
      </c>
      <c r="AI585" cm="1">
        <f t="array" ref="AI585">IFERROR(IF(AH585&lt;0,0,AH585/($R$546-INDEX(hd_off,MATCH(AQ585,hd_mark,0),0)/12)),0)</f>
        <v>0</v>
      </c>
      <c r="AJ585">
        <f>MAX($F$21,$Y$546)/$Q$564</f>
        <v>0.30172413793103448</v>
      </c>
      <c r="AK585">
        <f>IF(AJ585=0,0,IF(AJ585&gt;2,1.25-0.125*AJ585,1))</f>
        <v>1</v>
      </c>
      <c r="AL585" cm="1">
        <f t="array" ref="AL585">IFERROR(INDEX(sheath_ecap_asd,MATCH(AP585,sheath_mark,0),0)*AK585,0)</f>
        <v>0</v>
      </c>
      <c r="AM585" cm="1">
        <f t="array" ref="AM585">IFERROR(INDEX(sheath_wcap_asd,MATCH(AP585,sheath_mark,0),0)*AK585,0)</f>
        <v>0</v>
      </c>
      <c r="AN585" cm="1">
        <f t="array" ref="AN585">IFERROR(INDEX(hd_cap,MATCH(AQ585,hd_mark,0),0),0)</f>
        <v>0</v>
      </c>
      <c r="AP585" s="19"/>
      <c r="AQ585" s="19"/>
      <c r="AR585" s="100"/>
      <c r="AS585" s="93"/>
      <c r="AT585" s="110" t="str">
        <f>$AT$546</f>
        <v>1.05</v>
      </c>
      <c r="AU585" t="str">
        <f>$Q$533</f>
        <v>L2</v>
      </c>
      <c r="AV585">
        <f>$E$21</f>
        <v>10.6875</v>
      </c>
      <c r="AW585" cm="1">
        <f t="array" ref="AW585">IFERROR(IF(AV585=0,0,(INDEX($C$33:$C$38,MATCH($AZ$546,$B$33:$B$38,0),0)*(AV589+$BA$546)+$AW$546*COUNTIF(AV585:AV588,"&gt;0")*$C$32+$AY$546*$C$31)*$AU$546),0)</f>
        <v>0</v>
      </c>
      <c r="AX585">
        <f>IF(AV585=0,0,-(COUNTIF(AV585:AV588,"&gt;0")*$AW$546*$C$32+$AY$546*$C$31)*$H$27*$AU$546)</f>
        <v>0</v>
      </c>
      <c r="AY585">
        <f>IF(AV585=0,0,$AY$546*$H$26*$AU$546)</f>
        <v>0</v>
      </c>
      <c r="AZ585">
        <f>(0.6*AW585+0.7*AX585)*$AU$546/2</f>
        <v>0</v>
      </c>
      <c r="BA585">
        <f>(0.6*AW585+0.6*AY585)*$AU$546/2</f>
        <v>0</v>
      </c>
      <c r="BC585">
        <f>IF(AV585=0,0,$BG$546*$AP$533)</f>
        <v>0</v>
      </c>
      <c r="BD585">
        <f>IFERROR(BC585/$AU$546,0)</f>
        <v>0</v>
      </c>
      <c r="BE585">
        <f>BC585*($F$21+IF($F$21=0,0,($C$14+$C$15+IF($C$13="single",1.5,3)+3)/12))</f>
        <v>0</v>
      </c>
      <c r="BF585">
        <f>BE585-AZ585</f>
        <v>0</v>
      </c>
      <c r="BG585" cm="1">
        <f t="array" ref="BG585">IFERROR(IF(BF585&lt;0,0,BF585/($AU$546-INDEX(hd_off,MATCH(BT585,hd_mark,0),0)/12)),0)</f>
        <v>0</v>
      </c>
      <c r="BH585">
        <f>IF(AV585=0,0,$BG$546*$AM$533)</f>
        <v>0</v>
      </c>
      <c r="BI585">
        <f>IFERROR(BH585/$AU$546,0)</f>
        <v>0</v>
      </c>
      <c r="BJ585">
        <f>BH585*($F$21+IF($F$21=0,0,($C$14+$C$15+IF($C$13="single",1.5,3)+3)/12))</f>
        <v>0</v>
      </c>
      <c r="BK585">
        <f>BJ585-BA585</f>
        <v>0</v>
      </c>
      <c r="BL585" cm="1">
        <f t="array" ref="BL585">IFERROR(IF(BK585&lt;0,0,BK585/($AU$546-INDEX(hd_off,MATCH(BT585,hd_mark,0),0)/12)),0)</f>
        <v>0</v>
      </c>
      <c r="BM585">
        <f>MAX($F$21,$BB$546)/$Q$564</f>
        <v>0.30172413793103448</v>
      </c>
      <c r="BN585">
        <f>IF(BM585=0,0,IF(BM585&gt;2,1.25-0.125*BM585,1))</f>
        <v>1</v>
      </c>
      <c r="BO585" cm="1">
        <f t="array" ref="BO585">IFERROR(INDEX(sheath_ecap_asd,MATCH(BS585,sheath_mark,0),0)*BN585,0)</f>
        <v>0</v>
      </c>
      <c r="BP585" cm="1">
        <f t="array" ref="BP585">IFERROR(INDEX(sheath_wcap_asd,MATCH(BS585,sheath_mark,0),0)*BN585,0)</f>
        <v>0</v>
      </c>
      <c r="BQ585" cm="1">
        <f t="array" ref="BQ585">IFERROR(INDEX(hd_cap,MATCH(BT585,hd_mark,0),0),0)</f>
        <v>0</v>
      </c>
      <c r="BS585" s="19"/>
      <c r="BT585" s="19"/>
      <c r="BU585" s="100"/>
    </row>
    <row r="586" x14ac:dyDescent="0.25">
      <c r="B586" s="1"/>
      <c r="P586" s="93"/>
      <c r="Q586" s="109"/>
      <c r="R586" t="str">
        <f>$Q$534</f>
        <v>L3</v>
      </c>
      <c r="S586">
        <f>$E$22</f>
        <v>21.375</v>
      </c>
      <c r="T586" cm="1">
        <f t="array" ref="T586">IFERROR(IF(S586=0,0,(INDEX($C$33:$C$38,MATCH($W$546,$B$33:$B$38,0),0)*(S589+$X$546)+$T$546*COUNTIF(S586:S588,"&gt;0")*$C$32+$V$546*$C$31)*$R$546),0)</f>
        <v>0</v>
      </c>
      <c r="U586">
        <f>IF(S586=0,0,-(COUNTIF(S586:S588,"&gt;0")*$T$546*$C$32+$V$546*$C$31)*$H$27*$R$546)</f>
        <v>0</v>
      </c>
      <c r="V586">
        <f>IF(S586=0,0,$V$546*$H$26*$R$546)</f>
        <v>0</v>
      </c>
      <c r="W586">
        <f>(0.6*T586+0.7*U586)*$R$546/2</f>
        <v>0</v>
      </c>
      <c r="X586">
        <f>T586*$R$546/2</f>
        <v>0</v>
      </c>
      <c r="Z586">
        <f>IF(S586=0,0,$AD$546*$AP$534)</f>
        <v>0</v>
      </c>
      <c r="AA586">
        <f>IFERROR(Z586/$R$546,0)</f>
        <v>0</v>
      </c>
      <c r="AB586">
        <f>Z586*($F$22+IF($F$22=0,0,($C$14+$C$15+IF($C$13="single",1.5,3)+3)/12))</f>
        <v>0</v>
      </c>
      <c r="AC586">
        <f>AB586-W586</f>
        <v>0</v>
      </c>
      <c r="AD586" cm="1">
        <f t="array" ref="AD586">IFERROR(IF(AC586&lt;0,0,AC586/($R$546-INDEX(hd_off,MATCH(AQ586,hd_mark,0),0)/12)),0)</f>
        <v>0</v>
      </c>
      <c r="AE586">
        <f>IF(S586=0,0,$AD$546*$AM$534)</f>
        <v>0</v>
      </c>
      <c r="AF586">
        <f>IFERROR(AE586/$R$546,0)</f>
        <v>0</v>
      </c>
      <c r="AG586">
        <f>AE586*($F$22+IF($F$22=0,0,($C$14+$C$15+IF($C$13="single",1.5,3)+3)/12))</f>
        <v>0</v>
      </c>
      <c r="AH586">
        <f>AG586-X586</f>
        <v>0</v>
      </c>
      <c r="AI586" cm="1">
        <f t="array" ref="AI586">IFERROR(IF(AH586&lt;0,0,AH586/($R$546-INDEX(hd_off,MATCH(AQ586,hd_mark,0),0)/12)),0)</f>
        <v>0</v>
      </c>
      <c r="AJ586">
        <f>MAX($F$22,$Z$546)/$Q$564</f>
        <v>0.30172413793103448</v>
      </c>
      <c r="AK586">
        <f t="shared" ref="AK586:AK589" si="370">IF(AJ586=0,0,IF(AJ586&gt;2,1.25-0.125*AJ586,1))</f>
        <v>1</v>
      </c>
      <c r="AL586" cm="1">
        <f t="array" ref="AL586">IFERROR(INDEX(sheath_ecap_asd,MATCH(AP586,sheath_mark,0),0)*AK586,0)</f>
        <v>0</v>
      </c>
      <c r="AM586" cm="1">
        <f t="array" ref="AM586">IFERROR(INDEX(sheath_wcap_asd,MATCH(AP586,sheath_mark,0),0)*AK586,0)</f>
        <v>0</v>
      </c>
      <c r="AN586" cm="1">
        <f t="array" ref="AN586">IFERROR(INDEX(hd_cap,MATCH(AQ586,hd_mark,0),0),0)</f>
        <v>0</v>
      </c>
      <c r="AP586" s="19"/>
      <c r="AQ586" s="19"/>
      <c r="AR586" s="100"/>
      <c r="AS586" s="93"/>
      <c r="AT586" s="109"/>
      <c r="AU586" t="str">
        <f>$Q$534</f>
        <v>L3</v>
      </c>
      <c r="AV586">
        <f>$E$22</f>
        <v>21.375</v>
      </c>
      <c r="AW586" cm="1">
        <f t="array" ref="AW586">IFERROR(IF(AV586=0,0,(INDEX($C$33:$C$38,MATCH($AZ$546,$B$33:$B$38,0),0)*(AV589+$BA$546)+$AW$546*COUNTIF(AV586:AV588,"&gt;0")*$C$32+$AY$546*$C$31)*$AU$546),0)</f>
        <v>0</v>
      </c>
      <c r="AX586">
        <f>IF(AV586=0,0,-(COUNTIF(AV586:AV588,"&gt;0")*$AW$546*$C$32+$AY$546*$C$31)*$H$27*$AU$546)</f>
        <v>0</v>
      </c>
      <c r="AY586">
        <f>IF(AV586=0,0,$AY$546*$H$26*$AU$546)</f>
        <v>0</v>
      </c>
      <c r="AZ586">
        <f>(0.6*AW586+0.7*AX586)*$AU$546/2</f>
        <v>0</v>
      </c>
      <c r="BA586">
        <f>AW586*$AU$546/2</f>
        <v>0</v>
      </c>
      <c r="BC586">
        <f>IF(AV586=0,0,$BG$546*$AP$534)</f>
        <v>0</v>
      </c>
      <c r="BD586">
        <f>IFERROR(BC586/$AU$546,0)</f>
        <v>0</v>
      </c>
      <c r="BE586">
        <f>BC586*($F$22+IF($F$22=0,0,($C$14+$C$15+IF($C$13="single",1.5,3)+3)/12))</f>
        <v>0</v>
      </c>
      <c r="BF586">
        <f>BE586-AZ586</f>
        <v>0</v>
      </c>
      <c r="BG586" cm="1">
        <f t="array" ref="BG586">IFERROR(IF(BF586&lt;0,0,BF586/($AU$546-INDEX(hd_off,MATCH(BT586,hd_mark,0),0)/12)),0)</f>
        <v>0</v>
      </c>
      <c r="BH586">
        <f>IF(AV586=0,0,$BG$546*$AM$534)</f>
        <v>0</v>
      </c>
      <c r="BI586">
        <f>IFERROR(BH586/$AU$546,0)</f>
        <v>0</v>
      </c>
      <c r="BJ586">
        <f>BH586*($F$22+IF($F$22=0,0,($C$14+$C$15+IF($C$13="single",1.5,3)+3)/12))</f>
        <v>0</v>
      </c>
      <c r="BK586">
        <f>BJ586-BA586</f>
        <v>0</v>
      </c>
      <c r="BL586" cm="1">
        <f t="array" ref="BL586">IFERROR(IF(BK586&lt;0,0,BK586/($AU$546-INDEX(hd_off,MATCH(BT586,hd_mark,0),0)/12)),0)</f>
        <v>0</v>
      </c>
      <c r="BM586">
        <f>MAX($F$22,$BC$546)/$Q$564</f>
        <v>0.30172413793103448</v>
      </c>
      <c r="BN586">
        <f t="shared" ref="BN586:BN589" si="371">IF(BM586=0,0,IF(BM586&gt;2,1.25-0.125*BM586,1))</f>
        <v>1</v>
      </c>
      <c r="BO586" cm="1">
        <f t="array" ref="BO586">IFERROR(INDEX(sheath_ecap_asd,MATCH(BS586,sheath_mark,0),0)*BN586,0)</f>
        <v>0</v>
      </c>
      <c r="BP586" cm="1">
        <f t="array" ref="BP586">IFERROR(INDEX(sheath_wcap_asd,MATCH(BS586,sheath_mark,0),0)*BN586,0)</f>
        <v>0</v>
      </c>
      <c r="BQ586" cm="1">
        <f t="array" ref="BQ586">IFERROR(INDEX(hd_cap,MATCH(BT586,hd_mark,0),0),0)</f>
        <v>0</v>
      </c>
      <c r="BS586" s="19"/>
      <c r="BT586" s="19"/>
      <c r="BU586" s="100"/>
    </row>
    <row r="587" x14ac:dyDescent="0.25">
      <c r="P587" s="93"/>
      <c r="Q587" s="109" t="s">
        <v>491</v>
      </c>
      <c r="R587" t="str">
        <f>$Q$535</f>
        <v>L4</v>
      </c>
      <c r="S587">
        <f>$E$23</f>
        <v>0</v>
      </c>
      <c r="T587" cm="1">
        <f t="array" ref="T587">IFERROR(IF(S587=0,0,(INDEX($C$33:$C$38,MATCH($W$546,$B$33:$B$38,0),0)*(S589+$X$546)+$T$546*COUNTIF(S587:S588,"&gt;0")*$C$32+$V$546*$C$31)*$R$546),0)</f>
        <v>0</v>
      </c>
      <c r="U587">
        <f>IF(S587=0,0,-(COUNTIF(S587:S588,"&gt;0")*$T$546*$C$32+$V$546*$C$31)*$H$27*$R$546)</f>
        <v>0</v>
      </c>
      <c r="V587">
        <f>IF(S587=0,0,$V$546*$H$26*$R$546)</f>
        <v>0</v>
      </c>
      <c r="W587">
        <f>(0.6*T587+0.7*U587)*$R$546/2</f>
        <v>0</v>
      </c>
      <c r="X587">
        <f>T587*$R$546/2</f>
        <v>0</v>
      </c>
      <c r="Z587">
        <f>IF(S587=0,0,$AD$546*$AP$535)</f>
        <v>0</v>
      </c>
      <c r="AA587">
        <f>IFERROR(Z587/$R$546,0)</f>
        <v>0</v>
      </c>
      <c r="AB587">
        <f>Z587*($F$23+IF($F$23=0,0,($C$14+$C$15+IF($C$13="single",1.5,3)+3)/12))</f>
        <v>0</v>
      </c>
      <c r="AC587">
        <f>AB587-W587</f>
        <v>0</v>
      </c>
      <c r="AD587" cm="1">
        <f t="array" ref="AD587">IFERROR(IF(AC587&lt;0,0,AC587/($R$546-INDEX(hd_off,MATCH(AQ587,hd_mark,0),0)/12)),0)</f>
        <v>0</v>
      </c>
      <c r="AE587">
        <f>IF(S587=0,0,$AD$546*$AM$535)</f>
        <v>0</v>
      </c>
      <c r="AF587">
        <f>IFERROR(AE587/$R$546,0)</f>
        <v>0</v>
      </c>
      <c r="AG587">
        <f>AE587*($F$23+IF($F$23=0,0,($C$14+$C$15+IF($C$13="single",1.5,3)+3)/12))</f>
        <v>0</v>
      </c>
      <c r="AH587">
        <f>AG587-X587</f>
        <v>0</v>
      </c>
      <c r="AI587" cm="1">
        <f t="array" ref="AI587">IFERROR(IF(AH587&lt;0,0,AH587/($R$546-INDEX(hd_off,MATCH(AQ587,hd_mark,0),0)/12)),0)</f>
        <v>0</v>
      </c>
      <c r="AJ587">
        <f>MAX($F$23,$AA$546)/$Q$564</f>
        <v>0</v>
      </c>
      <c r="AK587">
        <f t="shared" si="370"/>
        <v>0</v>
      </c>
      <c r="AL587" cm="1">
        <f t="array" ref="AL587">IFERROR(INDEX(sheath_ecap_asd,MATCH(AP587,sheath_mark,0),0)*AK587,0)</f>
        <v>0</v>
      </c>
      <c r="AM587" cm="1">
        <f t="array" ref="AM587">IFERROR(INDEX(sheath_wcap_asd,MATCH(AP587,sheath_mark,0),0)*AK587,0)</f>
        <v>0</v>
      </c>
      <c r="AN587" cm="1">
        <f t="array" ref="AN587">IFERROR(INDEX(hd_cap,MATCH(AQ587,hd_mark,0),0),0)</f>
        <v>0</v>
      </c>
      <c r="AP587" s="19"/>
      <c r="AQ587" s="19"/>
      <c r="AR587" s="100"/>
      <c r="AS587" s="93"/>
      <c r="AT587" s="109" t="s">
        <v>491</v>
      </c>
      <c r="AU587" t="str">
        <f>$Q$535</f>
        <v>L4</v>
      </c>
      <c r="AV587">
        <f>$E$23</f>
        <v>0</v>
      </c>
      <c r="AW587" cm="1">
        <f t="array" ref="AW587">IFERROR(IF(AV587=0,0,(INDEX($C$33:$C$38,MATCH($AZ$546,$B$33:$B$38,0),0)*(AV589+$BA$546)+$AW$546*COUNTIF(AV587:AV588,"&gt;0")*$C$32+$AY$546*$C$31)*$AU$546),0)</f>
        <v>0</v>
      </c>
      <c r="AX587">
        <f>IF(AV587=0,0,-(COUNTIF(AV587:AV588,"&gt;0")*$AW$546*$C$32+$AY$546*$C$31)*$H$27*$AU$546)</f>
        <v>0</v>
      </c>
      <c r="AY587">
        <f>IF(AV587=0,0,$AY$546*$H$26*$AU$546)</f>
        <v>0</v>
      </c>
      <c r="AZ587">
        <f>(0.6*AW587+0.7*AX587)*$AU$546/2</f>
        <v>0</v>
      </c>
      <c r="BA587">
        <f>AW587*$AU$546/2</f>
        <v>0</v>
      </c>
      <c r="BC587">
        <f>IF(AV587=0,0,$BG$546*$AP$535)</f>
        <v>0</v>
      </c>
      <c r="BD587">
        <f>IFERROR(BC587/$AU$546,0)</f>
        <v>0</v>
      </c>
      <c r="BE587">
        <f>BC587*($F$23+IF($F$23=0,0,($C$14+$C$15+IF($C$13="single",1.5,3)+3)/12))</f>
        <v>0</v>
      </c>
      <c r="BF587">
        <f>BE587-AZ587</f>
        <v>0</v>
      </c>
      <c r="BG587" cm="1">
        <f t="array" ref="BG587">IFERROR(IF(BF587&lt;0,0,BF587/($AU$546-INDEX(hd_off,MATCH(BT587,hd_mark,0),0)/12)),0)</f>
        <v>0</v>
      </c>
      <c r="BH587">
        <f>IF(AV587=0,0,$BG$546*$AM$535)</f>
        <v>0</v>
      </c>
      <c r="BI587">
        <f>IFERROR(BH587/$AU$546,0)</f>
        <v>0</v>
      </c>
      <c r="BJ587">
        <f>BH587*($F$23+IF($F$23=0,0,($C$14+$C$15+IF($C$13="single",1.5,3)+3)/12))</f>
        <v>0</v>
      </c>
      <c r="BK587">
        <f>BJ587-BA587</f>
        <v>0</v>
      </c>
      <c r="BL587" cm="1">
        <f t="array" ref="BL587">IFERROR(IF(BK587&lt;0,0,BK587/($AU$546-INDEX(hd_off,MATCH(BT587,hd_mark,0),0)/12)),0)</f>
        <v>0</v>
      </c>
      <c r="BM587">
        <f>MAX($F$23,$BD$546)/$Q$564</f>
        <v>0</v>
      </c>
      <c r="BN587">
        <f t="shared" si="371"/>
        <v>0</v>
      </c>
      <c r="BO587" cm="1">
        <f t="array" ref="BO587">IFERROR(INDEX(sheath_ecap_asd,MATCH(BS587,sheath_mark,0),0)*BN587,0)</f>
        <v>0</v>
      </c>
      <c r="BP587" cm="1">
        <f t="array" ref="BP587">IFERROR(INDEX(sheath_wcap_asd,MATCH(BS587,sheath_mark,0),0)*BN587,0)</f>
        <v>0</v>
      </c>
      <c r="BQ587" cm="1">
        <f t="array" ref="BQ587">IFERROR(INDEX(hd_cap,MATCH(BT587,hd_mark,0),0),0)</f>
        <v>0</v>
      </c>
      <c r="BS587" s="19"/>
      <c r="BT587" s="19"/>
      <c r="BU587" s="100"/>
    </row>
    <row r="588" x14ac:dyDescent="0.25">
      <c r="P588" s="93"/>
      <c r="Q588" s="111">
        <f>$R$546</f>
        <v>0</v>
      </c>
      <c r="R588" t="str">
        <f>$Q$536</f>
        <v>L5</v>
      </c>
      <c r="S588">
        <f>$E$24</f>
        <v>0</v>
      </c>
      <c r="T588" cm="1">
        <f t="array" ref="T588">IFERROR(IF(S588=0,0,(INDEX($C$33:$C$38,MATCH($W$546,$B$33:$B$38,0),0)*(S589+$X$546)+$T$546*COUNTIF(S588:S588,"&gt;0")*$C$32+$V$546*$C$31)*$R$546),0)</f>
        <v>0</v>
      </c>
      <c r="U588">
        <f>IF(S588=0,0,-(COUNTIF(S588:S588,"&gt;0")*$T$546*$C$32+$V$546*$C$31)*$H$27*$R$546)</f>
        <v>0</v>
      </c>
      <c r="V588">
        <f>IF(S588=0,0,$V$546*$H$26*$R$546)</f>
        <v>0</v>
      </c>
      <c r="W588">
        <f>(0.6*T588+0.7*U588)*$R$546/2</f>
        <v>0</v>
      </c>
      <c r="X588">
        <f>T588*$R$546/2</f>
        <v>0</v>
      </c>
      <c r="Z588">
        <f>IF(S588=0,0,$AD$546*$AP$536)</f>
        <v>0</v>
      </c>
      <c r="AA588">
        <f>IFERROR(Z588/$R$546,0)</f>
        <v>0</v>
      </c>
      <c r="AB588">
        <f>Z588*($F$24+IF($F$24=0,0,($C$14+$C$15+IF($C$13="single",1.5,3)+3)/12))</f>
        <v>0</v>
      </c>
      <c r="AC588">
        <f>AB588-W588</f>
        <v>0</v>
      </c>
      <c r="AD588" cm="1">
        <f t="array" ref="AD588">IFERROR(IF(AC588&lt;0,0,AC588/($R$546-INDEX(hd_off,MATCH(AQ588,hd_mark,0),0)/12)),0)</f>
        <v>0</v>
      </c>
      <c r="AE588">
        <f>IF(S588=0,0,$AD$546*$AM$536)</f>
        <v>0</v>
      </c>
      <c r="AF588">
        <f>IFERROR(AE588/$R$546,0)</f>
        <v>0</v>
      </c>
      <c r="AG588">
        <f>AE588*($F$24+IF($F$24=0,0,($C$14+$C$15+IF($C$13="single",1.5,3)+3)/12))</f>
        <v>0</v>
      </c>
      <c r="AH588">
        <f>AG588-X588</f>
        <v>0</v>
      </c>
      <c r="AI588" cm="1">
        <f t="array" ref="AI588">IFERROR(IF(AH588&lt;0,0,AH588/($R$546-INDEX(hd_off,MATCH(AQ588,hd_mark,0),0)/12)),0)</f>
        <v>0</v>
      </c>
      <c r="AJ588">
        <f>MAX($F$24,$AB$546)/$Q$564</f>
        <v>0</v>
      </c>
      <c r="AK588">
        <f t="shared" si="370"/>
        <v>0</v>
      </c>
      <c r="AL588" cm="1">
        <f t="array" ref="AL588">IFERROR(INDEX(sheath_ecap_asd,MATCH(AP588,sheath_mark,0),0)*AK588,0)</f>
        <v>0</v>
      </c>
      <c r="AM588" cm="1">
        <f t="array" ref="AM588">IFERROR(INDEX(sheath_wcap_asd,MATCH(AP588,sheath_mark,0),0)*AK588,0)</f>
        <v>0</v>
      </c>
      <c r="AN588" cm="1">
        <f t="array" ref="AN588">IFERROR(INDEX(hd_cap,MATCH(AQ588,hd_mark,0),0),0)</f>
        <v>0</v>
      </c>
      <c r="AP588" s="19"/>
      <c r="AQ588" s="19"/>
      <c r="AR588" s="100"/>
      <c r="AS588" s="93"/>
      <c r="AT588" s="111">
        <f>$R$546</f>
        <v>0</v>
      </c>
      <c r="AU588" t="str">
        <f>$Q$536</f>
        <v>L5</v>
      </c>
      <c r="AV588">
        <f>$E$24</f>
        <v>0</v>
      </c>
      <c r="AW588" cm="1">
        <f t="array" ref="AW588">IFERROR(IF(AV588=0,0,(INDEX($C$33:$C$38,MATCH($AZ$546,$B$33:$B$38,0),0)*(AV589+$BA$546)+$AW$546*COUNTIF(AV588:AV588,"&gt;0")*$C$32+$AY$546*$C$31)*$AU$546),0)</f>
        <v>0</v>
      </c>
      <c r="AX588">
        <f>IF(AV588=0,0,-(COUNTIF(AV588:AV588,"&gt;0")*$AW$546*$C$32+$AY$546*$C$31)*$H$27*$AU$546)</f>
        <v>0</v>
      </c>
      <c r="AY588">
        <f>IF(AV588=0,0,$AY$546*$H$26*$AU$546)</f>
        <v>0</v>
      </c>
      <c r="AZ588">
        <f>(0.6*AW588+0.7*AX588)*$AU$546/2</f>
        <v>0</v>
      </c>
      <c r="BA588">
        <f>AW588*$AU$546/2</f>
        <v>0</v>
      </c>
      <c r="BC588">
        <f>IF(AV588=0,0,$BG$546*$AP$536)</f>
        <v>0</v>
      </c>
      <c r="BD588">
        <f>IFERROR(BC588/$AU$546,0)</f>
        <v>0</v>
      </c>
      <c r="BE588">
        <f>BC588*($F$24+IF($F$24=0,0,($C$14+$C$15+IF($C$13="single",1.5,3)+3)/12))</f>
        <v>0</v>
      </c>
      <c r="BF588">
        <f>BE588-AZ588</f>
        <v>0</v>
      </c>
      <c r="BG588" cm="1">
        <f t="array" ref="BG588">IFERROR(IF(BF588&lt;0,0,BF588/($AU$546-INDEX(hd_off,MATCH(BT588,hd_mark,0),0)/12)),0)</f>
        <v>0</v>
      </c>
      <c r="BH588">
        <f>IF(AV588=0,0,$BG$546*$AM$536)</f>
        <v>0</v>
      </c>
      <c r="BI588">
        <f>IFERROR(BH588/$AU$546,0)</f>
        <v>0</v>
      </c>
      <c r="BJ588">
        <f>BH588*($F$24+IF($F$24=0,0,($C$14+$C$15+IF($C$13="single",1.5,3)+3)/12))</f>
        <v>0</v>
      </c>
      <c r="BK588">
        <f>BJ588-BA588</f>
        <v>0</v>
      </c>
      <c r="BL588" cm="1">
        <f t="array" ref="BL588">IFERROR(IF(BK588&lt;0,0,BK588/($AU$546-INDEX(hd_off,MATCH(BT588,hd_mark,0),0)/12)),0)</f>
        <v>0</v>
      </c>
      <c r="BM588">
        <f>MAX($F$24,$BE$546)/$Q$564</f>
        <v>0</v>
      </c>
      <c r="BN588">
        <f t="shared" si="371"/>
        <v>0</v>
      </c>
      <c r="BO588" cm="1">
        <f t="array" ref="BO588">IFERROR(INDEX(sheath_ecap_asd,MATCH(BS588,sheath_mark,0),0)*BN588,0)</f>
        <v>0</v>
      </c>
      <c r="BP588" cm="1">
        <f t="array" ref="BP588">IFERROR(INDEX(sheath_wcap_asd,MATCH(BS588,sheath_mark,0),0)*BN588,0)</f>
        <v>0</v>
      </c>
      <c r="BQ588" cm="1">
        <f t="array" ref="BQ588">IFERROR(INDEX(hd_cap,MATCH(BT588,hd_mark,0),0),0)</f>
        <v>0</v>
      </c>
      <c r="BS588" s="19"/>
      <c r="BT588" s="19"/>
      <c r="BU588" s="100"/>
    </row>
    <row r="589" x14ac:dyDescent="0.25">
      <c r="P589" s="93"/>
      <c r="Q589" s="109"/>
      <c r="R589" t="str">
        <f>$Q$537</f>
        <v>Roof</v>
      </c>
      <c r="S589">
        <f>$E$25</f>
        <v>33.171875</v>
      </c>
      <c r="T589" cm="1">
        <f t="array" ref="T589">IFERROR(IF(S589=0,0,(INDEX($C$33:$C$38,MATCH($W$546,$B$33:$B$38,0),0)*(S589+$X$546)+$V$546*$C$31)*$R$546),0)</f>
        <v>0</v>
      </c>
      <c r="U589">
        <f>IF(S589=0,0,-$V$546*$C$31*$H$27*$R$546)</f>
        <v>0</v>
      </c>
      <c r="V589">
        <f>IF(S589=0,0,$V$546*$H$26*$R$546)</f>
        <v>0</v>
      </c>
      <c r="W589">
        <f>(0.6*T589+0.7*U589)*$R$546/2</f>
        <v>0</v>
      </c>
      <c r="X589">
        <f>T589*$R$546/2</f>
        <v>0</v>
      </c>
      <c r="Z589">
        <f>IF(S589=0,0,$AD$546*$AP$537)</f>
        <v>0</v>
      </c>
      <c r="AA589">
        <f>IFERROR(Z589/$R$546,0)</f>
        <v>0</v>
      </c>
      <c r="AB589">
        <f>Z589*($F$25+($C$16+$C$17+IF($C$13="single",1.5,3)+3)/12)</f>
        <v>0</v>
      </c>
      <c r="AC589">
        <f>AB589-W589</f>
        <v>0</v>
      </c>
      <c r="AD589" cm="1">
        <f t="array" ref="AD589">IFERROR(IF(AC589&lt;0,0,AC589/($R$546-INDEX(hd_off,MATCH(AQ589,hd_mark,0),0)/12)),0)</f>
        <v>0</v>
      </c>
      <c r="AE589">
        <f>IF(S589=0,0,$AD$546*$AM$537)</f>
        <v>0</v>
      </c>
      <c r="AF589">
        <f>IFERROR(AE589/$R$546,0)</f>
        <v>0</v>
      </c>
      <c r="AG589">
        <f>AE589*($F$25+($C$16+$C$17+IF($C$13="single",1.5,3)+3)/12)</f>
        <v>0</v>
      </c>
      <c r="AH589">
        <f>AG589-X589</f>
        <v>0</v>
      </c>
      <c r="AI589" cm="1">
        <f t="array" ref="AI589">IFERROR(IF(AH589&lt;0,0,AH589/($R$546-INDEX(hd_off,MATCH(AQ589,hd_mark,0),0)/12)),0)</f>
        <v>0</v>
      </c>
      <c r="AJ589">
        <f>MAX($F$25,$AC$546)/$Q$564</f>
        <v>0.29920977011494249</v>
      </c>
      <c r="AK589">
        <f t="shared" si="370"/>
        <v>1</v>
      </c>
      <c r="AL589" cm="1">
        <f t="array" ref="AL589">IFERROR(INDEX(sheath_ecap_asd,MATCH(AP589,sheath_mark,0),0)*AK589,0)</f>
        <v>0</v>
      </c>
      <c r="AM589" cm="1">
        <f t="array" ref="AM589">IFERROR(INDEX(sheath_wcap_asd,MATCH(AP589,sheath_mark,0),0)*AK589,0)</f>
        <v>0</v>
      </c>
      <c r="AN589" cm="1">
        <f t="array" ref="AN589">IFERROR(INDEX(hd_cap,MATCH(AQ589,hd_mark,0),0),0)</f>
        <v>0</v>
      </c>
      <c r="AP589" s="19"/>
      <c r="AQ589" s="19"/>
      <c r="AR589" s="100"/>
      <c r="AS589" s="93"/>
      <c r="AT589" s="109"/>
      <c r="AU589" t="str">
        <f>$Q$537</f>
        <v>Roof</v>
      </c>
      <c r="AV589">
        <f>$E$25</f>
        <v>33.171875</v>
      </c>
      <c r="AW589" cm="1">
        <f t="array" ref="AW589">IFERROR(IF(AV589=0,0,(INDEX($C$33:$C$38,MATCH($AZ$546,$B$33:$B$38,0),0)*(AV589+$BA$546)+$AY$546*$C$31)*$AU$546),0)</f>
        <v>0</v>
      </c>
      <c r="AX589">
        <f>IF(AV589=0,0,-$AY$546*$C$31*$H$27*$AU$546)</f>
        <v>0</v>
      </c>
      <c r="AY589">
        <f>IF(AV589=0,0,$AY$546*$H$26*$AU$546)</f>
        <v>0</v>
      </c>
      <c r="AZ589">
        <f>(0.6*AW589+0.7*AX589)*$AU$546/2</f>
        <v>0</v>
      </c>
      <c r="BA589">
        <f>AW589*$AU$546/2</f>
        <v>0</v>
      </c>
      <c r="BC589">
        <f>IF(AV589=0,0,$BG$546*$AP$537)</f>
        <v>0</v>
      </c>
      <c r="BD589">
        <f>IFERROR(BC589/$AU$546,0)</f>
        <v>0</v>
      </c>
      <c r="BE589">
        <f>BC589*($F$25+($C$16+$C$17+IF($C$13="single",1.5,3)+3)/12)</f>
        <v>0</v>
      </c>
      <c r="BF589">
        <f>BE589-AZ589</f>
        <v>0</v>
      </c>
      <c r="BG589" cm="1">
        <f t="array" ref="BG589">IFERROR(IF(BF589&lt;0,0,BF589/($AU$546-INDEX(hd_off,MATCH(BT589,hd_mark,0),0)/12)),0)</f>
        <v>0</v>
      </c>
      <c r="BH589">
        <f>IF(AV589=0,0,$BG$546*$AM$537)</f>
        <v>0</v>
      </c>
      <c r="BI589">
        <f>IFERROR(BH589/$AU$546,0)</f>
        <v>0</v>
      </c>
      <c r="BJ589">
        <f>BH589*($F$25+($C$16+$C$17+IF($C$13="single",1.5,3)+3)/12)</f>
        <v>0</v>
      </c>
      <c r="BK589">
        <f>BJ589-BA589</f>
        <v>0</v>
      </c>
      <c r="BL589" cm="1">
        <f t="array" ref="BL589">IFERROR(IF(BK589&lt;0,0,BK589/($AU$546-INDEX(hd_off,MATCH(BT589,hd_mark,0),0)/12)),0)</f>
        <v>0</v>
      </c>
      <c r="BM589">
        <f>MAX($F$25,$BF$546)/$Q$564</f>
        <v>0.29920977011494249</v>
      </c>
      <c r="BN589">
        <f t="shared" si="371"/>
        <v>1</v>
      </c>
      <c r="BO589" cm="1">
        <f t="array" ref="BO589">IFERROR(INDEX(sheath_ecap_asd,MATCH(BS589,sheath_mark,0),0)*BN589,0)</f>
        <v>0</v>
      </c>
      <c r="BP589" cm="1">
        <f t="array" ref="BP589">IFERROR(INDEX(sheath_wcap_asd,MATCH(BS589,sheath_mark,0),0)*BN589,0)</f>
        <v>0</v>
      </c>
      <c r="BQ589" cm="1">
        <f t="array" ref="BQ589">IFERROR(INDEX(hd_cap,MATCH(BT589,hd_mark,0),0),0)</f>
        <v>0</v>
      </c>
      <c r="BS589" s="19"/>
      <c r="BT589" s="19"/>
      <c r="BU589" s="100"/>
    </row>
    <row r="590" x14ac:dyDescent="0.25">
      <c r="P590" s="93"/>
      <c r="AR590" s="100"/>
      <c r="AS590" s="93"/>
      <c r="BU590" s="100"/>
    </row>
    <row r="591" x14ac:dyDescent="0.25">
      <c r="P591" s="93"/>
      <c r="Q591" s="110" t="str">
        <f>$Q$547</f>
        <v>A.06</v>
      </c>
      <c r="R591" t="str">
        <f>$Q$533</f>
        <v>L2</v>
      </c>
      <c r="S591">
        <f>$E$21</f>
        <v>10.6875</v>
      </c>
      <c r="T591" cm="1">
        <f t="array" ref="T591">IFERROR(IF(S591=0,0,(INDEX($C$33:$C$38,MATCH($W$547,$B$33:$B$38,0),0)*(S595+$X$547)+$T$547*COUNTIF(S591:S594,"&gt;0")*$C$32+$V$547*$C$31)*$R$547),0)</f>
        <v>0</v>
      </c>
      <c r="U591">
        <f>IF(S591=0,0,-(COUNTIF(S591:S594,"&gt;0")*$T$547*$C$32+$V$547*$C$31)*$H$27*$R$547)</f>
        <v>0</v>
      </c>
      <c r="V591">
        <f>IF(S591=0,0,$V$547*$H$26*$R$547)</f>
        <v>0</v>
      </c>
      <c r="W591">
        <f>(0.6*T591+0.7*U591)*$R$547/2</f>
        <v>0</v>
      </c>
      <c r="X591">
        <f>(0.6*T591+0.6*V591)*$R$547/2</f>
        <v>0</v>
      </c>
      <c r="Z591">
        <f>IF(S591=0,0,$AD$547*$AP$533)</f>
        <v>0</v>
      </c>
      <c r="AA591">
        <f>IFERROR(Z591/$R$547,0)</f>
        <v>0</v>
      </c>
      <c r="AB591">
        <f>Z591*($F$21+IF($F$21=0,0,($C$14+$C$15+IF($C$13="single",1.5,3)+3)/12))</f>
        <v>0</v>
      </c>
      <c r="AC591">
        <f>AB591-W591</f>
        <v>0</v>
      </c>
      <c r="AD591" cm="1">
        <f t="array" ref="AD591">IFERROR(IF(AC591&lt;0,0,AC591/($R$547-INDEX(hd_off,MATCH(AQ591,hd_mark,0),0)/12)),0)</f>
        <v>0</v>
      </c>
      <c r="AE591">
        <f>IF(S591=0,0,$AD$547*$AM$533)</f>
        <v>0</v>
      </c>
      <c r="AF591">
        <f>IFERROR(AE591/$R$547,0)</f>
        <v>0</v>
      </c>
      <c r="AG591">
        <f>AE591*($F$21+IF($F$21=0,0,($C$14+$C$15+IF($C$13="single",1.5,3)+3)/12))</f>
        <v>0</v>
      </c>
      <c r="AH591">
        <f>AG591-X591</f>
        <v>0</v>
      </c>
      <c r="AI591" cm="1">
        <f t="array" ref="AI591">IFERROR(IF(AH591&lt;0,0,AH591/($R$547-INDEX(hd_off,MATCH(AQ591,hd_mark,0),0)/12)),0)</f>
        <v>0</v>
      </c>
      <c r="AJ591">
        <f>MAX($F$21,$Y$547)/$Q$564</f>
        <v>0.30172413793103448</v>
      </c>
      <c r="AK591">
        <f>IF(AJ591=0,0,IF(AJ591&gt;2,1.25-0.125*AJ591,1))</f>
        <v>1</v>
      </c>
      <c r="AL591" cm="1">
        <f t="array" ref="AL591">IFERROR(INDEX(sheath_ecap_asd,MATCH(AP591,sheath_mark,0),0)*AK591,0)</f>
        <v>0</v>
      </c>
      <c r="AM591" cm="1">
        <f t="array" ref="AM591">IFERROR(INDEX(sheath_wcap_asd,MATCH(AP591,sheath_mark,0),0)*AK591,0)</f>
        <v>0</v>
      </c>
      <c r="AN591" cm="1">
        <f t="array" ref="AN591">IFERROR(INDEX(hd_cap,MATCH(AQ591,hd_mark,0),0),0)</f>
        <v>0</v>
      </c>
      <c r="AP591" s="19"/>
      <c r="AQ591" s="19"/>
      <c r="AR591" s="100"/>
      <c r="AS591" s="93"/>
      <c r="AT591" s="110" t="str">
        <f>$AT$547</f>
        <v>1.06</v>
      </c>
      <c r="AU591" t="str">
        <f>$Q$533</f>
        <v>L2</v>
      </c>
      <c r="AV591">
        <f>$E$21</f>
        <v>10.6875</v>
      </c>
      <c r="AW591" cm="1">
        <f t="array" ref="AW591">IFERROR(IF(AV591=0,0,(INDEX($C$33:$C$38,MATCH($AZ$547,$B$33:$B$38,0),0)*(AV595+$BA$547)+$AW$547*COUNTIF(AV591:AV594,"&gt;0")*$C$32+$AY$547*$C$31)*$AU$547),0)</f>
        <v>0</v>
      </c>
      <c r="AX591">
        <f>IF(AV591=0,0,-(COUNTIF(AV591:AV594,"&gt;0")*$AW$547*$C$32+$AY$547*$C$31)*$H$27*$AU$547)</f>
        <v>0</v>
      </c>
      <c r="AY591">
        <f>IF(AV591=0,0,$AY$547*$H$26*$AU$547)</f>
        <v>0</v>
      </c>
      <c r="AZ591">
        <f>(0.6*AW591+0.7*AX591)*$AU$547/2</f>
        <v>0</v>
      </c>
      <c r="BA591">
        <f>(0.6*AW591+0.6*AY591)*$AU$547/2</f>
        <v>0</v>
      </c>
      <c r="BC591">
        <f>IF(AV591=0,0,$BG$547*$AP$533)</f>
        <v>0</v>
      </c>
      <c r="BD591">
        <f>IFERROR(BC591/$AU$547,0)</f>
        <v>0</v>
      </c>
      <c r="BE591">
        <f>BC591*($F$21+IF($F$21=0,0,($C$14+$C$15+IF($C$13="single",1.5,3)+3)/12))</f>
        <v>0</v>
      </c>
      <c r="BF591">
        <f>BE591-AZ591</f>
        <v>0</v>
      </c>
      <c r="BG591" cm="1">
        <f t="array" ref="BG591">IFERROR(IF(BF591&lt;0,0,BF591/($AU$547-INDEX(hd_off,MATCH(BT591,hd_mark,0),0)/12)),0)</f>
        <v>0</v>
      </c>
      <c r="BH591">
        <f>IF(AV591=0,0,$BG$547*$AM$533)</f>
        <v>0</v>
      </c>
      <c r="BI591">
        <f>IFERROR(BH591/$AU$547,0)</f>
        <v>0</v>
      </c>
      <c r="BJ591">
        <f>BH591*($F$21+IF($F$21=0,0,($C$14+$C$15+IF($C$13="single",1.5,3)+3)/12))</f>
        <v>0</v>
      </c>
      <c r="BK591">
        <f>BJ591-BA591</f>
        <v>0</v>
      </c>
      <c r="BL591" cm="1">
        <f t="array" ref="BL591">IFERROR(IF(BK591&lt;0,0,BK591/($AU$547-INDEX(hd_off,MATCH(BT591,hd_mark,0),0)/12)),0)</f>
        <v>0</v>
      </c>
      <c r="BM591">
        <f>MAX($F$21,$BB$547)/$Q$564</f>
        <v>0.30172413793103448</v>
      </c>
      <c r="BN591">
        <f>IF(BM591=0,0,IF(BM591&gt;2,1.25-0.125*BM591,1))</f>
        <v>1</v>
      </c>
      <c r="BO591" cm="1">
        <f t="array" ref="BO591">IFERROR(INDEX(sheath_ecap_asd,MATCH(BS591,sheath_mark,0),0)*BN591,0)</f>
        <v>0</v>
      </c>
      <c r="BP591" cm="1">
        <f t="array" ref="BP591">IFERROR(INDEX(sheath_wcap_asd,MATCH(BS591,sheath_mark,0),0)*BN591,0)</f>
        <v>0</v>
      </c>
      <c r="BQ591" cm="1">
        <f t="array" ref="BQ591">IFERROR(INDEX(hd_cap,MATCH(BT591,hd_mark,0),0),0)</f>
        <v>0</v>
      </c>
      <c r="BS591" s="19"/>
      <c r="BT591" s="19"/>
      <c r="BU591" s="100"/>
    </row>
    <row r="592" x14ac:dyDescent="0.25">
      <c r="P592" s="93"/>
      <c r="Q592" s="109"/>
      <c r="R592" t="str">
        <f>$Q$534</f>
        <v>L3</v>
      </c>
      <c r="S592">
        <f>$E$22</f>
        <v>21.375</v>
      </c>
      <c r="T592" cm="1">
        <f t="array" ref="T592">IFERROR(IF(S592=0,0,(INDEX($C$33:$C$38,MATCH($W$547,$B$33:$B$38,0),0)*(S595+$X$547)+$T$547*COUNTIF(S592:S594,"&gt;0")*$C$32+$V$547*$C$31)*$R$547),0)</f>
        <v>0</v>
      </c>
      <c r="U592">
        <f>IF(S592=0,0,-(COUNTIF(S592:S594,"&gt;0")*$T$547*$C$32+$V$547*$C$31)*$H$27*$R$547)</f>
        <v>0</v>
      </c>
      <c r="V592">
        <f>IF(S592=0,0,$V$547*$H$26*$R$547)</f>
        <v>0</v>
      </c>
      <c r="W592">
        <f>(0.6*T592+0.7*U592)*$R$547/2</f>
        <v>0</v>
      </c>
      <c r="X592">
        <f>T592*$R$547/2</f>
        <v>0</v>
      </c>
      <c r="Z592">
        <f>IF(S592=0,0,$AD$547*$AP$534)</f>
        <v>0</v>
      </c>
      <c r="AA592">
        <f>IFERROR(Z592/$R$547,0)</f>
        <v>0</v>
      </c>
      <c r="AB592">
        <f>Z592*($F$22+IF($F$22=0,0,($C$14+$C$15+IF($C$13="single",1.5,3)+3)/12))</f>
        <v>0</v>
      </c>
      <c r="AC592">
        <f>AB592-W592</f>
        <v>0</v>
      </c>
      <c r="AD592" cm="1">
        <f t="array" ref="AD592">IFERROR(IF(AC592&lt;0,0,AC592/($R$547-INDEX(hd_off,MATCH(AQ592,hd_mark,0),0)/12)),0)</f>
        <v>0</v>
      </c>
      <c r="AE592">
        <f>IF(S592=0,0,$AD$547*$AM$534)</f>
        <v>0</v>
      </c>
      <c r="AF592">
        <f>IFERROR(AE592/$R$547,0)</f>
        <v>0</v>
      </c>
      <c r="AG592">
        <f>AE592*($F$22+IF($F$22=0,0,($C$14+$C$15+IF($C$13="single",1.5,3)+3)/12))</f>
        <v>0</v>
      </c>
      <c r="AH592">
        <f>AG592-X592</f>
        <v>0</v>
      </c>
      <c r="AI592" cm="1">
        <f t="array" ref="AI592">IFERROR(IF(AH592&lt;0,0,AH592/($R$547-INDEX(hd_off,MATCH(AQ592,hd_mark,0),0)/12)),0)</f>
        <v>0</v>
      </c>
      <c r="AJ592">
        <f>MAX($F$22,$Z$547)/$Q$564</f>
        <v>0.30172413793103448</v>
      </c>
      <c r="AK592">
        <f t="shared" ref="AK592:AK595" si="372">IF(AJ592=0,0,IF(AJ592&gt;2,1.25-0.125*AJ592,1))</f>
        <v>1</v>
      </c>
      <c r="AL592" cm="1">
        <f t="array" ref="AL592">IFERROR(INDEX(sheath_ecap_asd,MATCH(AP592,sheath_mark,0),0)*AK592,0)</f>
        <v>0</v>
      </c>
      <c r="AM592" cm="1">
        <f t="array" ref="AM592">IFERROR(INDEX(sheath_wcap_asd,MATCH(AP592,sheath_mark,0),0)*AK592,0)</f>
        <v>0</v>
      </c>
      <c r="AN592" cm="1">
        <f t="array" ref="AN592">IFERROR(INDEX(hd_cap,MATCH(AQ592,hd_mark,0),0),0)</f>
        <v>0</v>
      </c>
      <c r="AP592" s="19"/>
      <c r="AQ592" s="19"/>
      <c r="AR592" s="100"/>
      <c r="AS592" s="93"/>
      <c r="AT592" s="109"/>
      <c r="AU592" t="str">
        <f>$Q$534</f>
        <v>L3</v>
      </c>
      <c r="AV592">
        <f>$E$22</f>
        <v>21.375</v>
      </c>
      <c r="AW592" cm="1">
        <f t="array" ref="AW592">IFERROR(IF(AV592=0,0,(INDEX($C$33:$C$38,MATCH($AZ$547,$B$33:$B$38,0),0)*(AV595+$BA$547)+$AW$547*COUNTIF(AV592:AV594,"&gt;0")*$C$32+$AY$547*$C$31)*$AU$547),0)</f>
        <v>0</v>
      </c>
      <c r="AX592">
        <f>IF(AV592=0,0,-(COUNTIF(AV592:AV594,"&gt;0")*$AW$547*$C$32+$AY$547*$C$31)*$H$27*$AU$547)</f>
        <v>0</v>
      </c>
      <c r="AY592">
        <f>IF(AV592=0,0,$AY$547*$H$26*$AU$547)</f>
        <v>0</v>
      </c>
      <c r="AZ592">
        <f>(0.6*AW592+0.7*AX592)*$AU$547/2</f>
        <v>0</v>
      </c>
      <c r="BA592">
        <f>AW592*$AU$547/2</f>
        <v>0</v>
      </c>
      <c r="BC592">
        <f>IF(AV592=0,0,$BG$547*$AP$534)</f>
        <v>0</v>
      </c>
      <c r="BD592">
        <f>IFERROR(BC592/$AU$547,0)</f>
        <v>0</v>
      </c>
      <c r="BE592">
        <f>BC592*($F$22+IF($F$22=0,0,($C$14+$C$15+IF($C$13="single",1.5,3)+3)/12))</f>
        <v>0</v>
      </c>
      <c r="BF592">
        <f>BE592-AZ592</f>
        <v>0</v>
      </c>
      <c r="BG592" cm="1">
        <f t="array" ref="BG592">IFERROR(IF(BF592&lt;0,0,BF592/($AU$547-INDEX(hd_off,MATCH(BT592,hd_mark,0),0)/12)),0)</f>
        <v>0</v>
      </c>
      <c r="BH592">
        <f>IF(AV592=0,0,$BG$547*$AM$534)</f>
        <v>0</v>
      </c>
      <c r="BI592">
        <f>IFERROR(BH592/$AU$547,0)</f>
        <v>0</v>
      </c>
      <c r="BJ592">
        <f>BH592*($F$22+IF($F$22=0,0,($C$14+$C$15+IF($C$13="single",1.5,3)+3)/12))</f>
        <v>0</v>
      </c>
      <c r="BK592">
        <f>BJ592-BA592</f>
        <v>0</v>
      </c>
      <c r="BL592" cm="1">
        <f t="array" ref="BL592">IFERROR(IF(BK592&lt;0,0,BK592/($AU$547-INDEX(hd_off,MATCH(BT592,hd_mark,0),0)/12)),0)</f>
        <v>0</v>
      </c>
      <c r="BM592">
        <f>MAX($F$22,$BC$547)/$Q$564</f>
        <v>0.30172413793103448</v>
      </c>
      <c r="BN592">
        <f t="shared" ref="BN592:BN595" si="373">IF(BM592=0,0,IF(BM592&gt;2,1.25-0.125*BM592,1))</f>
        <v>1</v>
      </c>
      <c r="BO592" cm="1">
        <f t="array" ref="BO592">IFERROR(INDEX(sheath_ecap_asd,MATCH(BS592,sheath_mark,0),0)*BN592,0)</f>
        <v>0</v>
      </c>
      <c r="BP592" cm="1">
        <f t="array" ref="BP592">IFERROR(INDEX(sheath_wcap_asd,MATCH(BS592,sheath_mark,0),0)*BN592,0)</f>
        <v>0</v>
      </c>
      <c r="BQ592" cm="1">
        <f t="array" ref="BQ592">IFERROR(INDEX(hd_cap,MATCH(BT592,hd_mark,0),0),0)</f>
        <v>0</v>
      </c>
      <c r="BS592" s="19"/>
      <c r="BT592" s="19"/>
      <c r="BU592" s="100"/>
    </row>
    <row r="593" x14ac:dyDescent="0.25">
      <c r="P593" s="93"/>
      <c r="Q593" s="109" t="s">
        <v>491</v>
      </c>
      <c r="R593" t="str">
        <f>$Q$535</f>
        <v>L4</v>
      </c>
      <c r="S593">
        <f>$E$23</f>
        <v>0</v>
      </c>
      <c r="T593" cm="1">
        <f t="array" ref="T593">IFERROR(IF(S593=0,0,(INDEX($C$33:$C$38,MATCH($W$547,$B$33:$B$38,0),0)*(S595+$X$547)+$T$547*COUNTIF(S593:S594,"&gt;0")*$C$32+$V$547*$C$31)*$R$547),0)</f>
        <v>0</v>
      </c>
      <c r="U593">
        <f>IF(S593=0,0,-(COUNTIF(S593:S594,"&gt;0")*$T$547*$C$32+$V$547*$C$31)*$H$27*$R$547)</f>
        <v>0</v>
      </c>
      <c r="V593">
        <f>IF(S593=0,0,$V$547*$H$26*$R$547)</f>
        <v>0</v>
      </c>
      <c r="W593">
        <f>(0.6*T593+0.7*U593)*$R$547/2</f>
        <v>0</v>
      </c>
      <c r="X593">
        <f>T593*$R$547/2</f>
        <v>0</v>
      </c>
      <c r="Z593">
        <f>IF(S593=0,0,$AD$547*$AP$535)</f>
        <v>0</v>
      </c>
      <c r="AA593">
        <f>IFERROR(Z593/$R$547,0)</f>
        <v>0</v>
      </c>
      <c r="AB593">
        <f>Z593*($F$23+IF($F$23=0,0,($C$14+$C$15+IF($C$13="single",1.5,3)+3)/12))</f>
        <v>0</v>
      </c>
      <c r="AC593">
        <f>AB593-W593</f>
        <v>0</v>
      </c>
      <c r="AD593" cm="1">
        <f t="array" ref="AD593">IFERROR(IF(AC593&lt;0,0,AC593/($R$547-INDEX(hd_off,MATCH(AQ593,hd_mark,0),0)/12)),0)</f>
        <v>0</v>
      </c>
      <c r="AE593">
        <f>IF(S593=0,0,$AD$547*$AM$535)</f>
        <v>0</v>
      </c>
      <c r="AF593">
        <f>IFERROR(AE593/$R$547,0)</f>
        <v>0</v>
      </c>
      <c r="AG593">
        <f>AE593*($F$23+IF($F$23=0,0,($C$14+$C$15+IF($C$13="single",1.5,3)+3)/12))</f>
        <v>0</v>
      </c>
      <c r="AH593">
        <f>AG593-X593</f>
        <v>0</v>
      </c>
      <c r="AI593" cm="1">
        <f t="array" ref="AI593">IFERROR(IF(AH593&lt;0,0,AH593/($R$547-INDEX(hd_off,MATCH(AQ593,hd_mark,0),0)/12)),0)</f>
        <v>0</v>
      </c>
      <c r="AJ593">
        <f>MAX($F$23,$AA$547)/$Q$564</f>
        <v>0</v>
      </c>
      <c r="AK593">
        <f t="shared" si="372"/>
        <v>0</v>
      </c>
      <c r="AL593" cm="1">
        <f t="array" ref="AL593">IFERROR(INDEX(sheath_ecap_asd,MATCH(AP593,sheath_mark,0),0)*AK593,0)</f>
        <v>0</v>
      </c>
      <c r="AM593" cm="1">
        <f t="array" ref="AM593">IFERROR(INDEX(sheath_wcap_asd,MATCH(AP593,sheath_mark,0),0)*AK593,0)</f>
        <v>0</v>
      </c>
      <c r="AN593" cm="1">
        <f t="array" ref="AN593">IFERROR(INDEX(hd_cap,MATCH(AQ593,hd_mark,0),0),0)</f>
        <v>0</v>
      </c>
      <c r="AP593" s="19"/>
      <c r="AQ593" s="19"/>
      <c r="AR593" s="100"/>
      <c r="AS593" s="93"/>
      <c r="AT593" s="109" t="s">
        <v>491</v>
      </c>
      <c r="AU593" t="str">
        <f>$Q$535</f>
        <v>L4</v>
      </c>
      <c r="AV593">
        <f>$E$23</f>
        <v>0</v>
      </c>
      <c r="AW593" cm="1">
        <f t="array" ref="AW593">IFERROR(IF(AV593=0,0,(INDEX($C$33:$C$38,MATCH($AZ$547,$B$33:$B$38,0),0)*(AV595+$BA$547)+$AW$547*COUNTIF(AV593:AV594,"&gt;0")*$C$32+$AY$547*$C$31)*$AU$547),0)</f>
        <v>0</v>
      </c>
      <c r="AX593">
        <f>IF(AV593=0,0,-(COUNTIF(AV593:AV594,"&gt;0")*$AW$547*$C$32+$AY$547*$C$31)*$H$27*$AU$547)</f>
        <v>0</v>
      </c>
      <c r="AY593">
        <f>IF(AV593=0,0,$AY$547*$H$26*$AU$547)</f>
        <v>0</v>
      </c>
      <c r="AZ593">
        <f>(0.6*AW593+0.7*AX593)*$AU$547/2</f>
        <v>0</v>
      </c>
      <c r="BA593">
        <f>AW593*$AU$547/2</f>
        <v>0</v>
      </c>
      <c r="BC593">
        <f>IF(AV593=0,0,$BG$547*$AP$535)</f>
        <v>0</v>
      </c>
      <c r="BD593">
        <f>IFERROR(BC593/$AU$547,0)</f>
        <v>0</v>
      </c>
      <c r="BE593">
        <f>BC593*($F$23+IF($F$23=0,0,($C$14+$C$15+IF($C$13="single",1.5,3)+3)/12))</f>
        <v>0</v>
      </c>
      <c r="BF593">
        <f>BE593-AZ593</f>
        <v>0</v>
      </c>
      <c r="BG593" cm="1">
        <f t="array" ref="BG593">IFERROR(IF(BF593&lt;0,0,BF593/($AU$547-INDEX(hd_off,MATCH(BT593,hd_mark,0),0)/12)),0)</f>
        <v>0</v>
      </c>
      <c r="BH593">
        <f>IF(AV593=0,0,$BG$547*$AM$535)</f>
        <v>0</v>
      </c>
      <c r="BI593">
        <f>IFERROR(BH593/$AU$547,0)</f>
        <v>0</v>
      </c>
      <c r="BJ593">
        <f>BH593*($F$23+IF($F$23=0,0,($C$14+$C$15+IF($C$13="single",1.5,3)+3)/12))</f>
        <v>0</v>
      </c>
      <c r="BK593">
        <f>BJ593-BA593</f>
        <v>0</v>
      </c>
      <c r="BL593" cm="1">
        <f t="array" ref="BL593">IFERROR(IF(BK593&lt;0,0,BK593/($AU$547-INDEX(hd_off,MATCH(BT593,hd_mark,0),0)/12)),0)</f>
        <v>0</v>
      </c>
      <c r="BM593">
        <f>MAX($F$23,$BD$547)/$Q$564</f>
        <v>0</v>
      </c>
      <c r="BN593">
        <f t="shared" si="373"/>
        <v>0</v>
      </c>
      <c r="BO593" cm="1">
        <f t="array" ref="BO593">IFERROR(INDEX(sheath_ecap_asd,MATCH(BS593,sheath_mark,0),0)*BN593,0)</f>
        <v>0</v>
      </c>
      <c r="BP593" cm="1">
        <f t="array" ref="BP593">IFERROR(INDEX(sheath_wcap_asd,MATCH(BS593,sheath_mark,0),0)*BN593,0)</f>
        <v>0</v>
      </c>
      <c r="BQ593" cm="1">
        <f t="array" ref="BQ593">IFERROR(INDEX(hd_cap,MATCH(BT593,hd_mark,0),0),0)</f>
        <v>0</v>
      </c>
      <c r="BS593" s="19"/>
      <c r="BT593" s="19"/>
      <c r="BU593" s="100"/>
    </row>
    <row r="594" x14ac:dyDescent="0.25">
      <c r="P594" s="93"/>
      <c r="Q594" s="111">
        <f>$R$547</f>
        <v>0</v>
      </c>
      <c r="R594" t="str">
        <f>$Q$536</f>
        <v>L5</v>
      </c>
      <c r="S594">
        <f>$E$24</f>
        <v>0</v>
      </c>
      <c r="T594" cm="1">
        <f t="array" ref="T594">IFERROR(IF(S594=0,0,(INDEX($C$33:$C$38,MATCH($W$547,$B$33:$B$38,0),0)*(S595+$X$547)+$T$547*COUNTIF(S594:S594,"&gt;0")*$C$32+$V$547*$C$31)*$R$547),0)</f>
        <v>0</v>
      </c>
      <c r="U594">
        <f>IF(S594=0,0,-(COUNTIF(S594:S594,"&gt;0")*$T$547*$C$32+$V$547*$C$31)*$H$27*$R$547)</f>
        <v>0</v>
      </c>
      <c r="V594">
        <f>IF(S594=0,0,$V$547*$H$26*$R$547)</f>
        <v>0</v>
      </c>
      <c r="W594">
        <f>(0.6*T594+0.7*U594)*$R$547/2</f>
        <v>0</v>
      </c>
      <c r="X594">
        <f>T594*$R$547/2</f>
        <v>0</v>
      </c>
      <c r="Z594">
        <f>IF(S594=0,0,$AD$547*$AP$536)</f>
        <v>0</v>
      </c>
      <c r="AA594">
        <f>IFERROR(Z594/$R$547,0)</f>
        <v>0</v>
      </c>
      <c r="AB594">
        <f>Z594*($F$24+IF($F$24=0,0,($C$14+$C$15+IF($C$13="single",1.5,3)+3)/12))</f>
        <v>0</v>
      </c>
      <c r="AC594">
        <f>AB594-W594</f>
        <v>0</v>
      </c>
      <c r="AD594" cm="1">
        <f t="array" ref="AD594">IFERROR(IF(AC594&lt;0,0,AC594/($R$547-INDEX(hd_off,MATCH(AQ594,hd_mark,0),0)/12)),0)</f>
        <v>0</v>
      </c>
      <c r="AE594">
        <f>IF(S594=0,0,$AD$547*$AM$536)</f>
        <v>0</v>
      </c>
      <c r="AF594">
        <f>IFERROR(AE594/$R$547,0)</f>
        <v>0</v>
      </c>
      <c r="AG594">
        <f>AE594*($F$24+IF($F$24=0,0,($C$14+$C$15+IF($C$13="single",1.5,3)+3)/12))</f>
        <v>0</v>
      </c>
      <c r="AH594">
        <f>AG594-X594</f>
        <v>0</v>
      </c>
      <c r="AI594" cm="1">
        <f t="array" ref="AI594">IFERROR(IF(AH594&lt;0,0,AH594/($R$547-INDEX(hd_off,MATCH(AQ594,hd_mark,0),0)/12)),0)</f>
        <v>0</v>
      </c>
      <c r="AJ594">
        <f>MAX($F$24,$AB$547)/$Q$564</f>
        <v>0</v>
      </c>
      <c r="AK594">
        <f t="shared" si="372"/>
        <v>0</v>
      </c>
      <c r="AL594" cm="1">
        <f t="array" ref="AL594">IFERROR(INDEX(sheath_ecap_asd,MATCH(AP594,sheath_mark,0),0)*AK594,0)</f>
        <v>0</v>
      </c>
      <c r="AM594" cm="1">
        <f t="array" ref="AM594">IFERROR(INDEX(sheath_wcap_asd,MATCH(AP594,sheath_mark,0),0)*AK594,0)</f>
        <v>0</v>
      </c>
      <c r="AN594" cm="1">
        <f t="array" ref="AN594">IFERROR(INDEX(hd_cap,MATCH(AQ594,hd_mark,0),0),0)</f>
        <v>0</v>
      </c>
      <c r="AP594" s="19"/>
      <c r="AQ594" s="19"/>
      <c r="AR594" s="100"/>
      <c r="AS594" s="93"/>
      <c r="AT594" s="111">
        <f>$R$547</f>
        <v>0</v>
      </c>
      <c r="AU594" t="str">
        <f>$Q$536</f>
        <v>L5</v>
      </c>
      <c r="AV594">
        <f>$E$24</f>
        <v>0</v>
      </c>
      <c r="AW594" cm="1">
        <f t="array" ref="AW594">IFERROR(IF(AV594=0,0,(INDEX($C$33:$C$38,MATCH($AZ$547,$B$33:$B$38,0),0)*(AV595+$BA$547)+$AW$547*COUNTIF(AV594:AV594,"&gt;0")*$C$32+$AY$547*$C$31)*$AU$547),0)</f>
        <v>0</v>
      </c>
      <c r="AX594">
        <f>IF(AV594=0,0,-(COUNTIF(AV594:AV594,"&gt;0")*$AW$547*$C$32+$AY$547*$C$31)*$H$27*$AU$547)</f>
        <v>0</v>
      </c>
      <c r="AY594">
        <f>IF(AV594=0,0,$AY$547*$H$26*$AU$547)</f>
        <v>0</v>
      </c>
      <c r="AZ594">
        <f>(0.6*AW594+0.7*AX594)*$AU$547/2</f>
        <v>0</v>
      </c>
      <c r="BA594">
        <f>AW594*$AU$547/2</f>
        <v>0</v>
      </c>
      <c r="BC594">
        <f>IF(AV594=0,0,$BG$547*$AP$536)</f>
        <v>0</v>
      </c>
      <c r="BD594">
        <f>IFERROR(BC594/$AU$547,0)</f>
        <v>0</v>
      </c>
      <c r="BE594">
        <f>BC594*($F$24+IF($F$24=0,0,($C$14+$C$15+IF($C$13="single",1.5,3)+3)/12))</f>
        <v>0</v>
      </c>
      <c r="BF594">
        <f>BE594-AZ594</f>
        <v>0</v>
      </c>
      <c r="BG594" cm="1">
        <f t="array" ref="BG594">IFERROR(IF(BF594&lt;0,0,BF594/($AU$547-INDEX(hd_off,MATCH(BT594,hd_mark,0),0)/12)),0)</f>
        <v>0</v>
      </c>
      <c r="BH594">
        <f>IF(AV594=0,0,$BG$547*$AM$536)</f>
        <v>0</v>
      </c>
      <c r="BI594">
        <f>IFERROR(BH594/$AU$547,0)</f>
        <v>0</v>
      </c>
      <c r="BJ594">
        <f>BH594*($F$24+IF($F$24=0,0,($C$14+$C$15+IF($C$13="single",1.5,3)+3)/12))</f>
        <v>0</v>
      </c>
      <c r="BK594">
        <f>BJ594-BA594</f>
        <v>0</v>
      </c>
      <c r="BL594" cm="1">
        <f t="array" ref="BL594">IFERROR(IF(BK594&lt;0,0,BK594/($AU$547-INDEX(hd_off,MATCH(BT594,hd_mark,0),0)/12)),0)</f>
        <v>0</v>
      </c>
      <c r="BM594">
        <f>MAX($F$24,$BE$547)/$Q$564</f>
        <v>0</v>
      </c>
      <c r="BN594">
        <f t="shared" si="373"/>
        <v>0</v>
      </c>
      <c r="BO594" cm="1">
        <f t="array" ref="BO594">IFERROR(INDEX(sheath_ecap_asd,MATCH(BS594,sheath_mark,0),0)*BN594,0)</f>
        <v>0</v>
      </c>
      <c r="BP594" cm="1">
        <f t="array" ref="BP594">IFERROR(INDEX(sheath_wcap_asd,MATCH(BS594,sheath_mark,0),0)*BN594,0)</f>
        <v>0</v>
      </c>
      <c r="BQ594" cm="1">
        <f t="array" ref="BQ594">IFERROR(INDEX(hd_cap,MATCH(BT594,hd_mark,0),0),0)</f>
        <v>0</v>
      </c>
      <c r="BS594" s="19"/>
      <c r="BT594" s="19"/>
      <c r="BU594" s="100"/>
    </row>
    <row r="595" x14ac:dyDescent="0.25">
      <c r="P595" s="93"/>
      <c r="Q595" s="109"/>
      <c r="R595" t="str">
        <f>$Q$537</f>
        <v>Roof</v>
      </c>
      <c r="S595">
        <f>$E$25</f>
        <v>33.171875</v>
      </c>
      <c r="T595" cm="1">
        <f t="array" ref="T595">IFERROR(IF(S595=0,0,(INDEX($C$33:$C$38,MATCH($W$547,$B$33:$B$38,0),0)*(S595+$X$547)+$V$547*$C$31)*$R$547),0)</f>
        <v>0</v>
      </c>
      <c r="U595">
        <f>IF(S595=0,0,-$V$547*$C$31*$H$27*$R$547)</f>
        <v>0</v>
      </c>
      <c r="V595">
        <f>IF(S595=0,0,$V$547*$H$26*$R$547)</f>
        <v>0</v>
      </c>
      <c r="W595">
        <f>(0.6*T595+0.7*U595)*$R$547/2</f>
        <v>0</v>
      </c>
      <c r="X595">
        <f>T595*$R$547/2</f>
        <v>0</v>
      </c>
      <c r="Z595">
        <f>IF(S595=0,0,$AD$547*$AP$537)</f>
        <v>0</v>
      </c>
      <c r="AA595">
        <f>IFERROR(Z595/$R$547,0)</f>
        <v>0</v>
      </c>
      <c r="AB595">
        <f>Z595*($F$25+($C$16+$C$17+IF($C$13="single",1.5,3)+3)/12)</f>
        <v>0</v>
      </c>
      <c r="AC595">
        <f>AB595-W595</f>
        <v>0</v>
      </c>
      <c r="AD595" cm="1">
        <f t="array" ref="AD595">IFERROR(IF(AC595&lt;0,0,AC595/($R$547-INDEX(hd_off,MATCH(AQ595,hd_mark,0),0)/12)),0)</f>
        <v>0</v>
      </c>
      <c r="AE595">
        <f>IF(S595=0,0,$AD$547*$AM$537)</f>
        <v>0</v>
      </c>
      <c r="AF595">
        <f>IFERROR(AE595/$R$547,0)</f>
        <v>0</v>
      </c>
      <c r="AG595">
        <f>AE595*($F$25+($C$16+$C$17+IF($C$13="single",1.5,3)+3)/12)</f>
        <v>0</v>
      </c>
      <c r="AH595">
        <f>AG595-X595</f>
        <v>0</v>
      </c>
      <c r="AI595" cm="1">
        <f t="array" ref="AI595">IFERROR(IF(AH595&lt;0,0,AH595/($R$547-INDEX(hd_off,MATCH(AQ595,hd_mark,0),0)/12)),0)</f>
        <v>0</v>
      </c>
      <c r="AJ595">
        <f>MAX($F$25,$AC$547)/$Q$564</f>
        <v>0.29920977011494249</v>
      </c>
      <c r="AK595">
        <f t="shared" si="372"/>
        <v>1</v>
      </c>
      <c r="AL595" cm="1">
        <f t="array" ref="AL595">IFERROR(INDEX(sheath_ecap_asd,MATCH(AP595,sheath_mark,0),0)*AK595,0)</f>
        <v>0</v>
      </c>
      <c r="AM595" cm="1">
        <f t="array" ref="AM595">IFERROR(INDEX(sheath_wcap_asd,MATCH(AP595,sheath_mark,0),0)*AK595,0)</f>
        <v>0</v>
      </c>
      <c r="AN595" cm="1">
        <f t="array" ref="AN595">IFERROR(INDEX(hd_cap,MATCH(AQ595,hd_mark,0),0),0)</f>
        <v>0</v>
      </c>
      <c r="AP595" s="19"/>
      <c r="AQ595" s="19"/>
      <c r="AR595" s="100"/>
      <c r="AS595" s="93"/>
      <c r="AT595" s="109"/>
      <c r="AU595" t="str">
        <f>$Q$537</f>
        <v>Roof</v>
      </c>
      <c r="AV595">
        <f>$E$25</f>
        <v>33.171875</v>
      </c>
      <c r="AW595" cm="1">
        <f t="array" ref="AW595">IFERROR(IF(AV595=0,0,(INDEX($C$33:$C$38,MATCH($AZ$547,$B$33:$B$38,0),0)*(AV595+$BA$547)+$AY$547*$C$31)*$AU$547),0)</f>
        <v>0</v>
      </c>
      <c r="AX595">
        <f>IF(AV595=0,0,-$AY$547*$C$31*$H$27*$AU$547)</f>
        <v>0</v>
      </c>
      <c r="AY595">
        <f>IF(AV595=0,0,$AY$547*$H$26*$AU$547)</f>
        <v>0</v>
      </c>
      <c r="AZ595">
        <f>(0.6*AW595+0.7*AX595)*$AU$547/2</f>
        <v>0</v>
      </c>
      <c r="BA595">
        <f>AW595*$AU$547/2</f>
        <v>0</v>
      </c>
      <c r="BC595">
        <f>IF(AV595=0,0,$BG$547*$AP$537)</f>
        <v>0</v>
      </c>
      <c r="BD595">
        <f>IFERROR(BC595/$AU$547,0)</f>
        <v>0</v>
      </c>
      <c r="BE595">
        <f>BC595*($F$25+($C$16+$C$17+IF($C$13="single",1.5,3)+3)/12)</f>
        <v>0</v>
      </c>
      <c r="BF595">
        <f>BE595-AZ595</f>
        <v>0</v>
      </c>
      <c r="BG595" cm="1">
        <f t="array" ref="BG595">IFERROR(IF(BF595&lt;0,0,BF595/($AU$547-INDEX(hd_off,MATCH(BT595,hd_mark,0),0)/12)),0)</f>
        <v>0</v>
      </c>
      <c r="BH595">
        <f>IF(AV595=0,0,$BG$547*$AM$537)</f>
        <v>0</v>
      </c>
      <c r="BI595">
        <f>IFERROR(BH595/$AU$547,0)</f>
        <v>0</v>
      </c>
      <c r="BJ595">
        <f>BH595*($F$25+($C$16+$C$17+IF($C$13="single",1.5,3)+3)/12)</f>
        <v>0</v>
      </c>
      <c r="BK595">
        <f>BJ595-BA595</f>
        <v>0</v>
      </c>
      <c r="BL595" cm="1">
        <f t="array" ref="BL595">IFERROR(IF(BK595&lt;0,0,BK595/($AU$547-INDEX(hd_off,MATCH(BT595,hd_mark,0),0)/12)),0)</f>
        <v>0</v>
      </c>
      <c r="BM595">
        <f>MAX($F$25,$BF$547)/$Q$564</f>
        <v>0.29920977011494249</v>
      </c>
      <c r="BN595">
        <f t="shared" si="373"/>
        <v>1</v>
      </c>
      <c r="BO595" cm="1">
        <f t="array" ref="BO595">IFERROR(INDEX(sheath_ecap_asd,MATCH(BS595,sheath_mark,0),0)*BN595,0)</f>
        <v>0</v>
      </c>
      <c r="BP595" cm="1">
        <f t="array" ref="BP595">IFERROR(INDEX(sheath_wcap_asd,MATCH(BS595,sheath_mark,0),0)*BN595,0)</f>
        <v>0</v>
      </c>
      <c r="BQ595" cm="1">
        <f t="array" ref="BQ595">IFERROR(INDEX(hd_cap,MATCH(BT595,hd_mark,0),0),0)</f>
        <v>0</v>
      </c>
      <c r="BS595" s="19"/>
      <c r="BT595" s="19"/>
      <c r="BU595" s="100"/>
    </row>
    <row r="596" x14ac:dyDescent="0.25">
      <c r="P596" s="93"/>
      <c r="AR596" s="100"/>
      <c r="AS596" s="93"/>
      <c r="BU596" s="100"/>
    </row>
    <row r="597" x14ac:dyDescent="0.25">
      <c r="P597" s="93"/>
      <c r="Q597" s="110" t="str">
        <f>$Q$548</f>
        <v>A.07</v>
      </c>
      <c r="R597" t="str">
        <f>$Q$533</f>
        <v>L2</v>
      </c>
      <c r="S597">
        <f>$E$21</f>
        <v>10.6875</v>
      </c>
      <c r="T597" cm="1">
        <f t="array" ref="T597">IFERROR(IF(S597=0,0,(INDEX($C$33:$C$38,MATCH($W$548,$B$33:$B$38,0),0)*(S601+$X$548)+$T$548*COUNTIF(S597:S600,"&gt;0")*$C$32+$V$548*$C$31)*$R$548),0)</f>
        <v>0</v>
      </c>
      <c r="U597">
        <f>IF(S597=0,0,-(COUNTIF(S597:S600,"&gt;0")*$T$548*$C$32+$V$548*$C$31)*$H$27*$R$548)</f>
        <v>0</v>
      </c>
      <c r="V597">
        <f>IF(S597=0,0,$V$548*$H$26*$R$548)</f>
        <v>0</v>
      </c>
      <c r="W597">
        <f>(0.6*T597+0.7*U597)*$R$548/2</f>
        <v>0</v>
      </c>
      <c r="X597">
        <f>(0.6*T597+0.6*V597)*$R$548/2</f>
        <v>0</v>
      </c>
      <c r="Z597">
        <f>IF(S597=0,0,$AD$548*$AP$533)</f>
        <v>0</v>
      </c>
      <c r="AA597">
        <f>IFERROR(Z597/$R$548,0)</f>
        <v>0</v>
      </c>
      <c r="AB597">
        <f>Z597*($F$21+IF($F$21=0,0,($C$14+$C$15+IF($C$13="single",1.5,3)+3)/12))</f>
        <v>0</v>
      </c>
      <c r="AC597">
        <f>AB597-W597</f>
        <v>0</v>
      </c>
      <c r="AD597" cm="1">
        <f t="array" ref="AD597">IFERROR(IF(AC597&lt;0,0,AC597/($R$548-INDEX(hd_off,MATCH(AQ597,hd_mark,0),0)/12)),0)</f>
        <v>0</v>
      </c>
      <c r="AE597">
        <f>IF(S597=0,0,$AD$548*$AM$533)</f>
        <v>0</v>
      </c>
      <c r="AF597">
        <f>IFERROR(AE597/$R$548,0)</f>
        <v>0</v>
      </c>
      <c r="AG597">
        <f>AE597*($F$21+IF($F$21=0,0,($C$14+$C$15+IF($C$13="single",1.5,3)+3)/12))</f>
        <v>0</v>
      </c>
      <c r="AH597">
        <f>AG597-X597</f>
        <v>0</v>
      </c>
      <c r="AI597" cm="1">
        <f t="array" ref="AI597">IFERROR(IF(AH597&lt;0,0,AH597/($R$548-INDEX(hd_off,MATCH(AQ597,hd_mark,0),0)/12)),0)</f>
        <v>0</v>
      </c>
      <c r="AJ597">
        <f>MAX($F$21,$Y$548)/$Q$564</f>
        <v>0.30172413793103448</v>
      </c>
      <c r="AK597">
        <f>IF(AJ597=0,0,IF(AJ597&gt;2,1.25-0.125*AJ597,1))</f>
        <v>1</v>
      </c>
      <c r="AL597" cm="1">
        <f t="array" ref="AL597">IFERROR(INDEX(sheath_ecap_asd,MATCH(AP597,sheath_mark,0),0)*AK597,0)</f>
        <v>0</v>
      </c>
      <c r="AM597" cm="1">
        <f t="array" ref="AM597">IFERROR(INDEX(sheath_wcap_asd,MATCH(AP597,sheath_mark,0),0)*AK597,0)</f>
        <v>0</v>
      </c>
      <c r="AN597" cm="1">
        <f t="array" ref="AN597">IFERROR(INDEX(hd_cap,MATCH(AQ597,hd_mark,0),0),0)</f>
        <v>0</v>
      </c>
      <c r="AP597" s="19"/>
      <c r="AQ597" s="19"/>
      <c r="AR597" s="100"/>
      <c r="AS597" s="93"/>
      <c r="AT597" s="110" t="str">
        <f>$AT$548</f>
        <v>1.07</v>
      </c>
      <c r="AU597" t="str">
        <f>$Q$533</f>
        <v>L2</v>
      </c>
      <c r="AV597">
        <f>$E$21</f>
        <v>10.6875</v>
      </c>
      <c r="AW597" cm="1">
        <f t="array" ref="AW597">IFERROR(IF(AV597=0,0,(INDEX($C$33:$C$38,MATCH($AZ$548,$B$33:$B$38,0),0)*(AV601+$BA$548)+$AW$548*COUNTIF(AV597:AV600,"&gt;0")*$C$32+$AY$548*$C$31)*$AU$548),0)</f>
        <v>0</v>
      </c>
      <c r="AX597">
        <f>IF(AV597=0,0,-(COUNTIF(AV597:AV600,"&gt;0")*$AW$548*$C$32+$AY$548*$C$31)*$H$27*$AU$548)</f>
        <v>0</v>
      </c>
      <c r="AY597">
        <f>IF(AV597=0,0,$AY$548*$H$26*$AU$548)</f>
        <v>0</v>
      </c>
      <c r="AZ597">
        <f>(0.6*AW597+0.7*AX597)*$AU$548/2</f>
        <v>0</v>
      </c>
      <c r="BA597">
        <f>(0.6*AW597+0.6*AY597)*$AU$548/2</f>
        <v>0</v>
      </c>
      <c r="BC597">
        <f>IF(AV597=0,0,$BG$548*$AP$533)</f>
        <v>0</v>
      </c>
      <c r="BD597">
        <f>IFERROR(BC597/$AU$548,0)</f>
        <v>0</v>
      </c>
      <c r="BE597">
        <f>BC597*($F$21+IF($F$21=0,0,($C$14+$C$15+IF($C$13="single",1.5,3)+3)/12))</f>
        <v>0</v>
      </c>
      <c r="BF597">
        <f>BE597-AZ597</f>
        <v>0</v>
      </c>
      <c r="BG597" cm="1">
        <f t="array" ref="BG597">IFERROR(IF(BF597&lt;0,0,BF597/($AU$548-INDEX(hd_off,MATCH(BT597,hd_mark,0),0)/12)),0)</f>
        <v>0</v>
      </c>
      <c r="BH597">
        <f>IF(AV597=0,0,$BG$548*$AM$533)</f>
        <v>0</v>
      </c>
      <c r="BI597">
        <f>IFERROR(BH597/$AU$548,0)</f>
        <v>0</v>
      </c>
      <c r="BJ597">
        <f>BH597*($F$21+IF($F$21=0,0,($C$14+$C$15+IF($C$13="single",1.5,3)+3)/12))</f>
        <v>0</v>
      </c>
      <c r="BK597">
        <f>BJ597-BA597</f>
        <v>0</v>
      </c>
      <c r="BL597" cm="1">
        <f t="array" ref="BL597">IFERROR(IF(BK597&lt;0,0,BK597/($AU$548-INDEX(hd_off,MATCH(BT597,hd_mark,0),0)/12)),0)</f>
        <v>0</v>
      </c>
      <c r="BM597">
        <f>MAX($F$21,$BB$548)/$Q$564</f>
        <v>0.30172413793103448</v>
      </c>
      <c r="BN597">
        <f>IF(BM597=0,0,IF(BM597&gt;2,1.25-0.125*BM597,1))</f>
        <v>1</v>
      </c>
      <c r="BO597" cm="1">
        <f t="array" ref="BO597">IFERROR(INDEX(sheath_ecap_asd,MATCH(BS597,sheath_mark,0),0)*BN597,0)</f>
        <v>0</v>
      </c>
      <c r="BP597" cm="1">
        <f t="array" ref="BP597">IFERROR(INDEX(sheath_wcap_asd,MATCH(BS597,sheath_mark,0),0)*BN597,0)</f>
        <v>0</v>
      </c>
      <c r="BQ597" cm="1">
        <f t="array" ref="BQ597">IFERROR(INDEX(hd_cap,MATCH(BT597,hd_mark,0),0),0)</f>
        <v>0</v>
      </c>
      <c r="BS597" s="19"/>
      <c r="BT597" s="19"/>
      <c r="BU597" s="100"/>
    </row>
    <row r="598" x14ac:dyDescent="0.25">
      <c r="P598" s="93"/>
      <c r="Q598" s="109"/>
      <c r="R598" t="str">
        <f>$Q$534</f>
        <v>L3</v>
      </c>
      <c r="S598">
        <f>$E$22</f>
        <v>21.375</v>
      </c>
      <c r="T598" cm="1">
        <f t="array" ref="T598">IFERROR(IF(S598=0,0,(INDEX($C$33:$C$38,MATCH($W$548,$B$33:$B$38,0),0)*(S601+$X$548)+$T$548*COUNTIF(S598:S600,"&gt;0")*$C$32+$V$548*$C$31)*$R$548),0)</f>
        <v>0</v>
      </c>
      <c r="U598">
        <f>IF(S598=0,0,-(COUNTIF(S598:S600,"&gt;0")*$T$548*$C$32+$V$548*$C$31)*$H$27*$R$548)</f>
        <v>0</v>
      </c>
      <c r="V598">
        <f>IF(S598=0,0,$V$548*$H$26*$R$548)</f>
        <v>0</v>
      </c>
      <c r="W598">
        <f>(0.6*T598+0.7*U598)*$R$548/2</f>
        <v>0</v>
      </c>
      <c r="X598">
        <f>T598*$R$548/2</f>
        <v>0</v>
      </c>
      <c r="Z598">
        <f>IF(S598=0,0,$AD$548*$AP$534)</f>
        <v>0</v>
      </c>
      <c r="AA598">
        <f>IFERROR(Z598/$R$548,0)</f>
        <v>0</v>
      </c>
      <c r="AB598">
        <f>Z598*($F$22+IF($F$22=0,0,($C$14+$C$15+IF($C$13="single",1.5,3)+3)/12))</f>
        <v>0</v>
      </c>
      <c r="AC598">
        <f>AB598-W598</f>
        <v>0</v>
      </c>
      <c r="AD598" cm="1">
        <f t="array" ref="AD598">IFERROR(IF(AC598&lt;0,0,AC598/($R$548-INDEX(hd_off,MATCH(AQ598,hd_mark,0),0)/12)),0)</f>
        <v>0</v>
      </c>
      <c r="AE598">
        <f>IF(S598=0,0,$AD$548*$AM$534)</f>
        <v>0</v>
      </c>
      <c r="AF598">
        <f>IFERROR(AE598/$R$548,0)</f>
        <v>0</v>
      </c>
      <c r="AG598">
        <f>AE598*($F$22+IF($F$22=0,0,($C$14+$C$15+IF($C$13="single",1.5,3)+3)/12))</f>
        <v>0</v>
      </c>
      <c r="AH598">
        <f>AG598-X598</f>
        <v>0</v>
      </c>
      <c r="AI598" cm="1">
        <f t="array" ref="AI598">IFERROR(IF(AH598&lt;0,0,AH598/($R$548-INDEX(hd_off,MATCH(AQ598,hd_mark,0),0)/12)),0)</f>
        <v>0</v>
      </c>
      <c r="AJ598">
        <f>MAX($F$22,$Z$548)/$Q$564</f>
        <v>0.30172413793103448</v>
      </c>
      <c r="AK598">
        <f t="shared" ref="AK598:AK601" si="374">IF(AJ598=0,0,IF(AJ598&gt;2,1.25-0.125*AJ598,1))</f>
        <v>1</v>
      </c>
      <c r="AL598" cm="1">
        <f t="array" ref="AL598">IFERROR(INDEX(sheath_ecap_asd,MATCH(AP598,sheath_mark,0),0)*AK598,0)</f>
        <v>0</v>
      </c>
      <c r="AM598" cm="1">
        <f t="array" ref="AM598">IFERROR(INDEX(sheath_wcap_asd,MATCH(AP598,sheath_mark,0),0)*AK598,0)</f>
        <v>0</v>
      </c>
      <c r="AN598" cm="1">
        <f t="array" ref="AN598">IFERROR(INDEX(hd_cap,MATCH(AQ598,hd_mark,0),0),0)</f>
        <v>0</v>
      </c>
      <c r="AP598" s="19"/>
      <c r="AQ598" s="19"/>
      <c r="AR598" s="100"/>
      <c r="AS598" s="93"/>
      <c r="AT598" s="109"/>
      <c r="AU598" t="str">
        <f>$Q$534</f>
        <v>L3</v>
      </c>
      <c r="AV598">
        <f>$E$22</f>
        <v>21.375</v>
      </c>
      <c r="AW598" cm="1">
        <f t="array" ref="AW598">IFERROR(IF(AV598=0,0,(INDEX($C$33:$C$38,MATCH($AZ$548,$B$33:$B$38,0),0)*(AV601+$BA$548)+$AW$548*COUNTIF(AV598:AV600,"&gt;0")*$C$32+$AY$548*$C$31)*$AU$548),0)</f>
        <v>0</v>
      </c>
      <c r="AX598">
        <f>IF(AV598=0,0,-(COUNTIF(AV598:AV600,"&gt;0")*$AW$548*$C$32+$AY$548*$C$31)*$H$27*$AU$548)</f>
        <v>0</v>
      </c>
      <c r="AY598">
        <f>IF(AV598=0,0,$AY$548*$H$26*$AU$548)</f>
        <v>0</v>
      </c>
      <c r="AZ598">
        <f>(0.6*AW598+0.7*AX598)*$AU$548/2</f>
        <v>0</v>
      </c>
      <c r="BA598">
        <f>AW598*$AU$548/2</f>
        <v>0</v>
      </c>
      <c r="BC598">
        <f>IF(AV598=0,0,$BG$548*$AP$534)</f>
        <v>0</v>
      </c>
      <c r="BD598">
        <f>IFERROR(BC598/$AU$548,0)</f>
        <v>0</v>
      </c>
      <c r="BE598">
        <f>BC598*($F$22+IF($F$22=0,0,($C$14+$C$15+IF($C$13="single",1.5,3)+3)/12))</f>
        <v>0</v>
      </c>
      <c r="BF598">
        <f>BE598-AZ598</f>
        <v>0</v>
      </c>
      <c r="BG598" cm="1">
        <f t="array" ref="BG598">IFERROR(IF(BF598&lt;0,0,BF598/($AU$548-INDEX(hd_off,MATCH(BT598,hd_mark,0),0)/12)),0)</f>
        <v>0</v>
      </c>
      <c r="BH598">
        <f>IF(AV598=0,0,$BG$548*$AM$534)</f>
        <v>0</v>
      </c>
      <c r="BI598">
        <f>IFERROR(BH598/$AU$548,0)</f>
        <v>0</v>
      </c>
      <c r="BJ598">
        <f>BH598*($F$22+IF($F$22=0,0,($C$14+$C$15+IF($C$13="single",1.5,3)+3)/12))</f>
        <v>0</v>
      </c>
      <c r="BK598">
        <f>BJ598-BA598</f>
        <v>0</v>
      </c>
      <c r="BL598" cm="1">
        <f t="array" ref="BL598">IFERROR(IF(BK598&lt;0,0,BK598/($AU$548-INDEX(hd_off,MATCH(BT598,hd_mark,0),0)/12)),0)</f>
        <v>0</v>
      </c>
      <c r="BM598">
        <f>MAX($F$22,$BC$548)/$Q$564</f>
        <v>0.30172413793103448</v>
      </c>
      <c r="BN598">
        <f t="shared" ref="BN598:BN601" si="375">IF(BM598=0,0,IF(BM598&gt;2,1.25-0.125*BM598,1))</f>
        <v>1</v>
      </c>
      <c r="BO598" cm="1">
        <f t="array" ref="BO598">IFERROR(INDEX(sheath_ecap_asd,MATCH(BS598,sheath_mark,0),0)*BN598,0)</f>
        <v>0</v>
      </c>
      <c r="BP598" cm="1">
        <f t="array" ref="BP598">IFERROR(INDEX(sheath_wcap_asd,MATCH(BS598,sheath_mark,0),0)*BN598,0)</f>
        <v>0</v>
      </c>
      <c r="BQ598" cm="1">
        <f t="array" ref="BQ598">IFERROR(INDEX(hd_cap,MATCH(BT598,hd_mark,0),0),0)</f>
        <v>0</v>
      </c>
      <c r="BS598" s="19"/>
      <c r="BT598" s="19"/>
      <c r="BU598" s="100"/>
    </row>
    <row r="599" x14ac:dyDescent="0.25">
      <c r="P599" s="93"/>
      <c r="Q599" s="109" t="s">
        <v>491</v>
      </c>
      <c r="R599" t="str">
        <f>$Q$535</f>
        <v>L4</v>
      </c>
      <c r="S599">
        <f>$E$23</f>
        <v>0</v>
      </c>
      <c r="T599" cm="1">
        <f t="array" ref="T599">IFERROR(IF(S599=0,0,(INDEX($C$33:$C$38,MATCH($W$548,$B$33:$B$38,0),0)*(S601+$X$548)+$T$548*COUNTIF(S599:S600,"&gt;0")*$C$32+$V$548*$C$31)*$R$548),0)</f>
        <v>0</v>
      </c>
      <c r="U599">
        <f>IF(S599=0,0,-(COUNTIF(S599:S600,"&gt;0")*$T$548*$C$32+$V$548*$C$31)*$H$27*$R$548)</f>
        <v>0</v>
      </c>
      <c r="V599">
        <f>IF(S599=0,0,$V$548*$H$26*$R$548)</f>
        <v>0</v>
      </c>
      <c r="W599">
        <f>(0.6*T599+0.7*U599)*$R$548/2</f>
        <v>0</v>
      </c>
      <c r="X599">
        <f>T599*$R$548/2</f>
        <v>0</v>
      </c>
      <c r="Z599">
        <f>IF(S599=0,0,$AD$548*$AP$535)</f>
        <v>0</v>
      </c>
      <c r="AA599">
        <f>IFERROR(Z599/$R$548,0)</f>
        <v>0</v>
      </c>
      <c r="AB599">
        <f>Z599*($F$23+IF($F$23=0,0,($C$14+$C$15+IF($C$13="single",1.5,3)+3)/12))</f>
        <v>0</v>
      </c>
      <c r="AC599">
        <f>AB599-W599</f>
        <v>0</v>
      </c>
      <c r="AD599" cm="1">
        <f t="array" ref="AD599">IFERROR(IF(AC599&lt;0,0,AC599/($R$548-INDEX(hd_off,MATCH(AQ599,hd_mark,0),0)/12)),0)</f>
        <v>0</v>
      </c>
      <c r="AE599">
        <f>IF(S599=0,0,$AD$548*$AM$535)</f>
        <v>0</v>
      </c>
      <c r="AF599">
        <f>IFERROR(AE599/$R$548,0)</f>
        <v>0</v>
      </c>
      <c r="AG599">
        <f>AE599*($F$23+IF($F$23=0,0,($C$14+$C$15+IF($C$13="single",1.5,3)+3)/12))</f>
        <v>0</v>
      </c>
      <c r="AH599">
        <f>AG599-X599</f>
        <v>0</v>
      </c>
      <c r="AI599" cm="1">
        <f t="array" ref="AI599">IFERROR(IF(AH599&lt;0,0,AH599/($R$548-INDEX(hd_off,MATCH(AQ599,hd_mark,0),0)/12)),0)</f>
        <v>0</v>
      </c>
      <c r="AJ599">
        <f>MAX($F$23,$AA$548)/$Q$564</f>
        <v>0</v>
      </c>
      <c r="AK599">
        <f t="shared" si="374"/>
        <v>0</v>
      </c>
      <c r="AL599" cm="1">
        <f t="array" ref="AL599">IFERROR(INDEX(sheath_ecap_asd,MATCH(AP599,sheath_mark,0),0)*AK599,0)</f>
        <v>0</v>
      </c>
      <c r="AM599" cm="1">
        <f t="array" ref="AM599">IFERROR(INDEX(sheath_wcap_asd,MATCH(AP599,sheath_mark,0),0)*AK599,0)</f>
        <v>0</v>
      </c>
      <c r="AN599" cm="1">
        <f t="array" ref="AN599">IFERROR(INDEX(hd_cap,MATCH(AQ599,hd_mark,0),0),0)</f>
        <v>0</v>
      </c>
      <c r="AP599" s="19"/>
      <c r="AQ599" s="19"/>
      <c r="AR599" s="100"/>
      <c r="AS599" s="93"/>
      <c r="AT599" s="109" t="s">
        <v>491</v>
      </c>
      <c r="AU599" t="str">
        <f>$Q$535</f>
        <v>L4</v>
      </c>
      <c r="AV599">
        <f>$E$23</f>
        <v>0</v>
      </c>
      <c r="AW599" cm="1">
        <f t="array" ref="AW599">IFERROR(IF(AV599=0,0,(INDEX($C$33:$C$38,MATCH($AZ$548,$B$33:$B$38,0),0)*(AV601+$BA$548)+$AW$548*COUNTIF(AV599:AV600,"&gt;0")*$C$32+$AY$548*$C$31)*$AU$548),0)</f>
        <v>0</v>
      </c>
      <c r="AX599">
        <f>IF(AV599=0,0,-(COUNTIF(AV599:AV600,"&gt;0")*$AW$548*$C$32+$AY$548*$C$31)*$H$27*$AU$548)</f>
        <v>0</v>
      </c>
      <c r="AY599">
        <f>IF(AV599=0,0,$AY$548*$H$26*$AU$548)</f>
        <v>0</v>
      </c>
      <c r="AZ599">
        <f>(0.6*AW599+0.7*AX599)*$AU$548/2</f>
        <v>0</v>
      </c>
      <c r="BA599">
        <f>AW599*$AU$548/2</f>
        <v>0</v>
      </c>
      <c r="BC599">
        <f>IF(AV599=0,0,$BG$548*$AP$535)</f>
        <v>0</v>
      </c>
      <c r="BD599">
        <f>IFERROR(BC599/$AU$548,0)</f>
        <v>0</v>
      </c>
      <c r="BE599">
        <f>BC599*($F$23+IF($F$23=0,0,($C$14+$C$15+IF($C$13="single",1.5,3)+3)/12))</f>
        <v>0</v>
      </c>
      <c r="BF599">
        <f>BE599-AZ599</f>
        <v>0</v>
      </c>
      <c r="BG599" cm="1">
        <f t="array" ref="BG599">IFERROR(IF(BF599&lt;0,0,BF599/($AU$548-INDEX(hd_off,MATCH(BT599,hd_mark,0),0)/12)),0)</f>
        <v>0</v>
      </c>
      <c r="BH599">
        <f>IF(AV599=0,0,$BG$548*$AM$535)</f>
        <v>0</v>
      </c>
      <c r="BI599">
        <f>IFERROR(BH599/$AU$548,0)</f>
        <v>0</v>
      </c>
      <c r="BJ599">
        <f>BH599*($F$23+IF($F$23=0,0,($C$14+$C$15+IF($C$13="single",1.5,3)+3)/12))</f>
        <v>0</v>
      </c>
      <c r="BK599">
        <f>BJ599-BA599</f>
        <v>0</v>
      </c>
      <c r="BL599" cm="1">
        <f t="array" ref="BL599">IFERROR(IF(BK599&lt;0,0,BK599/($AU$548-INDEX(hd_off,MATCH(BT599,hd_mark,0),0)/12)),0)</f>
        <v>0</v>
      </c>
      <c r="BM599">
        <f>MAX($F$23,$BD$548)/$Q$564</f>
        <v>0</v>
      </c>
      <c r="BN599">
        <f t="shared" si="375"/>
        <v>0</v>
      </c>
      <c r="BO599" cm="1">
        <f t="array" ref="BO599">IFERROR(INDEX(sheath_ecap_asd,MATCH(BS599,sheath_mark,0),0)*BN599,0)</f>
        <v>0</v>
      </c>
      <c r="BP599" cm="1">
        <f t="array" ref="BP599">IFERROR(INDEX(sheath_wcap_asd,MATCH(BS599,sheath_mark,0),0)*BN599,0)</f>
        <v>0</v>
      </c>
      <c r="BQ599" cm="1">
        <f t="array" ref="BQ599">IFERROR(INDEX(hd_cap,MATCH(BT599,hd_mark,0),0),0)</f>
        <v>0</v>
      </c>
      <c r="BS599" s="19"/>
      <c r="BT599" s="19"/>
      <c r="BU599" s="100"/>
    </row>
    <row r="600" x14ac:dyDescent="0.25">
      <c r="P600" s="93"/>
      <c r="Q600" s="111">
        <f>$R$548</f>
        <v>0</v>
      </c>
      <c r="R600" t="str">
        <f>$Q$536</f>
        <v>L5</v>
      </c>
      <c r="S600">
        <f>$E$24</f>
        <v>0</v>
      </c>
      <c r="T600" cm="1">
        <f t="array" ref="T600">IFERROR(IF(S600=0,0,(INDEX($C$33:$C$38,MATCH($W$548,$B$33:$B$38,0),0)*(S601+$X$548)+$T$548*COUNTIF(S600:S600,"&gt;0")*$C$32+$V$548*$C$31)*$R$548),0)</f>
        <v>0</v>
      </c>
      <c r="U600">
        <f>IF(S600=0,0,-(COUNTIF(S600:S600,"&gt;0")*$T$548*$C$32+$V$548*$C$31)*$H$27*$R$548)</f>
        <v>0</v>
      </c>
      <c r="V600">
        <f>IF(S600=0,0,$V$548*$H$26*$R$548)</f>
        <v>0</v>
      </c>
      <c r="W600">
        <f>(0.6*T600+0.7*U600)*$R$548/2</f>
        <v>0</v>
      </c>
      <c r="X600">
        <f>T600*$R$548/2</f>
        <v>0</v>
      </c>
      <c r="Z600">
        <f>IF(S600=0,0,$AD$548*$AP$536)</f>
        <v>0</v>
      </c>
      <c r="AA600">
        <f>IFERROR(Z600/$R$548,0)</f>
        <v>0</v>
      </c>
      <c r="AB600">
        <f>Z600*($F$24+IF($F$24=0,0,($C$14+$C$15+IF($C$13="single",1.5,3)+3)/12))</f>
        <v>0</v>
      </c>
      <c r="AC600">
        <f>AB600-W600</f>
        <v>0</v>
      </c>
      <c r="AD600" cm="1">
        <f t="array" ref="AD600">IFERROR(IF(AC600&lt;0,0,AC600/($R$548-INDEX(hd_off,MATCH(AQ600,hd_mark,0),0)/12)),0)</f>
        <v>0</v>
      </c>
      <c r="AE600">
        <f>IF(S600=0,0,$AD$548*$AM$536)</f>
        <v>0</v>
      </c>
      <c r="AF600">
        <f>IFERROR(AE600/$R$548,0)</f>
        <v>0</v>
      </c>
      <c r="AG600">
        <f>AE600*($F$24+IF($F$24=0,0,($C$14+$C$15+IF($C$13="single",1.5,3)+3)/12))</f>
        <v>0</v>
      </c>
      <c r="AH600">
        <f>AG600-X600</f>
        <v>0</v>
      </c>
      <c r="AI600" cm="1">
        <f t="array" ref="AI600">IFERROR(IF(AH600&lt;0,0,AH600/($R$548-INDEX(hd_off,MATCH(AQ600,hd_mark,0),0)/12)),0)</f>
        <v>0</v>
      </c>
      <c r="AJ600">
        <f>MAX($F$24,$AB$548)/$Q$564</f>
        <v>0</v>
      </c>
      <c r="AK600">
        <f t="shared" si="374"/>
        <v>0</v>
      </c>
      <c r="AL600" cm="1">
        <f t="array" ref="AL600">IFERROR(INDEX(sheath_ecap_asd,MATCH(AP600,sheath_mark,0),0)*AK600,0)</f>
        <v>0</v>
      </c>
      <c r="AM600" cm="1">
        <f t="array" ref="AM600">IFERROR(INDEX(sheath_wcap_asd,MATCH(AP600,sheath_mark,0),0)*AK600,0)</f>
        <v>0</v>
      </c>
      <c r="AN600" cm="1">
        <f t="array" ref="AN600">IFERROR(INDEX(hd_cap,MATCH(AQ600,hd_mark,0),0),0)</f>
        <v>0</v>
      </c>
      <c r="AP600" s="19"/>
      <c r="AQ600" s="19"/>
      <c r="AR600" s="100"/>
      <c r="AS600" s="93"/>
      <c r="AT600" s="111">
        <f>$R$548</f>
        <v>0</v>
      </c>
      <c r="AU600" t="str">
        <f>$Q$536</f>
        <v>L5</v>
      </c>
      <c r="AV600">
        <f>$E$24</f>
        <v>0</v>
      </c>
      <c r="AW600" cm="1">
        <f t="array" ref="AW600">IFERROR(IF(AV600=0,0,(INDEX($C$33:$C$38,MATCH($AZ$548,$B$33:$B$38,0),0)*(AV601+$BA$548)+$AW$548*COUNTIF(AV600:AV600,"&gt;0")*$C$32+$AY$548*$C$31)*$AU$548),0)</f>
        <v>0</v>
      </c>
      <c r="AX600">
        <f>IF(AV600=0,0,-(COUNTIF(AV600:AV600,"&gt;0")*$AW$548*$C$32+$AY$548*$C$31)*$H$27*$AU$548)</f>
        <v>0</v>
      </c>
      <c r="AY600">
        <f>IF(AV600=0,0,$AY$548*$H$26*$AU$548)</f>
        <v>0</v>
      </c>
      <c r="AZ600">
        <f>(0.6*AW600+0.7*AX600)*$AU$548/2</f>
        <v>0</v>
      </c>
      <c r="BA600">
        <f>AW600*$AU$548/2</f>
        <v>0</v>
      </c>
      <c r="BC600">
        <f>IF(AV600=0,0,$BG$548*$AP$536)</f>
        <v>0</v>
      </c>
      <c r="BD600">
        <f>IFERROR(BC600/$AU$548,0)</f>
        <v>0</v>
      </c>
      <c r="BE600">
        <f>BC600*($F$24+IF($F$24=0,0,($C$14+$C$15+IF($C$13="single",1.5,3)+3)/12))</f>
        <v>0</v>
      </c>
      <c r="BF600">
        <f>BE600-AZ600</f>
        <v>0</v>
      </c>
      <c r="BG600" cm="1">
        <f t="array" ref="BG600">IFERROR(IF(BF600&lt;0,0,BF600/($AU$548-INDEX(hd_off,MATCH(BT600,hd_mark,0),0)/12)),0)</f>
        <v>0</v>
      </c>
      <c r="BH600">
        <f>IF(AV600=0,0,$BG$548*$AM$536)</f>
        <v>0</v>
      </c>
      <c r="BI600">
        <f>IFERROR(BH600/$AU$548,0)</f>
        <v>0</v>
      </c>
      <c r="BJ600">
        <f>BH600*($F$24+IF($F$24=0,0,($C$14+$C$15+IF($C$13="single",1.5,3)+3)/12))</f>
        <v>0</v>
      </c>
      <c r="BK600">
        <f>BJ600-BA600</f>
        <v>0</v>
      </c>
      <c r="BL600" cm="1">
        <f t="array" ref="BL600">IFERROR(IF(BK600&lt;0,0,BK600/($AU$548-INDEX(hd_off,MATCH(BT600,hd_mark,0),0)/12)),0)</f>
        <v>0</v>
      </c>
      <c r="BM600">
        <f>MAX($F$24,$BE$548)/$Q$564</f>
        <v>0</v>
      </c>
      <c r="BN600">
        <f t="shared" si="375"/>
        <v>0</v>
      </c>
      <c r="BO600" cm="1">
        <f t="array" ref="BO600">IFERROR(INDEX(sheath_ecap_asd,MATCH(BS600,sheath_mark,0),0)*BN600,0)</f>
        <v>0</v>
      </c>
      <c r="BP600" cm="1">
        <f t="array" ref="BP600">IFERROR(INDEX(sheath_wcap_asd,MATCH(BS600,sheath_mark,0),0)*BN600,0)</f>
        <v>0</v>
      </c>
      <c r="BQ600" cm="1">
        <f t="array" ref="BQ600">IFERROR(INDEX(hd_cap,MATCH(BT600,hd_mark,0),0),0)</f>
        <v>0</v>
      </c>
      <c r="BS600" s="19"/>
      <c r="BT600" s="19"/>
      <c r="BU600" s="100"/>
    </row>
    <row r="601" x14ac:dyDescent="0.25">
      <c r="P601" s="93"/>
      <c r="Q601" s="109"/>
      <c r="R601" t="str">
        <f>$Q$537</f>
        <v>Roof</v>
      </c>
      <c r="S601">
        <f>$E$25</f>
        <v>33.171875</v>
      </c>
      <c r="T601" cm="1">
        <f t="array" ref="T601">IFERROR(IF(S601=0,0,(INDEX($C$33:$C$38,MATCH($W$548,$B$33:$B$38,0),0)*(S601+$X$548)+$V$548*$C$31)*$R$548),0)</f>
        <v>0</v>
      </c>
      <c r="U601">
        <f>IF(S601=0,0,-$V$548*$C$31*$H$27*$R$548)</f>
        <v>0</v>
      </c>
      <c r="V601">
        <f>IF(S601=0,0,$V$548*$H$26*$R$548)</f>
        <v>0</v>
      </c>
      <c r="W601">
        <f>(0.6*T601+0.7*U601)*$R$548/2</f>
        <v>0</v>
      </c>
      <c r="X601">
        <f>T601*$R$548/2</f>
        <v>0</v>
      </c>
      <c r="Z601">
        <f>IF(S601=0,0,$AD$548*$AP$537)</f>
        <v>0</v>
      </c>
      <c r="AA601">
        <f>IFERROR(Z601/$R$548,0)</f>
        <v>0</v>
      </c>
      <c r="AB601">
        <f>Z601*($F$25+($C$16+$C$17+IF($C$13="single",1.5,3)+3)/12)</f>
        <v>0</v>
      </c>
      <c r="AC601">
        <f>AB601-W601</f>
        <v>0</v>
      </c>
      <c r="AD601" cm="1">
        <f t="array" ref="AD601">IFERROR(IF(AC601&lt;0,0,AC601/($R$548-INDEX(hd_off,MATCH(AQ601,hd_mark,0),0)/12)),0)</f>
        <v>0</v>
      </c>
      <c r="AE601">
        <f>IF(S601=0,0,$AD$548*$AM$537)</f>
        <v>0</v>
      </c>
      <c r="AF601">
        <f>IFERROR(AE601/$R$548,0)</f>
        <v>0</v>
      </c>
      <c r="AG601">
        <f>AE601*($F$25+($C$16+$C$17+IF($C$13="single",1.5,3)+3)/12)</f>
        <v>0</v>
      </c>
      <c r="AH601">
        <f>AG601-X601</f>
        <v>0</v>
      </c>
      <c r="AI601" cm="1">
        <f t="array" ref="AI601">IFERROR(IF(AH601&lt;0,0,AH601/($R$548-INDEX(hd_off,MATCH(AQ601,hd_mark,0),0)/12)),0)</f>
        <v>0</v>
      </c>
      <c r="AJ601">
        <f>MAX($F$25,$AC$548)/$Q$564</f>
        <v>0.29920977011494249</v>
      </c>
      <c r="AK601">
        <f t="shared" si="374"/>
        <v>1</v>
      </c>
      <c r="AL601" cm="1">
        <f t="array" ref="AL601">IFERROR(INDEX(sheath_ecap_asd,MATCH(AP601,sheath_mark,0),0)*AK601,0)</f>
        <v>0</v>
      </c>
      <c r="AM601" cm="1">
        <f t="array" ref="AM601">IFERROR(INDEX(sheath_wcap_asd,MATCH(AP601,sheath_mark,0),0)*AK601,0)</f>
        <v>0</v>
      </c>
      <c r="AN601" cm="1">
        <f t="array" ref="AN601">IFERROR(INDEX(hd_cap,MATCH(AQ601,hd_mark,0),0),0)</f>
        <v>0</v>
      </c>
      <c r="AP601" s="19"/>
      <c r="AQ601" s="19"/>
      <c r="AR601" s="100"/>
      <c r="AS601" s="93"/>
      <c r="AT601" s="109"/>
      <c r="AU601" t="str">
        <f>$Q$537</f>
        <v>Roof</v>
      </c>
      <c r="AV601">
        <f>$E$25</f>
        <v>33.171875</v>
      </c>
      <c r="AW601" cm="1">
        <f t="array" ref="AW601">IFERROR(IF(AV601=0,0,(INDEX($C$33:$C$38,MATCH($AZ$548,$B$33:$B$38,0),0)*(AV601+$BA$548)+$AY$548*$C$31)*$AU$548),0)</f>
        <v>0</v>
      </c>
      <c r="AX601">
        <f>IF(AV601=0,0,-$AY$548*$C$31*$H$27*$AU$548)</f>
        <v>0</v>
      </c>
      <c r="AY601">
        <f>IF(AV601=0,0,$AY$548*$H$26*$AU$548)</f>
        <v>0</v>
      </c>
      <c r="AZ601">
        <f>(0.6*AW601+0.7*AX601)*$AU$548/2</f>
        <v>0</v>
      </c>
      <c r="BA601">
        <f>AW601*$AU$548/2</f>
        <v>0</v>
      </c>
      <c r="BC601">
        <f>IF(AV601=0,0,$BG$548*$AP$537)</f>
        <v>0</v>
      </c>
      <c r="BD601">
        <f>IFERROR(BC601/$AU$548,0)</f>
        <v>0</v>
      </c>
      <c r="BE601">
        <f>BC601*($F$25+($C$16+$C$17+IF($C$13="single",1.5,3)+3)/12)</f>
        <v>0</v>
      </c>
      <c r="BF601">
        <f>BE601-AZ601</f>
        <v>0</v>
      </c>
      <c r="BG601" cm="1">
        <f t="array" ref="BG601">IFERROR(IF(BF601&lt;0,0,BF601/($AU$548-INDEX(hd_off,MATCH(BT601,hd_mark,0),0)/12)),0)</f>
        <v>0</v>
      </c>
      <c r="BH601">
        <f>IF(AV601=0,0,$BG$548*$AM$537)</f>
        <v>0</v>
      </c>
      <c r="BI601">
        <f>IFERROR(BH601/$AU$548,0)</f>
        <v>0</v>
      </c>
      <c r="BJ601">
        <f>BH601*($F$25+($C$16+$C$17+IF($C$13="single",1.5,3)+3)/12)</f>
        <v>0</v>
      </c>
      <c r="BK601">
        <f>BJ601-BA601</f>
        <v>0</v>
      </c>
      <c r="BL601" cm="1">
        <f t="array" ref="BL601">IFERROR(IF(BK601&lt;0,0,BK601/($AU$548-INDEX(hd_off,MATCH(BT601,hd_mark,0),0)/12)),0)</f>
        <v>0</v>
      </c>
      <c r="BM601">
        <f>MAX($F$25,$BF$548)/$Q$564</f>
        <v>0.29920977011494249</v>
      </c>
      <c r="BN601">
        <f t="shared" si="375"/>
        <v>1</v>
      </c>
      <c r="BO601" cm="1">
        <f t="array" ref="BO601">IFERROR(INDEX(sheath_ecap_asd,MATCH(BS601,sheath_mark,0),0)*BN601,0)</f>
        <v>0</v>
      </c>
      <c r="BP601" cm="1">
        <f t="array" ref="BP601">IFERROR(INDEX(sheath_wcap_asd,MATCH(BS601,sheath_mark,0),0)*BN601,0)</f>
        <v>0</v>
      </c>
      <c r="BQ601" cm="1">
        <f t="array" ref="BQ601">IFERROR(INDEX(hd_cap,MATCH(BT601,hd_mark,0),0),0)</f>
        <v>0</v>
      </c>
      <c r="BS601" s="19"/>
      <c r="BT601" s="19"/>
      <c r="BU601" s="100"/>
    </row>
    <row r="602" x14ac:dyDescent="0.25">
      <c r="P602" s="93"/>
      <c r="AR602" s="100"/>
      <c r="AS602" s="93"/>
      <c r="BU602" s="100"/>
    </row>
    <row r="603" x14ac:dyDescent="0.25">
      <c r="P603" s="93"/>
      <c r="Q603" s="110" t="str">
        <f>$Q$549</f>
        <v>A.08</v>
      </c>
      <c r="R603" t="str">
        <f>$Q$533</f>
        <v>L2</v>
      </c>
      <c r="S603">
        <f>$E$21</f>
        <v>10.6875</v>
      </c>
      <c r="T603" cm="1">
        <f t="array" ref="T603">IFERROR(IF(S603=0,0,(INDEX($C$33:$C$38,MATCH($W$549,$B$33:$B$38,0),0)*(S607+$X$549)+$T$549*COUNTIF(S603:S606,"&gt;0")*$C$32+$V$549*$C$31)*$R$549),0)</f>
        <v>0</v>
      </c>
      <c r="U603">
        <f>IF(S603=0,0,-(COUNTIF(S603:S606,"&gt;0")*$T$549*$C$32+$V$549*$C$31)*$H$27*$R$549)</f>
        <v>0</v>
      </c>
      <c r="V603">
        <f>IF(S603=0,0,$V$549*$H$26*$R$549)</f>
        <v>0</v>
      </c>
      <c r="W603">
        <f>(0.6*T603+0.7*U603)*$R$549/2</f>
        <v>0</v>
      </c>
      <c r="X603">
        <f>(0.6*T603+0.6*V603)*$R$549/2</f>
        <v>0</v>
      </c>
      <c r="Z603">
        <f>IF(S603=0,0,$AD$549*$AP$533)</f>
        <v>0</v>
      </c>
      <c r="AA603">
        <f>IFERROR(Z603/$R$549,0)</f>
        <v>0</v>
      </c>
      <c r="AB603">
        <f>Z603*($F$21+IF($F$21=0,0,($C$14+$C$15+IF($C$13="single",1.5,3)+3)/12))</f>
        <v>0</v>
      </c>
      <c r="AC603">
        <f>AB603-W603</f>
        <v>0</v>
      </c>
      <c r="AD603" cm="1">
        <f t="array" ref="AD603">IFERROR(IF(AC603&lt;0,0,AC603/($R$549-INDEX(hd_off,MATCH(AQ603,hd_mark,0),0)/12)),0)</f>
        <v>0</v>
      </c>
      <c r="AE603">
        <f>IF(S603=0,0,$AD$549*$AM$533)</f>
        <v>0</v>
      </c>
      <c r="AF603">
        <f>IFERROR(AE603/$R$549,0)</f>
        <v>0</v>
      </c>
      <c r="AG603">
        <f>AE603*($F$21+IF($F$21=0,0,($C$14+$C$15+IF($C$13="single",1.5,3)+3)/12))</f>
        <v>0</v>
      </c>
      <c r="AH603">
        <f>AG603-X603</f>
        <v>0</v>
      </c>
      <c r="AI603" cm="1">
        <f t="array" ref="AI603">IFERROR(IF(AH603&lt;0,0,AH603/($R$549-INDEX(hd_off,MATCH(AQ603,hd_mark,0),0)/12)),0)</f>
        <v>0</v>
      </c>
      <c r="AJ603">
        <f>MAX($F$21,$Y$549)/$Q$564</f>
        <v>0.30172413793103448</v>
      </c>
      <c r="AK603">
        <f>IF(AJ603=0,0,IF(AJ603&gt;2,1.25-0.125*AJ603,1))</f>
        <v>1</v>
      </c>
      <c r="AL603" cm="1">
        <f t="array" ref="AL603">IFERROR(INDEX(sheath_ecap_asd,MATCH(AP603,sheath_mark,0),0)*AK603,0)</f>
        <v>0</v>
      </c>
      <c r="AM603" cm="1">
        <f t="array" ref="AM603">IFERROR(INDEX(sheath_wcap_asd,MATCH(AP603,sheath_mark,0),0)*AK603,0)</f>
        <v>0</v>
      </c>
      <c r="AN603" cm="1">
        <f t="array" ref="AN603">IFERROR(INDEX(hd_cap,MATCH(AQ603,hd_mark,0),0),0)</f>
        <v>0</v>
      </c>
      <c r="AP603" s="19"/>
      <c r="AQ603" s="19"/>
      <c r="AR603" s="100"/>
      <c r="AS603" s="93"/>
      <c r="AT603" s="110" t="str">
        <f>$AT$549</f>
        <v>1.08</v>
      </c>
      <c r="AU603" t="str">
        <f>$Q$533</f>
        <v>L2</v>
      </c>
      <c r="AV603">
        <f>$E$21</f>
        <v>10.6875</v>
      </c>
      <c r="AW603" cm="1">
        <f t="array" ref="AW603">IFERROR(IF(AV603=0,0,(INDEX($C$33:$C$38,MATCH($AZ$549,$B$33:$B$38,0),0)*(AV607+$BA$549)+$AW$549*COUNTIF(AV603:AV606,"&gt;0")*$C$32+$AY$549*$C$31)*$AU$549),0)</f>
        <v>0</v>
      </c>
      <c r="AX603">
        <f>IF(AV603=0,0,-(COUNTIF(AV603:AV606,"&gt;0")*$AW$549*$C$32+$AY$549*$C$31)*$H$27*$AU$549)</f>
        <v>0</v>
      </c>
      <c r="AY603">
        <f>IF(AV603=0,0,$AY$549*$H$26*$AU$549)</f>
        <v>0</v>
      </c>
      <c r="AZ603">
        <f>(0.6*AW603+0.7*AX603)*$AU$549/2</f>
        <v>0</v>
      </c>
      <c r="BA603">
        <f>(0.6*AW603+0.6*AY603)*$AU$549/2</f>
        <v>0</v>
      </c>
      <c r="BC603">
        <f>IF(AV603=0,0,$BG$549*$AP$533)</f>
        <v>0</v>
      </c>
      <c r="BD603">
        <f>IFERROR(BC603/$AU$549,0)</f>
        <v>0</v>
      </c>
      <c r="BE603">
        <f>BC603*($F$21+IF($F$21=0,0,($C$14+$C$15+IF($C$13="single",1.5,3)+3)/12))</f>
        <v>0</v>
      </c>
      <c r="BF603">
        <f>BE603-AZ603</f>
        <v>0</v>
      </c>
      <c r="BG603" cm="1">
        <f t="array" ref="BG603">IFERROR(IF(BF603&lt;0,0,BF603/($AU$549-INDEX(hd_off,MATCH(BT603,hd_mark,0),0)/12)),0)</f>
        <v>0</v>
      </c>
      <c r="BH603">
        <f>IF(AV603=0,0,$BG$549*$AM$533)</f>
        <v>0</v>
      </c>
      <c r="BI603">
        <f>IFERROR(BH603/$AU$549,0)</f>
        <v>0</v>
      </c>
      <c r="BJ603">
        <f>BH603*($F$21+IF($F$21=0,0,($C$14+$C$15+IF($C$13="single",1.5,3)+3)/12))</f>
        <v>0</v>
      </c>
      <c r="BK603">
        <f>BJ603-BA603</f>
        <v>0</v>
      </c>
      <c r="BL603" cm="1">
        <f t="array" ref="BL603">IFERROR(IF(BK603&lt;0,0,BK603/($AU$549-INDEX(hd_off,MATCH(BT603,hd_mark,0),0)/12)),0)</f>
        <v>0</v>
      </c>
      <c r="BM603">
        <f>MAX($F$21,$BB$549)/$Q$564</f>
        <v>0.30172413793103448</v>
      </c>
      <c r="BN603">
        <f>IF(BM603=0,0,IF(BM603&gt;2,1.25-0.125*BM603,1))</f>
        <v>1</v>
      </c>
      <c r="BO603" cm="1">
        <f t="array" ref="BO603">IFERROR(INDEX(sheath_ecap_asd,MATCH(BS603,sheath_mark,0),0)*BN603,0)</f>
        <v>0</v>
      </c>
      <c r="BP603" cm="1">
        <f t="array" ref="BP603">IFERROR(INDEX(sheath_wcap_asd,MATCH(BS603,sheath_mark,0),0)*BN603,0)</f>
        <v>0</v>
      </c>
      <c r="BQ603" cm="1">
        <f t="array" ref="BQ603">IFERROR(INDEX(hd_cap,MATCH(BT603,hd_mark,0),0),0)</f>
        <v>0</v>
      </c>
      <c r="BS603" s="19"/>
      <c r="BT603" s="19"/>
      <c r="BU603" s="100"/>
    </row>
    <row r="604" x14ac:dyDescent="0.25">
      <c r="P604" s="93"/>
      <c r="Q604" s="109"/>
      <c r="R604" t="str">
        <f>$Q$534</f>
        <v>L3</v>
      </c>
      <c r="S604">
        <f>$E$22</f>
        <v>21.375</v>
      </c>
      <c r="T604" cm="1">
        <f t="array" ref="T604">IFERROR(IF(S604=0,0,(INDEX($C$33:$C$38,MATCH($W$549,$B$33:$B$38,0),0)*(S607+$X$549)+$T$549*COUNTIF(S604:S606,"&gt;0")*$C$32+$V$549*$C$31)*$R$549),0)</f>
        <v>0</v>
      </c>
      <c r="U604">
        <f>IF(S604=0,0,-(COUNTIF(S604:S606,"&gt;0")*$T$549*$C$32+$V$549*$C$31)*$H$27*$R$549)</f>
        <v>0</v>
      </c>
      <c r="V604">
        <f>IF(S604=0,0,$V$549*$H$26*$R$549)</f>
        <v>0</v>
      </c>
      <c r="W604">
        <f>(0.6*T604+0.7*U604)*$R$549/2</f>
        <v>0</v>
      </c>
      <c r="X604">
        <f>T604*$R$549/2</f>
        <v>0</v>
      </c>
      <c r="Z604">
        <f>IF(S604=0,0,$AD$549*$AP$534)</f>
        <v>0</v>
      </c>
      <c r="AA604">
        <f>IFERROR(Z604/$R$549,0)</f>
        <v>0</v>
      </c>
      <c r="AB604">
        <f>Z604*($F$22+IF($F$22=0,0,($C$14+$C$15+IF($C$13="single",1.5,3)+3)/12))</f>
        <v>0</v>
      </c>
      <c r="AC604">
        <f>AB604-W604</f>
        <v>0</v>
      </c>
      <c r="AD604" cm="1">
        <f t="array" ref="AD604">IFERROR(IF(AC604&lt;0,0,AC604/($R$549-INDEX(hd_off,MATCH(AQ604,hd_mark,0),0)/12)),0)</f>
        <v>0</v>
      </c>
      <c r="AE604">
        <f>IF(S604=0,0,$AD$549*$AM$534)</f>
        <v>0</v>
      </c>
      <c r="AF604">
        <f>IFERROR(AE604/$R$549,0)</f>
        <v>0</v>
      </c>
      <c r="AG604">
        <f>AE604*($F$22+IF($F$22=0,0,($C$14+$C$15+IF($C$13="single",1.5,3)+3)/12))</f>
        <v>0</v>
      </c>
      <c r="AH604">
        <f>AG604-X604</f>
        <v>0</v>
      </c>
      <c r="AI604" cm="1">
        <f t="array" ref="AI604">IFERROR(IF(AH604&lt;0,0,AH604/($R$549-INDEX(hd_off,MATCH(AQ604,hd_mark,0),0)/12)),0)</f>
        <v>0</v>
      </c>
      <c r="AJ604">
        <f>MAX($F$22,$Z$549)/$Q$564</f>
        <v>0.30172413793103448</v>
      </c>
      <c r="AK604">
        <f t="shared" ref="AK604:AK607" si="376">IF(AJ604=0,0,IF(AJ604&gt;2,1.25-0.125*AJ604,1))</f>
        <v>1</v>
      </c>
      <c r="AL604" cm="1">
        <f t="array" ref="AL604">IFERROR(INDEX(sheath_ecap_asd,MATCH(AP604,sheath_mark,0),0)*AK604,0)</f>
        <v>0</v>
      </c>
      <c r="AM604" cm="1">
        <f t="array" ref="AM604">IFERROR(INDEX(sheath_wcap_asd,MATCH(AP604,sheath_mark,0),0)*AK604,0)</f>
        <v>0</v>
      </c>
      <c r="AN604" cm="1">
        <f t="array" ref="AN604">IFERROR(INDEX(hd_cap,MATCH(AQ604,hd_mark,0),0),0)</f>
        <v>0</v>
      </c>
      <c r="AP604" s="19"/>
      <c r="AQ604" s="19"/>
      <c r="AR604" s="100"/>
      <c r="AS604" s="93"/>
      <c r="AT604" s="109"/>
      <c r="AU604" t="str">
        <f>$Q$534</f>
        <v>L3</v>
      </c>
      <c r="AV604">
        <f>$E$22</f>
        <v>21.375</v>
      </c>
      <c r="AW604" cm="1">
        <f t="array" ref="AW604">IFERROR(IF(AV604=0,0,(INDEX($C$33:$C$38,MATCH($AZ$549,$B$33:$B$38,0),0)*(AV607+$BA$549)+$AW$549*COUNTIF(AV604:AV606,"&gt;0")*$C$32+$AY$549*$C$31)*$AU$549),0)</f>
        <v>0</v>
      </c>
      <c r="AX604">
        <f>IF(AV604=0,0,-(COUNTIF(AV604:AV606,"&gt;0")*$AW$549*$C$32+$AY$549*$C$31)*$H$27*$AU$549)</f>
        <v>0</v>
      </c>
      <c r="AY604">
        <f>IF(AV604=0,0,$AY$549*$H$26*$AU$549)</f>
        <v>0</v>
      </c>
      <c r="AZ604">
        <f>(0.6*AW604+0.7*AX604)*$AU$549/2</f>
        <v>0</v>
      </c>
      <c r="BA604">
        <f>AW604*$AU$549/2</f>
        <v>0</v>
      </c>
      <c r="BC604">
        <f>IF(AV604=0,0,$BG$549*$AP$534)</f>
        <v>0</v>
      </c>
      <c r="BD604">
        <f>IFERROR(BC604/$AU$549,0)</f>
        <v>0</v>
      </c>
      <c r="BE604">
        <f>BC604*($F$22+IF($F$22=0,0,($C$14+$C$15+IF($C$13="single",1.5,3)+3)/12))</f>
        <v>0</v>
      </c>
      <c r="BF604">
        <f>BE604-AZ604</f>
        <v>0</v>
      </c>
      <c r="BG604" cm="1">
        <f t="array" ref="BG604">IFERROR(IF(BF604&lt;0,0,BF604/($AU$549-INDEX(hd_off,MATCH(BT604,hd_mark,0),0)/12)),0)</f>
        <v>0</v>
      </c>
      <c r="BH604">
        <f>IF(AV604=0,0,$BG$549*$AM$534)</f>
        <v>0</v>
      </c>
      <c r="BI604">
        <f>IFERROR(BH604/$AU$549,0)</f>
        <v>0</v>
      </c>
      <c r="BJ604">
        <f>BH604*($F$22+IF($F$22=0,0,($C$14+$C$15+IF($C$13="single",1.5,3)+3)/12))</f>
        <v>0</v>
      </c>
      <c r="BK604">
        <f>BJ604-BA604</f>
        <v>0</v>
      </c>
      <c r="BL604" cm="1">
        <f t="array" ref="BL604">IFERROR(IF(BK604&lt;0,0,BK604/($AU$549-INDEX(hd_off,MATCH(BT604,hd_mark,0),0)/12)),0)</f>
        <v>0</v>
      </c>
      <c r="BM604">
        <f>MAX($F$22,$BC$549)/$Q$564</f>
        <v>0.30172413793103448</v>
      </c>
      <c r="BN604">
        <f t="shared" ref="BN604:BN607" si="377">IF(BM604=0,0,IF(BM604&gt;2,1.25-0.125*BM604,1))</f>
        <v>1</v>
      </c>
      <c r="BO604" cm="1">
        <f t="array" ref="BO604">IFERROR(INDEX(sheath_ecap_asd,MATCH(BS604,sheath_mark,0),0)*BN604,0)</f>
        <v>0</v>
      </c>
      <c r="BP604" cm="1">
        <f t="array" ref="BP604">IFERROR(INDEX(sheath_wcap_asd,MATCH(BS604,sheath_mark,0),0)*BN604,0)</f>
        <v>0</v>
      </c>
      <c r="BQ604" cm="1">
        <f t="array" ref="BQ604">IFERROR(INDEX(hd_cap,MATCH(BT604,hd_mark,0),0),0)</f>
        <v>0</v>
      </c>
      <c r="BS604" s="19"/>
      <c r="BT604" s="19"/>
      <c r="BU604" s="100"/>
    </row>
    <row r="605" x14ac:dyDescent="0.25">
      <c r="P605" s="93"/>
      <c r="Q605" s="109" t="s">
        <v>491</v>
      </c>
      <c r="R605" t="str">
        <f>$Q$535</f>
        <v>L4</v>
      </c>
      <c r="S605">
        <f>$E$23</f>
        <v>0</v>
      </c>
      <c r="T605" cm="1">
        <f t="array" ref="T605">IFERROR(IF(S605=0,0,(INDEX($C$33:$C$38,MATCH($W$549,$B$33:$B$38,0),0)*(S607+$X$549)+$T$549*COUNTIF(S605:S606,"&gt;0")*$C$32+$V$549*$C$31)*$R$549),0)</f>
        <v>0</v>
      </c>
      <c r="U605">
        <f>IF(S605=0,0,-(COUNTIF(S605:S606,"&gt;0")*$T$549*$C$32+$V$549*$C$31)*$H$27*$R$549)</f>
        <v>0</v>
      </c>
      <c r="V605">
        <f>IF(S605=0,0,$V$549*$H$26*$R$549)</f>
        <v>0</v>
      </c>
      <c r="W605">
        <f>(0.6*T605+0.7*U605)*$R$549/2</f>
        <v>0</v>
      </c>
      <c r="X605">
        <f>T605*$R$549/2</f>
        <v>0</v>
      </c>
      <c r="Z605">
        <f>IF(S605=0,0,$AD$549*$AP$535)</f>
        <v>0</v>
      </c>
      <c r="AA605">
        <f>IFERROR(Z605/$R$549,0)</f>
        <v>0</v>
      </c>
      <c r="AB605">
        <f>Z605*($F$23+IF($F$23=0,0,($C$14+$C$15+IF($C$13="single",1.5,3)+3)/12))</f>
        <v>0</v>
      </c>
      <c r="AC605">
        <f>AB605-W605</f>
        <v>0</v>
      </c>
      <c r="AD605" cm="1">
        <f t="array" ref="AD605">IFERROR(IF(AC605&lt;0,0,AC605/($R$549-INDEX(hd_off,MATCH(AQ605,hd_mark,0),0)/12)),0)</f>
        <v>0</v>
      </c>
      <c r="AE605">
        <f>IF(S605=0,0,$AD$549*$AM$535)</f>
        <v>0</v>
      </c>
      <c r="AF605">
        <f>IFERROR(AE605/$R$549,0)</f>
        <v>0</v>
      </c>
      <c r="AG605">
        <f>AE605*($F$23+IF($F$23=0,0,($C$14+$C$15+IF($C$13="single",1.5,3)+3)/12))</f>
        <v>0</v>
      </c>
      <c r="AH605">
        <f>AG605-X605</f>
        <v>0</v>
      </c>
      <c r="AI605" cm="1">
        <f t="array" ref="AI605">IFERROR(IF(AH605&lt;0,0,AH605/($R$549-INDEX(hd_off,MATCH(AQ605,hd_mark,0),0)/12)),0)</f>
        <v>0</v>
      </c>
      <c r="AJ605">
        <f>MAX($F$23,$AA$549)/$Q$564</f>
        <v>0</v>
      </c>
      <c r="AK605">
        <f t="shared" si="376"/>
        <v>0</v>
      </c>
      <c r="AL605" cm="1">
        <f t="array" ref="AL605">IFERROR(INDEX(sheath_ecap_asd,MATCH(AP605,sheath_mark,0),0)*AK605,0)</f>
        <v>0</v>
      </c>
      <c r="AM605" cm="1">
        <f t="array" ref="AM605">IFERROR(INDEX(sheath_wcap_asd,MATCH(AP605,sheath_mark,0),0)*AK605,0)</f>
        <v>0</v>
      </c>
      <c r="AN605" cm="1">
        <f t="array" ref="AN605">IFERROR(INDEX(hd_cap,MATCH(AQ605,hd_mark,0),0),0)</f>
        <v>0</v>
      </c>
      <c r="AP605" s="19"/>
      <c r="AQ605" s="19"/>
      <c r="AR605" s="100"/>
      <c r="AS605" s="93"/>
      <c r="AT605" s="109" t="s">
        <v>491</v>
      </c>
      <c r="AU605" t="str">
        <f>$Q$535</f>
        <v>L4</v>
      </c>
      <c r="AV605">
        <f>$E$23</f>
        <v>0</v>
      </c>
      <c r="AW605" cm="1">
        <f t="array" ref="AW605">IFERROR(IF(AV605=0,0,(INDEX($C$33:$C$38,MATCH($AZ$549,$B$33:$B$38,0),0)*(AV607+$BA$549)+$AW$549*COUNTIF(AV605:AV606,"&gt;0")*$C$32+$AY$549*$C$31)*$AU$549),0)</f>
        <v>0</v>
      </c>
      <c r="AX605">
        <f>IF(AV605=0,0,-(COUNTIF(AV605:AV606,"&gt;0")*$AW$549*$C$32+$AY$549*$C$31)*$H$27*$AU$549)</f>
        <v>0</v>
      </c>
      <c r="AY605">
        <f>IF(AV605=0,0,$AY$549*$H$26*$AU$549)</f>
        <v>0</v>
      </c>
      <c r="AZ605">
        <f>(0.6*AW605+0.7*AX605)*$AU$549/2</f>
        <v>0</v>
      </c>
      <c r="BA605">
        <f>AW605*$AU$549/2</f>
        <v>0</v>
      </c>
      <c r="BC605">
        <f>IF(AV605=0,0,$BG$549*$AP$535)</f>
        <v>0</v>
      </c>
      <c r="BD605">
        <f>IFERROR(BC605/$AU$549,0)</f>
        <v>0</v>
      </c>
      <c r="BE605">
        <f>BC605*($F$23+IF($F$23=0,0,($C$14+$C$15+IF($C$13="single",1.5,3)+3)/12))</f>
        <v>0</v>
      </c>
      <c r="BF605">
        <f>BE605-AZ605</f>
        <v>0</v>
      </c>
      <c r="BG605" cm="1">
        <f t="array" ref="BG605">IFERROR(IF(BF605&lt;0,0,BF605/($AU$549-INDEX(hd_off,MATCH(BT605,hd_mark,0),0)/12)),0)</f>
        <v>0</v>
      </c>
      <c r="BH605">
        <f>IF(AV605=0,0,$BG$549*$AM$535)</f>
        <v>0</v>
      </c>
      <c r="BI605">
        <f>IFERROR(BH605/$AU$549,0)</f>
        <v>0</v>
      </c>
      <c r="BJ605">
        <f>BH605*($F$23+IF($F$23=0,0,($C$14+$C$15+IF($C$13="single",1.5,3)+3)/12))</f>
        <v>0</v>
      </c>
      <c r="BK605">
        <f>BJ605-BA605</f>
        <v>0</v>
      </c>
      <c r="BL605" cm="1">
        <f t="array" ref="BL605">IFERROR(IF(BK605&lt;0,0,BK605/($AU$549-INDEX(hd_off,MATCH(BT605,hd_mark,0),0)/12)),0)</f>
        <v>0</v>
      </c>
      <c r="BM605">
        <f>MAX($F$23,$BD$549)/$Q$564</f>
        <v>0</v>
      </c>
      <c r="BN605">
        <f t="shared" si="377"/>
        <v>0</v>
      </c>
      <c r="BO605" cm="1">
        <f t="array" ref="BO605">IFERROR(INDEX(sheath_ecap_asd,MATCH(BS605,sheath_mark,0),0)*BN605,0)</f>
        <v>0</v>
      </c>
      <c r="BP605" cm="1">
        <f t="array" ref="BP605">IFERROR(INDEX(sheath_wcap_asd,MATCH(BS605,sheath_mark,0),0)*BN605,0)</f>
        <v>0</v>
      </c>
      <c r="BQ605" cm="1">
        <f t="array" ref="BQ605">IFERROR(INDEX(hd_cap,MATCH(BT605,hd_mark,0),0),0)</f>
        <v>0</v>
      </c>
      <c r="BS605" s="19"/>
      <c r="BT605" s="19"/>
      <c r="BU605" s="100"/>
    </row>
    <row r="606" x14ac:dyDescent="0.25">
      <c r="P606" s="93"/>
      <c r="Q606" s="111">
        <f>$R$549</f>
        <v>0</v>
      </c>
      <c r="R606" t="str">
        <f>$Q$536</f>
        <v>L5</v>
      </c>
      <c r="S606">
        <f>$E$24</f>
        <v>0</v>
      </c>
      <c r="T606" cm="1">
        <f t="array" ref="T606">IFERROR(IF(S606=0,0,(INDEX($C$33:$C$38,MATCH($W$549,$B$33:$B$38,0),0)*(S607+$X$549)+$T$549*COUNTIF(S606:S606,"&gt;0")*$C$32+$V$549*$C$31)*$R$549),0)</f>
        <v>0</v>
      </c>
      <c r="U606">
        <f>IF(S606=0,0,-(COUNTIF(S606:S606,"&gt;0")*$T$549*$C$32+$V$549*$C$31)*$H$27*$R$549)</f>
        <v>0</v>
      </c>
      <c r="V606">
        <f>IF(S606=0,0,$V$549*$H$26*$R$549)</f>
        <v>0</v>
      </c>
      <c r="W606">
        <f>(0.6*T606+0.7*U606)*$R$549/2</f>
        <v>0</v>
      </c>
      <c r="X606">
        <f>T606*$R$549/2</f>
        <v>0</v>
      </c>
      <c r="Z606">
        <f>IF(S606=0,0,$AD$549*$AP$536)</f>
        <v>0</v>
      </c>
      <c r="AA606">
        <f>IFERROR(Z606/$R$549,0)</f>
        <v>0</v>
      </c>
      <c r="AB606">
        <f>Z606*($F$24+IF($F$24=0,0,($C$14+$C$15+IF($C$13="single",1.5,3)+3)/12))</f>
        <v>0</v>
      </c>
      <c r="AC606">
        <f>AB606-W606</f>
        <v>0</v>
      </c>
      <c r="AD606" cm="1">
        <f t="array" ref="AD606">IFERROR(IF(AC606&lt;0,0,AC606/($R$549-INDEX(hd_off,MATCH(AQ606,hd_mark,0),0)/12)),0)</f>
        <v>0</v>
      </c>
      <c r="AE606">
        <f>IF(S606=0,0,$AD$549*$AM$536)</f>
        <v>0</v>
      </c>
      <c r="AF606">
        <f>IFERROR(AE606/$R$549,0)</f>
        <v>0</v>
      </c>
      <c r="AG606">
        <f>AE606*($F$24+IF($F$24=0,0,($C$14+$C$15+IF($C$13="single",1.5,3)+3)/12))</f>
        <v>0</v>
      </c>
      <c r="AH606">
        <f>AG606-X606</f>
        <v>0</v>
      </c>
      <c r="AI606" cm="1">
        <f t="array" ref="AI606">IFERROR(IF(AH606&lt;0,0,AH606/($R$549-INDEX(hd_off,MATCH(AQ606,hd_mark,0),0)/12)),0)</f>
        <v>0</v>
      </c>
      <c r="AJ606">
        <f>MAX($F$24,$AB$549)/$Q$564</f>
        <v>0</v>
      </c>
      <c r="AK606">
        <f t="shared" si="376"/>
        <v>0</v>
      </c>
      <c r="AL606" cm="1">
        <f t="array" ref="AL606">IFERROR(INDEX(sheath_ecap_asd,MATCH(AP606,sheath_mark,0),0)*AK606,0)</f>
        <v>0</v>
      </c>
      <c r="AM606" cm="1">
        <f t="array" ref="AM606">IFERROR(INDEX(sheath_wcap_asd,MATCH(AP606,sheath_mark,0),0)*AK606,0)</f>
        <v>0</v>
      </c>
      <c r="AN606" cm="1">
        <f t="array" ref="AN606">IFERROR(INDEX(hd_cap,MATCH(AQ606,hd_mark,0),0),0)</f>
        <v>0</v>
      </c>
      <c r="AP606" s="19"/>
      <c r="AQ606" s="19"/>
      <c r="AR606" s="100"/>
      <c r="AS606" s="93"/>
      <c r="AT606" s="111">
        <f>$R$549</f>
        <v>0</v>
      </c>
      <c r="AU606" t="str">
        <f>$Q$536</f>
        <v>L5</v>
      </c>
      <c r="AV606">
        <f>$E$24</f>
        <v>0</v>
      </c>
      <c r="AW606" cm="1">
        <f t="array" ref="AW606">IFERROR(IF(AV606=0,0,(INDEX($C$33:$C$38,MATCH($AZ$549,$B$33:$B$38,0),0)*(AV607+$BA$549)+$AW$549*COUNTIF(AV606:AV606,"&gt;0")*$C$32+$AY$549*$C$31)*$AU$549),0)</f>
        <v>0</v>
      </c>
      <c r="AX606">
        <f>IF(AV606=0,0,-(COUNTIF(AV606:AV606,"&gt;0")*$AW$549*$C$32+$AY$549*$C$31)*$H$27*$AU$549)</f>
        <v>0</v>
      </c>
      <c r="AY606">
        <f>IF(AV606=0,0,$AY$549*$H$26*$AU$549)</f>
        <v>0</v>
      </c>
      <c r="AZ606">
        <f>(0.6*AW606+0.7*AX606)*$AU$549/2</f>
        <v>0</v>
      </c>
      <c r="BA606">
        <f>AW606*$AU$549/2</f>
        <v>0</v>
      </c>
      <c r="BC606">
        <f>IF(AV606=0,0,$BG$549*$AP$536)</f>
        <v>0</v>
      </c>
      <c r="BD606">
        <f>IFERROR(BC606/$AU$549,0)</f>
        <v>0</v>
      </c>
      <c r="BE606">
        <f>BC606*($F$24+IF($F$24=0,0,($C$14+$C$15+IF($C$13="single",1.5,3)+3)/12))</f>
        <v>0</v>
      </c>
      <c r="BF606">
        <f>BE606-AZ606</f>
        <v>0</v>
      </c>
      <c r="BG606" cm="1">
        <f t="array" ref="BG606">IFERROR(IF(BF606&lt;0,0,BF606/($AU$549-INDEX(hd_off,MATCH(BT606,hd_mark,0),0)/12)),0)</f>
        <v>0</v>
      </c>
      <c r="BH606">
        <f>IF(AV606=0,0,$BG$549*$AM$536)</f>
        <v>0</v>
      </c>
      <c r="BI606">
        <f>IFERROR(BH606/$AU$549,0)</f>
        <v>0</v>
      </c>
      <c r="BJ606">
        <f>BH606*($F$24+IF($F$24=0,0,($C$14+$C$15+IF($C$13="single",1.5,3)+3)/12))</f>
        <v>0</v>
      </c>
      <c r="BK606">
        <f>BJ606-BA606</f>
        <v>0</v>
      </c>
      <c r="BL606" cm="1">
        <f t="array" ref="BL606">IFERROR(IF(BK606&lt;0,0,BK606/($AU$549-INDEX(hd_off,MATCH(BT606,hd_mark,0),0)/12)),0)</f>
        <v>0</v>
      </c>
      <c r="BM606">
        <f>MAX($F$24,$BE$549)/$Q$564</f>
        <v>0</v>
      </c>
      <c r="BN606">
        <f t="shared" si="377"/>
        <v>0</v>
      </c>
      <c r="BO606" cm="1">
        <f t="array" ref="BO606">IFERROR(INDEX(sheath_ecap_asd,MATCH(BS606,sheath_mark,0),0)*BN606,0)</f>
        <v>0</v>
      </c>
      <c r="BP606" cm="1">
        <f t="array" ref="BP606">IFERROR(INDEX(sheath_wcap_asd,MATCH(BS606,sheath_mark,0),0)*BN606,0)</f>
        <v>0</v>
      </c>
      <c r="BQ606" cm="1">
        <f t="array" ref="BQ606">IFERROR(INDEX(hd_cap,MATCH(BT606,hd_mark,0),0),0)</f>
        <v>0</v>
      </c>
      <c r="BS606" s="19"/>
      <c r="BT606" s="19"/>
      <c r="BU606" s="100"/>
    </row>
    <row r="607" x14ac:dyDescent="0.25">
      <c r="P607" s="93"/>
      <c r="Q607" s="109"/>
      <c r="R607" t="str">
        <f>$Q$537</f>
        <v>Roof</v>
      </c>
      <c r="S607">
        <f>$E$25</f>
        <v>33.171875</v>
      </c>
      <c r="T607" cm="1">
        <f t="array" ref="T607">IFERROR(IF(S607=0,0,(INDEX($C$33:$C$38,MATCH($W$549,$B$33:$B$38,0),0)*(S607+$X$549)+$V$549*$C$31)*$R$549),0)</f>
        <v>0</v>
      </c>
      <c r="U607">
        <f>IF(S607=0,0,-$V$549*$C$31*$H$27*$R$549)</f>
        <v>0</v>
      </c>
      <c r="V607">
        <f>IF(S607=0,0,$V$549*$H$26*$R$549)</f>
        <v>0</v>
      </c>
      <c r="W607">
        <f>(0.6*T607+0.7*U607)*$R$549/2</f>
        <v>0</v>
      </c>
      <c r="X607">
        <f>T607*$R$549/2</f>
        <v>0</v>
      </c>
      <c r="Z607">
        <f>IF(S607=0,0,$AD$549*$AP$537)</f>
        <v>0</v>
      </c>
      <c r="AA607">
        <f>IFERROR(Z607/$R$549,0)</f>
        <v>0</v>
      </c>
      <c r="AB607">
        <f>Z607*($F$25+($C$16+$C$17+IF($C$13="single",1.5,3)+3)/12)</f>
        <v>0</v>
      </c>
      <c r="AC607">
        <f>AB607-W607</f>
        <v>0</v>
      </c>
      <c r="AD607" cm="1">
        <f t="array" ref="AD607">IFERROR(IF(AC607&lt;0,0,AC607/($R$549-INDEX(hd_off,MATCH(AQ607,hd_mark,0),0)/12)),0)</f>
        <v>0</v>
      </c>
      <c r="AE607">
        <f>IF(S607=0,0,$AD$549*$AM$537)</f>
        <v>0</v>
      </c>
      <c r="AF607">
        <f>IFERROR(AE607/$R$549,0)</f>
        <v>0</v>
      </c>
      <c r="AG607">
        <f>AE607*($F$25+($C$16+$C$17+IF($C$13="single",1.5,3)+3)/12)</f>
        <v>0</v>
      </c>
      <c r="AH607">
        <f>AG607-X607</f>
        <v>0</v>
      </c>
      <c r="AI607" cm="1">
        <f t="array" ref="AI607">IFERROR(IF(AH607&lt;0,0,AH607/($R$549-INDEX(hd_off,MATCH(AQ607,hd_mark,0),0)/12)),0)</f>
        <v>0</v>
      </c>
      <c r="AJ607">
        <f>MAX($F$25,$AC$549)/$Q$564</f>
        <v>0.29920977011494249</v>
      </c>
      <c r="AK607">
        <f t="shared" si="376"/>
        <v>1</v>
      </c>
      <c r="AL607" cm="1">
        <f t="array" ref="AL607">IFERROR(INDEX(sheath_ecap_asd,MATCH(AP607,sheath_mark,0),0)*AK607,0)</f>
        <v>0</v>
      </c>
      <c r="AM607" cm="1">
        <f t="array" ref="AM607">IFERROR(INDEX(sheath_wcap_asd,MATCH(AP607,sheath_mark,0),0)*AK607,0)</f>
        <v>0</v>
      </c>
      <c r="AN607" cm="1">
        <f t="array" ref="AN607">IFERROR(INDEX(hd_cap,MATCH(AQ607,hd_mark,0),0),0)</f>
        <v>0</v>
      </c>
      <c r="AP607" s="19"/>
      <c r="AQ607" s="19"/>
      <c r="AR607" s="100"/>
      <c r="AS607" s="93"/>
      <c r="AT607" s="109"/>
      <c r="AU607" t="str">
        <f>$Q$537</f>
        <v>Roof</v>
      </c>
      <c r="AV607">
        <f>$E$25</f>
        <v>33.171875</v>
      </c>
      <c r="AW607" cm="1">
        <f t="array" ref="AW607">IFERROR(IF(AV607=0,0,(INDEX($C$33:$C$38,MATCH($AZ$549,$B$33:$B$38,0),0)*(AV607+$BA$549)+$AY$549*$C$31)*$AU$549),0)</f>
        <v>0</v>
      </c>
      <c r="AX607">
        <f>IF(AV607=0,0,-$AY$549*$C$31*$H$27*$AU$549)</f>
        <v>0</v>
      </c>
      <c r="AY607">
        <f>IF(AV607=0,0,$AY$549*$H$26*$AU$549)</f>
        <v>0</v>
      </c>
      <c r="AZ607">
        <f>(0.6*AW607+0.7*AX607)*$AU$549/2</f>
        <v>0</v>
      </c>
      <c r="BA607">
        <f>AW607*$AU$549/2</f>
        <v>0</v>
      </c>
      <c r="BC607">
        <f>IF(AV607=0,0,$BG$549*$AP$537)</f>
        <v>0</v>
      </c>
      <c r="BD607">
        <f>IFERROR(BC607/$AU$549,0)</f>
        <v>0</v>
      </c>
      <c r="BE607">
        <f>BC607*($F$25+($C$16+$C$17+IF($C$13="single",1.5,3)+3)/12)</f>
        <v>0</v>
      </c>
      <c r="BF607">
        <f>BE607-AZ607</f>
        <v>0</v>
      </c>
      <c r="BG607" cm="1">
        <f t="array" ref="BG607">IFERROR(IF(BF607&lt;0,0,BF607/($AU$549-INDEX(hd_off,MATCH(BT607,hd_mark,0),0)/12)),0)</f>
        <v>0</v>
      </c>
      <c r="BH607">
        <f>IF(AV607=0,0,$BG$549*$AM$537)</f>
        <v>0</v>
      </c>
      <c r="BI607">
        <f>IFERROR(BH607/$AU$549,0)</f>
        <v>0</v>
      </c>
      <c r="BJ607">
        <f>BH607*($F$25+($C$16+$C$17+IF($C$13="single",1.5,3)+3)/12)</f>
        <v>0</v>
      </c>
      <c r="BK607">
        <f>BJ607-BA607</f>
        <v>0</v>
      </c>
      <c r="BL607" cm="1">
        <f t="array" ref="BL607">IFERROR(IF(BK607&lt;0,0,BK607/($AU$549-INDEX(hd_off,MATCH(BT607,hd_mark,0),0)/12)),0)</f>
        <v>0</v>
      </c>
      <c r="BM607">
        <f>MAX($F$25,$BF$549)/$Q$564</f>
        <v>0.29920977011494249</v>
      </c>
      <c r="BN607">
        <f t="shared" si="377"/>
        <v>1</v>
      </c>
      <c r="BO607" cm="1">
        <f t="array" ref="BO607">IFERROR(INDEX(sheath_ecap_asd,MATCH(BS607,sheath_mark,0),0)*BN607,0)</f>
        <v>0</v>
      </c>
      <c r="BP607" cm="1">
        <f t="array" ref="BP607">IFERROR(INDEX(sheath_wcap_asd,MATCH(BS607,sheath_mark,0),0)*BN607,0)</f>
        <v>0</v>
      </c>
      <c r="BQ607" cm="1">
        <f t="array" ref="BQ607">IFERROR(INDEX(hd_cap,MATCH(BT607,hd_mark,0),0),0)</f>
        <v>0</v>
      </c>
      <c r="BS607" s="19"/>
      <c r="BT607" s="19"/>
      <c r="BU607" s="100"/>
    </row>
    <row r="608" x14ac:dyDescent="0.25">
      <c r="P608" s="93"/>
      <c r="AR608" s="100"/>
      <c r="AS608" s="93"/>
      <c r="BU608" s="100"/>
    </row>
    <row r="609" x14ac:dyDescent="0.25">
      <c r="P609" s="93"/>
      <c r="Q609" s="110" t="str">
        <f>$Q$550</f>
        <v>A.09</v>
      </c>
      <c r="R609" t="str">
        <f>$Q$533</f>
        <v>L2</v>
      </c>
      <c r="S609">
        <f>$E$21</f>
        <v>10.6875</v>
      </c>
      <c r="T609" cm="1">
        <f t="array" ref="T609">IFERROR(IF(S609=0,0,(INDEX($C$33:$C$38,MATCH($W$550,$B$33:$B$38,0),0)*(S613+$X$550)+$T$550*COUNTIF(S609:S612,"&gt;0")*$C$32+$V$550*$C$31)*$R$550),0)</f>
        <v>0</v>
      </c>
      <c r="U609">
        <f>IF(S609=0,0,-(COUNTIF(S609:S612,"&gt;0")*$T$550*$C$32+$V$550*$C$31)*$H$27*$R$550)</f>
        <v>0</v>
      </c>
      <c r="V609">
        <f>IF(S609=0,0,$V$550*$H$26*$R$550)</f>
        <v>0</v>
      </c>
      <c r="W609">
        <f>(0.6*T609+0.7*U609)*$R$550/2</f>
        <v>0</v>
      </c>
      <c r="X609">
        <f>(0.6*T609+0.6*V609)*$R$550/2</f>
        <v>0</v>
      </c>
      <c r="Z609">
        <f>IF(S609=0,0,$AD$550*$AP$533)</f>
        <v>0</v>
      </c>
      <c r="AA609">
        <f>IFERROR(Z609/$R$550,0)</f>
        <v>0</v>
      </c>
      <c r="AB609">
        <f>Z609*($F$21+IF($F$21=0,0,($C$14+$C$15+IF($C$13="single",1.5,3)+3)/12))</f>
        <v>0</v>
      </c>
      <c r="AC609">
        <f>AB609-W609</f>
        <v>0</v>
      </c>
      <c r="AD609" cm="1">
        <f t="array" ref="AD609">IFERROR(IF(AC609&lt;0,0,AC609/($R$550-INDEX(hd_off,MATCH(AQ609,hd_mark,0),0)/12)),0)</f>
        <v>0</v>
      </c>
      <c r="AE609">
        <f>IF(S609=0,0,$AD$550*$AM$533)</f>
        <v>0</v>
      </c>
      <c r="AF609">
        <f>IFERROR(AE609/$R$550,0)</f>
        <v>0</v>
      </c>
      <c r="AG609">
        <f>AE609*($F$21+IF($F$21=0,0,($C$14+$C$15+IF($C$13="single",1.5,3)+3)/12))</f>
        <v>0</v>
      </c>
      <c r="AH609">
        <f>AG609-X609</f>
        <v>0</v>
      </c>
      <c r="AI609" cm="1">
        <f t="array" ref="AI609">IFERROR(IF(AH609&lt;0,0,AH609/($R$550-INDEX(hd_off,MATCH(AQ609,hd_mark,0),0)/12)),0)</f>
        <v>0</v>
      </c>
      <c r="AJ609">
        <f>MAX($F$21,$Y$550)/$Q$564</f>
        <v>0.30172413793103448</v>
      </c>
      <c r="AK609">
        <f>IF(AJ609=0,0,IF(AJ609&gt;2,1.25-0.125*AJ609,1))</f>
        <v>1</v>
      </c>
      <c r="AL609" cm="1">
        <f t="array" ref="AL609">IFERROR(INDEX(sheath_ecap_asd,MATCH(AP609,sheath_mark,0),0)*AK609,0)</f>
        <v>0</v>
      </c>
      <c r="AM609" cm="1">
        <f t="array" ref="AM609">IFERROR(INDEX(sheath_wcap_asd,MATCH(AP609,sheath_mark,0),0)*AK609,0)</f>
        <v>0</v>
      </c>
      <c r="AN609" cm="1">
        <f t="array" ref="AN609">IFERROR(INDEX(hd_cap,MATCH(AQ609,hd_mark,0),0),0)</f>
        <v>0</v>
      </c>
      <c r="AP609" s="19"/>
      <c r="AQ609" s="19"/>
      <c r="AR609" s="100"/>
      <c r="AS609" s="93"/>
      <c r="AT609" s="110" t="str">
        <f>$AT$550</f>
        <v>1.09</v>
      </c>
      <c r="AU609" t="str">
        <f>$Q$533</f>
        <v>L2</v>
      </c>
      <c r="AV609">
        <f>$E$21</f>
        <v>10.6875</v>
      </c>
      <c r="AW609" cm="1">
        <f t="array" ref="AW609">IFERROR(IF(AV609=0,0,(INDEX($C$33:$C$38,MATCH($AZ$550,$B$33:$B$38,0),0)*(AV613+$BA$550)+$AW$550*COUNTIF(AV609:AV612,"&gt;0")*$C$32+$AY$550*$C$31)*$AU$550),0)</f>
        <v>0</v>
      </c>
      <c r="AX609">
        <f>IF(AV609=0,0,-(COUNTIF(AV609:AV612,"&gt;0")*$AW$550*$C$32+$AY$550*$C$31)*$H$27*$AU$550)</f>
        <v>0</v>
      </c>
      <c r="AY609">
        <f>IF(AV609=0,0,$AY$550*$H$26*$AU$550)</f>
        <v>0</v>
      </c>
      <c r="AZ609">
        <f>(0.6*AW609+0.7*AX609)*$AU$550/2</f>
        <v>0</v>
      </c>
      <c r="BA609">
        <f>(0.6*AW609+0.6*AY609)*$AU$550/2</f>
        <v>0</v>
      </c>
      <c r="BC609">
        <f>IF(AV609=0,0,$BG$550*$AP$533)</f>
        <v>0</v>
      </c>
      <c r="BD609">
        <f>IFERROR(BC609/$AU$550,0)</f>
        <v>0</v>
      </c>
      <c r="BE609">
        <f>BC609*($F$21+IF($F$21=0,0,($C$14+$C$15+IF($C$13="single",1.5,3)+3)/12))</f>
        <v>0</v>
      </c>
      <c r="BF609">
        <f>BE609-AZ609</f>
        <v>0</v>
      </c>
      <c r="BG609" cm="1">
        <f t="array" ref="BG609">IFERROR(IF(BF609&lt;0,0,BF609/($AU$550-INDEX(hd_off,MATCH(BT609,hd_mark,0),0)/12)),0)</f>
        <v>0</v>
      </c>
      <c r="BH609">
        <f>IF(AV609=0,0,$BG$550*$AM$533)</f>
        <v>0</v>
      </c>
      <c r="BI609">
        <f>IFERROR(BH609/$AU$550,0)</f>
        <v>0</v>
      </c>
      <c r="BJ609">
        <f>BH609*($F$21+IF($F$21=0,0,($C$14+$C$15+IF($C$13="single",1.5,3)+3)/12))</f>
        <v>0</v>
      </c>
      <c r="BK609">
        <f>BJ609-BA609</f>
        <v>0</v>
      </c>
      <c r="BL609" cm="1">
        <f t="array" ref="BL609">IFERROR(IF(BK609&lt;0,0,BK609/($AU$550-INDEX(hd_off,MATCH(BT609,hd_mark,0),0)/12)),0)</f>
        <v>0</v>
      </c>
      <c r="BM609">
        <f>MAX($F$21,$BB$550)/$Q$564</f>
        <v>0.30172413793103448</v>
      </c>
      <c r="BN609">
        <f>IF(BM609=0,0,IF(BM609&gt;2,1.25-0.125*BM609,1))</f>
        <v>1</v>
      </c>
      <c r="BO609" cm="1">
        <f t="array" ref="BO609">IFERROR(INDEX(sheath_ecap_asd,MATCH(BS609,sheath_mark,0),0)*BN609,0)</f>
        <v>0</v>
      </c>
      <c r="BP609" cm="1">
        <f t="array" ref="BP609">IFERROR(INDEX(sheath_wcap_asd,MATCH(BS609,sheath_mark,0),0)*BN609,0)</f>
        <v>0</v>
      </c>
      <c r="BQ609" cm="1">
        <f t="array" ref="BQ609">IFERROR(INDEX(hd_cap,MATCH(BT609,hd_mark,0),0),0)</f>
        <v>0</v>
      </c>
      <c r="BS609" s="19"/>
      <c r="BT609" s="19"/>
      <c r="BU609" s="100"/>
    </row>
    <row r="610" x14ac:dyDescent="0.25">
      <c r="P610" s="93"/>
      <c r="Q610" s="109"/>
      <c r="R610" t="str">
        <f>$Q$534</f>
        <v>L3</v>
      </c>
      <c r="S610">
        <f>$E$22</f>
        <v>21.375</v>
      </c>
      <c r="T610" cm="1">
        <f t="array" ref="T610">IFERROR(IF(S610=0,0,(INDEX($C$33:$C$38,MATCH($W$550,$B$33:$B$38,0),0)*(S613+$X$550)+$T$550*COUNTIF(S610:S612,"&gt;0")*$C$32+$V$550*$C$31)*$R$550),0)</f>
        <v>0</v>
      </c>
      <c r="U610">
        <f>IF(S610=0,0,-(COUNTIF(S610:S612,"&gt;0")*$T$550*$C$32+$V$550*$C$31)*$H$27*$R$550)</f>
        <v>0</v>
      </c>
      <c r="V610">
        <f>IF(S610=0,0,$V$550*$H$26*$R$550)</f>
        <v>0</v>
      </c>
      <c r="W610">
        <f>(0.6*T610+0.7*U610)*$R$550/2</f>
        <v>0</v>
      </c>
      <c r="X610">
        <f>T610*$R$550/2</f>
        <v>0</v>
      </c>
      <c r="Z610">
        <f>IF(S610=0,0,$AD$550*$AP$534)</f>
        <v>0</v>
      </c>
      <c r="AA610">
        <f>IFERROR(Z610/$R$550,0)</f>
        <v>0</v>
      </c>
      <c r="AB610">
        <f>Z610*($F$22+IF($F$22=0,0,($C$14+$C$15+IF($C$13="single",1.5,3)+3)/12))</f>
        <v>0</v>
      </c>
      <c r="AC610">
        <f>AB610-W610</f>
        <v>0</v>
      </c>
      <c r="AD610" cm="1">
        <f t="array" ref="AD610">IFERROR(IF(AC610&lt;0,0,AC610/($R$550-INDEX(hd_off,MATCH(AQ610,hd_mark,0),0)/12)),0)</f>
        <v>0</v>
      </c>
      <c r="AE610">
        <f>IF(S610=0,0,$AD$550*$AM$534)</f>
        <v>0</v>
      </c>
      <c r="AF610">
        <f>IFERROR(AE610/$R$550,0)</f>
        <v>0</v>
      </c>
      <c r="AG610">
        <f>AE610*($F$22+IF($F$22=0,0,($C$14+$C$15+IF($C$13="single",1.5,3)+3)/12))</f>
        <v>0</v>
      </c>
      <c r="AH610">
        <f>AG610-X610</f>
        <v>0</v>
      </c>
      <c r="AI610" cm="1">
        <f t="array" ref="AI610">IFERROR(IF(AH610&lt;0,0,AH610/($R$550-INDEX(hd_off,MATCH(AQ610,hd_mark,0),0)/12)),0)</f>
        <v>0</v>
      </c>
      <c r="AJ610">
        <f>MAX($F$22,$Z$550)/$Q$564</f>
        <v>0.30172413793103448</v>
      </c>
      <c r="AK610">
        <f t="shared" ref="AK610:AK613" si="378">IF(AJ610=0,0,IF(AJ610&gt;2,1.25-0.125*AJ610,1))</f>
        <v>1</v>
      </c>
      <c r="AL610" cm="1">
        <f t="array" ref="AL610">IFERROR(INDEX(sheath_ecap_asd,MATCH(AP610,sheath_mark,0),0)*AK610,0)</f>
        <v>0</v>
      </c>
      <c r="AM610" cm="1">
        <f t="array" ref="AM610">IFERROR(INDEX(sheath_wcap_asd,MATCH(AP610,sheath_mark,0),0)*AK610,0)</f>
        <v>0</v>
      </c>
      <c r="AN610" cm="1">
        <f t="array" ref="AN610">IFERROR(INDEX(hd_cap,MATCH(AQ610,hd_mark,0),0),0)</f>
        <v>0</v>
      </c>
      <c r="AP610" s="19"/>
      <c r="AQ610" s="19"/>
      <c r="AR610" s="100"/>
      <c r="AS610" s="93"/>
      <c r="AT610" s="109"/>
      <c r="AU610" t="str">
        <f>$Q$534</f>
        <v>L3</v>
      </c>
      <c r="AV610">
        <f>$E$22</f>
        <v>21.375</v>
      </c>
      <c r="AW610" cm="1">
        <f t="array" ref="AW610">IFERROR(IF(AV610=0,0,(INDEX($C$33:$C$38,MATCH($AZ$550,$B$33:$B$38,0),0)*(AV613+$BA$550)+$AW$550*COUNTIF(AV610:AV612,"&gt;0")*$C$32+$AY$550*$C$31)*$AU$550),0)</f>
        <v>0</v>
      </c>
      <c r="AX610">
        <f>IF(AV610=0,0,-(COUNTIF(AV610:AV612,"&gt;0")*$AW$550*$C$32+$AY$550*$C$31)*$H$27*$AU$550)</f>
        <v>0</v>
      </c>
      <c r="AY610">
        <f>IF(AV610=0,0,$AY$550*$H$26*$AU$550)</f>
        <v>0</v>
      </c>
      <c r="AZ610">
        <f>(0.6*AW610+0.7*AX610)*$AU$550/2</f>
        <v>0</v>
      </c>
      <c r="BA610">
        <f>AW610*$AU$550/2</f>
        <v>0</v>
      </c>
      <c r="BC610">
        <f>IF(AV610=0,0,$BG$550*$AP$534)</f>
        <v>0</v>
      </c>
      <c r="BD610">
        <f>IFERROR(BC610/$AU$550,0)</f>
        <v>0</v>
      </c>
      <c r="BE610">
        <f>BC610*($F$22+IF($F$22=0,0,($C$14+$C$15+IF($C$13="single",1.5,3)+3)/12))</f>
        <v>0</v>
      </c>
      <c r="BF610">
        <f>BE610-AZ610</f>
        <v>0</v>
      </c>
      <c r="BG610" cm="1">
        <f t="array" ref="BG610">IFERROR(IF(BF610&lt;0,0,BF610/($AU$550-INDEX(hd_off,MATCH(BT610,hd_mark,0),0)/12)),0)</f>
        <v>0</v>
      </c>
      <c r="BH610">
        <f>IF(AV610=0,0,$BG$550*$AM$534)</f>
        <v>0</v>
      </c>
      <c r="BI610">
        <f>IFERROR(BH610/$AU$550,0)</f>
        <v>0</v>
      </c>
      <c r="BJ610">
        <f>BH610*($F$22+IF($F$22=0,0,($C$14+$C$15+IF($C$13="single",1.5,3)+3)/12))</f>
        <v>0</v>
      </c>
      <c r="BK610">
        <f>BJ610-BA610</f>
        <v>0</v>
      </c>
      <c r="BL610" cm="1">
        <f t="array" ref="BL610">IFERROR(IF(BK610&lt;0,0,BK610/($AU$550-INDEX(hd_off,MATCH(BT610,hd_mark,0),0)/12)),0)</f>
        <v>0</v>
      </c>
      <c r="BM610">
        <f>MAX($F$22,$BC$550)/$Q$564</f>
        <v>0.30172413793103448</v>
      </c>
      <c r="BN610">
        <f t="shared" ref="BN610:BN613" si="379">IF(BM610=0,0,IF(BM610&gt;2,1.25-0.125*BM610,1))</f>
        <v>1</v>
      </c>
      <c r="BO610" cm="1">
        <f t="array" ref="BO610">IFERROR(INDEX(sheath_ecap_asd,MATCH(BS610,sheath_mark,0),0)*BN610,0)</f>
        <v>0</v>
      </c>
      <c r="BP610" cm="1">
        <f t="array" ref="BP610">IFERROR(INDEX(sheath_wcap_asd,MATCH(BS610,sheath_mark,0),0)*BN610,0)</f>
        <v>0</v>
      </c>
      <c r="BQ610" cm="1">
        <f t="array" ref="BQ610">IFERROR(INDEX(hd_cap,MATCH(BT610,hd_mark,0),0),0)</f>
        <v>0</v>
      </c>
      <c r="BS610" s="19"/>
      <c r="BT610" s="19"/>
      <c r="BU610" s="100"/>
    </row>
    <row r="611" x14ac:dyDescent="0.25">
      <c r="P611" s="93"/>
      <c r="Q611" s="109" t="s">
        <v>491</v>
      </c>
      <c r="R611" t="str">
        <f>$Q$535</f>
        <v>L4</v>
      </c>
      <c r="S611">
        <f>$E$23</f>
        <v>0</v>
      </c>
      <c r="T611" cm="1">
        <f t="array" ref="T611">IFERROR(IF(S611=0,0,(INDEX($C$33:$C$38,MATCH($W$550,$B$33:$B$38,0),0)*(S613+$X$550)+$T$550*COUNTIF(S611:S612,"&gt;0")*$C$32+$V$550*$C$31)*$R$550),0)</f>
        <v>0</v>
      </c>
      <c r="U611">
        <f>IF(S611=0,0,-(COUNTIF(S611:S612,"&gt;0")*$T$550*$C$32+$V$550*$C$31)*$H$27*$R$550)</f>
        <v>0</v>
      </c>
      <c r="V611">
        <f>IF(S611=0,0,$V$550*$H$26*$R$550)</f>
        <v>0</v>
      </c>
      <c r="W611">
        <f>(0.6*T611+0.7*U611)*$R$550/2</f>
        <v>0</v>
      </c>
      <c r="X611">
        <f>T611*$R$550/2</f>
        <v>0</v>
      </c>
      <c r="Z611">
        <f>IF(S611=0,0,$AD$550*$AP$535)</f>
        <v>0</v>
      </c>
      <c r="AA611">
        <f>IFERROR(Z611/$R$550,0)</f>
        <v>0</v>
      </c>
      <c r="AB611">
        <f>Z611*($F$23+IF($F$23=0,0,($C$14+$C$15+IF($C$13="single",1.5,3)+3)/12))</f>
        <v>0</v>
      </c>
      <c r="AC611">
        <f>AB611-W611</f>
        <v>0</v>
      </c>
      <c r="AD611" cm="1">
        <f t="array" ref="AD611">IFERROR(IF(AC611&lt;0,0,AC611/($R$550-INDEX(hd_off,MATCH(AQ611,hd_mark,0),0)/12)),0)</f>
        <v>0</v>
      </c>
      <c r="AE611">
        <f>IF(S611=0,0,$AD$550*$AM$535)</f>
        <v>0</v>
      </c>
      <c r="AF611">
        <f>IFERROR(AE611/$R$550,0)</f>
        <v>0</v>
      </c>
      <c r="AG611">
        <f>AE611*($F$23+IF($F$23=0,0,($C$14+$C$15+IF($C$13="single",1.5,3)+3)/12))</f>
        <v>0</v>
      </c>
      <c r="AH611">
        <f>AG611-X611</f>
        <v>0</v>
      </c>
      <c r="AI611" cm="1">
        <f t="array" ref="AI611">IFERROR(IF(AH611&lt;0,0,AH611/($R$550-INDEX(hd_off,MATCH(AQ611,hd_mark,0),0)/12)),0)</f>
        <v>0</v>
      </c>
      <c r="AJ611">
        <f>MAX($F$23,$AA$550)/$Q$564</f>
        <v>0</v>
      </c>
      <c r="AK611">
        <f t="shared" si="378"/>
        <v>0</v>
      </c>
      <c r="AL611" cm="1">
        <f t="array" ref="AL611">IFERROR(INDEX(sheath_ecap_asd,MATCH(AP611,sheath_mark,0),0)*AK611,0)</f>
        <v>0</v>
      </c>
      <c r="AM611" cm="1">
        <f t="array" ref="AM611">IFERROR(INDEX(sheath_wcap_asd,MATCH(AP611,sheath_mark,0),0)*AK611,0)</f>
        <v>0</v>
      </c>
      <c r="AN611" cm="1">
        <f t="array" ref="AN611">IFERROR(INDEX(hd_cap,MATCH(AQ611,hd_mark,0),0),0)</f>
        <v>0</v>
      </c>
      <c r="AP611" s="19"/>
      <c r="AQ611" s="19"/>
      <c r="AR611" s="100"/>
      <c r="AS611" s="93"/>
      <c r="AT611" s="109" t="s">
        <v>491</v>
      </c>
      <c r="AU611" t="str">
        <f>$Q$535</f>
        <v>L4</v>
      </c>
      <c r="AV611">
        <f>$E$23</f>
        <v>0</v>
      </c>
      <c r="AW611" cm="1">
        <f t="array" ref="AW611">IFERROR(IF(AV611=0,0,(INDEX($C$33:$C$38,MATCH($AZ$550,$B$33:$B$38,0),0)*(AV613+$BA$550)+$AW$550*COUNTIF(AV611:AV612,"&gt;0")*$C$32+$AY$550*$C$31)*$AU$550),0)</f>
        <v>0</v>
      </c>
      <c r="AX611">
        <f>IF(AV611=0,0,-(COUNTIF(AV611:AV612,"&gt;0")*$AW$550*$C$32+$AY$550*$C$31)*$H$27*$AU$550)</f>
        <v>0</v>
      </c>
      <c r="AY611">
        <f>IF(AV611=0,0,$AY$550*$H$26*$AU$550)</f>
        <v>0</v>
      </c>
      <c r="AZ611">
        <f>(0.6*AW611+0.7*AX611)*$AU$550/2</f>
        <v>0</v>
      </c>
      <c r="BA611">
        <f>AW611*$AU$550/2</f>
        <v>0</v>
      </c>
      <c r="BC611">
        <f>IF(AV611=0,0,$BG$550*$AP$535)</f>
        <v>0</v>
      </c>
      <c r="BD611">
        <f>IFERROR(BC611/$AU$550,0)</f>
        <v>0</v>
      </c>
      <c r="BE611">
        <f>BC611*($F$23+IF($F$23=0,0,($C$14+$C$15+IF($C$13="single",1.5,3)+3)/12))</f>
        <v>0</v>
      </c>
      <c r="BF611">
        <f>BE611-AZ611</f>
        <v>0</v>
      </c>
      <c r="BG611" cm="1">
        <f t="array" ref="BG611">IFERROR(IF(BF611&lt;0,0,BF611/($AU$550-INDEX(hd_off,MATCH(BT611,hd_mark,0),0)/12)),0)</f>
        <v>0</v>
      </c>
      <c r="BH611">
        <f>IF(AV611=0,0,$BG$550*$AM$535)</f>
        <v>0</v>
      </c>
      <c r="BI611">
        <f>IFERROR(BH611/$AU$550,0)</f>
        <v>0</v>
      </c>
      <c r="BJ611">
        <f>BH611*($F$23+IF($F$23=0,0,($C$14+$C$15+IF($C$13="single",1.5,3)+3)/12))</f>
        <v>0</v>
      </c>
      <c r="BK611">
        <f>BJ611-BA611</f>
        <v>0</v>
      </c>
      <c r="BL611" cm="1">
        <f t="array" ref="BL611">IFERROR(IF(BK611&lt;0,0,BK611/($AU$550-INDEX(hd_off,MATCH(BT611,hd_mark,0),0)/12)),0)</f>
        <v>0</v>
      </c>
      <c r="BM611">
        <f>MAX($F$23,$BD$550)/$Q$564</f>
        <v>0</v>
      </c>
      <c r="BN611">
        <f t="shared" si="379"/>
        <v>0</v>
      </c>
      <c r="BO611" cm="1">
        <f t="array" ref="BO611">IFERROR(INDEX(sheath_ecap_asd,MATCH(BS611,sheath_mark,0),0)*BN611,0)</f>
        <v>0</v>
      </c>
      <c r="BP611" cm="1">
        <f t="array" ref="BP611">IFERROR(INDEX(sheath_wcap_asd,MATCH(BS611,sheath_mark,0),0)*BN611,0)</f>
        <v>0</v>
      </c>
      <c r="BQ611" cm="1">
        <f t="array" ref="BQ611">IFERROR(INDEX(hd_cap,MATCH(BT611,hd_mark,0),0),0)</f>
        <v>0</v>
      </c>
      <c r="BS611" s="19"/>
      <c r="BT611" s="19"/>
      <c r="BU611" s="100"/>
    </row>
    <row r="612" x14ac:dyDescent="0.25">
      <c r="P612" s="93"/>
      <c r="Q612" s="111">
        <f>$R$550</f>
        <v>0</v>
      </c>
      <c r="R612" t="str">
        <f>$Q$536</f>
        <v>L5</v>
      </c>
      <c r="S612">
        <f>$E$24</f>
        <v>0</v>
      </c>
      <c r="T612" cm="1">
        <f t="array" ref="T612">IFERROR(IF(S612=0,0,(INDEX($C$33:$C$38,MATCH($W$550,$B$33:$B$38,0),0)*(S613+$X$550)+$T$550*COUNTIF(S612:S612,"&gt;0")*$C$32+$V$550*$C$31)*$R$550),0)</f>
        <v>0</v>
      </c>
      <c r="U612">
        <f>IF(S612=0,0,-(COUNTIF(S612:S612,"&gt;0")*$T$550*$C$32+$V$550*$C$31)*$H$27*$R$550)</f>
        <v>0</v>
      </c>
      <c r="V612">
        <f>IF(S612=0,0,$V$550*$H$26*$R$550)</f>
        <v>0</v>
      </c>
      <c r="W612">
        <f>(0.6*T612+0.7*U612)*$R$550/2</f>
        <v>0</v>
      </c>
      <c r="X612">
        <f>T612*$R$550/2</f>
        <v>0</v>
      </c>
      <c r="Z612">
        <f>IF(S612=0,0,$AD$550*$AP$536)</f>
        <v>0</v>
      </c>
      <c r="AA612">
        <f>IFERROR(Z612/$R$550,0)</f>
        <v>0</v>
      </c>
      <c r="AB612">
        <f>Z612*($F$24+IF($F$24=0,0,($C$14+$C$15+IF($C$13="single",1.5,3)+3)/12))</f>
        <v>0</v>
      </c>
      <c r="AC612">
        <f>AB612-W612</f>
        <v>0</v>
      </c>
      <c r="AD612" cm="1">
        <f t="array" ref="AD612">IFERROR(IF(AC612&lt;0,0,AC612/($R$550-INDEX(hd_off,MATCH(AQ612,hd_mark,0),0)/12)),0)</f>
        <v>0</v>
      </c>
      <c r="AE612">
        <f>IF(S612=0,0,$AD$550*$AM$536)</f>
        <v>0</v>
      </c>
      <c r="AF612">
        <f>IFERROR(AE612/$R$550,0)</f>
        <v>0</v>
      </c>
      <c r="AG612">
        <f>AE612*($F$24+IF($F$24=0,0,($C$14+$C$15+IF($C$13="single",1.5,3)+3)/12))</f>
        <v>0</v>
      </c>
      <c r="AH612">
        <f>AG612-X612</f>
        <v>0</v>
      </c>
      <c r="AI612" cm="1">
        <f t="array" ref="AI612">IFERROR(IF(AH612&lt;0,0,AH612/($R$550-INDEX(hd_off,MATCH(AQ612,hd_mark,0),0)/12)),0)</f>
        <v>0</v>
      </c>
      <c r="AJ612">
        <f>MAX($F$24,$AB$550)/$Q$564</f>
        <v>0</v>
      </c>
      <c r="AK612">
        <f t="shared" si="378"/>
        <v>0</v>
      </c>
      <c r="AL612" cm="1">
        <f t="array" ref="AL612">IFERROR(INDEX(sheath_ecap_asd,MATCH(AP612,sheath_mark,0),0)*AK612,0)</f>
        <v>0</v>
      </c>
      <c r="AM612" cm="1">
        <f t="array" ref="AM612">IFERROR(INDEX(sheath_wcap_asd,MATCH(AP612,sheath_mark,0),0)*AK612,0)</f>
        <v>0</v>
      </c>
      <c r="AN612" cm="1">
        <f t="array" ref="AN612">IFERROR(INDEX(hd_cap,MATCH(AQ612,hd_mark,0),0),0)</f>
        <v>0</v>
      </c>
      <c r="AP612" s="19"/>
      <c r="AQ612" s="19"/>
      <c r="AR612" s="100"/>
      <c r="AS612" s="93"/>
      <c r="AT612" s="111">
        <f>$R$550</f>
        <v>0</v>
      </c>
      <c r="AU612" t="str">
        <f>$Q$536</f>
        <v>L5</v>
      </c>
      <c r="AV612">
        <f>$E$24</f>
        <v>0</v>
      </c>
      <c r="AW612" cm="1">
        <f t="array" ref="AW612">IFERROR(IF(AV612=0,0,(INDEX($C$33:$C$38,MATCH($AZ$550,$B$33:$B$38,0),0)*(AV613+$BA$550)+$AW$550*COUNTIF(AV612:AV612,"&gt;0")*$C$32+$AY$550*$C$31)*$AU$550),0)</f>
        <v>0</v>
      </c>
      <c r="AX612">
        <f>IF(AV612=0,0,-(COUNTIF(AV612:AV612,"&gt;0")*$AW$550*$C$32+$AY$550*$C$31)*$H$27*$AU$550)</f>
        <v>0</v>
      </c>
      <c r="AY612">
        <f>IF(AV612=0,0,$AY$550*$H$26*$AU$550)</f>
        <v>0</v>
      </c>
      <c r="AZ612">
        <f>(0.6*AW612+0.7*AX612)*$AU$550/2</f>
        <v>0</v>
      </c>
      <c r="BA612">
        <f>AW612*$AU$550/2</f>
        <v>0</v>
      </c>
      <c r="BC612">
        <f>IF(AV612=0,0,$BG$550*$AP$536)</f>
        <v>0</v>
      </c>
      <c r="BD612">
        <f>IFERROR(BC612/$AU$550,0)</f>
        <v>0</v>
      </c>
      <c r="BE612">
        <f>BC612*($F$24+IF($F$24=0,0,($C$14+$C$15+IF($C$13="single",1.5,3)+3)/12))</f>
        <v>0</v>
      </c>
      <c r="BF612">
        <f>BE612-AZ612</f>
        <v>0</v>
      </c>
      <c r="BG612" cm="1">
        <f t="array" ref="BG612">IFERROR(IF(BF612&lt;0,0,BF612/($AU$550-INDEX(hd_off,MATCH(BT612,hd_mark,0),0)/12)),0)</f>
        <v>0</v>
      </c>
      <c r="BH612">
        <f>IF(AV612=0,0,$BG$550*$AM$536)</f>
        <v>0</v>
      </c>
      <c r="BI612">
        <f>IFERROR(BH612/$AU$550,0)</f>
        <v>0</v>
      </c>
      <c r="BJ612">
        <f>BH612*($F$24+IF($F$24=0,0,($C$14+$C$15+IF($C$13="single",1.5,3)+3)/12))</f>
        <v>0</v>
      </c>
      <c r="BK612">
        <f>BJ612-BA612</f>
        <v>0</v>
      </c>
      <c r="BL612" cm="1">
        <f t="array" ref="BL612">IFERROR(IF(BK612&lt;0,0,BK612/($AU$550-INDEX(hd_off,MATCH(BT612,hd_mark,0),0)/12)),0)</f>
        <v>0</v>
      </c>
      <c r="BM612">
        <f>MAX($F$24,$BE$550)/$Q$564</f>
        <v>0</v>
      </c>
      <c r="BN612">
        <f t="shared" si="379"/>
        <v>0</v>
      </c>
      <c r="BO612" cm="1">
        <f t="array" ref="BO612">IFERROR(INDEX(sheath_ecap_asd,MATCH(BS612,sheath_mark,0),0)*BN612,0)</f>
        <v>0</v>
      </c>
      <c r="BP612" cm="1">
        <f t="array" ref="BP612">IFERROR(INDEX(sheath_wcap_asd,MATCH(BS612,sheath_mark,0),0)*BN612,0)</f>
        <v>0</v>
      </c>
      <c r="BQ612" cm="1">
        <f t="array" ref="BQ612">IFERROR(INDEX(hd_cap,MATCH(BT612,hd_mark,0),0),0)</f>
        <v>0</v>
      </c>
      <c r="BS612" s="19"/>
      <c r="BT612" s="19"/>
      <c r="BU612" s="100"/>
    </row>
    <row r="613" x14ac:dyDescent="0.25">
      <c r="P613" s="93"/>
      <c r="Q613" s="109"/>
      <c r="R613" t="str">
        <f>$Q$537</f>
        <v>Roof</v>
      </c>
      <c r="S613">
        <f>$E$25</f>
        <v>33.171875</v>
      </c>
      <c r="T613" cm="1">
        <f t="array" ref="T613">IFERROR(IF(S613=0,0,(INDEX($C$33:$C$38,MATCH($W$550,$B$33:$B$38,0),0)*(S613+$X$550)+$V$550*$C$31)*$R$550),0)</f>
        <v>0</v>
      </c>
      <c r="U613">
        <f>IF(S613=0,0,-$V$550*$C$31*$H$27*$R$550)</f>
        <v>0</v>
      </c>
      <c r="V613">
        <f>IF(S613=0,0,$V$550*$H$26*$R$550)</f>
        <v>0</v>
      </c>
      <c r="W613">
        <f>(0.6*T613+0.7*U613)*$R$550/2</f>
        <v>0</v>
      </c>
      <c r="X613">
        <f>T613*$R$550/2</f>
        <v>0</v>
      </c>
      <c r="Z613">
        <f>IF(S613=0,0,$AD$550*$AP$537)</f>
        <v>0</v>
      </c>
      <c r="AA613">
        <f>IFERROR(Z613/$R$550,0)</f>
        <v>0</v>
      </c>
      <c r="AB613">
        <f>Z613*($F$25+($C$16+$C$17+IF($C$13="single",1.5,3)+3)/12)</f>
        <v>0</v>
      </c>
      <c r="AC613">
        <f>AB613-W613</f>
        <v>0</v>
      </c>
      <c r="AD613" cm="1">
        <f t="array" ref="AD613">IFERROR(IF(AC613&lt;0,0,AC613/($R$550-INDEX(hd_off,MATCH(AQ613,hd_mark,0),0)/12)),0)</f>
        <v>0</v>
      </c>
      <c r="AE613">
        <f>IF(S613=0,0,$AD$550*$AM$537)</f>
        <v>0</v>
      </c>
      <c r="AF613">
        <f>IFERROR(AE613/$R$550,0)</f>
        <v>0</v>
      </c>
      <c r="AG613">
        <f>AE613*($F$25+($C$16+$C$17+IF($C$13="single",1.5,3)+3)/12)</f>
        <v>0</v>
      </c>
      <c r="AH613">
        <f>AG613-X613</f>
        <v>0</v>
      </c>
      <c r="AI613" cm="1">
        <f t="array" ref="AI613">IFERROR(IF(AH613&lt;0,0,AH613/($R$550-INDEX(hd_off,MATCH(AQ613,hd_mark,0),0)/12)),0)</f>
        <v>0</v>
      </c>
      <c r="AJ613">
        <f>MAX($F$25,$AC$550)/$Q$564</f>
        <v>0.29920977011494249</v>
      </c>
      <c r="AK613">
        <f t="shared" si="378"/>
        <v>1</v>
      </c>
      <c r="AL613" cm="1">
        <f t="array" ref="AL613">IFERROR(INDEX(sheath_ecap_asd,MATCH(AP613,sheath_mark,0),0)*AK613,0)</f>
        <v>0</v>
      </c>
      <c r="AM613" cm="1">
        <f t="array" ref="AM613">IFERROR(INDEX(sheath_wcap_asd,MATCH(AP613,sheath_mark,0),0)*AK613,0)</f>
        <v>0</v>
      </c>
      <c r="AN613" cm="1">
        <f t="array" ref="AN613">IFERROR(INDEX(hd_cap,MATCH(AQ613,hd_mark,0),0),0)</f>
        <v>0</v>
      </c>
      <c r="AP613" s="19"/>
      <c r="AQ613" s="19"/>
      <c r="AR613" s="100"/>
      <c r="AS613" s="93"/>
      <c r="AT613" s="109"/>
      <c r="AU613" t="str">
        <f>$Q$537</f>
        <v>Roof</v>
      </c>
      <c r="AV613">
        <f>$E$25</f>
        <v>33.171875</v>
      </c>
      <c r="AW613" cm="1">
        <f t="array" ref="AW613">IFERROR(IF(AV613=0,0,(INDEX($C$33:$C$38,MATCH($AZ$550,$B$33:$B$38,0),0)*(AV613+$BA$550)+$AY$550*$C$31)*$AU$550),0)</f>
        <v>0</v>
      </c>
      <c r="AX613">
        <f>IF(AV613=0,0,-$AY$550*$C$31*$H$27*$AU$550)</f>
        <v>0</v>
      </c>
      <c r="AY613">
        <f>IF(AV613=0,0,$AY$550*$H$26*$AU$550)</f>
        <v>0</v>
      </c>
      <c r="AZ613">
        <f>(0.6*AW613+0.7*AX613)*$AU$550/2</f>
        <v>0</v>
      </c>
      <c r="BA613">
        <f>AW613*$AU$550/2</f>
        <v>0</v>
      </c>
      <c r="BC613">
        <f>IF(AV613=0,0,$BG$550*$AP$537)</f>
        <v>0</v>
      </c>
      <c r="BD613">
        <f>IFERROR(BC613/$AU$550,0)</f>
        <v>0</v>
      </c>
      <c r="BE613">
        <f>BC613*($F$25+($C$16+$C$17+IF($C$13="single",1.5,3)+3)/12)</f>
        <v>0</v>
      </c>
      <c r="BF613">
        <f>BE613-AZ613</f>
        <v>0</v>
      </c>
      <c r="BG613" cm="1">
        <f t="array" ref="BG613">IFERROR(IF(BF613&lt;0,0,BF613/($AU$550-INDEX(hd_off,MATCH(BT613,hd_mark,0),0)/12)),0)</f>
        <v>0</v>
      </c>
      <c r="BH613">
        <f>IF(AV613=0,0,$BG$550*$AM$537)</f>
        <v>0</v>
      </c>
      <c r="BI613">
        <f>IFERROR(BH613/$AU$550,0)</f>
        <v>0</v>
      </c>
      <c r="BJ613">
        <f>BH613*($F$25+($C$16+$C$17+IF($C$13="single",1.5,3)+3)/12)</f>
        <v>0</v>
      </c>
      <c r="BK613">
        <f>BJ613-BA613</f>
        <v>0</v>
      </c>
      <c r="BL613" cm="1">
        <f t="array" ref="BL613">IFERROR(IF(BK613&lt;0,0,BK613/($AU$550-INDEX(hd_off,MATCH(BT613,hd_mark,0),0)/12)),0)</f>
        <v>0</v>
      </c>
      <c r="BM613">
        <f>MAX($F$25,$BF$550)/$Q$564</f>
        <v>0.29920977011494249</v>
      </c>
      <c r="BN613">
        <f t="shared" si="379"/>
        <v>1</v>
      </c>
      <c r="BO613" cm="1">
        <f t="array" ref="BO613">IFERROR(INDEX(sheath_ecap_asd,MATCH(BS613,sheath_mark,0),0)*BN613,0)</f>
        <v>0</v>
      </c>
      <c r="BP613" cm="1">
        <f t="array" ref="BP613">IFERROR(INDEX(sheath_wcap_asd,MATCH(BS613,sheath_mark,0),0)*BN613,0)</f>
        <v>0</v>
      </c>
      <c r="BQ613" cm="1">
        <f t="array" ref="BQ613">IFERROR(INDEX(hd_cap,MATCH(BT613,hd_mark,0),0),0)</f>
        <v>0</v>
      </c>
      <c r="BS613" s="19"/>
      <c r="BT613" s="19"/>
      <c r="BU613" s="100"/>
    </row>
    <row r="614" x14ac:dyDescent="0.25">
      <c r="P614" s="93"/>
      <c r="AR614" s="100"/>
      <c r="AS614" s="93"/>
      <c r="BU614" s="100"/>
    </row>
    <row r="615" x14ac:dyDescent="0.25">
      <c r="P615" s="93"/>
      <c r="Q615" s="110" t="str">
        <f>$Q$551</f>
        <v>A.10</v>
      </c>
      <c r="R615" t="str">
        <f>$Q$533</f>
        <v>L2</v>
      </c>
      <c r="S615">
        <f>$E$21</f>
        <v>10.6875</v>
      </c>
      <c r="T615" cm="1">
        <f t="array" ref="T615">IFERROR(IF(S615=0,0,(INDEX($C$33:$C$38,MATCH($W$551,$B$33:$B$38,0),0)*(S619+$X$551)+$T$551*COUNTIF(S615:S618,"&gt;0")*$C$32+$V$551*$C$31)*$R$551),0)</f>
        <v>0</v>
      </c>
      <c r="U615">
        <f>IF(S615=0,0,-(COUNTIF(S615:S618,"&gt;0")*$T$551*$C$32+$V$551*$C$31)*$H$27*$R$551)</f>
        <v>0</v>
      </c>
      <c r="V615">
        <f>IF(S615=0,0,$V$551*$H$26*$R$551)</f>
        <v>0</v>
      </c>
      <c r="W615">
        <f>(0.6*T615+0.7*U615)*$R$551/2</f>
        <v>0</v>
      </c>
      <c r="X615">
        <f>(0.6*T615+0.6*V615)*$R$551/2</f>
        <v>0</v>
      </c>
      <c r="Z615">
        <f>IF(S615=0,0,$AD$551*$AP$533)</f>
        <v>0</v>
      </c>
      <c r="AA615">
        <f>IFERROR(Z615/$R$551,0)</f>
        <v>0</v>
      </c>
      <c r="AB615">
        <f>Z615*($F$21+IF($F$21=0,0,($C$14+$C$15+IF($C$13="single",1.5,3)+3)/12))</f>
        <v>0</v>
      </c>
      <c r="AC615">
        <f>AB615-W615</f>
        <v>0</v>
      </c>
      <c r="AD615" cm="1">
        <f t="array" ref="AD615">IFERROR(IF(AC615&lt;0,0,AC615/($R$551-INDEX(hd_off,MATCH(AQ615,hd_mark,0),0)/12)),0)</f>
        <v>0</v>
      </c>
      <c r="AE615">
        <f>IF(S615=0,0,$AD$551*$AM$533)</f>
        <v>0</v>
      </c>
      <c r="AF615">
        <f>IFERROR(AE615/$R$551,0)</f>
        <v>0</v>
      </c>
      <c r="AG615">
        <f>AE615*($F$21+IF($F$21=0,0,($C$14+$C$15+IF($C$13="single",1.5,3)+3)/12))</f>
        <v>0</v>
      </c>
      <c r="AH615">
        <f>AG615-X615</f>
        <v>0</v>
      </c>
      <c r="AI615" cm="1">
        <f t="array" ref="AI615">IFERROR(IF(AH615&lt;0,0,AH615/($R$551-INDEX(hd_off,MATCH(AQ615,hd_mark,0),0)/12)),0)</f>
        <v>0</v>
      </c>
      <c r="AJ615">
        <f>MAX($F$21,$Y$551)/$Q$564</f>
        <v>0.30172413793103448</v>
      </c>
      <c r="AK615">
        <f>IF(AJ615=0,0,IF(AJ615&gt;2,1.25-0.125*AJ615,1))</f>
        <v>1</v>
      </c>
      <c r="AL615" cm="1">
        <f t="array" ref="AL615">IFERROR(INDEX(sheath_ecap_asd,MATCH(AP615,sheath_mark,0),0)*AK615,0)</f>
        <v>0</v>
      </c>
      <c r="AM615" cm="1">
        <f t="array" ref="AM615">IFERROR(INDEX(sheath_wcap_asd,MATCH(AP615,sheath_mark,0),0)*AK615,0)</f>
        <v>0</v>
      </c>
      <c r="AN615" cm="1">
        <f t="array" ref="AN615">IFERROR(INDEX(hd_cap,MATCH(AQ615,hd_mark,0),0),0)</f>
        <v>0</v>
      </c>
      <c r="AP615" s="19"/>
      <c r="AQ615" s="19"/>
      <c r="AR615" s="100"/>
      <c r="AS615" s="93"/>
      <c r="AT615" s="110" t="str">
        <f>$AT$551</f>
        <v>1.10</v>
      </c>
      <c r="AU615" t="str">
        <f>$Q$533</f>
        <v>L2</v>
      </c>
      <c r="AV615">
        <f>$E$21</f>
        <v>10.6875</v>
      </c>
      <c r="AW615" cm="1">
        <f t="array" ref="AW615">IFERROR(IF(AV615=0,0,(INDEX($C$33:$C$38,MATCH($AZ$551,$B$33:$B$38,0),0)*(AV619+$BA$551)+$AW$551*COUNTIF(AV615:AV618,"&gt;0")*$C$32+$AY$551*$C$31)*$AU$551),0)</f>
        <v>0</v>
      </c>
      <c r="AX615">
        <f>IF(AV615=0,0,-(COUNTIF(AV615:AV618,"&gt;0")*$AW$551*$C$32+$AY$551*$C$31)*$H$27*$AU$551)</f>
        <v>0</v>
      </c>
      <c r="AY615">
        <f>IF(AV615=0,0,$AY$551*$H$26*$AU$551)</f>
        <v>0</v>
      </c>
      <c r="AZ615">
        <f>(0.6*AW615+0.7*AX615)*$AU$551/2</f>
        <v>0</v>
      </c>
      <c r="BA615">
        <f>(0.6*AW615+0.6*AY615)*$AU$551/2</f>
        <v>0</v>
      </c>
      <c r="BC615">
        <f>IF(AV615=0,0,$BG$551*$AP$533)</f>
        <v>0</v>
      </c>
      <c r="BD615">
        <f>IFERROR(BC615/$AU$551,0)</f>
        <v>0</v>
      </c>
      <c r="BE615">
        <f>BC615*($F$21+IF($F$21=0,0,($C$14+$C$15+IF($C$13="single",1.5,3)+3)/12))</f>
        <v>0</v>
      </c>
      <c r="BF615">
        <f>BE615-AZ615</f>
        <v>0</v>
      </c>
      <c r="BG615" cm="1">
        <f t="array" ref="BG615">IFERROR(IF(BF615&lt;0,0,BF615/($AU$551-INDEX(hd_off,MATCH(BT615,hd_mark,0),0)/12)),0)</f>
        <v>0</v>
      </c>
      <c r="BH615">
        <f>IF(AV615=0,0,$BG$551*$AM$533)</f>
        <v>0</v>
      </c>
      <c r="BI615">
        <f>IFERROR(BH615/$AU$551,0)</f>
        <v>0</v>
      </c>
      <c r="BJ615">
        <f>BH615*($F$21+IF($F$21=0,0,($C$14+$C$15+IF($C$13="single",1.5,3)+3)/12))</f>
        <v>0</v>
      </c>
      <c r="BK615">
        <f>BJ615-BA615</f>
        <v>0</v>
      </c>
      <c r="BL615" cm="1">
        <f t="array" ref="BL615">IFERROR(IF(BK615&lt;0,0,BK615/($AU$551-INDEX(hd_off,MATCH(BT615,hd_mark,0),0)/12)),0)</f>
        <v>0</v>
      </c>
      <c r="BM615">
        <f>MAX($F$21,$BB$551)/$Q$564</f>
        <v>0.30172413793103448</v>
      </c>
      <c r="BN615">
        <f>IF(BM615=0,0,IF(BM615&gt;2,1.25-0.125*BM615,1))</f>
        <v>1</v>
      </c>
      <c r="BO615" cm="1">
        <f t="array" ref="BO615">IFERROR(INDEX(sheath_ecap_asd,MATCH(BS615,sheath_mark,0),0)*BN615,0)</f>
        <v>0</v>
      </c>
      <c r="BP615" cm="1">
        <f t="array" ref="BP615">IFERROR(INDEX(sheath_wcap_asd,MATCH(BS615,sheath_mark,0),0)*BN615,0)</f>
        <v>0</v>
      </c>
      <c r="BQ615" cm="1">
        <f t="array" ref="BQ615">IFERROR(INDEX(hd_cap,MATCH(BT615,hd_mark,0),0),0)</f>
        <v>0</v>
      </c>
      <c r="BS615" s="19"/>
      <c r="BT615" s="19"/>
      <c r="BU615" s="100"/>
    </row>
    <row r="616" x14ac:dyDescent="0.25">
      <c r="P616" s="93"/>
      <c r="Q616" s="109"/>
      <c r="R616" t="str">
        <f>$Q$534</f>
        <v>L3</v>
      </c>
      <c r="S616">
        <f>$E$22</f>
        <v>21.375</v>
      </c>
      <c r="T616" cm="1">
        <f t="array" ref="T616">IFERROR(IF(S616=0,0,(INDEX($C$33:$C$38,MATCH($W$551,$B$33:$B$38,0),0)*(S619+$X$551)+$T$551*COUNTIF(S616:S618,"&gt;0")*$C$32+$V$551*$C$31)*$R$551),0)</f>
        <v>0</v>
      </c>
      <c r="U616">
        <f>IF(S616=0,0,-(COUNTIF(S616:S618,"&gt;0")*$T$551*$C$32+$V$551*$C$31)*$H$27*$R$551)</f>
        <v>0</v>
      </c>
      <c r="V616">
        <f>IF(S616=0,0,$V$551*$H$26*$R$551)</f>
        <v>0</v>
      </c>
      <c r="W616">
        <f>(0.6*T616+0.7*U616)*$R$551/2</f>
        <v>0</v>
      </c>
      <c r="X616">
        <f>T616*$R$551/2</f>
        <v>0</v>
      </c>
      <c r="Z616">
        <f>IF(S616=0,0,$AD$551*$AP$534)</f>
        <v>0</v>
      </c>
      <c r="AA616">
        <f>IFERROR(Z616/$R$551,0)</f>
        <v>0</v>
      </c>
      <c r="AB616">
        <f>Z616*($F$22+IF($F$22=0,0,($C$14+$C$15+IF($C$13="single",1.5,3)+3)/12))</f>
        <v>0</v>
      </c>
      <c r="AC616">
        <f>AB616-W616</f>
        <v>0</v>
      </c>
      <c r="AD616" cm="1">
        <f t="array" ref="AD616">IFERROR(IF(AC616&lt;0,0,AC616/($R$551-INDEX(hd_off,MATCH(AQ616,hd_mark,0),0)/12)),0)</f>
        <v>0</v>
      </c>
      <c r="AE616">
        <f>IF(S616=0,0,$AD$551*$AM$534)</f>
        <v>0</v>
      </c>
      <c r="AF616">
        <f>IFERROR(AE616/$R$551,0)</f>
        <v>0</v>
      </c>
      <c r="AG616">
        <f>AE616*($F$22+IF($F$22=0,0,($C$14+$C$15+IF($C$13="single",1.5,3)+3)/12))</f>
        <v>0</v>
      </c>
      <c r="AH616">
        <f>AG616-X616</f>
        <v>0</v>
      </c>
      <c r="AI616" cm="1">
        <f t="array" ref="AI616">IFERROR(IF(AH616&lt;0,0,AH616/($R$551-INDEX(hd_off,MATCH(AQ616,hd_mark,0),0)/12)),0)</f>
        <v>0</v>
      </c>
      <c r="AJ616">
        <f>MAX($F$22,$Z$551)/$Q$564</f>
        <v>0.30172413793103448</v>
      </c>
      <c r="AK616">
        <f t="shared" ref="AK616:AK619" si="380">IF(AJ616=0,0,IF(AJ616&gt;2,1.25-0.125*AJ616,1))</f>
        <v>1</v>
      </c>
      <c r="AL616" cm="1">
        <f t="array" ref="AL616">IFERROR(INDEX(sheath_ecap_asd,MATCH(AP616,sheath_mark,0),0)*AK616,0)</f>
        <v>0</v>
      </c>
      <c r="AM616" cm="1">
        <f t="array" ref="AM616">IFERROR(INDEX(sheath_wcap_asd,MATCH(AP616,sheath_mark,0),0)*AK616,0)</f>
        <v>0</v>
      </c>
      <c r="AN616" cm="1">
        <f t="array" ref="AN616">IFERROR(INDEX(hd_cap,MATCH(AQ616,hd_mark,0),0),0)</f>
        <v>0</v>
      </c>
      <c r="AP616" s="19"/>
      <c r="AQ616" s="19"/>
      <c r="AR616" s="100"/>
      <c r="AS616" s="93"/>
      <c r="AT616" s="109"/>
      <c r="AU616" t="str">
        <f>$Q$534</f>
        <v>L3</v>
      </c>
      <c r="AV616">
        <f>$E$22</f>
        <v>21.375</v>
      </c>
      <c r="AW616" cm="1">
        <f t="array" ref="AW616">IFERROR(IF(AV616=0,0,(INDEX($C$33:$C$38,MATCH($AZ$551,$B$33:$B$38,0),0)*(AV619+$BA$551)+$AW$551*COUNTIF(AV616:AV618,"&gt;0")*$C$32+$AY$551*$C$31)*$AU$551),0)</f>
        <v>0</v>
      </c>
      <c r="AX616">
        <f>IF(AV616=0,0,-(COUNTIF(AV616:AV618,"&gt;0")*$AW$551*$C$32+$AY$551*$C$31)*$H$27*$AU$551)</f>
        <v>0</v>
      </c>
      <c r="AY616">
        <f>IF(AV616=0,0,$AY$551*$H$26*$AU$551)</f>
        <v>0</v>
      </c>
      <c r="AZ616">
        <f>(0.6*AW616+0.7*AX616)*$AU$551/2</f>
        <v>0</v>
      </c>
      <c r="BA616">
        <f>AW616*$AU$551/2</f>
        <v>0</v>
      </c>
      <c r="BC616">
        <f>IF(AV616=0,0,$BG$551*$AP$534)</f>
        <v>0</v>
      </c>
      <c r="BD616">
        <f>IFERROR(BC616/$AU$551,0)</f>
        <v>0</v>
      </c>
      <c r="BE616">
        <f>BC616*($F$22+IF($F$22=0,0,($C$14+$C$15+IF($C$13="single",1.5,3)+3)/12))</f>
        <v>0</v>
      </c>
      <c r="BF616">
        <f>BE616-AZ616</f>
        <v>0</v>
      </c>
      <c r="BG616" cm="1">
        <f t="array" ref="BG616">IFERROR(IF(BF616&lt;0,0,BF616/($AU$551-INDEX(hd_off,MATCH(BT616,hd_mark,0),0)/12)),0)</f>
        <v>0</v>
      </c>
      <c r="BH616">
        <f>IF(AV616=0,0,$BG$551*$AM$534)</f>
        <v>0</v>
      </c>
      <c r="BI616">
        <f>IFERROR(BH616/$AU$551,0)</f>
        <v>0</v>
      </c>
      <c r="BJ616">
        <f>BH616*($F$22+IF($F$22=0,0,($C$14+$C$15+IF($C$13="single",1.5,3)+3)/12))</f>
        <v>0</v>
      </c>
      <c r="BK616">
        <f>BJ616-BA616</f>
        <v>0</v>
      </c>
      <c r="BL616" cm="1">
        <f t="array" ref="BL616">IFERROR(IF(BK616&lt;0,0,BK616/($AU$551-INDEX(hd_off,MATCH(BT616,hd_mark,0),0)/12)),0)</f>
        <v>0</v>
      </c>
      <c r="BM616">
        <f>MAX($F$22,$BC$551)/$Q$564</f>
        <v>0.30172413793103448</v>
      </c>
      <c r="BN616">
        <f t="shared" ref="BN616:BN619" si="381">IF(BM616=0,0,IF(BM616&gt;2,1.25-0.125*BM616,1))</f>
        <v>1</v>
      </c>
      <c r="BO616" cm="1">
        <f t="array" ref="BO616">IFERROR(INDEX(sheath_ecap_asd,MATCH(BS616,sheath_mark,0),0)*BN616,0)</f>
        <v>0</v>
      </c>
      <c r="BP616" cm="1">
        <f t="array" ref="BP616">IFERROR(INDEX(sheath_wcap_asd,MATCH(BS616,sheath_mark,0),0)*BN616,0)</f>
        <v>0</v>
      </c>
      <c r="BQ616" cm="1">
        <f t="array" ref="BQ616">IFERROR(INDEX(hd_cap,MATCH(BT616,hd_mark,0),0),0)</f>
        <v>0</v>
      </c>
      <c r="BS616" s="19"/>
      <c r="BT616" s="19"/>
      <c r="BU616" s="100"/>
    </row>
    <row r="617" x14ac:dyDescent="0.25">
      <c r="P617" s="93"/>
      <c r="Q617" s="109" t="s">
        <v>491</v>
      </c>
      <c r="R617" t="str">
        <f>$Q$535</f>
        <v>L4</v>
      </c>
      <c r="S617">
        <f>$E$23</f>
        <v>0</v>
      </c>
      <c r="T617" cm="1">
        <f t="array" ref="T617">IFERROR(IF(S617=0,0,(INDEX($C$33:$C$38,MATCH($W$551,$B$33:$B$38,0),0)*(S619+$X$551)+$T$551*COUNTIF(S617:S618,"&gt;0")*$C$32+$V$551*$C$31)*$R$551),0)</f>
        <v>0</v>
      </c>
      <c r="U617">
        <f>IF(S617=0,0,-(COUNTIF(S617:S618,"&gt;0")*$T$551*$C$32+$V$551*$C$31)*$H$27*$R$551)</f>
        <v>0</v>
      </c>
      <c r="V617">
        <f>IF(S617=0,0,$V$551*$H$26*$R$551)</f>
        <v>0</v>
      </c>
      <c r="W617">
        <f>(0.6*T617+0.7*U617)*$R$551/2</f>
        <v>0</v>
      </c>
      <c r="X617">
        <f>T617*$R$551/2</f>
        <v>0</v>
      </c>
      <c r="Z617">
        <f>IF(S617=0,0,$AD$551*$AP$535)</f>
        <v>0</v>
      </c>
      <c r="AA617">
        <f>IFERROR(Z617/$R$551,0)</f>
        <v>0</v>
      </c>
      <c r="AB617">
        <f>Z617*($F$23+IF($F$23=0,0,($C$14+$C$15+IF($C$13="single",1.5,3)+3)/12))</f>
        <v>0</v>
      </c>
      <c r="AC617">
        <f>AB617-W617</f>
        <v>0</v>
      </c>
      <c r="AD617" cm="1">
        <f t="array" ref="AD617">IFERROR(IF(AC617&lt;0,0,AC617/($R$551-INDEX(hd_off,MATCH(AQ617,hd_mark,0),0)/12)),0)</f>
        <v>0</v>
      </c>
      <c r="AE617">
        <f>IF(S617=0,0,$AD$551*$AM$535)</f>
        <v>0</v>
      </c>
      <c r="AF617">
        <f>IFERROR(AE617/$R$551,0)</f>
        <v>0</v>
      </c>
      <c r="AG617">
        <f>AE617*($F$23+IF($F$23=0,0,($C$14+$C$15+IF($C$13="single",1.5,3)+3)/12))</f>
        <v>0</v>
      </c>
      <c r="AH617">
        <f>AG617-X617</f>
        <v>0</v>
      </c>
      <c r="AI617" cm="1">
        <f t="array" ref="AI617">IFERROR(IF(AH617&lt;0,0,AH617/($R$551-INDEX(hd_off,MATCH(AQ617,hd_mark,0),0)/12)),0)</f>
        <v>0</v>
      </c>
      <c r="AJ617">
        <f>MAX($F$23,$AA$551)/$Q$564</f>
        <v>0</v>
      </c>
      <c r="AK617">
        <f t="shared" si="380"/>
        <v>0</v>
      </c>
      <c r="AL617" cm="1">
        <f t="array" ref="AL617">IFERROR(INDEX(sheath_ecap_asd,MATCH(AP617,sheath_mark,0),0)*AK617,0)</f>
        <v>0</v>
      </c>
      <c r="AM617" cm="1">
        <f t="array" ref="AM617">IFERROR(INDEX(sheath_wcap_asd,MATCH(AP617,sheath_mark,0),0)*AK617,0)</f>
        <v>0</v>
      </c>
      <c r="AN617" cm="1">
        <f t="array" ref="AN617">IFERROR(INDEX(hd_cap,MATCH(AQ617,hd_mark,0),0),0)</f>
        <v>0</v>
      </c>
      <c r="AP617" s="19"/>
      <c r="AQ617" s="19"/>
      <c r="AR617" s="100"/>
      <c r="AS617" s="93"/>
      <c r="AT617" s="109" t="s">
        <v>491</v>
      </c>
      <c r="AU617" t="str">
        <f>$Q$535</f>
        <v>L4</v>
      </c>
      <c r="AV617">
        <f>$E$23</f>
        <v>0</v>
      </c>
      <c r="AW617" cm="1">
        <f t="array" ref="AW617">IFERROR(IF(AV617=0,0,(INDEX($C$33:$C$38,MATCH($AZ$551,$B$33:$B$38,0),0)*(AV619+$BA$551)+$AW$551*COUNTIF(AV617:AV618,"&gt;0")*$C$32+$AY$551*$C$31)*$AU$551),0)</f>
        <v>0</v>
      </c>
      <c r="AX617">
        <f>IF(AV617=0,0,-(COUNTIF(AV617:AV618,"&gt;0")*$AW$551*$C$32+$AY$551*$C$31)*$H$27*$AU$551)</f>
        <v>0</v>
      </c>
      <c r="AY617">
        <f>IF(AV617=0,0,$AY$551*$H$26*$AU$551)</f>
        <v>0</v>
      </c>
      <c r="AZ617">
        <f>(0.6*AW617+0.7*AX617)*$AU$551/2</f>
        <v>0</v>
      </c>
      <c r="BA617">
        <f>AW617*$AU$551/2</f>
        <v>0</v>
      </c>
      <c r="BC617">
        <f>IF(AV617=0,0,$BG$551*$AP$535)</f>
        <v>0</v>
      </c>
      <c r="BD617">
        <f>IFERROR(BC617/$AU$551,0)</f>
        <v>0</v>
      </c>
      <c r="BE617">
        <f>BC617*($F$23+IF($F$23=0,0,($C$14+$C$15+IF($C$13="single",1.5,3)+3)/12))</f>
        <v>0</v>
      </c>
      <c r="BF617">
        <f>BE617-AZ617</f>
        <v>0</v>
      </c>
      <c r="BG617" cm="1">
        <f t="array" ref="BG617">IFERROR(IF(BF617&lt;0,0,BF617/($AU$551-INDEX(hd_off,MATCH(BT617,hd_mark,0),0)/12)),0)</f>
        <v>0</v>
      </c>
      <c r="BH617">
        <f>IF(AV617=0,0,$BG$551*$AM$535)</f>
        <v>0</v>
      </c>
      <c r="BI617">
        <f>IFERROR(BH617/$AU$551,0)</f>
        <v>0</v>
      </c>
      <c r="BJ617">
        <f>BH617*($F$23+IF($F$23=0,0,($C$14+$C$15+IF($C$13="single",1.5,3)+3)/12))</f>
        <v>0</v>
      </c>
      <c r="BK617">
        <f>BJ617-BA617</f>
        <v>0</v>
      </c>
      <c r="BL617" cm="1">
        <f t="array" ref="BL617">IFERROR(IF(BK617&lt;0,0,BK617/($AU$551-INDEX(hd_off,MATCH(BT617,hd_mark,0),0)/12)),0)</f>
        <v>0</v>
      </c>
      <c r="BM617">
        <f>MAX($F$23,$BD$551)/$Q$564</f>
        <v>0</v>
      </c>
      <c r="BN617">
        <f t="shared" si="381"/>
        <v>0</v>
      </c>
      <c r="BO617" cm="1">
        <f t="array" ref="BO617">IFERROR(INDEX(sheath_ecap_asd,MATCH(BS617,sheath_mark,0),0)*BN617,0)</f>
        <v>0</v>
      </c>
      <c r="BP617" cm="1">
        <f t="array" ref="BP617">IFERROR(INDEX(sheath_wcap_asd,MATCH(BS617,sheath_mark,0),0)*BN617,0)</f>
        <v>0</v>
      </c>
      <c r="BQ617" cm="1">
        <f t="array" ref="BQ617">IFERROR(INDEX(hd_cap,MATCH(BT617,hd_mark,0),0),0)</f>
        <v>0</v>
      </c>
      <c r="BS617" s="19"/>
      <c r="BT617" s="19"/>
      <c r="BU617" s="100"/>
    </row>
    <row r="618" x14ac:dyDescent="0.25">
      <c r="P618" s="93"/>
      <c r="Q618" s="111">
        <f>$R$551</f>
        <v>0</v>
      </c>
      <c r="R618" t="str">
        <f>$Q$536</f>
        <v>L5</v>
      </c>
      <c r="S618">
        <f>$E$24</f>
        <v>0</v>
      </c>
      <c r="T618" cm="1">
        <f t="array" ref="T618">IFERROR(IF(S618=0,0,(INDEX($C$33:$C$38,MATCH($W$551,$B$33:$B$38,0),0)*(S619+$X$551)+$T$551*COUNTIF(S618:S618,"&gt;0")*$C$32+$V$551*$C$31)*$R$551),0)</f>
        <v>0</v>
      </c>
      <c r="U618">
        <f>IF(S618=0,0,-(COUNTIF(S618:S618,"&gt;0")*$T$551*$C$32+$V$551*$C$31)*$H$27*$R$551)</f>
        <v>0</v>
      </c>
      <c r="V618">
        <f>IF(S618=0,0,$V$551*$H$26*$R$551)</f>
        <v>0</v>
      </c>
      <c r="W618">
        <f>(0.6*T618+0.7*U618)*$R$551/2</f>
        <v>0</v>
      </c>
      <c r="X618">
        <f>T618*$R$551/2</f>
        <v>0</v>
      </c>
      <c r="Z618">
        <f>IF(S618=0,0,$AD$551*$AP$536)</f>
        <v>0</v>
      </c>
      <c r="AA618">
        <f>IFERROR(Z618/$R$551,0)</f>
        <v>0</v>
      </c>
      <c r="AB618">
        <f>Z618*($F$24+IF($F$24=0,0,($C$14+$C$15+IF($C$13="single",1.5,3)+3)/12))</f>
        <v>0</v>
      </c>
      <c r="AC618">
        <f>AB618-W618</f>
        <v>0</v>
      </c>
      <c r="AD618" cm="1">
        <f t="array" ref="AD618">IFERROR(IF(AC618&lt;0,0,AC618/($R$551-INDEX(hd_off,MATCH(AQ618,hd_mark,0),0)/12)),0)</f>
        <v>0</v>
      </c>
      <c r="AE618">
        <f>IF(S618=0,0,$AD$551*$AM$536)</f>
        <v>0</v>
      </c>
      <c r="AF618">
        <f>IFERROR(AE618/$R$551,0)</f>
        <v>0</v>
      </c>
      <c r="AG618">
        <f>AE618*($F$24+IF($F$24=0,0,($C$14+$C$15+IF($C$13="single",1.5,3)+3)/12))</f>
        <v>0</v>
      </c>
      <c r="AH618">
        <f>AG618-X618</f>
        <v>0</v>
      </c>
      <c r="AI618" cm="1">
        <f t="array" ref="AI618">IFERROR(IF(AH618&lt;0,0,AH618/($R$551-INDEX(hd_off,MATCH(AQ618,hd_mark,0),0)/12)),0)</f>
        <v>0</v>
      </c>
      <c r="AJ618">
        <f>MAX($F$24,$AB$551)/$Q$564</f>
        <v>0</v>
      </c>
      <c r="AK618">
        <f t="shared" si="380"/>
        <v>0</v>
      </c>
      <c r="AL618" cm="1">
        <f t="array" ref="AL618">IFERROR(INDEX(sheath_ecap_asd,MATCH(AP618,sheath_mark,0),0)*AK618,0)</f>
        <v>0</v>
      </c>
      <c r="AM618" cm="1">
        <f t="array" ref="AM618">IFERROR(INDEX(sheath_wcap_asd,MATCH(AP618,sheath_mark,0),0)*AK618,0)</f>
        <v>0</v>
      </c>
      <c r="AN618" cm="1">
        <f t="array" ref="AN618">IFERROR(INDEX(hd_cap,MATCH(AQ618,hd_mark,0),0),0)</f>
        <v>0</v>
      </c>
      <c r="AP618" s="19"/>
      <c r="AQ618" s="19"/>
      <c r="AR618" s="100"/>
      <c r="AS618" s="93"/>
      <c r="AT618" s="111">
        <f>$R$551</f>
        <v>0</v>
      </c>
      <c r="AU618" t="str">
        <f>$Q$536</f>
        <v>L5</v>
      </c>
      <c r="AV618">
        <f>$E$24</f>
        <v>0</v>
      </c>
      <c r="AW618" cm="1">
        <f t="array" ref="AW618">IFERROR(IF(AV618=0,0,(INDEX($C$33:$C$38,MATCH($AZ$551,$B$33:$B$38,0),0)*(AV619+$BA$551)+$AW$551*COUNTIF(AV618:AV618,"&gt;0")*$C$32+$AY$551*$C$31)*$AU$551),0)</f>
        <v>0</v>
      </c>
      <c r="AX618">
        <f>IF(AV618=0,0,-(COUNTIF(AV618:AV618,"&gt;0")*$AW$551*$C$32+$AY$551*$C$31)*$H$27*$AU$551)</f>
        <v>0</v>
      </c>
      <c r="AY618">
        <f>IF(AV618=0,0,$AY$551*$H$26*$AU$551)</f>
        <v>0</v>
      </c>
      <c r="AZ618">
        <f>(0.6*AW618+0.7*AX618)*$AU$551/2</f>
        <v>0</v>
      </c>
      <c r="BA618">
        <f>AW618*$AU$551/2</f>
        <v>0</v>
      </c>
      <c r="BC618">
        <f>IF(AV618=0,0,$BG$551*$AP$536)</f>
        <v>0</v>
      </c>
      <c r="BD618">
        <f>IFERROR(BC618/$AU$551,0)</f>
        <v>0</v>
      </c>
      <c r="BE618">
        <f>BC618*($F$24+IF($F$24=0,0,($C$14+$C$15+IF($C$13="single",1.5,3)+3)/12))</f>
        <v>0</v>
      </c>
      <c r="BF618">
        <f>BE618-AZ618</f>
        <v>0</v>
      </c>
      <c r="BG618" cm="1">
        <f t="array" ref="BG618">IFERROR(IF(BF618&lt;0,0,BF618/($AU$551-INDEX(hd_off,MATCH(BT618,hd_mark,0),0)/12)),0)</f>
        <v>0</v>
      </c>
      <c r="BH618">
        <f>IF(AV618=0,0,$BG$551*$AM$536)</f>
        <v>0</v>
      </c>
      <c r="BI618">
        <f>IFERROR(BH618/$AU$551,0)</f>
        <v>0</v>
      </c>
      <c r="BJ618">
        <f>BH618*($F$24+IF($F$24=0,0,($C$14+$C$15+IF($C$13="single",1.5,3)+3)/12))</f>
        <v>0</v>
      </c>
      <c r="BK618">
        <f>BJ618-BA618</f>
        <v>0</v>
      </c>
      <c r="BL618" cm="1">
        <f t="array" ref="BL618">IFERROR(IF(BK618&lt;0,0,BK618/($AU$551-INDEX(hd_off,MATCH(BT618,hd_mark,0),0)/12)),0)</f>
        <v>0</v>
      </c>
      <c r="BM618">
        <f>MAX($F$24,$BE$551)/$Q$564</f>
        <v>0</v>
      </c>
      <c r="BN618">
        <f t="shared" si="381"/>
        <v>0</v>
      </c>
      <c r="BO618" cm="1">
        <f t="array" ref="BO618">IFERROR(INDEX(sheath_ecap_asd,MATCH(BS618,sheath_mark,0),0)*BN618,0)</f>
        <v>0</v>
      </c>
      <c r="BP618" cm="1">
        <f t="array" ref="BP618">IFERROR(INDEX(sheath_wcap_asd,MATCH(BS618,sheath_mark,0),0)*BN618,0)</f>
        <v>0</v>
      </c>
      <c r="BQ618" cm="1">
        <f t="array" ref="BQ618">IFERROR(INDEX(hd_cap,MATCH(BT618,hd_mark,0),0),0)</f>
        <v>0</v>
      </c>
      <c r="BS618" s="19"/>
      <c r="BT618" s="19"/>
      <c r="BU618" s="100"/>
    </row>
    <row r="619" x14ac:dyDescent="0.25">
      <c r="P619" s="93"/>
      <c r="Q619" s="109"/>
      <c r="R619" t="str">
        <f>$Q$537</f>
        <v>Roof</v>
      </c>
      <c r="S619">
        <f>$E$25</f>
        <v>33.171875</v>
      </c>
      <c r="T619" cm="1">
        <f t="array" ref="T619">IFERROR(IF(S619=0,0,(INDEX($C$33:$C$38,MATCH($W$551,$B$33:$B$38,0),0)*(S619+$X$551)+$V$551*$C$31)*$R$551),0)</f>
        <v>0</v>
      </c>
      <c r="U619">
        <f>IF(S619=0,0,-$V$551*$C$31*$H$27*$R$551)</f>
        <v>0</v>
      </c>
      <c r="V619">
        <f>IF(S619=0,0,$V$551*$H$26*$R$551)</f>
        <v>0</v>
      </c>
      <c r="W619">
        <f>(0.6*T619+0.7*U619)*$R$551/2</f>
        <v>0</v>
      </c>
      <c r="X619">
        <f>T619*$R$551/2</f>
        <v>0</v>
      </c>
      <c r="Z619">
        <f>IF(S619=0,0,$AD$551*$AP$537)</f>
        <v>0</v>
      </c>
      <c r="AA619">
        <f>IFERROR(Z619/$R$551,0)</f>
        <v>0</v>
      </c>
      <c r="AB619">
        <f>Z619*($F$25+($C$16+$C$17+IF($C$13="single",1.5,3)+3)/12)</f>
        <v>0</v>
      </c>
      <c r="AC619">
        <f>AB619-W619</f>
        <v>0</v>
      </c>
      <c r="AD619" cm="1">
        <f t="array" ref="AD619">IFERROR(IF(AC619&lt;0,0,AC619/($R$551-INDEX(hd_off,MATCH(AQ619,hd_mark,0),0)/12)),0)</f>
        <v>0</v>
      </c>
      <c r="AE619">
        <f>IF(S619=0,0,$AD$551*$AM$537)</f>
        <v>0</v>
      </c>
      <c r="AF619">
        <f>IFERROR(AE619/$R$551,0)</f>
        <v>0</v>
      </c>
      <c r="AG619">
        <f>AE619*($F$25+($C$16+$C$17+IF($C$13="single",1.5,3)+3)/12)</f>
        <v>0</v>
      </c>
      <c r="AH619">
        <f>AG619-X619</f>
        <v>0</v>
      </c>
      <c r="AI619" cm="1">
        <f t="array" ref="AI619">IFERROR(IF(AH619&lt;0,0,AH619/($R$551-INDEX(hd_off,MATCH(AQ619,hd_mark,0),0)/12)),0)</f>
        <v>0</v>
      </c>
      <c r="AJ619">
        <f>MAX($F$25,$AC$551)/$Q$564</f>
        <v>0.29920977011494249</v>
      </c>
      <c r="AK619">
        <f t="shared" si="380"/>
        <v>1</v>
      </c>
      <c r="AL619" cm="1">
        <f t="array" ref="AL619">IFERROR(INDEX(sheath_ecap_asd,MATCH(AP619,sheath_mark,0),0)*AK619,0)</f>
        <v>0</v>
      </c>
      <c r="AM619" cm="1">
        <f t="array" ref="AM619">IFERROR(INDEX(sheath_wcap_asd,MATCH(AP619,sheath_mark,0),0)*AK619,0)</f>
        <v>0</v>
      </c>
      <c r="AN619" cm="1">
        <f t="array" ref="AN619">IFERROR(INDEX(hd_cap,MATCH(AQ619,hd_mark,0),0),0)</f>
        <v>0</v>
      </c>
      <c r="AP619" s="19"/>
      <c r="AQ619" s="19"/>
      <c r="AR619" s="100"/>
      <c r="AS619" s="93"/>
      <c r="AT619" s="109"/>
      <c r="AU619" t="str">
        <f>$Q$537</f>
        <v>Roof</v>
      </c>
      <c r="AV619">
        <f>$E$25</f>
        <v>33.171875</v>
      </c>
      <c r="AW619" cm="1">
        <f t="array" ref="AW619">IFERROR(IF(AV619=0,0,(INDEX($C$33:$C$38,MATCH($AZ$551,$B$33:$B$38,0),0)*(AV619+$BA$551)+$AY$551*$C$31)*$AU$551),0)</f>
        <v>0</v>
      </c>
      <c r="AX619">
        <f>IF(AV619=0,0,-$AY$551*$C$31*$H$27*$AU$551)</f>
        <v>0</v>
      </c>
      <c r="AY619">
        <f>IF(AV619=0,0,$AY$551*$H$26*$AU$551)</f>
        <v>0</v>
      </c>
      <c r="AZ619">
        <f>(0.6*AW619+0.7*AX619)*$AU$551/2</f>
        <v>0</v>
      </c>
      <c r="BA619">
        <f>AW619*$AU$551/2</f>
        <v>0</v>
      </c>
      <c r="BC619">
        <f>IF(AV619=0,0,$BG$551*$AP$537)</f>
        <v>0</v>
      </c>
      <c r="BD619">
        <f>IFERROR(BC619/$AU$551,0)</f>
        <v>0</v>
      </c>
      <c r="BE619">
        <f>BC619*($F$25+($C$16+$C$17+IF($C$13="single",1.5,3)+3)/12)</f>
        <v>0</v>
      </c>
      <c r="BF619">
        <f>BE619-AZ619</f>
        <v>0</v>
      </c>
      <c r="BG619" cm="1">
        <f t="array" ref="BG619">IFERROR(IF(BF619&lt;0,0,BF619/($AU$551-INDEX(hd_off,MATCH(BT619,hd_mark,0),0)/12)),0)</f>
        <v>0</v>
      </c>
      <c r="BH619">
        <f>IF(AV619=0,0,$BG$551*$AM$537)</f>
        <v>0</v>
      </c>
      <c r="BI619">
        <f>IFERROR(BH619/$AU$551,0)</f>
        <v>0</v>
      </c>
      <c r="BJ619">
        <f>BH619*($F$25+($C$16+$C$17+IF($C$13="single",1.5,3)+3)/12)</f>
        <v>0</v>
      </c>
      <c r="BK619">
        <f>BJ619-BA619</f>
        <v>0</v>
      </c>
      <c r="BL619" cm="1">
        <f t="array" ref="BL619">IFERROR(IF(BK619&lt;0,0,BK619/($AU$551-INDEX(hd_off,MATCH(BT619,hd_mark,0),0)/12)),0)</f>
        <v>0</v>
      </c>
      <c r="BM619">
        <f>MAX($F$25,$BF$551)/$Q$564</f>
        <v>0.29920977011494249</v>
      </c>
      <c r="BN619">
        <f t="shared" si="381"/>
        <v>1</v>
      </c>
      <c r="BO619" cm="1">
        <f t="array" ref="BO619">IFERROR(INDEX(sheath_ecap_asd,MATCH(BS619,sheath_mark,0),0)*BN619,0)</f>
        <v>0</v>
      </c>
      <c r="BP619" cm="1">
        <f t="array" ref="BP619">IFERROR(INDEX(sheath_wcap_asd,MATCH(BS619,sheath_mark,0),0)*BN619,0)</f>
        <v>0</v>
      </c>
      <c r="BQ619" cm="1">
        <f t="array" ref="BQ619">IFERROR(INDEX(hd_cap,MATCH(BT619,hd_mark,0),0),0)</f>
        <v>0</v>
      </c>
      <c r="BS619" s="19"/>
      <c r="BT619" s="19"/>
      <c r="BU619" s="100"/>
    </row>
    <row r="620" x14ac:dyDescent="0.25">
      <c r="P620" s="93"/>
      <c r="AR620" s="100"/>
      <c r="AS620" s="93"/>
      <c r="BU620" s="100"/>
    </row>
    <row r="621" x14ac:dyDescent="0.25">
      <c r="P621" s="93"/>
      <c r="Q621" s="110" t="str">
        <f>$Q$552</f>
        <v>A.11</v>
      </c>
      <c r="R621" t="str">
        <f>$Q$533</f>
        <v>L2</v>
      </c>
      <c r="S621">
        <f>$E$21</f>
        <v>10.6875</v>
      </c>
      <c r="T621" cm="1">
        <f t="array" ref="T621">IFERROR(IF(S621=0,0,(INDEX($C$33:$C$38,MATCH($W$552,$B$33:$B$38,0),0)*(S625+$X$552)+$T$552*COUNTIF(S621:S624,"&gt;0")*$C$32+$V$552*$C$31)*$R$552),0)</f>
        <v>0</v>
      </c>
      <c r="U621">
        <f>IF(S621=0,0,-(COUNTIF(S621:S624,"&gt;0")*$T$552*$C$32+$V$552*$C$31)*$H$27*$R$552)</f>
        <v>0</v>
      </c>
      <c r="V621">
        <f>IF(S621=0,0,$V$552*$H$26*$R$552)</f>
        <v>0</v>
      </c>
      <c r="W621">
        <f>(0.6*T621+0.7*U621)*$R$552/2</f>
        <v>0</v>
      </c>
      <c r="X621">
        <f>(0.6*T621+0.6*V621)*$R$552/2</f>
        <v>0</v>
      </c>
      <c r="Z621">
        <f>IF(S621=0,0,$AD$552*$AP$533)</f>
        <v>0</v>
      </c>
      <c r="AA621">
        <f>IFERROR(Z621/$R$552,0)</f>
        <v>0</v>
      </c>
      <c r="AB621">
        <f>Z621*($F$21+IF($F$21=0,0,($C$14+$C$15+IF($C$13="single",1.5,3)+3)/12))</f>
        <v>0</v>
      </c>
      <c r="AC621">
        <f>AB621-W621</f>
        <v>0</v>
      </c>
      <c r="AD621" cm="1">
        <f t="array" ref="AD621">IFERROR(IF(AC621&lt;0,0,AC621/($R$552-INDEX(hd_off,MATCH(AQ621,hd_mark,0),0)/12)),0)</f>
        <v>0</v>
      </c>
      <c r="AE621">
        <f>IF(S621=0,0,$AD$552*$AM$533)</f>
        <v>0</v>
      </c>
      <c r="AF621">
        <f>IFERROR(AE621/$R$552,0)</f>
        <v>0</v>
      </c>
      <c r="AG621">
        <f>AE621*($F$21+IF($F$21=0,0,($C$14+$C$15+IF($C$13="single",1.5,3)+3)/12))</f>
        <v>0</v>
      </c>
      <c r="AH621">
        <f>AG621-X621</f>
        <v>0</v>
      </c>
      <c r="AI621" cm="1">
        <f t="array" ref="AI621">IFERROR(IF(AH621&lt;0,0,AH621/($R$552-INDEX(hd_off,MATCH(AQ621,hd_mark,0),0)/12)),0)</f>
        <v>0</v>
      </c>
      <c r="AJ621">
        <f>MAX($F$21,$Y$552)/$Q$564</f>
        <v>0.30172413793103448</v>
      </c>
      <c r="AK621">
        <f>IF(AJ621=0,0,IF(AJ621&gt;2,1.25-0.125*AJ621,1))</f>
        <v>1</v>
      </c>
      <c r="AL621" cm="1">
        <f t="array" ref="AL621">IFERROR(INDEX(sheath_ecap_asd,MATCH(AP621,sheath_mark,0),0)*AK621,0)</f>
        <v>0</v>
      </c>
      <c r="AM621" cm="1">
        <f t="array" ref="AM621">IFERROR(INDEX(sheath_wcap_asd,MATCH(AP621,sheath_mark,0),0)*AK621,0)</f>
        <v>0</v>
      </c>
      <c r="AN621" cm="1">
        <f t="array" ref="AN621">IFERROR(INDEX(hd_cap,MATCH(AQ621,hd_mark,0),0),0)</f>
        <v>0</v>
      </c>
      <c r="AP621" s="19"/>
      <c r="AQ621" s="19"/>
      <c r="AR621" s="100"/>
      <c r="AS621" s="93"/>
      <c r="AT621" s="110" t="str">
        <f>$AT$552</f>
        <v>1.11</v>
      </c>
      <c r="AU621" t="str">
        <f>$Q$533</f>
        <v>L2</v>
      </c>
      <c r="AV621">
        <f>$E$21</f>
        <v>10.6875</v>
      </c>
      <c r="AW621" cm="1">
        <f t="array" ref="AW621">IFERROR(IF(AV621=0,0,(INDEX($C$33:$C$38,MATCH($AZ$552,$B$33:$B$38,0),0)*(AV625+$BA$552)+$AW$552*COUNTIF(AV621:AV624,"&gt;0")*$C$32+$AY$552*$C$31)*$AU$552),0)</f>
        <v>0</v>
      </c>
      <c r="AX621">
        <f>IF(AV621=0,0,-(COUNTIF(AV621:AV624,"&gt;0")*$AW$552*$C$32+$AY$552*$C$31)*$H$27*$AU$552)</f>
        <v>0</v>
      </c>
      <c r="AY621">
        <f>IF(AV621=0,0,$AY$552*$H$26*$AU$552)</f>
        <v>0</v>
      </c>
      <c r="AZ621">
        <f>(0.6*AW621+0.7*AX621)*$AU$552/2</f>
        <v>0</v>
      </c>
      <c r="BA621">
        <f>(0.6*AW621+0.6*AY621)*$AU$552/2</f>
        <v>0</v>
      </c>
      <c r="BC621">
        <f>IF(AV621=0,0,$BG$552*$AP$533)</f>
        <v>0</v>
      </c>
      <c r="BD621">
        <f>IFERROR(BC621/$AU$552,0)</f>
        <v>0</v>
      </c>
      <c r="BE621">
        <f>BC621*($F$21+IF($F$21=0,0,($C$14+$C$15+IF($C$13="single",1.5,3)+3)/12))</f>
        <v>0</v>
      </c>
      <c r="BF621">
        <f>BE621-AZ621</f>
        <v>0</v>
      </c>
      <c r="BG621" cm="1">
        <f t="array" ref="BG621">IFERROR(IF(BF621&lt;0,0,BF621/($AU$552-INDEX(hd_off,MATCH(BT621,hd_mark,0),0)/12)),0)</f>
        <v>0</v>
      </c>
      <c r="BH621">
        <f>IF(AV621=0,0,$BG$552*$AM$533)</f>
        <v>0</v>
      </c>
      <c r="BI621">
        <f>IFERROR(BH621/$AU$552,0)</f>
        <v>0</v>
      </c>
      <c r="BJ621">
        <f>BH621*($F$21+IF($F$21=0,0,($C$14+$C$15+IF($C$13="single",1.5,3)+3)/12))</f>
        <v>0</v>
      </c>
      <c r="BK621">
        <f>BJ621-BA621</f>
        <v>0</v>
      </c>
      <c r="BL621" cm="1">
        <f t="array" ref="BL621">IFERROR(IF(BK621&lt;0,0,BK621/($AU$552-INDEX(hd_off,MATCH(BT621,hd_mark,0),0)/12)),0)</f>
        <v>0</v>
      </c>
      <c r="BM621">
        <f>MAX($F$21,$BB$552)/$Q$564</f>
        <v>0.30172413793103448</v>
      </c>
      <c r="BN621">
        <f>IF(BM621=0,0,IF(BM621&gt;2,1.25-0.125*BM621,1))</f>
        <v>1</v>
      </c>
      <c r="BO621" cm="1">
        <f t="array" ref="BO621">IFERROR(INDEX(sheath_ecap_asd,MATCH(BS621,sheath_mark,0),0)*BN621,0)</f>
        <v>0</v>
      </c>
      <c r="BP621" cm="1">
        <f t="array" ref="BP621">IFERROR(INDEX(sheath_wcap_asd,MATCH(BS621,sheath_mark,0),0)*BN621,0)</f>
        <v>0</v>
      </c>
      <c r="BQ621" cm="1">
        <f t="array" ref="BQ621">IFERROR(INDEX(hd_cap,MATCH(BT621,hd_mark,0),0),0)</f>
        <v>0</v>
      </c>
      <c r="BS621" s="19"/>
      <c r="BT621" s="19"/>
      <c r="BU621" s="100"/>
    </row>
    <row r="622" x14ac:dyDescent="0.25">
      <c r="P622" s="93"/>
      <c r="Q622" s="109"/>
      <c r="R622" t="str">
        <f>$Q$534</f>
        <v>L3</v>
      </c>
      <c r="S622">
        <f>$E$22</f>
        <v>21.375</v>
      </c>
      <c r="T622" cm="1">
        <f t="array" ref="T622">IFERROR(IF(S622=0,0,(INDEX($C$33:$C$38,MATCH($W$552,$B$33:$B$38,0),0)*(S625+$X$552)+$T$552*COUNTIF(S622:S624,"&gt;0")*$C$32+$V$552*$C$31)*$R$552),0)</f>
        <v>0</v>
      </c>
      <c r="U622">
        <f>IF(S622=0,0,-(COUNTIF(S622:S624,"&gt;0")*$T$552*$C$32+$V$552*$C$31)*$H$27*$R$552)</f>
        <v>0</v>
      </c>
      <c r="V622">
        <f>IF(S622=0,0,$V$552*$H$26*$R$552)</f>
        <v>0</v>
      </c>
      <c r="W622">
        <f>(0.6*T622+0.7*U622)*$R$552/2</f>
        <v>0</v>
      </c>
      <c r="X622">
        <f>T622*$R$552/2</f>
        <v>0</v>
      </c>
      <c r="Z622">
        <f>IF(S622=0,0,$AD$552*$AP$534)</f>
        <v>0</v>
      </c>
      <c r="AA622">
        <f>IFERROR(Z622/$R$552,0)</f>
        <v>0</v>
      </c>
      <c r="AB622">
        <f>Z622*($F$22+IF($F$22=0,0,($C$14+$C$15+IF($C$13="single",1.5,3)+3)/12))</f>
        <v>0</v>
      </c>
      <c r="AC622">
        <f>AB622-W622</f>
        <v>0</v>
      </c>
      <c r="AD622" cm="1">
        <f t="array" ref="AD622">IFERROR(IF(AC622&lt;0,0,AC622/($R$552-INDEX(hd_off,MATCH(AQ622,hd_mark,0),0)/12)),0)</f>
        <v>0</v>
      </c>
      <c r="AE622">
        <f>IF(S622=0,0,$AD$552*$AM$534)</f>
        <v>0</v>
      </c>
      <c r="AF622">
        <f>IFERROR(AE622/$R$552,0)</f>
        <v>0</v>
      </c>
      <c r="AG622">
        <f>AE622*($F$22+IF($F$22=0,0,($C$14+$C$15+IF($C$13="single",1.5,3)+3)/12))</f>
        <v>0</v>
      </c>
      <c r="AH622">
        <f>AG622-X622</f>
        <v>0</v>
      </c>
      <c r="AI622" cm="1">
        <f t="array" ref="AI622">IFERROR(IF(AH622&lt;0,0,AH622/($R$552-INDEX(hd_off,MATCH(AQ622,hd_mark,0),0)/12)),0)</f>
        <v>0</v>
      </c>
      <c r="AJ622">
        <f>MAX($F$22,$Z$552)/$Q$564</f>
        <v>0.30172413793103448</v>
      </c>
      <c r="AK622">
        <f t="shared" ref="AK622:AK625" si="382">IF(AJ622=0,0,IF(AJ622&gt;2,1.25-0.125*AJ622,1))</f>
        <v>1</v>
      </c>
      <c r="AL622" cm="1">
        <f t="array" ref="AL622">IFERROR(INDEX(sheath_ecap_asd,MATCH(AP622,sheath_mark,0),0)*AK622,0)</f>
        <v>0</v>
      </c>
      <c r="AM622" cm="1">
        <f t="array" ref="AM622">IFERROR(INDEX(sheath_wcap_asd,MATCH(AP622,sheath_mark,0),0)*AK622,0)</f>
        <v>0</v>
      </c>
      <c r="AN622" cm="1">
        <f t="array" ref="AN622">IFERROR(INDEX(hd_cap,MATCH(AQ622,hd_mark,0),0),0)</f>
        <v>0</v>
      </c>
      <c r="AP622" s="19"/>
      <c r="AQ622" s="19"/>
      <c r="AR622" s="100"/>
      <c r="AS622" s="93"/>
      <c r="AT622" s="109"/>
      <c r="AU622" t="str">
        <f>$Q$534</f>
        <v>L3</v>
      </c>
      <c r="AV622">
        <f>$E$22</f>
        <v>21.375</v>
      </c>
      <c r="AW622" cm="1">
        <f t="array" ref="AW622">IFERROR(IF(AV622=0,0,(INDEX($C$33:$C$38,MATCH($AZ$552,$B$33:$B$38,0),0)*(AV625+$BA$552)+$AW$552*COUNTIF(AV622:AV624,"&gt;0")*$C$32+$AY$552*$C$31)*$AU$552),0)</f>
        <v>0</v>
      </c>
      <c r="AX622">
        <f>IF(AV622=0,0,-(COUNTIF(AV622:AV624,"&gt;0")*$AW$552*$C$32+$AY$552*$C$31)*$H$27*$AU$552)</f>
        <v>0</v>
      </c>
      <c r="AY622">
        <f>IF(AV622=0,0,$AY$552*$H$26*$AU$552)</f>
        <v>0</v>
      </c>
      <c r="AZ622">
        <f>(0.6*AW622+0.7*AX622)*$AU$552/2</f>
        <v>0</v>
      </c>
      <c r="BA622">
        <f>AW622*$AU$552/2</f>
        <v>0</v>
      </c>
      <c r="BC622">
        <f>IF(AV622=0,0,$BG$552*$AP$534)</f>
        <v>0</v>
      </c>
      <c r="BD622">
        <f>IFERROR(BC622/$AU$552,0)</f>
        <v>0</v>
      </c>
      <c r="BE622">
        <f>BC622*($F$22+IF($F$22=0,0,($C$14+$C$15+IF($C$13="single",1.5,3)+3)/12))</f>
        <v>0</v>
      </c>
      <c r="BF622">
        <f>BE622-AZ622</f>
        <v>0</v>
      </c>
      <c r="BG622" cm="1">
        <f t="array" ref="BG622">IFERROR(IF(BF622&lt;0,0,BF622/($AU$552-INDEX(hd_off,MATCH(BT622,hd_mark,0),0)/12)),0)</f>
        <v>0</v>
      </c>
      <c r="BH622">
        <f>IF(AV622=0,0,$BG$552*$AM$534)</f>
        <v>0</v>
      </c>
      <c r="BI622">
        <f>IFERROR(BH622/$AU$552,0)</f>
        <v>0</v>
      </c>
      <c r="BJ622">
        <f>BH622*($F$22+IF($F$22=0,0,($C$14+$C$15+IF($C$13="single",1.5,3)+3)/12))</f>
        <v>0</v>
      </c>
      <c r="BK622">
        <f>BJ622-BA622</f>
        <v>0</v>
      </c>
      <c r="BL622" cm="1">
        <f t="array" ref="BL622">IFERROR(IF(BK622&lt;0,0,BK622/($AU$552-INDEX(hd_off,MATCH(BT622,hd_mark,0),0)/12)),0)</f>
        <v>0</v>
      </c>
      <c r="BM622">
        <f>MAX($F$22,$BC$552)/$Q$564</f>
        <v>0.30172413793103448</v>
      </c>
      <c r="BN622">
        <f t="shared" ref="BN622:BN625" si="383">IF(BM622=0,0,IF(BM622&gt;2,1.25-0.125*BM622,1))</f>
        <v>1</v>
      </c>
      <c r="BO622" cm="1">
        <f t="array" ref="BO622">IFERROR(INDEX(sheath_ecap_asd,MATCH(BS622,sheath_mark,0),0)*BN622,0)</f>
        <v>0</v>
      </c>
      <c r="BP622" cm="1">
        <f t="array" ref="BP622">IFERROR(INDEX(sheath_wcap_asd,MATCH(BS622,sheath_mark,0),0)*BN622,0)</f>
        <v>0</v>
      </c>
      <c r="BQ622" cm="1">
        <f t="array" ref="BQ622">IFERROR(INDEX(hd_cap,MATCH(BT622,hd_mark,0),0),0)</f>
        <v>0</v>
      </c>
      <c r="BS622" s="19"/>
      <c r="BT622" s="19"/>
      <c r="BU622" s="100"/>
    </row>
    <row r="623" x14ac:dyDescent="0.25">
      <c r="P623" s="93"/>
      <c r="Q623" s="109" t="s">
        <v>491</v>
      </c>
      <c r="R623" t="str">
        <f>$Q$535</f>
        <v>L4</v>
      </c>
      <c r="S623">
        <f>$E$23</f>
        <v>0</v>
      </c>
      <c r="T623" cm="1">
        <f t="array" ref="T623">IFERROR(IF(S623=0,0,(INDEX($C$33:$C$38,MATCH($W$552,$B$33:$B$38,0),0)*(S625+$X$552)+$T$552*COUNTIF(S623:S624,"&gt;0")*$C$32+$V$552*$C$31)*$R$552),0)</f>
        <v>0</v>
      </c>
      <c r="U623">
        <f>IF(S623=0,0,-(COUNTIF(S623:S624,"&gt;0")*$T$552*$C$32+$V$552*$C$31)*$H$27*$R$552)</f>
        <v>0</v>
      </c>
      <c r="V623">
        <f>IF(S623=0,0,$V$552*$H$26*$R$552)</f>
        <v>0</v>
      </c>
      <c r="W623">
        <f>(0.6*T623+0.7*U623)*$R$552/2</f>
        <v>0</v>
      </c>
      <c r="X623">
        <f>T623*$R$552/2</f>
        <v>0</v>
      </c>
      <c r="Z623">
        <f>IF(S623=0,0,$AD$552*$AP$535)</f>
        <v>0</v>
      </c>
      <c r="AA623">
        <f>IFERROR(Z623/$R$552,0)</f>
        <v>0</v>
      </c>
      <c r="AB623">
        <f>Z623*($F$23+IF($F$23=0,0,($C$14+$C$15+IF($C$13="single",1.5,3)+3)/12))</f>
        <v>0</v>
      </c>
      <c r="AC623">
        <f>AB623-W623</f>
        <v>0</v>
      </c>
      <c r="AD623" cm="1">
        <f t="array" ref="AD623">IFERROR(IF(AC623&lt;0,0,AC623/($R$552-INDEX(hd_off,MATCH(AQ623,hd_mark,0),0)/12)),0)</f>
        <v>0</v>
      </c>
      <c r="AE623">
        <f>IF(S623=0,0,$AD$552*$AM$535)</f>
        <v>0</v>
      </c>
      <c r="AF623">
        <f>IFERROR(AE623/$R$552,0)</f>
        <v>0</v>
      </c>
      <c r="AG623">
        <f>AE623*($F$23+IF($F$23=0,0,($C$14+$C$15+IF($C$13="single",1.5,3)+3)/12))</f>
        <v>0</v>
      </c>
      <c r="AH623">
        <f>AG623-X623</f>
        <v>0</v>
      </c>
      <c r="AI623" cm="1">
        <f t="array" ref="AI623">IFERROR(IF(AH623&lt;0,0,AH623/($R$552-INDEX(hd_off,MATCH(AQ623,hd_mark,0),0)/12)),0)</f>
        <v>0</v>
      </c>
      <c r="AJ623">
        <f>MAX($F$23,$AA$552)/$Q$564</f>
        <v>0</v>
      </c>
      <c r="AK623">
        <f t="shared" si="382"/>
        <v>0</v>
      </c>
      <c r="AL623" cm="1">
        <f t="array" ref="AL623">IFERROR(INDEX(sheath_ecap_asd,MATCH(AP623,sheath_mark,0),0)*AK623,0)</f>
        <v>0</v>
      </c>
      <c r="AM623" cm="1">
        <f t="array" ref="AM623">IFERROR(INDEX(sheath_wcap_asd,MATCH(AP623,sheath_mark,0),0)*AK623,0)</f>
        <v>0</v>
      </c>
      <c r="AN623" cm="1">
        <f t="array" ref="AN623">IFERROR(INDEX(hd_cap,MATCH(AQ623,hd_mark,0),0),0)</f>
        <v>0</v>
      </c>
      <c r="AP623" s="19"/>
      <c r="AQ623" s="19"/>
      <c r="AR623" s="100"/>
      <c r="AS623" s="93"/>
      <c r="AT623" s="109" t="s">
        <v>491</v>
      </c>
      <c r="AU623" t="str">
        <f>$Q$535</f>
        <v>L4</v>
      </c>
      <c r="AV623">
        <f>$E$23</f>
        <v>0</v>
      </c>
      <c r="AW623" cm="1">
        <f t="array" ref="AW623">IFERROR(IF(AV623=0,0,(INDEX($C$33:$C$38,MATCH($AZ$552,$B$33:$B$38,0),0)*(AV625+$BA$552)+$AW$552*COUNTIF(AV623:AV624,"&gt;0")*$C$32+$AY$552*$C$31)*$AU$552),0)</f>
        <v>0</v>
      </c>
      <c r="AX623">
        <f>IF(AV623=0,0,-(COUNTIF(AV623:AV624,"&gt;0")*$AW$552*$C$32+$AY$552*$C$31)*$H$27*$AU$552)</f>
        <v>0</v>
      </c>
      <c r="AY623">
        <f>IF(AV623=0,0,$AY$552*$H$26*$AU$552)</f>
        <v>0</v>
      </c>
      <c r="AZ623">
        <f>(0.6*AW623+0.7*AX623)*$AU$552/2</f>
        <v>0</v>
      </c>
      <c r="BA623">
        <f>AW623*$AU$552/2</f>
        <v>0</v>
      </c>
      <c r="BC623">
        <f>IF(AV623=0,0,$BG$552*$AP$535)</f>
        <v>0</v>
      </c>
      <c r="BD623">
        <f>IFERROR(BC623/$AU$552,0)</f>
        <v>0</v>
      </c>
      <c r="BE623">
        <f>BC623*($F$23+IF($F$23=0,0,($C$14+$C$15+IF($C$13="single",1.5,3)+3)/12))</f>
        <v>0</v>
      </c>
      <c r="BF623">
        <f>BE623-AZ623</f>
        <v>0</v>
      </c>
      <c r="BG623" cm="1">
        <f t="array" ref="BG623">IFERROR(IF(BF623&lt;0,0,BF623/($AU$552-INDEX(hd_off,MATCH(BT623,hd_mark,0),0)/12)),0)</f>
        <v>0</v>
      </c>
      <c r="BH623">
        <f>IF(AV623=0,0,$BG$552*$AM$535)</f>
        <v>0</v>
      </c>
      <c r="BI623">
        <f>IFERROR(BH623/$AU$552,0)</f>
        <v>0</v>
      </c>
      <c r="BJ623">
        <f>BH623*($F$23+IF($F$23=0,0,($C$14+$C$15+IF($C$13="single",1.5,3)+3)/12))</f>
        <v>0</v>
      </c>
      <c r="BK623">
        <f>BJ623-BA623</f>
        <v>0</v>
      </c>
      <c r="BL623" cm="1">
        <f t="array" ref="BL623">IFERROR(IF(BK623&lt;0,0,BK623/($AU$552-INDEX(hd_off,MATCH(BT623,hd_mark,0),0)/12)),0)</f>
        <v>0</v>
      </c>
      <c r="BM623">
        <f>MAX($F$23,$BD$552)/$Q$564</f>
        <v>0</v>
      </c>
      <c r="BN623">
        <f t="shared" si="383"/>
        <v>0</v>
      </c>
      <c r="BO623" cm="1">
        <f t="array" ref="BO623">IFERROR(INDEX(sheath_ecap_asd,MATCH(BS623,sheath_mark,0),0)*BN623,0)</f>
        <v>0</v>
      </c>
      <c r="BP623" cm="1">
        <f t="array" ref="BP623">IFERROR(INDEX(sheath_wcap_asd,MATCH(BS623,sheath_mark,0),0)*BN623,0)</f>
        <v>0</v>
      </c>
      <c r="BQ623" cm="1">
        <f t="array" ref="BQ623">IFERROR(INDEX(hd_cap,MATCH(BT623,hd_mark,0),0),0)</f>
        <v>0</v>
      </c>
      <c r="BS623" s="19"/>
      <c r="BT623" s="19"/>
      <c r="BU623" s="100"/>
    </row>
    <row r="624" x14ac:dyDescent="0.25">
      <c r="P624" s="93"/>
      <c r="Q624" s="111">
        <f>$R$552</f>
        <v>0</v>
      </c>
      <c r="R624" t="str">
        <f>$Q$536</f>
        <v>L5</v>
      </c>
      <c r="S624">
        <f>$E$24</f>
        <v>0</v>
      </c>
      <c r="T624" cm="1">
        <f t="array" ref="T624">IFERROR(IF(S624=0,0,(INDEX($C$33:$C$38,MATCH($W$552,$B$33:$B$38,0),0)*(S625+$X$552)+$T$552*COUNTIF(S624:S624,"&gt;0")*$C$32+$V$552*$C$31)*$R$552),0)</f>
        <v>0</v>
      </c>
      <c r="U624">
        <f>IF(S624=0,0,-(COUNTIF(S624:S624,"&gt;0")*$T$552*$C$32+$V$552*$C$31)*$H$27*$R$552)</f>
        <v>0</v>
      </c>
      <c r="V624">
        <f>IF(S624=0,0,$V$552*$H$26*$R$552)</f>
        <v>0</v>
      </c>
      <c r="W624">
        <f>(0.6*T624+0.7*U624)*$R$552/2</f>
        <v>0</v>
      </c>
      <c r="X624">
        <f>T624*$R$552/2</f>
        <v>0</v>
      </c>
      <c r="Z624">
        <f>IF(S624=0,0,$AD$552*$AP$536)</f>
        <v>0</v>
      </c>
      <c r="AA624">
        <f>IFERROR(Z624/$R$552,0)</f>
        <v>0</v>
      </c>
      <c r="AB624">
        <f>Z624*($F$24+IF($F$24=0,0,($C$14+$C$15+IF($C$13="single",1.5,3)+3)/12))</f>
        <v>0</v>
      </c>
      <c r="AC624">
        <f>AB624-W624</f>
        <v>0</v>
      </c>
      <c r="AD624" cm="1">
        <f t="array" ref="AD624">IFERROR(IF(AC624&lt;0,0,AC624/($R$552-INDEX(hd_off,MATCH(AQ624,hd_mark,0),0)/12)),0)</f>
        <v>0</v>
      </c>
      <c r="AE624">
        <f>IF(S624=0,0,$AD$552*$AM$536)</f>
        <v>0</v>
      </c>
      <c r="AF624">
        <f>IFERROR(AE624/$R$552,0)</f>
        <v>0</v>
      </c>
      <c r="AG624">
        <f>AE624*($F$24+IF($F$24=0,0,($C$14+$C$15+IF($C$13="single",1.5,3)+3)/12))</f>
        <v>0</v>
      </c>
      <c r="AH624">
        <f>AG624-X624</f>
        <v>0</v>
      </c>
      <c r="AI624" cm="1">
        <f t="array" ref="AI624">IFERROR(IF(AH624&lt;0,0,AH624/($R$552-INDEX(hd_off,MATCH(AQ624,hd_mark,0),0)/12)),0)</f>
        <v>0</v>
      </c>
      <c r="AJ624">
        <f>MAX($F$24,$AB$552)/$Q$564</f>
        <v>0</v>
      </c>
      <c r="AK624">
        <f t="shared" si="382"/>
        <v>0</v>
      </c>
      <c r="AL624" cm="1">
        <f t="array" ref="AL624">IFERROR(INDEX(sheath_ecap_asd,MATCH(AP624,sheath_mark,0),0)*AK624,0)</f>
        <v>0</v>
      </c>
      <c r="AM624" cm="1">
        <f t="array" ref="AM624">IFERROR(INDEX(sheath_wcap_asd,MATCH(AP624,sheath_mark,0),0)*AK624,0)</f>
        <v>0</v>
      </c>
      <c r="AN624" cm="1">
        <f t="array" ref="AN624">IFERROR(INDEX(hd_cap,MATCH(AQ624,hd_mark,0),0),0)</f>
        <v>0</v>
      </c>
      <c r="AP624" s="19"/>
      <c r="AQ624" s="19"/>
      <c r="AR624" s="100"/>
      <c r="AS624" s="93"/>
      <c r="AT624" s="111">
        <f>$R$552</f>
        <v>0</v>
      </c>
      <c r="AU624" t="str">
        <f>$Q$536</f>
        <v>L5</v>
      </c>
      <c r="AV624">
        <f>$E$24</f>
        <v>0</v>
      </c>
      <c r="AW624" cm="1">
        <f t="array" ref="AW624">IFERROR(IF(AV624=0,0,(INDEX($C$33:$C$38,MATCH($AZ$552,$B$33:$B$38,0),0)*(AV625+$BA$552)+$AW$552*COUNTIF(AV624:AV624,"&gt;0")*$C$32+$AY$552*$C$31)*$AU$552),0)</f>
        <v>0</v>
      </c>
      <c r="AX624">
        <f>IF(AV624=0,0,-(COUNTIF(AV624:AV624,"&gt;0")*$AW$552*$C$32+$AY$552*$C$31)*$H$27*$AU$552)</f>
        <v>0</v>
      </c>
      <c r="AY624">
        <f>IF(AV624=0,0,$AY$552*$H$26*$AU$552)</f>
        <v>0</v>
      </c>
      <c r="AZ624">
        <f>(0.6*AW624+0.7*AX624)*$AU$552/2</f>
        <v>0</v>
      </c>
      <c r="BA624">
        <f>AW624*$AU$552/2</f>
        <v>0</v>
      </c>
      <c r="BC624">
        <f>IF(AV624=0,0,$BG$552*$AP$536)</f>
        <v>0</v>
      </c>
      <c r="BD624">
        <f>IFERROR(BC624/$AU$552,0)</f>
        <v>0</v>
      </c>
      <c r="BE624">
        <f>BC624*($F$24+IF($F$24=0,0,($C$14+$C$15+IF($C$13="single",1.5,3)+3)/12))</f>
        <v>0</v>
      </c>
      <c r="BF624">
        <f>BE624-AZ624</f>
        <v>0</v>
      </c>
      <c r="BG624" cm="1">
        <f t="array" ref="BG624">IFERROR(IF(BF624&lt;0,0,BF624/($AU$552-INDEX(hd_off,MATCH(BT624,hd_mark,0),0)/12)),0)</f>
        <v>0</v>
      </c>
      <c r="BH624">
        <f>IF(AV624=0,0,$BG$552*$AM$536)</f>
        <v>0</v>
      </c>
      <c r="BI624">
        <f>IFERROR(BH624/$AU$552,0)</f>
        <v>0</v>
      </c>
      <c r="BJ624">
        <f>BH624*($F$24+IF($F$24=0,0,($C$14+$C$15+IF($C$13="single",1.5,3)+3)/12))</f>
        <v>0</v>
      </c>
      <c r="BK624">
        <f>BJ624-BA624</f>
        <v>0</v>
      </c>
      <c r="BL624" cm="1">
        <f t="array" ref="BL624">IFERROR(IF(BK624&lt;0,0,BK624/($AU$552-INDEX(hd_off,MATCH(BT624,hd_mark,0),0)/12)),0)</f>
        <v>0</v>
      </c>
      <c r="BM624">
        <f>MAX($F$24,$BE$552)/$Q$564</f>
        <v>0</v>
      </c>
      <c r="BN624">
        <f t="shared" si="383"/>
        <v>0</v>
      </c>
      <c r="BO624" cm="1">
        <f t="array" ref="BO624">IFERROR(INDEX(sheath_ecap_asd,MATCH(BS624,sheath_mark,0),0)*BN624,0)</f>
        <v>0</v>
      </c>
      <c r="BP624" cm="1">
        <f t="array" ref="BP624">IFERROR(INDEX(sheath_wcap_asd,MATCH(BS624,sheath_mark,0),0)*BN624,0)</f>
        <v>0</v>
      </c>
      <c r="BQ624" cm="1">
        <f t="array" ref="BQ624">IFERROR(INDEX(hd_cap,MATCH(BT624,hd_mark,0),0),0)</f>
        <v>0</v>
      </c>
      <c r="BS624" s="19"/>
      <c r="BT624" s="19"/>
      <c r="BU624" s="100"/>
    </row>
    <row r="625" x14ac:dyDescent="0.25">
      <c r="P625" s="93"/>
      <c r="Q625" s="109"/>
      <c r="R625" t="str">
        <f>$Q$537</f>
        <v>Roof</v>
      </c>
      <c r="S625">
        <f>$E$25</f>
        <v>33.171875</v>
      </c>
      <c r="T625" cm="1">
        <f t="array" ref="T625">IFERROR(IF(S625=0,0,(INDEX($C$33:$C$38,MATCH($W$552,$B$33:$B$38,0),0)*(S625+$X$552)+$V$552*$C$31)*$R$552),0)</f>
        <v>0</v>
      </c>
      <c r="U625">
        <f>IF(S625=0,0,-$V$552*$C$31*$H$27*$R$552)</f>
        <v>0</v>
      </c>
      <c r="V625">
        <f>IF(S625=0,0,$V$552*$H$26*$R$552)</f>
        <v>0</v>
      </c>
      <c r="W625">
        <f>(0.6*T625+0.7*U625)*$R$552/2</f>
        <v>0</v>
      </c>
      <c r="X625">
        <f>T625*$R$552/2</f>
        <v>0</v>
      </c>
      <c r="Z625">
        <f>IF(S625=0,0,$AD$552*$AP$537)</f>
        <v>0</v>
      </c>
      <c r="AA625">
        <f>IFERROR(Z625/$R$552,0)</f>
        <v>0</v>
      </c>
      <c r="AB625">
        <f>Z625*($F$25+($C$16+$C$17+IF($C$13="single",1.5,3)+3)/12)</f>
        <v>0</v>
      </c>
      <c r="AC625">
        <f>AB625-W625</f>
        <v>0</v>
      </c>
      <c r="AD625" cm="1">
        <f t="array" ref="AD625">IFERROR(IF(AC625&lt;0,0,AC625/($R$552-INDEX(hd_off,MATCH(AQ625,hd_mark,0),0)/12)),0)</f>
        <v>0</v>
      </c>
      <c r="AE625">
        <f>IF(S625=0,0,$AD$552*$AM$537)</f>
        <v>0</v>
      </c>
      <c r="AF625">
        <f>IFERROR(AE625/$R$552,0)</f>
        <v>0</v>
      </c>
      <c r="AG625">
        <f>AE625*($F$25+($C$16+$C$17+IF($C$13="single",1.5,3)+3)/12)</f>
        <v>0</v>
      </c>
      <c r="AH625">
        <f>AG625-X625</f>
        <v>0</v>
      </c>
      <c r="AI625" cm="1">
        <f t="array" ref="AI625">IFERROR(IF(AH625&lt;0,0,AH625/($R$552-INDEX(hd_off,MATCH(AQ625,hd_mark,0),0)/12)),0)</f>
        <v>0</v>
      </c>
      <c r="AJ625">
        <f>MAX($F$25,$AC$552)/$Q$564</f>
        <v>0.29920977011494249</v>
      </c>
      <c r="AK625">
        <f t="shared" si="382"/>
        <v>1</v>
      </c>
      <c r="AL625" cm="1">
        <f t="array" ref="AL625">IFERROR(INDEX(sheath_ecap_asd,MATCH(AP625,sheath_mark,0),0)*AK625,0)</f>
        <v>0</v>
      </c>
      <c r="AM625" cm="1">
        <f t="array" ref="AM625">IFERROR(INDEX(sheath_wcap_asd,MATCH(AP625,sheath_mark,0),0)*AK625,0)</f>
        <v>0</v>
      </c>
      <c r="AN625" cm="1">
        <f t="array" ref="AN625">IFERROR(INDEX(hd_cap,MATCH(AQ625,hd_mark,0),0),0)</f>
        <v>0</v>
      </c>
      <c r="AP625" s="19"/>
      <c r="AQ625" s="19"/>
      <c r="AR625" s="100"/>
      <c r="AS625" s="93"/>
      <c r="AT625" s="109"/>
      <c r="AU625" t="str">
        <f>$Q$537</f>
        <v>Roof</v>
      </c>
      <c r="AV625">
        <f>$E$25</f>
        <v>33.171875</v>
      </c>
      <c r="AW625" cm="1">
        <f t="array" ref="AW625">IFERROR(IF(AV625=0,0,(INDEX($C$33:$C$38,MATCH($AZ$552,$B$33:$B$38,0),0)*(AV625+$BA$552)+$AY$552*$C$31)*$AU$552),0)</f>
        <v>0</v>
      </c>
      <c r="AX625">
        <f>IF(AV625=0,0,-$AY$552*$C$31*$H$27*$AU$552)</f>
        <v>0</v>
      </c>
      <c r="AY625">
        <f>IF(AV625=0,0,$AY$552*$H$26*$AU$552)</f>
        <v>0</v>
      </c>
      <c r="AZ625">
        <f>(0.6*AW625+0.7*AX625)*$AU$552/2</f>
        <v>0</v>
      </c>
      <c r="BA625">
        <f>AW625*$AU$552/2</f>
        <v>0</v>
      </c>
      <c r="BC625">
        <f>IF(AV625=0,0,$BG$552*$AP$537)</f>
        <v>0</v>
      </c>
      <c r="BD625">
        <f>IFERROR(BC625/$AU$552,0)</f>
        <v>0</v>
      </c>
      <c r="BE625">
        <f>BC625*($F$25+($C$16+$C$17+IF($C$13="single",1.5,3)+3)/12)</f>
        <v>0</v>
      </c>
      <c r="BF625">
        <f>BE625-AZ625</f>
        <v>0</v>
      </c>
      <c r="BG625" cm="1">
        <f t="array" ref="BG625">IFERROR(IF(BF625&lt;0,0,BF625/($AU$552-INDEX(hd_off,MATCH(BT625,hd_mark,0),0)/12)),0)</f>
        <v>0</v>
      </c>
      <c r="BH625">
        <f>IF(AV625=0,0,$BG$552*$AM$537)</f>
        <v>0</v>
      </c>
      <c r="BI625">
        <f>IFERROR(BH625/$AU$552,0)</f>
        <v>0</v>
      </c>
      <c r="BJ625">
        <f>BH625*($F$25+($C$16+$C$17+IF($C$13="single",1.5,3)+3)/12)</f>
        <v>0</v>
      </c>
      <c r="BK625">
        <f>BJ625-BA625</f>
        <v>0</v>
      </c>
      <c r="BL625" cm="1">
        <f t="array" ref="BL625">IFERROR(IF(BK625&lt;0,0,BK625/($AU$552-INDEX(hd_off,MATCH(BT625,hd_mark,0),0)/12)),0)</f>
        <v>0</v>
      </c>
      <c r="BM625">
        <f>MAX($F$25,$BF$552)/$Q$564</f>
        <v>0.29920977011494249</v>
      </c>
      <c r="BN625">
        <f t="shared" si="383"/>
        <v>1</v>
      </c>
      <c r="BO625" cm="1">
        <f t="array" ref="BO625">IFERROR(INDEX(sheath_ecap_asd,MATCH(BS625,sheath_mark,0),0)*BN625,0)</f>
        <v>0</v>
      </c>
      <c r="BP625" cm="1">
        <f t="array" ref="BP625">IFERROR(INDEX(sheath_wcap_asd,MATCH(BS625,sheath_mark,0),0)*BN625,0)</f>
        <v>0</v>
      </c>
      <c r="BQ625" cm="1">
        <f t="array" ref="BQ625">IFERROR(INDEX(hd_cap,MATCH(BT625,hd_mark,0),0),0)</f>
        <v>0</v>
      </c>
      <c r="BS625" s="19"/>
      <c r="BT625" s="19"/>
      <c r="BU625" s="100"/>
    </row>
    <row r="626" x14ac:dyDescent="0.25">
      <c r="P626" s="93"/>
      <c r="AR626" s="100"/>
      <c r="AS626" s="93"/>
      <c r="BU626" s="100"/>
    </row>
    <row r="627" x14ac:dyDescent="0.25">
      <c r="P627" s="93"/>
      <c r="Q627" s="110" t="str">
        <f>$Q$553</f>
        <v>A.12</v>
      </c>
      <c r="R627" t="str">
        <f>$Q$533</f>
        <v>L2</v>
      </c>
      <c r="S627">
        <f>$E$21</f>
        <v>10.6875</v>
      </c>
      <c r="T627" cm="1">
        <f t="array" ref="T627">IFERROR(IF(S627=0,0,(INDEX($C$33:$C$38,MATCH($W$553,$B$33:$B$38,0),0)*(S631+$X$553)+$T$553*COUNTIF(S627:S630,"&gt;0")*$C$32+$V$553*$C$31)*$R$553),0)</f>
        <v>0</v>
      </c>
      <c r="U627">
        <f>IF(S627=0,0,-(COUNTIF(S627:S630,"&gt;0")*$T$553*$C$32+$V$553*$C$31)*$H$27*$R$553)</f>
        <v>0</v>
      </c>
      <c r="V627">
        <f>IF(S627=0,0,$V$553*$H$26*$R$553)</f>
        <v>0</v>
      </c>
      <c r="W627">
        <f>(0.6*T627+0.7*U627)*$R$553/2</f>
        <v>0</v>
      </c>
      <c r="X627">
        <f>(0.6*T627+0.6*V627)*$R$553/2</f>
        <v>0</v>
      </c>
      <c r="Z627">
        <f>IF(S627=0,0,$AD$553*$AP$533)</f>
        <v>0</v>
      </c>
      <c r="AA627">
        <f>IFERROR(Z627/$R$553,0)</f>
        <v>0</v>
      </c>
      <c r="AB627">
        <f>Z627*($F$21+IF($F$21=0,0,($C$14+$C$15+IF($C$13="single",1.5,3)+3)/12))</f>
        <v>0</v>
      </c>
      <c r="AC627">
        <f>AB627-W627</f>
        <v>0</v>
      </c>
      <c r="AD627" cm="1">
        <f t="array" ref="AD627">IFERROR(IF(AC627&lt;0,0,AC627/($R$553-INDEX(hd_off,MATCH(AQ627,hd_mark,0),0)/12)),0)</f>
        <v>0</v>
      </c>
      <c r="AE627">
        <f>IF(S627=0,0,$AD$553*$AM$533)</f>
        <v>0</v>
      </c>
      <c r="AF627">
        <f>IFERROR(AE627/$R$553,0)</f>
        <v>0</v>
      </c>
      <c r="AG627">
        <f>AE627*($F$21+IF($F$21=0,0,($C$14+$C$15+IF($C$13="single",1.5,3)+3)/12))</f>
        <v>0</v>
      </c>
      <c r="AH627">
        <f>AG627-X627</f>
        <v>0</v>
      </c>
      <c r="AI627" cm="1">
        <f t="array" ref="AI627">IFERROR(IF(AH627&lt;0,0,AH627/($R$553-INDEX(hd_off,MATCH(AQ627,hd_mark,0),0)/12)),0)</f>
        <v>0</v>
      </c>
      <c r="AJ627">
        <f>MAX($F$21,$Y$553)/$Q$564</f>
        <v>0.30172413793103448</v>
      </c>
      <c r="AK627">
        <f>IF(AJ627=0,0,IF(AJ627&gt;2,1.25-0.125*AJ627,1))</f>
        <v>1</v>
      </c>
      <c r="AL627" cm="1">
        <f t="array" ref="AL627">IFERROR(INDEX(sheath_ecap_asd,MATCH(AP627,sheath_mark,0),0)*AK627,0)</f>
        <v>0</v>
      </c>
      <c r="AM627" cm="1">
        <f t="array" ref="AM627">IFERROR(INDEX(sheath_wcap_asd,MATCH(AP627,sheath_mark,0),0)*AK627,0)</f>
        <v>0</v>
      </c>
      <c r="AN627" cm="1">
        <f t="array" ref="AN627">IFERROR(INDEX(hd_cap,MATCH(AQ627,hd_mark,0),0),0)</f>
        <v>0</v>
      </c>
      <c r="AP627" s="19"/>
      <c r="AQ627" s="19"/>
      <c r="AR627" s="100"/>
      <c r="AS627" s="93"/>
      <c r="AT627" s="110" t="str">
        <f>$AT$553</f>
        <v>1.12</v>
      </c>
      <c r="AU627" t="str">
        <f>$Q$533</f>
        <v>L2</v>
      </c>
      <c r="AV627">
        <f>$E$21</f>
        <v>10.6875</v>
      </c>
      <c r="AW627" cm="1">
        <f t="array" ref="AW627">IFERROR(IF(AV627=0,0,(INDEX($C$33:$C$38,MATCH($AZ$553,$B$33:$B$38,0),0)*(AV631+$BA$553)+$AW$553*COUNTIF(AV627:AV630,"&gt;0")*$C$32+$AY$553*$C$31)*$AU$553),0)</f>
        <v>0</v>
      </c>
      <c r="AX627">
        <f>IF(AV627=0,0,-(COUNTIF(AV627:AV630,"&gt;0")*$AW$553*$C$32+$AY$553*$C$31)*$H$27*$AU$553)</f>
        <v>0</v>
      </c>
      <c r="AY627">
        <f>IF(AV627=0,0,$AY$553*$H$26*$AU$553)</f>
        <v>0</v>
      </c>
      <c r="AZ627">
        <f>(0.6*AW627+0.7*AX627)*$AU$553/2</f>
        <v>0</v>
      </c>
      <c r="BA627">
        <f>(0.6*AW627+0.6*AY627)*$AU$553/2</f>
        <v>0</v>
      </c>
      <c r="BC627">
        <f>IF(AV627=0,0,$BG$553*$AP$533)</f>
        <v>0</v>
      </c>
      <c r="BD627">
        <f>IFERROR(BC627/$AU$553,0)</f>
        <v>0</v>
      </c>
      <c r="BE627">
        <f>BC627*($F$21+IF($F$21=0,0,($C$14+$C$15+IF($C$13="single",1.5,3)+3)/12))</f>
        <v>0</v>
      </c>
      <c r="BF627">
        <f>BE627-AZ627</f>
        <v>0</v>
      </c>
      <c r="BG627" cm="1">
        <f t="array" ref="BG627">IFERROR(IF(BF627&lt;0,0,BF627/($AU$553-INDEX(hd_off,MATCH(BT627,hd_mark,0),0)/12)),0)</f>
        <v>0</v>
      </c>
      <c r="BH627">
        <f>IF(AV627=0,0,$BG$553*$AM$533)</f>
        <v>0</v>
      </c>
      <c r="BI627">
        <f>IFERROR(BH627/$AU$553,0)</f>
        <v>0</v>
      </c>
      <c r="BJ627">
        <f>BH627*($F$21+IF($F$21=0,0,($C$14+$C$15+IF($C$13="single",1.5,3)+3)/12))</f>
        <v>0</v>
      </c>
      <c r="BK627">
        <f>BJ627-BA627</f>
        <v>0</v>
      </c>
      <c r="BL627" cm="1">
        <f t="array" ref="BL627">IFERROR(IF(BK627&lt;0,0,BK627/($AU$553-INDEX(hd_off,MATCH(BT627,hd_mark,0),0)/12)),0)</f>
        <v>0</v>
      </c>
      <c r="BM627">
        <f>MAX($F$21,$BB$553)/$Q$564</f>
        <v>0.30172413793103448</v>
      </c>
      <c r="BN627">
        <f>IF(BM627=0,0,IF(BM627&gt;2,1.25-0.125*BM627,1))</f>
        <v>1</v>
      </c>
      <c r="BO627" cm="1">
        <f t="array" ref="BO627">IFERROR(INDEX(sheath_ecap_asd,MATCH(BS627,sheath_mark,0),0)*BN627,0)</f>
        <v>0</v>
      </c>
      <c r="BP627" cm="1">
        <f t="array" ref="BP627">IFERROR(INDEX(sheath_wcap_asd,MATCH(BS627,sheath_mark,0),0)*BN627,0)</f>
        <v>0</v>
      </c>
      <c r="BQ627" cm="1">
        <f t="array" ref="BQ627">IFERROR(INDEX(hd_cap,MATCH(BT627,hd_mark,0),0),0)</f>
        <v>0</v>
      </c>
      <c r="BS627" s="19"/>
      <c r="BT627" s="19"/>
      <c r="BU627" s="100"/>
    </row>
    <row r="628" x14ac:dyDescent="0.25">
      <c r="P628" s="93"/>
      <c r="Q628" s="109"/>
      <c r="R628" t="str">
        <f>$Q$534</f>
        <v>L3</v>
      </c>
      <c r="S628">
        <f>$E$22</f>
        <v>21.375</v>
      </c>
      <c r="T628" cm="1">
        <f t="array" ref="T628">IFERROR(IF(S628=0,0,(INDEX($C$33:$C$38,MATCH($W$553,$B$33:$B$38,0),0)*(S631+$X$553)+$T$553*COUNTIF(S628:S630,"&gt;0")*$C$32+$V$553*$C$31)*$R$553),0)</f>
        <v>0</v>
      </c>
      <c r="U628">
        <f>IF(S628=0,0,-(COUNTIF(S628:S630,"&gt;0")*$T$553*$C$32+$V$553*$C$31)*$H$27*$R$553)</f>
        <v>0</v>
      </c>
      <c r="V628">
        <f>IF(S628=0,0,$V$553*$H$26*$R$553)</f>
        <v>0</v>
      </c>
      <c r="W628">
        <f>(0.6*T628+0.7*U628)*$R$553/2</f>
        <v>0</v>
      </c>
      <c r="X628">
        <f>T628*$R$553/2</f>
        <v>0</v>
      </c>
      <c r="Z628">
        <f>IF(S628=0,0,$AD$553*$AP$534)</f>
        <v>0</v>
      </c>
      <c r="AA628">
        <f>IFERROR(Z628/$R$553,0)</f>
        <v>0</v>
      </c>
      <c r="AB628">
        <f>Z628*($F$22+IF($F$22=0,0,($C$14+$C$15+IF($C$13="single",1.5,3)+3)/12))</f>
        <v>0</v>
      </c>
      <c r="AC628">
        <f>AB628-W628</f>
        <v>0</v>
      </c>
      <c r="AD628" cm="1">
        <f t="array" ref="AD628">IFERROR(IF(AC628&lt;0,0,AC628/($R$553-INDEX(hd_off,MATCH(AQ628,hd_mark,0),0)/12)),0)</f>
        <v>0</v>
      </c>
      <c r="AE628">
        <f>IF(S628=0,0,$AD$553*$AM$534)</f>
        <v>0</v>
      </c>
      <c r="AF628">
        <f>IFERROR(AE628/$R$553,0)</f>
        <v>0</v>
      </c>
      <c r="AG628">
        <f>AE628*($F$22+IF($F$22=0,0,($C$14+$C$15+IF($C$13="single",1.5,3)+3)/12))</f>
        <v>0</v>
      </c>
      <c r="AH628">
        <f>AG628-X628</f>
        <v>0</v>
      </c>
      <c r="AI628" cm="1">
        <f t="array" ref="AI628">IFERROR(IF(AH628&lt;0,0,AH628/($R$553-INDEX(hd_off,MATCH(AQ628,hd_mark,0),0)/12)),0)</f>
        <v>0</v>
      </c>
      <c r="AJ628">
        <f>MAX($F$22,$Z$553)/$Q$564</f>
        <v>0.30172413793103448</v>
      </c>
      <c r="AK628">
        <f t="shared" ref="AK628:AK631" si="384">IF(AJ628=0,0,IF(AJ628&gt;2,1.25-0.125*AJ628,1))</f>
        <v>1</v>
      </c>
      <c r="AL628" cm="1">
        <f t="array" ref="AL628">IFERROR(INDEX(sheath_ecap_asd,MATCH(AP628,sheath_mark,0),0)*AK628,0)</f>
        <v>0</v>
      </c>
      <c r="AM628" cm="1">
        <f t="array" ref="AM628">IFERROR(INDEX(sheath_wcap_asd,MATCH(AP628,sheath_mark,0),0)*AK628,0)</f>
        <v>0</v>
      </c>
      <c r="AN628" cm="1">
        <f t="array" ref="AN628">IFERROR(INDEX(hd_cap,MATCH(AQ628,hd_mark,0),0),0)</f>
        <v>0</v>
      </c>
      <c r="AP628" s="19"/>
      <c r="AQ628" s="19"/>
      <c r="AR628" s="100"/>
      <c r="AS628" s="93"/>
      <c r="AT628" s="109"/>
      <c r="AU628" t="str">
        <f>$Q$534</f>
        <v>L3</v>
      </c>
      <c r="AV628">
        <f>$E$22</f>
        <v>21.375</v>
      </c>
      <c r="AW628" cm="1">
        <f t="array" ref="AW628">IFERROR(IF(AV628=0,0,(INDEX($C$33:$C$38,MATCH($AZ$553,$B$33:$B$38,0),0)*(AV631+$BA$553)+$AW$553*COUNTIF(AV628:AV630,"&gt;0")*$C$32+$AY$553*$C$31)*$AU$553),0)</f>
        <v>0</v>
      </c>
      <c r="AX628">
        <f>IF(AV628=0,0,-(COUNTIF(AV628:AV630,"&gt;0")*$AW$553*$C$32+$AY$553*$C$31)*$H$27*$AU$553)</f>
        <v>0</v>
      </c>
      <c r="AY628">
        <f>IF(AV628=0,0,$AY$553*$H$26*$AU$553)</f>
        <v>0</v>
      </c>
      <c r="AZ628">
        <f>(0.6*AW628+0.7*AX628)*$AU$553/2</f>
        <v>0</v>
      </c>
      <c r="BA628">
        <f>AW628*$AU$553/2</f>
        <v>0</v>
      </c>
      <c r="BC628">
        <f>IF(AV628=0,0,$BG$553*$AP$534)</f>
        <v>0</v>
      </c>
      <c r="BD628">
        <f>IFERROR(BC628/$AU$553,0)</f>
        <v>0</v>
      </c>
      <c r="BE628">
        <f>BC628*($F$22+IF($F$22=0,0,($C$14+$C$15+IF($C$13="single",1.5,3)+3)/12))</f>
        <v>0</v>
      </c>
      <c r="BF628">
        <f>BE628-AZ628</f>
        <v>0</v>
      </c>
      <c r="BG628" cm="1">
        <f t="array" ref="BG628">IFERROR(IF(BF628&lt;0,0,BF628/($AU$553-INDEX(hd_off,MATCH(BT628,hd_mark,0),0)/12)),0)</f>
        <v>0</v>
      </c>
      <c r="BH628">
        <f>IF(AV628=0,0,$BG$553*$AM$534)</f>
        <v>0</v>
      </c>
      <c r="BI628">
        <f>IFERROR(BH628/$AU$553,0)</f>
        <v>0</v>
      </c>
      <c r="BJ628">
        <f>BH628*($F$22+IF($F$22=0,0,($C$14+$C$15+IF($C$13="single",1.5,3)+3)/12))</f>
        <v>0</v>
      </c>
      <c r="BK628">
        <f>BJ628-BA628</f>
        <v>0</v>
      </c>
      <c r="BL628" cm="1">
        <f t="array" ref="BL628">IFERROR(IF(BK628&lt;0,0,BK628/($AU$553-INDEX(hd_off,MATCH(BT628,hd_mark,0),0)/12)),0)</f>
        <v>0</v>
      </c>
      <c r="BM628">
        <f>MAX($F$22,$BC$553)/$Q$564</f>
        <v>0.30172413793103448</v>
      </c>
      <c r="BN628">
        <f t="shared" ref="BN628:BN631" si="385">IF(BM628=0,0,IF(BM628&gt;2,1.25-0.125*BM628,1))</f>
        <v>1</v>
      </c>
      <c r="BO628" cm="1">
        <f t="array" ref="BO628">IFERROR(INDEX(sheath_ecap_asd,MATCH(BS628,sheath_mark,0),0)*BN628,0)</f>
        <v>0</v>
      </c>
      <c r="BP628" cm="1">
        <f t="array" ref="BP628">IFERROR(INDEX(sheath_wcap_asd,MATCH(BS628,sheath_mark,0),0)*BN628,0)</f>
        <v>0</v>
      </c>
      <c r="BQ628" cm="1">
        <f t="array" ref="BQ628">IFERROR(INDEX(hd_cap,MATCH(BT628,hd_mark,0),0),0)</f>
        <v>0</v>
      </c>
      <c r="BS628" s="19"/>
      <c r="BT628" s="19"/>
      <c r="BU628" s="100"/>
    </row>
    <row r="629" x14ac:dyDescent="0.25">
      <c r="P629" s="93"/>
      <c r="Q629" s="109" t="s">
        <v>491</v>
      </c>
      <c r="R629" t="str">
        <f>$Q$535</f>
        <v>L4</v>
      </c>
      <c r="S629">
        <f>$E$23</f>
        <v>0</v>
      </c>
      <c r="T629" cm="1">
        <f t="array" ref="T629">IFERROR(IF(S629=0,0,(INDEX($C$33:$C$38,MATCH($W$553,$B$33:$B$38,0),0)*(S631+$X$553)+$T$553*COUNTIF(S629:S630,"&gt;0")*$C$32+$V$553*$C$31)*$R$553),0)</f>
        <v>0</v>
      </c>
      <c r="U629">
        <f>IF(S629=0,0,-(COUNTIF(S629:S630,"&gt;0")*$T$553*$C$32+$V$553*$C$31)*$H$27*$R$553)</f>
        <v>0</v>
      </c>
      <c r="V629">
        <f>IF(S629=0,0,$V$553*$H$26*$R$553)</f>
        <v>0</v>
      </c>
      <c r="W629">
        <f>(0.6*T629+0.7*U629)*$R$553/2</f>
        <v>0</v>
      </c>
      <c r="X629">
        <f>T629*$R$553/2</f>
        <v>0</v>
      </c>
      <c r="Z629">
        <f>IF(S629=0,0,$AD$553*$AP$535)</f>
        <v>0</v>
      </c>
      <c r="AA629">
        <f>IFERROR(Z629/$R$553,0)</f>
        <v>0</v>
      </c>
      <c r="AB629">
        <f>Z629*($F$23+IF($F$23=0,0,($C$14+$C$15+IF($C$13="single",1.5,3)+3)/12))</f>
        <v>0</v>
      </c>
      <c r="AC629">
        <f>AB629-W629</f>
        <v>0</v>
      </c>
      <c r="AD629" cm="1">
        <f t="array" ref="AD629">IFERROR(IF(AC629&lt;0,0,AC629/($R$553-INDEX(hd_off,MATCH(AQ629,hd_mark,0),0)/12)),0)</f>
        <v>0</v>
      </c>
      <c r="AE629">
        <f>IF(S629=0,0,$AD$553*$AM$535)</f>
        <v>0</v>
      </c>
      <c r="AF629">
        <f>IFERROR(AE629/$R$553,0)</f>
        <v>0</v>
      </c>
      <c r="AG629">
        <f>AE629*($F$23+IF($F$23=0,0,($C$14+$C$15+IF($C$13="single",1.5,3)+3)/12))</f>
        <v>0</v>
      </c>
      <c r="AH629">
        <f>AG629-X629</f>
        <v>0</v>
      </c>
      <c r="AI629" cm="1">
        <f t="array" ref="AI629">IFERROR(IF(AH629&lt;0,0,AH629/($R$553-INDEX(hd_off,MATCH(AQ629,hd_mark,0),0)/12)),0)</f>
        <v>0</v>
      </c>
      <c r="AJ629">
        <f>MAX($F$23,$AA$553)/$Q$564</f>
        <v>0</v>
      </c>
      <c r="AK629">
        <f t="shared" si="384"/>
        <v>0</v>
      </c>
      <c r="AL629" cm="1">
        <f t="array" ref="AL629">IFERROR(INDEX(sheath_ecap_asd,MATCH(AP629,sheath_mark,0),0)*AK629,0)</f>
        <v>0</v>
      </c>
      <c r="AM629" cm="1">
        <f t="array" ref="AM629">IFERROR(INDEX(sheath_wcap_asd,MATCH(AP629,sheath_mark,0),0)*AK629,0)</f>
        <v>0</v>
      </c>
      <c r="AN629" cm="1">
        <f t="array" ref="AN629">IFERROR(INDEX(hd_cap,MATCH(AQ629,hd_mark,0),0),0)</f>
        <v>0</v>
      </c>
      <c r="AP629" s="19"/>
      <c r="AQ629" s="19"/>
      <c r="AR629" s="100"/>
      <c r="AS629" s="93"/>
      <c r="AT629" s="109" t="s">
        <v>491</v>
      </c>
      <c r="AU629" t="str">
        <f>$Q$535</f>
        <v>L4</v>
      </c>
      <c r="AV629">
        <f>$E$23</f>
        <v>0</v>
      </c>
      <c r="AW629" cm="1">
        <f t="array" ref="AW629">IFERROR(IF(AV629=0,0,(INDEX($C$33:$C$38,MATCH($AZ$553,$B$33:$B$38,0),0)*(AV631+$BA$553)+$AW$553*COUNTIF(AV629:AV630,"&gt;0")*$C$32+$AY$553*$C$31)*$AU$553),0)</f>
        <v>0</v>
      </c>
      <c r="AX629">
        <f>IF(AV629=0,0,-(COUNTIF(AV629:AV630,"&gt;0")*$AW$553*$C$32+$AY$553*$C$31)*$H$27*$AU$553)</f>
        <v>0</v>
      </c>
      <c r="AY629">
        <f>IF(AV629=0,0,$AY$553*$H$26*$AU$553)</f>
        <v>0</v>
      </c>
      <c r="AZ629">
        <f>(0.6*AW629+0.7*AX629)*$AU$553/2</f>
        <v>0</v>
      </c>
      <c r="BA629">
        <f>AW629*$AU$553/2</f>
        <v>0</v>
      </c>
      <c r="BC629">
        <f>IF(AV629=0,0,$BG$553*$AP$535)</f>
        <v>0</v>
      </c>
      <c r="BD629">
        <f>IFERROR(BC629/$AU$553,0)</f>
        <v>0</v>
      </c>
      <c r="BE629">
        <f>BC629*($F$23+IF($F$23=0,0,($C$14+$C$15+IF($C$13="single",1.5,3)+3)/12))</f>
        <v>0</v>
      </c>
      <c r="BF629">
        <f>BE629-AZ629</f>
        <v>0</v>
      </c>
      <c r="BG629" cm="1">
        <f t="array" ref="BG629">IFERROR(IF(BF629&lt;0,0,BF629/($AU$553-INDEX(hd_off,MATCH(BT629,hd_mark,0),0)/12)),0)</f>
        <v>0</v>
      </c>
      <c r="BH629">
        <f>IF(AV629=0,0,$BG$553*$AM$535)</f>
        <v>0</v>
      </c>
      <c r="BI629">
        <f>IFERROR(BH629/$AU$553,0)</f>
        <v>0</v>
      </c>
      <c r="BJ629">
        <f>BH629*($F$23+IF($F$23=0,0,($C$14+$C$15+IF($C$13="single",1.5,3)+3)/12))</f>
        <v>0</v>
      </c>
      <c r="BK629">
        <f>BJ629-BA629</f>
        <v>0</v>
      </c>
      <c r="BL629" cm="1">
        <f t="array" ref="BL629">IFERROR(IF(BK629&lt;0,0,BK629/($AU$553-INDEX(hd_off,MATCH(BT629,hd_mark,0),0)/12)),0)</f>
        <v>0</v>
      </c>
      <c r="BM629">
        <f>MAX($F$23,$BD$553)/$Q$564</f>
        <v>0</v>
      </c>
      <c r="BN629">
        <f t="shared" si="385"/>
        <v>0</v>
      </c>
      <c r="BO629" cm="1">
        <f t="array" ref="BO629">IFERROR(INDEX(sheath_ecap_asd,MATCH(BS629,sheath_mark,0),0)*BN629,0)</f>
        <v>0</v>
      </c>
      <c r="BP629" cm="1">
        <f t="array" ref="BP629">IFERROR(INDEX(sheath_wcap_asd,MATCH(BS629,sheath_mark,0),0)*BN629,0)</f>
        <v>0</v>
      </c>
      <c r="BQ629" cm="1">
        <f t="array" ref="BQ629">IFERROR(INDEX(hd_cap,MATCH(BT629,hd_mark,0),0),0)</f>
        <v>0</v>
      </c>
      <c r="BS629" s="19"/>
      <c r="BT629" s="19"/>
      <c r="BU629" s="100"/>
    </row>
    <row r="630" x14ac:dyDescent="0.25">
      <c r="P630" s="93"/>
      <c r="Q630" s="111">
        <f>$R$553</f>
        <v>0</v>
      </c>
      <c r="R630" t="str">
        <f>$Q$536</f>
        <v>L5</v>
      </c>
      <c r="S630">
        <f>$E$24</f>
        <v>0</v>
      </c>
      <c r="T630" cm="1">
        <f t="array" ref="T630">IFERROR(IF(S630=0,0,(INDEX($C$33:$C$38,MATCH($W$553,$B$33:$B$38,0),0)*(S631+$X$553)+$T$553*COUNTIF(S630:S630,"&gt;0")*$C$32+$V$553*$C$31)*$R$553),0)</f>
        <v>0</v>
      </c>
      <c r="U630">
        <f>IF(S630=0,0,-(COUNTIF(S630:S630,"&gt;0")*$T$553*$C$32+$V$553*$C$31)*$H$27*$R$553)</f>
        <v>0</v>
      </c>
      <c r="V630">
        <f>IF(S630=0,0,$V$553*$H$26*$R$553)</f>
        <v>0</v>
      </c>
      <c r="W630">
        <f>(0.6*T630+0.7*U630)*$R$553/2</f>
        <v>0</v>
      </c>
      <c r="X630">
        <f>T630*$R$553/2</f>
        <v>0</v>
      </c>
      <c r="Z630">
        <f>IF(S630=0,0,$AD$553*$AP$536)</f>
        <v>0</v>
      </c>
      <c r="AA630">
        <f>IFERROR(Z630/$R$553,0)</f>
        <v>0</v>
      </c>
      <c r="AB630">
        <f>Z630*($F$24+IF($F$24=0,0,($C$14+$C$15+IF($C$13="single",1.5,3)+3)/12))</f>
        <v>0</v>
      </c>
      <c r="AC630">
        <f>AB630-W630</f>
        <v>0</v>
      </c>
      <c r="AD630" cm="1">
        <f t="array" ref="AD630">IFERROR(IF(AC630&lt;0,0,AC630/($R$553-INDEX(hd_off,MATCH(AQ630,hd_mark,0),0)/12)),0)</f>
        <v>0</v>
      </c>
      <c r="AE630">
        <f>IF(S630=0,0,$AD$553*$AM$536)</f>
        <v>0</v>
      </c>
      <c r="AF630">
        <f>IFERROR(AE630/$R$553,0)</f>
        <v>0</v>
      </c>
      <c r="AG630">
        <f>AE630*($F$24+IF($F$24=0,0,($C$14+$C$15+IF($C$13="single",1.5,3)+3)/12))</f>
        <v>0</v>
      </c>
      <c r="AH630">
        <f>AG630-X630</f>
        <v>0</v>
      </c>
      <c r="AI630" cm="1">
        <f t="array" ref="AI630">IFERROR(IF(AH630&lt;0,0,AH630/($R$553-INDEX(hd_off,MATCH(AQ630,hd_mark,0),0)/12)),0)</f>
        <v>0</v>
      </c>
      <c r="AJ630">
        <f>MAX($F$24,$AB$553)/$Q$564</f>
        <v>0</v>
      </c>
      <c r="AK630">
        <f t="shared" si="384"/>
        <v>0</v>
      </c>
      <c r="AL630" cm="1">
        <f t="array" ref="AL630">IFERROR(INDEX(sheath_ecap_asd,MATCH(AP630,sheath_mark,0),0)*AK630,0)</f>
        <v>0</v>
      </c>
      <c r="AM630" cm="1">
        <f t="array" ref="AM630">IFERROR(INDEX(sheath_wcap_asd,MATCH(AP630,sheath_mark,0),0)*AK630,0)</f>
        <v>0</v>
      </c>
      <c r="AN630" cm="1">
        <f t="array" ref="AN630">IFERROR(INDEX(hd_cap,MATCH(AQ630,hd_mark,0),0),0)</f>
        <v>0</v>
      </c>
      <c r="AP630" s="19"/>
      <c r="AQ630" s="19"/>
      <c r="AR630" s="100"/>
      <c r="AS630" s="93"/>
      <c r="AT630" s="111">
        <f>$R$553</f>
        <v>0</v>
      </c>
      <c r="AU630" t="str">
        <f>$Q$536</f>
        <v>L5</v>
      </c>
      <c r="AV630">
        <f>$E$24</f>
        <v>0</v>
      </c>
      <c r="AW630" cm="1">
        <f t="array" ref="AW630">IFERROR(IF(AV630=0,0,(INDEX($C$33:$C$38,MATCH($AZ$553,$B$33:$B$38,0),0)*(AV631+$BA$553)+$AW$553*COUNTIF(AV630:AV630,"&gt;0")*$C$32+$AY$553*$C$31)*$AU$553),0)</f>
        <v>0</v>
      </c>
      <c r="AX630">
        <f>IF(AV630=0,0,-(COUNTIF(AV630:AV630,"&gt;0")*$AW$553*$C$32+$AY$553*$C$31)*$H$27*$AU$553)</f>
        <v>0</v>
      </c>
      <c r="AY630">
        <f>IF(AV630=0,0,$AY$553*$H$26*$AU$553)</f>
        <v>0</v>
      </c>
      <c r="AZ630">
        <f>(0.6*AW630+0.7*AX630)*$AU$553/2</f>
        <v>0</v>
      </c>
      <c r="BA630">
        <f>AW630*$AU$553/2</f>
        <v>0</v>
      </c>
      <c r="BC630">
        <f>IF(AV630=0,0,$BG$553*$AP$536)</f>
        <v>0</v>
      </c>
      <c r="BD630">
        <f>IFERROR(BC630/$AU$553,0)</f>
        <v>0</v>
      </c>
      <c r="BE630">
        <f>BC630*($F$24+IF($F$24=0,0,($C$14+$C$15+IF($C$13="single",1.5,3)+3)/12))</f>
        <v>0</v>
      </c>
      <c r="BF630">
        <f>BE630-AZ630</f>
        <v>0</v>
      </c>
      <c r="BG630" cm="1">
        <f t="array" ref="BG630">IFERROR(IF(BF630&lt;0,0,BF630/($AU$553-INDEX(hd_off,MATCH(BT630,hd_mark,0),0)/12)),0)</f>
        <v>0</v>
      </c>
      <c r="BH630">
        <f>IF(AV630=0,0,$BG$553*$AM$536)</f>
        <v>0</v>
      </c>
      <c r="BI630">
        <f>IFERROR(BH630/$AU$553,0)</f>
        <v>0</v>
      </c>
      <c r="BJ630">
        <f>BH630*($F$24+IF($F$24=0,0,($C$14+$C$15+IF($C$13="single",1.5,3)+3)/12))</f>
        <v>0</v>
      </c>
      <c r="BK630">
        <f>BJ630-BA630</f>
        <v>0</v>
      </c>
      <c r="BL630" cm="1">
        <f t="array" ref="BL630">IFERROR(IF(BK630&lt;0,0,BK630/($AU$553-INDEX(hd_off,MATCH(BT630,hd_mark,0),0)/12)),0)</f>
        <v>0</v>
      </c>
      <c r="BM630">
        <f>MAX($F$24,$BE$553)/$Q$564</f>
        <v>0</v>
      </c>
      <c r="BN630">
        <f t="shared" si="385"/>
        <v>0</v>
      </c>
      <c r="BO630" cm="1">
        <f t="array" ref="BO630">IFERROR(INDEX(sheath_ecap_asd,MATCH(BS630,sheath_mark,0),0)*BN630,0)</f>
        <v>0</v>
      </c>
      <c r="BP630" cm="1">
        <f t="array" ref="BP630">IFERROR(INDEX(sheath_wcap_asd,MATCH(BS630,sheath_mark,0),0)*BN630,0)</f>
        <v>0</v>
      </c>
      <c r="BQ630" cm="1">
        <f t="array" ref="BQ630">IFERROR(INDEX(hd_cap,MATCH(BT630,hd_mark,0),0),0)</f>
        <v>0</v>
      </c>
      <c r="BS630" s="19"/>
      <c r="BT630" s="19"/>
      <c r="BU630" s="100"/>
    </row>
    <row r="631" x14ac:dyDescent="0.25">
      <c r="P631" s="93"/>
      <c r="Q631" s="109"/>
      <c r="R631" t="str">
        <f>$Q$537</f>
        <v>Roof</v>
      </c>
      <c r="S631">
        <f>$E$25</f>
        <v>33.171875</v>
      </c>
      <c r="T631" cm="1">
        <f t="array" ref="T631">IFERROR(IF(S631=0,0,(INDEX($C$33:$C$38,MATCH($W$553,$B$33:$B$38,0),0)*(S631+$X$553)+$V$553*$C$31)*$R$553),0)</f>
        <v>0</v>
      </c>
      <c r="U631">
        <f>IF(S631=0,0,-$V$553*$C$31*$H$27*$R$553)</f>
        <v>0</v>
      </c>
      <c r="V631">
        <f>IF(S631=0,0,$V$553*$H$26*$R$553)</f>
        <v>0</v>
      </c>
      <c r="W631">
        <f>(0.6*T631+0.7*U631)*$R$553/2</f>
        <v>0</v>
      </c>
      <c r="X631">
        <f>T631*$R$553/2</f>
        <v>0</v>
      </c>
      <c r="Z631">
        <f>IF(S631=0,0,$AD$553*$AP$537)</f>
        <v>0</v>
      </c>
      <c r="AA631">
        <f>IFERROR(Z631/$R$553,0)</f>
        <v>0</v>
      </c>
      <c r="AB631">
        <f>Z631*($F$25+($C$16+$C$17+IF($C$13="single",1.5,3)+3)/12)</f>
        <v>0</v>
      </c>
      <c r="AC631">
        <f>AB631-W631</f>
        <v>0</v>
      </c>
      <c r="AD631" cm="1">
        <f t="array" ref="AD631">IFERROR(IF(AC631&lt;0,0,AC631/($R$553-INDEX(hd_off,MATCH(AQ631,hd_mark,0),0)/12)),0)</f>
        <v>0</v>
      </c>
      <c r="AE631">
        <f>IF(S631=0,0,$AD$553*$AM$537)</f>
        <v>0</v>
      </c>
      <c r="AF631">
        <f>IFERROR(AE631/$R$553,0)</f>
        <v>0</v>
      </c>
      <c r="AG631">
        <f>AE631*($F$25+($C$16+$C$17+IF($C$13="single",1.5,3)+3)/12)</f>
        <v>0</v>
      </c>
      <c r="AH631">
        <f>AG631-X631</f>
        <v>0</v>
      </c>
      <c r="AI631" cm="1">
        <f t="array" ref="AI631">IFERROR(IF(AH631&lt;0,0,AH631/($R$553-INDEX(hd_off,MATCH(AQ631,hd_mark,0),0)/12)),0)</f>
        <v>0</v>
      </c>
      <c r="AJ631">
        <f>MAX($F$25,$AC$553)/$Q$564</f>
        <v>0.29920977011494249</v>
      </c>
      <c r="AK631">
        <f t="shared" si="384"/>
        <v>1</v>
      </c>
      <c r="AL631" cm="1">
        <f t="array" ref="AL631">IFERROR(INDEX(sheath_ecap_asd,MATCH(AP631,sheath_mark,0),0)*AK631,0)</f>
        <v>0</v>
      </c>
      <c r="AM631" cm="1">
        <f t="array" ref="AM631">IFERROR(INDEX(sheath_wcap_asd,MATCH(AP631,sheath_mark,0),0)*AK631,0)</f>
        <v>0</v>
      </c>
      <c r="AN631" cm="1">
        <f t="array" ref="AN631">IFERROR(INDEX(hd_cap,MATCH(AQ631,hd_mark,0),0),0)</f>
        <v>0</v>
      </c>
      <c r="AP631" s="19"/>
      <c r="AQ631" s="19"/>
      <c r="AR631" s="100"/>
      <c r="AS631" s="93"/>
      <c r="AT631" s="109"/>
      <c r="AU631" t="str">
        <f>$Q$537</f>
        <v>Roof</v>
      </c>
      <c r="AV631">
        <f>$E$25</f>
        <v>33.171875</v>
      </c>
      <c r="AW631" cm="1">
        <f t="array" ref="AW631">IFERROR(IF(AV631=0,0,(INDEX($C$33:$C$38,MATCH($AZ$553,$B$33:$B$38,0),0)*(AV631+$BA$553)+$AY$553*$C$31)*$AU$553),0)</f>
        <v>0</v>
      </c>
      <c r="AX631">
        <f>IF(AV631=0,0,-$AY$553*$C$31*$H$27*$AU$553)</f>
        <v>0</v>
      </c>
      <c r="AY631">
        <f>IF(AV631=0,0,$AY$553*$H$26*$AU$553)</f>
        <v>0</v>
      </c>
      <c r="AZ631">
        <f>(0.6*AW631+0.7*AX631)*$AU$553/2</f>
        <v>0</v>
      </c>
      <c r="BA631">
        <f>AW631*$AU$553/2</f>
        <v>0</v>
      </c>
      <c r="BC631">
        <f>IF(AV631=0,0,$BG$553*$AP$537)</f>
        <v>0</v>
      </c>
      <c r="BD631">
        <f>IFERROR(BC631/$AU$553,0)</f>
        <v>0</v>
      </c>
      <c r="BE631">
        <f>BC631*($F$25+($C$16+$C$17+IF($C$13="single",1.5,3)+3)/12)</f>
        <v>0</v>
      </c>
      <c r="BF631">
        <f>BE631-AZ631</f>
        <v>0</v>
      </c>
      <c r="BG631" cm="1">
        <f t="array" ref="BG631">IFERROR(IF(BF631&lt;0,0,BF631/($AU$553-INDEX(hd_off,MATCH(BT631,hd_mark,0),0)/12)),0)</f>
        <v>0</v>
      </c>
      <c r="BH631">
        <f>IF(AV631=0,0,$BG$553*$AM$537)</f>
        <v>0</v>
      </c>
      <c r="BI631">
        <f>IFERROR(BH631/$AU$553,0)</f>
        <v>0</v>
      </c>
      <c r="BJ631">
        <f>BH631*($F$25+($C$16+$C$17+IF($C$13="single",1.5,3)+3)/12)</f>
        <v>0</v>
      </c>
      <c r="BK631">
        <f>BJ631-BA631</f>
        <v>0</v>
      </c>
      <c r="BL631" cm="1">
        <f t="array" ref="BL631">IFERROR(IF(BK631&lt;0,0,BK631/($AU$553-INDEX(hd_off,MATCH(BT631,hd_mark,0),0)/12)),0)</f>
        <v>0</v>
      </c>
      <c r="BM631">
        <f>MAX($F$25,$BF$553)/$Q$564</f>
        <v>0.29920977011494249</v>
      </c>
      <c r="BN631">
        <f t="shared" si="385"/>
        <v>1</v>
      </c>
      <c r="BO631" cm="1">
        <f t="array" ref="BO631">IFERROR(INDEX(sheath_ecap_asd,MATCH(BS631,sheath_mark,0),0)*BN631,0)</f>
        <v>0</v>
      </c>
      <c r="BP631" cm="1">
        <f t="array" ref="BP631">IFERROR(INDEX(sheath_wcap_asd,MATCH(BS631,sheath_mark,0),0)*BN631,0)</f>
        <v>0</v>
      </c>
      <c r="BQ631" cm="1">
        <f t="array" ref="BQ631">IFERROR(INDEX(hd_cap,MATCH(BT631,hd_mark,0),0),0)</f>
        <v>0</v>
      </c>
      <c r="BS631" s="19"/>
      <c r="BT631" s="19"/>
      <c r="BU631" s="100"/>
    </row>
    <row r="632" x14ac:dyDescent="0.25">
      <c r="P632" s="93"/>
      <c r="AR632" s="100"/>
      <c r="AS632" s="93"/>
      <c r="BU632" s="100"/>
    </row>
    <row r="633" x14ac:dyDescent="0.25">
      <c r="P633" s="93"/>
      <c r="Q633" s="110" t="str">
        <f>$Q$554</f>
        <v>A.13</v>
      </c>
      <c r="R633" t="str">
        <f>$Q$533</f>
        <v>L2</v>
      </c>
      <c r="S633">
        <f>$E$21</f>
        <v>10.6875</v>
      </c>
      <c r="T633" cm="1">
        <f t="array" ref="T633">IFERROR(IF(S633=0,0,(INDEX($C$33:$C$38,MATCH($W$554,$B$33:$B$38,0),0)*(S637+$X$554)+$T$554*COUNTIF(S633:S636,"&gt;0")*$C$32+$V$554*$C$31)*$R$554),0)</f>
        <v>0</v>
      </c>
      <c r="U633">
        <f>IF(S633=0,0,-(COUNTIF(S633:S636,"&gt;0")*$T$554*$C$32+$V$554*$C$31)*$H$27*$R$554)</f>
        <v>0</v>
      </c>
      <c r="V633">
        <f>IF(S633=0,0,$V$554*$H$26*$R$554)</f>
        <v>0</v>
      </c>
      <c r="W633">
        <f>(0.6*T633+0.7*U633)*$R$554/2</f>
        <v>0</v>
      </c>
      <c r="X633">
        <f>(0.6*T633+0.6*V633)*$R$554/2</f>
        <v>0</v>
      </c>
      <c r="Z633">
        <f>IF(S633=0,0,$AD$554*$AP$533)</f>
        <v>0</v>
      </c>
      <c r="AA633">
        <f>IFERROR(Z633/$R$554,0)</f>
        <v>0</v>
      </c>
      <c r="AB633">
        <f>Z633*($F$21+IF($F$21=0,0,($C$14+$C$15+IF($C$13="single",1.5,3)+3)/12))</f>
        <v>0</v>
      </c>
      <c r="AC633">
        <f>AB633-W633</f>
        <v>0</v>
      </c>
      <c r="AD633" cm="1">
        <f t="array" ref="AD633">IFERROR(IF(AC633&lt;0,0,AC633/($R$554-INDEX(hd_off,MATCH(AQ633,hd_mark,0),0)/12)),0)</f>
        <v>0</v>
      </c>
      <c r="AE633">
        <f>IF(S633=0,0,$AD$554*$AM$533)</f>
        <v>0</v>
      </c>
      <c r="AF633">
        <f>IFERROR(AE633/$R$554,0)</f>
        <v>0</v>
      </c>
      <c r="AG633">
        <f>AE633*($F$21+IF($F$21=0,0,($C$14+$C$15+IF($C$13="single",1.5,3)+3)/12))</f>
        <v>0</v>
      </c>
      <c r="AH633">
        <f>AG633-X633</f>
        <v>0</v>
      </c>
      <c r="AI633" cm="1">
        <f t="array" ref="AI633">IFERROR(IF(AH633&lt;0,0,AH633/($R$554-INDEX(hd_off,MATCH(AQ633,hd_mark,0),0)/12)),0)</f>
        <v>0</v>
      </c>
      <c r="AJ633">
        <f>MAX($F$21,$Y$554)/$Q$564</f>
        <v>0.30172413793103448</v>
      </c>
      <c r="AK633">
        <f>IF(AJ633=0,0,IF(AJ633&gt;2,1.25-0.125*AJ633,1))</f>
        <v>1</v>
      </c>
      <c r="AL633" cm="1">
        <f t="array" ref="AL633">IFERROR(INDEX(sheath_ecap_asd,MATCH(AP633,sheath_mark,0),0)*AK633,0)</f>
        <v>0</v>
      </c>
      <c r="AM633" cm="1">
        <f t="array" ref="AM633">IFERROR(INDEX(sheath_wcap_asd,MATCH(AP633,sheath_mark,0),0)*AK633,0)</f>
        <v>0</v>
      </c>
      <c r="AN633" cm="1">
        <f t="array" ref="AN633">IFERROR(INDEX(hd_cap,MATCH(AQ633,hd_mark,0),0),0)</f>
        <v>0</v>
      </c>
      <c r="AP633" s="19"/>
      <c r="AQ633" s="19"/>
      <c r="AR633" s="100"/>
      <c r="AS633" s="93"/>
      <c r="AT633" s="110" t="str">
        <f>$AT$554</f>
        <v>1.13</v>
      </c>
      <c r="AU633" t="str">
        <f>$Q$533</f>
        <v>L2</v>
      </c>
      <c r="AV633">
        <f>$E$21</f>
        <v>10.6875</v>
      </c>
      <c r="AW633" cm="1">
        <f t="array" ref="AW633">IFERROR(IF(AV633=0,0,(INDEX($C$33:$C$38,MATCH($AZ$554,$B$33:$B$38,0),0)*(AV637+$BA$554)+$AW$554*COUNTIF(AV633:AV636,"&gt;0")*$C$32+$AY$554*$C$31)*$AU$554),0)</f>
        <v>0</v>
      </c>
      <c r="AX633">
        <f>IF(AV633=0,0,-(COUNTIF(AV633:AV636,"&gt;0")*$AW$554*$C$32+$AY$554*$C$31)*$H$27*$AU$554)</f>
        <v>0</v>
      </c>
      <c r="AY633">
        <f>IF(AV633=0,0,$AY$554*$H$26*$AU$554)</f>
        <v>0</v>
      </c>
      <c r="AZ633">
        <f>(0.6*AW633+0.7*AX633)*$AU$554/2</f>
        <v>0</v>
      </c>
      <c r="BA633">
        <f>(0.6*AW633+0.6*AY633)*$AU$554/2</f>
        <v>0</v>
      </c>
      <c r="BC633">
        <f>IF(AV633=0,0,$BG$554*$AP$533)</f>
        <v>0</v>
      </c>
      <c r="BD633">
        <f>IFERROR(BC633/$AU$554,0)</f>
        <v>0</v>
      </c>
      <c r="BE633">
        <f>BC633*($F$21+IF($F$21=0,0,($C$14+$C$15+IF($C$13="single",1.5,3)+3)/12))</f>
        <v>0</v>
      </c>
      <c r="BF633">
        <f>BE633-AZ633</f>
        <v>0</v>
      </c>
      <c r="BG633" cm="1">
        <f t="array" ref="BG633">IFERROR(IF(BF633&lt;0,0,BF633/($AU$554-INDEX(hd_off,MATCH(BT633,hd_mark,0),0)/12)),0)</f>
        <v>0</v>
      </c>
      <c r="BH633">
        <f>IF(AV633=0,0,$BG$554*$AM$533)</f>
        <v>0</v>
      </c>
      <c r="BI633">
        <f>IFERROR(BH633/$AU$554,0)</f>
        <v>0</v>
      </c>
      <c r="BJ633">
        <f>BH633*($F$21+IF($F$21=0,0,($C$14+$C$15+IF($C$13="single",1.5,3)+3)/12))</f>
        <v>0</v>
      </c>
      <c r="BK633">
        <f>BJ633-BA633</f>
        <v>0</v>
      </c>
      <c r="BL633" cm="1">
        <f t="array" ref="BL633">IFERROR(IF(BK633&lt;0,0,BK633/($AU$554-INDEX(hd_off,MATCH(BT633,hd_mark,0),0)/12)),0)</f>
        <v>0</v>
      </c>
      <c r="BM633">
        <f>MAX($F$21,$BB$554)/$Q$564</f>
        <v>0.30172413793103448</v>
      </c>
      <c r="BN633">
        <f>IF(BM633=0,0,IF(BM633&gt;2,1.25-0.125*BM633,1))</f>
        <v>1</v>
      </c>
      <c r="BO633" cm="1">
        <f t="array" ref="BO633">IFERROR(INDEX(sheath_ecap_asd,MATCH(BS633,sheath_mark,0),0)*BN633,0)</f>
        <v>0</v>
      </c>
      <c r="BP633" cm="1">
        <f t="array" ref="BP633">IFERROR(INDEX(sheath_wcap_asd,MATCH(BS633,sheath_mark,0),0)*BN633,0)</f>
        <v>0</v>
      </c>
      <c r="BQ633" cm="1">
        <f t="array" ref="BQ633">IFERROR(INDEX(hd_cap,MATCH(BT633,hd_mark,0),0),0)</f>
        <v>0</v>
      </c>
      <c r="BS633" s="19"/>
      <c r="BT633" s="19"/>
      <c r="BU633" s="100"/>
    </row>
    <row r="634" x14ac:dyDescent="0.25">
      <c r="P634" s="93"/>
      <c r="Q634" s="109"/>
      <c r="R634" t="str">
        <f>$Q$534</f>
        <v>L3</v>
      </c>
      <c r="S634">
        <f>$E$22</f>
        <v>21.375</v>
      </c>
      <c r="T634" cm="1">
        <f t="array" ref="T634">IFERROR(IF(S634=0,0,(INDEX($C$33:$C$38,MATCH($W$554,$B$33:$B$38,0),0)*(S637+$X$554)+$T$554*COUNTIF(S634:S636,"&gt;0")*$C$32+$V$554*$C$31)*$R$554),0)</f>
        <v>0</v>
      </c>
      <c r="U634">
        <f>IF(S634=0,0,-(COUNTIF(S634:S636,"&gt;0")*$T$554*$C$32+$V$554*$C$31)*$H$27*$R$554)</f>
        <v>0</v>
      </c>
      <c r="V634">
        <f>IF(S634=0,0,$V$554*$H$26*$R$554)</f>
        <v>0</v>
      </c>
      <c r="W634">
        <f>(0.6*T634+0.7*U634)*$R$554/2</f>
        <v>0</v>
      </c>
      <c r="X634">
        <f>T634*$R$554/2</f>
        <v>0</v>
      </c>
      <c r="Z634">
        <f>IF(S634=0,0,$AD$554*$AP$534)</f>
        <v>0</v>
      </c>
      <c r="AA634">
        <f>IFERROR(Z634/$R$554,0)</f>
        <v>0</v>
      </c>
      <c r="AB634">
        <f>Z634*($F$22+IF($F$22=0,0,($C$14+$C$15+IF($C$13="single",1.5,3)+3)/12))</f>
        <v>0</v>
      </c>
      <c r="AC634">
        <f>AB634-W634</f>
        <v>0</v>
      </c>
      <c r="AD634" cm="1">
        <f t="array" ref="AD634">IFERROR(IF(AC634&lt;0,0,AC634/($R$554-INDEX(hd_off,MATCH(AQ634,hd_mark,0),0)/12)),0)</f>
        <v>0</v>
      </c>
      <c r="AE634">
        <f>IF(S634=0,0,$AD$554*$AM$534)</f>
        <v>0</v>
      </c>
      <c r="AF634">
        <f>IFERROR(AE634/$R$554,0)</f>
        <v>0</v>
      </c>
      <c r="AG634">
        <f>AE634*($F$22+IF($F$22=0,0,($C$14+$C$15+IF($C$13="single",1.5,3)+3)/12))</f>
        <v>0</v>
      </c>
      <c r="AH634">
        <f>AG634-X634</f>
        <v>0</v>
      </c>
      <c r="AI634" cm="1">
        <f t="array" ref="AI634">IFERROR(IF(AH634&lt;0,0,AH634/($R$554-INDEX(hd_off,MATCH(AQ634,hd_mark,0),0)/12)),0)</f>
        <v>0</v>
      </c>
      <c r="AJ634">
        <f>MAX($F$22,$Z$554)/$Q$564</f>
        <v>0.30172413793103448</v>
      </c>
      <c r="AK634">
        <f t="shared" ref="AK634:AK637" si="386">IF(AJ634=0,0,IF(AJ634&gt;2,1.25-0.125*AJ634,1))</f>
        <v>1</v>
      </c>
      <c r="AL634" cm="1">
        <f t="array" ref="AL634">IFERROR(INDEX(sheath_ecap_asd,MATCH(AP634,sheath_mark,0),0)*AK634,0)</f>
        <v>0</v>
      </c>
      <c r="AM634" cm="1">
        <f t="array" ref="AM634">IFERROR(INDEX(sheath_wcap_asd,MATCH(AP634,sheath_mark,0),0)*AK634,0)</f>
        <v>0</v>
      </c>
      <c r="AN634" cm="1">
        <f t="array" ref="AN634">IFERROR(INDEX(hd_cap,MATCH(AQ634,hd_mark,0),0),0)</f>
        <v>0</v>
      </c>
      <c r="AP634" s="19"/>
      <c r="AQ634" s="19"/>
      <c r="AR634" s="100"/>
      <c r="AS634" s="93"/>
      <c r="AT634" s="109"/>
      <c r="AU634" t="str">
        <f>$Q$534</f>
        <v>L3</v>
      </c>
      <c r="AV634">
        <f>$E$22</f>
        <v>21.375</v>
      </c>
      <c r="AW634" cm="1">
        <f t="array" ref="AW634">IFERROR(IF(AV634=0,0,(INDEX($C$33:$C$38,MATCH($AZ$554,$B$33:$B$38,0),0)*(AV637+$BA$554)+$AW$554*COUNTIF(AV634:AV636,"&gt;0")*$C$32+$AY$554*$C$31)*$AU$554),0)</f>
        <v>0</v>
      </c>
      <c r="AX634">
        <f>IF(AV634=0,0,-(COUNTIF(AV634:AV636,"&gt;0")*$AW$554*$C$32+$AY$554*$C$31)*$H$27*$AU$554)</f>
        <v>0</v>
      </c>
      <c r="AY634">
        <f>IF(AV634=0,0,$AY$554*$H$26*$AU$554)</f>
        <v>0</v>
      </c>
      <c r="AZ634">
        <f>(0.6*AW634+0.7*AX634)*$AU$554/2</f>
        <v>0</v>
      </c>
      <c r="BA634">
        <f>AW634*$AU$554/2</f>
        <v>0</v>
      </c>
      <c r="BC634">
        <f>IF(AV634=0,0,$BG$554*$AP$534)</f>
        <v>0</v>
      </c>
      <c r="BD634">
        <f>IFERROR(BC634/$AU$554,0)</f>
        <v>0</v>
      </c>
      <c r="BE634">
        <f>BC634*($F$22+IF($F$22=0,0,($C$14+$C$15+IF($C$13="single",1.5,3)+3)/12))</f>
        <v>0</v>
      </c>
      <c r="BF634">
        <f>BE634-AZ634</f>
        <v>0</v>
      </c>
      <c r="BG634" cm="1">
        <f t="array" ref="BG634">IFERROR(IF(BF634&lt;0,0,BF634/($AU$554-INDEX(hd_off,MATCH(BT634,hd_mark,0),0)/12)),0)</f>
        <v>0</v>
      </c>
      <c r="BH634">
        <f>IF(AV634=0,0,$BG$554*$AM$534)</f>
        <v>0</v>
      </c>
      <c r="BI634">
        <f>IFERROR(BH634/$AU$554,0)</f>
        <v>0</v>
      </c>
      <c r="BJ634">
        <f>BH634*($F$22+IF($F$22=0,0,($C$14+$C$15+IF($C$13="single",1.5,3)+3)/12))</f>
        <v>0</v>
      </c>
      <c r="BK634">
        <f>BJ634-BA634</f>
        <v>0</v>
      </c>
      <c r="BL634" cm="1">
        <f t="array" ref="BL634">IFERROR(IF(BK634&lt;0,0,BK634/($AU$554-INDEX(hd_off,MATCH(BT634,hd_mark,0),0)/12)),0)</f>
        <v>0</v>
      </c>
      <c r="BM634">
        <f>MAX($F$22,$BC$554)/$Q$564</f>
        <v>0.30172413793103448</v>
      </c>
      <c r="BN634">
        <f t="shared" ref="BN634:BN637" si="387">IF(BM634=0,0,IF(BM634&gt;2,1.25-0.125*BM634,1))</f>
        <v>1</v>
      </c>
      <c r="BO634" cm="1">
        <f t="array" ref="BO634">IFERROR(INDEX(sheath_ecap_asd,MATCH(BS634,sheath_mark,0),0)*BN634,0)</f>
        <v>0</v>
      </c>
      <c r="BP634" cm="1">
        <f t="array" ref="BP634">IFERROR(INDEX(sheath_wcap_asd,MATCH(BS634,sheath_mark,0),0)*BN634,0)</f>
        <v>0</v>
      </c>
      <c r="BQ634" cm="1">
        <f t="array" ref="BQ634">IFERROR(INDEX(hd_cap,MATCH(BT634,hd_mark,0),0),0)</f>
        <v>0</v>
      </c>
      <c r="BS634" s="19"/>
      <c r="BT634" s="19"/>
      <c r="BU634" s="100"/>
    </row>
    <row r="635" x14ac:dyDescent="0.25">
      <c r="P635" s="93"/>
      <c r="Q635" s="109" t="s">
        <v>491</v>
      </c>
      <c r="R635" t="str">
        <f>$Q$535</f>
        <v>L4</v>
      </c>
      <c r="S635">
        <f>$E$23</f>
        <v>0</v>
      </c>
      <c r="T635" cm="1">
        <f t="array" ref="T635">IFERROR(IF(S635=0,0,(INDEX($C$33:$C$38,MATCH($W$554,$B$33:$B$38,0),0)*(S637+$X$554)+$T$554*COUNTIF(S635:S636,"&gt;0")*$C$32+$V$554*$C$31)*$R$554),0)</f>
        <v>0</v>
      </c>
      <c r="U635">
        <f>IF(S635=0,0,-(COUNTIF(S635:S636,"&gt;0")*$T$554*$C$32+$V$554*$C$31)*$H$27*$R$554)</f>
        <v>0</v>
      </c>
      <c r="V635">
        <f>IF(S635=0,0,$V$554*$H$26*$R$554)</f>
        <v>0</v>
      </c>
      <c r="W635">
        <f>(0.6*T635+0.7*U635)*$R$554/2</f>
        <v>0</v>
      </c>
      <c r="X635">
        <f>T635*$R$554/2</f>
        <v>0</v>
      </c>
      <c r="Z635">
        <f>IF(S635=0,0,$AD$554*$AP$535)</f>
        <v>0</v>
      </c>
      <c r="AA635">
        <f>IFERROR(Z635/$R$554,0)</f>
        <v>0</v>
      </c>
      <c r="AB635">
        <f>Z635*($F$23+IF($F$23=0,0,($C$14+$C$15+IF($C$13="single",1.5,3)+3)/12))</f>
        <v>0</v>
      </c>
      <c r="AC635">
        <f>AB635-W635</f>
        <v>0</v>
      </c>
      <c r="AD635" cm="1">
        <f t="array" ref="AD635">IFERROR(IF(AC635&lt;0,0,AC635/($R$554-INDEX(hd_off,MATCH(AQ635,hd_mark,0),0)/12)),0)</f>
        <v>0</v>
      </c>
      <c r="AE635">
        <f>IF(S635=0,0,$AD$554*$AM$535)</f>
        <v>0</v>
      </c>
      <c r="AF635">
        <f>IFERROR(AE635/$R$554,0)</f>
        <v>0</v>
      </c>
      <c r="AG635">
        <f>AE635*($F$23+IF($F$23=0,0,($C$14+$C$15+IF($C$13="single",1.5,3)+3)/12))</f>
        <v>0</v>
      </c>
      <c r="AH635">
        <f>AG635-X635</f>
        <v>0</v>
      </c>
      <c r="AI635" cm="1">
        <f t="array" ref="AI635">IFERROR(IF(AH635&lt;0,0,AH635/($R$554-INDEX(hd_off,MATCH(AQ635,hd_mark,0),0)/12)),0)</f>
        <v>0</v>
      </c>
      <c r="AJ635">
        <f>MAX($F$23,$AA$554)/$Q$564</f>
        <v>0</v>
      </c>
      <c r="AK635">
        <f t="shared" si="386"/>
        <v>0</v>
      </c>
      <c r="AL635" cm="1">
        <f t="array" ref="AL635">IFERROR(INDEX(sheath_ecap_asd,MATCH(AP635,sheath_mark,0),0)*AK635,0)</f>
        <v>0</v>
      </c>
      <c r="AM635" cm="1">
        <f t="array" ref="AM635">IFERROR(INDEX(sheath_wcap_asd,MATCH(AP635,sheath_mark,0),0)*AK635,0)</f>
        <v>0</v>
      </c>
      <c r="AN635" cm="1">
        <f t="array" ref="AN635">IFERROR(INDEX(hd_cap,MATCH(AQ635,hd_mark,0),0),0)</f>
        <v>0</v>
      </c>
      <c r="AP635" s="19"/>
      <c r="AQ635" s="19"/>
      <c r="AR635" s="100"/>
      <c r="AS635" s="93"/>
      <c r="AT635" s="109" t="s">
        <v>491</v>
      </c>
      <c r="AU635" t="str">
        <f>$Q$535</f>
        <v>L4</v>
      </c>
      <c r="AV635">
        <f>$E$23</f>
        <v>0</v>
      </c>
      <c r="AW635" cm="1">
        <f t="array" ref="AW635">IFERROR(IF(AV635=0,0,(INDEX($C$33:$C$38,MATCH($AZ$554,$B$33:$B$38,0),0)*(AV637+$BA$554)+$AW$554*COUNTIF(AV635:AV636,"&gt;0")*$C$32+$AY$554*$C$31)*$AU$554),0)</f>
        <v>0</v>
      </c>
      <c r="AX635">
        <f>IF(AV635=0,0,-(COUNTIF(AV635:AV636,"&gt;0")*$AW$554*$C$32+$AY$554*$C$31)*$H$27*$AU$554)</f>
        <v>0</v>
      </c>
      <c r="AY635">
        <f>IF(AV635=0,0,$AY$554*$H$26*$AU$554)</f>
        <v>0</v>
      </c>
      <c r="AZ635">
        <f>(0.6*AW635+0.7*AX635)*$AU$554/2</f>
        <v>0</v>
      </c>
      <c r="BA635">
        <f>AW635*$AU$554/2</f>
        <v>0</v>
      </c>
      <c r="BC635">
        <f>IF(AV635=0,0,$BG$554*$AP$535)</f>
        <v>0</v>
      </c>
      <c r="BD635">
        <f>IFERROR(BC635/$AU$554,0)</f>
        <v>0</v>
      </c>
      <c r="BE635">
        <f>BC635*($F$23+IF($F$23=0,0,($C$14+$C$15+IF($C$13="single",1.5,3)+3)/12))</f>
        <v>0</v>
      </c>
      <c r="BF635">
        <f>BE635-AZ635</f>
        <v>0</v>
      </c>
      <c r="BG635" cm="1">
        <f t="array" ref="BG635">IFERROR(IF(BF635&lt;0,0,BF635/($AU$554-INDEX(hd_off,MATCH(BT635,hd_mark,0),0)/12)),0)</f>
        <v>0</v>
      </c>
      <c r="BH635">
        <f>IF(AV635=0,0,$BG$554*$AM$535)</f>
        <v>0</v>
      </c>
      <c r="BI635">
        <f>IFERROR(BH635/$AU$554,0)</f>
        <v>0</v>
      </c>
      <c r="BJ635">
        <f>BH635*($F$23+IF($F$23=0,0,($C$14+$C$15+IF($C$13="single",1.5,3)+3)/12))</f>
        <v>0</v>
      </c>
      <c r="BK635">
        <f>BJ635-BA635</f>
        <v>0</v>
      </c>
      <c r="BL635" cm="1">
        <f t="array" ref="BL635">IFERROR(IF(BK635&lt;0,0,BK635/($AU$554-INDEX(hd_off,MATCH(BT635,hd_mark,0),0)/12)),0)</f>
        <v>0</v>
      </c>
      <c r="BM635">
        <f>MAX($F$23,$BD$554)/$Q$564</f>
        <v>0</v>
      </c>
      <c r="BN635">
        <f t="shared" si="387"/>
        <v>0</v>
      </c>
      <c r="BO635" cm="1">
        <f t="array" ref="BO635">IFERROR(INDEX(sheath_ecap_asd,MATCH(BS635,sheath_mark,0),0)*BN635,0)</f>
        <v>0</v>
      </c>
      <c r="BP635" cm="1">
        <f t="array" ref="BP635">IFERROR(INDEX(sheath_wcap_asd,MATCH(BS635,sheath_mark,0),0)*BN635,0)</f>
        <v>0</v>
      </c>
      <c r="BQ635" cm="1">
        <f t="array" ref="BQ635">IFERROR(INDEX(hd_cap,MATCH(BT635,hd_mark,0),0),0)</f>
        <v>0</v>
      </c>
      <c r="BS635" s="19"/>
      <c r="BT635" s="19"/>
      <c r="BU635" s="100"/>
    </row>
    <row r="636" x14ac:dyDescent="0.25">
      <c r="P636" s="93"/>
      <c r="Q636" s="111">
        <f>$R$554</f>
        <v>0</v>
      </c>
      <c r="R636" t="str">
        <f>$Q$536</f>
        <v>L5</v>
      </c>
      <c r="S636">
        <f>$E$24</f>
        <v>0</v>
      </c>
      <c r="T636" cm="1">
        <f t="array" ref="T636">IFERROR(IF(S636=0,0,(INDEX($C$33:$C$38,MATCH($W$554,$B$33:$B$38,0),0)*(S637+$X$554)+$T$554*COUNTIF(S636:S636,"&gt;0")*$C$32+$V$554*$C$31)*$R$554),0)</f>
        <v>0</v>
      </c>
      <c r="U636">
        <f>IF(S636=0,0,-(COUNTIF(S636:S636,"&gt;0")*$T$554*$C$32+$V$554*$C$31)*$H$27*$R$554)</f>
        <v>0</v>
      </c>
      <c r="V636">
        <f>IF(S636=0,0,$V$554*$H$26*$R$554)</f>
        <v>0</v>
      </c>
      <c r="W636">
        <f>(0.6*T636+0.7*U636)*$R$554/2</f>
        <v>0</v>
      </c>
      <c r="X636">
        <f>T636*$R$554/2</f>
        <v>0</v>
      </c>
      <c r="Z636">
        <f>IF(S636=0,0,$AD$554*$AP$536)</f>
        <v>0</v>
      </c>
      <c r="AA636">
        <f>IFERROR(Z636/$R$554,0)</f>
        <v>0</v>
      </c>
      <c r="AB636">
        <f>Z636*($F$24+IF($F$24=0,0,($C$14+$C$15+IF($C$13="single",1.5,3)+3)/12))</f>
        <v>0</v>
      </c>
      <c r="AC636">
        <f>AB636-W636</f>
        <v>0</v>
      </c>
      <c r="AD636" cm="1">
        <f t="array" ref="AD636">IFERROR(IF(AC636&lt;0,0,AC636/($R$554-INDEX(hd_off,MATCH(AQ636,hd_mark,0),0)/12)),0)</f>
        <v>0</v>
      </c>
      <c r="AE636">
        <f>IF(S636=0,0,$AD$554*$AM$536)</f>
        <v>0</v>
      </c>
      <c r="AF636">
        <f>IFERROR(AE636/$R$554,0)</f>
        <v>0</v>
      </c>
      <c r="AG636">
        <f>AE636*($F$24+IF($F$24=0,0,($C$14+$C$15+IF($C$13="single",1.5,3)+3)/12))</f>
        <v>0</v>
      </c>
      <c r="AH636">
        <f>AG636-X636</f>
        <v>0</v>
      </c>
      <c r="AI636" cm="1">
        <f t="array" ref="AI636">IFERROR(IF(AH636&lt;0,0,AH636/($R$554-INDEX(hd_off,MATCH(AQ636,hd_mark,0),0)/12)),0)</f>
        <v>0</v>
      </c>
      <c r="AJ636">
        <f>MAX($F$24,$AB$554)/$Q$564</f>
        <v>0</v>
      </c>
      <c r="AK636">
        <f t="shared" si="386"/>
        <v>0</v>
      </c>
      <c r="AL636" cm="1">
        <f t="array" ref="AL636">IFERROR(INDEX(sheath_ecap_asd,MATCH(AP636,sheath_mark,0),0)*AK636,0)</f>
        <v>0</v>
      </c>
      <c r="AM636" cm="1">
        <f t="array" ref="AM636">IFERROR(INDEX(sheath_wcap_asd,MATCH(AP636,sheath_mark,0),0)*AK636,0)</f>
        <v>0</v>
      </c>
      <c r="AN636" cm="1">
        <f t="array" ref="AN636">IFERROR(INDEX(hd_cap,MATCH(AQ636,hd_mark,0),0),0)</f>
        <v>0</v>
      </c>
      <c r="AP636" s="19"/>
      <c r="AQ636" s="19"/>
      <c r="AR636" s="100"/>
      <c r="AS636" s="93"/>
      <c r="AT636" s="111">
        <f>$R$554</f>
        <v>0</v>
      </c>
      <c r="AU636" t="str">
        <f>$Q$536</f>
        <v>L5</v>
      </c>
      <c r="AV636">
        <f>$E$24</f>
        <v>0</v>
      </c>
      <c r="AW636" cm="1">
        <f t="array" ref="AW636">IFERROR(IF(AV636=0,0,(INDEX($C$33:$C$38,MATCH($AZ$554,$B$33:$B$38,0),0)*(AV637+$BA$554)+$AW$554*COUNTIF(AV636:AV636,"&gt;0")*$C$32+$AY$554*$C$31)*$AU$554),0)</f>
        <v>0</v>
      </c>
      <c r="AX636">
        <f>IF(AV636=0,0,-(COUNTIF(AV636:AV636,"&gt;0")*$AW$554*$C$32+$AY$554*$C$31)*$H$27*$AU$554)</f>
        <v>0</v>
      </c>
      <c r="AY636">
        <f>IF(AV636=0,0,$AY$554*$H$26*$AU$554)</f>
        <v>0</v>
      </c>
      <c r="AZ636">
        <f>(0.6*AW636+0.7*AX636)*$AU$554/2</f>
        <v>0</v>
      </c>
      <c r="BA636">
        <f>AW636*$AU$554/2</f>
        <v>0</v>
      </c>
      <c r="BC636">
        <f>IF(AV636=0,0,$BG$554*$AP$536)</f>
        <v>0</v>
      </c>
      <c r="BD636">
        <f>IFERROR(BC636/$AU$554,0)</f>
        <v>0</v>
      </c>
      <c r="BE636">
        <f>BC636*($F$24+IF($F$24=0,0,($C$14+$C$15+IF($C$13="single",1.5,3)+3)/12))</f>
        <v>0</v>
      </c>
      <c r="BF636">
        <f>BE636-AZ636</f>
        <v>0</v>
      </c>
      <c r="BG636" cm="1">
        <f t="array" ref="BG636">IFERROR(IF(BF636&lt;0,0,BF636/($AU$554-INDEX(hd_off,MATCH(BT636,hd_mark,0),0)/12)),0)</f>
        <v>0</v>
      </c>
      <c r="BH636">
        <f>IF(AV636=0,0,$BG$554*$AM$536)</f>
        <v>0</v>
      </c>
      <c r="BI636">
        <f>IFERROR(BH636/$AU$554,0)</f>
        <v>0</v>
      </c>
      <c r="BJ636">
        <f>BH636*($F$24+IF($F$24=0,0,($C$14+$C$15+IF($C$13="single",1.5,3)+3)/12))</f>
        <v>0</v>
      </c>
      <c r="BK636">
        <f>BJ636-BA636</f>
        <v>0</v>
      </c>
      <c r="BL636" cm="1">
        <f t="array" ref="BL636">IFERROR(IF(BK636&lt;0,0,BK636/($AU$554-INDEX(hd_off,MATCH(BT636,hd_mark,0),0)/12)),0)</f>
        <v>0</v>
      </c>
      <c r="BM636">
        <f>MAX($F$24,$BE$554)/$Q$564</f>
        <v>0</v>
      </c>
      <c r="BN636">
        <f t="shared" si="387"/>
        <v>0</v>
      </c>
      <c r="BO636" cm="1">
        <f t="array" ref="BO636">IFERROR(INDEX(sheath_ecap_asd,MATCH(BS636,sheath_mark,0),0)*BN636,0)</f>
        <v>0</v>
      </c>
      <c r="BP636" cm="1">
        <f t="array" ref="BP636">IFERROR(INDEX(sheath_wcap_asd,MATCH(BS636,sheath_mark,0),0)*BN636,0)</f>
        <v>0</v>
      </c>
      <c r="BQ636" cm="1">
        <f t="array" ref="BQ636">IFERROR(INDEX(hd_cap,MATCH(BT636,hd_mark,0),0),0)</f>
        <v>0</v>
      </c>
      <c r="BS636" s="19"/>
      <c r="BT636" s="19"/>
      <c r="BU636" s="100"/>
    </row>
    <row r="637" x14ac:dyDescent="0.25">
      <c r="P637" s="93"/>
      <c r="Q637" s="109"/>
      <c r="R637" t="str">
        <f>$Q$537</f>
        <v>Roof</v>
      </c>
      <c r="S637">
        <f>$E$25</f>
        <v>33.171875</v>
      </c>
      <c r="T637" cm="1">
        <f t="array" ref="T637">IFERROR(IF(S637=0,0,(INDEX($C$33:$C$38,MATCH($W$554,$B$33:$B$38,0),0)*(S637+$X$554)+$V$554*$C$31)*$R$554),0)</f>
        <v>0</v>
      </c>
      <c r="U637">
        <f>IF(S637=0,0,-$V$554*$C$31*$H$27*$R$554)</f>
        <v>0</v>
      </c>
      <c r="V637">
        <f>IF(S637=0,0,$V$554*$H$26*$R$554)</f>
        <v>0</v>
      </c>
      <c r="W637">
        <f>(0.6*T637+0.7*U637)*$R$554/2</f>
        <v>0</v>
      </c>
      <c r="X637">
        <f>T637*$R$554/2</f>
        <v>0</v>
      </c>
      <c r="Z637">
        <f>IF(S637=0,0,$AD$554*$AP$537)</f>
        <v>0</v>
      </c>
      <c r="AA637">
        <f>IFERROR(Z637/$R$554,0)</f>
        <v>0</v>
      </c>
      <c r="AB637">
        <f>Z637*($F$25+($C$16+$C$17+IF($C$13="single",1.5,3)+3)/12)</f>
        <v>0</v>
      </c>
      <c r="AC637">
        <f>AB637-W637</f>
        <v>0</v>
      </c>
      <c r="AD637" cm="1">
        <f t="array" ref="AD637">IFERROR(IF(AC637&lt;0,0,AC637/($R$554-INDEX(hd_off,MATCH(AQ637,hd_mark,0),0)/12)),0)</f>
        <v>0</v>
      </c>
      <c r="AE637">
        <f>IF(S637=0,0,$AD$554*$AM$537)</f>
        <v>0</v>
      </c>
      <c r="AF637">
        <f>IFERROR(AE637/$R$554,0)</f>
        <v>0</v>
      </c>
      <c r="AG637">
        <f>AE637*($F$25+($C$16+$C$17+IF($C$13="single",1.5,3)+3)/12)</f>
        <v>0</v>
      </c>
      <c r="AH637">
        <f>AG637-X637</f>
        <v>0</v>
      </c>
      <c r="AI637" cm="1">
        <f t="array" ref="AI637">IFERROR(IF(AH637&lt;0,0,AH637/($R$554-INDEX(hd_off,MATCH(AQ637,hd_mark,0),0)/12)),0)</f>
        <v>0</v>
      </c>
      <c r="AJ637">
        <f>MAX($F$25,$AC$554)/$Q$564</f>
        <v>0.29920977011494249</v>
      </c>
      <c r="AK637">
        <f t="shared" si="386"/>
        <v>1</v>
      </c>
      <c r="AL637" cm="1">
        <f t="array" ref="AL637">IFERROR(INDEX(sheath_ecap_asd,MATCH(AP637,sheath_mark,0),0)*AK637,0)</f>
        <v>0</v>
      </c>
      <c r="AM637" cm="1">
        <f t="array" ref="AM637">IFERROR(INDEX(sheath_wcap_asd,MATCH(AP637,sheath_mark,0),0)*AK637,0)</f>
        <v>0</v>
      </c>
      <c r="AN637" cm="1">
        <f t="array" ref="AN637">IFERROR(INDEX(hd_cap,MATCH(AQ637,hd_mark,0),0),0)</f>
        <v>0</v>
      </c>
      <c r="AP637" s="19"/>
      <c r="AQ637" s="19"/>
      <c r="AR637" s="100"/>
      <c r="AS637" s="93"/>
      <c r="AT637" s="109"/>
      <c r="AU637" t="str">
        <f>$Q$537</f>
        <v>Roof</v>
      </c>
      <c r="AV637">
        <f>$E$25</f>
        <v>33.171875</v>
      </c>
      <c r="AW637" cm="1">
        <f t="array" ref="AW637">IFERROR(IF(AV637=0,0,(INDEX($C$33:$C$38,MATCH($AZ$554,$B$33:$B$38,0),0)*(AV637+$BA$554)+$AY$554*$C$31)*$AU$554),0)</f>
        <v>0</v>
      </c>
      <c r="AX637">
        <f>IF(AV637=0,0,-$AY$554*$C$31*$H$27*$AU$554)</f>
        <v>0</v>
      </c>
      <c r="AY637">
        <f>IF(AV637=0,0,$AY$554*$H$26*$AU$554)</f>
        <v>0</v>
      </c>
      <c r="AZ637">
        <f>(0.6*AW637+0.7*AX637)*$AU$554/2</f>
        <v>0</v>
      </c>
      <c r="BA637">
        <f>AW637*$AU$554/2</f>
        <v>0</v>
      </c>
      <c r="BC637">
        <f>IF(AV637=0,0,$BG$554*$AP$537)</f>
        <v>0</v>
      </c>
      <c r="BD637">
        <f>IFERROR(BC637/$AU$554,0)</f>
        <v>0</v>
      </c>
      <c r="BE637">
        <f>BC637*($F$25+($C$16+$C$17+IF($C$13="single",1.5,3)+3)/12)</f>
        <v>0</v>
      </c>
      <c r="BF637">
        <f>BE637-AZ637</f>
        <v>0</v>
      </c>
      <c r="BG637" cm="1">
        <f t="array" ref="BG637">IFERROR(IF(BF637&lt;0,0,BF637/($AU$554-INDEX(hd_off,MATCH(BT637,hd_mark,0),0)/12)),0)</f>
        <v>0</v>
      </c>
      <c r="BH637">
        <f>IF(AV637=0,0,$BG$554*$AM$537)</f>
        <v>0</v>
      </c>
      <c r="BI637">
        <f>IFERROR(BH637/$AU$554,0)</f>
        <v>0</v>
      </c>
      <c r="BJ637">
        <f>BH637*($F$25+($C$16+$C$17+IF($C$13="single",1.5,3)+3)/12)</f>
        <v>0</v>
      </c>
      <c r="BK637">
        <f>BJ637-BA637</f>
        <v>0</v>
      </c>
      <c r="BL637" cm="1">
        <f t="array" ref="BL637">IFERROR(IF(BK637&lt;0,0,BK637/($AU$554-INDEX(hd_off,MATCH(BT637,hd_mark,0),0)/12)),0)</f>
        <v>0</v>
      </c>
      <c r="BM637">
        <f>MAX($F$25,$BF$554)/$Q$564</f>
        <v>0.29920977011494249</v>
      </c>
      <c r="BN637">
        <f t="shared" si="387"/>
        <v>1</v>
      </c>
      <c r="BO637" cm="1">
        <f t="array" ref="BO637">IFERROR(INDEX(sheath_ecap_asd,MATCH(BS637,sheath_mark,0),0)*BN637,0)</f>
        <v>0</v>
      </c>
      <c r="BP637" cm="1">
        <f t="array" ref="BP637">IFERROR(INDEX(sheath_wcap_asd,MATCH(BS637,sheath_mark,0),0)*BN637,0)</f>
        <v>0</v>
      </c>
      <c r="BQ637" cm="1">
        <f t="array" ref="BQ637">IFERROR(INDEX(hd_cap,MATCH(BT637,hd_mark,0),0),0)</f>
        <v>0</v>
      </c>
      <c r="BS637" s="19"/>
      <c r="BT637" s="19"/>
      <c r="BU637" s="100"/>
    </row>
    <row r="638" x14ac:dyDescent="0.25">
      <c r="P638" s="93"/>
      <c r="AR638" s="100"/>
      <c r="AS638" s="93"/>
      <c r="BU638" s="100"/>
    </row>
    <row r="639" x14ac:dyDescent="0.25">
      <c r="P639" s="93"/>
      <c r="Q639" s="110" t="str">
        <f>$Q$555</f>
        <v>A.14</v>
      </c>
      <c r="R639" t="str">
        <f>$Q$533</f>
        <v>L2</v>
      </c>
      <c r="S639">
        <f>$E$21</f>
        <v>10.6875</v>
      </c>
      <c r="T639" cm="1">
        <f t="array" ref="T639">IFERROR(IF(S639=0,0,(INDEX($C$33:$C$38,MATCH($W$555,$B$33:$B$38,0),0)*(S643+$X$555)+$T$555*COUNTIF(S639:S655,"&gt;0")*$C$32+$V$555*$C$31)*$R$555),0)</f>
        <v>0</v>
      </c>
      <c r="U639">
        <f>IF(S639=0,0,-(COUNTIF(S639:S655,"&gt;0")*$T$555*$C$32+$V$555*$C$31)*$H$27*$R$555)</f>
        <v>0</v>
      </c>
      <c r="V639">
        <f>IF(S639=0,0,$V$555*$H$26*$R$555)</f>
        <v>0</v>
      </c>
      <c r="W639">
        <f>(0.6*T639+0.7*U639)*$R$555/2</f>
        <v>0</v>
      </c>
      <c r="X639">
        <f>(0.6*T639+0.6*V639)*$R$555/2</f>
        <v>0</v>
      </c>
      <c r="Z639">
        <f>IF(S639=0,0,$AD$555*$AP$533)</f>
        <v>0</v>
      </c>
      <c r="AA639">
        <f>IFERROR(Z639/$R$555,0)</f>
        <v>0</v>
      </c>
      <c r="AB639">
        <f>Z639*($F$21+IF($F$21=0,0,($C$14+$C$15+IF($C$13="single",1.5,3)+3)/12))</f>
        <v>0</v>
      </c>
      <c r="AC639">
        <f>AB639-W639</f>
        <v>0</v>
      </c>
      <c r="AD639" cm="1">
        <f t="array" ref="AD639">IFERROR(IF(AC639&lt;0,0,AC639/($R$555-INDEX(hd_off,MATCH(AQ639,hd_mark,0),0)/12)),0)</f>
        <v>0</v>
      </c>
      <c r="AE639">
        <f>IF(S639=0,0,$AD$555*$AM$533)</f>
        <v>0</v>
      </c>
      <c r="AF639">
        <f>IFERROR(AE639/$R$555,0)</f>
        <v>0</v>
      </c>
      <c r="AG639">
        <f>AE639*($F$21+IF($F$21=0,0,($C$14+$C$15+IF($C$13="single",1.5,3)+3)/12))</f>
        <v>0</v>
      </c>
      <c r="AH639">
        <f>AG639-X639</f>
        <v>0</v>
      </c>
      <c r="AI639" cm="1">
        <f t="array" ref="AI639">IFERROR(IF(AH639&lt;0,0,AH639/($R$555-INDEX(hd_off,MATCH(AQ639,hd_mark,0),0)/12)),0)</f>
        <v>0</v>
      </c>
      <c r="AJ639">
        <f>MAX($F$21,$Y$555)/$Q$564</f>
        <v>0.30172413793103448</v>
      </c>
      <c r="AK639">
        <f>IF(AJ639=0,0,IF(AJ639&gt;2,1.25-0.125*AJ639,1))</f>
        <v>1</v>
      </c>
      <c r="AL639" cm="1">
        <f t="array" ref="AL639">IFERROR(INDEX(sheath_ecap_asd,MATCH(AP639,sheath_mark,0),0)*AK639,0)</f>
        <v>0</v>
      </c>
      <c r="AM639" cm="1">
        <f t="array" ref="AM639">IFERROR(INDEX(sheath_wcap_asd,MATCH(AP639,sheath_mark,0),0)*AK639,0)</f>
        <v>0</v>
      </c>
      <c r="AN639" cm="1">
        <f t="array" ref="AN639">IFERROR(INDEX(hd_cap,MATCH(AQ639,hd_mark,0),0),0)</f>
        <v>0</v>
      </c>
      <c r="AP639" s="19"/>
      <c r="AQ639" s="19"/>
      <c r="AR639" s="100"/>
      <c r="AS639" s="93"/>
      <c r="AT639" s="110" t="str">
        <f>$AT$555</f>
        <v>1.14</v>
      </c>
      <c r="AU639" t="str">
        <f>$Q$533</f>
        <v>L2</v>
      </c>
      <c r="AV639">
        <f>$E$21</f>
        <v>10.6875</v>
      </c>
      <c r="AW639" cm="1">
        <f t="array" ref="AW639">IFERROR(IF(AV639=0,0,(INDEX($C$33:$C$38,MATCH($AZ$555,$B$33:$B$38,0),0)*(AV643+$BA$555)+$AW$555*COUNTIF(AV639:AV655,"&gt;0")*$C$32+$AY$555*$C$31)*$AU$555),0)</f>
        <v>0</v>
      </c>
      <c r="AX639">
        <f>IF(AV639=0,0,-(COUNTIF(AV639:AV655,"&gt;0")*$AW$555*$C$32+$AY$555*$C$31)*$H$27*$AU$555)</f>
        <v>0</v>
      </c>
      <c r="AY639">
        <f>IF(AV639=0,0,$AY$555*$H$26*$AU$555)</f>
        <v>0</v>
      </c>
      <c r="AZ639">
        <f>(0.6*AW639+0.7*AX639)*$AU$555/2</f>
        <v>0</v>
      </c>
      <c r="BA639">
        <f>(0.6*AW639+0.6*AY639)*$AU$555/2</f>
        <v>0</v>
      </c>
      <c r="BC639">
        <f>IF(AV639=0,0,$BG$555*$AP$533)</f>
        <v>0</v>
      </c>
      <c r="BD639">
        <f>IFERROR(BC639/$AU$555,0)</f>
        <v>0</v>
      </c>
      <c r="BE639">
        <f>BC639*($F$21+IF($F$21=0,0,($C$14+$C$15+IF($C$13="single",1.5,3)+3)/12))</f>
        <v>0</v>
      </c>
      <c r="BF639">
        <f>BE639-AZ639</f>
        <v>0</v>
      </c>
      <c r="BG639" cm="1">
        <f t="array" ref="BG639">IFERROR(IF(BF639&lt;0,0,BF639/($AU$555-INDEX(hd_off,MATCH(BT639,hd_mark,0),0)/12)),0)</f>
        <v>0</v>
      </c>
      <c r="BH639">
        <f>IF(AV639=0,0,$BG$555*$AM$533)</f>
        <v>0</v>
      </c>
      <c r="BI639">
        <f>IFERROR(BH639/$AU$555,0)</f>
        <v>0</v>
      </c>
      <c r="BJ639">
        <f>BH639*($F$21+IF($F$21=0,0,($C$14+$C$15+IF($C$13="single",1.5,3)+3)/12))</f>
        <v>0</v>
      </c>
      <c r="BK639">
        <f>BJ639-BA639</f>
        <v>0</v>
      </c>
      <c r="BL639" cm="1">
        <f t="array" ref="BL639">IFERROR(IF(BK639&lt;0,0,BK639/($AU$555-INDEX(hd_off,MATCH(BT639,hd_mark,0),0)/12)),0)</f>
        <v>0</v>
      </c>
      <c r="BM639">
        <f>MAX($F$21,$BB$555)/$Q$564</f>
        <v>0.30172413793103448</v>
      </c>
      <c r="BN639">
        <f>IF(BM639=0,0,IF(BM639&gt;2,1.25-0.125*BM639,1))</f>
        <v>1</v>
      </c>
      <c r="BO639" cm="1">
        <f t="array" ref="BO639">IFERROR(INDEX(sheath_ecap_asd,MATCH(BS639,sheath_mark,0),0)*BN639,0)</f>
        <v>0</v>
      </c>
      <c r="BP639" cm="1">
        <f t="array" ref="BP639">IFERROR(INDEX(sheath_wcap_asd,MATCH(BS639,sheath_mark,0),0)*BN639,0)</f>
        <v>0</v>
      </c>
      <c r="BQ639" cm="1">
        <f t="array" ref="BQ639">IFERROR(INDEX(hd_cap,MATCH(BT639,hd_mark,0),0),0)</f>
        <v>0</v>
      </c>
      <c r="BS639" s="19"/>
      <c r="BT639" s="19"/>
      <c r="BU639" s="100"/>
    </row>
    <row r="640" x14ac:dyDescent="0.25">
      <c r="P640" s="93"/>
      <c r="Q640" s="109"/>
      <c r="R640" t="str">
        <f>$Q$534</f>
        <v>L3</v>
      </c>
      <c r="S640">
        <f>$E$22</f>
        <v>21.375</v>
      </c>
      <c r="T640" cm="1">
        <f t="array" ref="T640">IFERROR(IF(S640=0,0,(INDEX($C$33:$C$38,MATCH($W$555,$B$33:$B$38,0),0)*(S643+$X$555)+$T$555*COUNTIF(S640:S655,"&gt;0")*$C$32+$V$555*$C$31)*$R$555),0)</f>
        <v>0</v>
      </c>
      <c r="U640">
        <f>IF(S640=0,0,-(COUNTIF(S640:S655,"&gt;0")*$T$555*$C$32+$V$555*$C$31)*$H$27*$R$555)</f>
        <v>0</v>
      </c>
      <c r="V640">
        <f>IF(S640=0,0,$V$555*$H$26*$R$555)</f>
        <v>0</v>
      </c>
      <c r="W640">
        <f>(0.6*T640+0.7*U640)*$R$555/2</f>
        <v>0</v>
      </c>
      <c r="X640">
        <f>T640*$R$555/2</f>
        <v>0</v>
      </c>
      <c r="Z640">
        <f>IF(S640=0,0,$AD$555*$AP$534)</f>
        <v>0</v>
      </c>
      <c r="AA640">
        <f>IFERROR(Z640/$R$555,0)</f>
        <v>0</v>
      </c>
      <c r="AB640">
        <f>Z640*($F$22+IF($F$22=0,0,($C$14+$C$15+IF($C$13="single",1.5,3)+3)/12))</f>
        <v>0</v>
      </c>
      <c r="AC640">
        <f>AB640-W640</f>
        <v>0</v>
      </c>
      <c r="AD640" cm="1">
        <f t="array" ref="AD640">IFERROR(IF(AC640&lt;0,0,AC640/($R$555-INDEX(hd_off,MATCH(AQ640,hd_mark,0),0)/12)),0)</f>
        <v>0</v>
      </c>
      <c r="AE640">
        <f>IF(S640=0,0,$AD$555*$AM$534)</f>
        <v>0</v>
      </c>
      <c r="AF640">
        <f>IFERROR(AE640/$R$555,0)</f>
        <v>0</v>
      </c>
      <c r="AG640">
        <f>AE640*($F$22+IF($F$22=0,0,($C$14+$C$15+IF($C$13="single",1.5,3)+3)/12))</f>
        <v>0</v>
      </c>
      <c r="AH640">
        <f>AG640-X640</f>
        <v>0</v>
      </c>
      <c r="AI640" cm="1">
        <f t="array" ref="AI640">IFERROR(IF(AH640&lt;0,0,AH640/($R$555-INDEX(hd_off,MATCH(AQ640,hd_mark,0),0)/12)),0)</f>
        <v>0</v>
      </c>
      <c r="AJ640">
        <f>MAX($F$22,$Z$555)/$Q$564</f>
        <v>0.30172413793103448</v>
      </c>
      <c r="AK640">
        <f t="shared" ref="AK640:AK643" si="388">IF(AJ640=0,0,IF(AJ640&gt;2,1.25-0.125*AJ640,1))</f>
        <v>1</v>
      </c>
      <c r="AL640" cm="1">
        <f t="array" ref="AL640">IFERROR(INDEX(sheath_ecap_asd,MATCH(AP640,sheath_mark,0),0)*AK640,0)</f>
        <v>0</v>
      </c>
      <c r="AM640" cm="1">
        <f t="array" ref="AM640">IFERROR(INDEX(sheath_wcap_asd,MATCH(AP640,sheath_mark,0),0)*AK640,0)</f>
        <v>0</v>
      </c>
      <c r="AN640" cm="1">
        <f t="array" ref="AN640">IFERROR(INDEX(hd_cap,MATCH(AQ640,hd_mark,0),0),0)</f>
        <v>0</v>
      </c>
      <c r="AP640" s="19"/>
      <c r="AQ640" s="19"/>
      <c r="AR640" s="100"/>
      <c r="AS640" s="93"/>
      <c r="AT640" s="109"/>
      <c r="AU640" t="str">
        <f>$Q$534</f>
        <v>L3</v>
      </c>
      <c r="AV640">
        <f>$E$22</f>
        <v>21.375</v>
      </c>
      <c r="AW640" cm="1">
        <f t="array" ref="AW640">IFERROR(IF(AV640=0,0,(INDEX($C$33:$C$38,MATCH($AZ$555,$B$33:$B$38,0),0)*(AV643+$BA$555)+$AW$555*COUNTIF(AV640:AV655,"&gt;0")*$C$32+$AY$555*$C$31)*$AU$555),0)</f>
        <v>0</v>
      </c>
      <c r="AX640">
        <f>IF(AV640=0,0,-(COUNTIF(AV640:AV655,"&gt;0")*$AW$555*$C$32+$AY$555*$C$31)*$H$27*$AU$555)</f>
        <v>0</v>
      </c>
      <c r="AY640">
        <f>IF(AV640=0,0,$AY$555*$H$26*$AU$555)</f>
        <v>0</v>
      </c>
      <c r="AZ640">
        <f>(0.6*AW640+0.7*AX640)*$AU$555/2</f>
        <v>0</v>
      </c>
      <c r="BA640">
        <f>AW640*$AU$555/2</f>
        <v>0</v>
      </c>
      <c r="BC640">
        <f>IF(AV640=0,0,$BG$555*$AP$534)</f>
        <v>0</v>
      </c>
      <c r="BD640">
        <f>IFERROR(BC640/$AU$555,0)</f>
        <v>0</v>
      </c>
      <c r="BE640">
        <f>BC640*($F$22+IF($F$22=0,0,($C$14+$C$15+IF($C$13="single",1.5,3)+3)/12))</f>
        <v>0</v>
      </c>
      <c r="BF640">
        <f>BE640-AZ640</f>
        <v>0</v>
      </c>
      <c r="BG640" cm="1">
        <f t="array" ref="BG640">IFERROR(IF(BF640&lt;0,0,BF640/($AU$555-INDEX(hd_off,MATCH(BT640,hd_mark,0),0)/12)),0)</f>
        <v>0</v>
      </c>
      <c r="BH640">
        <f>IF(AV640=0,0,$BG$555*$AM$534)</f>
        <v>0</v>
      </c>
      <c r="BI640">
        <f>IFERROR(BH640/$AU$555,0)</f>
        <v>0</v>
      </c>
      <c r="BJ640">
        <f>BH640*($F$22+IF($F$22=0,0,($C$14+$C$15+IF($C$13="single",1.5,3)+3)/12))</f>
        <v>0</v>
      </c>
      <c r="BK640">
        <f>BJ640-BA640</f>
        <v>0</v>
      </c>
      <c r="BL640" cm="1">
        <f t="array" ref="BL640">IFERROR(IF(BK640&lt;0,0,BK640/($AU$555-INDEX(hd_off,MATCH(BT640,hd_mark,0),0)/12)),0)</f>
        <v>0</v>
      </c>
      <c r="BM640">
        <f>MAX($F$22,$BC$555)/$Q$564</f>
        <v>0.30172413793103448</v>
      </c>
      <c r="BN640">
        <f t="shared" ref="BN640:BN641" si="389">IF(BM640=0,0,IF(BM640&gt;2,1.25-0.125*BM640,1))</f>
        <v>1</v>
      </c>
      <c r="BO640" cm="1">
        <f t="array" ref="BO640">IFERROR(INDEX(sheath_ecap_asd,MATCH(BS640,sheath_mark,0),0)*BN640,0)</f>
        <v>0</v>
      </c>
      <c r="BP640" cm="1">
        <f t="array" ref="BP640">IFERROR(INDEX(sheath_wcap_asd,MATCH(BS640,sheath_mark,0),0)*BN640,0)</f>
        <v>0</v>
      </c>
      <c r="BQ640" cm="1">
        <f t="array" ref="BQ640">IFERROR(INDEX(hd_cap,MATCH(BT640,hd_mark,0),0),0)</f>
        <v>0</v>
      </c>
      <c r="BS640" s="19"/>
      <c r="BT640" s="19"/>
      <c r="BU640" s="100"/>
    </row>
    <row r="641" x14ac:dyDescent="0.25">
      <c r="P641" s="93"/>
      <c r="Q641" s="109" t="s">
        <v>491</v>
      </c>
      <c r="R641" t="str">
        <f>$Q$535</f>
        <v>L4</v>
      </c>
      <c r="S641">
        <f>$E$23</f>
        <v>0</v>
      </c>
      <c r="T641" cm="1">
        <f t="array" ref="T641">IFERROR(IF(S641=0,0,(INDEX($C$33:$C$38,MATCH($W$555,$B$33:$B$38,0),0)*(S643+$X$555)+$T$555*COUNTIF(S641:S655,"&gt;0")*$C$32+$V$555*$C$31)*$R$555),0)</f>
        <v>0</v>
      </c>
      <c r="U641">
        <f>IF(S641=0,0,-(COUNTIF(S641:S655,"&gt;0")*$T$555*$C$32+$V$555*$C$31)*$H$27*$R$555)</f>
        <v>0</v>
      </c>
      <c r="V641">
        <f>IF(S641=0,0,$V$555*$H$26*$R$555)</f>
        <v>0</v>
      </c>
      <c r="W641">
        <f>(0.6*T641+0.7*U641)*$R$555/2</f>
        <v>0</v>
      </c>
      <c r="X641">
        <f>T641*$R$555/2</f>
        <v>0</v>
      </c>
      <c r="Z641">
        <f>IF(S641=0,0,$AD$555*$AP$535)</f>
        <v>0</v>
      </c>
      <c r="AA641">
        <f>IFERROR(Z641/$R$555,0)</f>
        <v>0</v>
      </c>
      <c r="AB641">
        <f>Z641*($F$23+IF($F$23=0,0,($C$14+$C$15+IF($C$13="single",1.5,3)+3)/12))</f>
        <v>0</v>
      </c>
      <c r="AC641">
        <f>AB641-W641</f>
        <v>0</v>
      </c>
      <c r="AD641" cm="1">
        <f t="array" ref="AD641">IFERROR(IF(AC641&lt;0,0,AC641/($R$555-INDEX(hd_off,MATCH(AQ641,hd_mark,0),0)/12)),0)</f>
        <v>0</v>
      </c>
      <c r="AE641">
        <f>IF(S641=0,0,$AD$555*$AM$535)</f>
        <v>0</v>
      </c>
      <c r="AF641">
        <f>IFERROR(AE641/$R$555,0)</f>
        <v>0</v>
      </c>
      <c r="AG641">
        <f>AE641*($F$23+IF($F$23=0,0,($C$14+$C$15+IF($C$13="single",1.5,3)+3)/12))</f>
        <v>0</v>
      </c>
      <c r="AH641">
        <f>AG641-X641</f>
        <v>0</v>
      </c>
      <c r="AI641" cm="1">
        <f t="array" ref="AI641">IFERROR(IF(AH641&lt;0,0,AH641/($R$555-INDEX(hd_off,MATCH(AQ641,hd_mark,0),0)/12)),0)</f>
        <v>0</v>
      </c>
      <c r="AJ641">
        <f>MAX($F$23,$AA$555)/$Q$564</f>
        <v>0</v>
      </c>
      <c r="AK641">
        <f t="shared" si="388"/>
        <v>0</v>
      </c>
      <c r="AL641" cm="1">
        <f t="array" ref="AL641">IFERROR(INDEX(sheath_ecap_asd,MATCH(AP641,sheath_mark,0),0)*AK641,0)</f>
        <v>0</v>
      </c>
      <c r="AM641" cm="1">
        <f t="array" ref="AM641">IFERROR(INDEX(sheath_wcap_asd,MATCH(AP641,sheath_mark,0),0)*AK641,0)</f>
        <v>0</v>
      </c>
      <c r="AN641" cm="1">
        <f t="array" ref="AN641">IFERROR(INDEX(hd_cap,MATCH(AQ641,hd_mark,0),0),0)</f>
        <v>0</v>
      </c>
      <c r="AP641" s="19"/>
      <c r="AQ641" s="19"/>
      <c r="AR641" s="100"/>
      <c r="AS641" s="93"/>
      <c r="AT641" s="109" t="s">
        <v>491</v>
      </c>
      <c r="AU641" t="str">
        <f>$Q$535</f>
        <v>L4</v>
      </c>
      <c r="AV641">
        <f>$E$23</f>
        <v>0</v>
      </c>
      <c r="AW641" cm="1">
        <f t="array" ref="AW641">IFERROR(IF(AV641=0,0,(INDEX($C$33:$C$38,MATCH($AZ$555,$B$33:$B$38,0),0)*(AV643+$BA$555)+$AW$555*COUNTIF(AV641:AV655,"&gt;0")*$C$32+$AY$555*$C$31)*$AU$555),0)</f>
        <v>0</v>
      </c>
      <c r="AX641">
        <f>IF(AV641=0,0,-(COUNTIF(AV641:AV655,"&gt;0")*$AW$555*$C$32+$AY$555*$C$31)*$H$27*$AU$555)</f>
        <v>0</v>
      </c>
      <c r="AY641">
        <f>IF(AV641=0,0,$AY$555*$H$26*$AU$555)</f>
        <v>0</v>
      </c>
      <c r="AZ641">
        <f>(0.6*AW641+0.7*AX641)*$AU$555/2</f>
        <v>0</v>
      </c>
      <c r="BA641">
        <f>AW641*$AU$555/2</f>
        <v>0</v>
      </c>
      <c r="BC641">
        <f>IF(AV641=0,0,$BG$555*$AP$535)</f>
        <v>0</v>
      </c>
      <c r="BD641">
        <f>IFERROR(BC641/$AU$555,0)</f>
        <v>0</v>
      </c>
      <c r="BE641">
        <f>BC641*($F$23+IF($F$23=0,0,($C$14+$C$15+IF($C$13="single",1.5,3)+3)/12))</f>
        <v>0</v>
      </c>
      <c r="BF641">
        <f>BE641-AZ641</f>
        <v>0</v>
      </c>
      <c r="BG641" cm="1">
        <f t="array" ref="BG641">IFERROR(IF(BF641&lt;0,0,BF641/($AU$555-INDEX(hd_off,MATCH(BT641,hd_mark,0),0)/12)),0)</f>
        <v>0</v>
      </c>
      <c r="BH641">
        <f>IF(AV641=0,0,$BG$555*$AM$535)</f>
        <v>0</v>
      </c>
      <c r="BI641">
        <f>IFERROR(BH641/$AU$555,0)</f>
        <v>0</v>
      </c>
      <c r="BJ641">
        <f>BH641*($F$23+IF($F$23=0,0,($C$14+$C$15+IF($C$13="single",1.5,3)+3)/12))</f>
        <v>0</v>
      </c>
      <c r="BK641">
        <f>BJ641-BA641</f>
        <v>0</v>
      </c>
      <c r="BL641" cm="1">
        <f t="array" ref="BL641">IFERROR(IF(BK641&lt;0,0,BK641/($AU$555-INDEX(hd_off,MATCH(BT641,hd_mark,0),0)/12)),0)</f>
        <v>0</v>
      </c>
      <c r="BM641">
        <f>MAX($F$23,$BD$555)/$Q$564</f>
        <v>0</v>
      </c>
      <c r="BN641">
        <f t="shared" si="389"/>
        <v>0</v>
      </c>
      <c r="BO641" cm="1">
        <f t="array" ref="BO641">IFERROR(INDEX(sheath_ecap_asd,MATCH(BS641,sheath_mark,0),0)*BN641,0)</f>
        <v>0</v>
      </c>
      <c r="BP641" cm="1">
        <f t="array" ref="BP641">IFERROR(INDEX(sheath_wcap_asd,MATCH(BS641,sheath_mark,0),0)*BN641,0)</f>
        <v>0</v>
      </c>
      <c r="BQ641" cm="1">
        <f t="array" ref="BQ641">IFERROR(INDEX(hd_cap,MATCH(BT641,hd_mark,0),0),0)</f>
        <v>0</v>
      </c>
      <c r="BS641" s="19"/>
      <c r="BT641" s="19"/>
      <c r="BU641" s="100"/>
    </row>
    <row r="642" x14ac:dyDescent="0.25">
      <c r="P642" s="93"/>
      <c r="Q642" s="111">
        <f>$R$555</f>
        <v>0</v>
      </c>
      <c r="R642" t="str">
        <f>$Q$536</f>
        <v>L5</v>
      </c>
      <c r="S642">
        <f>$E$24</f>
        <v>0</v>
      </c>
      <c r="T642" cm="1">
        <f t="array" ref="T642">IFERROR(IF(S655=0,0,(INDEX($C$33:$C$38,MATCH($W$555,$B$33:$B$38,0),0)*(S643+$X$555)+$T$555*COUNTIF(S655:S655,"&gt;0")*$C$32+$V$555*$C$31)*$R$555),0)</f>
        <v>0</v>
      </c>
      <c r="U642">
        <f>IF(S655=0,0,-(COUNTIF(S655:S655,"&gt;0")*$T$555*$C$32+$V$555*$C$31)*$H$27*$R$555)</f>
        <v>0</v>
      </c>
      <c r="V642">
        <f>IF(S655=0,0,$V$555*$H$26*$R$555)</f>
        <v>0</v>
      </c>
      <c r="W642">
        <f>(0.6*T655+0.7*U655)*$R$555/2</f>
        <v>0</v>
      </c>
      <c r="X642">
        <f>T655*$R$555/2</f>
        <v>0</v>
      </c>
      <c r="Z642">
        <f>IF(S655=0,0,$AD$555*$AP$536)</f>
        <v>0</v>
      </c>
      <c r="AA642">
        <f>IFERROR(Z655/$R$555,0)</f>
        <v>0</v>
      </c>
      <c r="AB642">
        <f>Z655*($F$24+IF($F$24=0,0,($C$14+$C$15+IF($C$13="single",1.5,3)+3)/12))</f>
        <v>0</v>
      </c>
      <c r="AC642">
        <f>AB655-W655</f>
        <v>0</v>
      </c>
      <c r="AD642" cm="1">
        <f t="array" ref="AD642">IFERROR(IF(AC655&lt;0,0,AC655/($R$555-INDEX(hd_off,MATCH(AQ655,hd_mark,0),0)/12)),0)</f>
        <v>0</v>
      </c>
      <c r="AE642">
        <f>IF(S655=0,0,$AD$555*$AM$536)</f>
        <v>0</v>
      </c>
      <c r="AF642">
        <f>IFERROR(AE655/$R$555,0)</f>
        <v>0</v>
      </c>
      <c r="AG642">
        <f>AE655*($F$24+IF($F$24=0,0,($C$14+$C$15+IF($C$13="single",1.5,3)+3)/12))</f>
        <v>0</v>
      </c>
      <c r="AH642">
        <f>AG655-X655</f>
        <v>0</v>
      </c>
      <c r="AI642" cm="1">
        <f t="array" ref="AI642">IFERROR(IF(AH655&lt;0,0,AH655/($R$555-INDEX(hd_off,MATCH(AQ655,hd_mark,0),0)/12)),0)</f>
        <v>0</v>
      </c>
      <c r="AJ642">
        <f>MAX($F$24,$AB$555)/$Q$564</f>
        <v>0</v>
      </c>
      <c r="AK642">
        <f>IF(AJ655=0,0,IF(AJ655&gt;2,1.25-0.125*AJ655,1))</f>
        <v>1</v>
      </c>
      <c r="AL642" cm="1">
        <f t="array" ref="AL642">IFERROR(INDEX(sheath_ecap_asd,MATCH(AP655,sheath_mark,0),0)*AK655,0)</f>
        <v>0</v>
      </c>
      <c r="AM642" cm="1">
        <f t="array" ref="AM642">IFERROR(INDEX(sheath_wcap_asd,MATCH(AP655,sheath_mark,0),0)*AK655,0)</f>
        <v>0</v>
      </c>
      <c r="AN642" cm="1">
        <f t="array" ref="AN642">IFERROR(INDEX(hd_cap,MATCH(AQ655,hd_mark,0),0),0)</f>
        <v>0</v>
      </c>
      <c r="AP642" s="19"/>
      <c r="AQ642" s="19"/>
      <c r="AR642" s="100"/>
      <c r="AS642" s="93"/>
      <c r="AT642" s="111">
        <f>$R$555</f>
        <v>0</v>
      </c>
      <c r="AU642" t="str">
        <f>$Q$536</f>
        <v>L5</v>
      </c>
      <c r="AV642">
        <f>$E$24</f>
        <v>0</v>
      </c>
      <c r="AW642" cm="1">
        <f t="array" ref="AW642">IFERROR(IF(AV655=0,0,(INDEX($C$33:$C$38,MATCH($AZ$555,$B$33:$B$38,0),0)*(AV643+$BA$555)+$AW$555*COUNTIF(AV655:AV655,"&gt;0")*$C$32+$AY$555*$C$31)*$AU$555),0)</f>
        <v>0</v>
      </c>
      <c r="AX642">
        <f>IF(AV655=0,0,-(COUNTIF(AV655:AV655,"&gt;0")*$AW$555*$C$32+$AY$555*$C$31)*$H$27*$AU$555)</f>
        <v>0</v>
      </c>
      <c r="AY642">
        <f>IF(AV655=0,0,$AY$555*$H$26*$AU$555)</f>
        <v>0</v>
      </c>
      <c r="AZ642">
        <f>(0.6*AW655+0.7*AX655)*$AU$555/2</f>
        <v>0</v>
      </c>
      <c r="BA642">
        <f>AW655*$AU$555/2</f>
        <v>0</v>
      </c>
      <c r="BC642">
        <f>IF(AV655=0,0,$BG$555*$AP$536)</f>
        <v>0</v>
      </c>
      <c r="BD642">
        <f>IFERROR(BC655/$AU$555,0)</f>
        <v>0</v>
      </c>
      <c r="BE642">
        <f>BC655*($F$24+IF($F$24=0,0,($C$14+$C$15+IF($C$13="single",1.5,3)+3)/12))</f>
        <v>0</v>
      </c>
      <c r="BF642">
        <f>BE655-AZ655</f>
        <v>0</v>
      </c>
      <c r="BG642" cm="1">
        <f t="array" ref="BG642">IFERROR(IF(BF655&lt;0,0,BF655/($AU$555-INDEX(hd_off,MATCH(BT655,hd_mark,0),0)/12)),0)</f>
        <v>0</v>
      </c>
      <c r="BH642">
        <f>IF(AV655=0,0,$BG$555*$AM$536)</f>
        <v>0</v>
      </c>
      <c r="BI642">
        <f>IFERROR(BH655/$AU$555,0)</f>
        <v>0</v>
      </c>
      <c r="BJ642">
        <f>BH655*($F$24+IF($F$24=0,0,($C$14+$C$15+IF($C$13="single",1.5,3)+3)/12))</f>
        <v>0</v>
      </c>
      <c r="BK642">
        <f>BJ655-BA655</f>
        <v>0</v>
      </c>
      <c r="BL642" cm="1">
        <f t="array" ref="BL642">IFERROR(IF(BK655&lt;0,0,BK655/($AU$555-INDEX(hd_off,MATCH(BT655,hd_mark,0),0)/12)),0)</f>
        <v>0</v>
      </c>
      <c r="BM642">
        <f>MAX($F$24,$BE$555)/$Q$564</f>
        <v>0</v>
      </c>
      <c r="BN642">
        <f>IF(BM655=0,0,IF(BM655&gt;2,1.25-0.125*BM655,1))</f>
        <v>0</v>
      </c>
      <c r="BO642" cm="1">
        <f t="array" ref="BO642">IFERROR(INDEX(sheath_ecap_asd,MATCH(BS655,sheath_mark,0),0)*BN655,0)</f>
        <v>0</v>
      </c>
      <c r="BP642" cm="1">
        <f t="array" ref="BP642">IFERROR(INDEX(sheath_wcap_asd,MATCH(BS655,sheath_mark,0),0)*BN655,0)</f>
        <v>0</v>
      </c>
      <c r="BQ642" cm="1">
        <f t="array" ref="BQ642">IFERROR(INDEX(hd_cap,MATCH(BT655,hd_mark,0),0),0)</f>
        <v>0</v>
      </c>
      <c r="BS642" s="19"/>
      <c r="BT642" s="19"/>
      <c r="BU642" s="100"/>
    </row>
    <row r="643" x14ac:dyDescent="0.25">
      <c r="P643" s="93"/>
      <c r="Q643" s="109"/>
      <c r="R643" t="str">
        <f>$Q$537</f>
        <v>Roof</v>
      </c>
      <c r="S643">
        <f>$E$25</f>
        <v>33.171875</v>
      </c>
      <c r="T643" cm="1">
        <f t="array" ref="T643">IFERROR(IF(S643=0,0,(INDEX($C$33:$C$38,MATCH($W$555,$B$33:$B$38,0),0)*(S643+$X$555)+$V$555*$C$31)*$R$555),0)</f>
        <v>0</v>
      </c>
      <c r="U643">
        <f>IF(S643=0,0,-$V$555*$C$31*$H$27*$R$555)</f>
        <v>0</v>
      </c>
      <c r="V643">
        <f>IF(S643=0,0,$V$555*$H$26*$R$555)</f>
        <v>0</v>
      </c>
      <c r="W643">
        <f>(0.6*T643+0.7*U643)*$R$555/2</f>
        <v>0</v>
      </c>
      <c r="X643">
        <f>T643*$R$555/2</f>
        <v>0</v>
      </c>
      <c r="Z643">
        <f>IF(S643=0,0,$AD$555*$AP$537)</f>
        <v>0</v>
      </c>
      <c r="AA643">
        <f>IFERROR(Z643/$R$555,0)</f>
        <v>0</v>
      </c>
      <c r="AB643">
        <f>Z643*($F$25+($C$16+$C$17+IF($C$13="single",1.5,3)+3)/12)</f>
        <v>0</v>
      </c>
      <c r="AC643">
        <f>AB643-W643</f>
        <v>0</v>
      </c>
      <c r="AD643" cm="1">
        <f t="array" ref="AD643">IFERROR(IF(AC643&lt;0,0,AC643/($R$555-INDEX(hd_off,MATCH(AQ643,hd_mark,0),0)/12)),0)</f>
        <v>0</v>
      </c>
      <c r="AE643">
        <f>IF(S643=0,0,$AD$555*$AM$537)</f>
        <v>0</v>
      </c>
      <c r="AF643">
        <f>IFERROR(AE643/$R$555,0)</f>
        <v>0</v>
      </c>
      <c r="AG643">
        <f>AE643*($F$25+($C$16+$C$17+IF($C$13="single",1.5,3)+3)/12)</f>
        <v>0</v>
      </c>
      <c r="AH643">
        <f>AG643-X643</f>
        <v>0</v>
      </c>
      <c r="AI643" cm="1">
        <f t="array" ref="AI643">IFERROR(IF(AH643&lt;0,0,AH643/($R$555-INDEX(hd_off,MATCH(AQ643,hd_mark,0),0)/12)),0)</f>
        <v>0</v>
      </c>
      <c r="AJ643">
        <f>MAX($F$25,$AC$555)/$Q$564</f>
        <v>0.29920977011494249</v>
      </c>
      <c r="AK643">
        <f t="shared" si="388"/>
        <v>1</v>
      </c>
      <c r="AL643" cm="1">
        <f t="array" ref="AL643">IFERROR(INDEX(sheath_ecap_asd,MATCH(AP643,sheath_mark,0),0)*AK643,0)</f>
        <v>0</v>
      </c>
      <c r="AM643" cm="1">
        <f t="array" ref="AM643">IFERROR(INDEX(sheath_wcap_asd,MATCH(AP643,sheath_mark,0),0)*AK643,0)</f>
        <v>0</v>
      </c>
      <c r="AN643" cm="1">
        <f t="array" ref="AN643">IFERROR(INDEX(hd_cap,MATCH(AQ643,hd_mark,0),0),0)</f>
        <v>0</v>
      </c>
      <c r="AP643" s="19"/>
      <c r="AQ643" s="19"/>
      <c r="AR643" s="100"/>
      <c r="AS643" s="93"/>
      <c r="AT643" s="109"/>
      <c r="AU643" t="str">
        <f>$Q$537</f>
        <v>Roof</v>
      </c>
      <c r="AV643">
        <f>$E$25</f>
        <v>33.171875</v>
      </c>
      <c r="AW643" cm="1">
        <f t="array" ref="AW643">IFERROR(IF(AV643=0,0,(INDEX($C$33:$C$38,MATCH($AZ$555,$B$33:$B$38,0),0)*(AV643+$BA$555)+$AY$555*$C$31)*$AU$555),0)</f>
        <v>0</v>
      </c>
      <c r="AX643">
        <f>IF(AV643=0,0,-$AY$555*$C$31*$H$27*$AU$555)</f>
        <v>0</v>
      </c>
      <c r="AY643">
        <f>IF(AV643=0,0,$AY$555*$H$26*$AU$555)</f>
        <v>0</v>
      </c>
      <c r="AZ643">
        <f>(0.6*AW643+0.7*AX643)*$AU$555/2</f>
        <v>0</v>
      </c>
      <c r="BA643">
        <f>AW643*$AU$555/2</f>
        <v>0</v>
      </c>
      <c r="BC643">
        <f>IF(AV643=0,0,$BG$555*$AP$537)</f>
        <v>0</v>
      </c>
      <c r="BD643">
        <f>IFERROR(BC643/$AU$555,0)</f>
        <v>0</v>
      </c>
      <c r="BE643">
        <f>BC643*($F$25+($C$16+$C$17+IF($C$13="single",1.5,3)+3)/12)</f>
        <v>0</v>
      </c>
      <c r="BF643">
        <f>BE643-AZ643</f>
        <v>0</v>
      </c>
      <c r="BG643" cm="1">
        <f t="array" ref="BG643">IFERROR(IF(BF643&lt;0,0,BF643/($AU$555-INDEX(hd_off,MATCH(BT643,hd_mark,0),0)/12)),0)</f>
        <v>0</v>
      </c>
      <c r="BH643">
        <f>IF(AV643=0,0,$BG$555*$AM$537)</f>
        <v>0</v>
      </c>
      <c r="BI643">
        <f>IFERROR(BH643/$AU$555,0)</f>
        <v>0</v>
      </c>
      <c r="BJ643">
        <f>BH643*($F$25+($C$16+$C$17+IF($C$13="single",1.5,3)+3)/12)</f>
        <v>0</v>
      </c>
      <c r="BK643">
        <f>BJ643-BA643</f>
        <v>0</v>
      </c>
      <c r="BL643" cm="1">
        <f t="array" ref="BL643">IFERROR(IF(BK643&lt;0,0,BK643/($AU$555-INDEX(hd_off,MATCH(BT643,hd_mark,0),0)/12)),0)</f>
        <v>0</v>
      </c>
      <c r="BM643">
        <f>MAX($F$25,$BF$555)/$Q$564</f>
        <v>0.29920977011494249</v>
      </c>
      <c r="BN643">
        <f t="shared" ref="BN643" si="390">IF(BM643=0,0,IF(BM643&gt;2,1.25-0.125*BM643,1))</f>
        <v>1</v>
      </c>
      <c r="BO643" cm="1">
        <f t="array" ref="BO643">IFERROR(INDEX(sheath_ecap_asd,MATCH(BS643,sheath_mark,0),0)*BN643,0)</f>
        <v>0</v>
      </c>
      <c r="BP643" cm="1">
        <f t="array" ref="BP643">IFERROR(INDEX(sheath_wcap_asd,MATCH(BS643,sheath_mark,0),0)*BN643,0)</f>
        <v>0</v>
      </c>
      <c r="BQ643" cm="1">
        <f t="array" ref="BQ643">IFERROR(INDEX(hd_cap,MATCH(BT643,hd_mark,0),0),0)</f>
        <v>0</v>
      </c>
      <c r="BS643" s="19"/>
      <c r="BT643" s="19"/>
      <c r="BU643" s="100"/>
    </row>
    <row r="644" x14ac:dyDescent="0.25">
      <c r="P644" s="93"/>
      <c r="AR644" s="100"/>
      <c r="AS644" s="93"/>
      <c r="BU644" s="100"/>
    </row>
    <row r="645" x14ac:dyDescent="0.25">
      <c r="P645" s="93"/>
      <c r="Q645" s="110" t="str">
        <f>$Q$556</f>
        <v>A.15</v>
      </c>
      <c r="R645" t="str">
        <f>$Q$533</f>
        <v>L2</v>
      </c>
      <c r="S645">
        <f>$E$21</f>
        <v>10.6875</v>
      </c>
      <c r="T645" cm="1">
        <f t="array" ref="T645">IFERROR(IF(S645=0,0,(INDEX($C$33:$C$38,MATCH($W$556,$B$33:$B$38,0),0)*(S649+$X$556)+$T$556*COUNTIF(S645:S648,"&gt;0")*$C$32+$V$556*$C$31)*$R$556),0)</f>
        <v>0</v>
      </c>
      <c r="U645">
        <f>IF(S645=0,0,-(COUNTIF(S645:S648,"&gt;0")*$T$556*$C$32+$V$556*$C$31)*$H$27*$R$556)</f>
        <v>0</v>
      </c>
      <c r="V645">
        <f>IF(S645=0,0,$V$556*$H$26*$R$556)</f>
        <v>0</v>
      </c>
      <c r="W645">
        <f>(0.6*T645+0.7*U645)*$R$556/2</f>
        <v>0</v>
      </c>
      <c r="X645">
        <f>(0.6*T645+0.6*V645)*$R$556/2</f>
        <v>0</v>
      </c>
      <c r="Z645">
        <f>IF(S645=0,0,$AD$556*$AP$533)</f>
        <v>0</v>
      </c>
      <c r="AA645">
        <f>IFERROR(Z645/$R$556,0)</f>
        <v>0</v>
      </c>
      <c r="AB645">
        <f>Z645*($F$21+IF($F$21=0,0,($C$14+$C$15+IF($C$13="single",1.5,3)+3)/12))</f>
        <v>0</v>
      </c>
      <c r="AC645">
        <f>AB645-W645</f>
        <v>0</v>
      </c>
      <c r="AD645" cm="1">
        <f t="array" ref="AD645">IFERROR(IF(AC645&lt;0,0,AC645/($R$556-INDEX(hd_off,MATCH(AQ645,hd_mark,0),0)/12)),0)</f>
        <v>0</v>
      </c>
      <c r="AE645">
        <f>IF(S645=0,0,$AD$556*$AM$533)</f>
        <v>0</v>
      </c>
      <c r="AF645">
        <f>IFERROR(AE645/$R$556,0)</f>
        <v>0</v>
      </c>
      <c r="AG645">
        <f>AE645*($F$21+IF($F$21=0,0,($C$14+$C$15+IF($C$13="single",1.5,3)+3)/12))</f>
        <v>0</v>
      </c>
      <c r="AH645">
        <f>AG645-X645</f>
        <v>0</v>
      </c>
      <c r="AI645" cm="1">
        <f t="array" ref="AI645">IFERROR(IF(AH645&lt;0,0,AH645/($R$556-INDEX(hd_off,MATCH(AQ645,hd_mark,0),0)/12)),0)</f>
        <v>0</v>
      </c>
      <c r="AJ645">
        <f>MAX($F$21,$Y$556)/$Q$564</f>
        <v>0.30172413793103448</v>
      </c>
      <c r="AK645">
        <f>IF(AJ645=0,0,IF(AJ645&gt;2,1.25-0.125*AJ645,1))</f>
        <v>1</v>
      </c>
      <c r="AL645" cm="1">
        <f t="array" ref="AL645">IFERROR(INDEX(sheath_ecap_asd,MATCH(AP645,sheath_mark,0),0)*AK645,0)</f>
        <v>0</v>
      </c>
      <c r="AM645" cm="1">
        <f t="array" ref="AM645">IFERROR(INDEX(sheath_wcap_asd,MATCH(AP645,sheath_mark,0),0)*AK645,0)</f>
        <v>0</v>
      </c>
      <c r="AN645" cm="1">
        <f t="array" ref="AN645">IFERROR(INDEX(hd_cap,MATCH(AQ645,hd_mark,0),0),0)</f>
        <v>0</v>
      </c>
      <c r="AP645" s="19"/>
      <c r="AQ645" s="19"/>
      <c r="AR645" s="100"/>
      <c r="AS645" s="93"/>
      <c r="AT645" s="110" t="str">
        <f>$AT$556</f>
        <v>1.15</v>
      </c>
      <c r="AU645" t="str">
        <f>$Q$533</f>
        <v>L2</v>
      </c>
      <c r="AV645">
        <f>$E$21</f>
        <v>10.6875</v>
      </c>
      <c r="AW645" cm="1">
        <f t="array" ref="AW645">IFERROR(IF(AV645=0,0,(INDEX($C$33:$C$38,MATCH($AZ$556,$B$33:$B$38,0),0)*(AV649+$BA$556)+$AW$556*COUNTIF(AV645:AV648,"&gt;0")*$C$32+$AY$556*$C$31)*$AU$556),0)</f>
        <v>0</v>
      </c>
      <c r="AX645">
        <f>IF(AV645=0,0,-(COUNTIF(AV645:AV648,"&gt;0")*$AW$556*$C$32+$AY$556*$C$31)*$H$27*$AU$556)</f>
        <v>0</v>
      </c>
      <c r="AY645">
        <f>IF(AV645=0,0,$AY$556*$H$26*$AU$556)</f>
        <v>0</v>
      </c>
      <c r="AZ645">
        <f>(0.6*AW645+0.7*AX645)*$AU$556/2</f>
        <v>0</v>
      </c>
      <c r="BA645">
        <f>(0.6*AW645+0.6*AY645)*$AU$556/2</f>
        <v>0</v>
      </c>
      <c r="BC645">
        <f>IF(AV645=0,0,$BG$556*$AP$533)</f>
        <v>0</v>
      </c>
      <c r="BD645">
        <f>IFERROR(BC645/$AU$556,0)</f>
        <v>0</v>
      </c>
      <c r="BE645">
        <f>BC645*($F$21+IF($F$21=0,0,($C$14+$C$15+IF($C$13="single",1.5,3)+3)/12))</f>
        <v>0</v>
      </c>
      <c r="BF645">
        <f>BE645-AZ645</f>
        <v>0</v>
      </c>
      <c r="BG645" cm="1">
        <f t="array" ref="BG645">IFERROR(IF(BF645&lt;0,0,BF645/($AU$556-INDEX(hd_off,MATCH(BT645,hd_mark,0),0)/12)),0)</f>
        <v>0</v>
      </c>
      <c r="BH645">
        <f>IF(AV645=0,0,$BG$556*$AM$533)</f>
        <v>0</v>
      </c>
      <c r="BI645">
        <f>IFERROR(BH645/$AU$556,0)</f>
        <v>0</v>
      </c>
      <c r="BJ645">
        <f>BH645*($F$21+IF($F$21=0,0,($C$14+$C$15+IF($C$13="single",1.5,3)+3)/12))</f>
        <v>0</v>
      </c>
      <c r="BK645">
        <f>BJ645-BA645</f>
        <v>0</v>
      </c>
      <c r="BL645" cm="1">
        <f t="array" ref="BL645">IFERROR(IF(BK645&lt;0,0,BK645/($AU$556-INDEX(hd_off,MATCH(BT645,hd_mark,0),0)/12)),0)</f>
        <v>0</v>
      </c>
      <c r="BM645">
        <f>MAX($F$21,$BB$556)/$Q$564</f>
        <v>0.30172413793103448</v>
      </c>
      <c r="BN645">
        <f>IF(BM645=0,0,IF(BM645&gt;2,1.25-0.125*BM645,1))</f>
        <v>1</v>
      </c>
      <c r="BO645" cm="1">
        <f t="array" ref="BO645">IFERROR(INDEX(sheath_ecap_asd,MATCH(BS645,sheath_mark,0),0)*BN645,0)</f>
        <v>0</v>
      </c>
      <c r="BP645" cm="1">
        <f t="array" ref="BP645">IFERROR(INDEX(sheath_wcap_asd,MATCH(BS645,sheath_mark,0),0)*BN645,0)</f>
        <v>0</v>
      </c>
      <c r="BQ645" cm="1">
        <f t="array" ref="BQ645">IFERROR(INDEX(hd_cap,MATCH(BT645,hd_mark,0),0),0)</f>
        <v>0</v>
      </c>
      <c r="BS645" s="19"/>
      <c r="BT645" s="19"/>
      <c r="BU645" s="100"/>
    </row>
    <row r="646" x14ac:dyDescent="0.25">
      <c r="P646" s="93"/>
      <c r="Q646" s="109"/>
      <c r="R646" t="str">
        <f>$Q$534</f>
        <v>L3</v>
      </c>
      <c r="S646">
        <f>$E$22</f>
        <v>21.375</v>
      </c>
      <c r="T646" cm="1">
        <f t="array" ref="T646">IFERROR(IF(S646=0,0,(INDEX($C$33:$C$38,MATCH($W$556,$B$33:$B$38,0),0)*(S649+$X$556)+$T$556*COUNTIF(S646:S648,"&gt;0")*$C$32+$V$556*$C$31)*$R$556),0)</f>
        <v>0</v>
      </c>
      <c r="U646">
        <f>IF(S646=0,0,-(COUNTIF(S646:S648,"&gt;0")*$T$556*$C$32+$V$556*$C$31)*$H$27*$R$556)</f>
        <v>0</v>
      </c>
      <c r="V646">
        <f>IF(S646=0,0,$V$556*$H$26*$R$556)</f>
        <v>0</v>
      </c>
      <c r="W646">
        <f>(0.6*T646+0.7*U646)*$R$556/2</f>
        <v>0</v>
      </c>
      <c r="X646">
        <f>T646*$R$556/2</f>
        <v>0</v>
      </c>
      <c r="Z646">
        <f>IF(S646=0,0,$AD$556*$AP$534)</f>
        <v>0</v>
      </c>
      <c r="AA646">
        <f>IFERROR(Z646/$R$556,0)</f>
        <v>0</v>
      </c>
      <c r="AB646">
        <f>Z646*($F$22+IF($F$22=0,0,($C$14+$C$15+IF($C$13="single",1.5,3)+3)/12))</f>
        <v>0</v>
      </c>
      <c r="AC646">
        <f>AB646-W646</f>
        <v>0</v>
      </c>
      <c r="AD646" cm="1">
        <f t="array" ref="AD646">IFERROR(IF(AC646&lt;0,0,AC646/($R$556-INDEX(hd_off,MATCH(AQ646,hd_mark,0),0)/12)),0)</f>
        <v>0</v>
      </c>
      <c r="AE646">
        <f>IF(S646=0,0,$AD$556*$AM$534)</f>
        <v>0</v>
      </c>
      <c r="AF646">
        <f>IFERROR(AE646/$R$556,0)</f>
        <v>0</v>
      </c>
      <c r="AG646">
        <f>AE646*($F$22+IF($F$22=0,0,($C$14+$C$15+IF($C$13="single",1.5,3)+3)/12))</f>
        <v>0</v>
      </c>
      <c r="AH646">
        <f>AG646-X646</f>
        <v>0</v>
      </c>
      <c r="AI646" cm="1">
        <f t="array" ref="AI646">IFERROR(IF(AH646&lt;0,0,AH646/($R$556-INDEX(hd_off,MATCH(AQ646,hd_mark,0),0)/12)),0)</f>
        <v>0</v>
      </c>
      <c r="AJ646">
        <f>MAX($F$22,$Z$556)/$Q$564</f>
        <v>0.30172413793103448</v>
      </c>
      <c r="AK646">
        <f t="shared" ref="AK646:AK649" si="391">IF(AJ646=0,0,IF(AJ646&gt;2,1.25-0.125*AJ646,1))</f>
        <v>1</v>
      </c>
      <c r="AL646" cm="1">
        <f t="array" ref="AL646">IFERROR(INDEX(sheath_ecap_asd,MATCH(AP646,sheath_mark,0),0)*AK646,0)</f>
        <v>0</v>
      </c>
      <c r="AM646" cm="1">
        <f t="array" ref="AM646">IFERROR(INDEX(sheath_wcap_asd,MATCH(AP646,sheath_mark,0),0)*AK646,0)</f>
        <v>0</v>
      </c>
      <c r="AN646" cm="1">
        <f t="array" ref="AN646">IFERROR(INDEX(hd_cap,MATCH(AQ646,hd_mark,0),0),0)</f>
        <v>0</v>
      </c>
      <c r="AP646" s="19"/>
      <c r="AQ646" s="19"/>
      <c r="AR646" s="100"/>
      <c r="AS646" s="93"/>
      <c r="AT646" s="109"/>
      <c r="AU646" t="str">
        <f>$Q$534</f>
        <v>L3</v>
      </c>
      <c r="AV646">
        <f>$E$22</f>
        <v>21.375</v>
      </c>
      <c r="AW646" cm="1">
        <f t="array" ref="AW646">IFERROR(IF(AV646=0,0,(INDEX($C$33:$C$38,MATCH($AZ$556,$B$33:$B$38,0),0)*(AV649+$BA$556)+$AW$556*COUNTIF(AV646:AV648,"&gt;0")*$C$32+$AY$556*$C$31)*$AU$556),0)</f>
        <v>0</v>
      </c>
      <c r="AX646">
        <f>IF(AV646=0,0,-(COUNTIF(AV646:AV648,"&gt;0")*$AW$556*$C$32+$AY$556*$C$31)*$H$27*$AU$556)</f>
        <v>0</v>
      </c>
      <c r="AY646">
        <f>IF(AV646=0,0,$AY$556*$H$26*$AU$556)</f>
        <v>0</v>
      </c>
      <c r="AZ646">
        <f>(0.6*AW646+0.7*AX646)*$AU$556/2</f>
        <v>0</v>
      </c>
      <c r="BA646">
        <f>AW646*$AU$556/2</f>
        <v>0</v>
      </c>
      <c r="BC646">
        <f>IF(AV646=0,0,$BG$556*$AP$534)</f>
        <v>0</v>
      </c>
      <c r="BD646">
        <f>IFERROR(BC646/$AU$556,0)</f>
        <v>0</v>
      </c>
      <c r="BE646">
        <f>BC646*($F$22+IF($F$22=0,0,($C$14+$C$15+IF($C$13="single",1.5,3)+3)/12))</f>
        <v>0</v>
      </c>
      <c r="BF646">
        <f>BE646-AZ646</f>
        <v>0</v>
      </c>
      <c r="BG646" cm="1">
        <f t="array" ref="BG646">IFERROR(IF(BF646&lt;0,0,BF646/($AU$556-INDEX(hd_off,MATCH(BT646,hd_mark,0),0)/12)),0)</f>
        <v>0</v>
      </c>
      <c r="BH646">
        <f>IF(AV646=0,0,$BG$556*$AM$534)</f>
        <v>0</v>
      </c>
      <c r="BI646">
        <f>IFERROR(BH646/$AU$556,0)</f>
        <v>0</v>
      </c>
      <c r="BJ646">
        <f>BH646*($F$22+IF($F$22=0,0,($C$14+$C$15+IF($C$13="single",1.5,3)+3)/12))</f>
        <v>0</v>
      </c>
      <c r="BK646">
        <f>BJ646-BA646</f>
        <v>0</v>
      </c>
      <c r="BL646" cm="1">
        <f t="array" ref="BL646">IFERROR(IF(BK646&lt;0,0,BK646/($AU$556-INDEX(hd_off,MATCH(BT646,hd_mark,0),0)/12)),0)</f>
        <v>0</v>
      </c>
      <c r="BM646">
        <f>MAX($F$22,$BC$556)/$Q$564</f>
        <v>0.30172413793103448</v>
      </c>
      <c r="BN646">
        <f t="shared" ref="BN646:BN649" si="392">IF(BM646=0,0,IF(BM646&gt;2,1.25-0.125*BM646,1))</f>
        <v>1</v>
      </c>
      <c r="BO646" cm="1">
        <f t="array" ref="BO646">IFERROR(INDEX(sheath_ecap_asd,MATCH(BS646,sheath_mark,0),0)*BN646,0)</f>
        <v>0</v>
      </c>
      <c r="BP646" cm="1">
        <f t="array" ref="BP646">IFERROR(INDEX(sheath_wcap_asd,MATCH(BS646,sheath_mark,0),0)*BN646,0)</f>
        <v>0</v>
      </c>
      <c r="BQ646" cm="1">
        <f t="array" ref="BQ646">IFERROR(INDEX(hd_cap,MATCH(BT646,hd_mark,0),0),0)</f>
        <v>0</v>
      </c>
      <c r="BS646" s="19"/>
      <c r="BT646" s="19"/>
      <c r="BU646" s="100"/>
    </row>
    <row r="647" x14ac:dyDescent="0.25">
      <c r="P647" s="93"/>
      <c r="Q647" s="109" t="s">
        <v>491</v>
      </c>
      <c r="R647" t="str">
        <f>$Q$535</f>
        <v>L4</v>
      </c>
      <c r="S647">
        <f>$E$23</f>
        <v>0</v>
      </c>
      <c r="T647" cm="1">
        <f t="array" ref="T647">IFERROR(IF(S647=0,0,(INDEX($C$33:$C$38,MATCH($W$556,$B$33:$B$38,0),0)*(S649+$X$556)+$T$556*COUNTIF(S647:S648,"&gt;0")*$C$32+$V$556*$C$31)*$R$556),0)</f>
        <v>0</v>
      </c>
      <c r="U647">
        <f>IF(S647=0,0,-(COUNTIF(S647:S648,"&gt;0")*$T$556*$C$32+$V$556*$C$31)*$H$27*$R$556)</f>
        <v>0</v>
      </c>
      <c r="V647">
        <f>IF(S647=0,0,$V$556*$H$26*$R$556)</f>
        <v>0</v>
      </c>
      <c r="W647">
        <f>(0.6*T647+0.7*U647)*$R$556/2</f>
        <v>0</v>
      </c>
      <c r="X647">
        <f>T647*$R$556/2</f>
        <v>0</v>
      </c>
      <c r="Z647">
        <f>IF(S647=0,0,$AD$556*$AP$535)</f>
        <v>0</v>
      </c>
      <c r="AA647">
        <f>IFERROR(Z647/$R$556,0)</f>
        <v>0</v>
      </c>
      <c r="AB647">
        <f>Z647*($F$23+IF($F$23=0,0,($C$14+$C$15+IF($C$13="single",1.5,3)+3)/12))</f>
        <v>0</v>
      </c>
      <c r="AC647">
        <f>AB647-W647</f>
        <v>0</v>
      </c>
      <c r="AD647" cm="1">
        <f t="array" ref="AD647">IFERROR(IF(AC647&lt;0,0,AC647/($R$556-INDEX(hd_off,MATCH(AQ647,hd_mark,0),0)/12)),0)</f>
        <v>0</v>
      </c>
      <c r="AE647">
        <f>IF(S647=0,0,$AD$556*$AM$535)</f>
        <v>0</v>
      </c>
      <c r="AF647">
        <f>IFERROR(AE647/$R$556,0)</f>
        <v>0</v>
      </c>
      <c r="AG647">
        <f>AE647*($F$23+IF($F$23=0,0,($C$14+$C$15+IF($C$13="single",1.5,3)+3)/12))</f>
        <v>0</v>
      </c>
      <c r="AH647">
        <f>AG647-X647</f>
        <v>0</v>
      </c>
      <c r="AI647" cm="1">
        <f t="array" ref="AI647">IFERROR(IF(AH647&lt;0,0,AH647/($R$556-INDEX(hd_off,MATCH(AQ647,hd_mark,0),0)/12)),0)</f>
        <v>0</v>
      </c>
      <c r="AJ647">
        <f>MAX($F$23,$AA$556)/$Q$564</f>
        <v>0</v>
      </c>
      <c r="AK647">
        <f t="shared" si="391"/>
        <v>0</v>
      </c>
      <c r="AL647" cm="1">
        <f t="array" ref="AL647">IFERROR(INDEX(sheath_ecap_asd,MATCH(AP647,sheath_mark,0),0)*AK647,0)</f>
        <v>0</v>
      </c>
      <c r="AM647" cm="1">
        <f t="array" ref="AM647">IFERROR(INDEX(sheath_wcap_asd,MATCH(AP647,sheath_mark,0),0)*AK647,0)</f>
        <v>0</v>
      </c>
      <c r="AN647" cm="1">
        <f t="array" ref="AN647">IFERROR(INDEX(hd_cap,MATCH(AQ647,hd_mark,0),0),0)</f>
        <v>0</v>
      </c>
      <c r="AP647" s="19"/>
      <c r="AQ647" s="19"/>
      <c r="AR647" s="100"/>
      <c r="AS647" s="93"/>
      <c r="AT647" s="109" t="s">
        <v>491</v>
      </c>
      <c r="AU647" t="str">
        <f>$Q$535</f>
        <v>L4</v>
      </c>
      <c r="AV647">
        <f>$E$23</f>
        <v>0</v>
      </c>
      <c r="AW647" cm="1">
        <f t="array" ref="AW647">IFERROR(IF(AV647=0,0,(INDEX($C$33:$C$38,MATCH($AZ$556,$B$33:$B$38,0),0)*(AV649+$BA$556)+$AW$556*COUNTIF(AV647:AV648,"&gt;0")*$C$32+$AY$556*$C$31)*$AU$556),0)</f>
        <v>0</v>
      </c>
      <c r="AX647">
        <f>IF(AV647=0,0,-(COUNTIF(AV647:AV648,"&gt;0")*$AW$556*$C$32+$AY$556*$C$31)*$H$27*$AU$556)</f>
        <v>0</v>
      </c>
      <c r="AY647">
        <f>IF(AV647=0,0,$AY$556*$H$26*$AU$556)</f>
        <v>0</v>
      </c>
      <c r="AZ647">
        <f>(0.6*AW647+0.7*AX647)*$AU$556/2</f>
        <v>0</v>
      </c>
      <c r="BA647">
        <f>AW647*$AU$556/2</f>
        <v>0</v>
      </c>
      <c r="BC647">
        <f>IF(AV647=0,0,$BG$556*$AP$535)</f>
        <v>0</v>
      </c>
      <c r="BD647">
        <f>IFERROR(BC647/$AU$556,0)</f>
        <v>0</v>
      </c>
      <c r="BE647">
        <f>BC647*($F$23+IF($F$23=0,0,($C$14+$C$15+IF($C$13="single",1.5,3)+3)/12))</f>
        <v>0</v>
      </c>
      <c r="BF647">
        <f>BE647-AZ647</f>
        <v>0</v>
      </c>
      <c r="BG647" cm="1">
        <f t="array" ref="BG647">IFERROR(IF(BF647&lt;0,0,BF647/($AU$556-INDEX(hd_off,MATCH(BT647,hd_mark,0),0)/12)),0)</f>
        <v>0</v>
      </c>
      <c r="BH647">
        <f>IF(AV647=0,0,$BG$556*$AM$535)</f>
        <v>0</v>
      </c>
      <c r="BI647">
        <f>IFERROR(BH647/$AU$556,0)</f>
        <v>0</v>
      </c>
      <c r="BJ647">
        <f>BH647*($F$23+IF($F$23=0,0,($C$14+$C$15+IF($C$13="single",1.5,3)+3)/12))</f>
        <v>0</v>
      </c>
      <c r="BK647">
        <f>BJ647-BA647</f>
        <v>0</v>
      </c>
      <c r="BL647" cm="1">
        <f t="array" ref="BL647">IFERROR(IF(BK647&lt;0,0,BK647/($AU$556-INDEX(hd_off,MATCH(BT647,hd_mark,0),0)/12)),0)</f>
        <v>0</v>
      </c>
      <c r="BM647">
        <f>MAX($F$23,$BD$556)/$Q$564</f>
        <v>0</v>
      </c>
      <c r="BN647">
        <f t="shared" si="392"/>
        <v>0</v>
      </c>
      <c r="BO647" cm="1">
        <f t="array" ref="BO647">IFERROR(INDEX(sheath_ecap_asd,MATCH(BS647,sheath_mark,0),0)*BN647,0)</f>
        <v>0</v>
      </c>
      <c r="BP647" cm="1">
        <f t="array" ref="BP647">IFERROR(INDEX(sheath_wcap_asd,MATCH(BS647,sheath_mark,0),0)*BN647,0)</f>
        <v>0</v>
      </c>
      <c r="BQ647" cm="1">
        <f t="array" ref="BQ647">IFERROR(INDEX(hd_cap,MATCH(BT647,hd_mark,0),0),0)</f>
        <v>0</v>
      </c>
      <c r="BS647" s="19"/>
      <c r="BT647" s="19"/>
      <c r="BU647" s="100"/>
    </row>
    <row r="648" x14ac:dyDescent="0.25">
      <c r="P648" s="93"/>
      <c r="Q648" s="111">
        <f>$R$556</f>
        <v>0</v>
      </c>
      <c r="R648" t="str">
        <f>$Q$536</f>
        <v>L5</v>
      </c>
      <c r="S648">
        <f>$E$24</f>
        <v>0</v>
      </c>
      <c r="T648" cm="1">
        <f t="array" ref="T648">IFERROR(IF(S648=0,0,(INDEX($C$33:$C$38,MATCH($W$556,$B$33:$B$38,0),0)*(S649+$X$556)+$T$556*COUNTIF(S648:S648,"&gt;0")*$C$32+$V$556*$C$31)*$R$556),0)</f>
        <v>0</v>
      </c>
      <c r="U648">
        <f>IF(S648=0,0,-(COUNTIF(S648:S648,"&gt;0")*$T$556*$C$32+$V$556*$C$31)*$H$27*$R$556)</f>
        <v>0</v>
      </c>
      <c r="V648">
        <f>IF(S648=0,0,$V$556*$H$26*$R$556)</f>
        <v>0</v>
      </c>
      <c r="W648">
        <f>(0.6*T648+0.7*U648)*$R$556/2</f>
        <v>0</v>
      </c>
      <c r="X648">
        <f>T648*$R$556/2</f>
        <v>0</v>
      </c>
      <c r="Z648">
        <f>IF(S648=0,0,$AD$556*$AP$536)</f>
        <v>0</v>
      </c>
      <c r="AA648">
        <f>IFERROR(Z648/$R$556,0)</f>
        <v>0</v>
      </c>
      <c r="AB648">
        <f>Z648*($F$24+IF($F$24=0,0,($C$14+$C$15+IF($C$13="single",1.5,3)+3)/12))</f>
        <v>0</v>
      </c>
      <c r="AC648">
        <f>AB648-W648</f>
        <v>0</v>
      </c>
      <c r="AD648" cm="1">
        <f t="array" ref="AD648">IFERROR(IF(AC648&lt;0,0,AC648/($R$556-INDEX(hd_off,MATCH(AQ648,hd_mark,0),0)/12)),0)</f>
        <v>0</v>
      </c>
      <c r="AE648">
        <f>IF(S648=0,0,$AD$556*$AM$536)</f>
        <v>0</v>
      </c>
      <c r="AF648">
        <f>IFERROR(AE648/$R$556,0)</f>
        <v>0</v>
      </c>
      <c r="AG648">
        <f>AE648*($F$24+IF($F$24=0,0,($C$14+$C$15+IF($C$13="single",1.5,3)+3)/12))</f>
        <v>0</v>
      </c>
      <c r="AH648">
        <f>AG648-X648</f>
        <v>0</v>
      </c>
      <c r="AI648" cm="1">
        <f t="array" ref="AI648">IFERROR(IF(AH648&lt;0,0,AH648/($R$556-INDEX(hd_off,MATCH(AQ648,hd_mark,0),0)/12)),0)</f>
        <v>0</v>
      </c>
      <c r="AJ648">
        <f>MAX($F$24,$AB$556)/$Q$564</f>
        <v>0</v>
      </c>
      <c r="AK648">
        <f t="shared" si="391"/>
        <v>0</v>
      </c>
      <c r="AL648" cm="1">
        <f t="array" ref="AL648">IFERROR(INDEX(sheath_ecap_asd,MATCH(AP648,sheath_mark,0),0)*AK648,0)</f>
        <v>0</v>
      </c>
      <c r="AM648" cm="1">
        <f t="array" ref="AM648">IFERROR(INDEX(sheath_wcap_asd,MATCH(AP648,sheath_mark,0),0)*AK648,0)</f>
        <v>0</v>
      </c>
      <c r="AN648" cm="1">
        <f t="array" ref="AN648">IFERROR(INDEX(hd_cap,MATCH(AQ648,hd_mark,0),0),0)</f>
        <v>0</v>
      </c>
      <c r="AP648" s="19"/>
      <c r="AQ648" s="19"/>
      <c r="AR648" s="100"/>
      <c r="AS648" s="93"/>
      <c r="AT648" s="111">
        <f>$R$556</f>
        <v>0</v>
      </c>
      <c r="AU648" t="str">
        <f>$Q$536</f>
        <v>L5</v>
      </c>
      <c r="AV648">
        <f>$E$24</f>
        <v>0</v>
      </c>
      <c r="AW648" cm="1">
        <f t="array" ref="AW648">IFERROR(IF(AV648=0,0,(INDEX($C$33:$C$38,MATCH($AZ$556,$B$33:$B$38,0),0)*(AV649+$BA$556)+$AW$556*COUNTIF(AV648:AV648,"&gt;0")*$C$32+$AY$556*$C$31)*$AU$556),0)</f>
        <v>0</v>
      </c>
      <c r="AX648">
        <f>IF(AV648=0,0,-(COUNTIF(AV648:AV648,"&gt;0")*$AW$556*$C$32+$AY$556*$C$31)*$H$27*$AU$556)</f>
        <v>0</v>
      </c>
      <c r="AY648">
        <f>IF(AV648=0,0,$AY$556*$H$26*$AU$556)</f>
        <v>0</v>
      </c>
      <c r="AZ648">
        <f>(0.6*AW648+0.7*AX648)*$AU$556/2</f>
        <v>0</v>
      </c>
      <c r="BA648">
        <f>AW648*$AU$556/2</f>
        <v>0</v>
      </c>
      <c r="BC648">
        <f>IF(AV648=0,0,$BG$556*$AP$536)</f>
        <v>0</v>
      </c>
      <c r="BD648">
        <f>IFERROR(BC648/$AU$556,0)</f>
        <v>0</v>
      </c>
      <c r="BE648">
        <f>BC648*($F$24+IF($F$24=0,0,($C$14+$C$15+IF($C$13="single",1.5,3)+3)/12))</f>
        <v>0</v>
      </c>
      <c r="BF648">
        <f>BE648-AZ648</f>
        <v>0</v>
      </c>
      <c r="BG648" cm="1">
        <f t="array" ref="BG648">IFERROR(IF(BF648&lt;0,0,BF648/($AU$556-INDEX(hd_off,MATCH(BT648,hd_mark,0),0)/12)),0)</f>
        <v>0</v>
      </c>
      <c r="BH648">
        <f>IF(AV648=0,0,$BG$556*$AM$536)</f>
        <v>0</v>
      </c>
      <c r="BI648">
        <f>IFERROR(BH648/$AU$556,0)</f>
        <v>0</v>
      </c>
      <c r="BJ648">
        <f>BH648*($F$24+IF($F$24=0,0,($C$14+$C$15+IF($C$13="single",1.5,3)+3)/12))</f>
        <v>0</v>
      </c>
      <c r="BK648">
        <f>BJ648-BA648</f>
        <v>0</v>
      </c>
      <c r="BL648" cm="1">
        <f t="array" ref="BL648">IFERROR(IF(BK648&lt;0,0,BK648/($AU$556-INDEX(hd_off,MATCH(BT648,hd_mark,0),0)/12)),0)</f>
        <v>0</v>
      </c>
      <c r="BM648">
        <f>MAX($F$24,$BE$556)/$Q$564</f>
        <v>0</v>
      </c>
      <c r="BN648">
        <f t="shared" si="392"/>
        <v>0</v>
      </c>
      <c r="BO648" cm="1">
        <f t="array" ref="BO648">IFERROR(INDEX(sheath_ecap_asd,MATCH(BS648,sheath_mark,0),0)*BN648,0)</f>
        <v>0</v>
      </c>
      <c r="BP648" cm="1">
        <f t="array" ref="BP648">IFERROR(INDEX(sheath_wcap_asd,MATCH(BS648,sheath_mark,0),0)*BN648,0)</f>
        <v>0</v>
      </c>
      <c r="BQ648" cm="1">
        <f t="array" ref="BQ648">IFERROR(INDEX(hd_cap,MATCH(BT648,hd_mark,0),0),0)</f>
        <v>0</v>
      </c>
      <c r="BS648" s="19"/>
      <c r="BT648" s="19"/>
      <c r="BU648" s="100"/>
    </row>
    <row r="649" x14ac:dyDescent="0.25">
      <c r="P649" s="93"/>
      <c r="Q649" s="109"/>
      <c r="R649" t="str">
        <f>$Q$537</f>
        <v>Roof</v>
      </c>
      <c r="S649">
        <f>$E$25</f>
        <v>33.171875</v>
      </c>
      <c r="T649" cm="1">
        <f t="array" ref="T649">IFERROR(IF(S649=0,0,(INDEX($C$33:$C$38,MATCH($W$556,$B$33:$B$38,0),0)*(S649+$X$556)+$V$556*$C$31)*$R$556),0)</f>
        <v>0</v>
      </c>
      <c r="U649">
        <f>IF(S649=0,0,-$V$556*$C$31*$H$27*$R$556)</f>
        <v>0</v>
      </c>
      <c r="V649">
        <f>IF(S649=0,0,$V$556*$H$26*$R$556)</f>
        <v>0</v>
      </c>
      <c r="W649">
        <f>(0.6*T649+0.7*U649)*$R$556/2</f>
        <v>0</v>
      </c>
      <c r="X649">
        <f>T649*$R$556/2</f>
        <v>0</v>
      </c>
      <c r="Z649">
        <f>IF(S649=0,0,$AD$556*$AP$537)</f>
        <v>0</v>
      </c>
      <c r="AA649">
        <f>IFERROR(Z649/$R$556,0)</f>
        <v>0</v>
      </c>
      <c r="AB649">
        <f>Z649*($F$25+($C$16+$C$17+IF($C$13="single",1.5,3)+3)/12)</f>
        <v>0</v>
      </c>
      <c r="AC649">
        <f>AB649-W649</f>
        <v>0</v>
      </c>
      <c r="AD649" cm="1">
        <f t="array" ref="AD649">IFERROR(IF(AC649&lt;0,0,AC649/($R$556-INDEX(hd_off,MATCH(AQ649,hd_mark,0),0)/12)),0)</f>
        <v>0</v>
      </c>
      <c r="AE649">
        <f>IF(S649=0,0,$AD$556*$AM$537)</f>
        <v>0</v>
      </c>
      <c r="AF649">
        <f>IFERROR(AE649/$R$556,0)</f>
        <v>0</v>
      </c>
      <c r="AG649">
        <f>AE649*($F$25+($C$16+$C$17+IF($C$13="single",1.5,3)+3)/12)</f>
        <v>0</v>
      </c>
      <c r="AH649">
        <f>AG649-X649</f>
        <v>0</v>
      </c>
      <c r="AI649" cm="1">
        <f t="array" ref="AI649">IFERROR(IF(AH649&lt;0,0,AH649/($R$556-INDEX(hd_off,MATCH(AQ649,hd_mark,0),0)/12)),0)</f>
        <v>0</v>
      </c>
      <c r="AJ649">
        <f>MAX($F$25,$AC$556)/$Q$564</f>
        <v>0.29920977011494249</v>
      </c>
      <c r="AK649">
        <f t="shared" si="391"/>
        <v>1</v>
      </c>
      <c r="AL649" cm="1">
        <f t="array" ref="AL649">IFERROR(INDEX(sheath_ecap_asd,MATCH(AP649,sheath_mark,0),0)*AK649,0)</f>
        <v>0</v>
      </c>
      <c r="AM649" cm="1">
        <f t="array" ref="AM649">IFERROR(INDEX(sheath_wcap_asd,MATCH(AP649,sheath_mark,0),0)*AK649,0)</f>
        <v>0</v>
      </c>
      <c r="AN649" cm="1">
        <f t="array" ref="AN649">IFERROR(INDEX(hd_cap,MATCH(AQ649,hd_mark,0),0),0)</f>
        <v>0</v>
      </c>
      <c r="AP649" s="19"/>
      <c r="AQ649" s="19"/>
      <c r="AR649" s="100"/>
      <c r="AS649" s="93"/>
      <c r="AT649" s="109"/>
      <c r="AU649" t="str">
        <f>$Q$537</f>
        <v>Roof</v>
      </c>
      <c r="AV649">
        <f>$E$25</f>
        <v>33.171875</v>
      </c>
      <c r="AW649" cm="1">
        <f t="array" ref="AW649">IFERROR(IF(AV649=0,0,(INDEX($C$33:$C$38,MATCH($AZ$556,$B$33:$B$38,0),0)*(AV649+$BA$556)+$AY$556*$C$31)*$AU$556),0)</f>
        <v>0</v>
      </c>
      <c r="AX649">
        <f>IF(AV649=0,0,-$AY$556*$C$31*$H$27*$AU$556)</f>
        <v>0</v>
      </c>
      <c r="AY649">
        <f>IF(AV649=0,0,$AY$556*$H$26*$AU$556)</f>
        <v>0</v>
      </c>
      <c r="AZ649">
        <f>(0.6*AW649+0.7*AX649)*$AU$556/2</f>
        <v>0</v>
      </c>
      <c r="BA649">
        <f>AW649*$AU$556/2</f>
        <v>0</v>
      </c>
      <c r="BC649">
        <f>IF(AV649=0,0,$BG$556*$AP$537)</f>
        <v>0</v>
      </c>
      <c r="BD649">
        <f>IFERROR(BC649/$AU$556,0)</f>
        <v>0</v>
      </c>
      <c r="BE649">
        <f>BC649*($F$25+($C$16+$C$17+IF($C$13="single",1.5,3)+3)/12)</f>
        <v>0</v>
      </c>
      <c r="BF649">
        <f>BE649-AZ649</f>
        <v>0</v>
      </c>
      <c r="BG649" cm="1">
        <f t="array" ref="BG649">IFERROR(IF(BF649&lt;0,0,BF649/($AU$556-INDEX(hd_off,MATCH(BT649,hd_mark,0),0)/12)),0)</f>
        <v>0</v>
      </c>
      <c r="BH649">
        <f>IF(AV649=0,0,$BG$556*$AM$537)</f>
        <v>0</v>
      </c>
      <c r="BI649">
        <f>IFERROR(BH649/$AU$556,0)</f>
        <v>0</v>
      </c>
      <c r="BJ649">
        <f>BH649*($F$25+($C$16+$C$17+IF($C$13="single",1.5,3)+3)/12)</f>
        <v>0</v>
      </c>
      <c r="BK649">
        <f>BJ649-BA649</f>
        <v>0</v>
      </c>
      <c r="BL649" cm="1">
        <f t="array" ref="BL649">IFERROR(IF(BK649&lt;0,0,BK649/($AU$556-INDEX(hd_off,MATCH(BT649,hd_mark,0),0)/12)),0)</f>
        <v>0</v>
      </c>
      <c r="BM649">
        <f>MAX($F$25,$BF$556)/$Q$564</f>
        <v>0.29920977011494249</v>
      </c>
      <c r="BN649">
        <f t="shared" si="392"/>
        <v>1</v>
      </c>
      <c r="BO649" cm="1">
        <f t="array" ref="BO649">IFERROR(INDEX(sheath_ecap_asd,MATCH(BS649,sheath_mark,0),0)*BN649,0)</f>
        <v>0</v>
      </c>
      <c r="BP649" cm="1">
        <f t="array" ref="BP649">IFERROR(INDEX(sheath_wcap_asd,MATCH(BS649,sheath_mark,0),0)*BN649,0)</f>
        <v>0</v>
      </c>
      <c r="BQ649" cm="1">
        <f t="array" ref="BQ649">IFERROR(INDEX(hd_cap,MATCH(BT649,hd_mark,0),0),0)</f>
        <v>0</v>
      </c>
      <c r="BS649" s="19"/>
      <c r="BT649" s="19"/>
      <c r="BU649" s="100"/>
    </row>
    <row r="650" x14ac:dyDescent="0.25">
      <c r="P650" s="93"/>
      <c r="AR650" s="100"/>
      <c r="AS650" s="93"/>
      <c r="BU650" s="100"/>
    </row>
    <row r="651" x14ac:dyDescent="0.25">
      <c r="P651" s="93"/>
      <c r="Q651" s="110" t="str">
        <f>$Q$557</f>
        <v>A.16</v>
      </c>
      <c r="R651" t="str">
        <f>$Q$533</f>
        <v>L2</v>
      </c>
      <c r="S651">
        <f>$E$21</f>
        <v>10.6875</v>
      </c>
      <c r="T651" cm="1">
        <f t="array" ref="T651">IFERROR(IF(S651=0,0,(INDEX($C$33:$C$38,MATCH($W$557,$B$33:$B$38,0),0)*(S655+$X$557)+$T$557*COUNTIF(S651:S654,"&gt;0")*$C$32+$V$557*$C$31)*$R$557),0)</f>
        <v>0</v>
      </c>
      <c r="U651">
        <f>IF(S651=0,0,-(COUNTIF(S651:S654,"&gt;0")*$T$557*$C$32+$V$557*$C$31)*$H$27*$R$557)</f>
        <v>0</v>
      </c>
      <c r="V651">
        <f>IF(S651=0,0,$V$557*$H$26*$R$557)</f>
        <v>0</v>
      </c>
      <c r="W651">
        <f>(0.6*T651+0.7*U651)*$R$557/2</f>
        <v>0</v>
      </c>
      <c r="X651">
        <f>(0.6*T651+0.6*V651)*$R$557/2</f>
        <v>0</v>
      </c>
      <c r="Z651">
        <f>IF(S651=0,0,$AD$557*$AP$533)</f>
        <v>0</v>
      </c>
      <c r="AA651">
        <f>IFERROR(Z651/$R$557,0)</f>
        <v>0</v>
      </c>
      <c r="AB651">
        <f>Z651*($F$21+IF($F$21=0,0,($C$14+$C$15+IF($C$13="single",1.5,3)+3)/12))</f>
        <v>0</v>
      </c>
      <c r="AC651">
        <f>AB651-W651</f>
        <v>0</v>
      </c>
      <c r="AD651" cm="1">
        <f t="array" ref="AD651">IFERROR(IF(AC651&lt;0,0,AC651/($R$557-INDEX(hd_off,MATCH(AQ651,hd_mark,0),0)/12)),0)</f>
        <v>0</v>
      </c>
      <c r="AE651">
        <f>IF(S651=0,0,$AD$557*$AM$533)</f>
        <v>0</v>
      </c>
      <c r="AF651">
        <f>IFERROR(AE651/$R$557,0)</f>
        <v>0</v>
      </c>
      <c r="AG651">
        <f>AE651*($F$21+IF($F$21=0,0,($C$14+$C$15+IF($C$13="single",1.5,3)+3)/12))</f>
        <v>0</v>
      </c>
      <c r="AH651">
        <f>AG651-X651</f>
        <v>0</v>
      </c>
      <c r="AI651" cm="1">
        <f t="array" ref="AI651">IFERROR(IF(AH651&lt;0,0,AH651/($R$557-INDEX(hd_off,MATCH(AQ651,hd_mark,0),0)/12)),0)</f>
        <v>0</v>
      </c>
      <c r="AJ651">
        <f>MAX($F$21,$Y$557)/$Q$564</f>
        <v>0.30172413793103448</v>
      </c>
      <c r="AK651">
        <f>IF(AJ651=0,0,IF(AJ651&gt;2,1.25-0.125*AJ651,1))</f>
        <v>1</v>
      </c>
      <c r="AL651" cm="1">
        <f t="array" ref="AL651">IFERROR(INDEX(sheath_ecap_asd,MATCH(AP651,sheath_mark,0),0)*AK651,0)</f>
        <v>0</v>
      </c>
      <c r="AM651" cm="1">
        <f t="array" ref="AM651">IFERROR(INDEX(sheath_wcap_asd,MATCH(AP651,sheath_mark,0),0)*AK651,0)</f>
        <v>0</v>
      </c>
      <c r="AN651" cm="1">
        <f t="array" ref="AN651">IFERROR(INDEX(hd_cap,MATCH(AQ651,hd_mark,0),0),0)</f>
        <v>0</v>
      </c>
      <c r="AP651" s="19"/>
      <c r="AQ651" s="19"/>
      <c r="AR651" s="100"/>
      <c r="AS651" s="93"/>
      <c r="AT651" s="110" t="str">
        <f>$AT$557</f>
        <v>1.16</v>
      </c>
      <c r="AU651" t="str">
        <f>$Q$533</f>
        <v>L2</v>
      </c>
      <c r="AV651">
        <f>$E$21</f>
        <v>10.6875</v>
      </c>
      <c r="AW651" cm="1">
        <f t="array" ref="AW651">IFERROR(IF(AV651=0,0,(INDEX($C$33:$C$38,MATCH($AZ$557,$B$33:$B$38,0),0)*(AV655+$BA$557)+$AW$557*COUNTIF(AV651:AV654,"&gt;0")*$C$32+$AY$557*$C$31)*$AU$557),0)</f>
        <v>0</v>
      </c>
      <c r="AX651">
        <f>IF(AV651=0,0,-(COUNTIF(AV651:AV654,"&gt;0")*$AW$557*$C$32+$AY$557*$C$31)*$H$27*$AU$557)</f>
        <v>0</v>
      </c>
      <c r="AY651">
        <f>IF(AV651=0,0,$AY$557*$H$26*$AU$557)</f>
        <v>0</v>
      </c>
      <c r="AZ651">
        <f>(0.6*AW651+0.7*AX651)*$AU$557/2</f>
        <v>0</v>
      </c>
      <c r="BA651">
        <f>(0.6*AW651+0.6*AY651)*$AU$557/2</f>
        <v>0</v>
      </c>
      <c r="BC651">
        <f>IF(AV651=0,0,$BG$557*$AP$533)</f>
        <v>0</v>
      </c>
      <c r="BD651">
        <f>IFERROR(BC651/$AU$557,0)</f>
        <v>0</v>
      </c>
      <c r="BE651">
        <f>BC651*($F$21+IF($F$21=0,0,($C$14+$C$15+IF($C$13="single",1.5,3)+3)/12))</f>
        <v>0</v>
      </c>
      <c r="BF651">
        <f>BE651-AZ651</f>
        <v>0</v>
      </c>
      <c r="BG651" cm="1">
        <f t="array" ref="BG651">IFERROR(IF(BF651&lt;0,0,BF651/($AU$557-INDEX(hd_off,MATCH(BT651,hd_mark,0),0)/12)),0)</f>
        <v>0</v>
      </c>
      <c r="BH651">
        <f>IF(AV651=0,0,$BG$557*$AM$533)</f>
        <v>0</v>
      </c>
      <c r="BI651">
        <f>IFERROR(BH651/$AU$557,0)</f>
        <v>0</v>
      </c>
      <c r="BJ651">
        <f>BH651*($F$21+IF($F$21=0,0,($C$14+$C$15+IF($C$13="single",1.5,3)+3)/12))</f>
        <v>0</v>
      </c>
      <c r="BK651">
        <f>BJ651-BA651</f>
        <v>0</v>
      </c>
      <c r="BL651" cm="1">
        <f t="array" ref="BL651">IFERROR(IF(BK651&lt;0,0,BK651/($AU$557-INDEX(hd_off,MATCH(BT651,hd_mark,0),0)/12)),0)</f>
        <v>0</v>
      </c>
      <c r="BM651">
        <f>MAX($F$21,$BB$557)/$Q$564</f>
        <v>0.30172413793103448</v>
      </c>
      <c r="BN651">
        <f>IF(BM651=0,0,IF(BM651&gt;2,1.25-0.125*BM651,1))</f>
        <v>1</v>
      </c>
      <c r="BO651" cm="1">
        <f t="array" ref="BO651">IFERROR(INDEX(sheath_ecap_asd,MATCH(BS651,sheath_mark,0),0)*BN651,0)</f>
        <v>0</v>
      </c>
      <c r="BP651" cm="1">
        <f t="array" ref="BP651">IFERROR(INDEX(sheath_wcap_asd,MATCH(BS651,sheath_mark,0),0)*BN651,0)</f>
        <v>0</v>
      </c>
      <c r="BQ651" cm="1">
        <f t="array" ref="BQ651">IFERROR(INDEX(hd_cap,MATCH(BT651,hd_mark,0),0),0)</f>
        <v>0</v>
      </c>
      <c r="BS651" s="19"/>
      <c r="BT651" s="19"/>
      <c r="BU651" s="100"/>
    </row>
    <row r="652" x14ac:dyDescent="0.25">
      <c r="P652" s="93"/>
      <c r="Q652" s="109"/>
      <c r="R652" t="str">
        <f>$Q$534</f>
        <v>L3</v>
      </c>
      <c r="S652">
        <f>$E$22</f>
        <v>21.375</v>
      </c>
      <c r="T652" cm="1">
        <f t="array" ref="T652">IFERROR(IF(S652=0,0,(INDEX($C$33:$C$38,MATCH($W$557,$B$33:$B$38,0),0)*(S655+$X$557)+$T$557*COUNTIF(S652:S654,"&gt;0")*$C$32+$V$557*$C$31)*$R$557),0)</f>
        <v>0</v>
      </c>
      <c r="U652">
        <f>IF(S652=0,0,-(COUNTIF(S652:S654,"&gt;0")*$T$557*$C$32+$V$557*$C$31)*$H$27*$R$557)</f>
        <v>0</v>
      </c>
      <c r="V652">
        <f>IF(S652=0,0,$V$557*$H$26*$R$557)</f>
        <v>0</v>
      </c>
      <c r="W652">
        <f>(0.6*T652+0.7*U652)*$R$557/2</f>
        <v>0</v>
      </c>
      <c r="X652">
        <f>T652*$R$557/2</f>
        <v>0</v>
      </c>
      <c r="Z652">
        <f>IF(S652=0,0,$AD$557*$AP$534)</f>
        <v>0</v>
      </c>
      <c r="AA652">
        <f>IFERROR(Z652/$R$557,0)</f>
        <v>0</v>
      </c>
      <c r="AB652">
        <f>Z652*($F$22+IF($F$22=0,0,($C$14+$C$15+IF($C$13="single",1.5,3)+3)/12))</f>
        <v>0</v>
      </c>
      <c r="AC652">
        <f>AB652-W652</f>
        <v>0</v>
      </c>
      <c r="AD652" cm="1">
        <f t="array" ref="AD652">IFERROR(IF(AC652&lt;0,0,AC652/($R$557-INDEX(hd_off,MATCH(AQ652,hd_mark,0),0)/12)),0)</f>
        <v>0</v>
      </c>
      <c r="AE652">
        <f>IF(S652=0,0,$AD$557*$AM$534)</f>
        <v>0</v>
      </c>
      <c r="AF652">
        <f>IFERROR(AE652/$R$557,0)</f>
        <v>0</v>
      </c>
      <c r="AG652">
        <f>AE652*($F$22+IF($F$22=0,0,($C$14+$C$15+IF($C$13="single",1.5,3)+3)/12))</f>
        <v>0</v>
      </c>
      <c r="AH652">
        <f>AG652-X652</f>
        <v>0</v>
      </c>
      <c r="AI652" cm="1">
        <f t="array" ref="AI652">IFERROR(IF(AH652&lt;0,0,AH652/($R$557-INDEX(hd_off,MATCH(AQ652,hd_mark,0),0)/12)),0)</f>
        <v>0</v>
      </c>
      <c r="AJ652">
        <f>MAX($F$22,$Z$557)/$Q$564</f>
        <v>0.30172413793103448</v>
      </c>
      <c r="AK652">
        <f t="shared" ref="AK652:AK655" si="393">IF(AJ652=0,0,IF(AJ652&gt;2,1.25-0.125*AJ652,1))</f>
        <v>1</v>
      </c>
      <c r="AL652" cm="1">
        <f t="array" ref="AL652">IFERROR(INDEX(sheath_ecap_asd,MATCH(AP652,sheath_mark,0),0)*AK652,0)</f>
        <v>0</v>
      </c>
      <c r="AM652" cm="1">
        <f t="array" ref="AM652">IFERROR(INDEX(sheath_wcap_asd,MATCH(AP652,sheath_mark,0),0)*AK652,0)</f>
        <v>0</v>
      </c>
      <c r="AN652" cm="1">
        <f t="array" ref="AN652">IFERROR(INDEX(hd_cap,MATCH(AQ652,hd_mark,0),0),0)</f>
        <v>0</v>
      </c>
      <c r="AP652" s="19"/>
      <c r="AQ652" s="19"/>
      <c r="AR652" s="100"/>
      <c r="AS652" s="93"/>
      <c r="AT652" s="109"/>
      <c r="AU652" t="str">
        <f>$Q$534</f>
        <v>L3</v>
      </c>
      <c r="AV652">
        <f>$E$22</f>
        <v>21.375</v>
      </c>
      <c r="AW652" cm="1">
        <f t="array" ref="AW652">IFERROR(IF(AV652=0,0,(INDEX($C$33:$C$38,MATCH($AZ$557,$B$33:$B$38,0),0)*(AV655+$BA$557)+$AW$557*COUNTIF(AV652:AV654,"&gt;0")*$C$32+$AY$557*$C$31)*$AU$557),0)</f>
        <v>0</v>
      </c>
      <c r="AX652">
        <f>IF(AV652=0,0,-(COUNTIF(AV652:AV654,"&gt;0")*$AW$557*$C$32+$AY$557*$C$31)*$H$27*$AU$557)</f>
        <v>0</v>
      </c>
      <c r="AY652">
        <f>IF(AV652=0,0,$AY$557*$H$26*$AU$557)</f>
        <v>0</v>
      </c>
      <c r="AZ652">
        <f>(0.6*AW652+0.7*AX652)*$AU$557/2</f>
        <v>0</v>
      </c>
      <c r="BA652">
        <f>AW652*$AU$557/2</f>
        <v>0</v>
      </c>
      <c r="BC652">
        <f>IF(AV652=0,0,$BG$557*$AP$534)</f>
        <v>0</v>
      </c>
      <c r="BD652">
        <f>IFERROR(BC652/$AU$557,0)</f>
        <v>0</v>
      </c>
      <c r="BE652">
        <f>BC652*($F$22+IF($F$22=0,0,($C$14+$C$15+IF($C$13="single",1.5,3)+3)/12))</f>
        <v>0</v>
      </c>
      <c r="BF652">
        <f>BE652-AZ652</f>
        <v>0</v>
      </c>
      <c r="BG652" cm="1">
        <f t="array" ref="BG652">IFERROR(IF(BF652&lt;0,0,BF652/($AU$557-INDEX(hd_off,MATCH(BT652,hd_mark,0),0)/12)),0)</f>
        <v>0</v>
      </c>
      <c r="BH652">
        <f>IF(AV652=0,0,$BG$557*$AM$534)</f>
        <v>0</v>
      </c>
      <c r="BI652">
        <f>IFERROR(BH652/$AU$557,0)</f>
        <v>0</v>
      </c>
      <c r="BJ652">
        <f>BH652*($F$22+IF($F$22=0,0,($C$14+$C$15+IF($C$13="single",1.5,3)+3)/12))</f>
        <v>0</v>
      </c>
      <c r="BK652">
        <f>BJ652-BA652</f>
        <v>0</v>
      </c>
      <c r="BL652" cm="1">
        <f t="array" ref="BL652">IFERROR(IF(BK652&lt;0,0,BK652/($AU$557-INDEX(hd_off,MATCH(BT652,hd_mark,0),0)/12)),0)</f>
        <v>0</v>
      </c>
      <c r="BM652">
        <f>MAX($F$22,$BC$557)/$Q$564</f>
        <v>0.30172413793103448</v>
      </c>
      <c r="BN652">
        <f t="shared" ref="BN652:BN654" si="394">IF(BM652=0,0,IF(BM652&gt;2,1.25-0.125*BM652,1))</f>
        <v>1</v>
      </c>
      <c r="BO652" cm="1">
        <f t="array" ref="BO652">IFERROR(INDEX(sheath_ecap_asd,MATCH(BS652,sheath_mark,0),0)*BN652,0)</f>
        <v>0</v>
      </c>
      <c r="BP652" cm="1">
        <f t="array" ref="BP652">IFERROR(INDEX(sheath_wcap_asd,MATCH(BS652,sheath_mark,0),0)*BN652,0)</f>
        <v>0</v>
      </c>
      <c r="BQ652" cm="1">
        <f t="array" ref="BQ652">IFERROR(INDEX(hd_cap,MATCH(BT652,hd_mark,0),0),0)</f>
        <v>0</v>
      </c>
      <c r="BS652" s="19"/>
      <c r="BT652" s="19"/>
      <c r="BU652" s="100"/>
    </row>
    <row r="653" x14ac:dyDescent="0.25">
      <c r="P653" s="93"/>
      <c r="Q653" s="109" t="s">
        <v>491</v>
      </c>
      <c r="R653" t="str">
        <f>$Q$535</f>
        <v>L4</v>
      </c>
      <c r="S653">
        <f>$E$23</f>
        <v>0</v>
      </c>
      <c r="T653" cm="1">
        <f t="array" ref="T653">IFERROR(IF(S653=0,0,(INDEX($C$33:$C$38,MATCH($W$557,$B$33:$B$38,0),0)*(S655+$X$557)+$T$557*COUNTIF(S653:S654,"&gt;0")*$C$32+$V$557*$C$31)*$R$557),0)</f>
        <v>0</v>
      </c>
      <c r="U653">
        <f>IF(S653=0,0,-(COUNTIF(S653:S654,"&gt;0")*$T$557*$C$32+$V$557*$C$31)*$H$27*$R$557)</f>
        <v>0</v>
      </c>
      <c r="V653">
        <f>IF(S653=0,0,$V$557*$H$26*$R$557)</f>
        <v>0</v>
      </c>
      <c r="W653">
        <f>(0.6*T653+0.7*U653)*$R$557/2</f>
        <v>0</v>
      </c>
      <c r="X653">
        <f>T653*$R$557/2</f>
        <v>0</v>
      </c>
      <c r="Z653">
        <f>IF(S653=0,0,$AD$557*$AP$535)</f>
        <v>0</v>
      </c>
      <c r="AA653">
        <f>IFERROR(Z653/$R$557,0)</f>
        <v>0</v>
      </c>
      <c r="AB653">
        <f>Z653*($F$23+IF($F$23=0,0,($C$14+$C$15+IF($C$13="single",1.5,3)+3)/12))</f>
        <v>0</v>
      </c>
      <c r="AC653">
        <f>AB653-W653</f>
        <v>0</v>
      </c>
      <c r="AD653" cm="1">
        <f t="array" ref="AD653">IFERROR(IF(AC653&lt;0,0,AC653/($R$557-INDEX(hd_off,MATCH(AQ653,hd_mark,0),0)/12)),0)</f>
        <v>0</v>
      </c>
      <c r="AE653">
        <f>IF(S653=0,0,$AD$557*$AM$535)</f>
        <v>0</v>
      </c>
      <c r="AF653">
        <f>IFERROR(AE653/$R$557,0)</f>
        <v>0</v>
      </c>
      <c r="AG653">
        <f>AE653*($F$23+IF($F$23=0,0,($C$14+$C$15+IF($C$13="single",1.5,3)+3)/12))</f>
        <v>0</v>
      </c>
      <c r="AH653">
        <f>AG653-X653</f>
        <v>0</v>
      </c>
      <c r="AI653" cm="1">
        <f t="array" ref="AI653">IFERROR(IF(AH653&lt;0,0,AH653/($R$557-INDEX(hd_off,MATCH(AQ653,hd_mark,0),0)/12)),0)</f>
        <v>0</v>
      </c>
      <c r="AJ653">
        <f>MAX($F$23,$AA$557)/$Q$564</f>
        <v>0</v>
      </c>
      <c r="AK653">
        <f t="shared" si="393"/>
        <v>0</v>
      </c>
      <c r="AL653" cm="1">
        <f t="array" ref="AL653">IFERROR(INDEX(sheath_ecap_asd,MATCH(AP653,sheath_mark,0),0)*AK653,0)</f>
        <v>0</v>
      </c>
      <c r="AM653" cm="1">
        <f t="array" ref="AM653">IFERROR(INDEX(sheath_wcap_asd,MATCH(AP653,sheath_mark,0),0)*AK653,0)</f>
        <v>0</v>
      </c>
      <c r="AN653" cm="1">
        <f t="array" ref="AN653">IFERROR(INDEX(hd_cap,MATCH(AQ653,hd_mark,0),0),0)</f>
        <v>0</v>
      </c>
      <c r="AP653" s="19"/>
      <c r="AQ653" s="19"/>
      <c r="AR653" s="100"/>
      <c r="AS653" s="93"/>
      <c r="AT653" s="109" t="s">
        <v>491</v>
      </c>
      <c r="AU653" t="str">
        <f>$Q$535</f>
        <v>L4</v>
      </c>
      <c r="AV653">
        <f>$E$23</f>
        <v>0</v>
      </c>
      <c r="AW653" cm="1">
        <f t="array" ref="AW653">IFERROR(IF(AV653=0,0,(INDEX($C$33:$C$38,MATCH($AZ$557,$B$33:$B$38,0),0)*(AV655+$BA$557)+$AW$557*COUNTIF(AV653:AV654,"&gt;0")*$C$32+$AY$557*$C$31)*$AU$557),0)</f>
        <v>0</v>
      </c>
      <c r="AX653">
        <f>IF(AV653=0,0,-(COUNTIF(AV653:AV654,"&gt;0")*$AW$557*$C$32+$AY$557*$C$31)*$H$27*$AU$557)</f>
        <v>0</v>
      </c>
      <c r="AY653">
        <f>IF(AV653=0,0,$AY$557*$H$26*$AU$557)</f>
        <v>0</v>
      </c>
      <c r="AZ653">
        <f>(0.6*AW653+0.7*AX653)*$AU$557/2</f>
        <v>0</v>
      </c>
      <c r="BA653">
        <f>AW653*$AU$557/2</f>
        <v>0</v>
      </c>
      <c r="BC653">
        <f>IF(AV653=0,0,$BG$557*$AP$535)</f>
        <v>0</v>
      </c>
      <c r="BD653">
        <f>IFERROR(BC653/$AU$557,0)</f>
        <v>0</v>
      </c>
      <c r="BE653">
        <f>BC653*($F$23+IF($F$23=0,0,($C$14+$C$15+IF($C$13="single",1.5,3)+3)/12))</f>
        <v>0</v>
      </c>
      <c r="BF653">
        <f>BE653-AZ653</f>
        <v>0</v>
      </c>
      <c r="BG653" cm="1">
        <f t="array" ref="BG653">IFERROR(IF(BF653&lt;0,0,BF653/($AU$557-INDEX(hd_off,MATCH(BT653,hd_mark,0),0)/12)),0)</f>
        <v>0</v>
      </c>
      <c r="BH653">
        <f>IF(AV653=0,0,$BG$557*$AM$535)</f>
        <v>0</v>
      </c>
      <c r="BI653">
        <f>IFERROR(BH653/$AU$557,0)</f>
        <v>0</v>
      </c>
      <c r="BJ653">
        <f>BH653*($F$23+IF($F$23=0,0,($C$14+$C$15+IF($C$13="single",1.5,3)+3)/12))</f>
        <v>0</v>
      </c>
      <c r="BK653">
        <f>BJ653-BA653</f>
        <v>0</v>
      </c>
      <c r="BL653" cm="1">
        <f t="array" ref="BL653">IFERROR(IF(BK653&lt;0,0,BK653/($AU$557-INDEX(hd_off,MATCH(BT653,hd_mark,0),0)/12)),0)</f>
        <v>0</v>
      </c>
      <c r="BM653">
        <f>MAX($F$23,$BD$557)/$Q$564</f>
        <v>0</v>
      </c>
      <c r="BN653">
        <f t="shared" si="394"/>
        <v>0</v>
      </c>
      <c r="BO653" cm="1">
        <f t="array" ref="BO653">IFERROR(INDEX(sheath_ecap_asd,MATCH(BS653,sheath_mark,0),0)*BN653,0)</f>
        <v>0</v>
      </c>
      <c r="BP653" cm="1">
        <f t="array" ref="BP653">IFERROR(INDEX(sheath_wcap_asd,MATCH(BS653,sheath_mark,0),0)*BN653,0)</f>
        <v>0</v>
      </c>
      <c r="BQ653" cm="1">
        <f t="array" ref="BQ653">IFERROR(INDEX(hd_cap,MATCH(BT653,hd_mark,0),0),0)</f>
        <v>0</v>
      </c>
      <c r="BS653" s="19"/>
      <c r="BT653" s="19"/>
      <c r="BU653" s="100"/>
    </row>
    <row r="654" x14ac:dyDescent="0.25">
      <c r="P654" s="93"/>
      <c r="Q654" s="111">
        <f>$R$557</f>
        <v>0</v>
      </c>
      <c r="R654" t="str">
        <f>$Q$536</f>
        <v>L5</v>
      </c>
      <c r="S654">
        <f>$E$24</f>
        <v>0</v>
      </c>
      <c r="T654" cm="1">
        <f t="array" ref="T654">IFERROR(IF(S654=0,0,(INDEX($C$33:$C$38,MATCH($W$557,$B$33:$B$38,0),0)*(S655+$X$557)+$T$557*COUNTIF(S654:S654,"&gt;0")*$C$32+$V$557*$C$31)*$R$557),0)</f>
        <v>0</v>
      </c>
      <c r="U654">
        <f>IF(S654=0,0,-(COUNTIF(S654:S654,"&gt;0")*$T$557*$C$32+$V$557*$C$31)*$H$27*$R$557)</f>
        <v>0</v>
      </c>
      <c r="V654">
        <f>IF(S654=0,0,$V$557*$H$26*$R$557)</f>
        <v>0</v>
      </c>
      <c r="W654">
        <f>(0.6*T654+0.7*U654)*$R$557/2</f>
        <v>0</v>
      </c>
      <c r="X654">
        <f>T654*$R$557/2</f>
        <v>0</v>
      </c>
      <c r="Z654">
        <f>IF(S654=0,0,$AD$557*$AP$536)</f>
        <v>0</v>
      </c>
      <c r="AA654">
        <f>IFERROR(Z654/$R$557,0)</f>
        <v>0</v>
      </c>
      <c r="AB654">
        <f>Z654*($F$24+IF($F$24=0,0,($C$14+$C$15+IF($C$13="single",1.5,3)+3)/12))</f>
        <v>0</v>
      </c>
      <c r="AC654">
        <f>AB654-W654</f>
        <v>0</v>
      </c>
      <c r="AD654" cm="1">
        <f t="array" ref="AD654">IFERROR(IF(AC654&lt;0,0,AC654/($R$557-INDEX(hd_off,MATCH(AQ654,hd_mark,0),0)/12)),0)</f>
        <v>0</v>
      </c>
      <c r="AE654">
        <f>IF(S654=0,0,$AD$557*$AM$536)</f>
        <v>0</v>
      </c>
      <c r="AF654">
        <f>IFERROR(AE654/$R$557,0)</f>
        <v>0</v>
      </c>
      <c r="AG654">
        <f>AE654*($F$24+IF($F$24=0,0,($C$14+$C$15+IF($C$13="single",1.5,3)+3)/12))</f>
        <v>0</v>
      </c>
      <c r="AH654">
        <f>AG654-X654</f>
        <v>0</v>
      </c>
      <c r="AI654" cm="1">
        <f t="array" ref="AI654">IFERROR(IF(AH654&lt;0,0,AH654/($R$557-INDEX(hd_off,MATCH(AQ654,hd_mark,0),0)/12)),0)</f>
        <v>0</v>
      </c>
      <c r="AJ654">
        <f>MAX($F$24,$AB$557)/$Q$564</f>
        <v>0</v>
      </c>
      <c r="AK654">
        <f t="shared" si="393"/>
        <v>0</v>
      </c>
      <c r="AL654" cm="1">
        <f t="array" ref="AL654">IFERROR(INDEX(sheath_ecap_asd,MATCH(AP654,sheath_mark,0),0)*AK654,0)</f>
        <v>0</v>
      </c>
      <c r="AM654" cm="1">
        <f t="array" ref="AM654">IFERROR(INDEX(sheath_wcap_asd,MATCH(AP654,sheath_mark,0),0)*AK654,0)</f>
        <v>0</v>
      </c>
      <c r="AN654" cm="1">
        <f t="array" ref="AN654">IFERROR(INDEX(hd_cap,MATCH(AQ654,hd_mark,0),0),0)</f>
        <v>0</v>
      </c>
      <c r="AP654" s="19"/>
      <c r="AQ654" s="19"/>
      <c r="AR654" s="100"/>
      <c r="AS654" s="93"/>
      <c r="AT654" s="111">
        <f>$R$557</f>
        <v>0</v>
      </c>
      <c r="AU654" t="str">
        <f>$Q$536</f>
        <v>L5</v>
      </c>
      <c r="AV654">
        <f>$E$24</f>
        <v>0</v>
      </c>
      <c r="AW654" cm="1">
        <f t="array" ref="AW654">IFERROR(IF(AV654=0,0,(INDEX($C$33:$C$38,MATCH($AZ$557,$B$33:$B$38,0),0)*(AV655+$BA$557)+$AW$557*COUNTIF(AV654:AV654,"&gt;0")*$C$32+$AY$557*$C$31)*$AU$557),0)</f>
        <v>0</v>
      </c>
      <c r="AX654">
        <f>IF(AV654=0,0,-(COUNTIF(AV654:AV654,"&gt;0")*$AW$557*$C$32+$AY$557*$C$31)*$H$27*$AU$557)</f>
        <v>0</v>
      </c>
      <c r="AY654">
        <f>IF(AV654=0,0,$AY$557*$H$26*$AU$557)</f>
        <v>0</v>
      </c>
      <c r="AZ654">
        <f>(0.6*AW654+0.7*AX654)*$AU$557/2</f>
        <v>0</v>
      </c>
      <c r="BA654">
        <f>AW654*$AU$557/2</f>
        <v>0</v>
      </c>
      <c r="BC654">
        <f>IF(AV654=0,0,$BG$557*$AP$536)</f>
        <v>0</v>
      </c>
      <c r="BD654">
        <f>IFERROR(BC654/$AU$557,0)</f>
        <v>0</v>
      </c>
      <c r="BE654">
        <f>BC654*($F$24+IF($F$24=0,0,($C$14+$C$15+IF($C$13="single",1.5,3)+3)/12))</f>
        <v>0</v>
      </c>
      <c r="BF654">
        <f>BE654-AZ654</f>
        <v>0</v>
      </c>
      <c r="BG654" cm="1">
        <f t="array" ref="BG654">IFERROR(IF(BF654&lt;0,0,BF654/($AU$557-INDEX(hd_off,MATCH(BT654,hd_mark,0),0)/12)),0)</f>
        <v>0</v>
      </c>
      <c r="BH654">
        <f>IF(AV654=0,0,$BG$557*$AM$536)</f>
        <v>0</v>
      </c>
      <c r="BI654">
        <f>IFERROR(BH654/$AU$557,0)</f>
        <v>0</v>
      </c>
      <c r="BJ654">
        <f>BH654*($F$24+IF($F$24=0,0,($C$14+$C$15+IF($C$13="single",1.5,3)+3)/12))</f>
        <v>0</v>
      </c>
      <c r="BK654">
        <f>BJ654-BA654</f>
        <v>0</v>
      </c>
      <c r="BL654" cm="1">
        <f t="array" ref="BL654">IFERROR(IF(BK654&lt;0,0,BK654/($AU$557-INDEX(hd_off,MATCH(BT654,hd_mark,0),0)/12)),0)</f>
        <v>0</v>
      </c>
      <c r="BM654">
        <f>MAX($F$24,$BE$557)/$Q$564</f>
        <v>0</v>
      </c>
      <c r="BN654">
        <f t="shared" si="394"/>
        <v>0</v>
      </c>
      <c r="BO654" cm="1">
        <f t="array" ref="BO654">IFERROR(INDEX(sheath_ecap_asd,MATCH(BS654,sheath_mark,0),0)*BN654,0)</f>
        <v>0</v>
      </c>
      <c r="BP654" cm="1">
        <f t="array" ref="BP654">IFERROR(INDEX(sheath_wcap_asd,MATCH(BS654,sheath_mark,0),0)*BN654,0)</f>
        <v>0</v>
      </c>
      <c r="BQ654" cm="1">
        <f t="array" ref="BQ654">IFERROR(INDEX(hd_cap,MATCH(BT654,hd_mark,0),0),0)</f>
        <v>0</v>
      </c>
      <c r="BS654" s="19"/>
      <c r="BT654" s="19"/>
      <c r="BU654" s="100"/>
    </row>
    <row r="655" x14ac:dyDescent="0.25">
      <c r="P655" s="93"/>
      <c r="Q655" s="109"/>
      <c r="R655" t="str">
        <f>$Q$537</f>
        <v>Roof</v>
      </c>
      <c r="S655">
        <f>$E$25</f>
        <v>33.171875</v>
      </c>
      <c r="T655" cm="1">
        <f t="array" ref="T655">IFERROR(IF(S655=0,0,(INDEX($C$33:$C$38,MATCH($W$557,$B$33:$B$38,0),0)*(S655+$X$557)+$V$557*$C$31)*$R$557),0)</f>
        <v>0</v>
      </c>
      <c r="U655">
        <f>IF(S655=0,0,-$V$557*$C$31*$H$27*$R$557)</f>
        <v>0</v>
      </c>
      <c r="V655">
        <f>IF(S655=0,0,$V$557*$H$26*$R$557)</f>
        <v>0</v>
      </c>
      <c r="W655">
        <f>(0.6*T655+0.7*U655)*$R$557/2</f>
        <v>0</v>
      </c>
      <c r="X655">
        <f>T655*$R$557/2</f>
        <v>0</v>
      </c>
      <c r="Z655">
        <f>IF(S655=0,0,$AD$557*$AP$537)</f>
        <v>0</v>
      </c>
      <c r="AA655">
        <f>IFERROR(Z655/$R$557,0)</f>
        <v>0</v>
      </c>
      <c r="AB655">
        <f>Z655*($F$25+($C$16+$C$17+IF($C$13="single",1.5,3)+3)/12)</f>
        <v>0</v>
      </c>
      <c r="AC655">
        <f>AB655-W655</f>
        <v>0</v>
      </c>
      <c r="AD655" cm="1">
        <f t="array" ref="AD655">IFERROR(IF(AC655&lt;0,0,AC655/($R$557-INDEX(hd_off,MATCH(AQ655,hd_mark,0),0)/12)),0)</f>
        <v>0</v>
      </c>
      <c r="AE655">
        <f>IF(S655=0,0,$AD$557*$AM$537)</f>
        <v>0</v>
      </c>
      <c r="AF655">
        <f>IFERROR(AE655/$R$557,0)</f>
        <v>0</v>
      </c>
      <c r="AG655">
        <f>AE655*($F$25+($C$16+$C$17+IF($C$13="single",1.5,3)+3)/12)</f>
        <v>0</v>
      </c>
      <c r="AH655">
        <f>AG655-X655</f>
        <v>0</v>
      </c>
      <c r="AI655" cm="1">
        <f t="array" ref="AI655">IFERROR(IF(AH655&lt;0,0,AH655/($R$557-INDEX(hd_off,MATCH(AQ655,hd_mark,0),0)/12)),0)</f>
        <v>0</v>
      </c>
      <c r="AJ655">
        <f>MAX($F$25,$AC$557)/$Q$564</f>
        <v>0.29920977011494249</v>
      </c>
      <c r="AK655">
        <f t="shared" si="393"/>
        <v>1</v>
      </c>
      <c r="AL655" cm="1">
        <f t="array" ref="AL655">IFERROR(INDEX(sheath_ecap_asd,MATCH(AP655,sheath_mark,0),0)*AK655,0)</f>
        <v>0</v>
      </c>
      <c r="AM655" cm="1">
        <f t="array" ref="AM655">IFERROR(INDEX(sheath_wcap_asd,MATCH(AP655,sheath_mark,0),0)*AK655,0)</f>
        <v>0</v>
      </c>
      <c r="AN655" cm="1">
        <f t="array" ref="AN655">IFERROR(INDEX(hd_cap,MATCH(AQ655,hd_mark,0),0),0)</f>
        <v>0</v>
      </c>
      <c r="AP655" s="19"/>
      <c r="AQ655" s="19"/>
      <c r="AR655" s="100"/>
      <c r="AS655" s="93"/>
      <c r="BU655" s="100"/>
    </row>
    <row r="656" x14ac:dyDescent="0.25">
      <c r="B656" s="1" t="s">
        <v>569</v>
      </c>
      <c r="C656">
        <f>E16+H16*12</f>
        <v>32.4375</v>
      </c>
      <c r="E656" s="19">
        <v>24</v>
      </c>
      <c r="F656" s="19">
        <f>32+5.625/12</f>
        <v>32.46875</v>
      </c>
      <c r="G656" s="19">
        <f>33+10.5/12</f>
        <v>33.875</v>
      </c>
      <c r="H656">
        <f>(G16-F16)/2</f>
        <v>0.703125</v>
      </c>
      <c r="P656" s="93"/>
      <c r="Q656" t="s">
        <v>524</v>
      </c>
      <c r="R656" s="2" t="str">
        <f>$B$47</f>
        <v>A</v>
      </c>
      <c r="AR656" s="100"/>
      <c r="AS656" s="93"/>
      <c r="AT656" t="s">
        <v>524</v>
      </c>
      <c r="AU656" s="2">
        <f>H47</f>
        <v>1</v>
      </c>
      <c r="BU656" s="100"/>
    </row>
    <row r="657" x14ac:dyDescent="0.25">
      <c r="B657" s="1" t="s">
        <v>500</v>
      </c>
      <c r="C657" s="19">
        <v>0.5</v>
      </c>
      <c r="P657" s="93"/>
      <c r="AR657" s="100"/>
      <c r="AS657" s="93"/>
      <c r="BU657" s="100"/>
    </row>
    <row r="658" x14ac:dyDescent="0.25">
      <c r="P658" s="93"/>
      <c r="R658" t="s">
        <v>482</v>
      </c>
      <c r="Z658" t="s">
        <v>483</v>
      </c>
      <c r="AH658" t="s">
        <v>502</v>
      </c>
      <c r="AJ658" t="s">
        <v>454</v>
      </c>
      <c r="AR658" s="100"/>
      <c r="AS658" s="93"/>
      <c r="AU658" t="s">
        <v>482</v>
      </c>
      <c r="BC658" t="s">
        <v>483</v>
      </c>
      <c r="BK658" t="s">
        <v>502</v>
      </c>
      <c r="BM658" t="s">
        <v>454</v>
      </c>
      <c r="BU658" s="100"/>
    </row>
    <row r="659" x14ac:dyDescent="0.25">
      <c r="B659" t="s">
        <v>448</v>
      </c>
      <c r="C659" t="s">
        <v>272</v>
      </c>
      <c r="D659" t="s">
        <v>193</v>
      </c>
      <c r="E659" s="70" t="s">
        <v>454</v>
      </c>
      <c r="F659" s="71" t="s">
        <v>501</v>
      </c>
      <c r="H659" t="s">
        <v>475</v>
      </c>
      <c r="J659" t="s">
        <v>476</v>
      </c>
      <c r="P659" s="93"/>
      <c r="R659" t="s">
        <v>480</v>
      </c>
      <c r="S659" t="s">
        <v>481</v>
      </c>
      <c r="T659" t="s">
        <v>486</v>
      </c>
      <c r="U659" t="s">
        <v>487</v>
      </c>
      <c r="V659" t="s">
        <v>484</v>
      </c>
      <c r="W659" t="s">
        <v>485</v>
      </c>
      <c r="X659" t="s">
        <v>488</v>
      </c>
      <c r="Y659" t="s">
        <v>489</v>
      </c>
      <c r="Z659" t="s">
        <v>480</v>
      </c>
      <c r="AA659" t="s">
        <v>481</v>
      </c>
      <c r="AB659" t="s">
        <v>486</v>
      </c>
      <c r="AC659" t="s">
        <v>487</v>
      </c>
      <c r="AD659" t="s">
        <v>484</v>
      </c>
      <c r="AE659" t="s">
        <v>485</v>
      </c>
      <c r="AF659" t="s">
        <v>488</v>
      </c>
      <c r="AG659" t="s">
        <v>489</v>
      </c>
      <c r="AH659" t="s">
        <v>312</v>
      </c>
      <c r="AI659" t="s">
        <v>258</v>
      </c>
      <c r="AJ659" t="s">
        <v>486</v>
      </c>
      <c r="AK659" t="s">
        <v>490</v>
      </c>
      <c r="AL659" t="s">
        <v>487</v>
      </c>
      <c r="AM659" t="s">
        <v>490</v>
      </c>
      <c r="AN659" t="s">
        <v>488</v>
      </c>
      <c r="AO659" t="s">
        <v>490</v>
      </c>
      <c r="AP659" t="s">
        <v>489</v>
      </c>
      <c r="AQ659" t="s">
        <v>490</v>
      </c>
      <c r="AR659" s="100"/>
      <c r="AS659" s="93"/>
      <c r="AU659" t="s">
        <v>480</v>
      </c>
      <c r="AV659" t="s">
        <v>481</v>
      </c>
      <c r="AW659" t="s">
        <v>486</v>
      </c>
      <c r="AX659" t="s">
        <v>487</v>
      </c>
      <c r="AY659" t="s">
        <v>484</v>
      </c>
      <c r="AZ659" t="s">
        <v>485</v>
      </c>
      <c r="BA659" t="s">
        <v>488</v>
      </c>
      <c r="BB659" t="s">
        <v>489</v>
      </c>
      <c r="BC659" t="s">
        <v>480</v>
      </c>
      <c r="BD659" t="s">
        <v>481</v>
      </c>
      <c r="BE659" t="s">
        <v>486</v>
      </c>
      <c r="BF659" t="s">
        <v>487</v>
      </c>
      <c r="BG659" t="s">
        <v>484</v>
      </c>
      <c r="BH659" t="s">
        <v>485</v>
      </c>
      <c r="BI659" t="s">
        <v>488</v>
      </c>
      <c r="BJ659" t="s">
        <v>489</v>
      </c>
      <c r="BK659" t="s">
        <v>312</v>
      </c>
      <c r="BL659" t="s">
        <v>258</v>
      </c>
      <c r="BM659" t="s">
        <v>486</v>
      </c>
      <c r="BN659" t="s">
        <v>490</v>
      </c>
      <c r="BO659" t="s">
        <v>487</v>
      </c>
      <c r="BP659" t="s">
        <v>490</v>
      </c>
      <c r="BQ659" t="s">
        <v>488</v>
      </c>
      <c r="BR659" t="s">
        <v>490</v>
      </c>
      <c r="BS659" t="s">
        <v>489</v>
      </c>
      <c r="BT659" t="s">
        <v>490</v>
      </c>
      <c r="BU659" s="100"/>
    </row>
    <row r="660" x14ac:dyDescent="0.25">
      <c r="B660" t="s">
        <v>449</v>
      </c>
      <c r="C660" s="19">
        <v>0</v>
      </c>
      <c r="D660" s="19">
        <v>0</v>
      </c>
      <c r="E660" s="66">
        <f>C20+D20/12</f>
        <v>0</v>
      </c>
      <c r="F660" s="67">
        <v>0</v>
      </c>
      <c r="H660" s="19">
        <v>0</v>
      </c>
      <c r="I660" s="64" t="s">
        <v>196</v>
      </c>
      <c r="J660" s="19">
        <v>0</v>
      </c>
      <c r="K660" s="19">
        <v>0</v>
      </c>
      <c r="L660" s="19">
        <v>0</v>
      </c>
      <c r="M660" s="19">
        <v>0</v>
      </c>
      <c r="P660" s="93"/>
      <c r="Q660" t="s">
        <v>449</v>
      </c>
      <c r="R660" s="19">
        <f>$H$20</f>
        <v>0</v>
      </c>
      <c r="S660">
        <f>R660*0.6</f>
        <v>0</v>
      </c>
      <c r="T660">
        <f>$C$47/2*R660</f>
        <v>0</v>
      </c>
      <c r="U660">
        <f>T660*0.6</f>
        <v>0</v>
      </c>
      <c r="V660" s="19">
        <v>0</v>
      </c>
      <c r="W660">
        <f>V660*0.7</f>
        <v>0</v>
      </c>
      <c r="X660">
        <f>$C$47/2*V660</f>
        <v>0</v>
      </c>
      <c r="Y660">
        <f>X660*0.7</f>
        <v>0</v>
      </c>
      <c r="Z660" s="19">
        <f>$H$20</f>
        <v>0</v>
      </c>
      <c r="AA660">
        <f>Z660*0.6</f>
        <v>0</v>
      </c>
      <c r="AB660">
        <f>$D$47/2*Z660</f>
        <v>0</v>
      </c>
      <c r="AC660">
        <f t="shared" ref="AC660:AC666" si="395">0.6*AB660</f>
        <v>0</v>
      </c>
      <c r="AD660" s="19">
        <v>0</v>
      </c>
      <c r="AE660">
        <f>AD660*0.7</f>
        <v>0</v>
      </c>
      <c r="AF660">
        <f>$D$47/2*AD660</f>
        <v>0</v>
      </c>
      <c r="AG660">
        <f>AF660*0.7</f>
        <v>0</v>
      </c>
      <c r="AH660" s="19">
        <v>0</v>
      </c>
      <c r="AI660" s="19">
        <v>0</v>
      </c>
      <c r="AJ660" s="17">
        <f>T660+AB660+AH660</f>
        <v>0</v>
      </c>
      <c r="AK660" s="17">
        <f>AK661+AJ660</f>
        <v>13166</v>
      </c>
      <c r="AL660" s="17">
        <f>AJ660*0.6</f>
        <v>0</v>
      </c>
      <c r="AM660" s="17">
        <f>AM661+AL660</f>
        <v>7899.5999999999995</v>
      </c>
      <c r="AN660" s="17">
        <f>X660+AF660+AI660</f>
        <v>0</v>
      </c>
      <c r="AO660" s="17">
        <f t="shared" ref="AO660:AQ663" si="396">AN660+AO661</f>
        <v>1302.0999999999999</v>
      </c>
      <c r="AP660" s="17">
        <f>AN660*0.7</f>
        <v>0</v>
      </c>
      <c r="AQ660" s="17">
        <f>AP660+AQ661</f>
        <v>911.46999999999991</v>
      </c>
      <c r="AR660" s="100"/>
      <c r="AS660" s="93"/>
      <c r="AT660" t="s">
        <v>449</v>
      </c>
      <c r="AU660" s="19">
        <f>$H$20</f>
        <v>0</v>
      </c>
      <c r="AV660">
        <f>AU660*0.6</f>
        <v>0</v>
      </c>
      <c r="AW660">
        <f t="shared" ref="AW660:AW666" si="397">$I$47/2*AU660</f>
        <v>0</v>
      </c>
      <c r="AX660">
        <f>AW660*0.6</f>
        <v>0</v>
      </c>
      <c r="AY660" s="19">
        <v>0</v>
      </c>
      <c r="AZ660">
        <f>AY660*0.7</f>
        <v>0</v>
      </c>
      <c r="BA660">
        <f t="shared" ref="BA660:BA665" si="398">$I$47/2*AY660</f>
        <v>0</v>
      </c>
      <c r="BB660">
        <f>BA660*0.7</f>
        <v>0</v>
      </c>
      <c r="BC660" s="19">
        <f>$H$20</f>
        <v>0</v>
      </c>
      <c r="BD660">
        <f>BC660*0.6</f>
        <v>0</v>
      </c>
      <c r="BE660">
        <f t="shared" ref="BE660:BE666" si="399">$J$47/2*BC660</f>
        <v>0</v>
      </c>
      <c r="BF660">
        <f t="shared" ref="BF660:BF666" si="400">0.6*BE660</f>
        <v>0</v>
      </c>
      <c r="BG660" s="19">
        <v>0</v>
      </c>
      <c r="BH660">
        <f>BG660*0.7</f>
        <v>0</v>
      </c>
      <c r="BI660">
        <f t="shared" ref="BI660:BI665" si="401">$J$47/2*BG660</f>
        <v>0</v>
      </c>
      <c r="BJ660">
        <f>BI660*0.7</f>
        <v>0</v>
      </c>
      <c r="BK660" s="19">
        <v>0</v>
      </c>
      <c r="BL660" s="19">
        <v>0</v>
      </c>
      <c r="BM660" s="17">
        <f>AW660+BE660+BK660</f>
        <v>0</v>
      </c>
      <c r="BN660" s="17">
        <f>BN661+BM660</f>
        <v>12258</v>
      </c>
      <c r="BO660" s="17">
        <f>BM660*0.6</f>
        <v>0</v>
      </c>
      <c r="BP660" s="17">
        <f>BP661+BO660</f>
        <v>7354.7999999999993</v>
      </c>
      <c r="BQ660" s="17">
        <f>BA660+BI660+BL660</f>
        <v>0</v>
      </c>
      <c r="BR660" s="17">
        <f t="shared" ref="BR660:BR663" si="402">BQ660+BR661</f>
        <v>1212.3</v>
      </c>
      <c r="BS660" s="17">
        <f>BQ660*0.7</f>
        <v>0</v>
      </c>
      <c r="BT660" s="17">
        <f>BS660+BT661</f>
        <v>848.6099999999999</v>
      </c>
      <c r="BU660" s="100"/>
    </row>
    <row r="661" x14ac:dyDescent="0.25">
      <c r="B661" t="s">
        <v>450</v>
      </c>
      <c r="C661" s="19">
        <v>10</v>
      </c>
      <c r="D661" s="19">
        <v>8.25</v>
      </c>
      <c r="E661" s="66">
        <f>C21+D21/12</f>
        <v>10.6875</v>
      </c>
      <c r="F661" s="67">
        <f>IF(E21&gt;0,E21-(C15+C14+2*1.5+IF(C13="single",1.5,3))/12-_xlfn.XLOOKUP(E21,E20,E20,,-1),0)</f>
        <v>8.75</v>
      </c>
      <c r="H661" s="19">
        <v>236</v>
      </c>
      <c r="I661" s="64" t="s">
        <v>196</v>
      </c>
      <c r="J661" s="19">
        <v>33.799999999999997</v>
      </c>
      <c r="K661" s="19">
        <v>65.599999999999994</v>
      </c>
      <c r="L661" s="19">
        <v>19.3</v>
      </c>
      <c r="M661" s="19">
        <v>119.6</v>
      </c>
      <c r="P661" s="93"/>
      <c r="Q661" t="s">
        <v>450</v>
      </c>
      <c r="R661" s="19">
        <f>$H$21</f>
        <v>236</v>
      </c>
      <c r="S661">
        <f t="shared" ref="S661:S666" si="403">R661*0.6</f>
        <v>141.6</v>
      </c>
      <c r="T661">
        <f t="shared" ref="T661:T665" si="404">$C$47/2*R661</f>
        <v>0</v>
      </c>
      <c r="U661">
        <f>T661*0.6</f>
        <v>0</v>
      </c>
      <c r="V661" s="19">
        <v>33.799999999999997</v>
      </c>
      <c r="W661">
        <f t="shared" ref="W661:W665" si="405">V661*0.7</f>
        <v>23.659999999999997</v>
      </c>
      <c r="X661">
        <f t="shared" ref="X661:X665" si="406">$C$47/2*V661</f>
        <v>0</v>
      </c>
      <c r="Y661">
        <f t="shared" ref="Y661:Y665" si="407">X661*0.7</f>
        <v>0</v>
      </c>
      <c r="Z661" s="19">
        <f>$H$21</f>
        <v>236</v>
      </c>
      <c r="AA661">
        <f t="shared" ref="AA661:AA665" si="408">Z661*0.6</f>
        <v>141.6</v>
      </c>
      <c r="AB661">
        <f t="shared" ref="AB661:AB665" si="409">$D$47/2*Z661</f>
        <v>3422</v>
      </c>
      <c r="AC661">
        <f t="shared" si="395"/>
        <v>2053.1999999999998</v>
      </c>
      <c r="AD661" s="19">
        <v>33.799999999999997</v>
      </c>
      <c r="AE661">
        <f t="shared" ref="AE661:AE665" si="410">AD661*0.7</f>
        <v>23.659999999999997</v>
      </c>
      <c r="AF661">
        <f t="shared" ref="AF661:AF665" si="411">$D$47/2*AD661</f>
        <v>490.09999999999997</v>
      </c>
      <c r="AG661">
        <f t="shared" ref="AG661:AG665" si="412">AF661*0.7</f>
        <v>343.06999999999994</v>
      </c>
      <c r="AH661" s="19">
        <v>0</v>
      </c>
      <c r="AI661" s="19">
        <v>0</v>
      </c>
      <c r="AJ661" s="17">
        <f>T661+AB661+AH661</f>
        <v>3422</v>
      </c>
      <c r="AK661" s="17">
        <f>AK662+AJ661</f>
        <v>13166</v>
      </c>
      <c r="AL661" s="17">
        <f t="shared" ref="AL661:AL665" si="413">AJ661*0.6</f>
        <v>2053.1999999999998</v>
      </c>
      <c r="AM661" s="17">
        <f t="shared" ref="AM661:AM663" si="414">AM662+AL661</f>
        <v>7899.5999999999995</v>
      </c>
      <c r="AN661" s="17">
        <f t="shared" ref="AN661:AN664" si="415">X661+AF661+AI661</f>
        <v>490.09999999999997</v>
      </c>
      <c r="AO661" s="17">
        <f t="shared" si="396"/>
        <v>1302.0999999999999</v>
      </c>
      <c r="AP661" s="17">
        <f t="shared" ref="AP661:AP664" si="416">AN661*0.7</f>
        <v>343.06999999999994</v>
      </c>
      <c r="AQ661" s="17">
        <f t="shared" si="396"/>
        <v>911.46999999999991</v>
      </c>
      <c r="AR661" s="100"/>
      <c r="AS661" s="93"/>
      <c r="AT661" t="s">
        <v>450</v>
      </c>
      <c r="AU661" s="19">
        <f>$H$21</f>
        <v>236</v>
      </c>
      <c r="AV661">
        <f t="shared" ref="AV661:AV666" si="417">AU661*0.6</f>
        <v>141.6</v>
      </c>
      <c r="AW661">
        <f t="shared" si="397"/>
        <v>0</v>
      </c>
      <c r="AX661">
        <f>AW661*0.6</f>
        <v>0</v>
      </c>
      <c r="AY661" s="19">
        <v>33.799999999999997</v>
      </c>
      <c r="AZ661">
        <f t="shared" ref="AZ661:AZ665" si="418">AY661*0.7</f>
        <v>23.659999999999997</v>
      </c>
      <c r="BA661">
        <f t="shared" si="398"/>
        <v>0</v>
      </c>
      <c r="BB661">
        <f t="shared" ref="BB661:BB665" si="419">BA661*0.7</f>
        <v>0</v>
      </c>
      <c r="BC661" s="19">
        <f>$H$21</f>
        <v>236</v>
      </c>
      <c r="BD661">
        <f t="shared" ref="BD661:BD665" si="420">BC661*0.6</f>
        <v>141.6</v>
      </c>
      <c r="BE661">
        <f t="shared" si="399"/>
        <v>3186</v>
      </c>
      <c r="BF661">
        <f t="shared" si="400"/>
        <v>1911.6</v>
      </c>
      <c r="BG661" s="19">
        <v>33.799999999999997</v>
      </c>
      <c r="BH661">
        <f t="shared" ref="BH661:BH665" si="421">BG661*0.7</f>
        <v>23.659999999999997</v>
      </c>
      <c r="BI661">
        <f t="shared" si="401"/>
        <v>456.29999999999995</v>
      </c>
      <c r="BJ661">
        <f t="shared" ref="BJ661:BJ665" si="422">BI661*0.7</f>
        <v>319.40999999999997</v>
      </c>
      <c r="BK661" s="19">
        <v>0</v>
      </c>
      <c r="BL661" s="19">
        <v>0</v>
      </c>
      <c r="BM661" s="17">
        <f>AW661+BE661+BK661</f>
        <v>3186</v>
      </c>
      <c r="BN661" s="17">
        <f>BN662+BM661</f>
        <v>12258</v>
      </c>
      <c r="BO661" s="17">
        <f t="shared" ref="BO661" si="423">BM661*0.6</f>
        <v>1911.6</v>
      </c>
      <c r="BP661" s="17">
        <f t="shared" ref="BP661:BP663" si="424">BP662+BO661</f>
        <v>7354.7999999999993</v>
      </c>
      <c r="BQ661" s="17">
        <f t="shared" ref="BQ661:BQ664" si="425">BA661+BI661+BL661</f>
        <v>456.29999999999995</v>
      </c>
      <c r="BR661" s="17">
        <f t="shared" si="402"/>
        <v>1212.3</v>
      </c>
      <c r="BS661" s="17">
        <f t="shared" ref="BS661:BS664" si="426">BQ661*0.7</f>
        <v>319.40999999999997</v>
      </c>
      <c r="BT661" s="17">
        <f t="shared" ref="BT661:BT663" si="427">BS661+BT662</f>
        <v>848.6099999999999</v>
      </c>
      <c r="BU661" s="100"/>
    </row>
    <row r="662" x14ac:dyDescent="0.25">
      <c r="B662" t="s">
        <v>451</v>
      </c>
      <c r="C662" s="19">
        <v>21</v>
      </c>
      <c r="D662" s="19">
        <v>4.5</v>
      </c>
      <c r="E662" s="66">
        <f t="shared" ref="E22:E25" si="428">C22+D22/12</f>
        <v>21.375</v>
      </c>
      <c r="F662" s="67">
        <f>IF(E22&gt;0,E22-(C15+C14+2*1.5+IF(C13="single",1.5,3))/12-_xlfn.XLOOKUP(E22,E20:E21,E20:E21,,-1),0)</f>
        <v>8.75</v>
      </c>
      <c r="H662" s="19">
        <v>229</v>
      </c>
      <c r="I662" s="64" t="s">
        <v>196</v>
      </c>
      <c r="J662" s="19">
        <v>37.1</v>
      </c>
      <c r="K662" s="19">
        <v>71.8</v>
      </c>
      <c r="L662" s="19">
        <v>21.1</v>
      </c>
      <c r="M662" s="19">
        <v>131.1</v>
      </c>
      <c r="P662" s="93"/>
      <c r="Q662" t="s">
        <v>451</v>
      </c>
      <c r="R662" s="19">
        <f>$H$22</f>
        <v>229</v>
      </c>
      <c r="S662">
        <f t="shared" si="403"/>
        <v>137.4</v>
      </c>
      <c r="T662">
        <f t="shared" si="404"/>
        <v>0</v>
      </c>
      <c r="U662">
        <f t="shared" ref="U662:U666" si="429">T662*0.6</f>
        <v>0</v>
      </c>
      <c r="V662" s="19">
        <v>37.1</v>
      </c>
      <c r="W662">
        <f t="shared" si="405"/>
        <v>25.97</v>
      </c>
      <c r="X662">
        <f>$C$47/2*V662</f>
        <v>0</v>
      </c>
      <c r="Y662">
        <f t="shared" si="407"/>
        <v>0</v>
      </c>
      <c r="Z662" s="19">
        <f>$H$22</f>
        <v>229</v>
      </c>
      <c r="AA662">
        <f t="shared" si="408"/>
        <v>137.4</v>
      </c>
      <c r="AB662">
        <f t="shared" si="409"/>
        <v>3320.5</v>
      </c>
      <c r="AC662">
        <f t="shared" si="395"/>
        <v>1992.3</v>
      </c>
      <c r="AD662" s="19">
        <v>37.1</v>
      </c>
      <c r="AE662">
        <f t="shared" si="410"/>
        <v>25.97</v>
      </c>
      <c r="AF662">
        <f t="shared" si="411"/>
        <v>537.95000000000005</v>
      </c>
      <c r="AG662">
        <f t="shared" si="412"/>
        <v>376.565</v>
      </c>
      <c r="AH662" s="19">
        <v>0</v>
      </c>
      <c r="AI662" s="19">
        <v>0</v>
      </c>
      <c r="AJ662" s="17">
        <f t="shared" ref="AJ662:AJ664" si="430">T662+AB662+AH662</f>
        <v>3320.5</v>
      </c>
      <c r="AK662" s="17">
        <f>AK663+AJ662</f>
        <v>9744</v>
      </c>
      <c r="AL662" s="17">
        <f>AJ662*0.6</f>
        <v>1992.3</v>
      </c>
      <c r="AM662" s="17">
        <f t="shared" si="414"/>
        <v>5846.4</v>
      </c>
      <c r="AN662" s="17">
        <f t="shared" si="415"/>
        <v>537.95000000000005</v>
      </c>
      <c r="AO662" s="17">
        <f t="shared" si="396"/>
        <v>812</v>
      </c>
      <c r="AP662" s="17">
        <f t="shared" si="416"/>
        <v>376.565</v>
      </c>
      <c r="AQ662" s="17">
        <f t="shared" si="396"/>
        <v>568.4</v>
      </c>
      <c r="AR662" s="100"/>
      <c r="AS662" s="93"/>
      <c r="AT662" t="s">
        <v>451</v>
      </c>
      <c r="AU662" s="19">
        <f>$H$22</f>
        <v>229</v>
      </c>
      <c r="AV662">
        <f t="shared" si="417"/>
        <v>137.4</v>
      </c>
      <c r="AW662">
        <f t="shared" si="397"/>
        <v>0</v>
      </c>
      <c r="AX662">
        <f t="shared" ref="AX662:AX666" si="431">AW662*0.6</f>
        <v>0</v>
      </c>
      <c r="AY662" s="19">
        <v>37.1</v>
      </c>
      <c r="AZ662">
        <f t="shared" si="418"/>
        <v>25.97</v>
      </c>
      <c r="BA662">
        <f t="shared" si="398"/>
        <v>0</v>
      </c>
      <c r="BB662">
        <f t="shared" si="419"/>
        <v>0</v>
      </c>
      <c r="BC662" s="19">
        <f>$H$22</f>
        <v>229</v>
      </c>
      <c r="BD662">
        <f t="shared" si="420"/>
        <v>137.4</v>
      </c>
      <c r="BE662">
        <f t="shared" si="399"/>
        <v>3091.5</v>
      </c>
      <c r="BF662">
        <f t="shared" si="400"/>
        <v>1854.8999999999999</v>
      </c>
      <c r="BG662" s="19">
        <v>37.1</v>
      </c>
      <c r="BH662">
        <f t="shared" si="421"/>
        <v>25.97</v>
      </c>
      <c r="BI662">
        <f t="shared" si="401"/>
        <v>500.85</v>
      </c>
      <c r="BJ662">
        <f t="shared" si="422"/>
        <v>350.59499999999997</v>
      </c>
      <c r="BK662" s="19">
        <v>0</v>
      </c>
      <c r="BL662" s="19">
        <v>0</v>
      </c>
      <c r="BM662" s="17">
        <f t="shared" ref="BM662:BM664" si="432">AW662+BE662+BK662</f>
        <v>3091.5</v>
      </c>
      <c r="BN662" s="17">
        <f>BN663+BM662</f>
        <v>9072</v>
      </c>
      <c r="BO662" s="17">
        <f>BM662*0.6</f>
        <v>1854.8999999999999</v>
      </c>
      <c r="BP662" s="17">
        <f t="shared" si="424"/>
        <v>5443.2</v>
      </c>
      <c r="BQ662" s="17">
        <f t="shared" si="425"/>
        <v>500.85</v>
      </c>
      <c r="BR662" s="17">
        <f t="shared" si="402"/>
        <v>756</v>
      </c>
      <c r="BS662" s="17">
        <f t="shared" si="426"/>
        <v>350.59499999999997</v>
      </c>
      <c r="BT662" s="17">
        <f t="shared" si="427"/>
        <v>529.19999999999993</v>
      </c>
      <c r="BU662" s="100"/>
    </row>
    <row r="663" x14ac:dyDescent="0.25">
      <c r="B663" t="s">
        <v>452</v>
      </c>
      <c r="C663" s="19">
        <v>0</v>
      </c>
      <c r="D663" s="19">
        <v>0</v>
      </c>
      <c r="E663" s="66">
        <f t="shared" si="428"/>
        <v>0</v>
      </c>
      <c r="F663" s="67">
        <f>IF(E23&gt;0,E23-(C15+C14+2*1.5+IF(C13="single",1.5,3))/12-_xlfn.XLOOKUP(E23,E20:E22,E20:E22,,-1),0)</f>
        <v>0</v>
      </c>
      <c r="H663" s="19">
        <v>0</v>
      </c>
      <c r="I663" s="64" t="s">
        <v>196</v>
      </c>
      <c r="J663" s="19">
        <v>0</v>
      </c>
      <c r="K663" s="19">
        <v>0</v>
      </c>
      <c r="L663" s="19">
        <v>0</v>
      </c>
      <c r="M663" s="19">
        <v>0</v>
      </c>
      <c r="P663" s="93"/>
      <c r="Q663" t="s">
        <v>452</v>
      </c>
      <c r="R663" s="19">
        <f>$H$23</f>
        <v>0</v>
      </c>
      <c r="S663">
        <f t="shared" si="403"/>
        <v>0</v>
      </c>
      <c r="T663">
        <f t="shared" si="404"/>
        <v>0</v>
      </c>
      <c r="U663">
        <f t="shared" si="429"/>
        <v>0</v>
      </c>
      <c r="V663" s="19">
        <v>0</v>
      </c>
      <c r="W663">
        <f t="shared" si="405"/>
        <v>0</v>
      </c>
      <c r="X663">
        <f t="shared" si="406"/>
        <v>0</v>
      </c>
      <c r="Y663">
        <f t="shared" si="407"/>
        <v>0</v>
      </c>
      <c r="Z663" s="19">
        <f>$H$23</f>
        <v>0</v>
      </c>
      <c r="AA663">
        <f t="shared" si="408"/>
        <v>0</v>
      </c>
      <c r="AB663">
        <f t="shared" si="409"/>
        <v>0</v>
      </c>
      <c r="AC663">
        <f t="shared" si="395"/>
        <v>0</v>
      </c>
      <c r="AD663" s="19">
        <v>0</v>
      </c>
      <c r="AE663">
        <f t="shared" si="410"/>
        <v>0</v>
      </c>
      <c r="AF663">
        <f t="shared" si="411"/>
        <v>0</v>
      </c>
      <c r="AG663">
        <f t="shared" si="412"/>
        <v>0</v>
      </c>
      <c r="AH663" s="19">
        <v>0</v>
      </c>
      <c r="AI663" s="19">
        <v>0</v>
      </c>
      <c r="AJ663" s="17">
        <f t="shared" si="430"/>
        <v>0</v>
      </c>
      <c r="AK663" s="17">
        <f>AK664+AJ663</f>
        <v>6423.5</v>
      </c>
      <c r="AL663" s="17">
        <f>AJ663*0.6</f>
        <v>0</v>
      </c>
      <c r="AM663" s="17">
        <f t="shared" si="414"/>
        <v>3854.1</v>
      </c>
      <c r="AN663" s="17">
        <f t="shared" si="415"/>
        <v>0</v>
      </c>
      <c r="AO663" s="17">
        <f t="shared" si="396"/>
        <v>274.04999999999995</v>
      </c>
      <c r="AP663" s="17">
        <f t="shared" si="416"/>
        <v>0</v>
      </c>
      <c r="AQ663" s="17">
        <f t="shared" si="396"/>
        <v>191.83499999999995</v>
      </c>
      <c r="AR663" s="100"/>
      <c r="AS663" s="93"/>
      <c r="AT663" t="s">
        <v>452</v>
      </c>
      <c r="AU663" s="19">
        <f>$H$23</f>
        <v>0</v>
      </c>
      <c r="AV663">
        <f t="shared" si="417"/>
        <v>0</v>
      </c>
      <c r="AW663">
        <f t="shared" si="397"/>
        <v>0</v>
      </c>
      <c r="AX663">
        <f t="shared" si="431"/>
        <v>0</v>
      </c>
      <c r="AY663" s="19">
        <v>0</v>
      </c>
      <c r="AZ663">
        <f t="shared" si="418"/>
        <v>0</v>
      </c>
      <c r="BA663">
        <f t="shared" si="398"/>
        <v>0</v>
      </c>
      <c r="BB663">
        <f t="shared" si="419"/>
        <v>0</v>
      </c>
      <c r="BC663" s="19">
        <f>$H$23</f>
        <v>0</v>
      </c>
      <c r="BD663">
        <f t="shared" si="420"/>
        <v>0</v>
      </c>
      <c r="BE663">
        <f t="shared" si="399"/>
        <v>0</v>
      </c>
      <c r="BF663">
        <f t="shared" si="400"/>
        <v>0</v>
      </c>
      <c r="BG663" s="19">
        <v>0</v>
      </c>
      <c r="BH663">
        <f t="shared" si="421"/>
        <v>0</v>
      </c>
      <c r="BI663">
        <f t="shared" si="401"/>
        <v>0</v>
      </c>
      <c r="BJ663">
        <f t="shared" si="422"/>
        <v>0</v>
      </c>
      <c r="BK663" s="19">
        <v>0</v>
      </c>
      <c r="BL663" s="19">
        <v>0</v>
      </c>
      <c r="BM663" s="17">
        <f t="shared" si="432"/>
        <v>0</v>
      </c>
      <c r="BN663" s="17">
        <f>BN664+BM663</f>
        <v>5980.5</v>
      </c>
      <c r="BO663" s="17">
        <f>BM663*0.6</f>
        <v>0</v>
      </c>
      <c r="BP663" s="17">
        <f t="shared" si="424"/>
        <v>3588.2999999999997</v>
      </c>
      <c r="BQ663" s="17">
        <f t="shared" si="425"/>
        <v>0</v>
      </c>
      <c r="BR663" s="17">
        <f t="shared" si="402"/>
        <v>255.14999999999998</v>
      </c>
      <c r="BS663" s="17">
        <f t="shared" si="426"/>
        <v>0</v>
      </c>
      <c r="BT663" s="17">
        <f t="shared" si="427"/>
        <v>178.60499999999996</v>
      </c>
      <c r="BU663" s="100"/>
    </row>
    <row r="664" x14ac:dyDescent="0.25">
      <c r="B664" t="s">
        <v>453</v>
      </c>
      <c r="C664" s="19">
        <v>0</v>
      </c>
      <c r="D664" s="19">
        <v>0</v>
      </c>
      <c r="E664" s="66">
        <f t="shared" si="428"/>
        <v>0</v>
      </c>
      <c r="F664" s="67">
        <f>IF(E24&gt;0,E24-(C15+C14+2*1.5+IF(C13="single",1.5,3))/12-_xlfn.XLOOKUP(E24,E20:E23,E20:E23,,-1),0)</f>
        <v>0</v>
      </c>
      <c r="H664" s="19">
        <v>0</v>
      </c>
      <c r="I664" s="64" t="s">
        <v>196</v>
      </c>
      <c r="J664" s="19">
        <v>0</v>
      </c>
      <c r="K664" s="19">
        <v>0</v>
      </c>
      <c r="L664" s="19">
        <v>0</v>
      </c>
      <c r="M664" s="19">
        <v>0</v>
      </c>
      <c r="P664" s="93"/>
      <c r="Q664" t="s">
        <v>453</v>
      </c>
      <c r="R664" s="19">
        <f>$H$24</f>
        <v>0</v>
      </c>
      <c r="S664">
        <f t="shared" si="403"/>
        <v>0</v>
      </c>
      <c r="T664">
        <f t="shared" si="404"/>
        <v>0</v>
      </c>
      <c r="U664">
        <f t="shared" si="429"/>
        <v>0</v>
      </c>
      <c r="V664" s="19">
        <v>0</v>
      </c>
      <c r="W664">
        <f t="shared" si="405"/>
        <v>0</v>
      </c>
      <c r="X664">
        <f t="shared" si="406"/>
        <v>0</v>
      </c>
      <c r="Y664">
        <f t="shared" si="407"/>
        <v>0</v>
      </c>
      <c r="Z664" s="19">
        <f>$H$24</f>
        <v>0</v>
      </c>
      <c r="AA664">
        <f t="shared" si="408"/>
        <v>0</v>
      </c>
      <c r="AB664">
        <f t="shared" si="409"/>
        <v>0</v>
      </c>
      <c r="AC664">
        <f t="shared" si="395"/>
        <v>0</v>
      </c>
      <c r="AD664" s="19">
        <v>0</v>
      </c>
      <c r="AE664">
        <f t="shared" si="410"/>
        <v>0</v>
      </c>
      <c r="AF664">
        <f t="shared" si="411"/>
        <v>0</v>
      </c>
      <c r="AG664">
        <f t="shared" si="412"/>
        <v>0</v>
      </c>
      <c r="AH664" s="19">
        <v>0</v>
      </c>
      <c r="AI664" s="19">
        <v>0</v>
      </c>
      <c r="AJ664" s="17">
        <f t="shared" si="430"/>
        <v>0</v>
      </c>
      <c r="AK664" s="17">
        <f>AK665+IF(AJ664=0,0,AJ664)</f>
        <v>6423.5</v>
      </c>
      <c r="AL664" s="17">
        <f t="shared" si="413"/>
        <v>0</v>
      </c>
      <c r="AM664" s="17">
        <f>AM665+AL664</f>
        <v>3854.1</v>
      </c>
      <c r="AN664" s="17">
        <f t="shared" si="415"/>
        <v>0</v>
      </c>
      <c r="AO664" s="17">
        <f>AN664+AO665</f>
        <v>274.04999999999995</v>
      </c>
      <c r="AP664" s="17">
        <f t="shared" si="416"/>
        <v>0</v>
      </c>
      <c r="AQ664" s="17">
        <f>AP664+AQ665</f>
        <v>191.83499999999995</v>
      </c>
      <c r="AR664" s="100"/>
      <c r="AS664" s="93"/>
      <c r="AT664" t="s">
        <v>453</v>
      </c>
      <c r="AU664" s="19">
        <f>$H$24</f>
        <v>0</v>
      </c>
      <c r="AV664">
        <f t="shared" si="417"/>
        <v>0</v>
      </c>
      <c r="AW664">
        <f t="shared" si="397"/>
        <v>0</v>
      </c>
      <c r="AX664">
        <f t="shared" si="431"/>
        <v>0</v>
      </c>
      <c r="AY664" s="19">
        <v>0</v>
      </c>
      <c r="AZ664">
        <f t="shared" si="418"/>
        <v>0</v>
      </c>
      <c r="BA664">
        <f t="shared" si="398"/>
        <v>0</v>
      </c>
      <c r="BB664">
        <f t="shared" si="419"/>
        <v>0</v>
      </c>
      <c r="BC664" s="19">
        <f>$H$24</f>
        <v>0</v>
      </c>
      <c r="BD664">
        <f t="shared" si="420"/>
        <v>0</v>
      </c>
      <c r="BE664">
        <f t="shared" si="399"/>
        <v>0</v>
      </c>
      <c r="BF664">
        <f t="shared" si="400"/>
        <v>0</v>
      </c>
      <c r="BG664" s="19">
        <v>0</v>
      </c>
      <c r="BH664">
        <f t="shared" si="421"/>
        <v>0</v>
      </c>
      <c r="BI664">
        <f t="shared" si="401"/>
        <v>0</v>
      </c>
      <c r="BJ664">
        <f t="shared" si="422"/>
        <v>0</v>
      </c>
      <c r="BK664" s="19">
        <v>0</v>
      </c>
      <c r="BL664" s="19">
        <v>0</v>
      </c>
      <c r="BM664" s="17">
        <f t="shared" si="432"/>
        <v>0</v>
      </c>
      <c r="BN664" s="17">
        <f>BN665+IF(BM664=0,0,BM664)</f>
        <v>5980.5</v>
      </c>
      <c r="BO664" s="17">
        <f t="shared" ref="BO664:BO665" si="433">BM664*0.6</f>
        <v>0</v>
      </c>
      <c r="BP664" s="17">
        <f>BP665+BO664</f>
        <v>3588.2999999999997</v>
      </c>
      <c r="BQ664" s="17">
        <f t="shared" si="425"/>
        <v>0</v>
      </c>
      <c r="BR664" s="17">
        <f>BQ664+BR665</f>
        <v>255.14999999999998</v>
      </c>
      <c r="BS664" s="17">
        <f t="shared" si="426"/>
        <v>0</v>
      </c>
      <c r="BT664" s="17">
        <f>BS664+BT665</f>
        <v>178.60499999999996</v>
      </c>
      <c r="BU664" s="100"/>
    </row>
    <row r="665" x14ac:dyDescent="0.25">
      <c r="B665" t="s">
        <v>275</v>
      </c>
      <c r="C665" s="19">
        <f>(33+32)/2</f>
        <v>32.5</v>
      </c>
      <c r="D665" s="19">
        <f>(10.5+5.625)/2</f>
        <v>8.0625</v>
      </c>
      <c r="E665" s="68">
        <f t="shared" si="428"/>
        <v>33.171875</v>
      </c>
      <c r="F665" s="69">
        <f>E25-(C17+C16+2*1.5+IF(C13="single",1.5,3))/12-_xlfn.XLOOKUP(E25,E20:E24,E20:E24,,-1)</f>
        <v>8.6770833333333321</v>
      </c>
      <c r="H665" s="19">
        <v>443</v>
      </c>
      <c r="I665" s="64" t="s">
        <v>196</v>
      </c>
      <c r="J665" s="19">
        <v>18.899999999999999</v>
      </c>
      <c r="K665" s="19">
        <v>36.6</v>
      </c>
      <c r="L665" s="19">
        <v>10.8</v>
      </c>
      <c r="M665" s="19">
        <v>66.7</v>
      </c>
      <c r="P665" s="93"/>
      <c r="Q665" t="s">
        <v>275</v>
      </c>
      <c r="R665" s="19">
        <f>$H$25</f>
        <v>443</v>
      </c>
      <c r="S665">
        <f t="shared" si="403"/>
        <v>265.8</v>
      </c>
      <c r="T665">
        <f t="shared" si="404"/>
        <v>0</v>
      </c>
      <c r="U665">
        <f t="shared" si="429"/>
        <v>0</v>
      </c>
      <c r="V665" s="19">
        <v>18.899999999999999</v>
      </c>
      <c r="W665">
        <f t="shared" si="405"/>
        <v>13.229999999999999</v>
      </c>
      <c r="X665">
        <f t="shared" si="406"/>
        <v>0</v>
      </c>
      <c r="Y665">
        <f t="shared" si="407"/>
        <v>0</v>
      </c>
      <c r="Z665" s="19">
        <f>$H$25</f>
        <v>443</v>
      </c>
      <c r="AA665">
        <f t="shared" si="408"/>
        <v>265.8</v>
      </c>
      <c r="AB665">
        <f t="shared" si="409"/>
        <v>6423.5</v>
      </c>
      <c r="AC665">
        <f t="shared" si="395"/>
        <v>3854.1</v>
      </c>
      <c r="AD665" s="19">
        <v>18.899999999999999</v>
      </c>
      <c r="AE665">
        <f t="shared" si="410"/>
        <v>13.229999999999999</v>
      </c>
      <c r="AF665">
        <f t="shared" si="411"/>
        <v>274.04999999999995</v>
      </c>
      <c r="AG665">
        <f t="shared" si="412"/>
        <v>191.83499999999995</v>
      </c>
      <c r="AH665" s="19">
        <v>0</v>
      </c>
      <c r="AI665" s="19">
        <v>0</v>
      </c>
      <c r="AJ665" s="17">
        <f>T665+AB665+AH665</f>
        <v>6423.5</v>
      </c>
      <c r="AK665" s="17">
        <f>AJ665</f>
        <v>6423.5</v>
      </c>
      <c r="AL665" s="17">
        <f t="shared" si="413"/>
        <v>3854.1</v>
      </c>
      <c r="AM665" s="17">
        <f>AL665</f>
        <v>3854.1</v>
      </c>
      <c r="AN665" s="17">
        <f>X665+AF665+AI665</f>
        <v>274.04999999999995</v>
      </c>
      <c r="AO665" s="17">
        <f>AN665</f>
        <v>274.04999999999995</v>
      </c>
      <c r="AP665" s="17">
        <f>AN665*0.7</f>
        <v>191.83499999999995</v>
      </c>
      <c r="AQ665" s="17">
        <f>AP665</f>
        <v>191.83499999999995</v>
      </c>
      <c r="AR665" s="100"/>
      <c r="AS665" s="93"/>
      <c r="AT665" t="s">
        <v>275</v>
      </c>
      <c r="AU665" s="19">
        <f>$H$25</f>
        <v>443</v>
      </c>
      <c r="AV665">
        <f t="shared" si="417"/>
        <v>265.8</v>
      </c>
      <c r="AW665">
        <f t="shared" si="397"/>
        <v>0</v>
      </c>
      <c r="AX665">
        <f t="shared" si="431"/>
        <v>0</v>
      </c>
      <c r="AY665" s="19">
        <v>18.899999999999999</v>
      </c>
      <c r="AZ665">
        <f t="shared" si="418"/>
        <v>13.229999999999999</v>
      </c>
      <c r="BA665">
        <f t="shared" si="398"/>
        <v>0</v>
      </c>
      <c r="BB665">
        <f t="shared" si="419"/>
        <v>0</v>
      </c>
      <c r="BC665" s="19">
        <f>$H$25</f>
        <v>443</v>
      </c>
      <c r="BD665">
        <f t="shared" si="420"/>
        <v>265.8</v>
      </c>
      <c r="BE665">
        <f t="shared" si="399"/>
        <v>5980.5</v>
      </c>
      <c r="BF665">
        <f t="shared" si="400"/>
        <v>3588.2999999999997</v>
      </c>
      <c r="BG665" s="19">
        <v>18.899999999999999</v>
      </c>
      <c r="BH665">
        <f t="shared" si="421"/>
        <v>13.229999999999999</v>
      </c>
      <c r="BI665">
        <f t="shared" si="401"/>
        <v>255.14999999999998</v>
      </c>
      <c r="BJ665">
        <f t="shared" si="422"/>
        <v>178.60499999999996</v>
      </c>
      <c r="BK665" s="19">
        <v>0</v>
      </c>
      <c r="BL665" s="19">
        <v>0</v>
      </c>
      <c r="BM665" s="17">
        <f>AW665+BE665+BK665</f>
        <v>5980.5</v>
      </c>
      <c r="BN665" s="17">
        <f>BM665</f>
        <v>5980.5</v>
      </c>
      <c r="BO665" s="17">
        <f t="shared" si="433"/>
        <v>3588.2999999999997</v>
      </c>
      <c r="BP665" s="17">
        <f>BO665</f>
        <v>3588.2999999999997</v>
      </c>
      <c r="BQ665" s="17">
        <f>BA665+BI665+BL665</f>
        <v>255.14999999999998</v>
      </c>
      <c r="BR665" s="17">
        <f>BQ665</f>
        <v>255.14999999999998</v>
      </c>
      <c r="BS665" s="17">
        <f>BQ665*0.7</f>
        <v>178.60499999999996</v>
      </c>
      <c r="BT665" s="17">
        <f>BS665</f>
        <v>178.60499999999996</v>
      </c>
      <c r="BU665" s="100"/>
    </row>
    <row r="666" x14ac:dyDescent="0.25">
      <c r="B666" t="s">
        <v>530</v>
      </c>
      <c r="E666" s="73"/>
      <c r="F666" s="73"/>
      <c r="H666" s="19">
        <v>-22.9</v>
      </c>
      <c r="I666" s="64" t="s">
        <v>270</v>
      </c>
      <c r="P666" s="93"/>
      <c r="R666" s="19">
        <f>$H$26</f>
        <v>-22.9</v>
      </c>
      <c r="S666">
        <f t="shared" si="403"/>
        <v>-13.739999999999998</v>
      </c>
      <c r="T666">
        <f>$I$47/2*R666</f>
        <v>0</v>
      </c>
      <c r="U666">
        <f t="shared" si="429"/>
        <v>0</v>
      </c>
      <c r="Z666" s="19">
        <f>$H$26</f>
        <v>-22.9</v>
      </c>
      <c r="AA666">
        <f>Z666*0.6</f>
        <v>-13.739999999999998</v>
      </c>
      <c r="AB666">
        <f>$J$47/2*Z666</f>
        <v>-309.14999999999998</v>
      </c>
      <c r="AC666">
        <f t="shared" si="395"/>
        <v>-185.48999999999998</v>
      </c>
      <c r="AR666" s="100"/>
      <c r="AS666" s="93"/>
      <c r="AU666" s="19">
        <f>$H$26</f>
        <v>-22.9</v>
      </c>
      <c r="AV666">
        <f t="shared" si="417"/>
        <v>-13.739999999999998</v>
      </c>
      <c r="AW666">
        <f t="shared" si="397"/>
        <v>0</v>
      </c>
      <c r="AX666">
        <f t="shared" si="431"/>
        <v>0</v>
      </c>
      <c r="BC666" s="19">
        <f>$H$26</f>
        <v>-22.9</v>
      </c>
      <c r="BD666">
        <f>BC666*0.6</f>
        <v>-13.739999999999998</v>
      </c>
      <c r="BE666">
        <f t="shared" si="399"/>
        <v>-309.14999999999998</v>
      </c>
      <c r="BF666">
        <f t="shared" si="400"/>
        <v>-185.48999999999998</v>
      </c>
      <c r="BU666" s="100"/>
    </row>
    <row r="667" x14ac:dyDescent="0.25">
      <c r="B667" t="s">
        <v>531</v>
      </c>
      <c r="C667" s="1" t="s">
        <v>533</v>
      </c>
      <c r="D667" s="19">
        <v>0.18</v>
      </c>
      <c r="E667" s="73"/>
      <c r="F667" s="73"/>
      <c r="H667">
        <f>0.2*D27</f>
        <v>3.5999999999999997E-2</v>
      </c>
      <c r="I667" s="64" t="s">
        <v>534</v>
      </c>
      <c r="P667" s="93"/>
      <c r="Q667" s="1"/>
      <c r="AR667" s="100"/>
      <c r="AS667" s="93"/>
      <c r="AT667" s="1"/>
      <c r="BU667" s="100"/>
    </row>
    <row r="668" x14ac:dyDescent="0.25">
      <c r="P668" s="93"/>
      <c r="Y668" s="112" t="s">
        <v>752</v>
      </c>
      <c r="Z668" s="112"/>
      <c r="AA668" s="112"/>
      <c r="AB668" s="112"/>
      <c r="AC668" s="112"/>
      <c r="AR668" s="100"/>
      <c r="AS668" s="93"/>
      <c r="BB668" s="112" t="s">
        <v>752</v>
      </c>
      <c r="BC668" s="112"/>
      <c r="BD668" s="112"/>
      <c r="BE668" s="112"/>
      <c r="BF668" s="112"/>
      <c r="BU668" s="100"/>
    </row>
    <row r="669" x14ac:dyDescent="0.25">
      <c r="B669" t="s">
        <v>513</v>
      </c>
      <c r="P669" s="93"/>
      <c r="Q669" t="s">
        <v>479</v>
      </c>
      <c r="R669" t="s">
        <v>491</v>
      </c>
      <c r="S669" t="s">
        <v>508</v>
      </c>
      <c r="T669" t="s">
        <v>507</v>
      </c>
      <c r="U669" t="s">
        <v>535</v>
      </c>
      <c r="V669" t="s">
        <v>536</v>
      </c>
      <c r="W669" t="s">
        <v>479</v>
      </c>
      <c r="X669" t="s">
        <v>537</v>
      </c>
      <c r="Y669" t="s">
        <v>450</v>
      </c>
      <c r="Z669" t="s">
        <v>451</v>
      </c>
      <c r="AA669" t="s">
        <v>452</v>
      </c>
      <c r="AB669" t="s">
        <v>453</v>
      </c>
      <c r="AC669" t="s">
        <v>753</v>
      </c>
      <c r="AD669" t="s">
        <v>519</v>
      </c>
      <c r="AR669" s="100"/>
      <c r="AS669" s="93"/>
      <c r="AT669" t="s">
        <v>479</v>
      </c>
      <c r="AU669" t="s">
        <v>491</v>
      </c>
      <c r="AV669" t="s">
        <v>508</v>
      </c>
      <c r="AW669" t="s">
        <v>507</v>
      </c>
      <c r="AX669" t="s">
        <v>535</v>
      </c>
      <c r="AY669" t="s">
        <v>536</v>
      </c>
      <c r="AZ669" t="s">
        <v>479</v>
      </c>
      <c r="BA669" t="s">
        <v>537</v>
      </c>
      <c r="BB669" t="s">
        <v>450</v>
      </c>
      <c r="BC669" t="s">
        <v>451</v>
      </c>
      <c r="BD669" t="s">
        <v>452</v>
      </c>
      <c r="BE669" t="s">
        <v>453</v>
      </c>
      <c r="BF669" t="s">
        <v>753</v>
      </c>
      <c r="BG669" t="s">
        <v>519</v>
      </c>
      <c r="BU669" s="100"/>
    </row>
    <row r="670" x14ac:dyDescent="0.25">
      <c r="B670" s="1" t="s">
        <v>275</v>
      </c>
      <c r="C670" s="19">
        <v>20</v>
      </c>
      <c r="D670" t="s">
        <v>567</v>
      </c>
      <c r="P670" s="93"/>
      <c r="Q670" s="109" t="str">
        <f>R656&amp;".01"</f>
        <v>A.01</v>
      </c>
      <c r="R670" s="19">
        <v>29</v>
      </c>
      <c r="S670" s="19">
        <v>12</v>
      </c>
      <c r="T670">
        <f>S670/2</f>
        <v>6</v>
      </c>
      <c r="U670" s="19">
        <v>4</v>
      </c>
      <c r="V670">
        <f>U670/2</f>
        <v>2</v>
      </c>
      <c r="W670" s="19" t="s">
        <v>515</v>
      </c>
      <c r="X670" s="19">
        <v>6</v>
      </c>
      <c r="Y670" s="19"/>
      <c r="Z670" s="19"/>
      <c r="AA670" s="19"/>
      <c r="AB670" s="19"/>
      <c r="AC670" s="19"/>
      <c r="AD670" s="108">
        <f>R670/R686</f>
        <v>1</v>
      </c>
      <c r="AR670" s="100"/>
      <c r="AS670" s="93"/>
      <c r="AT670" s="109" t="str">
        <f>AU$656&amp;".01"</f>
        <v>1.01</v>
      </c>
      <c r="AU670" s="19">
        <v>29</v>
      </c>
      <c r="AV670" s="19">
        <v>12</v>
      </c>
      <c r="AW670">
        <f>AV670/2</f>
        <v>6</v>
      </c>
      <c r="AX670" s="19">
        <v>4</v>
      </c>
      <c r="AY670">
        <f>AX670/2</f>
        <v>2</v>
      </c>
      <c r="AZ670" s="19" t="s">
        <v>515</v>
      </c>
      <c r="BA670" s="19">
        <v>6</v>
      </c>
      <c r="BB670" s="19"/>
      <c r="BC670" s="19"/>
      <c r="BD670" s="19"/>
      <c r="BE670" s="19"/>
      <c r="BF670" s="19"/>
      <c r="BG670" s="108">
        <f>AU670/AU686</f>
        <v>1</v>
      </c>
      <c r="BU670" s="100"/>
    </row>
    <row r="671" x14ac:dyDescent="0.25">
      <c r="B671" s="1"/>
      <c r="C671">
        <f>0.9*C30</f>
        <v>18</v>
      </c>
      <c r="D671" t="s">
        <v>532</v>
      </c>
      <c r="P671" s="93"/>
      <c r="Q671" s="109" t="str">
        <f>R656&amp;".02"</f>
        <v>A.02</v>
      </c>
      <c r="R671" s="19"/>
      <c r="S671" s="19"/>
      <c r="T671">
        <f t="shared" ref="T671:T685" si="434">S671/2</f>
        <v>0</v>
      </c>
      <c r="U671" s="19"/>
      <c r="V671">
        <f t="shared" ref="V671:V685" si="435">U671/2</f>
        <v>0</v>
      </c>
      <c r="W671" s="19"/>
      <c r="X671" s="19"/>
      <c r="Y671" s="19"/>
      <c r="Z671" s="19"/>
      <c r="AA671" s="19"/>
      <c r="AB671" s="19"/>
      <c r="AC671" s="19"/>
      <c r="AR671" s="100"/>
      <c r="AS671" s="93"/>
      <c r="AT671" s="109" t="str">
        <f>AU$656&amp;".02"</f>
        <v>1.02</v>
      </c>
      <c r="AU671" s="19"/>
      <c r="AV671" s="19"/>
      <c r="AW671">
        <f t="shared" ref="AW671:AW685" si="436">AV671/2</f>
        <v>0</v>
      </c>
      <c r="AX671" s="19"/>
      <c r="AY671">
        <f t="shared" ref="AY671:AY685" si="437">AX671/2</f>
        <v>0</v>
      </c>
      <c r="AZ671" s="19"/>
      <c r="BA671" s="19"/>
      <c r="BB671" s="19"/>
      <c r="BC671" s="19"/>
      <c r="BD671" s="19"/>
      <c r="BE671" s="19"/>
      <c r="BF671" s="19"/>
      <c r="BU671" s="100"/>
    </row>
    <row r="672" x14ac:dyDescent="0.25">
      <c r="B672" s="1" t="s">
        <v>514</v>
      </c>
      <c r="C672" s="19">
        <v>26</v>
      </c>
      <c r="D672" t="s">
        <v>512</v>
      </c>
      <c r="P672" s="93"/>
      <c r="Q672" s="109" t="str">
        <f>R656&amp;".03"</f>
        <v>A.03</v>
      </c>
      <c r="R672" s="19"/>
      <c r="S672" s="19"/>
      <c r="T672">
        <f t="shared" si="434"/>
        <v>0</v>
      </c>
      <c r="U672" s="19"/>
      <c r="V672">
        <f t="shared" si="435"/>
        <v>0</v>
      </c>
      <c r="W672" s="19"/>
      <c r="X672" s="19"/>
      <c r="Y672" s="19"/>
      <c r="Z672" s="19"/>
      <c r="AA672" s="19"/>
      <c r="AB672" s="19"/>
      <c r="AC672" s="19"/>
      <c r="AR672" s="100"/>
      <c r="AS672" s="93"/>
      <c r="AT672" s="109" t="str">
        <f>AU$656&amp;".03"</f>
        <v>1.03</v>
      </c>
      <c r="AU672" s="19"/>
      <c r="AV672" s="19"/>
      <c r="AW672">
        <f t="shared" si="436"/>
        <v>0</v>
      </c>
      <c r="AX672" s="19"/>
      <c r="AY672">
        <f t="shared" si="437"/>
        <v>0</v>
      </c>
      <c r="AZ672" s="19"/>
      <c r="BA672" s="19"/>
      <c r="BB672" s="19"/>
      <c r="BC672" s="19"/>
      <c r="BD672" s="19"/>
      <c r="BE672" s="19"/>
      <c r="BF672" s="19"/>
      <c r="BU672" s="100"/>
    </row>
    <row r="673" x14ac:dyDescent="0.25">
      <c r="B673" s="1" t="s">
        <v>477</v>
      </c>
      <c r="C673" s="19">
        <v>11</v>
      </c>
      <c r="D673" t="s">
        <v>509</v>
      </c>
      <c r="P673" s="93"/>
      <c r="Q673" s="109" t="str">
        <f>R656&amp;".04"</f>
        <v>A.04</v>
      </c>
      <c r="R673" s="19"/>
      <c r="S673" s="19"/>
      <c r="T673">
        <f t="shared" si="434"/>
        <v>0</v>
      </c>
      <c r="U673" s="19"/>
      <c r="V673">
        <f t="shared" si="435"/>
        <v>0</v>
      </c>
      <c r="W673" s="19"/>
      <c r="X673" s="19"/>
      <c r="Y673" s="19"/>
      <c r="Z673" s="19"/>
      <c r="AA673" s="19"/>
      <c r="AB673" s="19"/>
      <c r="AC673" s="19"/>
      <c r="AR673" s="100"/>
      <c r="AS673" s="93"/>
      <c r="AT673" s="109" t="str">
        <f>AU$656&amp;".04"</f>
        <v>1.04</v>
      </c>
      <c r="AU673" s="19"/>
      <c r="AV673" s="19"/>
      <c r="AW673">
        <f t="shared" si="436"/>
        <v>0</v>
      </c>
      <c r="AX673" s="19"/>
      <c r="AY673">
        <f t="shared" si="437"/>
        <v>0</v>
      </c>
      <c r="AZ673" s="19"/>
      <c r="BA673" s="19"/>
      <c r="BB673" s="19"/>
      <c r="BC673" s="19"/>
      <c r="BD673" s="19"/>
      <c r="BE673" s="19"/>
      <c r="BF673" s="19"/>
      <c r="BU673" s="100"/>
    </row>
    <row r="674" x14ac:dyDescent="0.25">
      <c r="B674" s="1" t="s">
        <v>478</v>
      </c>
      <c r="C674" s="19">
        <v>13</v>
      </c>
      <c r="D674" t="s">
        <v>510</v>
      </c>
      <c r="P674" s="93"/>
      <c r="Q674" s="109" t="str">
        <f>R656&amp;".05"</f>
        <v>A.05</v>
      </c>
      <c r="R674" s="19"/>
      <c r="S674" s="19"/>
      <c r="T674">
        <f t="shared" si="434"/>
        <v>0</v>
      </c>
      <c r="U674" s="19"/>
      <c r="V674">
        <f t="shared" si="435"/>
        <v>0</v>
      </c>
      <c r="W674" s="19"/>
      <c r="X674" s="19"/>
      <c r="Y674" s="19"/>
      <c r="Z674" s="19"/>
      <c r="AA674" s="19"/>
      <c r="AB674" s="19"/>
      <c r="AC674" s="19"/>
      <c r="AR674" s="100"/>
      <c r="AS674" s="93"/>
      <c r="AT674" s="109" t="str">
        <f>AU$656&amp;".05"</f>
        <v>1.05</v>
      </c>
      <c r="AU674" s="19"/>
      <c r="AV674" s="19"/>
      <c r="AW674">
        <f t="shared" si="436"/>
        <v>0</v>
      </c>
      <c r="AX674" s="19"/>
      <c r="AY674">
        <f t="shared" si="437"/>
        <v>0</v>
      </c>
      <c r="AZ674" s="19"/>
      <c r="BA674" s="19"/>
      <c r="BB674" s="19"/>
      <c r="BC674" s="19"/>
      <c r="BD674" s="19"/>
      <c r="BE674" s="19"/>
      <c r="BF674" s="19"/>
      <c r="BU674" s="100"/>
    </row>
    <row r="675" x14ac:dyDescent="0.25">
      <c r="B675" s="1" t="s">
        <v>515</v>
      </c>
      <c r="C675" s="19">
        <v>18</v>
      </c>
      <c r="D675" t="s">
        <v>511</v>
      </c>
      <c r="P675" s="93"/>
      <c r="Q675" s="109" t="str">
        <f>R656&amp;".06"</f>
        <v>A.06</v>
      </c>
      <c r="R675" s="19"/>
      <c r="S675" s="19"/>
      <c r="T675">
        <f t="shared" si="434"/>
        <v>0</v>
      </c>
      <c r="U675" s="19"/>
      <c r="V675">
        <f t="shared" si="435"/>
        <v>0</v>
      </c>
      <c r="W675" s="19"/>
      <c r="X675" s="19"/>
      <c r="Y675" s="19"/>
      <c r="Z675" s="19"/>
      <c r="AA675" s="19"/>
      <c r="AB675" s="19"/>
      <c r="AC675" s="19"/>
      <c r="AR675" s="100"/>
      <c r="AS675" s="93"/>
      <c r="AT675" s="109" t="str">
        <f>AU$656&amp;".06"</f>
        <v>1.06</v>
      </c>
      <c r="AU675" s="19"/>
      <c r="AV675" s="19"/>
      <c r="AW675">
        <f t="shared" si="436"/>
        <v>0</v>
      </c>
      <c r="AX675" s="19"/>
      <c r="AY675">
        <f t="shared" si="437"/>
        <v>0</v>
      </c>
      <c r="AZ675" s="19"/>
      <c r="BA675" s="19"/>
      <c r="BB675" s="19"/>
      <c r="BC675" s="19"/>
      <c r="BD675" s="19"/>
      <c r="BE675" s="19"/>
      <c r="BF675" s="19"/>
      <c r="BU675" s="100"/>
    </row>
    <row r="676" x14ac:dyDescent="0.25">
      <c r="B676" s="1" t="s">
        <v>516</v>
      </c>
      <c r="P676" s="93"/>
      <c r="Q676" s="109" t="str">
        <f>R656&amp;".07"</f>
        <v>A.07</v>
      </c>
      <c r="R676" s="19"/>
      <c r="S676" s="19"/>
      <c r="T676">
        <f t="shared" si="434"/>
        <v>0</v>
      </c>
      <c r="U676" s="19"/>
      <c r="V676">
        <f t="shared" si="435"/>
        <v>0</v>
      </c>
      <c r="W676" s="19"/>
      <c r="X676" s="19"/>
      <c r="Y676" s="19"/>
      <c r="Z676" s="19"/>
      <c r="AA676" s="19"/>
      <c r="AB676" s="19"/>
      <c r="AC676" s="19"/>
      <c r="AF676" s="109"/>
      <c r="AR676" s="100"/>
      <c r="AS676" s="93"/>
      <c r="AT676" s="109" t="str">
        <f>AU$656&amp;".07"</f>
        <v>1.07</v>
      </c>
      <c r="AU676" s="19"/>
      <c r="AV676" s="19"/>
      <c r="AW676">
        <f t="shared" si="436"/>
        <v>0</v>
      </c>
      <c r="AX676" s="19"/>
      <c r="AY676">
        <f t="shared" si="437"/>
        <v>0</v>
      </c>
      <c r="AZ676" s="19"/>
      <c r="BA676" s="19"/>
      <c r="BB676" s="19"/>
      <c r="BC676" s="19"/>
      <c r="BD676" s="19"/>
      <c r="BE676" s="19"/>
      <c r="BF676" s="19"/>
      <c r="BI676" s="109"/>
      <c r="BU676" s="100"/>
    </row>
    <row r="677" x14ac:dyDescent="0.25">
      <c r="B677" s="1" t="s">
        <v>517</v>
      </c>
      <c r="P677" s="93"/>
      <c r="Q677" s="109" t="str">
        <f>R656&amp;".08"</f>
        <v>A.08</v>
      </c>
      <c r="R677" s="19"/>
      <c r="S677" s="19"/>
      <c r="T677">
        <f t="shared" si="434"/>
        <v>0</v>
      </c>
      <c r="U677" s="19"/>
      <c r="V677">
        <f t="shared" si="435"/>
        <v>0</v>
      </c>
      <c r="W677" s="19"/>
      <c r="X677" s="19"/>
      <c r="Y677" s="19"/>
      <c r="Z677" s="19"/>
      <c r="AA677" s="19"/>
      <c r="AB677" s="19"/>
      <c r="AC677" s="19"/>
      <c r="AF677" s="109"/>
      <c r="AR677" s="100"/>
      <c r="AS677" s="93"/>
      <c r="AT677" s="109" t="str">
        <f>AU$656&amp;".08"</f>
        <v>1.08</v>
      </c>
      <c r="AU677" s="19"/>
      <c r="AV677" s="19"/>
      <c r="AW677">
        <f t="shared" si="436"/>
        <v>0</v>
      </c>
      <c r="AX677" s="19"/>
      <c r="AY677">
        <f t="shared" si="437"/>
        <v>0</v>
      </c>
      <c r="AZ677" s="19"/>
      <c r="BA677" s="19"/>
      <c r="BB677" s="19"/>
      <c r="BC677" s="19"/>
      <c r="BD677" s="19"/>
      <c r="BE677" s="19"/>
      <c r="BF677" s="19"/>
      <c r="BI677" s="109"/>
      <c r="BU677" s="100"/>
    </row>
    <row r="678" x14ac:dyDescent="0.25">
      <c r="B678" s="1" t="s">
        <v>518</v>
      </c>
      <c r="P678" s="93"/>
      <c r="Q678" s="109" t="str">
        <f>R656&amp;".09"</f>
        <v>A.09</v>
      </c>
      <c r="R678" s="19"/>
      <c r="S678" s="19"/>
      <c r="T678">
        <f t="shared" si="434"/>
        <v>0</v>
      </c>
      <c r="U678" s="19"/>
      <c r="V678">
        <f t="shared" si="435"/>
        <v>0</v>
      </c>
      <c r="W678" s="19"/>
      <c r="X678" s="19"/>
      <c r="Y678" s="19"/>
      <c r="Z678" s="19"/>
      <c r="AA678" s="19"/>
      <c r="AB678" s="19"/>
      <c r="AC678" s="19"/>
      <c r="AF678" s="109"/>
      <c r="AR678" s="100"/>
      <c r="AS678" s="93"/>
      <c r="AT678" s="109" t="str">
        <f>AU$656&amp;".09"</f>
        <v>1.09</v>
      </c>
      <c r="AU678" s="19"/>
      <c r="AV678" s="19"/>
      <c r="AW678">
        <f t="shared" si="436"/>
        <v>0</v>
      </c>
      <c r="AX678" s="19"/>
      <c r="AY678">
        <f t="shared" si="437"/>
        <v>0</v>
      </c>
      <c r="AZ678" s="19"/>
      <c r="BA678" s="19"/>
      <c r="BB678" s="19"/>
      <c r="BC678" s="19"/>
      <c r="BD678" s="19"/>
      <c r="BE678" s="19"/>
      <c r="BF678" s="19"/>
      <c r="BI678" s="109"/>
      <c r="BU678" s="100"/>
    </row>
    <row r="679" x14ac:dyDescent="0.25">
      <c r="P679" s="93"/>
      <c r="Q679" s="109" t="str">
        <f>R656&amp;".10"</f>
        <v>A.10</v>
      </c>
      <c r="R679" s="19"/>
      <c r="S679" s="19"/>
      <c r="T679">
        <f t="shared" si="434"/>
        <v>0</v>
      </c>
      <c r="U679" s="19"/>
      <c r="V679">
        <f t="shared" si="435"/>
        <v>0</v>
      </c>
      <c r="W679" s="19"/>
      <c r="X679" s="19"/>
      <c r="Y679" s="19"/>
      <c r="Z679" s="19"/>
      <c r="AA679" s="19"/>
      <c r="AB679" s="19"/>
      <c r="AC679" s="19"/>
      <c r="AF679" s="109"/>
      <c r="AR679" s="100"/>
      <c r="AS679" s="93"/>
      <c r="AT679" s="109" t="str">
        <f>AU$656&amp;".10"</f>
        <v>1.10</v>
      </c>
      <c r="AU679" s="19"/>
      <c r="AV679" s="19"/>
      <c r="AW679">
        <f t="shared" si="436"/>
        <v>0</v>
      </c>
      <c r="AX679" s="19"/>
      <c r="AY679">
        <f t="shared" si="437"/>
        <v>0</v>
      </c>
      <c r="AZ679" s="19"/>
      <c r="BA679" s="19"/>
      <c r="BB679" s="19"/>
      <c r="BC679" s="19"/>
      <c r="BD679" s="19"/>
      <c r="BE679" s="19"/>
      <c r="BF679" s="19"/>
      <c r="BI679" s="109"/>
      <c r="BU679" s="100"/>
    </row>
    <row r="680" x14ac:dyDescent="0.25">
      <c r="C680" s="112" t="s">
        <v>495</v>
      </c>
      <c r="D680" s="112"/>
      <c r="E680" s="112"/>
      <c r="I680" s="112" t="s">
        <v>495</v>
      </c>
      <c r="J680" s="112"/>
      <c r="K680" s="112"/>
      <c r="P680" s="93"/>
      <c r="Q680" s="109" t="str">
        <f>R656&amp;".11"</f>
        <v>A.11</v>
      </c>
      <c r="R680" s="19"/>
      <c r="S680" s="19"/>
      <c r="T680">
        <f t="shared" si="434"/>
        <v>0</v>
      </c>
      <c r="U680" s="19"/>
      <c r="V680">
        <f t="shared" si="435"/>
        <v>0</v>
      </c>
      <c r="W680" s="19"/>
      <c r="X680" s="19"/>
      <c r="Y680" s="19"/>
      <c r="Z680" s="19"/>
      <c r="AA680" s="19"/>
      <c r="AB680" s="19"/>
      <c r="AC680" s="19"/>
      <c r="AF680" s="109"/>
      <c r="AR680" s="100"/>
      <c r="AS680" s="93"/>
      <c r="AT680" s="109" t="str">
        <f>AU$656&amp;".11"</f>
        <v>1.11</v>
      </c>
      <c r="AU680" s="19"/>
      <c r="AV680" s="19"/>
      <c r="AW680">
        <f t="shared" si="436"/>
        <v>0</v>
      </c>
      <c r="AX680" s="19"/>
      <c r="AY680">
        <f t="shared" si="437"/>
        <v>0</v>
      </c>
      <c r="AZ680" s="19"/>
      <c r="BA680" s="19"/>
      <c r="BB680" s="19"/>
      <c r="BC680" s="19"/>
      <c r="BD680" s="19"/>
      <c r="BE680" s="19"/>
      <c r="BF680" s="19"/>
      <c r="BI680" s="109"/>
      <c r="BU680" s="100"/>
    </row>
    <row r="681" x14ac:dyDescent="0.25">
      <c r="B681" t="s">
        <v>474</v>
      </c>
      <c r="C681" t="s">
        <v>492</v>
      </c>
      <c r="D681" t="s">
        <v>493</v>
      </c>
      <c r="E681" t="s">
        <v>494</v>
      </c>
      <c r="H681" t="s">
        <v>455</v>
      </c>
      <c r="I681" t="s">
        <v>492</v>
      </c>
      <c r="J681" t="s">
        <v>493</v>
      </c>
      <c r="K681" t="s">
        <v>494</v>
      </c>
      <c r="P681" s="93"/>
      <c r="Q681" s="109" t="str">
        <f>R656&amp;".12"</f>
        <v>A.12</v>
      </c>
      <c r="R681" s="19"/>
      <c r="S681" s="19"/>
      <c r="T681">
        <f t="shared" si="434"/>
        <v>0</v>
      </c>
      <c r="U681" s="19"/>
      <c r="V681">
        <f t="shared" si="435"/>
        <v>0</v>
      </c>
      <c r="W681" s="19"/>
      <c r="X681" s="19"/>
      <c r="Y681" s="19"/>
      <c r="Z681" s="19"/>
      <c r="AA681" s="19"/>
      <c r="AB681" s="19"/>
      <c r="AC681" s="19"/>
      <c r="AF681" s="109"/>
      <c r="AR681" s="100"/>
      <c r="AS681" s="93"/>
      <c r="AT681" s="109" t="str">
        <f>AU$656&amp;".12"</f>
        <v>1.12</v>
      </c>
      <c r="AU681" s="19"/>
      <c r="AV681" s="19"/>
      <c r="AW681">
        <f t="shared" si="436"/>
        <v>0</v>
      </c>
      <c r="AX681" s="19"/>
      <c r="AY681">
        <f t="shared" si="437"/>
        <v>0</v>
      </c>
      <c r="AZ681" s="19"/>
      <c r="BA681" s="19"/>
      <c r="BB681" s="19"/>
      <c r="BC681" s="19"/>
      <c r="BD681" s="19"/>
      <c r="BE681" s="19"/>
      <c r="BF681" s="19"/>
      <c r="BI681" s="109"/>
      <c r="BU681" s="100"/>
    </row>
    <row r="682" x14ac:dyDescent="0.25">
      <c r="B682" t="s">
        <v>274</v>
      </c>
      <c r="C682" s="19">
        <v>0</v>
      </c>
      <c r="D682" s="19">
        <v>29</v>
      </c>
      <c r="E682">
        <f>C47+D47</f>
        <v>29</v>
      </c>
      <c r="H682">
        <v>1</v>
      </c>
      <c r="I682" s="19">
        <v>0</v>
      </c>
      <c r="J682" s="19">
        <v>27</v>
      </c>
      <c r="K682">
        <f>I47+J47</f>
        <v>27</v>
      </c>
      <c r="P682" s="93"/>
      <c r="Q682" s="109" t="str">
        <f>R656&amp;".13"</f>
        <v>A.13</v>
      </c>
      <c r="R682" s="19"/>
      <c r="S682" s="19"/>
      <c r="T682">
        <f t="shared" si="434"/>
        <v>0</v>
      </c>
      <c r="U682" s="19"/>
      <c r="V682">
        <f t="shared" si="435"/>
        <v>0</v>
      </c>
      <c r="W682" s="19"/>
      <c r="X682" s="19"/>
      <c r="Y682" s="19"/>
      <c r="Z682" s="19"/>
      <c r="AA682" s="19"/>
      <c r="AB682" s="19"/>
      <c r="AC682" s="19"/>
      <c r="AF682" s="109"/>
      <c r="AR682" s="100"/>
      <c r="AS682" s="93"/>
      <c r="AT682" s="109" t="str">
        <f>AU$656&amp;".13"</f>
        <v>1.13</v>
      </c>
      <c r="AU682" s="19"/>
      <c r="AV682" s="19"/>
      <c r="AW682">
        <f t="shared" si="436"/>
        <v>0</v>
      </c>
      <c r="AX682" s="19"/>
      <c r="AY682">
        <f t="shared" si="437"/>
        <v>0</v>
      </c>
      <c r="AZ682" s="19"/>
      <c r="BA682" s="19"/>
      <c r="BB682" s="19"/>
      <c r="BC682" s="19"/>
      <c r="BD682" s="19"/>
      <c r="BE682" s="19"/>
      <c r="BF682" s="19"/>
      <c r="BI682" s="109"/>
      <c r="BU682" s="100"/>
    </row>
    <row r="683" x14ac:dyDescent="0.25">
      <c r="B683" t="s">
        <v>279</v>
      </c>
      <c r="C683" s="19">
        <v>29</v>
      </c>
      <c r="D683" s="19">
        <v>6</v>
      </c>
      <c r="E683">
        <f t="shared" ref="E43:E67" si="438">C43+D43</f>
        <v>35</v>
      </c>
      <c r="H683">
        <v>2</v>
      </c>
      <c r="I683" s="19">
        <v>27</v>
      </c>
      <c r="J683" s="19">
        <v>14</v>
      </c>
      <c r="K683">
        <f t="shared" ref="K43:K67" si="439">I43+J43</f>
        <v>41</v>
      </c>
      <c r="P683" s="93"/>
      <c r="Q683" s="109" t="str">
        <f>R656&amp;".14"</f>
        <v>A.14</v>
      </c>
      <c r="R683" s="19"/>
      <c r="S683" s="19"/>
      <c r="T683">
        <f t="shared" si="434"/>
        <v>0</v>
      </c>
      <c r="U683" s="19"/>
      <c r="V683">
        <f t="shared" si="435"/>
        <v>0</v>
      </c>
      <c r="W683" s="19"/>
      <c r="X683" s="19"/>
      <c r="Y683" s="19"/>
      <c r="Z683" s="19"/>
      <c r="AA683" s="19"/>
      <c r="AB683" s="19"/>
      <c r="AC683" s="19"/>
      <c r="AF683" s="109"/>
      <c r="AR683" s="100"/>
      <c r="AS683" s="93"/>
      <c r="AT683" s="109" t="str">
        <f>AU$656&amp;".14"</f>
        <v>1.14</v>
      </c>
      <c r="AU683" s="19"/>
      <c r="AV683" s="19"/>
      <c r="AW683">
        <f t="shared" si="436"/>
        <v>0</v>
      </c>
      <c r="AX683" s="19"/>
      <c r="AY683">
        <f t="shared" si="437"/>
        <v>0</v>
      </c>
      <c r="AZ683" s="19"/>
      <c r="BA683" s="19"/>
      <c r="BB683" s="19"/>
      <c r="BC683" s="19"/>
      <c r="BD683" s="19"/>
      <c r="BE683" s="19"/>
      <c r="BF683" s="19"/>
      <c r="BI683" s="109"/>
      <c r="BU683" s="100"/>
    </row>
    <row r="684" x14ac:dyDescent="0.25">
      <c r="B684" t="s">
        <v>283</v>
      </c>
      <c r="C684" s="19">
        <v>6</v>
      </c>
      <c r="D684" s="19">
        <v>29</v>
      </c>
      <c r="E684">
        <f t="shared" si="438"/>
        <v>35</v>
      </c>
      <c r="H684">
        <v>3</v>
      </c>
      <c r="I684" s="19">
        <v>14</v>
      </c>
      <c r="J684" s="19">
        <v>13</v>
      </c>
      <c r="K684">
        <f t="shared" si="439"/>
        <v>27</v>
      </c>
      <c r="P684" s="93"/>
      <c r="Q684" s="109" t="str">
        <f>R656&amp;".15"</f>
        <v>A.15</v>
      </c>
      <c r="R684" s="19"/>
      <c r="S684" s="19"/>
      <c r="T684">
        <f t="shared" si="434"/>
        <v>0</v>
      </c>
      <c r="U684" s="19"/>
      <c r="V684">
        <f t="shared" si="435"/>
        <v>0</v>
      </c>
      <c r="W684" s="19"/>
      <c r="X684" s="19"/>
      <c r="Y684" s="19"/>
      <c r="Z684" s="19"/>
      <c r="AA684" s="19"/>
      <c r="AB684" s="19"/>
      <c r="AC684" s="19"/>
      <c r="AF684" s="109"/>
      <c r="AR684" s="100"/>
      <c r="AS684" s="93"/>
      <c r="AT684" s="109" t="str">
        <f>AU$656&amp;".15"</f>
        <v>1.15</v>
      </c>
      <c r="AU684" s="19"/>
      <c r="AV684" s="19"/>
      <c r="AW684">
        <f t="shared" si="436"/>
        <v>0</v>
      </c>
      <c r="AX684" s="19"/>
      <c r="AY684">
        <f t="shared" si="437"/>
        <v>0</v>
      </c>
      <c r="AZ684" s="19"/>
      <c r="BA684" s="19"/>
      <c r="BB684" s="19"/>
      <c r="BC684" s="19"/>
      <c r="BD684" s="19"/>
      <c r="BE684" s="19"/>
      <c r="BF684" s="19"/>
      <c r="BI684" s="109"/>
      <c r="BU684" s="100"/>
    </row>
    <row r="685" x14ac:dyDescent="0.25">
      <c r="B685" t="s">
        <v>287</v>
      </c>
      <c r="C685" s="19">
        <v>26</v>
      </c>
      <c r="D685" s="19">
        <v>26</v>
      </c>
      <c r="E685">
        <f t="shared" si="438"/>
        <v>52</v>
      </c>
      <c r="F685" t="s">
        <v>506</v>
      </c>
      <c r="H685">
        <v>4</v>
      </c>
      <c r="I685" s="19">
        <v>13</v>
      </c>
      <c r="J685" s="19">
        <v>27</v>
      </c>
      <c r="K685">
        <f t="shared" si="439"/>
        <v>40</v>
      </c>
      <c r="P685" s="93"/>
      <c r="Q685" s="109" t="str">
        <f>R656&amp;".16"</f>
        <v>A.16</v>
      </c>
      <c r="R685" s="19"/>
      <c r="S685" s="19"/>
      <c r="T685">
        <f t="shared" si="434"/>
        <v>0</v>
      </c>
      <c r="U685" s="19"/>
      <c r="V685">
        <f t="shared" si="435"/>
        <v>0</v>
      </c>
      <c r="W685" s="19"/>
      <c r="X685" s="19"/>
      <c r="Y685" s="19"/>
      <c r="Z685" s="19"/>
      <c r="AA685" s="19"/>
      <c r="AB685" s="19"/>
      <c r="AC685" s="19"/>
      <c r="AF685" s="109"/>
      <c r="AR685" s="100"/>
      <c r="AS685" s="93"/>
      <c r="AT685" s="109" t="str">
        <f>AU$656&amp;".16"</f>
        <v>1.16</v>
      </c>
      <c r="AU685" s="19"/>
      <c r="AV685" s="19"/>
      <c r="AW685">
        <f t="shared" si="436"/>
        <v>0</v>
      </c>
      <c r="AX685" s="19"/>
      <c r="AY685">
        <f t="shared" si="437"/>
        <v>0</v>
      </c>
      <c r="AZ685" s="19"/>
      <c r="BA685" s="19"/>
      <c r="BB685" s="19"/>
      <c r="BC685" s="19"/>
      <c r="BD685" s="19"/>
      <c r="BE685" s="19"/>
      <c r="BF685" s="19"/>
      <c r="BI685" s="109"/>
      <c r="BU685" s="100"/>
    </row>
    <row r="686" x14ac:dyDescent="0.25">
      <c r="B686" t="s">
        <v>288</v>
      </c>
      <c r="C686" s="19">
        <v>29</v>
      </c>
      <c r="D686" s="19">
        <v>0</v>
      </c>
      <c r="E686">
        <f t="shared" si="438"/>
        <v>29</v>
      </c>
      <c r="H686">
        <v>5</v>
      </c>
      <c r="I686" s="19">
        <v>27</v>
      </c>
      <c r="J686" s="19">
        <v>11</v>
      </c>
      <c r="K686">
        <f t="shared" si="439"/>
        <v>38</v>
      </c>
      <c r="P686" s="93"/>
      <c r="R686">
        <f>SUM(R670:R685)</f>
        <v>29</v>
      </c>
      <c r="AR686" s="100"/>
      <c r="AS686" s="93"/>
      <c r="AU686">
        <f>SUM(AU670:AU685)</f>
        <v>29</v>
      </c>
      <c r="BU686" s="100"/>
    </row>
    <row r="687" x14ac:dyDescent="0.25">
      <c r="B687" t="s">
        <v>293</v>
      </c>
      <c r="C687" s="19">
        <v>17</v>
      </c>
      <c r="D687" s="19">
        <v>27</v>
      </c>
      <c r="E687">
        <f t="shared" si="438"/>
        <v>44</v>
      </c>
      <c r="H687">
        <v>6</v>
      </c>
      <c r="I687" s="19">
        <v>11</v>
      </c>
      <c r="J687" s="19">
        <v>6</v>
      </c>
      <c r="K687">
        <f t="shared" si="439"/>
        <v>17</v>
      </c>
      <c r="P687" s="93"/>
      <c r="AP687" t="s">
        <v>746</v>
      </c>
      <c r="AR687" s="100"/>
      <c r="AS687" s="93"/>
      <c r="BS687" t="s">
        <v>746</v>
      </c>
      <c r="BU687" s="100"/>
    </row>
    <row r="688" x14ac:dyDescent="0.25">
      <c r="B688" t="s">
        <v>456</v>
      </c>
      <c r="C688" s="19">
        <v>27</v>
      </c>
      <c r="D688" s="19">
        <v>27</v>
      </c>
      <c r="E688">
        <f t="shared" si="438"/>
        <v>54</v>
      </c>
      <c r="H688">
        <v>7</v>
      </c>
      <c r="I688" s="19">
        <v>6</v>
      </c>
      <c r="J688" s="19">
        <v>11</v>
      </c>
      <c r="K688">
        <f t="shared" si="439"/>
        <v>17</v>
      </c>
      <c r="P688" s="93"/>
      <c r="Q688" t="s">
        <v>525</v>
      </c>
      <c r="R688" t="s">
        <v>263</v>
      </c>
      <c r="S688" t="s">
        <v>526</v>
      </c>
      <c r="T688" t="s">
        <v>570</v>
      </c>
      <c r="U688" t="s">
        <v>571</v>
      </c>
      <c r="V688" t="s">
        <v>572</v>
      </c>
      <c r="W688" t="s">
        <v>539</v>
      </c>
      <c r="X688" t="s">
        <v>538</v>
      </c>
      <c r="Z688" t="s">
        <v>522</v>
      </c>
      <c r="AA688" t="s">
        <v>523</v>
      </c>
      <c r="AB688" t="s">
        <v>541</v>
      </c>
      <c r="AC688" t="s">
        <v>540</v>
      </c>
      <c r="AD688" t="s">
        <v>542</v>
      </c>
      <c r="AE688" t="s">
        <v>520</v>
      </c>
      <c r="AF688" t="s">
        <v>521</v>
      </c>
      <c r="AG688" t="s">
        <v>527</v>
      </c>
      <c r="AH688" t="s">
        <v>528</v>
      </c>
      <c r="AI688" t="s">
        <v>543</v>
      </c>
      <c r="AJ688" t="s">
        <v>744</v>
      </c>
      <c r="AK688" t="s">
        <v>745</v>
      </c>
      <c r="AL688" t="s">
        <v>749</v>
      </c>
      <c r="AM688" t="s">
        <v>750</v>
      </c>
      <c r="AN688" t="s">
        <v>751</v>
      </c>
      <c r="AP688" t="s">
        <v>747</v>
      </c>
      <c r="AQ688" t="s">
        <v>748</v>
      </c>
      <c r="AR688" s="100"/>
      <c r="AS688" s="93"/>
      <c r="AT688" t="s">
        <v>525</v>
      </c>
      <c r="AU688" t="s">
        <v>263</v>
      </c>
      <c r="AV688" t="s">
        <v>526</v>
      </c>
      <c r="AW688" t="s">
        <v>570</v>
      </c>
      <c r="AX688" t="s">
        <v>571</v>
      </c>
      <c r="AY688" t="s">
        <v>572</v>
      </c>
      <c r="AZ688" t="s">
        <v>539</v>
      </c>
      <c r="BA688" t="s">
        <v>538</v>
      </c>
      <c r="BC688" t="s">
        <v>522</v>
      </c>
      <c r="BD688" t="s">
        <v>523</v>
      </c>
      <c r="BE688" t="s">
        <v>541</v>
      </c>
      <c r="BF688" t="s">
        <v>540</v>
      </c>
      <c r="BG688" t="s">
        <v>542</v>
      </c>
      <c r="BH688" t="s">
        <v>520</v>
      </c>
      <c r="BI688" t="s">
        <v>521</v>
      </c>
      <c r="BJ688" t="s">
        <v>527</v>
      </c>
      <c r="BK688" t="s">
        <v>528</v>
      </c>
      <c r="BL688" t="s">
        <v>543</v>
      </c>
      <c r="BM688" t="s">
        <v>744</v>
      </c>
      <c r="BN688" t="s">
        <v>745</v>
      </c>
      <c r="BO688" t="s">
        <v>749</v>
      </c>
      <c r="BP688" t="s">
        <v>750</v>
      </c>
      <c r="BQ688" t="s">
        <v>751</v>
      </c>
      <c r="BS688" t="s">
        <v>747</v>
      </c>
      <c r="BT688" t="s">
        <v>748</v>
      </c>
      <c r="BU688" s="100"/>
    </row>
    <row r="689" x14ac:dyDescent="0.25">
      <c r="B689" t="s">
        <v>457</v>
      </c>
      <c r="C689" s="19">
        <v>27</v>
      </c>
      <c r="D689" s="19">
        <v>27</v>
      </c>
      <c r="E689">
        <f t="shared" si="438"/>
        <v>54</v>
      </c>
      <c r="H689">
        <v>8</v>
      </c>
      <c r="I689" s="19">
        <v>20</v>
      </c>
      <c r="J689" s="19">
        <v>0</v>
      </c>
      <c r="K689">
        <f t="shared" si="439"/>
        <v>20</v>
      </c>
      <c r="L689" t="s">
        <v>506</v>
      </c>
      <c r="P689" s="93"/>
      <c r="Q689" s="110" t="str">
        <f>$Q$670</f>
        <v>A.01</v>
      </c>
      <c r="R689" t="str">
        <f>$Q$661</f>
        <v>L2</v>
      </c>
      <c r="S689">
        <f>$E$21</f>
        <v>10.6875</v>
      </c>
      <c r="T689" cm="1">
        <f t="array" ref="T689">IFERROR(IF(S689=0,0,(INDEX($C$33:$C$38,MATCH($W$670,$B$33:$B$38,0),0)*(S693+$X$670)+$T$670*COUNTIF(S689:S692,"&gt;0")*$C$32+$V$670*$C$31)*$R$670),0)</f>
        <v>30539.71875</v>
      </c>
      <c r="U689">
        <f>IF(S689=0,0,-(COUNTIF(S689:S692,"&gt;0")*$T$670*$C$32+$V$670*$C$31)*$H$27*$R$670)</f>
        <v>-363.31199999999995</v>
      </c>
      <c r="V689">
        <f>IF(S689=0,0,$V$670*$H$26*$R$670)</f>
        <v>-1328.1999999999998</v>
      </c>
      <c r="W689">
        <f>(0.6*T689+0.7*U689)*$R$670/2</f>
        <v>262007.93632499999</v>
      </c>
      <c r="X689">
        <f>(0.6*T689+0.6*V689)*$R$670/2</f>
        <v>254140.21312500001</v>
      </c>
      <c r="Z689">
        <f>IF(S689=0,0,$AD$670*$AP$661)</f>
        <v>343.06999999999994</v>
      </c>
      <c r="AA689">
        <f>IFERROR(Z689/$R$670,0)</f>
        <v>11.829999999999998</v>
      </c>
      <c r="AB689">
        <f>Z689*($F$21+IF($F$21=0,0,($C$14+$C$15+IF($C$13="single",1.5,3)+3)/12))</f>
        <v>3666.5606249999992</v>
      </c>
      <c r="AC689">
        <f>AB689-W689</f>
        <v>-258341.37569999998</v>
      </c>
      <c r="AD689" cm="1">
        <f t="array" ref="AD689">IFERROR(IF(AC689&lt;0,0,AC689/($R$670-INDEX(hd_off,MATCH(AQ689,hd_mark,0),0)/12)),0)</f>
        <v>0</v>
      </c>
      <c r="AE689">
        <f>IF(S689=0,0,$AD$670*$AM$661)</f>
        <v>7899.5999999999995</v>
      </c>
      <c r="AF689">
        <f>IFERROR(AE689/$R$670,0)</f>
        <v>272.39999999999998</v>
      </c>
      <c r="AG689">
        <f>AE689*($F$21+IF($F$21=0,0,($C$14+$C$15+IF($C$13="single",1.5,3)+3)/12))</f>
        <v>84426.974999999991</v>
      </c>
      <c r="AH689">
        <f>AG689-X689</f>
        <v>-169713.23812500003</v>
      </c>
      <c r="AI689" cm="1">
        <f t="array" ref="AI689">IFERROR(IF(AH689&lt;0,0,AH689/($R$670-INDEX(hd_off,MATCH(AQ689,hd_mark,0),0)/12)),0)</f>
        <v>0</v>
      </c>
      <c r="AJ689">
        <f>MAX($F$21,$Y$670)/$Q$692</f>
        <v>0.30172413793103448</v>
      </c>
      <c r="AK689">
        <f>IF(AJ689=0,0,IF(AJ689&gt;2,1.25-0.125*AJ689,1))</f>
        <v>1</v>
      </c>
      <c r="AL689" cm="1">
        <f t="array" ref="AL689">IFERROR(INDEX(sheath_ecap_asd,MATCH(AP689,sheath_mark,0),0)*AK689,0)</f>
        <v>239.85714285714286</v>
      </c>
      <c r="AM689" cm="1">
        <f t="array" ref="AM689">IFERROR(INDEX(sheath_wcap_asd,MATCH(AP689,sheath_mark,0),0)*AK689,0)</f>
        <v>335.8</v>
      </c>
      <c r="AN689" cm="1">
        <f t="array" ref="AN689">IFERROR(INDEX(hd_cap,MATCH(AQ689,hd_mark,0),0),0)</f>
        <v>0</v>
      </c>
      <c r="AP689" s="19">
        <v>21</v>
      </c>
      <c r="AQ689" s="19"/>
      <c r="AR689" s="100"/>
      <c r="AS689" s="93"/>
      <c r="AT689" s="110" t="str">
        <f>$AT$670</f>
        <v>1.01</v>
      </c>
      <c r="AU689" t="str">
        <f>$Q$661</f>
        <v>L2</v>
      </c>
      <c r="AV689">
        <f>$E$21</f>
        <v>10.6875</v>
      </c>
      <c r="AW689" cm="1">
        <f t="array" ref="AW689">IFERROR(IF(AV689=0,0,(INDEX($C$33:$C$38,MATCH($AZ$670,$B$33:$B$38,0),0)*(AV693+$BA$670)+$AW$670*COUNTIF(AV689:AV692,"&gt;0")*$C$32+$AY$670*$C$31)*$AU$670),0)</f>
        <v>30539.71875</v>
      </c>
      <c r="AX689">
        <f>IF(AV689=0,0,-(COUNTIF(AV689:AV692,"&gt;0")*$AW$670*$C$32+$AY$670*$C$31)*$H$27*$AU$670)</f>
        <v>-363.31199999999995</v>
      </c>
      <c r="AY689">
        <f>IF(AV689=0,0,$AY$670*$H$26*$AU$670)</f>
        <v>-1328.1999999999998</v>
      </c>
      <c r="AZ689">
        <f>(0.6*AW689+0.7*AX689)*$AU$670/2</f>
        <v>262007.93632499999</v>
      </c>
      <c r="BA689">
        <f>(0.6*AW689+0.6*AY689)*$AU$670/2</f>
        <v>254140.21312500001</v>
      </c>
      <c r="BC689">
        <f>IF(AV689=0,0,$BG$670*$AP$661)</f>
        <v>343.06999999999994</v>
      </c>
      <c r="BD689">
        <f>IFERROR(BC689/$AU$670,0)</f>
        <v>11.829999999999998</v>
      </c>
      <c r="BE689">
        <f>BC689*($F$21+IF($F$21=0,0,($C$14+$C$15+IF($C$13="single",1.5,3)+3)/12))</f>
        <v>3666.5606249999992</v>
      </c>
      <c r="BF689">
        <f>BE689-AZ689</f>
        <v>-258341.37569999998</v>
      </c>
      <c r="BG689" cm="1">
        <f t="array" ref="BG689">IFERROR(IF(BF689&lt;0,0,BF689/($AU$670-INDEX(hd_off,MATCH(BT689,hd_mark,0),0)/12)),0)</f>
        <v>0</v>
      </c>
      <c r="BH689">
        <f>IF(AV689=0,0,$BG$670*$AM$661)</f>
        <v>7899.5999999999995</v>
      </c>
      <c r="BI689">
        <f>IFERROR(BH689/$AU$670,0)</f>
        <v>272.39999999999998</v>
      </c>
      <c r="BJ689">
        <f>BH689*($F$21+IF($F$21=0,0,($C$14+$C$15+IF($C$13="single",1.5,3)+3)/12))</f>
        <v>84426.974999999991</v>
      </c>
      <c r="BK689">
        <f>BJ689-BA689</f>
        <v>-169713.23812500003</v>
      </c>
      <c r="BL689" cm="1">
        <f t="array" ref="BL689">IFERROR(IF(BK689&lt;0,0,BK689/($AU$670-INDEX(hd_off,MATCH(BT689,hd_mark,0),0)/12)),0)</f>
        <v>0</v>
      </c>
      <c r="BM689">
        <f>MAX($F$21,$BB$670)/$Q$692</f>
        <v>0.30172413793103448</v>
      </c>
      <c r="BN689">
        <f>IF(BM689=0,0,IF(BM689&gt;2,1.25-0.125*BM689,1))</f>
        <v>1</v>
      </c>
      <c r="BO689" cm="1">
        <f t="array" ref="BO689">IFERROR(INDEX(sheath_ecap_asd,MATCH(BS689,sheath_mark,0),0)*BN689,0)</f>
        <v>239.85714285714286</v>
      </c>
      <c r="BP689" cm="1">
        <f t="array" ref="BP689">IFERROR(INDEX(sheath_wcap_asd,MATCH(BS689,sheath_mark,0),0)*BN689,0)</f>
        <v>335.8</v>
      </c>
      <c r="BQ689" cm="1">
        <f t="array" ref="BQ689">IFERROR(INDEX(hd_cap,MATCH(BT689,hd_mark,0),0),0)</f>
        <v>0</v>
      </c>
      <c r="BS689" s="19">
        <v>21</v>
      </c>
      <c r="BT689" s="19"/>
      <c r="BU689" s="100"/>
    </row>
    <row r="690" x14ac:dyDescent="0.25">
      <c r="B690" t="s">
        <v>458</v>
      </c>
      <c r="C690" s="19">
        <v>27</v>
      </c>
      <c r="D690" s="19">
        <v>27</v>
      </c>
      <c r="E690">
        <f t="shared" si="438"/>
        <v>54</v>
      </c>
      <c r="H690">
        <v>9</v>
      </c>
      <c r="I690" s="19">
        <v>30</v>
      </c>
      <c r="J690" s="19">
        <v>0</v>
      </c>
      <c r="K690">
        <f t="shared" si="439"/>
        <v>30</v>
      </c>
      <c r="P690" s="93"/>
      <c r="Q690" s="109"/>
      <c r="R690" t="str">
        <f>$Q$662</f>
        <v>L3</v>
      </c>
      <c r="S690">
        <f>$E$22</f>
        <v>21.375</v>
      </c>
      <c r="T690" cm="1">
        <f t="array" ref="T690">IFERROR(IF(S690=0,0,(INDEX($C$33:$C$38,MATCH($W$670,$B$33:$B$38,0),0)*(S693+$X$670)+$T$670*COUNTIF(S690:S692,"&gt;0")*$C$32+$V$670*$C$31)*$R$670),0)</f>
        <v>26015.71875</v>
      </c>
      <c r="U690">
        <f>IF(S690=0,0,-(COUNTIF(S690:S692,"&gt;0")*$T$670*$C$32+$V$670*$C$31)*$H$27*$R$670)</f>
        <v>-200.44799999999998</v>
      </c>
      <c r="V690">
        <f>IF(S690=0,0,$V$670*$H$26*$R$670)</f>
        <v>-1328.1999999999998</v>
      </c>
      <c r="W690">
        <f t="shared" ref="W690:W692" si="440">(0.6*T690+0.7*U690)*$R$670/2</f>
        <v>224302.20592500002</v>
      </c>
      <c r="X690">
        <f>T690*$R$670/2</f>
        <v>377227.921875</v>
      </c>
      <c r="Z690">
        <f>IF(S690=0,0,$AD$670*$AP$662)</f>
        <v>376.565</v>
      </c>
      <c r="AA690">
        <f>IFERROR(Z690/$R$670,0)</f>
        <v>12.984999999999999</v>
      </c>
      <c r="AB690">
        <f>Z690*($F$22+IF($F$22=0,0,($C$14+$C$15+IF($C$13="single",1.5,3)+3)/12))</f>
        <v>4024.5384374999999</v>
      </c>
      <c r="AC690">
        <f>AB690-W690</f>
        <v>-220277.6674875</v>
      </c>
      <c r="AD690" cm="1">
        <f t="array" ref="AD690">IFERROR(IF(AC690&lt;0,0,AC690/($R$670-INDEX(hd_off,MATCH(AQ690,hd_mark,0),0)/12)),0)</f>
        <v>0</v>
      </c>
      <c r="AE690">
        <f>IF(S690=0,0,$AD$670*$AM$662)</f>
        <v>5846.4</v>
      </c>
      <c r="AF690">
        <f>IFERROR(AE690/$R$670,0)</f>
        <v>201.6</v>
      </c>
      <c r="AG690">
        <f>AE690*($F$22+IF($F$22=0,0,($C$14+$C$15+IF($C$13="single",1.5,3)+3)/12))</f>
        <v>62483.399999999994</v>
      </c>
      <c r="AH690">
        <f>AG690-X690</f>
        <v>-314744.52187499998</v>
      </c>
      <c r="AI690" cm="1">
        <f t="array" ref="AI690">IFERROR(IF(AH690&lt;0,0,AH690/($R$670-INDEX(hd_off,MATCH(AQ690,hd_mark,0),0)/12)),0)</f>
        <v>0</v>
      </c>
      <c r="AJ690">
        <f>MAX($F$22,$Z$670)/$Q$692</f>
        <v>0.30172413793103448</v>
      </c>
      <c r="AK690">
        <f t="shared" ref="AK690:AK693" si="441">IF(AJ690=0,0,IF(AJ690&gt;2,1.25-0.125*AJ690,1))</f>
        <v>1</v>
      </c>
      <c r="AL690" cm="1">
        <f t="array" ref="AL690">IFERROR(INDEX(sheath_ecap_asd,MATCH(AP690,sheath_mark,0),0)*AK690,0)</f>
        <v>239.85714285714286</v>
      </c>
      <c r="AM690" cm="1">
        <f t="array" ref="AM690">IFERROR(INDEX(sheath_wcap_asd,MATCH(AP690,sheath_mark,0),0)*AK690,0)</f>
        <v>335.8</v>
      </c>
      <c r="AN690" cm="1">
        <f t="array" ref="AN690">IFERROR(INDEX(hd_cap,MATCH(AQ690,hd_mark,0),0),0)</f>
        <v>0</v>
      </c>
      <c r="AP690" s="19">
        <v>21</v>
      </c>
      <c r="AQ690" s="19"/>
      <c r="AR690" s="100"/>
      <c r="AS690" s="93"/>
      <c r="AT690" s="109"/>
      <c r="AU690" t="str">
        <f>$Q$662</f>
        <v>L3</v>
      </c>
      <c r="AV690">
        <f>$E$22</f>
        <v>21.375</v>
      </c>
      <c r="AW690" cm="1">
        <f t="array" ref="AW690">IFERROR(IF(AV690=0,0,(INDEX($C$33:$C$38,MATCH($AZ$670,$B$33:$B$38,0),0)*(AV693+$BA$670)+$AW$670*COUNTIF(AV690:AV692,"&gt;0")*$C$32+$AY$670*$C$31)*$AU$670),0)</f>
        <v>26015.71875</v>
      </c>
      <c r="AX690">
        <f>IF(AV690=0,0,-(COUNTIF(AV690:AV692,"&gt;0")*$AW$670*$C$32+$AY$670*$C$31)*$H$27*$AU$670)</f>
        <v>-200.44799999999998</v>
      </c>
      <c r="AY690">
        <f>IF(AV690=0,0,$AY$670*$H$26*$AU$670)</f>
        <v>-1328.1999999999998</v>
      </c>
      <c r="AZ690">
        <f>(0.6*AW690+0.7*AX690)*$AU$670/2</f>
        <v>224302.20592500002</v>
      </c>
      <c r="BA690">
        <f>AW690*$AU$670/2</f>
        <v>377227.921875</v>
      </c>
      <c r="BC690">
        <f>IF(AV690=0,0,$BG$670*$AP$662)</f>
        <v>376.565</v>
      </c>
      <c r="BD690">
        <f>IFERROR(BC690/$AU$670,0)</f>
        <v>12.984999999999999</v>
      </c>
      <c r="BE690">
        <f>BC690*($F$22+IF($F$22=0,0,($C$14+$C$15+IF($C$13="single",1.5,3)+3)/12))</f>
        <v>4024.5384374999999</v>
      </c>
      <c r="BF690">
        <f>BE690-AZ690</f>
        <v>-220277.6674875</v>
      </c>
      <c r="BG690" cm="1">
        <f t="array" ref="BG690">IFERROR(IF(BF690&lt;0,0,BF690/($AU$670-INDEX(hd_off,MATCH(BT690,hd_mark,0),0)/12)),0)</f>
        <v>0</v>
      </c>
      <c r="BH690">
        <f>IF(AV690=0,0,$BG$670*$AM$662)</f>
        <v>5846.4</v>
      </c>
      <c r="BI690">
        <f>IFERROR(BH690/$AU$670,0)</f>
        <v>201.6</v>
      </c>
      <c r="BJ690">
        <f>BH690*($F$22+IF($F$22=0,0,($C$14+$C$15+IF($C$13="single",1.5,3)+3)/12))</f>
        <v>62483.399999999994</v>
      </c>
      <c r="BK690">
        <f>BJ690-BA690</f>
        <v>-314744.52187499998</v>
      </c>
      <c r="BL690" cm="1">
        <f t="array" ref="BL690">IFERROR(IF(BK690&lt;0,0,BK690/($AU$670-INDEX(hd_off,MATCH(BT690,hd_mark,0),0)/12)),0)</f>
        <v>0</v>
      </c>
      <c r="BM690">
        <f>MAX($F$22,$BC$670)/$Q$692</f>
        <v>0.30172413793103448</v>
      </c>
      <c r="BN690">
        <f t="shared" ref="BN690:BN693" si="442">IF(BM690=0,0,IF(BM690&gt;2,1.25-0.125*BM690,1))</f>
        <v>1</v>
      </c>
      <c r="BO690" cm="1">
        <f t="array" ref="BO690">IFERROR(INDEX(sheath_ecap_asd,MATCH(BS690,sheath_mark,0),0)*BN690,0)</f>
        <v>239.85714285714286</v>
      </c>
      <c r="BP690" cm="1">
        <f t="array" ref="BP690">IFERROR(INDEX(sheath_wcap_asd,MATCH(BS690,sheath_mark,0),0)*BN690,0)</f>
        <v>335.8</v>
      </c>
      <c r="BQ690" cm="1">
        <f t="array" ref="BQ690">IFERROR(INDEX(hd_cap,MATCH(BT690,hd_mark,0),0),0)</f>
        <v>0</v>
      </c>
      <c r="BS690" s="19">
        <v>21</v>
      </c>
      <c r="BT690" s="19"/>
      <c r="BU690" s="100"/>
    </row>
    <row r="691" x14ac:dyDescent="0.25">
      <c r="B691" t="s">
        <v>459</v>
      </c>
      <c r="C691" s="19">
        <v>27</v>
      </c>
      <c r="D691" s="19">
        <v>41</v>
      </c>
      <c r="E691">
        <f t="shared" si="438"/>
        <v>68</v>
      </c>
      <c r="F691" t="s">
        <v>506</v>
      </c>
      <c r="H691">
        <v>10</v>
      </c>
      <c r="I691" s="19">
        <v>30</v>
      </c>
      <c r="J691" s="19">
        <v>0</v>
      </c>
      <c r="K691">
        <f t="shared" si="439"/>
        <v>30</v>
      </c>
      <c r="P691" s="93"/>
      <c r="Q691" s="109" t="s">
        <v>491</v>
      </c>
      <c r="R691" t="str">
        <f>$Q$663</f>
        <v>L4</v>
      </c>
      <c r="S691">
        <f>$E$23</f>
        <v>0</v>
      </c>
      <c r="T691" cm="1">
        <f t="array" ref="T691">IFERROR(IF(S691=0,0,(INDEX($C$33:$C$38,MATCH($W$670,$B$33:$B$38,0),0)*(S693+$X$670)+$T$670*COUNTIF(S691:S692,"&gt;0")*$C$32+$V$670*$C$31)*$R$670),0)</f>
        <v>0</v>
      </c>
      <c r="U691">
        <f>IF(S691=0,0,-(COUNTIF(S691:S692,"&gt;0")*$T$670*$C$32+$V$670*$C$31)*$H$27*$R$670)</f>
        <v>0</v>
      </c>
      <c r="V691">
        <f>IF(S691=0,0,$V$670*$H$26*$R$670)</f>
        <v>0</v>
      </c>
      <c r="W691">
        <f t="shared" si="440"/>
        <v>0</v>
      </c>
      <c r="X691">
        <f>T691*$R$670/2</f>
        <v>0</v>
      </c>
      <c r="Z691">
        <f>IF(S691=0,0,$AD$670*$AP$663)</f>
        <v>0</v>
      </c>
      <c r="AA691">
        <f>IFERROR(Z691/$R$670,0)</f>
        <v>0</v>
      </c>
      <c r="AB691">
        <f>Z691*($F$23+IF($F$23=0,0,($C$14+$C$15+IF($C$13="single",1.5,3)+3)/12))</f>
        <v>0</v>
      </c>
      <c r="AC691">
        <f>AB691-W691</f>
        <v>0</v>
      </c>
      <c r="AD691" cm="1">
        <f t="array" ref="AD691">IFERROR(IF(AC691&lt;0,0,AC691/($R$670-INDEX(hd_off,MATCH(AQ691,hd_mark,0),0)/12)),0)</f>
        <v>0</v>
      </c>
      <c r="AE691">
        <f>IF(S691=0,0,$AD$670*$AM$663)</f>
        <v>0</v>
      </c>
      <c r="AF691">
        <f>IFERROR(AE691/$R$670,0)</f>
        <v>0</v>
      </c>
      <c r="AG691">
        <f>AE691*($F$23+IF($F$23=0,0,($C$14+$C$15+IF($C$13="single",1.5,3)+3)/12))</f>
        <v>0</v>
      </c>
      <c r="AH691">
        <f>AG691-X691</f>
        <v>0</v>
      </c>
      <c r="AI691" cm="1">
        <f t="array" ref="AI691">IFERROR(IF(AH691&lt;0,0,AH691/($R$670-INDEX(hd_off,MATCH(AQ691,hd_mark,0),0)/12)),0)</f>
        <v>0</v>
      </c>
      <c r="AJ691">
        <f>MAX($F$23,$AA$670)/$Q$692</f>
        <v>0</v>
      </c>
      <c r="AK691">
        <f t="shared" si="441"/>
        <v>0</v>
      </c>
      <c r="AL691" cm="1">
        <f t="array" ref="AL691">IFERROR(INDEX(sheath_ecap_asd,MATCH(AP691,sheath_mark,0),0)*AK691,0)</f>
        <v>0</v>
      </c>
      <c r="AM691" cm="1">
        <f t="array" ref="AM691">IFERROR(INDEX(sheath_wcap_asd,MATCH(AP691,sheath_mark,0),0)*AK691,0)</f>
        <v>0</v>
      </c>
      <c r="AN691" cm="1">
        <f t="array" ref="AN691">IFERROR(INDEX(hd_cap,MATCH(AQ691,hd_mark,0),0),0)</f>
        <v>0</v>
      </c>
      <c r="AP691" s="19"/>
      <c r="AQ691" s="19"/>
      <c r="AR691" s="100"/>
      <c r="AS691" s="93"/>
      <c r="AT691" s="109" t="s">
        <v>491</v>
      </c>
      <c r="AU691" t="str">
        <f>$Q$663</f>
        <v>L4</v>
      </c>
      <c r="AV691">
        <f>$E$23</f>
        <v>0</v>
      </c>
      <c r="AW691" cm="1">
        <f t="array" ref="AW691">IFERROR(IF(AV691=0,0,(INDEX($C$33:$C$38,MATCH($AZ$670,$B$33:$B$38,0),0)*(AV693+$BA$670)+$AW$670*COUNTIF(AV691:AV692,"&gt;0")*$C$32+$AY$670*$C$31)*$AU$670),0)</f>
        <v>0</v>
      </c>
      <c r="AX691">
        <f>IF(AV691=0,0,-(COUNTIF(AV691:AV692,"&gt;0")*$AW$670*$C$32+$AY$670*$C$31)*$H$27*$AU$670)</f>
        <v>0</v>
      </c>
      <c r="AY691">
        <f>IF(AV691=0,0,$AY$670*$H$26*$AU$670)</f>
        <v>0</v>
      </c>
      <c r="AZ691">
        <f>(0.6*AW691+0.7*AX691)*$AU$670/2</f>
        <v>0</v>
      </c>
      <c r="BA691">
        <f>AW691*$AU$670/2</f>
        <v>0</v>
      </c>
      <c r="BC691">
        <f>IF(AV691=0,0,$BG$670*$AP$663)</f>
        <v>0</v>
      </c>
      <c r="BD691">
        <f>IFERROR(BC691/$AU$670,0)</f>
        <v>0</v>
      </c>
      <c r="BE691">
        <f>BC691*($F$23+IF($F$23=0,0,($C$14+$C$15+IF($C$13="single",1.5,3)+3)/12))</f>
        <v>0</v>
      </c>
      <c r="BF691">
        <f>BE691-AZ691</f>
        <v>0</v>
      </c>
      <c r="BG691" cm="1">
        <f t="array" ref="BG691">IFERROR(IF(BF691&lt;0,0,BF691/($AU$670-INDEX(hd_off,MATCH(BT691,hd_mark,0),0)/12)),0)</f>
        <v>0</v>
      </c>
      <c r="BH691">
        <f>IF(AV691=0,0,$BG$670*$AM$663)</f>
        <v>0</v>
      </c>
      <c r="BI691">
        <f>IFERROR(BH691/$AU$670,0)</f>
        <v>0</v>
      </c>
      <c r="BJ691">
        <f>BH691*($F$23+IF($F$23=0,0,($C$14+$C$15+IF($C$13="single",1.5,3)+3)/12))</f>
        <v>0</v>
      </c>
      <c r="BK691">
        <f>BJ691-BA691</f>
        <v>0</v>
      </c>
      <c r="BL691" cm="1">
        <f t="array" ref="BL691">IFERROR(IF(BK691&lt;0,0,BK691/($AU$670-INDEX(hd_off,MATCH(BT691,hd_mark,0),0)/12)),0)</f>
        <v>0</v>
      </c>
      <c r="BM691">
        <f>MAX($F$23,$BD$670)/$Q$692</f>
        <v>0</v>
      </c>
      <c r="BN691">
        <f t="shared" si="442"/>
        <v>0</v>
      </c>
      <c r="BO691" cm="1">
        <f t="array" ref="BO691">IFERROR(INDEX(sheath_ecap_asd,MATCH(BS691,sheath_mark,0),0)*BN691,0)</f>
        <v>0</v>
      </c>
      <c r="BP691" cm="1">
        <f t="array" ref="BP691">IFERROR(INDEX(sheath_wcap_asd,MATCH(BS691,sheath_mark,0),0)*BN691,0)</f>
        <v>0</v>
      </c>
      <c r="BQ691" cm="1">
        <f t="array" ref="BQ691">IFERROR(INDEX(hd_cap,MATCH(BT691,hd_mark,0),0),0)</f>
        <v>0</v>
      </c>
      <c r="BS691" s="19"/>
      <c r="BT691" s="19"/>
      <c r="BU691" s="100"/>
    </row>
    <row r="692" x14ac:dyDescent="0.25">
      <c r="B692" t="s">
        <v>171</v>
      </c>
      <c r="C692" s="19">
        <v>0</v>
      </c>
      <c r="D692" s="19">
        <v>29</v>
      </c>
      <c r="E692">
        <f t="shared" si="438"/>
        <v>29</v>
      </c>
      <c r="H692">
        <v>11</v>
      </c>
      <c r="I692" s="19">
        <v>0</v>
      </c>
      <c r="J692" s="19">
        <v>27</v>
      </c>
      <c r="K692">
        <f t="shared" si="439"/>
        <v>27</v>
      </c>
      <c r="P692" s="93"/>
      <c r="Q692" s="111">
        <f>$R$670</f>
        <v>29</v>
      </c>
      <c r="R692" t="str">
        <f>$Q$664</f>
        <v>L5</v>
      </c>
      <c r="S692">
        <f>$E$24</f>
        <v>0</v>
      </c>
      <c r="T692" cm="1">
        <f t="array" ref="T692">IFERROR(IF(S692=0,0,(INDEX($C$33:$C$38,MATCH($W$670,$B$33:$B$38,0),0)*(S693+$X$670)+$T$670*COUNTIF(S692:S692,"&gt;0")*$C$32+$V$670*$C$31)*$R$670),0)</f>
        <v>0</v>
      </c>
      <c r="U692">
        <f>IF(S692=0,0,-(COUNTIF(S692:S692,"&gt;0")*$T$670*$C$32+$V$670*$C$31)*$H$27*$R$670)</f>
        <v>0</v>
      </c>
      <c r="V692">
        <f>IF(S692=0,0,$V$670*$H$26*$R$670)</f>
        <v>0</v>
      </c>
      <c r="W692">
        <f t="shared" si="440"/>
        <v>0</v>
      </c>
      <c r="X692">
        <f>T692*$R$670/2</f>
        <v>0</v>
      </c>
      <c r="Z692">
        <f>IF(S692=0,0,$AD$670*$AP$664)</f>
        <v>0</v>
      </c>
      <c r="AA692">
        <f>IFERROR(Z692/$R$670,0)</f>
        <v>0</v>
      </c>
      <c r="AB692">
        <f>Z692*($F$24+IF($F$24=0,0,($C$14+$C$15+IF($C$13="single",1.5,3)+3)/12))</f>
        <v>0</v>
      </c>
      <c r="AC692">
        <f>AB692-W692</f>
        <v>0</v>
      </c>
      <c r="AD692" cm="1">
        <f t="array" ref="AD692">IFERROR(IF(AC692&lt;0,0,AC692/($R$670-INDEX(hd_off,MATCH(AQ692,hd_mark,0),0)/12)),0)</f>
        <v>0</v>
      </c>
      <c r="AE692">
        <f>IF(S692=0,0,$AD$670*$AM$664)</f>
        <v>0</v>
      </c>
      <c r="AF692">
        <f>IFERROR(AE692/$R$670,0)</f>
        <v>0</v>
      </c>
      <c r="AG692">
        <f>AE692*($F$24+IF($F$24=0,0,($C$14+$C$15+IF($C$13="single",1.5,3)+3)/12))</f>
        <v>0</v>
      </c>
      <c r="AH692">
        <f>AG692-X692</f>
        <v>0</v>
      </c>
      <c r="AI692" cm="1">
        <f t="array" ref="AI692">IFERROR(IF(AH692&lt;0,0,AH692/($R$670-INDEX(hd_off,MATCH(AQ692,hd_mark,0),0)/12)),0)</f>
        <v>0</v>
      </c>
      <c r="AJ692">
        <f>MAX($F$24,$AB$670)/$Q$692</f>
        <v>0</v>
      </c>
      <c r="AK692">
        <f t="shared" si="441"/>
        <v>0</v>
      </c>
      <c r="AL692" cm="1">
        <f t="array" ref="AL692">IFERROR(INDEX(sheath_ecap_asd,MATCH(AP692,sheath_mark,0),0)*AK692,0)</f>
        <v>0</v>
      </c>
      <c r="AM692" cm="1">
        <f t="array" ref="AM692">IFERROR(INDEX(sheath_wcap_asd,MATCH(AP692,sheath_mark,0),0)*AK692,0)</f>
        <v>0</v>
      </c>
      <c r="AN692" cm="1">
        <f t="array" ref="AN692">IFERROR(INDEX(hd_cap,MATCH(AQ692,hd_mark,0),0),0)</f>
        <v>0</v>
      </c>
      <c r="AP692" s="19"/>
      <c r="AQ692" s="19"/>
      <c r="AR692" s="100"/>
      <c r="AS692" s="93"/>
      <c r="AT692" s="111">
        <f>$R$670</f>
        <v>29</v>
      </c>
      <c r="AU692" t="str">
        <f>$Q$664</f>
        <v>L5</v>
      </c>
      <c r="AV692">
        <f>$E$24</f>
        <v>0</v>
      </c>
      <c r="AW692" cm="1">
        <f t="array" ref="AW692">IFERROR(IF(AV692=0,0,(INDEX($C$33:$C$38,MATCH($AZ$670,$B$33:$B$38,0),0)*(AV693+$BA$670)+$AW$670*COUNTIF(AV692:AV692,"&gt;0")*$C$32+$AY$670*$C$31)*$AU$670),0)</f>
        <v>0</v>
      </c>
      <c r="AX692">
        <f>IF(AV692=0,0,-(COUNTIF(AV692:AV692,"&gt;0")*$AW$670*$C$32+$AY$670*$C$31)*$H$27*$AU$670)</f>
        <v>0</v>
      </c>
      <c r="AY692">
        <f>IF(AV692=0,0,$AY$670*$H$26*$AU$670)</f>
        <v>0</v>
      </c>
      <c r="AZ692">
        <f>(0.6*AW692+0.7*AX692)*$AU$670/2</f>
        <v>0</v>
      </c>
      <c r="BA692">
        <f>AW692*$AU$670/2</f>
        <v>0</v>
      </c>
      <c r="BC692">
        <f>IF(AV692=0,0,$BG$670*$AP$664)</f>
        <v>0</v>
      </c>
      <c r="BD692">
        <f>IFERROR(BC692/$AU$670,0)</f>
        <v>0</v>
      </c>
      <c r="BE692">
        <f>BC692*($F$24+IF($F$24=0,0,($C$14+$C$15+IF($C$13="single",1.5,3)+3)/12))</f>
        <v>0</v>
      </c>
      <c r="BF692">
        <f>BE692-AZ692</f>
        <v>0</v>
      </c>
      <c r="BG692" cm="1">
        <f t="array" ref="BG692">IFERROR(IF(BF692&lt;0,0,BF692/($AU$670-INDEX(hd_off,MATCH(BT692,hd_mark,0),0)/12)),0)</f>
        <v>0</v>
      </c>
      <c r="BH692">
        <f>IF(AV692=0,0,$BG$670*$AM$664)</f>
        <v>0</v>
      </c>
      <c r="BI692">
        <f>IFERROR(BH692/$AU$670,0)</f>
        <v>0</v>
      </c>
      <c r="BJ692">
        <f>BH692*($F$24+IF($F$24=0,0,($C$14+$C$15+IF($C$13="single",1.5,3)+3)/12))</f>
        <v>0</v>
      </c>
      <c r="BK692">
        <f>BJ692-BA692</f>
        <v>0</v>
      </c>
      <c r="BL692" cm="1">
        <f t="array" ref="BL692">IFERROR(IF(BK692&lt;0,0,BK692/($AU$670-INDEX(hd_off,MATCH(BT692,hd_mark,0),0)/12)),0)</f>
        <v>0</v>
      </c>
      <c r="BM692">
        <f>MAX($F$24,$BE$670)/$Q$692</f>
        <v>0</v>
      </c>
      <c r="BN692">
        <f t="shared" si="442"/>
        <v>0</v>
      </c>
      <c r="BO692" cm="1">
        <f t="array" ref="BO692">IFERROR(INDEX(sheath_ecap_asd,MATCH(BS692,sheath_mark,0),0)*BN692,0)</f>
        <v>0</v>
      </c>
      <c r="BP692" cm="1">
        <f t="array" ref="BP692">IFERROR(INDEX(sheath_wcap_asd,MATCH(BS692,sheath_mark,0),0)*BN692,0)</f>
        <v>0</v>
      </c>
      <c r="BQ692" cm="1">
        <f t="array" ref="BQ692">IFERROR(INDEX(hd_cap,MATCH(BT692,hd_mark,0),0),0)</f>
        <v>0</v>
      </c>
      <c r="BS692" s="19"/>
      <c r="BT692" s="19"/>
      <c r="BU692" s="100"/>
    </row>
    <row r="693" x14ac:dyDescent="0.25">
      <c r="B693" t="s">
        <v>460</v>
      </c>
      <c r="C693" s="19">
        <v>29</v>
      </c>
      <c r="D693" s="19">
        <v>6</v>
      </c>
      <c r="E693">
        <f t="shared" si="438"/>
        <v>35</v>
      </c>
      <c r="H693">
        <v>12</v>
      </c>
      <c r="I693" s="19">
        <v>27</v>
      </c>
      <c r="J693" s="19">
        <v>14</v>
      </c>
      <c r="K693">
        <f t="shared" si="439"/>
        <v>41</v>
      </c>
      <c r="P693" s="93"/>
      <c r="Q693" s="109"/>
      <c r="R693" t="str">
        <f>$Q$665</f>
        <v>Roof</v>
      </c>
      <c r="S693">
        <f>$E$25</f>
        <v>33.171875</v>
      </c>
      <c r="T693" cm="1">
        <f t="array" ref="T693">IFERROR(IF(S693=0,0,(INDEX($C$33:$C$38,MATCH($W$670,$B$33:$B$38,0),0)*(S693+$X$670)+$V$670*$C$31)*$R$670),0)</f>
        <v>21491.71875</v>
      </c>
      <c r="U693">
        <f>IF(S693=0,0,-$V$670*$C$31*$H$27*$R$670)</f>
        <v>-37.583999999999996</v>
      </c>
      <c r="V693">
        <f>IF(S693=0,0,$V$670*$H$26*$R$670)</f>
        <v>-1328.1999999999998</v>
      </c>
      <c r="W693">
        <f>(0.6*T693+0.7*U693)*$R$670/2</f>
        <v>186596.47552499999</v>
      </c>
      <c r="X693">
        <f>T693*$R$670/2</f>
        <v>311629.921875</v>
      </c>
      <c r="Z693">
        <f>IF(S693=0,0,$AD$670*$AP$665)</f>
        <v>191.83499999999995</v>
      </c>
      <c r="AA693">
        <f>IFERROR(Z693/$R$670,0)</f>
        <v>6.6149999999999984</v>
      </c>
      <c r="AB693">
        <f>Z693*($F$25+($C$16+$C$17+IF($C$13="single",1.5,3)+3)/12)</f>
        <v>2263.0535156249989</v>
      </c>
      <c r="AC693">
        <f>AB693-W693</f>
        <v>-184333.42200937498</v>
      </c>
      <c r="AD693" cm="1">
        <f t="array" ref="AD693">IFERROR(IF(AC693&lt;0,0,AC693/($R$670-INDEX(hd_off,MATCH(AQ693,hd_mark,0),0)/12)),0)</f>
        <v>0</v>
      </c>
      <c r="AE693">
        <f>IF(S693=0,0,$AD$670*$AM$665)</f>
        <v>3854.1</v>
      </c>
      <c r="AF693">
        <f>IFERROR(AE693/$R$670,0)</f>
        <v>132.9</v>
      </c>
      <c r="AG693">
        <f>AE693*($F$25+($C$16+$C$17+IF($C$13="single",1.5,3)+3)/12)</f>
        <v>45466.335937499993</v>
      </c>
      <c r="AH693">
        <f>AG693-X693</f>
        <v>-266163.5859375</v>
      </c>
      <c r="AI693" cm="1">
        <f t="array" ref="AI693">IFERROR(IF(AH693&lt;0,0,AH693/($R$670-INDEX(hd_off,MATCH(AQ693,hd_mark,0),0)/12)),0)</f>
        <v>0</v>
      </c>
      <c r="AJ693">
        <f>MAX($F$25,$AC$670)/$Q$692</f>
        <v>0.29920977011494249</v>
      </c>
      <c r="AK693">
        <f t="shared" si="441"/>
        <v>1</v>
      </c>
      <c r="AL693" cm="1">
        <f t="array" ref="AL693">IFERROR(INDEX(sheath_ecap_asd,MATCH(AP693,sheath_mark,0),0)*AK693,0)</f>
        <v>95.285714285714306</v>
      </c>
      <c r="AM693" cm="1">
        <f t="array" ref="AM693">IFERROR(INDEX(sheath_wcap_asd,MATCH(AP693,sheath_mark,0),0)*AK693,0)</f>
        <v>133.4</v>
      </c>
      <c r="AN693" cm="1">
        <f t="array" ref="AN693">IFERROR(INDEX(hd_cap,MATCH(AQ693,hd_mark,0),0),0)</f>
        <v>0</v>
      </c>
      <c r="AP693" s="19">
        <v>11</v>
      </c>
      <c r="AQ693" s="19"/>
      <c r="AR693" s="100"/>
      <c r="AS693" s="93"/>
      <c r="AT693" s="109"/>
      <c r="AU693" t="str">
        <f>$Q$665</f>
        <v>Roof</v>
      </c>
      <c r="AV693">
        <f>$E$25</f>
        <v>33.171875</v>
      </c>
      <c r="AW693" cm="1">
        <f t="array" ref="AW693">IFERROR(IF(AV693=0,0,(INDEX($C$33:$C$38,MATCH($AZ$670,$B$33:$B$38,0),0)*(AV693+$BA$670)+$AY$670*$C$31)*$AU$670),0)</f>
        <v>21491.71875</v>
      </c>
      <c r="AX693">
        <f>IF(AV693=0,0,-$AY$670*$C$31*$H$27*$AU$670)</f>
        <v>-37.583999999999996</v>
      </c>
      <c r="AY693">
        <f>IF(AV693=0,0,$AY$670*$H$26*$AU$670)</f>
        <v>-1328.1999999999998</v>
      </c>
      <c r="AZ693">
        <f>(0.6*AW693+0.7*AX693)*$AU$670/2</f>
        <v>186596.47552499999</v>
      </c>
      <c r="BA693">
        <f>AW693*$AU$670/2</f>
        <v>311629.921875</v>
      </c>
      <c r="BC693">
        <f>IF(AV693=0,0,$BG$670*$AP$665)</f>
        <v>191.83499999999995</v>
      </c>
      <c r="BD693">
        <f>IFERROR(BC693/$AU$670,0)</f>
        <v>6.6149999999999984</v>
      </c>
      <c r="BE693">
        <f>BC693*($F$25+($C$16+$C$17+IF($C$13="single",1.5,3)+3)/12)</f>
        <v>2263.0535156249989</v>
      </c>
      <c r="BF693">
        <f>BE693-AZ693</f>
        <v>-184333.42200937498</v>
      </c>
      <c r="BG693" cm="1">
        <f t="array" ref="BG693">IFERROR(IF(BF693&lt;0,0,BF693/($AU$670-INDEX(hd_off,MATCH(BT693,hd_mark,0),0)/12)),0)</f>
        <v>0</v>
      </c>
      <c r="BH693">
        <f>IF(AV693=0,0,$BG$670*$AM$665)</f>
        <v>3854.1</v>
      </c>
      <c r="BI693">
        <f>IFERROR(BH693/$AU$670,0)</f>
        <v>132.9</v>
      </c>
      <c r="BJ693">
        <f>BH693*($F$25+($C$16+$C$17+IF($C$13="single",1.5,3)+3)/12)</f>
        <v>45466.335937499993</v>
      </c>
      <c r="BK693">
        <f>BJ693-BA693</f>
        <v>-266163.5859375</v>
      </c>
      <c r="BL693" cm="1">
        <f t="array" ref="BL693">IFERROR(IF(BK693&lt;0,0,BK693/($AU$670-INDEX(hd_off,MATCH(BT693,hd_mark,0),0)/12)),0)</f>
        <v>0</v>
      </c>
      <c r="BM693">
        <f>MAX($F$25,$BF$670)/$Q$692</f>
        <v>0.29920977011494249</v>
      </c>
      <c r="BN693">
        <f t="shared" si="442"/>
        <v>1</v>
      </c>
      <c r="BO693" cm="1">
        <f t="array" ref="BO693">IFERROR(INDEX(sheath_ecap_asd,MATCH(BS693,sheath_mark,0),0)*BN693,0)</f>
        <v>95.285714285714306</v>
      </c>
      <c r="BP693" cm="1">
        <f t="array" ref="BP693">IFERROR(INDEX(sheath_wcap_asd,MATCH(BS693,sheath_mark,0),0)*BN693,0)</f>
        <v>133.4</v>
      </c>
      <c r="BQ693" cm="1">
        <f t="array" ref="BQ693">IFERROR(INDEX(hd_cap,MATCH(BT693,hd_mark,0),0),0)</f>
        <v>0</v>
      </c>
      <c r="BS693" s="19">
        <v>11</v>
      </c>
      <c r="BT693" s="19"/>
      <c r="BU693" s="100"/>
    </row>
    <row r="694" x14ac:dyDescent="0.25">
      <c r="B694" t="s">
        <v>461</v>
      </c>
      <c r="C694" s="19">
        <v>6</v>
      </c>
      <c r="D694" s="19">
        <v>29</v>
      </c>
      <c r="E694">
        <f t="shared" si="438"/>
        <v>35</v>
      </c>
      <c r="H694">
        <v>13</v>
      </c>
      <c r="I694" s="19">
        <v>14</v>
      </c>
      <c r="J694" s="19">
        <v>12</v>
      </c>
      <c r="K694">
        <f t="shared" si="439"/>
        <v>26</v>
      </c>
      <c r="P694" s="93"/>
      <c r="Q694" s="109"/>
      <c r="AR694" s="100"/>
      <c r="AS694" s="93"/>
      <c r="AT694" s="109"/>
      <c r="BU694" s="100"/>
    </row>
    <row r="695" x14ac:dyDescent="0.25">
      <c r="B695" t="s">
        <v>462</v>
      </c>
      <c r="C695" s="19">
        <v>29</v>
      </c>
      <c r="D695" s="19">
        <v>0</v>
      </c>
      <c r="E695">
        <f t="shared" si="438"/>
        <v>29</v>
      </c>
      <c r="H695">
        <v>14</v>
      </c>
      <c r="I695" s="19">
        <v>12</v>
      </c>
      <c r="J695" s="19">
        <v>27</v>
      </c>
      <c r="K695">
        <f t="shared" si="439"/>
        <v>39</v>
      </c>
      <c r="P695" s="93"/>
      <c r="Q695" s="110" t="str">
        <f>$Q$671</f>
        <v>A.02</v>
      </c>
      <c r="R695" t="str">
        <f>$Q$661</f>
        <v>L2</v>
      </c>
      <c r="S695">
        <f>$E$21</f>
        <v>10.6875</v>
      </c>
      <c r="T695" cm="1">
        <f t="array" ref="T695">IFERROR(IF(S695=0,0,(INDEX($C$33:$C$38,MATCH($W$671,$B$33:$B$38,0),0)*(S699+$X$671)+$T$671*COUNTIF(S695:S698,"&gt;0")*$C$32+$V$671*$C$31)*$R$671),0)</f>
        <v>0</v>
      </c>
      <c r="U695">
        <f>IF(S695=0,0,-(COUNTIF(S695:S698,"&gt;0")*$T$671*$C$32+$V$671*$C$31)*$H$27*$R$671)</f>
        <v>0</v>
      </c>
      <c r="V695">
        <f>IF(S695=0,0,$V$671*$H$26*$R$671)</f>
        <v>0</v>
      </c>
      <c r="W695">
        <f>(0.6*T695+0.7*U695)*$R$671/2</f>
        <v>0</v>
      </c>
      <c r="X695">
        <f>(0.6*T695+0.6*V695)*$R$671/2</f>
        <v>0</v>
      </c>
      <c r="Z695">
        <f>IF(S695=0,0,$AD$671*$AP$661)</f>
        <v>0</v>
      </c>
      <c r="AA695">
        <f>IFERROR(Z695/$R$671,0)</f>
        <v>0</v>
      </c>
      <c r="AB695">
        <f>Z695*($F$21+IF($F$21=0,0,($C$14+$C$15+IF($C$13="single",1.5,3)+3)/12))</f>
        <v>0</v>
      </c>
      <c r="AC695">
        <f>AB695-W695</f>
        <v>0</v>
      </c>
      <c r="AD695" cm="1">
        <f t="array" ref="AD695">IFERROR(IF(AC695&lt;0,0,AC695/($R$671-INDEX(hd_off,MATCH(AQ695,hd_mark,0),0)/12)),0)</f>
        <v>0</v>
      </c>
      <c r="AE695">
        <f>IF(S695=0,0,$AD$671*$AM$661)</f>
        <v>0</v>
      </c>
      <c r="AF695">
        <f>IFERROR(AE695/$R$671,0)</f>
        <v>0</v>
      </c>
      <c r="AG695">
        <f>AE695*($F$21+IF($F$21=0,0,($C$14+$C$15+IF($C$13="single",1.5,3)+3)/12))</f>
        <v>0</v>
      </c>
      <c r="AH695">
        <f>AG695-X695</f>
        <v>0</v>
      </c>
      <c r="AI695" cm="1">
        <f t="array" ref="AI695">IFERROR(IF(AH695&lt;0,0,AH695/($R$671-INDEX(hd_off,MATCH(AQ695,hd_mark,0),0)/12)),0)</f>
        <v>0</v>
      </c>
      <c r="AJ695">
        <f>MAX($F$21,$Y$671)/$Q$692</f>
        <v>0.30172413793103448</v>
      </c>
      <c r="AK695">
        <f>IF(AJ695=0,0,IF(AJ695&gt;2,1.25-0.125*AJ695,1))</f>
        <v>1</v>
      </c>
      <c r="AL695" cm="1">
        <f t="array" ref="AL695">IFERROR(INDEX(sheath_ecap_asd,MATCH(AP695,sheath_mark,0),0)*AK695,0)</f>
        <v>0</v>
      </c>
      <c r="AM695" cm="1">
        <f t="array" ref="AM695">IFERROR(INDEX(sheath_wcap_asd,MATCH(AP695,sheath_mark,0),0)*AK695,0)</f>
        <v>0</v>
      </c>
      <c r="AN695" cm="1">
        <f t="array" ref="AN695">IFERROR(INDEX(hd_cap,MATCH(AQ695,hd_mark,0),0),0)</f>
        <v>0</v>
      </c>
      <c r="AP695" s="19"/>
      <c r="AQ695" s="19"/>
      <c r="AR695" s="100"/>
      <c r="AS695" s="93"/>
      <c r="AT695" s="110" t="str">
        <f>$AT$671</f>
        <v>1.02</v>
      </c>
      <c r="AU695" t="str">
        <f>$Q$661</f>
        <v>L2</v>
      </c>
      <c r="AV695">
        <f>$E$21</f>
        <v>10.6875</v>
      </c>
      <c r="AW695" cm="1">
        <f t="array" ref="AW695">IFERROR(IF(AV695=0,0,(INDEX($C$33:$C$38,MATCH($AZ$671,$B$33:$B$38,0),0)*(AV699+$BA$671)+$AW$671*COUNTIF(AV695:AV698,"&gt;0")*$C$32+$AY$671*$C$31)*$AU$671),0)</f>
        <v>0</v>
      </c>
      <c r="AX695">
        <f>IF(AV695=0,0,-(COUNTIF(AV695:AV698,"&gt;0")*$AW$671*$C$32+$AY$671*$C$31)*$H$27*$AU$671)</f>
        <v>0</v>
      </c>
      <c r="AY695">
        <f>IF(AV695=0,0,$AY$671*$H$26*$AU$671)</f>
        <v>0</v>
      </c>
      <c r="AZ695">
        <f>(0.6*AW695+0.7*AX695)*$AU$671/2</f>
        <v>0</v>
      </c>
      <c r="BA695">
        <f>(0.6*AW695+0.6*AY695)*$AU$671/2</f>
        <v>0</v>
      </c>
      <c r="BC695">
        <f>IF(AV695=0,0,$BG$671*$AP$661)</f>
        <v>0</v>
      </c>
      <c r="BD695">
        <f>IFERROR(BC695/$AU$671,0)</f>
        <v>0</v>
      </c>
      <c r="BE695">
        <f>BC695*($F$21+IF($F$21=0,0,($C$14+$C$15+IF($C$13="single",1.5,3)+3)/12))</f>
        <v>0</v>
      </c>
      <c r="BF695">
        <f>BE695-AZ695</f>
        <v>0</v>
      </c>
      <c r="BG695" cm="1">
        <f t="array" ref="BG695">IFERROR(IF(BF695&lt;0,0,BF695/($AU$671-INDEX(hd_off,MATCH(BT695,hd_mark,0),0)/12)),0)</f>
        <v>0</v>
      </c>
      <c r="BH695">
        <f>IF(AV695=0,0,$BG$671*$AM$661)</f>
        <v>0</v>
      </c>
      <c r="BI695">
        <f>IFERROR(BH695/$AU$671,0)</f>
        <v>0</v>
      </c>
      <c r="BJ695">
        <f>BH695*($F$21+IF($F$21=0,0,($C$14+$C$15+IF($C$13="single",1.5,3)+3)/12))</f>
        <v>0</v>
      </c>
      <c r="BK695">
        <f>BJ695-BA695</f>
        <v>0</v>
      </c>
      <c r="BL695" cm="1">
        <f t="array" ref="BL695">IFERROR(IF(BK695&lt;0,0,BK695/($AU$671-INDEX(hd_off,MATCH(BT695,hd_mark,0),0)/12)),0)</f>
        <v>0</v>
      </c>
      <c r="BM695">
        <f>MAX($F$21,$BB$671)/$Q$692</f>
        <v>0.30172413793103448</v>
      </c>
      <c r="BN695">
        <f>IF(BM695=0,0,IF(BM695&gt;2,1.25-0.125*BM695,1))</f>
        <v>1</v>
      </c>
      <c r="BO695" cm="1">
        <f t="array" ref="BO695">IFERROR(INDEX(sheath_ecap_asd,MATCH(BS695,sheath_mark,0),0)*BN695,0)</f>
        <v>0</v>
      </c>
      <c r="BP695" cm="1">
        <f t="array" ref="BP695">IFERROR(INDEX(sheath_wcap_asd,MATCH(BS695,sheath_mark,0),0)*BN695,0)</f>
        <v>0</v>
      </c>
      <c r="BQ695" cm="1">
        <f t="array" ref="BQ695">IFERROR(INDEX(hd_cap,MATCH(BT695,hd_mark,0),0),0)</f>
        <v>0</v>
      </c>
      <c r="BS695" s="19"/>
      <c r="BT695" s="19"/>
      <c r="BU695" s="100"/>
    </row>
    <row r="696" x14ac:dyDescent="0.25">
      <c r="B696" t="s">
        <v>463</v>
      </c>
      <c r="C696" s="19"/>
      <c r="D696" s="19"/>
      <c r="E696">
        <f t="shared" si="438"/>
        <v>0</v>
      </c>
      <c r="H696">
        <v>15</v>
      </c>
      <c r="I696" s="19">
        <v>27</v>
      </c>
      <c r="J696" s="19">
        <v>18</v>
      </c>
      <c r="K696">
        <f t="shared" si="439"/>
        <v>45</v>
      </c>
      <c r="P696" s="93"/>
      <c r="Q696" s="109"/>
      <c r="R696" t="str">
        <f>$Q$662</f>
        <v>L3</v>
      </c>
      <c r="S696">
        <f>$E$22</f>
        <v>21.375</v>
      </c>
      <c r="T696" cm="1">
        <f t="array" ref="T696">IFERROR(IF(S696=0,0,(INDEX($C$33:$C$38,MATCH($W$671,$B$33:$B$38,0),0)*(S699+$X$671)+$T$671*COUNTIF(S696:S698,"&gt;0")*$C$32+$V$671*$C$31)*$R$671),0)</f>
        <v>0</v>
      </c>
      <c r="U696">
        <f>IF(S696=0,0,-(COUNTIF(S696:S698,"&gt;0")*$T$671*$C$32+$V$671*$C$31)*$H$27*$R$671)</f>
        <v>0</v>
      </c>
      <c r="V696">
        <f>IF(S696=0,0,$V$671*$H$26*$R$671)</f>
        <v>0</v>
      </c>
      <c r="W696">
        <f>(0.6*T696+0.7*U696)*$R$671/2</f>
        <v>0</v>
      </c>
      <c r="X696">
        <f>T696*$R$671/2</f>
        <v>0</v>
      </c>
      <c r="Z696">
        <f>IF(S696=0,0,$AD$671*$AP$662)</f>
        <v>0</v>
      </c>
      <c r="AA696">
        <f>IFERROR(Z696/$R$671,0)</f>
        <v>0</v>
      </c>
      <c r="AB696">
        <f>Z696*($F$22+IF($F$22=0,0,($C$14+$C$15+IF($C$13="single",1.5,3)+3)/12))</f>
        <v>0</v>
      </c>
      <c r="AC696">
        <f>AB696-W696</f>
        <v>0</v>
      </c>
      <c r="AD696" cm="1">
        <f t="array" ref="AD696">IFERROR(IF(AC696&lt;0,0,AC696/($R$671-INDEX(hd_off,MATCH(AQ696,hd_mark,0),0)/12)),0)</f>
        <v>0</v>
      </c>
      <c r="AE696">
        <f>IF(S696=0,0,$AD$671*$AM$662)</f>
        <v>0</v>
      </c>
      <c r="AF696">
        <f>IFERROR(AE696/$R$671,0)</f>
        <v>0</v>
      </c>
      <c r="AG696">
        <f>AE696*($F$22+IF($F$22=0,0,($C$14+$C$15+IF($C$13="single",1.5,3)+3)/12))</f>
        <v>0</v>
      </c>
      <c r="AH696">
        <f>AG696-X696</f>
        <v>0</v>
      </c>
      <c r="AI696" cm="1">
        <f t="array" ref="AI696">IFERROR(IF(AH696&lt;0,0,AH696/($R$671-INDEX(hd_off,MATCH(AQ696,hd_mark,0),0)/12)),0)</f>
        <v>0</v>
      </c>
      <c r="AJ696">
        <f>MAX($F$22,$Z$671)/$Q$692</f>
        <v>0.30172413793103448</v>
      </c>
      <c r="AK696">
        <f t="shared" ref="AK696:AK699" si="443">IF(AJ696=0,0,IF(AJ696&gt;2,1.25-0.125*AJ696,1))</f>
        <v>1</v>
      </c>
      <c r="AL696" cm="1">
        <f t="array" ref="AL696">IFERROR(INDEX(sheath_ecap_asd,MATCH(AP696,sheath_mark,0),0)*AK696,0)</f>
        <v>0</v>
      </c>
      <c r="AM696" cm="1">
        <f t="array" ref="AM696">IFERROR(INDEX(sheath_wcap_asd,MATCH(AP696,sheath_mark,0),0)*AK696,0)</f>
        <v>0</v>
      </c>
      <c r="AN696" cm="1">
        <f t="array" ref="AN696">IFERROR(INDEX(hd_cap,MATCH(AQ696,hd_mark,0),0),0)</f>
        <v>0</v>
      </c>
      <c r="AP696" s="19"/>
      <c r="AQ696" s="19"/>
      <c r="AR696" s="100"/>
      <c r="AS696" s="93"/>
      <c r="AT696" s="109"/>
      <c r="AU696" t="str">
        <f>$Q$662</f>
        <v>L3</v>
      </c>
      <c r="AV696">
        <f>$E$22</f>
        <v>21.375</v>
      </c>
      <c r="AW696" cm="1">
        <f t="array" ref="AW696">IFERROR(IF(AV696=0,0,(INDEX($C$33:$C$38,MATCH($AZ$671,$B$33:$B$38,0),0)*(AV699+$BA$671)+$AW$671*COUNTIF(AV696:AV698,"&gt;0")*$C$32+$AY$671*$C$31)*$AU$671),0)</f>
        <v>0</v>
      </c>
      <c r="AX696">
        <f>IF(AV696=0,0,-(COUNTIF(AV696:AV698,"&gt;0")*$AW$671*$C$32+$AY$671*$C$31)*$H$27*$AU$671)</f>
        <v>0</v>
      </c>
      <c r="AY696">
        <f>IF(AV696=0,0,$AY$671*$H$26*$AU$671)</f>
        <v>0</v>
      </c>
      <c r="AZ696">
        <f>(0.6*AW696+0.7*AX696)*$AU$671/2</f>
        <v>0</v>
      </c>
      <c r="BA696">
        <f>AW696*$AU$671/2</f>
        <v>0</v>
      </c>
      <c r="BC696">
        <f>IF(AV696=0,0,$BG$671*$AP$662)</f>
        <v>0</v>
      </c>
      <c r="BD696">
        <f>IFERROR(BC696/$AU$671,0)</f>
        <v>0</v>
      </c>
      <c r="BE696">
        <f>BC696*($F$22+IF($F$22=0,0,($C$14+$C$15+IF($C$13="single",1.5,3)+3)/12))</f>
        <v>0</v>
      </c>
      <c r="BF696">
        <f>BE696-AZ696</f>
        <v>0</v>
      </c>
      <c r="BG696" cm="1">
        <f t="array" ref="BG696">IFERROR(IF(BF696&lt;0,0,BF696/($AU$671-INDEX(hd_off,MATCH(BT696,hd_mark,0),0)/12)),0)</f>
        <v>0</v>
      </c>
      <c r="BH696">
        <f>IF(AV696=0,0,$BG$671*$AM$662)</f>
        <v>0</v>
      </c>
      <c r="BI696">
        <f>IFERROR(BH696/$AU$671,0)</f>
        <v>0</v>
      </c>
      <c r="BJ696">
        <f>BH696*($F$22+IF($F$22=0,0,($C$14+$C$15+IF($C$13="single",1.5,3)+3)/12))</f>
        <v>0</v>
      </c>
      <c r="BK696">
        <f>BJ696-BA696</f>
        <v>0</v>
      </c>
      <c r="BL696" cm="1">
        <f t="array" ref="BL696">IFERROR(IF(BK696&lt;0,0,BK696/($AU$671-INDEX(hd_off,MATCH(BT696,hd_mark,0),0)/12)),0)</f>
        <v>0</v>
      </c>
      <c r="BM696">
        <f>MAX($F$22,$BC$671)/$Q$692</f>
        <v>0.30172413793103448</v>
      </c>
      <c r="BN696">
        <f t="shared" ref="BN696:BN699" si="444">IF(BM696=0,0,IF(BM696&gt;2,1.25-0.125*BM696,1))</f>
        <v>1</v>
      </c>
      <c r="BO696" cm="1">
        <f t="array" ref="BO696">IFERROR(INDEX(sheath_ecap_asd,MATCH(BS696,sheath_mark,0),0)*BN696,0)</f>
        <v>0</v>
      </c>
      <c r="BP696" cm="1">
        <f t="array" ref="BP696">IFERROR(INDEX(sheath_wcap_asd,MATCH(BS696,sheath_mark,0),0)*BN696,0)</f>
        <v>0</v>
      </c>
      <c r="BQ696" cm="1">
        <f t="array" ref="BQ696">IFERROR(INDEX(hd_cap,MATCH(BT696,hd_mark,0),0),0)</f>
        <v>0</v>
      </c>
      <c r="BS696" s="19"/>
      <c r="BT696" s="19"/>
      <c r="BU696" s="100"/>
    </row>
    <row r="697" x14ac:dyDescent="0.25">
      <c r="B697" t="s">
        <v>464</v>
      </c>
      <c r="C697" s="19"/>
      <c r="D697" s="19"/>
      <c r="E697">
        <f t="shared" si="438"/>
        <v>0</v>
      </c>
      <c r="H697">
        <v>16</v>
      </c>
      <c r="I697" s="19"/>
      <c r="J697" s="19"/>
      <c r="K697">
        <f t="shared" si="439"/>
        <v>0</v>
      </c>
      <c r="P697" s="93"/>
      <c r="Q697" s="109" t="s">
        <v>491</v>
      </c>
      <c r="R697" t="str">
        <f>$Q$663</f>
        <v>L4</v>
      </c>
      <c r="S697">
        <f>$E$23</f>
        <v>0</v>
      </c>
      <c r="T697" cm="1">
        <f t="array" ref="T697">IFERROR(IF(S697=0,0,(INDEX($C$33:$C$38,MATCH($W$671,$B$33:$B$38,0),0)*(S699+$X$671)+$T$671*COUNTIF(S697:S698,"&gt;0")*$C$32+$V$671*$C$31)*$R$671),0)</f>
        <v>0</v>
      </c>
      <c r="U697">
        <f>IF(S697=0,0,-(COUNTIF(S697:S698,"&gt;0")*$T$671*$C$32+$V$671*$C$31)*$H$27*$R$671)</f>
        <v>0</v>
      </c>
      <c r="V697">
        <f>IF(S697=0,0,$V$671*$H$26*$R$671)</f>
        <v>0</v>
      </c>
      <c r="W697">
        <f>(0.6*T697+0.7*U697)*$R$671/2</f>
        <v>0</v>
      </c>
      <c r="X697">
        <f>T697*$R$671/2</f>
        <v>0</v>
      </c>
      <c r="Z697">
        <f>IF(S697=0,0,$AD$671*$AP$663)</f>
        <v>0</v>
      </c>
      <c r="AA697">
        <f>IFERROR(Z697/$R$671,0)</f>
        <v>0</v>
      </c>
      <c r="AB697">
        <f>Z697*($F$23+IF($F$23=0,0,($C$14+$C$15+IF($C$13="single",1.5,3)+3)/12))</f>
        <v>0</v>
      </c>
      <c r="AC697">
        <f>AB697-W697</f>
        <v>0</v>
      </c>
      <c r="AD697" cm="1">
        <f t="array" ref="AD697">IFERROR(IF(AC697&lt;0,0,AC697/($R$671-INDEX(hd_off,MATCH(AQ697,hd_mark,0),0)/12)),0)</f>
        <v>0</v>
      </c>
      <c r="AE697">
        <f>IF(S697=0,0,$AD$671*$AM$663)</f>
        <v>0</v>
      </c>
      <c r="AF697">
        <f>IFERROR(AE697/$R$671,0)</f>
        <v>0</v>
      </c>
      <c r="AG697">
        <f>AE697*($F$23+IF($F$23=0,0,($C$14+$C$15+IF($C$13="single",1.5,3)+3)/12))</f>
        <v>0</v>
      </c>
      <c r="AH697">
        <f>AG697-X697</f>
        <v>0</v>
      </c>
      <c r="AI697" cm="1">
        <f t="array" ref="AI697">IFERROR(IF(AH697&lt;0,0,AH697/($R$671-INDEX(hd_off,MATCH(AQ697,hd_mark,0),0)/12)),0)</f>
        <v>0</v>
      </c>
      <c r="AJ697">
        <f>MAX($F$23,$AA$671)/$Q$692</f>
        <v>0</v>
      </c>
      <c r="AK697">
        <f t="shared" si="443"/>
        <v>0</v>
      </c>
      <c r="AL697" cm="1">
        <f t="array" ref="AL697">IFERROR(INDEX(sheath_ecap_asd,MATCH(AP697,sheath_mark,0),0)*AK697,0)</f>
        <v>0</v>
      </c>
      <c r="AM697" cm="1">
        <f t="array" ref="AM697">IFERROR(INDEX(sheath_wcap_asd,MATCH(AP697,sheath_mark,0),0)*AK697,0)</f>
        <v>0</v>
      </c>
      <c r="AN697" cm="1">
        <f t="array" ref="AN697">IFERROR(INDEX(hd_cap,MATCH(AQ697,hd_mark,0),0),0)</f>
        <v>0</v>
      </c>
      <c r="AP697" s="19"/>
      <c r="AQ697" s="19"/>
      <c r="AR697" s="100"/>
      <c r="AS697" s="93"/>
      <c r="AT697" s="109" t="s">
        <v>491</v>
      </c>
      <c r="AU697" t="str">
        <f>$Q$663</f>
        <v>L4</v>
      </c>
      <c r="AV697">
        <f>$E$23</f>
        <v>0</v>
      </c>
      <c r="AW697" cm="1">
        <f t="array" ref="AW697">IFERROR(IF(AV697=0,0,(INDEX($C$33:$C$38,MATCH($AZ$671,$B$33:$B$38,0),0)*(AV699+$BA$671)+$AW$671*COUNTIF(AV697:AV698,"&gt;0")*$C$32+$AY$671*$C$31)*$AU$671),0)</f>
        <v>0</v>
      </c>
      <c r="AX697">
        <f>IF(AV697=0,0,-(COUNTIF(AV697:AV698,"&gt;0")*$AW$671*$C$32+$AY$671*$C$31)*$H$27*$AU$671)</f>
        <v>0</v>
      </c>
      <c r="AY697">
        <f>IF(AV697=0,0,$AY$671*$H$26*$AU$671)</f>
        <v>0</v>
      </c>
      <c r="AZ697">
        <f>(0.6*AW697+0.7*AX697)*$AU$671/2</f>
        <v>0</v>
      </c>
      <c r="BA697">
        <f>AW697*$AU$671/2</f>
        <v>0</v>
      </c>
      <c r="BC697">
        <f>IF(AV697=0,0,$BG$671*$AP$663)</f>
        <v>0</v>
      </c>
      <c r="BD697">
        <f>IFERROR(BC697/$AU$671,0)</f>
        <v>0</v>
      </c>
      <c r="BE697">
        <f>BC697*($F$23+IF($F$23=0,0,($C$14+$C$15+IF($C$13="single",1.5,3)+3)/12))</f>
        <v>0</v>
      </c>
      <c r="BF697">
        <f>BE697-AZ697</f>
        <v>0</v>
      </c>
      <c r="BG697" cm="1">
        <f t="array" ref="BG697">IFERROR(IF(BF697&lt;0,0,BF697/($AU$671-INDEX(hd_off,MATCH(BT697,hd_mark,0),0)/12)),0)</f>
        <v>0</v>
      </c>
      <c r="BH697">
        <f>IF(AV697=0,0,$BG$671*$AM$663)</f>
        <v>0</v>
      </c>
      <c r="BI697">
        <f>IFERROR(BH697/$AU$671,0)</f>
        <v>0</v>
      </c>
      <c r="BJ697">
        <f>BH697*($F$23+IF($F$23=0,0,($C$14+$C$15+IF($C$13="single",1.5,3)+3)/12))</f>
        <v>0</v>
      </c>
      <c r="BK697">
        <f>BJ697-BA697</f>
        <v>0</v>
      </c>
      <c r="BL697" cm="1">
        <f t="array" ref="BL697">IFERROR(IF(BK697&lt;0,0,BK697/($AU$671-INDEX(hd_off,MATCH(BT697,hd_mark,0),0)/12)),0)</f>
        <v>0</v>
      </c>
      <c r="BM697">
        <f>MAX($F$23,$BD$671)/$Q$692</f>
        <v>0</v>
      </c>
      <c r="BN697">
        <f t="shared" si="444"/>
        <v>0</v>
      </c>
      <c r="BO697" cm="1">
        <f t="array" ref="BO697">IFERROR(INDEX(sheath_ecap_asd,MATCH(BS697,sheath_mark,0),0)*BN697,0)</f>
        <v>0</v>
      </c>
      <c r="BP697" cm="1">
        <f t="array" ref="BP697">IFERROR(INDEX(sheath_wcap_asd,MATCH(BS697,sheath_mark,0),0)*BN697,0)</f>
        <v>0</v>
      </c>
      <c r="BQ697" cm="1">
        <f t="array" ref="BQ697">IFERROR(INDEX(hd_cap,MATCH(BT697,hd_mark,0),0),0)</f>
        <v>0</v>
      </c>
      <c r="BS697" s="19"/>
      <c r="BT697" s="19"/>
      <c r="BU697" s="100"/>
    </row>
    <row r="698" x14ac:dyDescent="0.25">
      <c r="B698" t="s">
        <v>465</v>
      </c>
      <c r="C698" s="19"/>
      <c r="D698" s="19"/>
      <c r="E698">
        <f t="shared" si="438"/>
        <v>0</v>
      </c>
      <c r="H698">
        <v>17</v>
      </c>
      <c r="I698" s="19"/>
      <c r="J698" s="19"/>
      <c r="K698">
        <f t="shared" si="439"/>
        <v>0</v>
      </c>
      <c r="P698" s="93"/>
      <c r="Q698" s="111">
        <f>$R$671</f>
        <v>0</v>
      </c>
      <c r="R698" t="str">
        <f>$Q$664</f>
        <v>L5</v>
      </c>
      <c r="S698">
        <f>$E$24</f>
        <v>0</v>
      </c>
      <c r="T698" cm="1">
        <f t="array" ref="T698">IFERROR(IF(S698=0,0,(INDEX($C$33:$C$38,MATCH($W$671,$B$33:$B$38,0),0)*(S699+$X$671)+$T$671*COUNTIF(S698:S698,"&gt;0")*$C$32+$V$671*$C$31)*$R$671),0)</f>
        <v>0</v>
      </c>
      <c r="U698">
        <f>IF(S698=0,0,-(COUNTIF(S698:S698,"&gt;0")*$T$671*$C$32+$V$671*$C$31)*$H$27*$R$671)</f>
        <v>0</v>
      </c>
      <c r="V698">
        <f>IF(S698=0,0,$V$671*$H$26*$R$671)</f>
        <v>0</v>
      </c>
      <c r="W698">
        <f>(0.6*T698+0.7*U698)*$R$671/2</f>
        <v>0</v>
      </c>
      <c r="X698">
        <f>T698*$R$671/2</f>
        <v>0</v>
      </c>
      <c r="Z698">
        <f>IF(S698=0,0,$AD$671*$AP$664)</f>
        <v>0</v>
      </c>
      <c r="AA698">
        <f>IFERROR(Z698/$R$671,0)</f>
        <v>0</v>
      </c>
      <c r="AB698">
        <f>Z698*($F$24+IF($F$24=0,0,($C$14+$C$15+IF($C$13="single",1.5,3)+3)/12))</f>
        <v>0</v>
      </c>
      <c r="AC698">
        <f>AB698-W698</f>
        <v>0</v>
      </c>
      <c r="AD698" cm="1">
        <f t="array" ref="AD698">IFERROR(IF(AC698&lt;0,0,AC698/($R$671-INDEX(hd_off,MATCH(AQ698,hd_mark,0),0)/12)),0)</f>
        <v>0</v>
      </c>
      <c r="AE698">
        <f>IF(S698=0,0,$AD$671*$AM$664)</f>
        <v>0</v>
      </c>
      <c r="AF698">
        <f>IFERROR(AE698/$R$671,0)</f>
        <v>0</v>
      </c>
      <c r="AG698">
        <f>AE698*($F$24+IF($F$24=0,0,($C$14+$C$15+IF($C$13="single",1.5,3)+3)/12))</f>
        <v>0</v>
      </c>
      <c r="AH698">
        <f>AG698-X698</f>
        <v>0</v>
      </c>
      <c r="AI698" cm="1">
        <f t="array" ref="AI698">IFERROR(IF(AH698&lt;0,0,AH698/($R$671-INDEX(hd_off,MATCH(AQ698,hd_mark,0),0)/12)),0)</f>
        <v>0</v>
      </c>
      <c r="AJ698">
        <f>MAX($F$24,$AB$671)/$Q$692</f>
        <v>0</v>
      </c>
      <c r="AK698">
        <f t="shared" si="443"/>
        <v>0</v>
      </c>
      <c r="AL698" cm="1">
        <f t="array" ref="AL698">IFERROR(INDEX(sheath_ecap_asd,MATCH(AP698,sheath_mark,0),0)*AK698,0)</f>
        <v>0</v>
      </c>
      <c r="AM698" cm="1">
        <f t="array" ref="AM698">IFERROR(INDEX(sheath_wcap_asd,MATCH(AP698,sheath_mark,0),0)*AK698,0)</f>
        <v>0</v>
      </c>
      <c r="AN698" cm="1">
        <f t="array" ref="AN698">IFERROR(INDEX(hd_cap,MATCH(AQ698,hd_mark,0),0),0)</f>
        <v>0</v>
      </c>
      <c r="AP698" s="19"/>
      <c r="AQ698" s="19"/>
      <c r="AR698" s="100"/>
      <c r="AS698" s="93"/>
      <c r="AT698" s="111">
        <f>$R$671</f>
        <v>0</v>
      </c>
      <c r="AU698" t="str">
        <f>$Q$664</f>
        <v>L5</v>
      </c>
      <c r="AV698">
        <f>$E$24</f>
        <v>0</v>
      </c>
      <c r="AW698" cm="1">
        <f t="array" ref="AW698">IFERROR(IF(AV698=0,0,(INDEX($C$33:$C$38,MATCH($AZ$671,$B$33:$B$38,0),0)*(AV699+$BA$671)+$AW$671*COUNTIF(AV698:AV698,"&gt;0")*$C$32+$AY$671*$C$31)*$AU$671),0)</f>
        <v>0</v>
      </c>
      <c r="AX698">
        <f>IF(AV698=0,0,-(COUNTIF(AV698:AV698,"&gt;0")*$AW$671*$C$32+$AY$671*$C$31)*$H$27*$AU$671)</f>
        <v>0</v>
      </c>
      <c r="AY698">
        <f>IF(AV698=0,0,$AY$671*$H$26*$AU$671)</f>
        <v>0</v>
      </c>
      <c r="AZ698">
        <f>(0.6*AW698+0.7*AX698)*$AU$671/2</f>
        <v>0</v>
      </c>
      <c r="BA698">
        <f>AW698*$AU$671/2</f>
        <v>0</v>
      </c>
      <c r="BC698">
        <f>IF(AV698=0,0,$BG$671*$AP$664)</f>
        <v>0</v>
      </c>
      <c r="BD698">
        <f>IFERROR(BC698/$AU$671,0)</f>
        <v>0</v>
      </c>
      <c r="BE698">
        <f>BC698*($F$24+IF($F$24=0,0,($C$14+$C$15+IF($C$13="single",1.5,3)+3)/12))</f>
        <v>0</v>
      </c>
      <c r="BF698">
        <f>BE698-AZ698</f>
        <v>0</v>
      </c>
      <c r="BG698" cm="1">
        <f t="array" ref="BG698">IFERROR(IF(BF698&lt;0,0,BF698/($AU$671-INDEX(hd_off,MATCH(BT698,hd_mark,0),0)/12)),0)</f>
        <v>0</v>
      </c>
      <c r="BH698">
        <f>IF(AV698=0,0,$BG$671*$AM$664)</f>
        <v>0</v>
      </c>
      <c r="BI698">
        <f>IFERROR(BH698/$AU$671,0)</f>
        <v>0</v>
      </c>
      <c r="BJ698">
        <f>BH698*($F$24+IF($F$24=0,0,($C$14+$C$15+IF($C$13="single",1.5,3)+3)/12))</f>
        <v>0</v>
      </c>
      <c r="BK698">
        <f>BJ698-BA698</f>
        <v>0</v>
      </c>
      <c r="BL698" cm="1">
        <f t="array" ref="BL698">IFERROR(IF(BK698&lt;0,0,BK698/($AU$671-INDEX(hd_off,MATCH(BT698,hd_mark,0),0)/12)),0)</f>
        <v>0</v>
      </c>
      <c r="BM698">
        <f>MAX($F$24,$BE$671)/$Q$692</f>
        <v>0</v>
      </c>
      <c r="BN698">
        <f t="shared" si="444"/>
        <v>0</v>
      </c>
      <c r="BO698" cm="1">
        <f t="array" ref="BO698">IFERROR(INDEX(sheath_ecap_asd,MATCH(BS698,sheath_mark,0),0)*BN698,0)</f>
        <v>0</v>
      </c>
      <c r="BP698" cm="1">
        <f t="array" ref="BP698">IFERROR(INDEX(sheath_wcap_asd,MATCH(BS698,sheath_mark,0),0)*BN698,0)</f>
        <v>0</v>
      </c>
      <c r="BQ698" cm="1">
        <f t="array" ref="BQ698">IFERROR(INDEX(hd_cap,MATCH(BT698,hd_mark,0),0),0)</f>
        <v>0</v>
      </c>
      <c r="BS698" s="19"/>
      <c r="BT698" s="19"/>
      <c r="BU698" s="100"/>
    </row>
    <row r="699" x14ac:dyDescent="0.25">
      <c r="B699" t="s">
        <v>466</v>
      </c>
      <c r="C699" s="19"/>
      <c r="D699" s="19"/>
      <c r="E699">
        <f t="shared" si="438"/>
        <v>0</v>
      </c>
      <c r="H699">
        <v>18</v>
      </c>
      <c r="I699" s="19"/>
      <c r="J699" s="19"/>
      <c r="K699">
        <f t="shared" si="439"/>
        <v>0</v>
      </c>
      <c r="P699" s="93"/>
      <c r="Q699" s="109"/>
      <c r="R699" t="str">
        <f>$Q$665</f>
        <v>Roof</v>
      </c>
      <c r="S699">
        <f>$E$25</f>
        <v>33.171875</v>
      </c>
      <c r="T699" cm="1">
        <f t="array" ref="T699">IFERROR(IF(S699=0,0,(INDEX($C$33:$C$38,MATCH($W$671,$B$33:$B$38,0),0)*(S699+$X$671)+$V$671*$C$31)*$R$671),0)</f>
        <v>0</v>
      </c>
      <c r="U699">
        <f>IF(S699=0,0,-$V$671*$C$31*$H$27*$R$671)</f>
        <v>0</v>
      </c>
      <c r="V699">
        <f>IF(S699=0,0,$V$671*$H$26*$R$671)</f>
        <v>0</v>
      </c>
      <c r="W699">
        <f>(0.6*T699+0.7*U699)*$R$671/2</f>
        <v>0</v>
      </c>
      <c r="X699">
        <f>T699*$R$671/2</f>
        <v>0</v>
      </c>
      <c r="Z699">
        <f>IF(S699=0,0,$AD$671*$AP$665)</f>
        <v>0</v>
      </c>
      <c r="AA699">
        <f>IFERROR(Z699/$R$671,0)</f>
        <v>0</v>
      </c>
      <c r="AB699">
        <f>Z699*($F$25+($C$16+$C$17+IF($C$13="single",1.5,3)+3)/12)</f>
        <v>0</v>
      </c>
      <c r="AC699">
        <f>AB699-W699</f>
        <v>0</v>
      </c>
      <c r="AD699" cm="1">
        <f t="array" ref="AD699">IFERROR(IF(AC699&lt;0,0,AC699/($R$671-INDEX(hd_off,MATCH(AQ699,hd_mark,0),0)/12)),0)</f>
        <v>0</v>
      </c>
      <c r="AE699">
        <f>IF(S699=0,0,$AD$671*$AM$665)</f>
        <v>0</v>
      </c>
      <c r="AF699">
        <f>IFERROR(AE699/$R$671,0)</f>
        <v>0</v>
      </c>
      <c r="AG699">
        <f>AE699*($F$25+($C$16+$C$17+IF($C$13="single",1.5,3)+3)/12)</f>
        <v>0</v>
      </c>
      <c r="AH699">
        <f>AG699-X699</f>
        <v>0</v>
      </c>
      <c r="AI699" cm="1">
        <f t="array" ref="AI699">IFERROR(IF(AH699&lt;0,0,AH699/($R$671-INDEX(hd_off,MATCH(AQ699,hd_mark,0),0)/12)),0)</f>
        <v>0</v>
      </c>
      <c r="AJ699">
        <f>MAX($F$25,$AC$671)/$Q$692</f>
        <v>0.29920977011494249</v>
      </c>
      <c r="AK699">
        <f t="shared" si="443"/>
        <v>1</v>
      </c>
      <c r="AL699" cm="1">
        <f t="array" ref="AL699">IFERROR(INDEX(sheath_ecap_asd,MATCH(AP699,sheath_mark,0),0)*AK699,0)</f>
        <v>0</v>
      </c>
      <c r="AM699" cm="1">
        <f t="array" ref="AM699">IFERROR(INDEX(sheath_wcap_asd,MATCH(AP699,sheath_mark,0),0)*AK699,0)</f>
        <v>0</v>
      </c>
      <c r="AN699" cm="1">
        <f t="array" ref="AN699">IFERROR(INDEX(hd_cap,MATCH(AQ699,hd_mark,0),0),0)</f>
        <v>0</v>
      </c>
      <c r="AP699" s="19"/>
      <c r="AQ699" s="19"/>
      <c r="AR699" s="100"/>
      <c r="AS699" s="93"/>
      <c r="AT699" s="109"/>
      <c r="AU699" t="str">
        <f>$Q$665</f>
        <v>Roof</v>
      </c>
      <c r="AV699">
        <f>$E$25</f>
        <v>33.171875</v>
      </c>
      <c r="AW699" cm="1">
        <f t="array" ref="AW699">IFERROR(IF(AV699=0,0,(INDEX($C$33:$C$38,MATCH($AZ$671,$B$33:$B$38,0),0)*(AV699+$BA$671)+$AY$671*$C$31)*$AU$671),0)</f>
        <v>0</v>
      </c>
      <c r="AX699">
        <f>IF(AV699=0,0,-$AY$671*$C$31*$H$27*$AU$671)</f>
        <v>0</v>
      </c>
      <c r="AY699">
        <f>IF(AV699=0,0,$AY$671*$H$26*$AU$671)</f>
        <v>0</v>
      </c>
      <c r="AZ699">
        <f>(0.6*AW699+0.7*AX699)*$AU$671/2</f>
        <v>0</v>
      </c>
      <c r="BA699">
        <f>AW699*$AU$671/2</f>
        <v>0</v>
      </c>
      <c r="BC699">
        <f>IF(AV699=0,0,$BG$671*$AP$665)</f>
        <v>0</v>
      </c>
      <c r="BD699">
        <f>IFERROR(BC699/$AU$671,0)</f>
        <v>0</v>
      </c>
      <c r="BE699">
        <f>BC699*($F$25+($C$16+$C$17+IF($C$13="single",1.5,3)+3)/12)</f>
        <v>0</v>
      </c>
      <c r="BF699">
        <f>BE699-AZ699</f>
        <v>0</v>
      </c>
      <c r="BG699" cm="1">
        <f t="array" ref="BG699">IFERROR(IF(BF699&lt;0,0,BF699/($AU$671-INDEX(hd_off,MATCH(BT699,hd_mark,0),0)/12)),0)</f>
        <v>0</v>
      </c>
      <c r="BH699">
        <f>IF(AV699=0,0,$BG$671*$AM$665)</f>
        <v>0</v>
      </c>
      <c r="BI699">
        <f>IFERROR(BH699/$AU$671,0)</f>
        <v>0</v>
      </c>
      <c r="BJ699">
        <f>BH699*($F$25+($C$16+$C$17+IF($C$13="single",1.5,3)+3)/12)</f>
        <v>0</v>
      </c>
      <c r="BK699">
        <f>BJ699-BA699</f>
        <v>0</v>
      </c>
      <c r="BL699" cm="1">
        <f t="array" ref="BL699">IFERROR(IF(BK699&lt;0,0,BK699/($AU$671-INDEX(hd_off,MATCH(BT699,hd_mark,0),0)/12)),0)</f>
        <v>0</v>
      </c>
      <c r="BM699">
        <f>MAX($F$25,$BF$671)/$Q$692</f>
        <v>0.29920977011494249</v>
      </c>
      <c r="BN699">
        <f t="shared" si="444"/>
        <v>1</v>
      </c>
      <c r="BO699" cm="1">
        <f t="array" ref="BO699">IFERROR(INDEX(sheath_ecap_asd,MATCH(BS699,sheath_mark,0),0)*BN699,0)</f>
        <v>0</v>
      </c>
      <c r="BP699" cm="1">
        <f t="array" ref="BP699">IFERROR(INDEX(sheath_wcap_asd,MATCH(BS699,sheath_mark,0),0)*BN699,0)</f>
        <v>0</v>
      </c>
      <c r="BQ699" cm="1">
        <f t="array" ref="BQ699">IFERROR(INDEX(hd_cap,MATCH(BT699,hd_mark,0),0),0)</f>
        <v>0</v>
      </c>
      <c r="BS699" s="19"/>
      <c r="BT699" s="19"/>
      <c r="BU699" s="100"/>
    </row>
    <row r="700" x14ac:dyDescent="0.25">
      <c r="B700" t="s">
        <v>467</v>
      </c>
      <c r="C700" s="19"/>
      <c r="D700" s="19"/>
      <c r="E700">
        <f t="shared" si="438"/>
        <v>0</v>
      </c>
      <c r="H700">
        <v>19</v>
      </c>
      <c r="I700" s="19"/>
      <c r="J700" s="19"/>
      <c r="K700">
        <f t="shared" si="439"/>
        <v>0</v>
      </c>
      <c r="P700" s="93"/>
      <c r="AR700" s="100"/>
      <c r="AS700" s="93"/>
      <c r="BU700" s="100"/>
    </row>
    <row r="701" x14ac:dyDescent="0.25">
      <c r="B701" t="s">
        <v>468</v>
      </c>
      <c r="C701" s="19"/>
      <c r="D701" s="19"/>
      <c r="E701">
        <f t="shared" si="438"/>
        <v>0</v>
      </c>
      <c r="H701">
        <v>20</v>
      </c>
      <c r="I701" s="19"/>
      <c r="J701" s="19"/>
      <c r="K701">
        <f t="shared" si="439"/>
        <v>0</v>
      </c>
      <c r="P701" s="93"/>
      <c r="Q701" s="110" t="str">
        <f>$Q$672</f>
        <v>A.03</v>
      </c>
      <c r="R701" t="str">
        <f>$Q$661</f>
        <v>L2</v>
      </c>
      <c r="S701">
        <f>$E$21</f>
        <v>10.6875</v>
      </c>
      <c r="T701" cm="1">
        <f t="array" ref="T701">IFERROR(IF(S701=0,0,(INDEX($C$33:$C$38,MATCH($W$672,$B$33:$B$38,0),0)*(S705+$X$672)+$T$672*COUNTIF(S701:S704,"&gt;0")*$C$32+$V$672*$C$31)*$R$672),0)</f>
        <v>0</v>
      </c>
      <c r="U701">
        <f>IF(S701=0,0,-(COUNTIF(S701:S704,"&gt;0")*$T$672*$C$32+$V$672*$C$31)*$H$27*$R$672)</f>
        <v>0</v>
      </c>
      <c r="V701">
        <f>IF(S701=0,0,$V$672*$H$26*$R$672)</f>
        <v>0</v>
      </c>
      <c r="W701">
        <f>(0.6*T701+0.7*U701)*$R$672/2</f>
        <v>0</v>
      </c>
      <c r="X701">
        <f>(0.6*T701+0.6*V701)*$R$672/2</f>
        <v>0</v>
      </c>
      <c r="Z701">
        <f>IF(S701=0,0,$AD$672*$AP$661)</f>
        <v>0</v>
      </c>
      <c r="AA701">
        <f>IFERROR(Z701/$R$672,0)</f>
        <v>0</v>
      </c>
      <c r="AB701">
        <f>Z701*($F$21+IF($F$21=0,0,($C$14+$C$15+IF($C$13="single",1.5,3)+3)/12))</f>
        <v>0</v>
      </c>
      <c r="AC701">
        <f>AB701-W701</f>
        <v>0</v>
      </c>
      <c r="AD701" cm="1">
        <f t="array" ref="AD701">IFERROR(IF(AC701&lt;0,0,AC701/($R$672-INDEX(hd_off,MATCH(AQ701,hd_mark,0),0)/12)),0)</f>
        <v>0</v>
      </c>
      <c r="AE701">
        <f>IF(S701=0,0,$AD$672*$AM$661)</f>
        <v>0</v>
      </c>
      <c r="AF701">
        <f>IFERROR(AE701/$R$672,0)</f>
        <v>0</v>
      </c>
      <c r="AG701">
        <f>AE701*($F$21+IF($F$21=0,0,($C$14+$C$15+IF($C$13="single",1.5,3)+3)/12))</f>
        <v>0</v>
      </c>
      <c r="AH701">
        <f>AG701-X701</f>
        <v>0</v>
      </c>
      <c r="AI701" cm="1">
        <f t="array" ref="AI701">IFERROR(IF(AH701&lt;0,0,AH701/($R$672-INDEX(hd_off,MATCH(AQ701,hd_mark,0),0)/12)),0)</f>
        <v>0</v>
      </c>
      <c r="AJ701">
        <f>MAX($F$21,$Y$672)/$Q$692</f>
        <v>0.30172413793103448</v>
      </c>
      <c r="AK701">
        <f>IF(AJ701=0,0,IF(AJ701&gt;2,1.25-0.125*AJ701,1))</f>
        <v>1</v>
      </c>
      <c r="AL701" cm="1">
        <f t="array" ref="AL701">IFERROR(INDEX(sheath_ecap_asd,MATCH(AP701,sheath_mark,0),0)*AK701,0)</f>
        <v>0</v>
      </c>
      <c r="AM701" cm="1">
        <f t="array" ref="AM701">IFERROR(INDEX(sheath_wcap_asd,MATCH(AP701,sheath_mark,0),0)*AK701,0)</f>
        <v>0</v>
      </c>
      <c r="AN701" cm="1">
        <f t="array" ref="AN701">IFERROR(INDEX(hd_cap,MATCH(AQ701,hd_mark,0),0),0)</f>
        <v>0</v>
      </c>
      <c r="AP701" s="19"/>
      <c r="AQ701" s="19"/>
      <c r="AR701" s="100"/>
      <c r="AS701" s="93"/>
      <c r="AT701" s="110" t="str">
        <f>$AT$672</f>
        <v>1.03</v>
      </c>
      <c r="AU701" t="str">
        <f>$Q$661</f>
        <v>L2</v>
      </c>
      <c r="AV701">
        <f>$E$21</f>
        <v>10.6875</v>
      </c>
      <c r="AW701" cm="1">
        <f t="array" ref="AW701">IFERROR(IF(AV701=0,0,(INDEX($C$33:$C$38,MATCH($AZ$672,$B$33:$B$38,0),0)*(AV705+$BA$672)+$AW$672*COUNTIF(AV701:AV704,"&gt;0")*$C$32+$AY$672*$C$31)*$AU$672),0)</f>
        <v>0</v>
      </c>
      <c r="AX701">
        <f>IF(AV701=0,0,-(COUNTIF(AV701:AV704,"&gt;0")*$AW$672*$C$32+$AY$672*$C$31)*$H$27*$AU$672)</f>
        <v>0</v>
      </c>
      <c r="AY701">
        <f>IF(AV701=0,0,$AY$672*$H$26*$AU$672)</f>
        <v>0</v>
      </c>
      <c r="AZ701">
        <f>(0.6*AW701+0.7*AX701)*$AU$672/2</f>
        <v>0</v>
      </c>
      <c r="BA701">
        <f>(0.6*AW701+0.6*AY701)*$AU$672/2</f>
        <v>0</v>
      </c>
      <c r="BC701">
        <f>IF(AV701=0,0,$BG$672*$AP$661)</f>
        <v>0</v>
      </c>
      <c r="BD701">
        <f>IFERROR(BC701/$AU$672,0)</f>
        <v>0</v>
      </c>
      <c r="BE701">
        <f>BC701*($F$21+IF($F$21=0,0,($C$14+$C$15+IF($C$13="single",1.5,3)+3)/12))</f>
        <v>0</v>
      </c>
      <c r="BF701">
        <f>BE701-AZ701</f>
        <v>0</v>
      </c>
      <c r="BG701" cm="1">
        <f t="array" ref="BG701">IFERROR(IF(BF701&lt;0,0,BF701/($AU$672-INDEX(hd_off,MATCH(BT701,hd_mark,0),0)/12)),0)</f>
        <v>0</v>
      </c>
      <c r="BH701">
        <f>IF(AV701=0,0,$BG$672*$AM$661)</f>
        <v>0</v>
      </c>
      <c r="BI701">
        <f>IFERROR(BH701/$AU$672,0)</f>
        <v>0</v>
      </c>
      <c r="BJ701">
        <f>BH701*($F$21+IF($F$21=0,0,($C$14+$C$15+IF($C$13="single",1.5,3)+3)/12))</f>
        <v>0</v>
      </c>
      <c r="BK701">
        <f>BJ701-BA701</f>
        <v>0</v>
      </c>
      <c r="BL701" cm="1">
        <f t="array" ref="BL701">IFERROR(IF(BK701&lt;0,0,BK701/($AU$672-INDEX(hd_off,MATCH(BT701,hd_mark,0),0)/12)),0)</f>
        <v>0</v>
      </c>
      <c r="BM701">
        <f>MAX($F$21,$BB$672)/$Q$692</f>
        <v>0.30172413793103448</v>
      </c>
      <c r="BN701">
        <f>IF(BM701=0,0,IF(BM701&gt;2,1.25-0.125*BM701,1))</f>
        <v>1</v>
      </c>
      <c r="BO701" cm="1">
        <f t="array" ref="BO701">IFERROR(INDEX(sheath_ecap_asd,MATCH(BS701,sheath_mark,0),0)*BN701,0)</f>
        <v>0</v>
      </c>
      <c r="BP701" cm="1">
        <f t="array" ref="BP701">IFERROR(INDEX(sheath_wcap_asd,MATCH(BS701,sheath_mark,0),0)*BN701,0)</f>
        <v>0</v>
      </c>
      <c r="BQ701" cm="1">
        <f t="array" ref="BQ701">IFERROR(INDEX(hd_cap,MATCH(BT701,hd_mark,0),0),0)</f>
        <v>0</v>
      </c>
      <c r="BS701" s="19"/>
      <c r="BT701" s="19"/>
      <c r="BU701" s="100"/>
    </row>
    <row r="702" x14ac:dyDescent="0.25">
      <c r="B702" t="s">
        <v>469</v>
      </c>
      <c r="C702" s="19"/>
      <c r="D702" s="19"/>
      <c r="E702">
        <f t="shared" si="438"/>
        <v>0</v>
      </c>
      <c r="H702">
        <v>21</v>
      </c>
      <c r="I702" s="19"/>
      <c r="J702" s="19"/>
      <c r="K702">
        <f t="shared" si="439"/>
        <v>0</v>
      </c>
      <c r="P702" s="93"/>
      <c r="Q702" s="109"/>
      <c r="R702" t="str">
        <f>$Q$662</f>
        <v>L3</v>
      </c>
      <c r="S702">
        <f>$E$22</f>
        <v>21.375</v>
      </c>
      <c r="T702" cm="1">
        <f t="array" ref="T702">IFERROR(IF(S702=0,0,(INDEX($C$33:$C$38,MATCH($W$672,$B$33:$B$38,0),0)*(S705+$X$672)+$T$672*COUNTIF(S702:S704,"&gt;0")*$C$32+$V$672*$C$31)*$R$672),0)</f>
        <v>0</v>
      </c>
      <c r="U702">
        <f>IF(S702=0,0,-(COUNTIF(S702:S704,"&gt;0")*$T$672*$C$32+$V$672*$C$31)*$H$27*$R$672)</f>
        <v>0</v>
      </c>
      <c r="V702">
        <f>IF(S702=0,0,$V$672*$H$26*$R$672)</f>
        <v>0</v>
      </c>
      <c r="W702">
        <f>(0.6*T702+0.7*U702)*$R$672/2</f>
        <v>0</v>
      </c>
      <c r="X702">
        <f>T702*$R$672/2</f>
        <v>0</v>
      </c>
      <c r="Z702">
        <f>IF(S702=0,0,$AD$672*$AP$662)</f>
        <v>0</v>
      </c>
      <c r="AA702">
        <f>IFERROR(Z702/$R$672,0)</f>
        <v>0</v>
      </c>
      <c r="AB702">
        <f>Z702*($F$22+IF($F$22=0,0,($C$14+$C$15+IF($C$13="single",1.5,3)+3)/12))</f>
        <v>0</v>
      </c>
      <c r="AC702">
        <f>AB702-W702</f>
        <v>0</v>
      </c>
      <c r="AD702" cm="1">
        <f t="array" ref="AD702">IFERROR(IF(AC702&lt;0,0,AC702/($R$672-INDEX(hd_off,MATCH(AQ702,hd_mark,0),0)/12)),0)</f>
        <v>0</v>
      </c>
      <c r="AE702">
        <f>IF(S702=0,0,$AD$672*$AM$662)</f>
        <v>0</v>
      </c>
      <c r="AF702">
        <f>IFERROR(AE702/$R$672,0)</f>
        <v>0</v>
      </c>
      <c r="AG702">
        <f>AE702*($F$22+IF($F$22=0,0,($C$14+$C$15+IF($C$13="single",1.5,3)+3)/12))</f>
        <v>0</v>
      </c>
      <c r="AH702">
        <f>AG702-X702</f>
        <v>0</v>
      </c>
      <c r="AI702" cm="1">
        <f t="array" ref="AI702">IFERROR(IF(AH702&lt;0,0,AH702/($R$672-INDEX(hd_off,MATCH(AQ702,hd_mark,0),0)/12)),0)</f>
        <v>0</v>
      </c>
      <c r="AJ702">
        <f>MAX($F$22,$Z$672)/$Q$692</f>
        <v>0.30172413793103448</v>
      </c>
      <c r="AK702">
        <f t="shared" ref="AK702:AK705" si="445">IF(AJ702=0,0,IF(AJ702&gt;2,1.25-0.125*AJ702,1))</f>
        <v>1</v>
      </c>
      <c r="AL702" cm="1">
        <f t="array" ref="AL702">IFERROR(INDEX(sheath_ecap_asd,MATCH(AP702,sheath_mark,0),0)*AK702,0)</f>
        <v>0</v>
      </c>
      <c r="AM702" cm="1">
        <f t="array" ref="AM702">IFERROR(INDEX(sheath_wcap_asd,MATCH(AP702,sheath_mark,0),0)*AK702,0)</f>
        <v>0</v>
      </c>
      <c r="AN702" cm="1">
        <f t="array" ref="AN702">IFERROR(INDEX(hd_cap,MATCH(AQ702,hd_mark,0),0),0)</f>
        <v>0</v>
      </c>
      <c r="AP702" s="19"/>
      <c r="AQ702" s="19"/>
      <c r="AR702" s="100"/>
      <c r="AS702" s="93"/>
      <c r="AT702" s="109"/>
      <c r="AU702" t="str">
        <f>$Q$662</f>
        <v>L3</v>
      </c>
      <c r="AV702">
        <f>$E$22</f>
        <v>21.375</v>
      </c>
      <c r="AW702" cm="1">
        <f t="array" ref="AW702">IFERROR(IF(AV702=0,0,(INDEX($C$33:$C$38,MATCH($AZ$672,$B$33:$B$38,0),0)*(AV705+$BA$672)+$AW$672*COUNTIF(AV702:AV704,"&gt;0")*$C$32+$AY$672*$C$31)*$AU$672),0)</f>
        <v>0</v>
      </c>
      <c r="AX702">
        <f>IF(AV702=0,0,-(COUNTIF(AV702:AV704,"&gt;0")*$AW$672*$C$32+$AY$672*$C$31)*$H$27*$AU$672)</f>
        <v>0</v>
      </c>
      <c r="AY702">
        <f>IF(AV702=0,0,$AY$672*$H$26*$AU$672)</f>
        <v>0</v>
      </c>
      <c r="AZ702">
        <f>(0.6*AW702+0.7*AX702)*$AU$672/2</f>
        <v>0</v>
      </c>
      <c r="BA702">
        <f>AW702*$AU$672/2</f>
        <v>0</v>
      </c>
      <c r="BC702">
        <f>IF(AV702=0,0,$BG$672*$AP$662)</f>
        <v>0</v>
      </c>
      <c r="BD702">
        <f>IFERROR(BC702/$AU$672,0)</f>
        <v>0</v>
      </c>
      <c r="BE702">
        <f>BC702*($F$22+IF($F$22=0,0,($C$14+$C$15+IF($C$13="single",1.5,3)+3)/12))</f>
        <v>0</v>
      </c>
      <c r="BF702">
        <f>BE702-AZ702</f>
        <v>0</v>
      </c>
      <c r="BG702" cm="1">
        <f t="array" ref="BG702">IFERROR(IF(BF702&lt;0,0,BF702/($AU$672-INDEX(hd_off,MATCH(BT702,hd_mark,0),0)/12)),0)</f>
        <v>0</v>
      </c>
      <c r="BH702">
        <f>IF(AV702=0,0,$BG$672*$AM$662)</f>
        <v>0</v>
      </c>
      <c r="BI702">
        <f>IFERROR(BH702/$AU$672,0)</f>
        <v>0</v>
      </c>
      <c r="BJ702">
        <f>BH702*($F$22+IF($F$22=0,0,($C$14+$C$15+IF($C$13="single",1.5,3)+3)/12))</f>
        <v>0</v>
      </c>
      <c r="BK702">
        <f>BJ702-BA702</f>
        <v>0</v>
      </c>
      <c r="BL702" cm="1">
        <f t="array" ref="BL702">IFERROR(IF(BK702&lt;0,0,BK702/($AU$672-INDEX(hd_off,MATCH(BT702,hd_mark,0),0)/12)),0)</f>
        <v>0</v>
      </c>
      <c r="BM702">
        <f>MAX($F$22,$BC$672)/$Q$692</f>
        <v>0.30172413793103448</v>
      </c>
      <c r="BN702">
        <f t="shared" ref="BN702:BN705" si="446">IF(BM702=0,0,IF(BM702&gt;2,1.25-0.125*BM702,1))</f>
        <v>1</v>
      </c>
      <c r="BO702" cm="1">
        <f t="array" ref="BO702">IFERROR(INDEX(sheath_ecap_asd,MATCH(BS702,sheath_mark,0),0)*BN702,0)</f>
        <v>0</v>
      </c>
      <c r="BP702" cm="1">
        <f t="array" ref="BP702">IFERROR(INDEX(sheath_wcap_asd,MATCH(BS702,sheath_mark,0),0)*BN702,0)</f>
        <v>0</v>
      </c>
      <c r="BQ702" cm="1">
        <f t="array" ref="BQ702">IFERROR(INDEX(hd_cap,MATCH(BT702,hd_mark,0),0),0)</f>
        <v>0</v>
      </c>
      <c r="BS702" s="19"/>
      <c r="BT702" s="19"/>
      <c r="BU702" s="100"/>
    </row>
    <row r="703" x14ac:dyDescent="0.25">
      <c r="B703" t="s">
        <v>285</v>
      </c>
      <c r="C703" s="19"/>
      <c r="D703" s="19"/>
      <c r="E703">
        <f t="shared" si="438"/>
        <v>0</v>
      </c>
      <c r="H703">
        <v>22</v>
      </c>
      <c r="I703" s="19"/>
      <c r="J703" s="19"/>
      <c r="K703">
        <f t="shared" si="439"/>
        <v>0</v>
      </c>
      <c r="P703" s="93"/>
      <c r="Q703" s="109" t="s">
        <v>491</v>
      </c>
      <c r="R703" t="str">
        <f>$Q$663</f>
        <v>L4</v>
      </c>
      <c r="S703">
        <f>$E$23</f>
        <v>0</v>
      </c>
      <c r="T703" cm="1">
        <f t="array" ref="T703">IFERROR(IF(S703=0,0,(INDEX($C$33:$C$38,MATCH($W$672,$B$33:$B$38,0),0)*(S705+$X$672)+$T$672*COUNTIF(S703:S704,"&gt;0")*$C$32+$V$672*$C$31)*$R$672),0)</f>
        <v>0</v>
      </c>
      <c r="U703">
        <f>IF(S703=0,0,-(COUNTIF(S703:S704,"&gt;0")*$T$672*$C$32+$V$672*$C$31)*$H$27*$R$672)</f>
        <v>0</v>
      </c>
      <c r="V703">
        <f>IF(S703=0,0,$V$672*$H$26*$R$672)</f>
        <v>0</v>
      </c>
      <c r="W703">
        <f>(0.6*T703+0.7*U703)*$R$672/2</f>
        <v>0</v>
      </c>
      <c r="X703">
        <f>T703*$R$672/2</f>
        <v>0</v>
      </c>
      <c r="Z703">
        <f>IF(S703=0,0,$AD$672*$AP$663)</f>
        <v>0</v>
      </c>
      <c r="AA703">
        <f>IFERROR(Z703/$R$672,0)</f>
        <v>0</v>
      </c>
      <c r="AB703">
        <f>Z703*($F$23+IF($F$23=0,0,($C$14+$C$15+IF($C$13="single",1.5,3)+3)/12))</f>
        <v>0</v>
      </c>
      <c r="AC703">
        <f>AB703-W703</f>
        <v>0</v>
      </c>
      <c r="AD703" cm="1">
        <f t="array" ref="AD703">IFERROR(IF(AC703&lt;0,0,AC703/($R$672-INDEX(hd_off,MATCH(AQ703,hd_mark,0),0)/12)),0)</f>
        <v>0</v>
      </c>
      <c r="AE703">
        <f>IF(S703=0,0,$AD$672*$AM$663)</f>
        <v>0</v>
      </c>
      <c r="AF703">
        <f>IFERROR(AE703/$R$672,0)</f>
        <v>0</v>
      </c>
      <c r="AG703">
        <f>AE703*($F$23+IF($F$23=0,0,($C$14+$C$15+IF($C$13="single",1.5,3)+3)/12))</f>
        <v>0</v>
      </c>
      <c r="AH703">
        <f>AG703-X703</f>
        <v>0</v>
      </c>
      <c r="AI703" cm="1">
        <f t="array" ref="AI703">IFERROR(IF(AH703&lt;0,0,AH703/($R$672-INDEX(hd_off,MATCH(AQ703,hd_mark,0),0)/12)),0)</f>
        <v>0</v>
      </c>
      <c r="AJ703">
        <f>MAX($F$23,$AA$672)/$Q$692</f>
        <v>0</v>
      </c>
      <c r="AK703">
        <f t="shared" si="445"/>
        <v>0</v>
      </c>
      <c r="AL703" cm="1">
        <f t="array" ref="AL703">IFERROR(INDEX(sheath_ecap_asd,MATCH(AP703,sheath_mark,0),0)*AK703,0)</f>
        <v>0</v>
      </c>
      <c r="AM703" cm="1">
        <f t="array" ref="AM703">IFERROR(INDEX(sheath_wcap_asd,MATCH(AP703,sheath_mark,0),0)*AK703,0)</f>
        <v>0</v>
      </c>
      <c r="AN703" cm="1">
        <f t="array" ref="AN703">IFERROR(INDEX(hd_cap,MATCH(AQ703,hd_mark,0),0),0)</f>
        <v>0</v>
      </c>
      <c r="AP703" s="19"/>
      <c r="AQ703" s="19"/>
      <c r="AR703" s="100"/>
      <c r="AS703" s="93"/>
      <c r="AT703" s="109" t="s">
        <v>491</v>
      </c>
      <c r="AU703" t="str">
        <f>$Q$663</f>
        <v>L4</v>
      </c>
      <c r="AV703">
        <f>$E$23</f>
        <v>0</v>
      </c>
      <c r="AW703" cm="1">
        <f t="array" ref="AW703">IFERROR(IF(AV703=0,0,(INDEX($C$33:$C$38,MATCH($AZ$672,$B$33:$B$38,0),0)*(AV705+$BA$672)+$AW$672*COUNTIF(AV703:AV704,"&gt;0")*$C$32+$AY$672*$C$31)*$AU$672),0)</f>
        <v>0</v>
      </c>
      <c r="AX703">
        <f>IF(AV703=0,0,-(COUNTIF(AV703:AV704,"&gt;0")*$AW$672*$C$32+$AY$672*$C$31)*$H$27*$AU$672)</f>
        <v>0</v>
      </c>
      <c r="AY703">
        <f>IF(AV703=0,0,$AY$672*$H$26*$AU$672)</f>
        <v>0</v>
      </c>
      <c r="AZ703">
        <f>(0.6*AW703+0.7*AX703)*$AU$672/2</f>
        <v>0</v>
      </c>
      <c r="BA703">
        <f>AW703*$AU$672/2</f>
        <v>0</v>
      </c>
      <c r="BC703">
        <f>IF(AV703=0,0,$BG$672*$AP$663)</f>
        <v>0</v>
      </c>
      <c r="BD703">
        <f>IFERROR(BC703/$AU$672,0)</f>
        <v>0</v>
      </c>
      <c r="BE703">
        <f>BC703*($F$23+IF($F$23=0,0,($C$14+$C$15+IF($C$13="single",1.5,3)+3)/12))</f>
        <v>0</v>
      </c>
      <c r="BF703">
        <f>BE703-AZ703</f>
        <v>0</v>
      </c>
      <c r="BG703" cm="1">
        <f t="array" ref="BG703">IFERROR(IF(BF703&lt;0,0,BF703/($AU$672-INDEX(hd_off,MATCH(BT703,hd_mark,0),0)/12)),0)</f>
        <v>0</v>
      </c>
      <c r="BH703">
        <f>IF(AV703=0,0,$BG$672*$AM$663)</f>
        <v>0</v>
      </c>
      <c r="BI703">
        <f>IFERROR(BH703/$AU$672,0)</f>
        <v>0</v>
      </c>
      <c r="BJ703">
        <f>BH703*($F$23+IF($F$23=0,0,($C$14+$C$15+IF($C$13="single",1.5,3)+3)/12))</f>
        <v>0</v>
      </c>
      <c r="BK703">
        <f>BJ703-BA703</f>
        <v>0</v>
      </c>
      <c r="BL703" cm="1">
        <f t="array" ref="BL703">IFERROR(IF(BK703&lt;0,0,BK703/($AU$672-INDEX(hd_off,MATCH(BT703,hd_mark,0),0)/12)),0)</f>
        <v>0</v>
      </c>
      <c r="BM703">
        <f>MAX($F$23,$BD$672)/$Q$692</f>
        <v>0</v>
      </c>
      <c r="BN703">
        <f t="shared" si="446"/>
        <v>0</v>
      </c>
      <c r="BO703" cm="1">
        <f t="array" ref="BO703">IFERROR(INDEX(sheath_ecap_asd,MATCH(BS703,sheath_mark,0),0)*BN703,0)</f>
        <v>0</v>
      </c>
      <c r="BP703" cm="1">
        <f t="array" ref="BP703">IFERROR(INDEX(sheath_wcap_asd,MATCH(BS703,sheath_mark,0),0)*BN703,0)</f>
        <v>0</v>
      </c>
      <c r="BQ703" cm="1">
        <f t="array" ref="BQ703">IFERROR(INDEX(hd_cap,MATCH(BT703,hd_mark,0),0),0)</f>
        <v>0</v>
      </c>
      <c r="BS703" s="19"/>
      <c r="BT703" s="19"/>
      <c r="BU703" s="100"/>
    </row>
    <row r="704" x14ac:dyDescent="0.25">
      <c r="B704" t="s">
        <v>470</v>
      </c>
      <c r="C704" s="19"/>
      <c r="D704" s="19"/>
      <c r="E704">
        <f t="shared" si="438"/>
        <v>0</v>
      </c>
      <c r="H704">
        <v>23</v>
      </c>
      <c r="I704" s="19"/>
      <c r="J704" s="19"/>
      <c r="K704">
        <f t="shared" si="439"/>
        <v>0</v>
      </c>
      <c r="P704" s="93"/>
      <c r="Q704" s="111">
        <f>$R$672</f>
        <v>0</v>
      </c>
      <c r="R704" t="str">
        <f>$Q$664</f>
        <v>L5</v>
      </c>
      <c r="S704">
        <f>$E$24</f>
        <v>0</v>
      </c>
      <c r="T704" cm="1">
        <f t="array" ref="T704">IFERROR(IF(S704=0,0,(INDEX($C$33:$C$38,MATCH($W$672,$B$33:$B$38,0),0)*(S705+$X$672)+$T$672*COUNTIF(S704:S704,"&gt;0")*$C$32+$V$672*$C$31)*$R$672),0)</f>
        <v>0</v>
      </c>
      <c r="U704">
        <f>IF(S704=0,0,-(COUNTIF(S704:S704,"&gt;0")*$T$672*$C$32+$V$672*$C$31)*$H$27*$R$672)</f>
        <v>0</v>
      </c>
      <c r="V704">
        <f>IF(S704=0,0,$V$672*$H$26*$R$672)</f>
        <v>0</v>
      </c>
      <c r="W704">
        <f>(0.6*T704+0.7*U704)*$R$672/2</f>
        <v>0</v>
      </c>
      <c r="X704">
        <f>T704*$R$672/2</f>
        <v>0</v>
      </c>
      <c r="Z704">
        <f>IF(S704=0,0,$AD$672*$AP$664)</f>
        <v>0</v>
      </c>
      <c r="AA704">
        <f>IFERROR(Z704/$R$672,0)</f>
        <v>0</v>
      </c>
      <c r="AB704">
        <f>Z704*($F$24+IF($F$24=0,0,($C$14+$C$15+IF($C$13="single",1.5,3)+3)/12))</f>
        <v>0</v>
      </c>
      <c r="AC704">
        <f>AB704-W704</f>
        <v>0</v>
      </c>
      <c r="AD704" cm="1">
        <f t="array" ref="AD704">IFERROR(IF(AC704&lt;0,0,AC704/($R$672-INDEX(hd_off,MATCH(AQ704,hd_mark,0),0)/12)),0)</f>
        <v>0</v>
      </c>
      <c r="AE704">
        <f>IF(S704=0,0,$AD$672*$AM$664)</f>
        <v>0</v>
      </c>
      <c r="AF704">
        <f>IFERROR(AE704/$R$672,0)</f>
        <v>0</v>
      </c>
      <c r="AG704">
        <f>AE704*($F$24+IF($F$24=0,0,($C$14+$C$15+IF($C$13="single",1.5,3)+3)/12))</f>
        <v>0</v>
      </c>
      <c r="AH704">
        <f>AG704-X704</f>
        <v>0</v>
      </c>
      <c r="AI704" cm="1">
        <f t="array" ref="AI704">IFERROR(IF(AH704&lt;0,0,AH704/($R$672-INDEX(hd_off,MATCH(AQ704,hd_mark,0),0)/12)),0)</f>
        <v>0</v>
      </c>
      <c r="AJ704">
        <f>MAX($F$24,$AB$672)/$Q$692</f>
        <v>0</v>
      </c>
      <c r="AK704">
        <f t="shared" si="445"/>
        <v>0</v>
      </c>
      <c r="AL704" cm="1">
        <f t="array" ref="AL704">IFERROR(INDEX(sheath_ecap_asd,MATCH(AP704,sheath_mark,0),0)*AK704,0)</f>
        <v>0</v>
      </c>
      <c r="AM704" cm="1">
        <f t="array" ref="AM704">IFERROR(INDEX(sheath_wcap_asd,MATCH(AP704,sheath_mark,0),0)*AK704,0)</f>
        <v>0</v>
      </c>
      <c r="AN704" cm="1">
        <f t="array" ref="AN704">IFERROR(INDEX(hd_cap,MATCH(AQ704,hd_mark,0),0),0)</f>
        <v>0</v>
      </c>
      <c r="AP704" s="19"/>
      <c r="AQ704" s="19"/>
      <c r="AR704" s="100"/>
      <c r="AS704" s="93"/>
      <c r="AT704" s="111">
        <f>$R$672</f>
        <v>0</v>
      </c>
      <c r="AU704" t="str">
        <f>$Q$664</f>
        <v>L5</v>
      </c>
      <c r="AV704">
        <f>$E$24</f>
        <v>0</v>
      </c>
      <c r="AW704" cm="1">
        <f t="array" ref="AW704">IFERROR(IF(AV704=0,0,(INDEX($C$33:$C$38,MATCH($AZ$672,$B$33:$B$38,0),0)*(AV705+$BA$672)+$AW$672*COUNTIF(AV704:AV704,"&gt;0")*$C$32+$AY$672*$C$31)*$AU$672),0)</f>
        <v>0</v>
      </c>
      <c r="AX704">
        <f>IF(AV704=0,0,-(COUNTIF(AV704:AV704,"&gt;0")*$AW$672*$C$32+$AY$672*$C$31)*$H$27*$AU$672)</f>
        <v>0</v>
      </c>
      <c r="AY704">
        <f>IF(AV704=0,0,$AY$672*$H$26*$AU$672)</f>
        <v>0</v>
      </c>
      <c r="AZ704">
        <f>(0.6*AW704+0.7*AX704)*$AU$672/2</f>
        <v>0</v>
      </c>
      <c r="BA704">
        <f>AW704*$AU$672/2</f>
        <v>0</v>
      </c>
      <c r="BC704">
        <f>IF(AV704=0,0,$BG$672*$AP$664)</f>
        <v>0</v>
      </c>
      <c r="BD704">
        <f>IFERROR(BC704/$AU$672,0)</f>
        <v>0</v>
      </c>
      <c r="BE704">
        <f>BC704*($F$24+IF($F$24=0,0,($C$14+$C$15+IF($C$13="single",1.5,3)+3)/12))</f>
        <v>0</v>
      </c>
      <c r="BF704">
        <f>BE704-AZ704</f>
        <v>0</v>
      </c>
      <c r="BG704" cm="1">
        <f t="array" ref="BG704">IFERROR(IF(BF704&lt;0,0,BF704/($AU$672-INDEX(hd_off,MATCH(BT704,hd_mark,0),0)/12)),0)</f>
        <v>0</v>
      </c>
      <c r="BH704">
        <f>IF(AV704=0,0,$BG$672*$AM$664)</f>
        <v>0</v>
      </c>
      <c r="BI704">
        <f>IFERROR(BH704/$AU$672,0)</f>
        <v>0</v>
      </c>
      <c r="BJ704">
        <f>BH704*($F$24+IF($F$24=0,0,($C$14+$C$15+IF($C$13="single",1.5,3)+3)/12))</f>
        <v>0</v>
      </c>
      <c r="BK704">
        <f>BJ704-BA704</f>
        <v>0</v>
      </c>
      <c r="BL704" cm="1">
        <f t="array" ref="BL704">IFERROR(IF(BK704&lt;0,0,BK704/($AU$672-INDEX(hd_off,MATCH(BT704,hd_mark,0),0)/12)),0)</f>
        <v>0</v>
      </c>
      <c r="BM704">
        <f>MAX($F$24,$BE$672)/$Q$692</f>
        <v>0</v>
      </c>
      <c r="BN704">
        <f t="shared" si="446"/>
        <v>0</v>
      </c>
      <c r="BO704" cm="1">
        <f t="array" ref="BO704">IFERROR(INDEX(sheath_ecap_asd,MATCH(BS704,sheath_mark,0),0)*BN704,0)</f>
        <v>0</v>
      </c>
      <c r="BP704" cm="1">
        <f t="array" ref="BP704">IFERROR(INDEX(sheath_wcap_asd,MATCH(BS704,sheath_mark,0),0)*BN704,0)</f>
        <v>0</v>
      </c>
      <c r="BQ704" cm="1">
        <f t="array" ref="BQ704">IFERROR(INDEX(hd_cap,MATCH(BT704,hd_mark,0),0),0)</f>
        <v>0</v>
      </c>
      <c r="BS704" s="19"/>
      <c r="BT704" s="19"/>
      <c r="BU704" s="100"/>
    </row>
    <row r="705" x14ac:dyDescent="0.25">
      <c r="B705" t="s">
        <v>471</v>
      </c>
      <c r="C705" s="19"/>
      <c r="D705" s="19"/>
      <c r="E705">
        <f t="shared" si="438"/>
        <v>0</v>
      </c>
      <c r="H705">
        <v>24</v>
      </c>
      <c r="I705" s="19"/>
      <c r="J705" s="19"/>
      <c r="K705">
        <f t="shared" si="439"/>
        <v>0</v>
      </c>
      <c r="P705" s="93"/>
      <c r="Q705" s="109"/>
      <c r="R705" t="str">
        <f>$Q$665</f>
        <v>Roof</v>
      </c>
      <c r="S705">
        <f>$E$25</f>
        <v>33.171875</v>
      </c>
      <c r="T705" cm="1">
        <f t="array" ref="T705">IFERROR(IF(S705=0,0,(INDEX($C$33:$C$38,MATCH($W$672,$B$33:$B$38,0),0)*(S705+$X$672)+$V$672*$C$31)*$R$672),0)</f>
        <v>0</v>
      </c>
      <c r="U705">
        <f>IF(S705=0,0,-$V$672*$C$31*$H$27*$R$672)</f>
        <v>0</v>
      </c>
      <c r="V705">
        <f>IF(S705=0,0,$V$672*$H$26*$R$672)</f>
        <v>0</v>
      </c>
      <c r="W705">
        <f>(0.6*T705+0.7*U705)*$R$672/2</f>
        <v>0</v>
      </c>
      <c r="X705">
        <f>T705*$R$672/2</f>
        <v>0</v>
      </c>
      <c r="Z705">
        <f>IF(S705=0,0,$AD$672*$AP$665)</f>
        <v>0</v>
      </c>
      <c r="AA705">
        <f>IFERROR(Z705/$R$672,0)</f>
        <v>0</v>
      </c>
      <c r="AB705">
        <f>Z705*($F$25+($C$16+$C$17+IF($C$13="single",1.5,3)+3)/12)</f>
        <v>0</v>
      </c>
      <c r="AC705">
        <f>AB705-W705</f>
        <v>0</v>
      </c>
      <c r="AD705" cm="1">
        <f t="array" ref="AD705">IFERROR(IF(AC705&lt;0,0,AC705/($R$672-INDEX(hd_off,MATCH(AQ705,hd_mark,0),0)/12)),0)</f>
        <v>0</v>
      </c>
      <c r="AE705">
        <f>IF(S705=0,0,$AD$672*$AM$665)</f>
        <v>0</v>
      </c>
      <c r="AF705">
        <f>IFERROR(AE705/$R$672,0)</f>
        <v>0</v>
      </c>
      <c r="AG705">
        <f>AE705*($F$25+($C$16+$C$17+IF($C$13="single",1.5,3)+3)/12)</f>
        <v>0</v>
      </c>
      <c r="AH705">
        <f>AG705-X705</f>
        <v>0</v>
      </c>
      <c r="AI705" cm="1">
        <f t="array" ref="AI705">IFERROR(IF(AH705&lt;0,0,AH705/($R$672-INDEX(hd_off,MATCH(AQ705,hd_mark,0),0)/12)),0)</f>
        <v>0</v>
      </c>
      <c r="AJ705">
        <f>MAX($F$25,$AC$672)/$Q$692</f>
        <v>0.29920977011494249</v>
      </c>
      <c r="AK705">
        <f t="shared" si="445"/>
        <v>1</v>
      </c>
      <c r="AL705" cm="1">
        <f t="array" ref="AL705">IFERROR(INDEX(sheath_ecap_asd,MATCH(AP705,sheath_mark,0),0)*AK705,0)</f>
        <v>0</v>
      </c>
      <c r="AM705" cm="1">
        <f t="array" ref="AM705">IFERROR(INDEX(sheath_wcap_asd,MATCH(AP705,sheath_mark,0),0)*AK705,0)</f>
        <v>0</v>
      </c>
      <c r="AN705" cm="1">
        <f t="array" ref="AN705">IFERROR(INDEX(hd_cap,MATCH(AQ705,hd_mark,0),0),0)</f>
        <v>0</v>
      </c>
      <c r="AP705" s="19"/>
      <c r="AQ705" s="19"/>
      <c r="AR705" s="100"/>
      <c r="AS705" s="93"/>
      <c r="AT705" s="109"/>
      <c r="AU705" t="str">
        <f>$Q$665</f>
        <v>Roof</v>
      </c>
      <c r="AV705">
        <f>$E$25</f>
        <v>33.171875</v>
      </c>
      <c r="AW705" cm="1">
        <f t="array" ref="AW705">IFERROR(IF(AV705=0,0,(INDEX($C$33:$C$38,MATCH($AZ$672,$B$33:$B$38,0),0)*(AV705+$BA$672)+$AY$672*$C$31)*$AU$672),0)</f>
        <v>0</v>
      </c>
      <c r="AX705">
        <f>IF(AV705=0,0,-$AY$672*$C$31*$H$27*$AU$672)</f>
        <v>0</v>
      </c>
      <c r="AY705">
        <f>IF(AV705=0,0,$AY$672*$H$26*$AU$672)</f>
        <v>0</v>
      </c>
      <c r="AZ705">
        <f>(0.6*AW705+0.7*AX705)*$AU$672/2</f>
        <v>0</v>
      </c>
      <c r="BA705">
        <f>AW705*$AU$672/2</f>
        <v>0</v>
      </c>
      <c r="BC705">
        <f>IF(AV705=0,0,$BG$672*$AP$665)</f>
        <v>0</v>
      </c>
      <c r="BD705">
        <f>IFERROR(BC705/$AU$672,0)</f>
        <v>0</v>
      </c>
      <c r="BE705">
        <f>BC705*($F$25+($C$16+$C$17+IF($C$13="single",1.5,3)+3)/12)</f>
        <v>0</v>
      </c>
      <c r="BF705">
        <f>BE705-AZ705</f>
        <v>0</v>
      </c>
      <c r="BG705" cm="1">
        <f t="array" ref="BG705">IFERROR(IF(BF705&lt;0,0,BF705/($AU$672-INDEX(hd_off,MATCH(BT705,hd_mark,0),0)/12)),0)</f>
        <v>0</v>
      </c>
      <c r="BH705">
        <f>IF(AV705=0,0,$BG$672*$AM$665)</f>
        <v>0</v>
      </c>
      <c r="BI705">
        <f>IFERROR(BH705/$AU$672,0)</f>
        <v>0</v>
      </c>
      <c r="BJ705">
        <f>BH705*($F$25+($C$16+$C$17+IF($C$13="single",1.5,3)+3)/12)</f>
        <v>0</v>
      </c>
      <c r="BK705">
        <f>BJ705-BA705</f>
        <v>0</v>
      </c>
      <c r="BL705" cm="1">
        <f t="array" ref="BL705">IFERROR(IF(BK705&lt;0,0,BK705/($AU$672-INDEX(hd_off,MATCH(BT705,hd_mark,0),0)/12)),0)</f>
        <v>0</v>
      </c>
      <c r="BM705">
        <f>MAX($F$25,$BF$672)/$Q$692</f>
        <v>0.29920977011494249</v>
      </c>
      <c r="BN705">
        <f t="shared" si="446"/>
        <v>1</v>
      </c>
      <c r="BO705" cm="1">
        <f t="array" ref="BO705">IFERROR(INDEX(sheath_ecap_asd,MATCH(BS705,sheath_mark,0),0)*BN705,0)</f>
        <v>0</v>
      </c>
      <c r="BP705" cm="1">
        <f t="array" ref="BP705">IFERROR(INDEX(sheath_wcap_asd,MATCH(BS705,sheath_mark,0),0)*BN705,0)</f>
        <v>0</v>
      </c>
      <c r="BQ705" cm="1">
        <f t="array" ref="BQ705">IFERROR(INDEX(hd_cap,MATCH(BT705,hd_mark,0),0),0)</f>
        <v>0</v>
      </c>
      <c r="BS705" s="19"/>
      <c r="BT705" s="19"/>
      <c r="BU705" s="100"/>
    </row>
    <row r="706" x14ac:dyDescent="0.25">
      <c r="B706" t="s">
        <v>472</v>
      </c>
      <c r="C706" s="19"/>
      <c r="D706" s="19"/>
      <c r="E706">
        <f t="shared" si="438"/>
        <v>0</v>
      </c>
      <c r="H706">
        <v>25</v>
      </c>
      <c r="I706" s="19"/>
      <c r="J706" s="19"/>
      <c r="K706">
        <f t="shared" si="439"/>
        <v>0</v>
      </c>
      <c r="P706" s="93"/>
      <c r="AR706" s="100"/>
      <c r="AS706" s="93"/>
      <c r="BU706" s="100"/>
    </row>
    <row r="707" x14ac:dyDescent="0.25">
      <c r="B707" t="s">
        <v>473</v>
      </c>
      <c r="C707" s="19"/>
      <c r="D707" s="19"/>
      <c r="E707">
        <f t="shared" si="438"/>
        <v>0</v>
      </c>
      <c r="H707">
        <v>26</v>
      </c>
      <c r="I707" s="19"/>
      <c r="J707" s="19"/>
      <c r="K707">
        <f t="shared" si="439"/>
        <v>0</v>
      </c>
      <c r="P707" s="93"/>
      <c r="Q707" s="110" t="str">
        <f>$Q$673</f>
        <v>A.04</v>
      </c>
      <c r="R707" t="str">
        <f>$Q$661</f>
        <v>L2</v>
      </c>
      <c r="S707">
        <f>$E$21</f>
        <v>10.6875</v>
      </c>
      <c r="T707" cm="1">
        <f t="array" ref="T707">IFERROR(IF(S707=0,0,(INDEX($C$33:$C$38,MATCH($W$673,$B$33:$B$38,0),0)*(S711+$X$673)+$T$673*COUNTIF(S707:S710,"&gt;0")*$C$32+$V$673*$C$31)*$R$673),0)</f>
        <v>0</v>
      </c>
      <c r="U707">
        <f>IF(S707=0,0,-(COUNTIF(S707:S710,"&gt;0")*$T$673*$C$32+$V$673*$C$31)*$H$27*$R$673)</f>
        <v>0</v>
      </c>
      <c r="V707">
        <f>IF(S707=0,0,$V$673*$H$26*$R$673)</f>
        <v>0</v>
      </c>
      <c r="W707">
        <f>(0.6*T707+0.7*U707)*$R$673/2</f>
        <v>0</v>
      </c>
      <c r="X707">
        <f>(0.6*T707+0.6*V707)*$R$673/2</f>
        <v>0</v>
      </c>
      <c r="Z707">
        <f>IF(S707=0,0,$AD$673*$AP$661)</f>
        <v>0</v>
      </c>
      <c r="AA707">
        <f>IFERROR(Z707/$R$673,0)</f>
        <v>0</v>
      </c>
      <c r="AB707">
        <f>Z707*($F$21+IF($F$21=0,0,($C$14+$C$15+IF($C$13="single",1.5,3)+3)/12))</f>
        <v>0</v>
      </c>
      <c r="AC707">
        <f>AB707-W707</f>
        <v>0</v>
      </c>
      <c r="AD707" cm="1">
        <f t="array" ref="AD707">IFERROR(IF(AC707&lt;0,0,AC707/($R$673-INDEX(hd_off,MATCH(AQ707,hd_mark,0),0)/12)),0)</f>
        <v>0</v>
      </c>
      <c r="AE707">
        <f>IF(S707=0,0,$AD$673*$AM$661)</f>
        <v>0</v>
      </c>
      <c r="AF707">
        <f>IFERROR(AE707/$R$673,0)</f>
        <v>0</v>
      </c>
      <c r="AG707">
        <f>AE707*($F$21+IF($F$21=0,0,($C$14+$C$15+IF($C$13="single",1.5,3)+3)/12))</f>
        <v>0</v>
      </c>
      <c r="AH707">
        <f>AG707-X707</f>
        <v>0</v>
      </c>
      <c r="AI707" cm="1">
        <f t="array" ref="AI707">IFERROR(IF(AH707&lt;0,0,AH707/($R$673-INDEX(hd_off,MATCH(AQ707,hd_mark,0),0)/12)),0)</f>
        <v>0</v>
      </c>
      <c r="AJ707">
        <f>MAX($F$21,$Y$673)/$Q$692</f>
        <v>0.30172413793103448</v>
      </c>
      <c r="AK707">
        <f>IF(AJ707=0,0,IF(AJ707&gt;2,1.25-0.125*AJ707,1))</f>
        <v>1</v>
      </c>
      <c r="AL707" cm="1">
        <f t="array" ref="AL707">IFERROR(INDEX(sheath_ecap_asd,MATCH(AP707,sheath_mark,0),0)*AK707,0)</f>
        <v>0</v>
      </c>
      <c r="AM707" cm="1">
        <f t="array" ref="AM707">IFERROR(INDEX(sheath_wcap_asd,MATCH(AP707,sheath_mark,0),0)*AK707,0)</f>
        <v>0</v>
      </c>
      <c r="AN707" cm="1">
        <f t="array" ref="AN707">IFERROR(INDEX(hd_cap,MATCH(AQ707,hd_mark,0),0),0)</f>
        <v>0</v>
      </c>
      <c r="AP707" s="19"/>
      <c r="AQ707" s="19"/>
      <c r="AR707" s="100"/>
      <c r="AS707" s="93"/>
      <c r="AT707" s="110" t="str">
        <f>$AT$673</f>
        <v>1.04</v>
      </c>
      <c r="AU707" t="str">
        <f>$Q$661</f>
        <v>L2</v>
      </c>
      <c r="AV707">
        <f>$E$21</f>
        <v>10.6875</v>
      </c>
      <c r="AW707" cm="1">
        <f t="array" ref="AW707">IFERROR(IF(AV707=0,0,(INDEX($C$33:$C$38,MATCH($AZ$673,$B$33:$B$38,0),0)*(AV711+$BA$673)+$AW$673*COUNTIF(AV707:AV710,"&gt;0")*$C$32+$AY$673*$C$31)*$AU$673),0)</f>
        <v>0</v>
      </c>
      <c r="AX707">
        <f>IF(AV707=0,0,-(COUNTIF(AV707:AV710,"&gt;0")*$AW$673*$C$32+$AY$673*$C$31)*$H$27*$AU$673)</f>
        <v>0</v>
      </c>
      <c r="AY707">
        <f>IF(AV707=0,0,$AY$673*$H$26*$AU$673)</f>
        <v>0</v>
      </c>
      <c r="AZ707">
        <f>(0.6*AW707+0.7*AX707)*$AU$673/2</f>
        <v>0</v>
      </c>
      <c r="BA707">
        <f>(0.6*AW707+0.6*AY707)*$AU$673/2</f>
        <v>0</v>
      </c>
      <c r="BC707">
        <f>IF(AV707=0,0,$BG$673*$AP$661)</f>
        <v>0</v>
      </c>
      <c r="BD707">
        <f>IFERROR(BC707/$AU$673,0)</f>
        <v>0</v>
      </c>
      <c r="BE707">
        <f>BC707*($F$21+IF($F$21=0,0,($C$14+$C$15+IF($C$13="single",1.5,3)+3)/12))</f>
        <v>0</v>
      </c>
      <c r="BF707">
        <f>BE707-AZ707</f>
        <v>0</v>
      </c>
      <c r="BG707" cm="1">
        <f t="array" ref="BG707">IFERROR(IF(BF707&lt;0,0,BF707/($AU$673-INDEX(hd_off,MATCH(BT707,hd_mark,0),0)/12)),0)</f>
        <v>0</v>
      </c>
      <c r="BH707">
        <f>IF(AV707=0,0,$BG$673*$AM$661)</f>
        <v>0</v>
      </c>
      <c r="BI707">
        <f>IFERROR(BH707/$AU$673,0)</f>
        <v>0</v>
      </c>
      <c r="BJ707">
        <f>BH707*($F$21+IF($F$21=0,0,($C$14+$C$15+IF($C$13="single",1.5,3)+3)/12))</f>
        <v>0</v>
      </c>
      <c r="BK707">
        <f>BJ707-BA707</f>
        <v>0</v>
      </c>
      <c r="BL707" cm="1">
        <f t="array" ref="BL707">IFERROR(IF(BK707&lt;0,0,BK707/($AU$673-INDEX(hd_off,MATCH(BT707,hd_mark,0),0)/12)),0)</f>
        <v>0</v>
      </c>
      <c r="BM707">
        <f>MAX($F$21,$BB$673)/$Q$692</f>
        <v>0.30172413793103448</v>
      </c>
      <c r="BN707">
        <f>IF(BM707=0,0,IF(BM707&gt;2,1.25-0.125*BM707,1))</f>
        <v>1</v>
      </c>
      <c r="BO707" cm="1">
        <f t="array" ref="BO707">IFERROR(INDEX(sheath_ecap_asd,MATCH(BS707,sheath_mark,0),0)*BN707,0)</f>
        <v>0</v>
      </c>
      <c r="BP707" cm="1">
        <f t="array" ref="BP707">IFERROR(INDEX(sheath_wcap_asd,MATCH(BS707,sheath_mark,0),0)*BN707,0)</f>
        <v>0</v>
      </c>
      <c r="BQ707" cm="1">
        <f t="array" ref="BQ707">IFERROR(INDEX(hd_cap,MATCH(BT707,hd_mark,0),0),0)</f>
        <v>0</v>
      </c>
      <c r="BS707" s="19"/>
      <c r="BT707" s="19"/>
      <c r="BU707" s="100"/>
    </row>
    <row r="708" x14ac:dyDescent="0.25">
      <c r="P708" s="93"/>
      <c r="Q708" s="109"/>
      <c r="R708" t="str">
        <f>$Q$662</f>
        <v>L3</v>
      </c>
      <c r="S708">
        <f>$E$22</f>
        <v>21.375</v>
      </c>
      <c r="T708" cm="1">
        <f t="array" ref="T708">IFERROR(IF(S708=0,0,(INDEX($C$33:$C$38,MATCH($W$673,$B$33:$B$38,0),0)*(S711+$X$673)+$T$673*COUNTIF(S708:S710,"&gt;0")*$C$32+$V$673*$C$31)*$R$673),0)</f>
        <v>0</v>
      </c>
      <c r="U708">
        <f>IF(S708=0,0,-(COUNTIF(S708:S710,"&gt;0")*$T$673*$C$32+$V$673*$C$31)*$H$27*$R$673)</f>
        <v>0</v>
      </c>
      <c r="V708">
        <f>IF(S708=0,0,$V$673*$H$26*$R$673)</f>
        <v>0</v>
      </c>
      <c r="W708">
        <f>(0.6*T708+0.7*U708)*$R$673/2</f>
        <v>0</v>
      </c>
      <c r="X708">
        <f>T708*$R$673/2</f>
        <v>0</v>
      </c>
      <c r="Z708">
        <f>IF(S708=0,0,$AD$673*$AP$662)</f>
        <v>0</v>
      </c>
      <c r="AA708">
        <f>IFERROR(Z708/$R$673,0)</f>
        <v>0</v>
      </c>
      <c r="AB708">
        <f>Z708*($F$22+IF($F$22=0,0,($C$14+$C$15+IF($C$13="single",1.5,3)+3)/12))</f>
        <v>0</v>
      </c>
      <c r="AC708">
        <f>AB708-W708</f>
        <v>0</v>
      </c>
      <c r="AD708" cm="1">
        <f t="array" ref="AD708">IFERROR(IF(AC708&lt;0,0,AC708/($R$673-INDEX(hd_off,MATCH(AQ708,hd_mark,0),0)/12)),0)</f>
        <v>0</v>
      </c>
      <c r="AE708">
        <f>IF(S708=0,0,$AD$673*$AM$662)</f>
        <v>0</v>
      </c>
      <c r="AF708">
        <f>IFERROR(AE708/$R$673,0)</f>
        <v>0</v>
      </c>
      <c r="AG708">
        <f>AE708*($F$22+IF($F$22=0,0,($C$14+$C$15+IF($C$13="single",1.5,3)+3)/12))</f>
        <v>0</v>
      </c>
      <c r="AH708">
        <f>AG708-X708</f>
        <v>0</v>
      </c>
      <c r="AI708" cm="1">
        <f t="array" ref="AI708">IFERROR(IF(AH708&lt;0,0,AH708/($R$673-INDEX(hd_off,MATCH(AQ708,hd_mark,0),0)/12)),0)</f>
        <v>0</v>
      </c>
      <c r="AJ708">
        <f>MAX($F$22,$Z$673)/$Q$692</f>
        <v>0.30172413793103448</v>
      </c>
      <c r="AK708">
        <f t="shared" ref="AK708:AK711" si="447">IF(AJ708=0,0,IF(AJ708&gt;2,1.25-0.125*AJ708,1))</f>
        <v>1</v>
      </c>
      <c r="AL708" cm="1">
        <f t="array" ref="AL708">IFERROR(INDEX(sheath_ecap_asd,MATCH(AP708,sheath_mark,0),0)*AK708,0)</f>
        <v>0</v>
      </c>
      <c r="AM708" cm="1">
        <f t="array" ref="AM708">IFERROR(INDEX(sheath_wcap_asd,MATCH(AP708,sheath_mark,0),0)*AK708,0)</f>
        <v>0</v>
      </c>
      <c r="AN708" cm="1">
        <f t="array" ref="AN708">IFERROR(INDEX(hd_cap,MATCH(AQ708,hd_mark,0),0),0)</f>
        <v>0</v>
      </c>
      <c r="AP708" s="19"/>
      <c r="AQ708" s="19"/>
      <c r="AR708" s="100"/>
      <c r="AS708" s="93"/>
      <c r="AT708" s="109"/>
      <c r="AU708" t="str">
        <f>$Q$662</f>
        <v>L3</v>
      </c>
      <c r="AV708">
        <f>$E$22</f>
        <v>21.375</v>
      </c>
      <c r="AW708" cm="1">
        <f t="array" ref="AW708">IFERROR(IF(AV708=0,0,(INDEX($C$33:$C$38,MATCH($AZ$673,$B$33:$B$38,0),0)*(AV711+$BA$673)+$AW$673*COUNTIF(AV708:AV710,"&gt;0")*$C$32+$AY$673*$C$31)*$AU$673),0)</f>
        <v>0</v>
      </c>
      <c r="AX708">
        <f>IF(AV708=0,0,-(COUNTIF(AV708:AV710,"&gt;0")*$AW$673*$C$32+$AY$673*$C$31)*$H$27*$AU$673)</f>
        <v>0</v>
      </c>
      <c r="AY708">
        <f>IF(AV708=0,0,$AY$673*$H$26*$AU$673)</f>
        <v>0</v>
      </c>
      <c r="AZ708">
        <f>(0.6*AW708+0.7*AX708)*$AU$673/2</f>
        <v>0</v>
      </c>
      <c r="BA708">
        <f>AW708*$AU$673/2</f>
        <v>0</v>
      </c>
      <c r="BC708">
        <f>IF(AV708=0,0,$BG$673*$AP$662)</f>
        <v>0</v>
      </c>
      <c r="BD708">
        <f>IFERROR(BC708/$AU$673,0)</f>
        <v>0</v>
      </c>
      <c r="BE708">
        <f>BC708*($F$22+IF($F$22=0,0,($C$14+$C$15+IF($C$13="single",1.5,3)+3)/12))</f>
        <v>0</v>
      </c>
      <c r="BF708">
        <f>BE708-AZ708</f>
        <v>0</v>
      </c>
      <c r="BG708" cm="1">
        <f t="array" ref="BG708">IFERROR(IF(BF708&lt;0,0,BF708/($AU$673-INDEX(hd_off,MATCH(BT708,hd_mark,0),0)/12)),0)</f>
        <v>0</v>
      </c>
      <c r="BH708">
        <f>IF(AV708=0,0,$BG$673*$AM$662)</f>
        <v>0</v>
      </c>
      <c r="BI708">
        <f>IFERROR(BH708/$AU$673,0)</f>
        <v>0</v>
      </c>
      <c r="BJ708">
        <f>BH708*($F$22+IF($F$22=0,0,($C$14+$C$15+IF($C$13="single",1.5,3)+3)/12))</f>
        <v>0</v>
      </c>
      <c r="BK708">
        <f>BJ708-BA708</f>
        <v>0</v>
      </c>
      <c r="BL708" cm="1">
        <f t="array" ref="BL708">IFERROR(IF(BK708&lt;0,0,BK708/($AU$673-INDEX(hd_off,MATCH(BT708,hd_mark,0),0)/12)),0)</f>
        <v>0</v>
      </c>
      <c r="BM708">
        <f>MAX($F$22,$BC$673)/$Q$692</f>
        <v>0.30172413793103448</v>
      </c>
      <c r="BN708">
        <f t="shared" ref="BN708:BN711" si="448">IF(BM708=0,0,IF(BM708&gt;2,1.25-0.125*BM708,1))</f>
        <v>1</v>
      </c>
      <c r="BO708" cm="1">
        <f t="array" ref="BO708">IFERROR(INDEX(sheath_ecap_asd,MATCH(BS708,sheath_mark,0),0)*BN708,0)</f>
        <v>0</v>
      </c>
      <c r="BP708" cm="1">
        <f t="array" ref="BP708">IFERROR(INDEX(sheath_wcap_asd,MATCH(BS708,sheath_mark,0),0)*BN708,0)</f>
        <v>0</v>
      </c>
      <c r="BQ708" cm="1">
        <f t="array" ref="BQ708">IFERROR(INDEX(hd_cap,MATCH(BT708,hd_mark,0),0),0)</f>
        <v>0</v>
      </c>
      <c r="BS708" s="19"/>
      <c r="BT708" s="19"/>
      <c r="BU708" s="100"/>
    </row>
    <row r="709" x14ac:dyDescent="0.25">
      <c r="B709" s="1"/>
      <c r="P709" s="93"/>
      <c r="Q709" s="109" t="s">
        <v>491</v>
      </c>
      <c r="R709" t="str">
        <f>$Q$663</f>
        <v>L4</v>
      </c>
      <c r="S709">
        <f>$E$23</f>
        <v>0</v>
      </c>
      <c r="T709" cm="1">
        <f t="array" ref="T709">IFERROR(IF(S709=0,0,(INDEX($C$33:$C$38,MATCH($W$673,$B$33:$B$38,0),0)*(S711+$X$673)+$T$673*COUNTIF(S709:S710,"&gt;0")*$C$32+$V$673*$C$31)*$R$673),0)</f>
        <v>0</v>
      </c>
      <c r="U709">
        <f>IF(S709=0,0,-(COUNTIF(S709:S710,"&gt;0")*$T$673*$C$32+$V$673*$C$31)*$H$27*$R$673)</f>
        <v>0</v>
      </c>
      <c r="V709">
        <f>IF(S709=0,0,$V$673*$H$26*$R$673)</f>
        <v>0</v>
      </c>
      <c r="W709">
        <f>(0.6*T709+0.7*U709)*$R$673/2</f>
        <v>0</v>
      </c>
      <c r="X709">
        <f>T709*$R$673/2</f>
        <v>0</v>
      </c>
      <c r="Z709">
        <f>IF(S709=0,0,$AD$673*$AP$663)</f>
        <v>0</v>
      </c>
      <c r="AA709">
        <f>IFERROR(Z709/$R$673,0)</f>
        <v>0</v>
      </c>
      <c r="AB709">
        <f>Z709*($F$23+IF($F$23=0,0,($C$14+$C$15+IF($C$13="single",1.5,3)+3)/12))</f>
        <v>0</v>
      </c>
      <c r="AC709">
        <f>AB709-W709</f>
        <v>0</v>
      </c>
      <c r="AD709" cm="1">
        <f t="array" ref="AD709">IFERROR(IF(AC709&lt;0,0,AC709/($R$673-INDEX(hd_off,MATCH(AQ709,hd_mark,0),0)/12)),0)</f>
        <v>0</v>
      </c>
      <c r="AE709">
        <f>IF(S709=0,0,$AD$673*$AM$663)</f>
        <v>0</v>
      </c>
      <c r="AF709">
        <f>IFERROR(AE709/$R$673,0)</f>
        <v>0</v>
      </c>
      <c r="AG709">
        <f>AE709*($F$23+IF($F$23=0,0,($C$14+$C$15+IF($C$13="single",1.5,3)+3)/12))</f>
        <v>0</v>
      </c>
      <c r="AH709">
        <f>AG709-X709</f>
        <v>0</v>
      </c>
      <c r="AI709" cm="1">
        <f t="array" ref="AI709">IFERROR(IF(AH709&lt;0,0,AH709/($R$673-INDEX(hd_off,MATCH(AQ709,hd_mark,0),0)/12)),0)</f>
        <v>0</v>
      </c>
      <c r="AJ709">
        <f>MAX($F$23,$AA$673)/$Q$692</f>
        <v>0</v>
      </c>
      <c r="AK709">
        <f t="shared" si="447"/>
        <v>0</v>
      </c>
      <c r="AL709" cm="1">
        <f t="array" ref="AL709">IFERROR(INDEX(sheath_ecap_asd,MATCH(AP709,sheath_mark,0),0)*AK709,0)</f>
        <v>0</v>
      </c>
      <c r="AM709" cm="1">
        <f t="array" ref="AM709">IFERROR(INDEX(sheath_wcap_asd,MATCH(AP709,sheath_mark,0),0)*AK709,0)</f>
        <v>0</v>
      </c>
      <c r="AN709" cm="1">
        <f t="array" ref="AN709">IFERROR(INDEX(hd_cap,MATCH(AQ709,hd_mark,0),0),0)</f>
        <v>0</v>
      </c>
      <c r="AP709" s="19"/>
      <c r="AQ709" s="19"/>
      <c r="AR709" s="100"/>
      <c r="AS709" s="93"/>
      <c r="AT709" s="109" t="s">
        <v>491</v>
      </c>
      <c r="AU709" t="str">
        <f>$Q$663</f>
        <v>L4</v>
      </c>
      <c r="AV709">
        <f>$E$23</f>
        <v>0</v>
      </c>
      <c r="AW709" cm="1">
        <f t="array" ref="AW709">IFERROR(IF(AV709=0,0,(INDEX($C$33:$C$38,MATCH($AZ$673,$B$33:$B$38,0),0)*(AV711+$BA$673)+$AW$673*COUNTIF(AV709:AV710,"&gt;0")*$C$32+$AY$673*$C$31)*$AU$673),0)</f>
        <v>0</v>
      </c>
      <c r="AX709">
        <f>IF(AV709=0,0,-(COUNTIF(AV709:AV710,"&gt;0")*$AW$673*$C$32+$AY$673*$C$31)*$H$27*$AU$673)</f>
        <v>0</v>
      </c>
      <c r="AY709">
        <f>IF(AV709=0,0,$AY$673*$H$26*$AU$673)</f>
        <v>0</v>
      </c>
      <c r="AZ709">
        <f>(0.6*AW709+0.7*AX709)*$AU$673/2</f>
        <v>0</v>
      </c>
      <c r="BA709">
        <f>AW709*$AU$673/2</f>
        <v>0</v>
      </c>
      <c r="BC709">
        <f>IF(AV709=0,0,$BG$673*$AP$663)</f>
        <v>0</v>
      </c>
      <c r="BD709">
        <f>IFERROR(BC709/$AU$673,0)</f>
        <v>0</v>
      </c>
      <c r="BE709">
        <f>BC709*($F$23+IF($F$23=0,0,($C$14+$C$15+IF($C$13="single",1.5,3)+3)/12))</f>
        <v>0</v>
      </c>
      <c r="BF709">
        <f>BE709-AZ709</f>
        <v>0</v>
      </c>
      <c r="BG709" cm="1">
        <f t="array" ref="BG709">IFERROR(IF(BF709&lt;0,0,BF709/($AU$673-INDEX(hd_off,MATCH(BT709,hd_mark,0),0)/12)),0)</f>
        <v>0</v>
      </c>
      <c r="BH709">
        <f>IF(AV709=0,0,$BG$673*$AM$663)</f>
        <v>0</v>
      </c>
      <c r="BI709">
        <f>IFERROR(BH709/$AU$673,0)</f>
        <v>0</v>
      </c>
      <c r="BJ709">
        <f>BH709*($F$23+IF($F$23=0,0,($C$14+$C$15+IF($C$13="single",1.5,3)+3)/12))</f>
        <v>0</v>
      </c>
      <c r="BK709">
        <f>BJ709-BA709</f>
        <v>0</v>
      </c>
      <c r="BL709" cm="1">
        <f t="array" ref="BL709">IFERROR(IF(BK709&lt;0,0,BK709/($AU$673-INDEX(hd_off,MATCH(BT709,hd_mark,0),0)/12)),0)</f>
        <v>0</v>
      </c>
      <c r="BM709">
        <f>MAX($F$23,$BD$673)/$Q$692</f>
        <v>0</v>
      </c>
      <c r="BN709">
        <f t="shared" si="448"/>
        <v>0</v>
      </c>
      <c r="BO709" cm="1">
        <f t="array" ref="BO709">IFERROR(INDEX(sheath_ecap_asd,MATCH(BS709,sheath_mark,0),0)*BN709,0)</f>
        <v>0</v>
      </c>
      <c r="BP709" cm="1">
        <f t="array" ref="BP709">IFERROR(INDEX(sheath_wcap_asd,MATCH(BS709,sheath_mark,0),0)*BN709,0)</f>
        <v>0</v>
      </c>
      <c r="BQ709" cm="1">
        <f t="array" ref="BQ709">IFERROR(INDEX(hd_cap,MATCH(BT709,hd_mark,0),0),0)</f>
        <v>0</v>
      </c>
      <c r="BS709" s="19"/>
      <c r="BT709" s="19"/>
      <c r="BU709" s="100"/>
    </row>
    <row r="710" x14ac:dyDescent="0.25">
      <c r="P710" s="93"/>
      <c r="Q710" s="111">
        <f>$R$673</f>
        <v>0</v>
      </c>
      <c r="R710" t="str">
        <f>$Q$664</f>
        <v>L5</v>
      </c>
      <c r="S710">
        <f>$E$24</f>
        <v>0</v>
      </c>
      <c r="T710" cm="1">
        <f t="array" ref="T710">IFERROR(IF(S710=0,0,(INDEX($C$33:$C$38,MATCH($W$673,$B$33:$B$38,0),0)*(S711+$X$673)+$T$673*COUNTIF(S710:S710,"&gt;0")*$C$32+$V$673*$C$31)*$R$673),0)</f>
        <v>0</v>
      </c>
      <c r="U710">
        <f>IF(S710=0,0,-(COUNTIF(S710:S710,"&gt;0")*$T$673*$C$32+$V$673*$C$31)*$H$27*$R$673)</f>
        <v>0</v>
      </c>
      <c r="V710">
        <f>IF(S710=0,0,$V$673*$H$26*$R$673)</f>
        <v>0</v>
      </c>
      <c r="W710">
        <f>(0.6*T710+0.7*U710)*$R$673/2</f>
        <v>0</v>
      </c>
      <c r="X710">
        <f>T710*$R$673/2</f>
        <v>0</v>
      </c>
      <c r="Z710">
        <f>IF(S710=0,0,$AD$673*$AP$664)</f>
        <v>0</v>
      </c>
      <c r="AA710">
        <f>IFERROR(Z710/$R$673,0)</f>
        <v>0</v>
      </c>
      <c r="AB710">
        <f>Z710*($F$24+IF($F$24=0,0,($C$14+$C$15+IF($C$13="single",1.5,3)+3)/12))</f>
        <v>0</v>
      </c>
      <c r="AC710">
        <f>AB710-W710</f>
        <v>0</v>
      </c>
      <c r="AD710" cm="1">
        <f t="array" ref="AD710">IFERROR(IF(AC710&lt;0,0,AC710/($R$673-INDEX(hd_off,MATCH(AQ710,hd_mark,0),0)/12)),0)</f>
        <v>0</v>
      </c>
      <c r="AE710">
        <f>IF(S710=0,0,$AD$673*$AM$664)</f>
        <v>0</v>
      </c>
      <c r="AF710">
        <f>IFERROR(AE710/$R$673,0)</f>
        <v>0</v>
      </c>
      <c r="AG710">
        <f>AE710*($F$24+IF($F$24=0,0,($C$14+$C$15+IF($C$13="single",1.5,3)+3)/12))</f>
        <v>0</v>
      </c>
      <c r="AH710">
        <f>AG710-X710</f>
        <v>0</v>
      </c>
      <c r="AI710" cm="1">
        <f t="array" ref="AI710">IFERROR(IF(AH710&lt;0,0,AH710/($R$673-INDEX(hd_off,MATCH(AQ710,hd_mark,0),0)/12)),0)</f>
        <v>0</v>
      </c>
      <c r="AJ710">
        <f>MAX($F$24,$AB$673)/$Q$692</f>
        <v>0</v>
      </c>
      <c r="AK710">
        <f t="shared" si="447"/>
        <v>0</v>
      </c>
      <c r="AL710" cm="1">
        <f t="array" ref="AL710">IFERROR(INDEX(sheath_ecap_asd,MATCH(AP710,sheath_mark,0),0)*AK710,0)</f>
        <v>0</v>
      </c>
      <c r="AM710" cm="1">
        <f t="array" ref="AM710">IFERROR(INDEX(sheath_wcap_asd,MATCH(AP710,sheath_mark,0),0)*AK710,0)</f>
        <v>0</v>
      </c>
      <c r="AN710" cm="1">
        <f t="array" ref="AN710">IFERROR(INDEX(hd_cap,MATCH(AQ710,hd_mark,0),0),0)</f>
        <v>0</v>
      </c>
      <c r="AP710" s="19"/>
      <c r="AQ710" s="19"/>
      <c r="AR710" s="100"/>
      <c r="AS710" s="93"/>
      <c r="AT710" s="111">
        <f>$R$673</f>
        <v>0</v>
      </c>
      <c r="AU710" t="str">
        <f>$Q$664</f>
        <v>L5</v>
      </c>
      <c r="AV710">
        <f>$E$24</f>
        <v>0</v>
      </c>
      <c r="AW710" cm="1">
        <f t="array" ref="AW710">IFERROR(IF(AV710=0,0,(INDEX($C$33:$C$38,MATCH($AZ$673,$B$33:$B$38,0),0)*(AV711+$BA$673)+$AW$673*COUNTIF(AV710:AV710,"&gt;0")*$C$32+$AY$673*$C$31)*$AU$673),0)</f>
        <v>0</v>
      </c>
      <c r="AX710">
        <f>IF(AV710=0,0,-(COUNTIF(AV710:AV710,"&gt;0")*$AW$673*$C$32+$AY$673*$C$31)*$H$27*$AU$673)</f>
        <v>0</v>
      </c>
      <c r="AY710">
        <f>IF(AV710=0,0,$AY$673*$H$26*$AU$673)</f>
        <v>0</v>
      </c>
      <c r="AZ710">
        <f>(0.6*AW710+0.7*AX710)*$AU$673/2</f>
        <v>0</v>
      </c>
      <c r="BA710">
        <f>AW710*$AU$673/2</f>
        <v>0</v>
      </c>
      <c r="BC710">
        <f>IF(AV710=0,0,$BG$673*$AP$664)</f>
        <v>0</v>
      </c>
      <c r="BD710">
        <f>IFERROR(BC710/$AU$673,0)</f>
        <v>0</v>
      </c>
      <c r="BE710">
        <f>BC710*($F$24+IF($F$24=0,0,($C$14+$C$15+IF($C$13="single",1.5,3)+3)/12))</f>
        <v>0</v>
      </c>
      <c r="BF710">
        <f>BE710-AZ710</f>
        <v>0</v>
      </c>
      <c r="BG710" cm="1">
        <f t="array" ref="BG710">IFERROR(IF(BF710&lt;0,0,BF710/($AU$673-INDEX(hd_off,MATCH(BT710,hd_mark,0),0)/12)),0)</f>
        <v>0</v>
      </c>
      <c r="BH710">
        <f>IF(AV710=0,0,$BG$673*$AM$664)</f>
        <v>0</v>
      </c>
      <c r="BI710">
        <f>IFERROR(BH710/$AU$673,0)</f>
        <v>0</v>
      </c>
      <c r="BJ710">
        <f>BH710*($F$24+IF($F$24=0,0,($C$14+$C$15+IF($C$13="single",1.5,3)+3)/12))</f>
        <v>0</v>
      </c>
      <c r="BK710">
        <f>BJ710-BA710</f>
        <v>0</v>
      </c>
      <c r="BL710" cm="1">
        <f t="array" ref="BL710">IFERROR(IF(BK710&lt;0,0,BK710/($AU$673-INDEX(hd_off,MATCH(BT710,hd_mark,0),0)/12)),0)</f>
        <v>0</v>
      </c>
      <c r="BM710">
        <f>MAX($F$24,$BE$673)/$Q$692</f>
        <v>0</v>
      </c>
      <c r="BN710">
        <f t="shared" si="448"/>
        <v>0</v>
      </c>
      <c r="BO710" cm="1">
        <f t="array" ref="BO710">IFERROR(INDEX(sheath_ecap_asd,MATCH(BS710,sheath_mark,0),0)*BN710,0)</f>
        <v>0</v>
      </c>
      <c r="BP710" cm="1">
        <f t="array" ref="BP710">IFERROR(INDEX(sheath_wcap_asd,MATCH(BS710,sheath_mark,0),0)*BN710,0)</f>
        <v>0</v>
      </c>
      <c r="BQ710" cm="1">
        <f t="array" ref="BQ710">IFERROR(INDEX(hd_cap,MATCH(BT710,hd_mark,0),0),0)</f>
        <v>0</v>
      </c>
      <c r="BS710" s="19"/>
      <c r="BT710" s="19"/>
      <c r="BU710" s="100"/>
    </row>
    <row r="711" x14ac:dyDescent="0.25">
      <c r="P711" s="93"/>
      <c r="Q711" s="109"/>
      <c r="R711" t="str">
        <f>$Q$665</f>
        <v>Roof</v>
      </c>
      <c r="S711">
        <f>$E$25</f>
        <v>33.171875</v>
      </c>
      <c r="T711" cm="1">
        <f t="array" ref="T711">IFERROR(IF(S711=0,0,(INDEX($C$33:$C$38,MATCH($W$673,$B$33:$B$38,0),0)*(S711+$X$673)+$V$673*$C$31)*$R$673),0)</f>
        <v>0</v>
      </c>
      <c r="U711">
        <f>IF(S711=0,0,-$V$673*$C$31*$H$27*$R$673)</f>
        <v>0</v>
      </c>
      <c r="V711">
        <f>IF(S711=0,0,$V$673*$H$26*$R$673)</f>
        <v>0</v>
      </c>
      <c r="W711">
        <f>(0.6*T711+0.7*U711)*$R$673/2</f>
        <v>0</v>
      </c>
      <c r="X711">
        <f>T711*$R$673/2</f>
        <v>0</v>
      </c>
      <c r="Z711">
        <f>IF(S711=0,0,$AD$673*$AP$665)</f>
        <v>0</v>
      </c>
      <c r="AA711">
        <f>IFERROR(Z711/$R$673,0)</f>
        <v>0</v>
      </c>
      <c r="AB711">
        <f>Z711*($F$25+($C$16+$C$17+IF($C$13="single",1.5,3)+3)/12)</f>
        <v>0</v>
      </c>
      <c r="AC711">
        <f>AB711-W711</f>
        <v>0</v>
      </c>
      <c r="AD711" cm="1">
        <f t="array" ref="AD711">IFERROR(IF(AC711&lt;0,0,AC711/($R$673-INDEX(hd_off,MATCH(AQ711,hd_mark,0),0)/12)),0)</f>
        <v>0</v>
      </c>
      <c r="AE711">
        <f>IF(S711=0,0,$AD$673*$AM$665)</f>
        <v>0</v>
      </c>
      <c r="AF711">
        <f>IFERROR(AE711/$R$673,0)</f>
        <v>0</v>
      </c>
      <c r="AG711">
        <f>AE711*($F$25+($C$16+$C$17+IF($C$13="single",1.5,3)+3)/12)</f>
        <v>0</v>
      </c>
      <c r="AH711">
        <f>AG711-X711</f>
        <v>0</v>
      </c>
      <c r="AI711" cm="1">
        <f t="array" ref="AI711">IFERROR(IF(AH711&lt;0,0,AH711/($R$673-INDEX(hd_off,MATCH(AQ711,hd_mark,0),0)/12)),0)</f>
        <v>0</v>
      </c>
      <c r="AJ711">
        <f>MAX($F$25,$AC$673)/$Q$692</f>
        <v>0.29920977011494249</v>
      </c>
      <c r="AK711">
        <f t="shared" si="447"/>
        <v>1</v>
      </c>
      <c r="AL711" cm="1">
        <f t="array" ref="AL711">IFERROR(INDEX(sheath_ecap_asd,MATCH(AP711,sheath_mark,0),0)*AK711,0)</f>
        <v>0</v>
      </c>
      <c r="AM711" cm="1">
        <f t="array" ref="AM711">IFERROR(INDEX(sheath_wcap_asd,MATCH(AP711,sheath_mark,0),0)*AK711,0)</f>
        <v>0</v>
      </c>
      <c r="AN711" cm="1">
        <f t="array" ref="AN711">IFERROR(INDEX(hd_cap,MATCH(AQ711,hd_mark,0),0),0)</f>
        <v>0</v>
      </c>
      <c r="AP711" s="19"/>
      <c r="AQ711" s="19"/>
      <c r="AR711" s="100"/>
      <c r="AS711" s="93"/>
      <c r="AT711" s="109"/>
      <c r="AU711" t="str">
        <f>$Q$665</f>
        <v>Roof</v>
      </c>
      <c r="AV711">
        <f>$E$25</f>
        <v>33.171875</v>
      </c>
      <c r="AW711" cm="1">
        <f t="array" ref="AW711">IFERROR(IF(AV711=0,0,(INDEX($C$33:$C$38,MATCH($AZ$673,$B$33:$B$38,0),0)*(AV711+$BA$673)+$AY$673*$C$31)*$AU$673),0)</f>
        <v>0</v>
      </c>
      <c r="AX711">
        <f>IF(AV711=0,0,-$AY$673*$C$31*$H$27*$AU$673)</f>
        <v>0</v>
      </c>
      <c r="AY711">
        <f>IF(AV711=0,0,$AY$673*$H$26*$AU$673)</f>
        <v>0</v>
      </c>
      <c r="AZ711">
        <f>(0.6*AW711+0.7*AX711)*$AU$673/2</f>
        <v>0</v>
      </c>
      <c r="BA711">
        <f>AW711*$AU$673/2</f>
        <v>0</v>
      </c>
      <c r="BC711">
        <f>IF(AV711=0,0,$BG$673*$AP$665)</f>
        <v>0</v>
      </c>
      <c r="BD711">
        <f>IFERROR(BC711/$AU$673,0)</f>
        <v>0</v>
      </c>
      <c r="BE711">
        <f>BC711*($F$25+($C$16+$C$17+IF($C$13="single",1.5,3)+3)/12)</f>
        <v>0</v>
      </c>
      <c r="BF711">
        <f>BE711-AZ711</f>
        <v>0</v>
      </c>
      <c r="BG711" cm="1">
        <f t="array" ref="BG711">IFERROR(IF(BF711&lt;0,0,BF711/($AU$673-INDEX(hd_off,MATCH(BT711,hd_mark,0),0)/12)),0)</f>
        <v>0</v>
      </c>
      <c r="BH711">
        <f>IF(AV711=0,0,$BG$673*$AM$665)</f>
        <v>0</v>
      </c>
      <c r="BI711">
        <f>IFERROR(BH711/$AU$673,0)</f>
        <v>0</v>
      </c>
      <c r="BJ711">
        <f>BH711*($F$25+($C$16+$C$17+IF($C$13="single",1.5,3)+3)/12)</f>
        <v>0</v>
      </c>
      <c r="BK711">
        <f>BJ711-BA711</f>
        <v>0</v>
      </c>
      <c r="BL711" cm="1">
        <f t="array" ref="BL711">IFERROR(IF(BK711&lt;0,0,BK711/($AU$673-INDEX(hd_off,MATCH(BT711,hd_mark,0),0)/12)),0)</f>
        <v>0</v>
      </c>
      <c r="BM711">
        <f>MAX($F$25,$BF$673)/$Q$692</f>
        <v>0.29920977011494249</v>
      </c>
      <c r="BN711">
        <f t="shared" si="448"/>
        <v>1</v>
      </c>
      <c r="BO711" cm="1">
        <f t="array" ref="BO711">IFERROR(INDEX(sheath_ecap_asd,MATCH(BS711,sheath_mark,0),0)*BN711,0)</f>
        <v>0</v>
      </c>
      <c r="BP711" cm="1">
        <f t="array" ref="BP711">IFERROR(INDEX(sheath_wcap_asd,MATCH(BS711,sheath_mark,0),0)*BN711,0)</f>
        <v>0</v>
      </c>
      <c r="BQ711" cm="1">
        <f t="array" ref="BQ711">IFERROR(INDEX(hd_cap,MATCH(BT711,hd_mark,0),0),0)</f>
        <v>0</v>
      </c>
      <c r="BS711" s="19"/>
      <c r="BT711" s="19"/>
      <c r="BU711" s="100"/>
    </row>
    <row r="712" x14ac:dyDescent="0.25">
      <c r="P712" s="93"/>
      <c r="AR712" s="100"/>
      <c r="AS712" s="93"/>
      <c r="BU712" s="100"/>
    </row>
    <row r="713" x14ac:dyDescent="0.25">
      <c r="P713" s="93"/>
      <c r="Q713" s="110" t="str">
        <f>$Q$674</f>
        <v>A.05</v>
      </c>
      <c r="R713" t="str">
        <f>$Q$661</f>
        <v>L2</v>
      </c>
      <c r="S713">
        <f>$E$21</f>
        <v>10.6875</v>
      </c>
      <c r="T713" cm="1">
        <f t="array" ref="T713">IFERROR(IF(S713=0,0,(INDEX($C$33:$C$38,MATCH($W$674,$B$33:$B$38,0),0)*(S717+$X$674)+$T$674*COUNTIF(S713:S716,"&gt;0")*$C$32+$V$674*$C$31)*$R$674),0)</f>
        <v>0</v>
      </c>
      <c r="U713">
        <f>IF(S713=0,0,-(COUNTIF(S713:S716,"&gt;0")*$T$674*$C$32+$V$674*$C$31)*$H$27*$R$674)</f>
        <v>0</v>
      </c>
      <c r="V713">
        <f>IF(S713=0,0,$V$674*$H$26*$R$674)</f>
        <v>0</v>
      </c>
      <c r="W713">
        <f>(0.6*T713+0.7*U713)*$R$674/2</f>
        <v>0</v>
      </c>
      <c r="X713">
        <f>(0.6*T713+0.6*V713)*$R$674/2</f>
        <v>0</v>
      </c>
      <c r="Z713">
        <f>IF(S713=0,0,$AD$674*$AP$661)</f>
        <v>0</v>
      </c>
      <c r="AA713">
        <f>IFERROR(Z713/$R$674,0)</f>
        <v>0</v>
      </c>
      <c r="AB713">
        <f>Z713*($F$21+IF($F$21=0,0,($C$14+$C$15+IF($C$13="single",1.5,3)+3)/12))</f>
        <v>0</v>
      </c>
      <c r="AC713">
        <f>AB713-W713</f>
        <v>0</v>
      </c>
      <c r="AD713" cm="1">
        <f t="array" ref="AD713">IFERROR(IF(AC713&lt;0,0,AC713/($R$674-INDEX(hd_off,MATCH(AQ713,hd_mark,0),0)/12)),0)</f>
        <v>0</v>
      </c>
      <c r="AE713">
        <f>IF(S713=0,0,$AD$674*$AM$661)</f>
        <v>0</v>
      </c>
      <c r="AF713">
        <f>IFERROR(AE713/$R$674,0)</f>
        <v>0</v>
      </c>
      <c r="AG713">
        <f>AE713*($F$21+IF($F$21=0,0,($C$14+$C$15+IF($C$13="single",1.5,3)+3)/12))</f>
        <v>0</v>
      </c>
      <c r="AH713">
        <f>AG713-X713</f>
        <v>0</v>
      </c>
      <c r="AI713" cm="1">
        <f t="array" ref="AI713">IFERROR(IF(AH713&lt;0,0,AH713/($R$674-INDEX(hd_off,MATCH(AQ713,hd_mark,0),0)/12)),0)</f>
        <v>0</v>
      </c>
      <c r="AJ713">
        <f>MAX($F$21,$Y$674)/$Q$692</f>
        <v>0.30172413793103448</v>
      </c>
      <c r="AK713">
        <f>IF(AJ713=0,0,IF(AJ713&gt;2,1.25-0.125*AJ713,1))</f>
        <v>1</v>
      </c>
      <c r="AL713" cm="1">
        <f t="array" ref="AL713">IFERROR(INDEX(sheath_ecap_asd,MATCH(AP713,sheath_mark,0),0)*AK713,0)</f>
        <v>0</v>
      </c>
      <c r="AM713" cm="1">
        <f t="array" ref="AM713">IFERROR(INDEX(sheath_wcap_asd,MATCH(AP713,sheath_mark,0),0)*AK713,0)</f>
        <v>0</v>
      </c>
      <c r="AN713" cm="1">
        <f t="array" ref="AN713">IFERROR(INDEX(hd_cap,MATCH(AQ713,hd_mark,0),0),0)</f>
        <v>0</v>
      </c>
      <c r="AP713" s="19"/>
      <c r="AQ713" s="19"/>
      <c r="AR713" s="100"/>
      <c r="AS713" s="93"/>
      <c r="AT713" s="110" t="str">
        <f>$AT$674</f>
        <v>1.05</v>
      </c>
      <c r="AU713" t="str">
        <f>$Q$661</f>
        <v>L2</v>
      </c>
      <c r="AV713">
        <f>$E$21</f>
        <v>10.6875</v>
      </c>
      <c r="AW713" cm="1">
        <f t="array" ref="AW713">IFERROR(IF(AV713=0,0,(INDEX($C$33:$C$38,MATCH($AZ$674,$B$33:$B$38,0),0)*(AV717+$BA$674)+$AW$674*COUNTIF(AV713:AV716,"&gt;0")*$C$32+$AY$674*$C$31)*$AU$674),0)</f>
        <v>0</v>
      </c>
      <c r="AX713">
        <f>IF(AV713=0,0,-(COUNTIF(AV713:AV716,"&gt;0")*$AW$674*$C$32+$AY$674*$C$31)*$H$27*$AU$674)</f>
        <v>0</v>
      </c>
      <c r="AY713">
        <f>IF(AV713=0,0,$AY$674*$H$26*$AU$674)</f>
        <v>0</v>
      </c>
      <c r="AZ713">
        <f>(0.6*AW713+0.7*AX713)*$AU$674/2</f>
        <v>0</v>
      </c>
      <c r="BA713">
        <f>(0.6*AW713+0.6*AY713)*$AU$674/2</f>
        <v>0</v>
      </c>
      <c r="BC713">
        <f>IF(AV713=0,0,$BG$674*$AP$661)</f>
        <v>0</v>
      </c>
      <c r="BD713">
        <f>IFERROR(BC713/$AU$674,0)</f>
        <v>0</v>
      </c>
      <c r="BE713">
        <f>BC713*($F$21+IF($F$21=0,0,($C$14+$C$15+IF($C$13="single",1.5,3)+3)/12))</f>
        <v>0</v>
      </c>
      <c r="BF713">
        <f>BE713-AZ713</f>
        <v>0</v>
      </c>
      <c r="BG713" cm="1">
        <f t="array" ref="BG713">IFERROR(IF(BF713&lt;0,0,BF713/($AU$674-INDEX(hd_off,MATCH(BT713,hd_mark,0),0)/12)),0)</f>
        <v>0</v>
      </c>
      <c r="BH713">
        <f>IF(AV713=0,0,$BG$674*$AM$661)</f>
        <v>0</v>
      </c>
      <c r="BI713">
        <f>IFERROR(BH713/$AU$674,0)</f>
        <v>0</v>
      </c>
      <c r="BJ713">
        <f>BH713*($F$21+IF($F$21=0,0,($C$14+$C$15+IF($C$13="single",1.5,3)+3)/12))</f>
        <v>0</v>
      </c>
      <c r="BK713">
        <f>BJ713-BA713</f>
        <v>0</v>
      </c>
      <c r="BL713" cm="1">
        <f t="array" ref="BL713">IFERROR(IF(BK713&lt;0,0,BK713/($AU$674-INDEX(hd_off,MATCH(BT713,hd_mark,0),0)/12)),0)</f>
        <v>0</v>
      </c>
      <c r="BM713">
        <f>MAX($F$21,$BB$674)/$Q$692</f>
        <v>0.30172413793103448</v>
      </c>
      <c r="BN713">
        <f>IF(BM713=0,0,IF(BM713&gt;2,1.25-0.125*BM713,1))</f>
        <v>1</v>
      </c>
      <c r="BO713" cm="1">
        <f t="array" ref="BO713">IFERROR(INDEX(sheath_ecap_asd,MATCH(BS713,sheath_mark,0),0)*BN713,0)</f>
        <v>0</v>
      </c>
      <c r="BP713" cm="1">
        <f t="array" ref="BP713">IFERROR(INDEX(sheath_wcap_asd,MATCH(BS713,sheath_mark,0),0)*BN713,0)</f>
        <v>0</v>
      </c>
      <c r="BQ713" cm="1">
        <f t="array" ref="BQ713">IFERROR(INDEX(hd_cap,MATCH(BT713,hd_mark,0),0),0)</f>
        <v>0</v>
      </c>
      <c r="BS713" s="19"/>
      <c r="BT713" s="19"/>
      <c r="BU713" s="100"/>
    </row>
    <row r="714" x14ac:dyDescent="0.25">
      <c r="B714" s="1"/>
      <c r="P714" s="93"/>
      <c r="Q714" s="109"/>
      <c r="R714" t="str">
        <f>$Q$662</f>
        <v>L3</v>
      </c>
      <c r="S714">
        <f>$E$22</f>
        <v>21.375</v>
      </c>
      <c r="T714" cm="1">
        <f t="array" ref="T714">IFERROR(IF(S714=0,0,(INDEX($C$33:$C$38,MATCH($W$674,$B$33:$B$38,0),0)*(S717+$X$674)+$T$674*COUNTIF(S714:S716,"&gt;0")*$C$32+$V$674*$C$31)*$R$674),0)</f>
        <v>0</v>
      </c>
      <c r="U714">
        <f>IF(S714=0,0,-(COUNTIF(S714:S716,"&gt;0")*$T$674*$C$32+$V$674*$C$31)*$H$27*$R$674)</f>
        <v>0</v>
      </c>
      <c r="V714">
        <f>IF(S714=0,0,$V$674*$H$26*$R$674)</f>
        <v>0</v>
      </c>
      <c r="W714">
        <f>(0.6*T714+0.7*U714)*$R$674/2</f>
        <v>0</v>
      </c>
      <c r="X714">
        <f>T714*$R$674/2</f>
        <v>0</v>
      </c>
      <c r="Z714">
        <f>IF(S714=0,0,$AD$674*$AP$662)</f>
        <v>0</v>
      </c>
      <c r="AA714">
        <f>IFERROR(Z714/$R$674,0)</f>
        <v>0</v>
      </c>
      <c r="AB714">
        <f>Z714*($F$22+IF($F$22=0,0,($C$14+$C$15+IF($C$13="single",1.5,3)+3)/12))</f>
        <v>0</v>
      </c>
      <c r="AC714">
        <f>AB714-W714</f>
        <v>0</v>
      </c>
      <c r="AD714" cm="1">
        <f t="array" ref="AD714">IFERROR(IF(AC714&lt;0,0,AC714/($R$674-INDEX(hd_off,MATCH(AQ714,hd_mark,0),0)/12)),0)</f>
        <v>0</v>
      </c>
      <c r="AE714">
        <f>IF(S714=0,0,$AD$674*$AM$662)</f>
        <v>0</v>
      </c>
      <c r="AF714">
        <f>IFERROR(AE714/$R$674,0)</f>
        <v>0</v>
      </c>
      <c r="AG714">
        <f>AE714*($F$22+IF($F$22=0,0,($C$14+$C$15+IF($C$13="single",1.5,3)+3)/12))</f>
        <v>0</v>
      </c>
      <c r="AH714">
        <f>AG714-X714</f>
        <v>0</v>
      </c>
      <c r="AI714" cm="1">
        <f t="array" ref="AI714">IFERROR(IF(AH714&lt;0,0,AH714/($R$674-INDEX(hd_off,MATCH(AQ714,hd_mark,0),0)/12)),0)</f>
        <v>0</v>
      </c>
      <c r="AJ714">
        <f>MAX($F$22,$Z$674)/$Q$692</f>
        <v>0.30172413793103448</v>
      </c>
      <c r="AK714">
        <f t="shared" ref="AK714:AK717" si="449">IF(AJ714=0,0,IF(AJ714&gt;2,1.25-0.125*AJ714,1))</f>
        <v>1</v>
      </c>
      <c r="AL714" cm="1">
        <f t="array" ref="AL714">IFERROR(INDEX(sheath_ecap_asd,MATCH(AP714,sheath_mark,0),0)*AK714,0)</f>
        <v>0</v>
      </c>
      <c r="AM714" cm="1">
        <f t="array" ref="AM714">IFERROR(INDEX(sheath_wcap_asd,MATCH(AP714,sheath_mark,0),0)*AK714,0)</f>
        <v>0</v>
      </c>
      <c r="AN714" cm="1">
        <f t="array" ref="AN714">IFERROR(INDEX(hd_cap,MATCH(AQ714,hd_mark,0),0),0)</f>
        <v>0</v>
      </c>
      <c r="AP714" s="19"/>
      <c r="AQ714" s="19"/>
      <c r="AR714" s="100"/>
      <c r="AS714" s="93"/>
      <c r="AT714" s="109"/>
      <c r="AU714" t="str">
        <f>$Q$662</f>
        <v>L3</v>
      </c>
      <c r="AV714">
        <f>$E$22</f>
        <v>21.375</v>
      </c>
      <c r="AW714" cm="1">
        <f t="array" ref="AW714">IFERROR(IF(AV714=0,0,(INDEX($C$33:$C$38,MATCH($AZ$674,$B$33:$B$38,0),0)*(AV717+$BA$674)+$AW$674*COUNTIF(AV714:AV716,"&gt;0")*$C$32+$AY$674*$C$31)*$AU$674),0)</f>
        <v>0</v>
      </c>
      <c r="AX714">
        <f>IF(AV714=0,0,-(COUNTIF(AV714:AV716,"&gt;0")*$AW$674*$C$32+$AY$674*$C$31)*$H$27*$AU$674)</f>
        <v>0</v>
      </c>
      <c r="AY714">
        <f>IF(AV714=0,0,$AY$674*$H$26*$AU$674)</f>
        <v>0</v>
      </c>
      <c r="AZ714">
        <f>(0.6*AW714+0.7*AX714)*$AU$674/2</f>
        <v>0</v>
      </c>
      <c r="BA714">
        <f>AW714*$AU$674/2</f>
        <v>0</v>
      </c>
      <c r="BC714">
        <f>IF(AV714=0,0,$BG$674*$AP$662)</f>
        <v>0</v>
      </c>
      <c r="BD714">
        <f>IFERROR(BC714/$AU$674,0)</f>
        <v>0</v>
      </c>
      <c r="BE714">
        <f>BC714*($F$22+IF($F$22=0,0,($C$14+$C$15+IF($C$13="single",1.5,3)+3)/12))</f>
        <v>0</v>
      </c>
      <c r="BF714">
        <f>BE714-AZ714</f>
        <v>0</v>
      </c>
      <c r="BG714" cm="1">
        <f t="array" ref="BG714">IFERROR(IF(BF714&lt;0,0,BF714/($AU$674-INDEX(hd_off,MATCH(BT714,hd_mark,0),0)/12)),0)</f>
        <v>0</v>
      </c>
      <c r="BH714">
        <f>IF(AV714=0,0,$BG$674*$AM$662)</f>
        <v>0</v>
      </c>
      <c r="BI714">
        <f>IFERROR(BH714/$AU$674,0)</f>
        <v>0</v>
      </c>
      <c r="BJ714">
        <f>BH714*($F$22+IF($F$22=0,0,($C$14+$C$15+IF($C$13="single",1.5,3)+3)/12))</f>
        <v>0</v>
      </c>
      <c r="BK714">
        <f>BJ714-BA714</f>
        <v>0</v>
      </c>
      <c r="BL714" cm="1">
        <f t="array" ref="BL714">IFERROR(IF(BK714&lt;0,0,BK714/($AU$674-INDEX(hd_off,MATCH(BT714,hd_mark,0),0)/12)),0)</f>
        <v>0</v>
      </c>
      <c r="BM714">
        <f>MAX($F$22,$BC$674)/$Q$692</f>
        <v>0.30172413793103448</v>
      </c>
      <c r="BN714">
        <f t="shared" ref="BN714:BN717" si="450">IF(BM714=0,0,IF(BM714&gt;2,1.25-0.125*BM714,1))</f>
        <v>1</v>
      </c>
      <c r="BO714" cm="1">
        <f t="array" ref="BO714">IFERROR(INDEX(sheath_ecap_asd,MATCH(BS714,sheath_mark,0),0)*BN714,0)</f>
        <v>0</v>
      </c>
      <c r="BP714" cm="1">
        <f t="array" ref="BP714">IFERROR(INDEX(sheath_wcap_asd,MATCH(BS714,sheath_mark,0),0)*BN714,0)</f>
        <v>0</v>
      </c>
      <c r="BQ714" cm="1">
        <f t="array" ref="BQ714">IFERROR(INDEX(hd_cap,MATCH(BT714,hd_mark,0),0),0)</f>
        <v>0</v>
      </c>
      <c r="BS714" s="19"/>
      <c r="BT714" s="19"/>
      <c r="BU714" s="100"/>
    </row>
    <row r="715" x14ac:dyDescent="0.25">
      <c r="P715" s="93"/>
      <c r="Q715" s="109" t="s">
        <v>491</v>
      </c>
      <c r="R715" t="str">
        <f>$Q$663</f>
        <v>L4</v>
      </c>
      <c r="S715">
        <f>$E$23</f>
        <v>0</v>
      </c>
      <c r="T715" cm="1">
        <f t="array" ref="T715">IFERROR(IF(S715=0,0,(INDEX($C$33:$C$38,MATCH($W$674,$B$33:$B$38,0),0)*(S717+$X$674)+$T$674*COUNTIF(S715:S716,"&gt;0")*$C$32+$V$674*$C$31)*$R$674),0)</f>
        <v>0</v>
      </c>
      <c r="U715">
        <f>IF(S715=0,0,-(COUNTIF(S715:S716,"&gt;0")*$T$674*$C$32+$V$674*$C$31)*$H$27*$R$674)</f>
        <v>0</v>
      </c>
      <c r="V715">
        <f>IF(S715=0,0,$V$674*$H$26*$R$674)</f>
        <v>0</v>
      </c>
      <c r="W715">
        <f>(0.6*T715+0.7*U715)*$R$674/2</f>
        <v>0</v>
      </c>
      <c r="X715">
        <f>T715*$R$674/2</f>
        <v>0</v>
      </c>
      <c r="Z715">
        <f>IF(S715=0,0,$AD$674*$AP$663)</f>
        <v>0</v>
      </c>
      <c r="AA715">
        <f>IFERROR(Z715/$R$674,0)</f>
        <v>0</v>
      </c>
      <c r="AB715">
        <f>Z715*($F$23+IF($F$23=0,0,($C$14+$C$15+IF($C$13="single",1.5,3)+3)/12))</f>
        <v>0</v>
      </c>
      <c r="AC715">
        <f>AB715-W715</f>
        <v>0</v>
      </c>
      <c r="AD715" cm="1">
        <f t="array" ref="AD715">IFERROR(IF(AC715&lt;0,0,AC715/($R$674-INDEX(hd_off,MATCH(AQ715,hd_mark,0),0)/12)),0)</f>
        <v>0</v>
      </c>
      <c r="AE715">
        <f>IF(S715=0,0,$AD$674*$AM$663)</f>
        <v>0</v>
      </c>
      <c r="AF715">
        <f>IFERROR(AE715/$R$674,0)</f>
        <v>0</v>
      </c>
      <c r="AG715">
        <f>AE715*($F$23+IF($F$23=0,0,($C$14+$C$15+IF($C$13="single",1.5,3)+3)/12))</f>
        <v>0</v>
      </c>
      <c r="AH715">
        <f>AG715-X715</f>
        <v>0</v>
      </c>
      <c r="AI715" cm="1">
        <f t="array" ref="AI715">IFERROR(IF(AH715&lt;0,0,AH715/($R$674-INDEX(hd_off,MATCH(AQ715,hd_mark,0),0)/12)),0)</f>
        <v>0</v>
      </c>
      <c r="AJ715">
        <f>MAX($F$23,$AA$674)/$Q$692</f>
        <v>0</v>
      </c>
      <c r="AK715">
        <f t="shared" si="449"/>
        <v>0</v>
      </c>
      <c r="AL715" cm="1">
        <f t="array" ref="AL715">IFERROR(INDEX(sheath_ecap_asd,MATCH(AP715,sheath_mark,0),0)*AK715,0)</f>
        <v>0</v>
      </c>
      <c r="AM715" cm="1">
        <f t="array" ref="AM715">IFERROR(INDEX(sheath_wcap_asd,MATCH(AP715,sheath_mark,0),0)*AK715,0)</f>
        <v>0</v>
      </c>
      <c r="AN715" cm="1">
        <f t="array" ref="AN715">IFERROR(INDEX(hd_cap,MATCH(AQ715,hd_mark,0),0),0)</f>
        <v>0</v>
      </c>
      <c r="AP715" s="19"/>
      <c r="AQ715" s="19"/>
      <c r="AR715" s="100"/>
      <c r="AS715" s="93"/>
      <c r="AT715" s="109" t="s">
        <v>491</v>
      </c>
      <c r="AU715" t="str">
        <f>$Q$663</f>
        <v>L4</v>
      </c>
      <c r="AV715">
        <f>$E$23</f>
        <v>0</v>
      </c>
      <c r="AW715" cm="1">
        <f t="array" ref="AW715">IFERROR(IF(AV715=0,0,(INDEX($C$33:$C$38,MATCH($AZ$674,$B$33:$B$38,0),0)*(AV717+$BA$674)+$AW$674*COUNTIF(AV715:AV716,"&gt;0")*$C$32+$AY$674*$C$31)*$AU$674),0)</f>
        <v>0</v>
      </c>
      <c r="AX715">
        <f>IF(AV715=0,0,-(COUNTIF(AV715:AV716,"&gt;0")*$AW$674*$C$32+$AY$674*$C$31)*$H$27*$AU$674)</f>
        <v>0</v>
      </c>
      <c r="AY715">
        <f>IF(AV715=0,0,$AY$674*$H$26*$AU$674)</f>
        <v>0</v>
      </c>
      <c r="AZ715">
        <f>(0.6*AW715+0.7*AX715)*$AU$674/2</f>
        <v>0</v>
      </c>
      <c r="BA715">
        <f>AW715*$AU$674/2</f>
        <v>0</v>
      </c>
      <c r="BC715">
        <f>IF(AV715=0,0,$BG$674*$AP$663)</f>
        <v>0</v>
      </c>
      <c r="BD715">
        <f>IFERROR(BC715/$AU$674,0)</f>
        <v>0</v>
      </c>
      <c r="BE715">
        <f>BC715*($F$23+IF($F$23=0,0,($C$14+$C$15+IF($C$13="single",1.5,3)+3)/12))</f>
        <v>0</v>
      </c>
      <c r="BF715">
        <f>BE715-AZ715</f>
        <v>0</v>
      </c>
      <c r="BG715" cm="1">
        <f t="array" ref="BG715">IFERROR(IF(BF715&lt;0,0,BF715/($AU$674-INDEX(hd_off,MATCH(BT715,hd_mark,0),0)/12)),0)</f>
        <v>0</v>
      </c>
      <c r="BH715">
        <f>IF(AV715=0,0,$BG$674*$AM$663)</f>
        <v>0</v>
      </c>
      <c r="BI715">
        <f>IFERROR(BH715/$AU$674,0)</f>
        <v>0</v>
      </c>
      <c r="BJ715">
        <f>BH715*($F$23+IF($F$23=0,0,($C$14+$C$15+IF($C$13="single",1.5,3)+3)/12))</f>
        <v>0</v>
      </c>
      <c r="BK715">
        <f>BJ715-BA715</f>
        <v>0</v>
      </c>
      <c r="BL715" cm="1">
        <f t="array" ref="BL715">IFERROR(IF(BK715&lt;0,0,BK715/($AU$674-INDEX(hd_off,MATCH(BT715,hd_mark,0),0)/12)),0)</f>
        <v>0</v>
      </c>
      <c r="BM715">
        <f>MAX($F$23,$BD$674)/$Q$692</f>
        <v>0</v>
      </c>
      <c r="BN715">
        <f t="shared" si="450"/>
        <v>0</v>
      </c>
      <c r="BO715" cm="1">
        <f t="array" ref="BO715">IFERROR(INDEX(sheath_ecap_asd,MATCH(BS715,sheath_mark,0),0)*BN715,0)</f>
        <v>0</v>
      </c>
      <c r="BP715" cm="1">
        <f t="array" ref="BP715">IFERROR(INDEX(sheath_wcap_asd,MATCH(BS715,sheath_mark,0),0)*BN715,0)</f>
        <v>0</v>
      </c>
      <c r="BQ715" cm="1">
        <f t="array" ref="BQ715">IFERROR(INDEX(hd_cap,MATCH(BT715,hd_mark,0),0),0)</f>
        <v>0</v>
      </c>
      <c r="BS715" s="19"/>
      <c r="BT715" s="19"/>
      <c r="BU715" s="100"/>
    </row>
    <row r="716" x14ac:dyDescent="0.25">
      <c r="P716" s="93"/>
      <c r="Q716" s="111">
        <f>$R$674</f>
        <v>0</v>
      </c>
      <c r="R716" t="str">
        <f>$Q$664</f>
        <v>L5</v>
      </c>
      <c r="S716">
        <f>$E$24</f>
        <v>0</v>
      </c>
      <c r="T716" cm="1">
        <f t="array" ref="T716">IFERROR(IF(S716=0,0,(INDEX($C$33:$C$38,MATCH($W$674,$B$33:$B$38,0),0)*(S717+$X$674)+$T$674*COUNTIF(S716:S716,"&gt;0")*$C$32+$V$674*$C$31)*$R$674),0)</f>
        <v>0</v>
      </c>
      <c r="U716">
        <f>IF(S716=0,0,-(COUNTIF(S716:S716,"&gt;0")*$T$674*$C$32+$V$674*$C$31)*$H$27*$R$674)</f>
        <v>0</v>
      </c>
      <c r="V716">
        <f>IF(S716=0,0,$V$674*$H$26*$R$674)</f>
        <v>0</v>
      </c>
      <c r="W716">
        <f>(0.6*T716+0.7*U716)*$R$674/2</f>
        <v>0</v>
      </c>
      <c r="X716">
        <f>T716*$R$674/2</f>
        <v>0</v>
      </c>
      <c r="Z716">
        <f>IF(S716=0,0,$AD$674*$AP$664)</f>
        <v>0</v>
      </c>
      <c r="AA716">
        <f>IFERROR(Z716/$R$674,0)</f>
        <v>0</v>
      </c>
      <c r="AB716">
        <f>Z716*($F$24+IF($F$24=0,0,($C$14+$C$15+IF($C$13="single",1.5,3)+3)/12))</f>
        <v>0</v>
      </c>
      <c r="AC716">
        <f>AB716-W716</f>
        <v>0</v>
      </c>
      <c r="AD716" cm="1">
        <f t="array" ref="AD716">IFERROR(IF(AC716&lt;0,0,AC716/($R$674-INDEX(hd_off,MATCH(AQ716,hd_mark,0),0)/12)),0)</f>
        <v>0</v>
      </c>
      <c r="AE716">
        <f>IF(S716=0,0,$AD$674*$AM$664)</f>
        <v>0</v>
      </c>
      <c r="AF716">
        <f>IFERROR(AE716/$R$674,0)</f>
        <v>0</v>
      </c>
      <c r="AG716">
        <f>AE716*($F$24+IF($F$24=0,0,($C$14+$C$15+IF($C$13="single",1.5,3)+3)/12))</f>
        <v>0</v>
      </c>
      <c r="AH716">
        <f>AG716-X716</f>
        <v>0</v>
      </c>
      <c r="AI716" cm="1">
        <f t="array" ref="AI716">IFERROR(IF(AH716&lt;0,0,AH716/($R$674-INDEX(hd_off,MATCH(AQ716,hd_mark,0),0)/12)),0)</f>
        <v>0</v>
      </c>
      <c r="AJ716">
        <f>MAX($F$24,$AB$674)/$Q$692</f>
        <v>0</v>
      </c>
      <c r="AK716">
        <f t="shared" si="449"/>
        <v>0</v>
      </c>
      <c r="AL716" cm="1">
        <f t="array" ref="AL716">IFERROR(INDEX(sheath_ecap_asd,MATCH(AP716,sheath_mark,0),0)*AK716,0)</f>
        <v>0</v>
      </c>
      <c r="AM716" cm="1">
        <f t="array" ref="AM716">IFERROR(INDEX(sheath_wcap_asd,MATCH(AP716,sheath_mark,0),0)*AK716,0)</f>
        <v>0</v>
      </c>
      <c r="AN716" cm="1">
        <f t="array" ref="AN716">IFERROR(INDEX(hd_cap,MATCH(AQ716,hd_mark,0),0),0)</f>
        <v>0</v>
      </c>
      <c r="AP716" s="19"/>
      <c r="AQ716" s="19"/>
      <c r="AR716" s="100"/>
      <c r="AS716" s="93"/>
      <c r="AT716" s="111">
        <f>$R$674</f>
        <v>0</v>
      </c>
      <c r="AU716" t="str">
        <f>$Q$664</f>
        <v>L5</v>
      </c>
      <c r="AV716">
        <f>$E$24</f>
        <v>0</v>
      </c>
      <c r="AW716" cm="1">
        <f t="array" ref="AW716">IFERROR(IF(AV716=0,0,(INDEX($C$33:$C$38,MATCH($AZ$674,$B$33:$B$38,0),0)*(AV717+$BA$674)+$AW$674*COUNTIF(AV716:AV716,"&gt;0")*$C$32+$AY$674*$C$31)*$AU$674),0)</f>
        <v>0</v>
      </c>
      <c r="AX716">
        <f>IF(AV716=0,0,-(COUNTIF(AV716:AV716,"&gt;0")*$AW$674*$C$32+$AY$674*$C$31)*$H$27*$AU$674)</f>
        <v>0</v>
      </c>
      <c r="AY716">
        <f>IF(AV716=0,0,$AY$674*$H$26*$AU$674)</f>
        <v>0</v>
      </c>
      <c r="AZ716">
        <f>(0.6*AW716+0.7*AX716)*$AU$674/2</f>
        <v>0</v>
      </c>
      <c r="BA716">
        <f>AW716*$AU$674/2</f>
        <v>0</v>
      </c>
      <c r="BC716">
        <f>IF(AV716=0,0,$BG$674*$AP$664)</f>
        <v>0</v>
      </c>
      <c r="BD716">
        <f>IFERROR(BC716/$AU$674,0)</f>
        <v>0</v>
      </c>
      <c r="BE716">
        <f>BC716*($F$24+IF($F$24=0,0,($C$14+$C$15+IF($C$13="single",1.5,3)+3)/12))</f>
        <v>0</v>
      </c>
      <c r="BF716">
        <f>BE716-AZ716</f>
        <v>0</v>
      </c>
      <c r="BG716" cm="1">
        <f t="array" ref="BG716">IFERROR(IF(BF716&lt;0,0,BF716/($AU$674-INDEX(hd_off,MATCH(BT716,hd_mark,0),0)/12)),0)</f>
        <v>0</v>
      </c>
      <c r="BH716">
        <f>IF(AV716=0,0,$BG$674*$AM$664)</f>
        <v>0</v>
      </c>
      <c r="BI716">
        <f>IFERROR(BH716/$AU$674,0)</f>
        <v>0</v>
      </c>
      <c r="BJ716">
        <f>BH716*($F$24+IF($F$24=0,0,($C$14+$C$15+IF($C$13="single",1.5,3)+3)/12))</f>
        <v>0</v>
      </c>
      <c r="BK716">
        <f>BJ716-BA716</f>
        <v>0</v>
      </c>
      <c r="BL716" cm="1">
        <f t="array" ref="BL716">IFERROR(IF(BK716&lt;0,0,BK716/($AU$674-INDEX(hd_off,MATCH(BT716,hd_mark,0),0)/12)),0)</f>
        <v>0</v>
      </c>
      <c r="BM716">
        <f>MAX($F$24,$BE$674)/$Q$692</f>
        <v>0</v>
      </c>
      <c r="BN716">
        <f t="shared" si="450"/>
        <v>0</v>
      </c>
      <c r="BO716" cm="1">
        <f t="array" ref="BO716">IFERROR(INDEX(sheath_ecap_asd,MATCH(BS716,sheath_mark,0),0)*BN716,0)</f>
        <v>0</v>
      </c>
      <c r="BP716" cm="1">
        <f t="array" ref="BP716">IFERROR(INDEX(sheath_wcap_asd,MATCH(BS716,sheath_mark,0),0)*BN716,0)</f>
        <v>0</v>
      </c>
      <c r="BQ716" cm="1">
        <f t="array" ref="BQ716">IFERROR(INDEX(hd_cap,MATCH(BT716,hd_mark,0),0),0)</f>
        <v>0</v>
      </c>
      <c r="BS716" s="19"/>
      <c r="BT716" s="19"/>
      <c r="BU716" s="100"/>
    </row>
    <row r="717" x14ac:dyDescent="0.25">
      <c r="P717" s="93"/>
      <c r="Q717" s="109"/>
      <c r="R717" t="str">
        <f>$Q$665</f>
        <v>Roof</v>
      </c>
      <c r="S717">
        <f>$E$25</f>
        <v>33.171875</v>
      </c>
      <c r="T717" cm="1">
        <f t="array" ref="T717">IFERROR(IF(S717=0,0,(INDEX($C$33:$C$38,MATCH($W$674,$B$33:$B$38,0),0)*(S717+$X$674)+$V$674*$C$31)*$R$674),0)</f>
        <v>0</v>
      </c>
      <c r="U717">
        <f>IF(S717=0,0,-$V$674*$C$31*$H$27*$R$674)</f>
        <v>0</v>
      </c>
      <c r="V717">
        <f>IF(S717=0,0,$V$674*$H$26*$R$674)</f>
        <v>0</v>
      </c>
      <c r="W717">
        <f>(0.6*T717+0.7*U717)*$R$674/2</f>
        <v>0</v>
      </c>
      <c r="X717">
        <f>T717*$R$674/2</f>
        <v>0</v>
      </c>
      <c r="Z717">
        <f>IF(S717=0,0,$AD$674*$AP$665)</f>
        <v>0</v>
      </c>
      <c r="AA717">
        <f>IFERROR(Z717/$R$674,0)</f>
        <v>0</v>
      </c>
      <c r="AB717">
        <f>Z717*($F$25+($C$16+$C$17+IF($C$13="single",1.5,3)+3)/12)</f>
        <v>0</v>
      </c>
      <c r="AC717">
        <f>AB717-W717</f>
        <v>0</v>
      </c>
      <c r="AD717" cm="1">
        <f t="array" ref="AD717">IFERROR(IF(AC717&lt;0,0,AC717/($R$674-INDEX(hd_off,MATCH(AQ717,hd_mark,0),0)/12)),0)</f>
        <v>0</v>
      </c>
      <c r="AE717">
        <f>IF(S717=0,0,$AD$674*$AM$665)</f>
        <v>0</v>
      </c>
      <c r="AF717">
        <f>IFERROR(AE717/$R$674,0)</f>
        <v>0</v>
      </c>
      <c r="AG717">
        <f>AE717*($F$25+($C$16+$C$17+IF($C$13="single",1.5,3)+3)/12)</f>
        <v>0</v>
      </c>
      <c r="AH717">
        <f>AG717-X717</f>
        <v>0</v>
      </c>
      <c r="AI717" cm="1">
        <f t="array" ref="AI717">IFERROR(IF(AH717&lt;0,0,AH717/($R$674-INDEX(hd_off,MATCH(AQ717,hd_mark,0),0)/12)),0)</f>
        <v>0</v>
      </c>
      <c r="AJ717">
        <f>MAX($F$25,$AC$674)/$Q$692</f>
        <v>0.29920977011494249</v>
      </c>
      <c r="AK717">
        <f t="shared" si="449"/>
        <v>1</v>
      </c>
      <c r="AL717" cm="1">
        <f t="array" ref="AL717">IFERROR(INDEX(sheath_ecap_asd,MATCH(AP717,sheath_mark,0),0)*AK717,0)</f>
        <v>0</v>
      </c>
      <c r="AM717" cm="1">
        <f t="array" ref="AM717">IFERROR(INDEX(sheath_wcap_asd,MATCH(AP717,sheath_mark,0),0)*AK717,0)</f>
        <v>0</v>
      </c>
      <c r="AN717" cm="1">
        <f t="array" ref="AN717">IFERROR(INDEX(hd_cap,MATCH(AQ717,hd_mark,0),0),0)</f>
        <v>0</v>
      </c>
      <c r="AP717" s="19"/>
      <c r="AQ717" s="19"/>
      <c r="AR717" s="100"/>
      <c r="AS717" s="93"/>
      <c r="AT717" s="109"/>
      <c r="AU717" t="str">
        <f>$Q$665</f>
        <v>Roof</v>
      </c>
      <c r="AV717">
        <f>$E$25</f>
        <v>33.171875</v>
      </c>
      <c r="AW717" cm="1">
        <f t="array" ref="AW717">IFERROR(IF(AV717=0,0,(INDEX($C$33:$C$38,MATCH($AZ$674,$B$33:$B$38,0),0)*(AV717+$BA$674)+$AY$674*$C$31)*$AU$674),0)</f>
        <v>0</v>
      </c>
      <c r="AX717">
        <f>IF(AV717=0,0,-$AY$674*$C$31*$H$27*$AU$674)</f>
        <v>0</v>
      </c>
      <c r="AY717">
        <f>IF(AV717=0,0,$AY$674*$H$26*$AU$674)</f>
        <v>0</v>
      </c>
      <c r="AZ717">
        <f>(0.6*AW717+0.7*AX717)*$AU$674/2</f>
        <v>0</v>
      </c>
      <c r="BA717">
        <f>AW717*$AU$674/2</f>
        <v>0</v>
      </c>
      <c r="BC717">
        <f>IF(AV717=0,0,$BG$674*$AP$665)</f>
        <v>0</v>
      </c>
      <c r="BD717">
        <f>IFERROR(BC717/$AU$674,0)</f>
        <v>0</v>
      </c>
      <c r="BE717">
        <f>BC717*($F$25+($C$16+$C$17+IF($C$13="single",1.5,3)+3)/12)</f>
        <v>0</v>
      </c>
      <c r="BF717">
        <f>BE717-AZ717</f>
        <v>0</v>
      </c>
      <c r="BG717" cm="1">
        <f t="array" ref="BG717">IFERROR(IF(BF717&lt;0,0,BF717/($AU$674-INDEX(hd_off,MATCH(BT717,hd_mark,0),0)/12)),0)</f>
        <v>0</v>
      </c>
      <c r="BH717">
        <f>IF(AV717=0,0,$BG$674*$AM$665)</f>
        <v>0</v>
      </c>
      <c r="BI717">
        <f>IFERROR(BH717/$AU$674,0)</f>
        <v>0</v>
      </c>
      <c r="BJ717">
        <f>BH717*($F$25+($C$16+$C$17+IF($C$13="single",1.5,3)+3)/12)</f>
        <v>0</v>
      </c>
      <c r="BK717">
        <f>BJ717-BA717</f>
        <v>0</v>
      </c>
      <c r="BL717" cm="1">
        <f t="array" ref="BL717">IFERROR(IF(BK717&lt;0,0,BK717/($AU$674-INDEX(hd_off,MATCH(BT717,hd_mark,0),0)/12)),0)</f>
        <v>0</v>
      </c>
      <c r="BM717">
        <f>MAX($F$25,$BF$674)/$Q$692</f>
        <v>0.29920977011494249</v>
      </c>
      <c r="BN717">
        <f t="shared" si="450"/>
        <v>1</v>
      </c>
      <c r="BO717" cm="1">
        <f t="array" ref="BO717">IFERROR(INDEX(sheath_ecap_asd,MATCH(BS717,sheath_mark,0),0)*BN717,0)</f>
        <v>0</v>
      </c>
      <c r="BP717" cm="1">
        <f t="array" ref="BP717">IFERROR(INDEX(sheath_wcap_asd,MATCH(BS717,sheath_mark,0),0)*BN717,0)</f>
        <v>0</v>
      </c>
      <c r="BQ717" cm="1">
        <f t="array" ref="BQ717">IFERROR(INDEX(hd_cap,MATCH(BT717,hd_mark,0),0),0)</f>
        <v>0</v>
      </c>
      <c r="BS717" s="19"/>
      <c r="BT717" s="19"/>
      <c r="BU717" s="100"/>
    </row>
    <row r="718" x14ac:dyDescent="0.25">
      <c r="P718" s="93"/>
      <c r="AR718" s="100"/>
      <c r="AS718" s="93"/>
      <c r="BU718" s="100"/>
    </row>
    <row r="719" x14ac:dyDescent="0.25">
      <c r="P719" s="93"/>
      <c r="Q719" s="110" t="str">
        <f>$Q$675</f>
        <v>A.06</v>
      </c>
      <c r="R719" t="str">
        <f>$Q$661</f>
        <v>L2</v>
      </c>
      <c r="S719">
        <f>$E$21</f>
        <v>10.6875</v>
      </c>
      <c r="T719" cm="1">
        <f t="array" ref="T719">IFERROR(IF(S719=0,0,(INDEX($C$33:$C$38,MATCH($W$675,$B$33:$B$38,0),0)*(S723+$X$675)+$T$675*COUNTIF(S719:S722,"&gt;0")*$C$32+$V$675*$C$31)*$R$675),0)</f>
        <v>0</v>
      </c>
      <c r="U719">
        <f>IF(S719=0,0,-(COUNTIF(S719:S722,"&gt;0")*$T$675*$C$32+$V$675*$C$31)*$H$27*$R$675)</f>
        <v>0</v>
      </c>
      <c r="V719">
        <f>IF(S719=0,0,$V$675*$H$26*$R$675)</f>
        <v>0</v>
      </c>
      <c r="W719">
        <f>(0.6*T719+0.7*U719)*$R$675/2</f>
        <v>0</v>
      </c>
      <c r="X719">
        <f>(0.6*T719+0.6*V719)*$R$675/2</f>
        <v>0</v>
      </c>
      <c r="Z719">
        <f>IF(S719=0,0,$AD$675*$AP$661)</f>
        <v>0</v>
      </c>
      <c r="AA719">
        <f>IFERROR(Z719/$R$675,0)</f>
        <v>0</v>
      </c>
      <c r="AB719">
        <f>Z719*($F$21+IF($F$21=0,0,($C$14+$C$15+IF($C$13="single",1.5,3)+3)/12))</f>
        <v>0</v>
      </c>
      <c r="AC719">
        <f>AB719-W719</f>
        <v>0</v>
      </c>
      <c r="AD719" cm="1">
        <f t="array" ref="AD719">IFERROR(IF(AC719&lt;0,0,AC719/($R$675-INDEX(hd_off,MATCH(AQ719,hd_mark,0),0)/12)),0)</f>
        <v>0</v>
      </c>
      <c r="AE719">
        <f>IF(S719=0,0,$AD$675*$AM$661)</f>
        <v>0</v>
      </c>
      <c r="AF719">
        <f>IFERROR(AE719/$R$675,0)</f>
        <v>0</v>
      </c>
      <c r="AG719">
        <f>AE719*($F$21+IF($F$21=0,0,($C$14+$C$15+IF($C$13="single",1.5,3)+3)/12))</f>
        <v>0</v>
      </c>
      <c r="AH719">
        <f>AG719-X719</f>
        <v>0</v>
      </c>
      <c r="AI719" cm="1">
        <f t="array" ref="AI719">IFERROR(IF(AH719&lt;0,0,AH719/($R$675-INDEX(hd_off,MATCH(AQ719,hd_mark,0),0)/12)),0)</f>
        <v>0</v>
      </c>
      <c r="AJ719">
        <f>MAX($F$21,$Y$675)/$Q$692</f>
        <v>0.30172413793103448</v>
      </c>
      <c r="AK719">
        <f>IF(AJ719=0,0,IF(AJ719&gt;2,1.25-0.125*AJ719,1))</f>
        <v>1</v>
      </c>
      <c r="AL719" cm="1">
        <f t="array" ref="AL719">IFERROR(INDEX(sheath_ecap_asd,MATCH(AP719,sheath_mark,0),0)*AK719,0)</f>
        <v>0</v>
      </c>
      <c r="AM719" cm="1">
        <f t="array" ref="AM719">IFERROR(INDEX(sheath_wcap_asd,MATCH(AP719,sheath_mark,0),0)*AK719,0)</f>
        <v>0</v>
      </c>
      <c r="AN719" cm="1">
        <f t="array" ref="AN719">IFERROR(INDEX(hd_cap,MATCH(AQ719,hd_mark,0),0),0)</f>
        <v>0</v>
      </c>
      <c r="AP719" s="19"/>
      <c r="AQ719" s="19"/>
      <c r="AR719" s="100"/>
      <c r="AS719" s="93"/>
      <c r="AT719" s="110" t="str">
        <f>$AT$675</f>
        <v>1.06</v>
      </c>
      <c r="AU719" t="str">
        <f>$Q$661</f>
        <v>L2</v>
      </c>
      <c r="AV719">
        <f>$E$21</f>
        <v>10.6875</v>
      </c>
      <c r="AW719" cm="1">
        <f t="array" ref="AW719">IFERROR(IF(AV719=0,0,(INDEX($C$33:$C$38,MATCH($AZ$675,$B$33:$B$38,0),0)*(AV723+$BA$675)+$AW$675*COUNTIF(AV719:AV722,"&gt;0")*$C$32+$AY$675*$C$31)*$AU$675),0)</f>
        <v>0</v>
      </c>
      <c r="AX719">
        <f>IF(AV719=0,0,-(COUNTIF(AV719:AV722,"&gt;0")*$AW$675*$C$32+$AY$675*$C$31)*$H$27*$AU$675)</f>
        <v>0</v>
      </c>
      <c r="AY719">
        <f>IF(AV719=0,0,$AY$675*$H$26*$AU$675)</f>
        <v>0</v>
      </c>
      <c r="AZ719">
        <f>(0.6*AW719+0.7*AX719)*$AU$675/2</f>
        <v>0</v>
      </c>
      <c r="BA719">
        <f>(0.6*AW719+0.6*AY719)*$AU$675/2</f>
        <v>0</v>
      </c>
      <c r="BC719">
        <f>IF(AV719=0,0,$BG$675*$AP$661)</f>
        <v>0</v>
      </c>
      <c r="BD719">
        <f>IFERROR(BC719/$AU$675,0)</f>
        <v>0</v>
      </c>
      <c r="BE719">
        <f>BC719*($F$21+IF($F$21=0,0,($C$14+$C$15+IF($C$13="single",1.5,3)+3)/12))</f>
        <v>0</v>
      </c>
      <c r="BF719">
        <f>BE719-AZ719</f>
        <v>0</v>
      </c>
      <c r="BG719" cm="1">
        <f t="array" ref="BG719">IFERROR(IF(BF719&lt;0,0,BF719/($AU$675-INDEX(hd_off,MATCH(BT719,hd_mark,0),0)/12)),0)</f>
        <v>0</v>
      </c>
      <c r="BH719">
        <f>IF(AV719=0,0,$BG$675*$AM$661)</f>
        <v>0</v>
      </c>
      <c r="BI719">
        <f>IFERROR(BH719/$AU$675,0)</f>
        <v>0</v>
      </c>
      <c r="BJ719">
        <f>BH719*($F$21+IF($F$21=0,0,($C$14+$C$15+IF($C$13="single",1.5,3)+3)/12))</f>
        <v>0</v>
      </c>
      <c r="BK719">
        <f>BJ719-BA719</f>
        <v>0</v>
      </c>
      <c r="BL719" cm="1">
        <f t="array" ref="BL719">IFERROR(IF(BK719&lt;0,0,BK719/($AU$675-INDEX(hd_off,MATCH(BT719,hd_mark,0),0)/12)),0)</f>
        <v>0</v>
      </c>
      <c r="BM719">
        <f>MAX($F$21,$BB$675)/$Q$692</f>
        <v>0.30172413793103448</v>
      </c>
      <c r="BN719">
        <f>IF(BM719=0,0,IF(BM719&gt;2,1.25-0.125*BM719,1))</f>
        <v>1</v>
      </c>
      <c r="BO719" cm="1">
        <f t="array" ref="BO719">IFERROR(INDEX(sheath_ecap_asd,MATCH(BS719,sheath_mark,0),0)*BN719,0)</f>
        <v>0</v>
      </c>
      <c r="BP719" cm="1">
        <f t="array" ref="BP719">IFERROR(INDEX(sheath_wcap_asd,MATCH(BS719,sheath_mark,0),0)*BN719,0)</f>
        <v>0</v>
      </c>
      <c r="BQ719" cm="1">
        <f t="array" ref="BQ719">IFERROR(INDEX(hd_cap,MATCH(BT719,hd_mark,0),0),0)</f>
        <v>0</v>
      </c>
      <c r="BS719" s="19"/>
      <c r="BT719" s="19"/>
      <c r="BU719" s="100"/>
    </row>
    <row r="720" x14ac:dyDescent="0.25">
      <c r="P720" s="93"/>
      <c r="Q720" s="109"/>
      <c r="R720" t="str">
        <f>$Q$662</f>
        <v>L3</v>
      </c>
      <c r="S720">
        <f>$E$22</f>
        <v>21.375</v>
      </c>
      <c r="T720" cm="1">
        <f t="array" ref="T720">IFERROR(IF(S720=0,0,(INDEX($C$33:$C$38,MATCH($W$675,$B$33:$B$38,0),0)*(S723+$X$675)+$T$675*COUNTIF(S720:S722,"&gt;0")*$C$32+$V$675*$C$31)*$R$675),0)</f>
        <v>0</v>
      </c>
      <c r="U720">
        <f>IF(S720=0,0,-(COUNTIF(S720:S722,"&gt;0")*$T$675*$C$32+$V$675*$C$31)*$H$27*$R$675)</f>
        <v>0</v>
      </c>
      <c r="V720">
        <f>IF(S720=0,0,$V$675*$H$26*$R$675)</f>
        <v>0</v>
      </c>
      <c r="W720">
        <f>(0.6*T720+0.7*U720)*$R$675/2</f>
        <v>0</v>
      </c>
      <c r="X720">
        <f>T720*$R$675/2</f>
        <v>0</v>
      </c>
      <c r="Z720">
        <f>IF(S720=0,0,$AD$675*$AP$662)</f>
        <v>0</v>
      </c>
      <c r="AA720">
        <f>IFERROR(Z720/$R$675,0)</f>
        <v>0</v>
      </c>
      <c r="AB720">
        <f>Z720*($F$22+IF($F$22=0,0,($C$14+$C$15+IF($C$13="single",1.5,3)+3)/12))</f>
        <v>0</v>
      </c>
      <c r="AC720">
        <f>AB720-W720</f>
        <v>0</v>
      </c>
      <c r="AD720" cm="1">
        <f t="array" ref="AD720">IFERROR(IF(AC720&lt;0,0,AC720/($R$675-INDEX(hd_off,MATCH(AQ720,hd_mark,0),0)/12)),0)</f>
        <v>0</v>
      </c>
      <c r="AE720">
        <f>IF(S720=0,0,$AD$675*$AM$662)</f>
        <v>0</v>
      </c>
      <c r="AF720">
        <f>IFERROR(AE720/$R$675,0)</f>
        <v>0</v>
      </c>
      <c r="AG720">
        <f>AE720*($F$22+IF($F$22=0,0,($C$14+$C$15+IF($C$13="single",1.5,3)+3)/12))</f>
        <v>0</v>
      </c>
      <c r="AH720">
        <f>AG720-X720</f>
        <v>0</v>
      </c>
      <c r="AI720" cm="1">
        <f t="array" ref="AI720">IFERROR(IF(AH720&lt;0,0,AH720/($R$675-INDEX(hd_off,MATCH(AQ720,hd_mark,0),0)/12)),0)</f>
        <v>0</v>
      </c>
      <c r="AJ720">
        <f>MAX($F$22,$Z$675)/$Q$692</f>
        <v>0.30172413793103448</v>
      </c>
      <c r="AK720">
        <f t="shared" ref="AK720:AK723" si="451">IF(AJ720=0,0,IF(AJ720&gt;2,1.25-0.125*AJ720,1))</f>
        <v>1</v>
      </c>
      <c r="AL720" cm="1">
        <f t="array" ref="AL720">IFERROR(INDEX(sheath_ecap_asd,MATCH(AP720,sheath_mark,0),0)*AK720,0)</f>
        <v>0</v>
      </c>
      <c r="AM720" cm="1">
        <f t="array" ref="AM720">IFERROR(INDEX(sheath_wcap_asd,MATCH(AP720,sheath_mark,0),0)*AK720,0)</f>
        <v>0</v>
      </c>
      <c r="AN720" cm="1">
        <f t="array" ref="AN720">IFERROR(INDEX(hd_cap,MATCH(AQ720,hd_mark,0),0),0)</f>
        <v>0</v>
      </c>
      <c r="AP720" s="19"/>
      <c r="AQ720" s="19"/>
      <c r="AR720" s="100"/>
      <c r="AS720" s="93"/>
      <c r="AT720" s="109"/>
      <c r="AU720" t="str">
        <f>$Q$662</f>
        <v>L3</v>
      </c>
      <c r="AV720">
        <f>$E$22</f>
        <v>21.375</v>
      </c>
      <c r="AW720" cm="1">
        <f t="array" ref="AW720">IFERROR(IF(AV720=0,0,(INDEX($C$33:$C$38,MATCH($AZ$675,$B$33:$B$38,0),0)*(AV723+$BA$675)+$AW$675*COUNTIF(AV720:AV722,"&gt;0")*$C$32+$AY$675*$C$31)*$AU$675),0)</f>
        <v>0</v>
      </c>
      <c r="AX720">
        <f>IF(AV720=0,0,-(COUNTIF(AV720:AV722,"&gt;0")*$AW$675*$C$32+$AY$675*$C$31)*$H$27*$AU$675)</f>
        <v>0</v>
      </c>
      <c r="AY720">
        <f>IF(AV720=0,0,$AY$675*$H$26*$AU$675)</f>
        <v>0</v>
      </c>
      <c r="AZ720">
        <f>(0.6*AW720+0.7*AX720)*$AU$675/2</f>
        <v>0</v>
      </c>
      <c r="BA720">
        <f>AW720*$AU$675/2</f>
        <v>0</v>
      </c>
      <c r="BC720">
        <f>IF(AV720=0,0,$BG$675*$AP$662)</f>
        <v>0</v>
      </c>
      <c r="BD720">
        <f>IFERROR(BC720/$AU$675,0)</f>
        <v>0</v>
      </c>
      <c r="BE720">
        <f>BC720*($F$22+IF($F$22=0,0,($C$14+$C$15+IF($C$13="single",1.5,3)+3)/12))</f>
        <v>0</v>
      </c>
      <c r="BF720">
        <f>BE720-AZ720</f>
        <v>0</v>
      </c>
      <c r="BG720" cm="1">
        <f t="array" ref="BG720">IFERROR(IF(BF720&lt;0,0,BF720/($AU$675-INDEX(hd_off,MATCH(BT720,hd_mark,0),0)/12)),0)</f>
        <v>0</v>
      </c>
      <c r="BH720">
        <f>IF(AV720=0,0,$BG$675*$AM$662)</f>
        <v>0</v>
      </c>
      <c r="BI720">
        <f>IFERROR(BH720/$AU$675,0)</f>
        <v>0</v>
      </c>
      <c r="BJ720">
        <f>BH720*($F$22+IF($F$22=0,0,($C$14+$C$15+IF($C$13="single",1.5,3)+3)/12))</f>
        <v>0</v>
      </c>
      <c r="BK720">
        <f>BJ720-BA720</f>
        <v>0</v>
      </c>
      <c r="BL720" cm="1">
        <f t="array" ref="BL720">IFERROR(IF(BK720&lt;0,0,BK720/($AU$675-INDEX(hd_off,MATCH(BT720,hd_mark,0),0)/12)),0)</f>
        <v>0</v>
      </c>
      <c r="BM720">
        <f>MAX($F$22,$BC$675)/$Q$692</f>
        <v>0.30172413793103448</v>
      </c>
      <c r="BN720">
        <f t="shared" ref="BN720:BN723" si="452">IF(BM720=0,0,IF(BM720&gt;2,1.25-0.125*BM720,1))</f>
        <v>1</v>
      </c>
      <c r="BO720" cm="1">
        <f t="array" ref="BO720">IFERROR(INDEX(sheath_ecap_asd,MATCH(BS720,sheath_mark,0),0)*BN720,0)</f>
        <v>0</v>
      </c>
      <c r="BP720" cm="1">
        <f t="array" ref="BP720">IFERROR(INDEX(sheath_wcap_asd,MATCH(BS720,sheath_mark,0),0)*BN720,0)</f>
        <v>0</v>
      </c>
      <c r="BQ720" cm="1">
        <f t="array" ref="BQ720">IFERROR(INDEX(hd_cap,MATCH(BT720,hd_mark,0),0),0)</f>
        <v>0</v>
      </c>
      <c r="BS720" s="19"/>
      <c r="BT720" s="19"/>
      <c r="BU720" s="100"/>
    </row>
    <row r="721" x14ac:dyDescent="0.25">
      <c r="P721" s="93"/>
      <c r="Q721" s="109" t="s">
        <v>491</v>
      </c>
      <c r="R721" t="str">
        <f>$Q$663</f>
        <v>L4</v>
      </c>
      <c r="S721">
        <f>$E$23</f>
        <v>0</v>
      </c>
      <c r="T721" cm="1">
        <f t="array" ref="T721">IFERROR(IF(S721=0,0,(INDEX($C$33:$C$38,MATCH($W$675,$B$33:$B$38,0),0)*(S723+$X$675)+$T$675*COUNTIF(S721:S722,"&gt;0")*$C$32+$V$675*$C$31)*$R$675),0)</f>
        <v>0</v>
      </c>
      <c r="U721">
        <f>IF(S721=0,0,-(COUNTIF(S721:S722,"&gt;0")*$T$675*$C$32+$V$675*$C$31)*$H$27*$R$675)</f>
        <v>0</v>
      </c>
      <c r="V721">
        <f>IF(S721=0,0,$V$675*$H$26*$R$675)</f>
        <v>0</v>
      </c>
      <c r="W721">
        <f>(0.6*T721+0.7*U721)*$R$675/2</f>
        <v>0</v>
      </c>
      <c r="X721">
        <f>T721*$R$675/2</f>
        <v>0</v>
      </c>
      <c r="Z721">
        <f>IF(S721=0,0,$AD$675*$AP$663)</f>
        <v>0</v>
      </c>
      <c r="AA721">
        <f>IFERROR(Z721/$R$675,0)</f>
        <v>0</v>
      </c>
      <c r="AB721">
        <f>Z721*($F$23+IF($F$23=0,0,($C$14+$C$15+IF($C$13="single",1.5,3)+3)/12))</f>
        <v>0</v>
      </c>
      <c r="AC721">
        <f>AB721-W721</f>
        <v>0</v>
      </c>
      <c r="AD721" cm="1">
        <f t="array" ref="AD721">IFERROR(IF(AC721&lt;0,0,AC721/($R$675-INDEX(hd_off,MATCH(AQ721,hd_mark,0),0)/12)),0)</f>
        <v>0</v>
      </c>
      <c r="AE721">
        <f>IF(S721=0,0,$AD$675*$AM$663)</f>
        <v>0</v>
      </c>
      <c r="AF721">
        <f>IFERROR(AE721/$R$675,0)</f>
        <v>0</v>
      </c>
      <c r="AG721">
        <f>AE721*($F$23+IF($F$23=0,0,($C$14+$C$15+IF($C$13="single",1.5,3)+3)/12))</f>
        <v>0</v>
      </c>
      <c r="AH721">
        <f>AG721-X721</f>
        <v>0</v>
      </c>
      <c r="AI721" cm="1">
        <f t="array" ref="AI721">IFERROR(IF(AH721&lt;0,0,AH721/($R$675-INDEX(hd_off,MATCH(AQ721,hd_mark,0),0)/12)),0)</f>
        <v>0</v>
      </c>
      <c r="AJ721">
        <f>MAX($F$23,$AA$675)/$Q$692</f>
        <v>0</v>
      </c>
      <c r="AK721">
        <f t="shared" si="451"/>
        <v>0</v>
      </c>
      <c r="AL721" cm="1">
        <f t="array" ref="AL721">IFERROR(INDEX(sheath_ecap_asd,MATCH(AP721,sheath_mark,0),0)*AK721,0)</f>
        <v>0</v>
      </c>
      <c r="AM721" cm="1">
        <f t="array" ref="AM721">IFERROR(INDEX(sheath_wcap_asd,MATCH(AP721,sheath_mark,0),0)*AK721,0)</f>
        <v>0</v>
      </c>
      <c r="AN721" cm="1">
        <f t="array" ref="AN721">IFERROR(INDEX(hd_cap,MATCH(AQ721,hd_mark,0),0),0)</f>
        <v>0</v>
      </c>
      <c r="AP721" s="19"/>
      <c r="AQ721" s="19"/>
      <c r="AR721" s="100"/>
      <c r="AS721" s="93"/>
      <c r="AT721" s="109" t="s">
        <v>491</v>
      </c>
      <c r="AU721" t="str">
        <f>$Q$663</f>
        <v>L4</v>
      </c>
      <c r="AV721">
        <f>$E$23</f>
        <v>0</v>
      </c>
      <c r="AW721" cm="1">
        <f t="array" ref="AW721">IFERROR(IF(AV721=0,0,(INDEX($C$33:$C$38,MATCH($AZ$675,$B$33:$B$38,0),0)*(AV723+$BA$675)+$AW$675*COUNTIF(AV721:AV722,"&gt;0")*$C$32+$AY$675*$C$31)*$AU$675),0)</f>
        <v>0</v>
      </c>
      <c r="AX721">
        <f>IF(AV721=0,0,-(COUNTIF(AV721:AV722,"&gt;0")*$AW$675*$C$32+$AY$675*$C$31)*$H$27*$AU$675)</f>
        <v>0</v>
      </c>
      <c r="AY721">
        <f>IF(AV721=0,0,$AY$675*$H$26*$AU$675)</f>
        <v>0</v>
      </c>
      <c r="AZ721">
        <f>(0.6*AW721+0.7*AX721)*$AU$675/2</f>
        <v>0</v>
      </c>
      <c r="BA721">
        <f>AW721*$AU$675/2</f>
        <v>0</v>
      </c>
      <c r="BC721">
        <f>IF(AV721=0,0,$BG$675*$AP$663)</f>
        <v>0</v>
      </c>
      <c r="BD721">
        <f>IFERROR(BC721/$AU$675,0)</f>
        <v>0</v>
      </c>
      <c r="BE721">
        <f>BC721*($F$23+IF($F$23=0,0,($C$14+$C$15+IF($C$13="single",1.5,3)+3)/12))</f>
        <v>0</v>
      </c>
      <c r="BF721">
        <f>BE721-AZ721</f>
        <v>0</v>
      </c>
      <c r="BG721" cm="1">
        <f t="array" ref="BG721">IFERROR(IF(BF721&lt;0,0,BF721/($AU$675-INDEX(hd_off,MATCH(BT721,hd_mark,0),0)/12)),0)</f>
        <v>0</v>
      </c>
      <c r="BH721">
        <f>IF(AV721=0,0,$BG$675*$AM$663)</f>
        <v>0</v>
      </c>
      <c r="BI721">
        <f>IFERROR(BH721/$AU$675,0)</f>
        <v>0</v>
      </c>
      <c r="BJ721">
        <f>BH721*($F$23+IF($F$23=0,0,($C$14+$C$15+IF($C$13="single",1.5,3)+3)/12))</f>
        <v>0</v>
      </c>
      <c r="BK721">
        <f>BJ721-BA721</f>
        <v>0</v>
      </c>
      <c r="BL721" cm="1">
        <f t="array" ref="BL721">IFERROR(IF(BK721&lt;0,0,BK721/($AU$675-INDEX(hd_off,MATCH(BT721,hd_mark,0),0)/12)),0)</f>
        <v>0</v>
      </c>
      <c r="BM721">
        <f>MAX($F$23,$BD$675)/$Q$692</f>
        <v>0</v>
      </c>
      <c r="BN721">
        <f t="shared" si="452"/>
        <v>0</v>
      </c>
      <c r="BO721" cm="1">
        <f t="array" ref="BO721">IFERROR(INDEX(sheath_ecap_asd,MATCH(BS721,sheath_mark,0),0)*BN721,0)</f>
        <v>0</v>
      </c>
      <c r="BP721" cm="1">
        <f t="array" ref="BP721">IFERROR(INDEX(sheath_wcap_asd,MATCH(BS721,sheath_mark,0),0)*BN721,0)</f>
        <v>0</v>
      </c>
      <c r="BQ721" cm="1">
        <f t="array" ref="BQ721">IFERROR(INDEX(hd_cap,MATCH(BT721,hd_mark,0),0),0)</f>
        <v>0</v>
      </c>
      <c r="BS721" s="19"/>
      <c r="BT721" s="19"/>
      <c r="BU721" s="100"/>
    </row>
    <row r="722" x14ac:dyDescent="0.25">
      <c r="P722" s="93"/>
      <c r="Q722" s="111">
        <f>$R$675</f>
        <v>0</v>
      </c>
      <c r="R722" t="str">
        <f>$Q$664</f>
        <v>L5</v>
      </c>
      <c r="S722">
        <f>$E$24</f>
        <v>0</v>
      </c>
      <c r="T722" cm="1">
        <f t="array" ref="T722">IFERROR(IF(S722=0,0,(INDEX($C$33:$C$38,MATCH($W$675,$B$33:$B$38,0),0)*(S723+$X$675)+$T$675*COUNTIF(S722:S722,"&gt;0")*$C$32+$V$675*$C$31)*$R$675),0)</f>
        <v>0</v>
      </c>
      <c r="U722">
        <f>IF(S722=0,0,-(COUNTIF(S722:S722,"&gt;0")*$T$675*$C$32+$V$675*$C$31)*$H$27*$R$675)</f>
        <v>0</v>
      </c>
      <c r="V722">
        <f>IF(S722=0,0,$V$675*$H$26*$R$675)</f>
        <v>0</v>
      </c>
      <c r="W722">
        <f>(0.6*T722+0.7*U722)*$R$675/2</f>
        <v>0</v>
      </c>
      <c r="X722">
        <f>T722*$R$675/2</f>
        <v>0</v>
      </c>
      <c r="Z722">
        <f>IF(S722=0,0,$AD$675*$AP$664)</f>
        <v>0</v>
      </c>
      <c r="AA722">
        <f>IFERROR(Z722/$R$675,0)</f>
        <v>0</v>
      </c>
      <c r="AB722">
        <f>Z722*($F$24+IF($F$24=0,0,($C$14+$C$15+IF($C$13="single",1.5,3)+3)/12))</f>
        <v>0</v>
      </c>
      <c r="AC722">
        <f>AB722-W722</f>
        <v>0</v>
      </c>
      <c r="AD722" cm="1">
        <f t="array" ref="AD722">IFERROR(IF(AC722&lt;0,0,AC722/($R$675-INDEX(hd_off,MATCH(AQ722,hd_mark,0),0)/12)),0)</f>
        <v>0</v>
      </c>
      <c r="AE722">
        <f>IF(S722=0,0,$AD$675*$AM$664)</f>
        <v>0</v>
      </c>
      <c r="AF722">
        <f>IFERROR(AE722/$R$675,0)</f>
        <v>0</v>
      </c>
      <c r="AG722">
        <f>AE722*($F$24+IF($F$24=0,0,($C$14+$C$15+IF($C$13="single",1.5,3)+3)/12))</f>
        <v>0</v>
      </c>
      <c r="AH722">
        <f>AG722-X722</f>
        <v>0</v>
      </c>
      <c r="AI722" cm="1">
        <f t="array" ref="AI722">IFERROR(IF(AH722&lt;0,0,AH722/($R$675-INDEX(hd_off,MATCH(AQ722,hd_mark,0),0)/12)),0)</f>
        <v>0</v>
      </c>
      <c r="AJ722">
        <f>MAX($F$24,$AB$675)/$Q$692</f>
        <v>0</v>
      </c>
      <c r="AK722">
        <f t="shared" si="451"/>
        <v>0</v>
      </c>
      <c r="AL722" cm="1">
        <f t="array" ref="AL722">IFERROR(INDEX(sheath_ecap_asd,MATCH(AP722,sheath_mark,0),0)*AK722,0)</f>
        <v>0</v>
      </c>
      <c r="AM722" cm="1">
        <f t="array" ref="AM722">IFERROR(INDEX(sheath_wcap_asd,MATCH(AP722,sheath_mark,0),0)*AK722,0)</f>
        <v>0</v>
      </c>
      <c r="AN722" cm="1">
        <f t="array" ref="AN722">IFERROR(INDEX(hd_cap,MATCH(AQ722,hd_mark,0),0),0)</f>
        <v>0</v>
      </c>
      <c r="AP722" s="19"/>
      <c r="AQ722" s="19"/>
      <c r="AR722" s="100"/>
      <c r="AS722" s="93"/>
      <c r="AT722" s="111">
        <f>$R$675</f>
        <v>0</v>
      </c>
      <c r="AU722" t="str">
        <f>$Q$664</f>
        <v>L5</v>
      </c>
      <c r="AV722">
        <f>$E$24</f>
        <v>0</v>
      </c>
      <c r="AW722" cm="1">
        <f t="array" ref="AW722">IFERROR(IF(AV722=0,0,(INDEX($C$33:$C$38,MATCH($AZ$675,$B$33:$B$38,0),0)*(AV723+$BA$675)+$AW$675*COUNTIF(AV722:AV722,"&gt;0")*$C$32+$AY$675*$C$31)*$AU$675),0)</f>
        <v>0</v>
      </c>
      <c r="AX722">
        <f>IF(AV722=0,0,-(COUNTIF(AV722:AV722,"&gt;0")*$AW$675*$C$32+$AY$675*$C$31)*$H$27*$AU$675)</f>
        <v>0</v>
      </c>
      <c r="AY722">
        <f>IF(AV722=0,0,$AY$675*$H$26*$AU$675)</f>
        <v>0</v>
      </c>
      <c r="AZ722">
        <f>(0.6*AW722+0.7*AX722)*$AU$675/2</f>
        <v>0</v>
      </c>
      <c r="BA722">
        <f>AW722*$AU$675/2</f>
        <v>0</v>
      </c>
      <c r="BC722">
        <f>IF(AV722=0,0,$BG$675*$AP$664)</f>
        <v>0</v>
      </c>
      <c r="BD722">
        <f>IFERROR(BC722/$AU$675,0)</f>
        <v>0</v>
      </c>
      <c r="BE722">
        <f>BC722*($F$24+IF($F$24=0,0,($C$14+$C$15+IF($C$13="single",1.5,3)+3)/12))</f>
        <v>0</v>
      </c>
      <c r="BF722">
        <f>BE722-AZ722</f>
        <v>0</v>
      </c>
      <c r="BG722" cm="1">
        <f t="array" ref="BG722">IFERROR(IF(BF722&lt;0,0,BF722/($AU$675-INDEX(hd_off,MATCH(BT722,hd_mark,0),0)/12)),0)</f>
        <v>0</v>
      </c>
      <c r="BH722">
        <f>IF(AV722=0,0,$BG$675*$AM$664)</f>
        <v>0</v>
      </c>
      <c r="BI722">
        <f>IFERROR(BH722/$AU$675,0)</f>
        <v>0</v>
      </c>
      <c r="BJ722">
        <f>BH722*($F$24+IF($F$24=0,0,($C$14+$C$15+IF($C$13="single",1.5,3)+3)/12))</f>
        <v>0</v>
      </c>
      <c r="BK722">
        <f>BJ722-BA722</f>
        <v>0</v>
      </c>
      <c r="BL722" cm="1">
        <f t="array" ref="BL722">IFERROR(IF(BK722&lt;0,0,BK722/($AU$675-INDEX(hd_off,MATCH(BT722,hd_mark,0),0)/12)),0)</f>
        <v>0</v>
      </c>
      <c r="BM722">
        <f>MAX($F$24,$BE$675)/$Q$692</f>
        <v>0</v>
      </c>
      <c r="BN722">
        <f t="shared" si="452"/>
        <v>0</v>
      </c>
      <c r="BO722" cm="1">
        <f t="array" ref="BO722">IFERROR(INDEX(sheath_ecap_asd,MATCH(BS722,sheath_mark,0),0)*BN722,0)</f>
        <v>0</v>
      </c>
      <c r="BP722" cm="1">
        <f t="array" ref="BP722">IFERROR(INDEX(sheath_wcap_asd,MATCH(BS722,sheath_mark,0),0)*BN722,0)</f>
        <v>0</v>
      </c>
      <c r="BQ722" cm="1">
        <f t="array" ref="BQ722">IFERROR(INDEX(hd_cap,MATCH(BT722,hd_mark,0),0),0)</f>
        <v>0</v>
      </c>
      <c r="BS722" s="19"/>
      <c r="BT722" s="19"/>
      <c r="BU722" s="100"/>
    </row>
    <row r="723" x14ac:dyDescent="0.25">
      <c r="P723" s="93"/>
      <c r="Q723" s="109"/>
      <c r="R723" t="str">
        <f>$Q$665</f>
        <v>Roof</v>
      </c>
      <c r="S723">
        <f>$E$25</f>
        <v>33.171875</v>
      </c>
      <c r="T723" cm="1">
        <f t="array" ref="T723">IFERROR(IF(S723=0,0,(INDEX($C$33:$C$38,MATCH($W$675,$B$33:$B$38,0),0)*(S723+$X$675)+$V$675*$C$31)*$R$675),0)</f>
        <v>0</v>
      </c>
      <c r="U723">
        <f>IF(S723=0,0,-$V$675*$C$31*$H$27*$R$675)</f>
        <v>0</v>
      </c>
      <c r="V723">
        <f>IF(S723=0,0,$V$675*$H$26*$R$675)</f>
        <v>0</v>
      </c>
      <c r="W723">
        <f>(0.6*T723+0.7*U723)*$R$675/2</f>
        <v>0</v>
      </c>
      <c r="X723">
        <f>T723*$R$675/2</f>
        <v>0</v>
      </c>
      <c r="Z723">
        <f>IF(S723=0,0,$AD$675*$AP$665)</f>
        <v>0</v>
      </c>
      <c r="AA723">
        <f>IFERROR(Z723/$R$675,0)</f>
        <v>0</v>
      </c>
      <c r="AB723">
        <f>Z723*($F$25+($C$16+$C$17+IF($C$13="single",1.5,3)+3)/12)</f>
        <v>0</v>
      </c>
      <c r="AC723">
        <f>AB723-W723</f>
        <v>0</v>
      </c>
      <c r="AD723" cm="1">
        <f t="array" ref="AD723">IFERROR(IF(AC723&lt;0,0,AC723/($R$675-INDEX(hd_off,MATCH(AQ723,hd_mark,0),0)/12)),0)</f>
        <v>0</v>
      </c>
      <c r="AE723">
        <f>IF(S723=0,0,$AD$675*$AM$665)</f>
        <v>0</v>
      </c>
      <c r="AF723">
        <f>IFERROR(AE723/$R$675,0)</f>
        <v>0</v>
      </c>
      <c r="AG723">
        <f>AE723*($F$25+($C$16+$C$17+IF($C$13="single",1.5,3)+3)/12)</f>
        <v>0</v>
      </c>
      <c r="AH723">
        <f>AG723-X723</f>
        <v>0</v>
      </c>
      <c r="AI723" cm="1">
        <f t="array" ref="AI723">IFERROR(IF(AH723&lt;0,0,AH723/($R$675-INDEX(hd_off,MATCH(AQ723,hd_mark,0),0)/12)),0)</f>
        <v>0</v>
      </c>
      <c r="AJ723">
        <f>MAX($F$25,$AC$675)/$Q$692</f>
        <v>0.29920977011494249</v>
      </c>
      <c r="AK723">
        <f t="shared" si="451"/>
        <v>1</v>
      </c>
      <c r="AL723" cm="1">
        <f t="array" ref="AL723">IFERROR(INDEX(sheath_ecap_asd,MATCH(AP723,sheath_mark,0),0)*AK723,0)</f>
        <v>0</v>
      </c>
      <c r="AM723" cm="1">
        <f t="array" ref="AM723">IFERROR(INDEX(sheath_wcap_asd,MATCH(AP723,sheath_mark,0),0)*AK723,0)</f>
        <v>0</v>
      </c>
      <c r="AN723" cm="1">
        <f t="array" ref="AN723">IFERROR(INDEX(hd_cap,MATCH(AQ723,hd_mark,0),0),0)</f>
        <v>0</v>
      </c>
      <c r="AP723" s="19"/>
      <c r="AQ723" s="19"/>
      <c r="AR723" s="100"/>
      <c r="AS723" s="93"/>
      <c r="AT723" s="109"/>
      <c r="AU723" t="str">
        <f>$Q$665</f>
        <v>Roof</v>
      </c>
      <c r="AV723">
        <f>$E$25</f>
        <v>33.171875</v>
      </c>
      <c r="AW723" cm="1">
        <f t="array" ref="AW723">IFERROR(IF(AV723=0,0,(INDEX($C$33:$C$38,MATCH($AZ$675,$B$33:$B$38,0),0)*(AV723+$BA$675)+$AY$675*$C$31)*$AU$675),0)</f>
        <v>0</v>
      </c>
      <c r="AX723">
        <f>IF(AV723=0,0,-$AY$675*$C$31*$H$27*$AU$675)</f>
        <v>0</v>
      </c>
      <c r="AY723">
        <f>IF(AV723=0,0,$AY$675*$H$26*$AU$675)</f>
        <v>0</v>
      </c>
      <c r="AZ723">
        <f>(0.6*AW723+0.7*AX723)*$AU$675/2</f>
        <v>0</v>
      </c>
      <c r="BA723">
        <f>AW723*$AU$675/2</f>
        <v>0</v>
      </c>
      <c r="BC723">
        <f>IF(AV723=0,0,$BG$675*$AP$665)</f>
        <v>0</v>
      </c>
      <c r="BD723">
        <f>IFERROR(BC723/$AU$675,0)</f>
        <v>0</v>
      </c>
      <c r="BE723">
        <f>BC723*($F$25+($C$16+$C$17+IF($C$13="single",1.5,3)+3)/12)</f>
        <v>0</v>
      </c>
      <c r="BF723">
        <f>BE723-AZ723</f>
        <v>0</v>
      </c>
      <c r="BG723" cm="1">
        <f t="array" ref="BG723">IFERROR(IF(BF723&lt;0,0,BF723/($AU$675-INDEX(hd_off,MATCH(BT723,hd_mark,0),0)/12)),0)</f>
        <v>0</v>
      </c>
      <c r="BH723">
        <f>IF(AV723=0,0,$BG$675*$AM$665)</f>
        <v>0</v>
      </c>
      <c r="BI723">
        <f>IFERROR(BH723/$AU$675,0)</f>
        <v>0</v>
      </c>
      <c r="BJ723">
        <f>BH723*($F$25+($C$16+$C$17+IF($C$13="single",1.5,3)+3)/12)</f>
        <v>0</v>
      </c>
      <c r="BK723">
        <f>BJ723-BA723</f>
        <v>0</v>
      </c>
      <c r="BL723" cm="1">
        <f t="array" ref="BL723">IFERROR(IF(BK723&lt;0,0,BK723/($AU$675-INDEX(hd_off,MATCH(BT723,hd_mark,0),0)/12)),0)</f>
        <v>0</v>
      </c>
      <c r="BM723">
        <f>MAX($F$25,$BF$675)/$Q$692</f>
        <v>0.29920977011494249</v>
      </c>
      <c r="BN723">
        <f t="shared" si="452"/>
        <v>1</v>
      </c>
      <c r="BO723" cm="1">
        <f t="array" ref="BO723">IFERROR(INDEX(sheath_ecap_asd,MATCH(BS723,sheath_mark,0),0)*BN723,0)</f>
        <v>0</v>
      </c>
      <c r="BP723" cm="1">
        <f t="array" ref="BP723">IFERROR(INDEX(sheath_wcap_asd,MATCH(BS723,sheath_mark,0),0)*BN723,0)</f>
        <v>0</v>
      </c>
      <c r="BQ723" cm="1">
        <f t="array" ref="BQ723">IFERROR(INDEX(hd_cap,MATCH(BT723,hd_mark,0),0),0)</f>
        <v>0</v>
      </c>
      <c r="BS723" s="19"/>
      <c r="BT723" s="19"/>
      <c r="BU723" s="100"/>
    </row>
    <row r="724" x14ac:dyDescent="0.25">
      <c r="P724" s="93"/>
      <c r="AR724" s="100"/>
      <c r="AS724" s="93"/>
      <c r="BU724" s="100"/>
    </row>
    <row r="725" x14ac:dyDescent="0.25">
      <c r="P725" s="93"/>
      <c r="Q725" s="110" t="str">
        <f>$Q$676</f>
        <v>A.07</v>
      </c>
      <c r="R725" t="str">
        <f>$Q$661</f>
        <v>L2</v>
      </c>
      <c r="S725">
        <f>$E$21</f>
        <v>10.6875</v>
      </c>
      <c r="T725" cm="1">
        <f t="array" ref="T725">IFERROR(IF(S725=0,0,(INDEX($C$33:$C$38,MATCH($W$676,$B$33:$B$38,0),0)*(S729+$X$676)+$T$676*COUNTIF(S725:S728,"&gt;0")*$C$32+$V$676*$C$31)*$R$676),0)</f>
        <v>0</v>
      </c>
      <c r="U725">
        <f>IF(S725=0,0,-(COUNTIF(S725:S728,"&gt;0")*$T$676*$C$32+$V$676*$C$31)*$H$27*$R$676)</f>
        <v>0</v>
      </c>
      <c r="V725">
        <f>IF(S725=0,0,$V$676*$H$26*$R$676)</f>
        <v>0</v>
      </c>
      <c r="W725">
        <f>(0.6*T725+0.7*U725)*$R$676/2</f>
        <v>0</v>
      </c>
      <c r="X725">
        <f>(0.6*T725+0.6*V725)*$R$676/2</f>
        <v>0</v>
      </c>
      <c r="Z725">
        <f>IF(S725=0,0,$AD$676*$AP$661)</f>
        <v>0</v>
      </c>
      <c r="AA725">
        <f>IFERROR(Z725/$R$676,0)</f>
        <v>0</v>
      </c>
      <c r="AB725">
        <f>Z725*($F$21+IF($F$21=0,0,($C$14+$C$15+IF($C$13="single",1.5,3)+3)/12))</f>
        <v>0</v>
      </c>
      <c r="AC725">
        <f>AB725-W725</f>
        <v>0</v>
      </c>
      <c r="AD725" cm="1">
        <f t="array" ref="AD725">IFERROR(IF(AC725&lt;0,0,AC725/($R$676-INDEX(hd_off,MATCH(AQ725,hd_mark,0),0)/12)),0)</f>
        <v>0</v>
      </c>
      <c r="AE725">
        <f>IF(S725=0,0,$AD$676*$AM$661)</f>
        <v>0</v>
      </c>
      <c r="AF725">
        <f>IFERROR(AE725/$R$676,0)</f>
        <v>0</v>
      </c>
      <c r="AG725">
        <f>AE725*($F$21+IF($F$21=0,0,($C$14+$C$15+IF($C$13="single",1.5,3)+3)/12))</f>
        <v>0</v>
      </c>
      <c r="AH725">
        <f>AG725-X725</f>
        <v>0</v>
      </c>
      <c r="AI725" cm="1">
        <f t="array" ref="AI725">IFERROR(IF(AH725&lt;0,0,AH725/($R$676-INDEX(hd_off,MATCH(AQ725,hd_mark,0),0)/12)),0)</f>
        <v>0</v>
      </c>
      <c r="AJ725">
        <f>MAX($F$21,$Y$676)/$Q$692</f>
        <v>0.30172413793103448</v>
      </c>
      <c r="AK725">
        <f>IF(AJ725=0,0,IF(AJ725&gt;2,1.25-0.125*AJ725,1))</f>
        <v>1</v>
      </c>
      <c r="AL725" cm="1">
        <f t="array" ref="AL725">IFERROR(INDEX(sheath_ecap_asd,MATCH(AP725,sheath_mark,0),0)*AK725,0)</f>
        <v>0</v>
      </c>
      <c r="AM725" cm="1">
        <f t="array" ref="AM725">IFERROR(INDEX(sheath_wcap_asd,MATCH(AP725,sheath_mark,0),0)*AK725,0)</f>
        <v>0</v>
      </c>
      <c r="AN725" cm="1">
        <f t="array" ref="AN725">IFERROR(INDEX(hd_cap,MATCH(AQ725,hd_mark,0),0),0)</f>
        <v>0</v>
      </c>
      <c r="AP725" s="19"/>
      <c r="AQ725" s="19"/>
      <c r="AR725" s="100"/>
      <c r="AS725" s="93"/>
      <c r="AT725" s="110" t="str">
        <f>$AT$676</f>
        <v>1.07</v>
      </c>
      <c r="AU725" t="str">
        <f>$Q$661</f>
        <v>L2</v>
      </c>
      <c r="AV725">
        <f>$E$21</f>
        <v>10.6875</v>
      </c>
      <c r="AW725" cm="1">
        <f t="array" ref="AW725">IFERROR(IF(AV725=0,0,(INDEX($C$33:$C$38,MATCH($AZ$676,$B$33:$B$38,0),0)*(AV729+$BA$676)+$AW$676*COUNTIF(AV725:AV728,"&gt;0")*$C$32+$AY$676*$C$31)*$AU$676),0)</f>
        <v>0</v>
      </c>
      <c r="AX725">
        <f>IF(AV725=0,0,-(COUNTIF(AV725:AV728,"&gt;0")*$AW$676*$C$32+$AY$676*$C$31)*$H$27*$AU$676)</f>
        <v>0</v>
      </c>
      <c r="AY725">
        <f>IF(AV725=0,0,$AY$676*$H$26*$AU$676)</f>
        <v>0</v>
      </c>
      <c r="AZ725">
        <f>(0.6*AW725+0.7*AX725)*$AU$676/2</f>
        <v>0</v>
      </c>
      <c r="BA725">
        <f>(0.6*AW725+0.6*AY725)*$AU$676/2</f>
        <v>0</v>
      </c>
      <c r="BC725">
        <f>IF(AV725=0,0,$BG$676*$AP$661)</f>
        <v>0</v>
      </c>
      <c r="BD725">
        <f>IFERROR(BC725/$AU$676,0)</f>
        <v>0</v>
      </c>
      <c r="BE725">
        <f>BC725*($F$21+IF($F$21=0,0,($C$14+$C$15+IF($C$13="single",1.5,3)+3)/12))</f>
        <v>0</v>
      </c>
      <c r="BF725">
        <f>BE725-AZ725</f>
        <v>0</v>
      </c>
      <c r="BG725" cm="1">
        <f t="array" ref="BG725">IFERROR(IF(BF725&lt;0,0,BF725/($AU$676-INDEX(hd_off,MATCH(BT725,hd_mark,0),0)/12)),0)</f>
        <v>0</v>
      </c>
      <c r="BH725">
        <f>IF(AV725=0,0,$BG$676*$AM$661)</f>
        <v>0</v>
      </c>
      <c r="BI725">
        <f>IFERROR(BH725/$AU$676,0)</f>
        <v>0</v>
      </c>
      <c r="BJ725">
        <f>BH725*($F$21+IF($F$21=0,0,($C$14+$C$15+IF($C$13="single",1.5,3)+3)/12))</f>
        <v>0</v>
      </c>
      <c r="BK725">
        <f>BJ725-BA725</f>
        <v>0</v>
      </c>
      <c r="BL725" cm="1">
        <f t="array" ref="BL725">IFERROR(IF(BK725&lt;0,0,BK725/($AU$676-INDEX(hd_off,MATCH(BT725,hd_mark,0),0)/12)),0)</f>
        <v>0</v>
      </c>
      <c r="BM725">
        <f>MAX($F$21,$BB$676)/$Q$692</f>
        <v>0.30172413793103448</v>
      </c>
      <c r="BN725">
        <f>IF(BM725=0,0,IF(BM725&gt;2,1.25-0.125*BM725,1))</f>
        <v>1</v>
      </c>
      <c r="BO725" cm="1">
        <f t="array" ref="BO725">IFERROR(INDEX(sheath_ecap_asd,MATCH(BS725,sheath_mark,0),0)*BN725,0)</f>
        <v>0</v>
      </c>
      <c r="BP725" cm="1">
        <f t="array" ref="BP725">IFERROR(INDEX(sheath_wcap_asd,MATCH(BS725,sheath_mark,0),0)*BN725,0)</f>
        <v>0</v>
      </c>
      <c r="BQ725" cm="1">
        <f t="array" ref="BQ725">IFERROR(INDEX(hd_cap,MATCH(BT725,hd_mark,0),0),0)</f>
        <v>0</v>
      </c>
      <c r="BS725" s="19"/>
      <c r="BT725" s="19"/>
      <c r="BU725" s="100"/>
    </row>
    <row r="726" x14ac:dyDescent="0.25">
      <c r="P726" s="93"/>
      <c r="Q726" s="109"/>
      <c r="R726" t="str">
        <f>$Q$662</f>
        <v>L3</v>
      </c>
      <c r="S726">
        <f>$E$22</f>
        <v>21.375</v>
      </c>
      <c r="T726" cm="1">
        <f t="array" ref="T726">IFERROR(IF(S726=0,0,(INDEX($C$33:$C$38,MATCH($W$676,$B$33:$B$38,0),0)*(S729+$X$676)+$T$676*COUNTIF(S726:S728,"&gt;0")*$C$32+$V$676*$C$31)*$R$676),0)</f>
        <v>0</v>
      </c>
      <c r="U726">
        <f>IF(S726=0,0,-(COUNTIF(S726:S728,"&gt;0")*$T$676*$C$32+$V$676*$C$31)*$H$27*$R$676)</f>
        <v>0</v>
      </c>
      <c r="V726">
        <f>IF(S726=0,0,$V$676*$H$26*$R$676)</f>
        <v>0</v>
      </c>
      <c r="W726">
        <f>(0.6*T726+0.7*U726)*$R$676/2</f>
        <v>0</v>
      </c>
      <c r="X726">
        <f>T726*$R$676/2</f>
        <v>0</v>
      </c>
      <c r="Z726">
        <f>IF(S726=0,0,$AD$676*$AP$662)</f>
        <v>0</v>
      </c>
      <c r="AA726">
        <f>IFERROR(Z726/$R$676,0)</f>
        <v>0</v>
      </c>
      <c r="AB726">
        <f>Z726*($F$22+IF($F$22=0,0,($C$14+$C$15+IF($C$13="single",1.5,3)+3)/12))</f>
        <v>0</v>
      </c>
      <c r="AC726">
        <f>AB726-W726</f>
        <v>0</v>
      </c>
      <c r="AD726" cm="1">
        <f t="array" ref="AD726">IFERROR(IF(AC726&lt;0,0,AC726/($R$676-INDEX(hd_off,MATCH(AQ726,hd_mark,0),0)/12)),0)</f>
        <v>0</v>
      </c>
      <c r="AE726">
        <f>IF(S726=0,0,$AD$676*$AM$662)</f>
        <v>0</v>
      </c>
      <c r="AF726">
        <f>IFERROR(AE726/$R$676,0)</f>
        <v>0</v>
      </c>
      <c r="AG726">
        <f>AE726*($F$22+IF($F$22=0,0,($C$14+$C$15+IF($C$13="single",1.5,3)+3)/12))</f>
        <v>0</v>
      </c>
      <c r="AH726">
        <f>AG726-X726</f>
        <v>0</v>
      </c>
      <c r="AI726" cm="1">
        <f t="array" ref="AI726">IFERROR(IF(AH726&lt;0,0,AH726/($R$676-INDEX(hd_off,MATCH(AQ726,hd_mark,0),0)/12)),0)</f>
        <v>0</v>
      </c>
      <c r="AJ726">
        <f>MAX($F$22,$Z$676)/$Q$692</f>
        <v>0.30172413793103448</v>
      </c>
      <c r="AK726">
        <f t="shared" ref="AK726:AK729" si="453">IF(AJ726=0,0,IF(AJ726&gt;2,1.25-0.125*AJ726,1))</f>
        <v>1</v>
      </c>
      <c r="AL726" cm="1">
        <f t="array" ref="AL726">IFERROR(INDEX(sheath_ecap_asd,MATCH(AP726,sheath_mark,0),0)*AK726,0)</f>
        <v>0</v>
      </c>
      <c r="AM726" cm="1">
        <f t="array" ref="AM726">IFERROR(INDEX(sheath_wcap_asd,MATCH(AP726,sheath_mark,0),0)*AK726,0)</f>
        <v>0</v>
      </c>
      <c r="AN726" cm="1">
        <f t="array" ref="AN726">IFERROR(INDEX(hd_cap,MATCH(AQ726,hd_mark,0),0),0)</f>
        <v>0</v>
      </c>
      <c r="AP726" s="19"/>
      <c r="AQ726" s="19"/>
      <c r="AR726" s="100"/>
      <c r="AS726" s="93"/>
      <c r="AT726" s="109"/>
      <c r="AU726" t="str">
        <f>$Q$662</f>
        <v>L3</v>
      </c>
      <c r="AV726">
        <f>$E$22</f>
        <v>21.375</v>
      </c>
      <c r="AW726" cm="1">
        <f t="array" ref="AW726">IFERROR(IF(AV726=0,0,(INDEX($C$33:$C$38,MATCH($AZ$676,$B$33:$B$38,0),0)*(AV729+$BA$676)+$AW$676*COUNTIF(AV726:AV728,"&gt;0")*$C$32+$AY$676*$C$31)*$AU$676),0)</f>
        <v>0</v>
      </c>
      <c r="AX726">
        <f>IF(AV726=0,0,-(COUNTIF(AV726:AV728,"&gt;0")*$AW$676*$C$32+$AY$676*$C$31)*$H$27*$AU$676)</f>
        <v>0</v>
      </c>
      <c r="AY726">
        <f>IF(AV726=0,0,$AY$676*$H$26*$AU$676)</f>
        <v>0</v>
      </c>
      <c r="AZ726">
        <f>(0.6*AW726+0.7*AX726)*$AU$676/2</f>
        <v>0</v>
      </c>
      <c r="BA726">
        <f>AW726*$AU$676/2</f>
        <v>0</v>
      </c>
      <c r="BC726">
        <f>IF(AV726=0,0,$BG$676*$AP$662)</f>
        <v>0</v>
      </c>
      <c r="BD726">
        <f>IFERROR(BC726/$AU$676,0)</f>
        <v>0</v>
      </c>
      <c r="BE726">
        <f>BC726*($F$22+IF($F$22=0,0,($C$14+$C$15+IF($C$13="single",1.5,3)+3)/12))</f>
        <v>0</v>
      </c>
      <c r="BF726">
        <f>BE726-AZ726</f>
        <v>0</v>
      </c>
      <c r="BG726" cm="1">
        <f t="array" ref="BG726">IFERROR(IF(BF726&lt;0,0,BF726/($AU$676-INDEX(hd_off,MATCH(BT726,hd_mark,0),0)/12)),0)</f>
        <v>0</v>
      </c>
      <c r="BH726">
        <f>IF(AV726=0,0,$BG$676*$AM$662)</f>
        <v>0</v>
      </c>
      <c r="BI726">
        <f>IFERROR(BH726/$AU$676,0)</f>
        <v>0</v>
      </c>
      <c r="BJ726">
        <f>BH726*($F$22+IF($F$22=0,0,($C$14+$C$15+IF($C$13="single",1.5,3)+3)/12))</f>
        <v>0</v>
      </c>
      <c r="BK726">
        <f>BJ726-BA726</f>
        <v>0</v>
      </c>
      <c r="BL726" cm="1">
        <f t="array" ref="BL726">IFERROR(IF(BK726&lt;0,0,BK726/($AU$676-INDEX(hd_off,MATCH(BT726,hd_mark,0),0)/12)),0)</f>
        <v>0</v>
      </c>
      <c r="BM726">
        <f>MAX($F$22,$BC$676)/$Q$692</f>
        <v>0.30172413793103448</v>
      </c>
      <c r="BN726">
        <f t="shared" ref="BN726:BN729" si="454">IF(BM726=0,0,IF(BM726&gt;2,1.25-0.125*BM726,1))</f>
        <v>1</v>
      </c>
      <c r="BO726" cm="1">
        <f t="array" ref="BO726">IFERROR(INDEX(sheath_ecap_asd,MATCH(BS726,sheath_mark,0),0)*BN726,0)</f>
        <v>0</v>
      </c>
      <c r="BP726" cm="1">
        <f t="array" ref="BP726">IFERROR(INDEX(sheath_wcap_asd,MATCH(BS726,sheath_mark,0),0)*BN726,0)</f>
        <v>0</v>
      </c>
      <c r="BQ726" cm="1">
        <f t="array" ref="BQ726">IFERROR(INDEX(hd_cap,MATCH(BT726,hd_mark,0),0),0)</f>
        <v>0</v>
      </c>
      <c r="BS726" s="19"/>
      <c r="BT726" s="19"/>
      <c r="BU726" s="100"/>
    </row>
    <row r="727" x14ac:dyDescent="0.25">
      <c r="P727" s="93"/>
      <c r="Q727" s="109" t="s">
        <v>491</v>
      </c>
      <c r="R727" t="str">
        <f>$Q$663</f>
        <v>L4</v>
      </c>
      <c r="S727">
        <f>$E$23</f>
        <v>0</v>
      </c>
      <c r="T727" cm="1">
        <f t="array" ref="T727">IFERROR(IF(S727=0,0,(INDEX($C$33:$C$38,MATCH($W$676,$B$33:$B$38,0),0)*(S729+$X$676)+$T$676*COUNTIF(S727:S728,"&gt;0")*$C$32+$V$676*$C$31)*$R$676),0)</f>
        <v>0</v>
      </c>
      <c r="U727">
        <f>IF(S727=0,0,-(COUNTIF(S727:S728,"&gt;0")*$T$676*$C$32+$V$676*$C$31)*$H$27*$R$676)</f>
        <v>0</v>
      </c>
      <c r="V727">
        <f>IF(S727=0,0,$V$676*$H$26*$R$676)</f>
        <v>0</v>
      </c>
      <c r="W727">
        <f>(0.6*T727+0.7*U727)*$R$676/2</f>
        <v>0</v>
      </c>
      <c r="X727">
        <f>T727*$R$676/2</f>
        <v>0</v>
      </c>
      <c r="Z727">
        <f>IF(S727=0,0,$AD$676*$AP$663)</f>
        <v>0</v>
      </c>
      <c r="AA727">
        <f>IFERROR(Z727/$R$676,0)</f>
        <v>0</v>
      </c>
      <c r="AB727">
        <f>Z727*($F$23+IF($F$23=0,0,($C$14+$C$15+IF($C$13="single",1.5,3)+3)/12))</f>
        <v>0</v>
      </c>
      <c r="AC727">
        <f>AB727-W727</f>
        <v>0</v>
      </c>
      <c r="AD727" cm="1">
        <f t="array" ref="AD727">IFERROR(IF(AC727&lt;0,0,AC727/($R$676-INDEX(hd_off,MATCH(AQ727,hd_mark,0),0)/12)),0)</f>
        <v>0</v>
      </c>
      <c r="AE727">
        <f>IF(S727=0,0,$AD$676*$AM$663)</f>
        <v>0</v>
      </c>
      <c r="AF727">
        <f>IFERROR(AE727/$R$676,0)</f>
        <v>0</v>
      </c>
      <c r="AG727">
        <f>AE727*($F$23+IF($F$23=0,0,($C$14+$C$15+IF($C$13="single",1.5,3)+3)/12))</f>
        <v>0</v>
      </c>
      <c r="AH727">
        <f>AG727-X727</f>
        <v>0</v>
      </c>
      <c r="AI727" cm="1">
        <f t="array" ref="AI727">IFERROR(IF(AH727&lt;0,0,AH727/($R$676-INDEX(hd_off,MATCH(AQ727,hd_mark,0),0)/12)),0)</f>
        <v>0</v>
      </c>
      <c r="AJ727">
        <f>MAX($F$23,$AA$676)/$Q$692</f>
        <v>0</v>
      </c>
      <c r="AK727">
        <f t="shared" si="453"/>
        <v>0</v>
      </c>
      <c r="AL727" cm="1">
        <f t="array" ref="AL727">IFERROR(INDEX(sheath_ecap_asd,MATCH(AP727,sheath_mark,0),0)*AK727,0)</f>
        <v>0</v>
      </c>
      <c r="AM727" cm="1">
        <f t="array" ref="AM727">IFERROR(INDEX(sheath_wcap_asd,MATCH(AP727,sheath_mark,0),0)*AK727,0)</f>
        <v>0</v>
      </c>
      <c r="AN727" cm="1">
        <f t="array" ref="AN727">IFERROR(INDEX(hd_cap,MATCH(AQ727,hd_mark,0),0),0)</f>
        <v>0</v>
      </c>
      <c r="AP727" s="19"/>
      <c r="AQ727" s="19"/>
      <c r="AR727" s="100"/>
      <c r="AS727" s="93"/>
      <c r="AT727" s="109" t="s">
        <v>491</v>
      </c>
      <c r="AU727" t="str">
        <f>$Q$663</f>
        <v>L4</v>
      </c>
      <c r="AV727">
        <f>$E$23</f>
        <v>0</v>
      </c>
      <c r="AW727" cm="1">
        <f t="array" ref="AW727">IFERROR(IF(AV727=0,0,(INDEX($C$33:$C$38,MATCH($AZ$676,$B$33:$B$38,0),0)*(AV729+$BA$676)+$AW$676*COUNTIF(AV727:AV728,"&gt;0")*$C$32+$AY$676*$C$31)*$AU$676),0)</f>
        <v>0</v>
      </c>
      <c r="AX727">
        <f>IF(AV727=0,0,-(COUNTIF(AV727:AV728,"&gt;0")*$AW$676*$C$32+$AY$676*$C$31)*$H$27*$AU$676)</f>
        <v>0</v>
      </c>
      <c r="AY727">
        <f>IF(AV727=0,0,$AY$676*$H$26*$AU$676)</f>
        <v>0</v>
      </c>
      <c r="AZ727">
        <f>(0.6*AW727+0.7*AX727)*$AU$676/2</f>
        <v>0</v>
      </c>
      <c r="BA727">
        <f>AW727*$AU$676/2</f>
        <v>0</v>
      </c>
      <c r="BC727">
        <f>IF(AV727=0,0,$BG$676*$AP$663)</f>
        <v>0</v>
      </c>
      <c r="BD727">
        <f>IFERROR(BC727/$AU$676,0)</f>
        <v>0</v>
      </c>
      <c r="BE727">
        <f>BC727*($F$23+IF($F$23=0,0,($C$14+$C$15+IF($C$13="single",1.5,3)+3)/12))</f>
        <v>0</v>
      </c>
      <c r="BF727">
        <f>BE727-AZ727</f>
        <v>0</v>
      </c>
      <c r="BG727" cm="1">
        <f t="array" ref="BG727">IFERROR(IF(BF727&lt;0,0,BF727/($AU$676-INDEX(hd_off,MATCH(BT727,hd_mark,0),0)/12)),0)</f>
        <v>0</v>
      </c>
      <c r="BH727">
        <f>IF(AV727=0,0,$BG$676*$AM$663)</f>
        <v>0</v>
      </c>
      <c r="BI727">
        <f>IFERROR(BH727/$AU$676,0)</f>
        <v>0</v>
      </c>
      <c r="BJ727">
        <f>BH727*($F$23+IF($F$23=0,0,($C$14+$C$15+IF($C$13="single",1.5,3)+3)/12))</f>
        <v>0</v>
      </c>
      <c r="BK727">
        <f>BJ727-BA727</f>
        <v>0</v>
      </c>
      <c r="BL727" cm="1">
        <f t="array" ref="BL727">IFERROR(IF(BK727&lt;0,0,BK727/($AU$676-INDEX(hd_off,MATCH(BT727,hd_mark,0),0)/12)),0)</f>
        <v>0</v>
      </c>
      <c r="BM727">
        <f>MAX($F$23,$BD$676)/$Q$692</f>
        <v>0</v>
      </c>
      <c r="BN727">
        <f t="shared" si="454"/>
        <v>0</v>
      </c>
      <c r="BO727" cm="1">
        <f t="array" ref="BO727">IFERROR(INDEX(sheath_ecap_asd,MATCH(BS727,sheath_mark,0),0)*BN727,0)</f>
        <v>0</v>
      </c>
      <c r="BP727" cm="1">
        <f t="array" ref="BP727">IFERROR(INDEX(sheath_wcap_asd,MATCH(BS727,sheath_mark,0),0)*BN727,0)</f>
        <v>0</v>
      </c>
      <c r="BQ727" cm="1">
        <f t="array" ref="BQ727">IFERROR(INDEX(hd_cap,MATCH(BT727,hd_mark,0),0),0)</f>
        <v>0</v>
      </c>
      <c r="BS727" s="19"/>
      <c r="BT727" s="19"/>
      <c r="BU727" s="100"/>
    </row>
    <row r="728" x14ac:dyDescent="0.25">
      <c r="P728" s="93"/>
      <c r="Q728" s="111">
        <f>$R$676</f>
        <v>0</v>
      </c>
      <c r="R728" t="str">
        <f>$Q$664</f>
        <v>L5</v>
      </c>
      <c r="S728">
        <f>$E$24</f>
        <v>0</v>
      </c>
      <c r="T728" cm="1">
        <f t="array" ref="T728">IFERROR(IF(S728=0,0,(INDEX($C$33:$C$38,MATCH($W$676,$B$33:$B$38,0),0)*(S729+$X$676)+$T$676*COUNTIF(S728:S728,"&gt;0")*$C$32+$V$676*$C$31)*$R$676),0)</f>
        <v>0</v>
      </c>
      <c r="U728">
        <f>IF(S728=0,0,-(COUNTIF(S728:S728,"&gt;0")*$T$676*$C$32+$V$676*$C$31)*$H$27*$R$676)</f>
        <v>0</v>
      </c>
      <c r="V728">
        <f>IF(S728=0,0,$V$676*$H$26*$R$676)</f>
        <v>0</v>
      </c>
      <c r="W728">
        <f>(0.6*T728+0.7*U728)*$R$676/2</f>
        <v>0</v>
      </c>
      <c r="X728">
        <f>T728*$R$676/2</f>
        <v>0</v>
      </c>
      <c r="Z728">
        <f>IF(S728=0,0,$AD$676*$AP$664)</f>
        <v>0</v>
      </c>
      <c r="AA728">
        <f>IFERROR(Z728/$R$676,0)</f>
        <v>0</v>
      </c>
      <c r="AB728">
        <f>Z728*($F$24+IF($F$24=0,0,($C$14+$C$15+IF($C$13="single",1.5,3)+3)/12))</f>
        <v>0</v>
      </c>
      <c r="AC728">
        <f>AB728-W728</f>
        <v>0</v>
      </c>
      <c r="AD728" cm="1">
        <f t="array" ref="AD728">IFERROR(IF(AC728&lt;0,0,AC728/($R$676-INDEX(hd_off,MATCH(AQ728,hd_mark,0),0)/12)),0)</f>
        <v>0</v>
      </c>
      <c r="AE728">
        <f>IF(S728=0,0,$AD$676*$AM$664)</f>
        <v>0</v>
      </c>
      <c r="AF728">
        <f>IFERROR(AE728/$R$676,0)</f>
        <v>0</v>
      </c>
      <c r="AG728">
        <f>AE728*($F$24+IF($F$24=0,0,($C$14+$C$15+IF($C$13="single",1.5,3)+3)/12))</f>
        <v>0</v>
      </c>
      <c r="AH728">
        <f>AG728-X728</f>
        <v>0</v>
      </c>
      <c r="AI728" cm="1">
        <f t="array" ref="AI728">IFERROR(IF(AH728&lt;0,0,AH728/($R$676-INDEX(hd_off,MATCH(AQ728,hd_mark,0),0)/12)),0)</f>
        <v>0</v>
      </c>
      <c r="AJ728">
        <f>MAX($F$24,$AB$676)/$Q$692</f>
        <v>0</v>
      </c>
      <c r="AK728">
        <f t="shared" si="453"/>
        <v>0</v>
      </c>
      <c r="AL728" cm="1">
        <f t="array" ref="AL728">IFERROR(INDEX(sheath_ecap_asd,MATCH(AP728,sheath_mark,0),0)*AK728,0)</f>
        <v>0</v>
      </c>
      <c r="AM728" cm="1">
        <f t="array" ref="AM728">IFERROR(INDEX(sheath_wcap_asd,MATCH(AP728,sheath_mark,0),0)*AK728,0)</f>
        <v>0</v>
      </c>
      <c r="AN728" cm="1">
        <f t="array" ref="AN728">IFERROR(INDEX(hd_cap,MATCH(AQ728,hd_mark,0),0),0)</f>
        <v>0</v>
      </c>
      <c r="AP728" s="19"/>
      <c r="AQ728" s="19"/>
      <c r="AR728" s="100"/>
      <c r="AS728" s="93"/>
      <c r="AT728" s="111">
        <f>$R$676</f>
        <v>0</v>
      </c>
      <c r="AU728" t="str">
        <f>$Q$664</f>
        <v>L5</v>
      </c>
      <c r="AV728">
        <f>$E$24</f>
        <v>0</v>
      </c>
      <c r="AW728" cm="1">
        <f t="array" ref="AW728">IFERROR(IF(AV728=0,0,(INDEX($C$33:$C$38,MATCH($AZ$676,$B$33:$B$38,0),0)*(AV729+$BA$676)+$AW$676*COUNTIF(AV728:AV728,"&gt;0")*$C$32+$AY$676*$C$31)*$AU$676),0)</f>
        <v>0</v>
      </c>
      <c r="AX728">
        <f>IF(AV728=0,0,-(COUNTIF(AV728:AV728,"&gt;0")*$AW$676*$C$32+$AY$676*$C$31)*$H$27*$AU$676)</f>
        <v>0</v>
      </c>
      <c r="AY728">
        <f>IF(AV728=0,0,$AY$676*$H$26*$AU$676)</f>
        <v>0</v>
      </c>
      <c r="AZ728">
        <f>(0.6*AW728+0.7*AX728)*$AU$676/2</f>
        <v>0</v>
      </c>
      <c r="BA728">
        <f>AW728*$AU$676/2</f>
        <v>0</v>
      </c>
      <c r="BC728">
        <f>IF(AV728=0,0,$BG$676*$AP$664)</f>
        <v>0</v>
      </c>
      <c r="BD728">
        <f>IFERROR(BC728/$AU$676,0)</f>
        <v>0</v>
      </c>
      <c r="BE728">
        <f>BC728*($F$24+IF($F$24=0,0,($C$14+$C$15+IF($C$13="single",1.5,3)+3)/12))</f>
        <v>0</v>
      </c>
      <c r="BF728">
        <f>BE728-AZ728</f>
        <v>0</v>
      </c>
      <c r="BG728" cm="1">
        <f t="array" ref="BG728">IFERROR(IF(BF728&lt;0,0,BF728/($AU$676-INDEX(hd_off,MATCH(BT728,hd_mark,0),0)/12)),0)</f>
        <v>0</v>
      </c>
      <c r="BH728">
        <f>IF(AV728=0,0,$BG$676*$AM$664)</f>
        <v>0</v>
      </c>
      <c r="BI728">
        <f>IFERROR(BH728/$AU$676,0)</f>
        <v>0</v>
      </c>
      <c r="BJ728">
        <f>BH728*($F$24+IF($F$24=0,0,($C$14+$C$15+IF($C$13="single",1.5,3)+3)/12))</f>
        <v>0</v>
      </c>
      <c r="BK728">
        <f>BJ728-BA728</f>
        <v>0</v>
      </c>
      <c r="BL728" cm="1">
        <f t="array" ref="BL728">IFERROR(IF(BK728&lt;0,0,BK728/($AU$676-INDEX(hd_off,MATCH(BT728,hd_mark,0),0)/12)),0)</f>
        <v>0</v>
      </c>
      <c r="BM728">
        <f>MAX($F$24,$BE$676)/$Q$692</f>
        <v>0</v>
      </c>
      <c r="BN728">
        <f t="shared" si="454"/>
        <v>0</v>
      </c>
      <c r="BO728" cm="1">
        <f t="array" ref="BO728">IFERROR(INDEX(sheath_ecap_asd,MATCH(BS728,sheath_mark,0),0)*BN728,0)</f>
        <v>0</v>
      </c>
      <c r="BP728" cm="1">
        <f t="array" ref="BP728">IFERROR(INDEX(sheath_wcap_asd,MATCH(BS728,sheath_mark,0),0)*BN728,0)</f>
        <v>0</v>
      </c>
      <c r="BQ728" cm="1">
        <f t="array" ref="BQ728">IFERROR(INDEX(hd_cap,MATCH(BT728,hd_mark,0),0),0)</f>
        <v>0</v>
      </c>
      <c r="BS728" s="19"/>
      <c r="BT728" s="19"/>
      <c r="BU728" s="100"/>
    </row>
    <row r="729" x14ac:dyDescent="0.25">
      <c r="P729" s="93"/>
      <c r="Q729" s="109"/>
      <c r="R729" t="str">
        <f>$Q$665</f>
        <v>Roof</v>
      </c>
      <c r="S729">
        <f>$E$25</f>
        <v>33.171875</v>
      </c>
      <c r="T729" cm="1">
        <f t="array" ref="T729">IFERROR(IF(S729=0,0,(INDEX($C$33:$C$38,MATCH($W$676,$B$33:$B$38,0),0)*(S729+$X$676)+$V$676*$C$31)*$R$676),0)</f>
        <v>0</v>
      </c>
      <c r="U729">
        <f>IF(S729=0,0,-$V$676*$C$31*$H$27*$R$676)</f>
        <v>0</v>
      </c>
      <c r="V729">
        <f>IF(S729=0,0,$V$676*$H$26*$R$676)</f>
        <v>0</v>
      </c>
      <c r="W729">
        <f>(0.6*T729+0.7*U729)*$R$676/2</f>
        <v>0</v>
      </c>
      <c r="X729">
        <f>T729*$R$676/2</f>
        <v>0</v>
      </c>
      <c r="Z729">
        <f>IF(S729=0,0,$AD$676*$AP$665)</f>
        <v>0</v>
      </c>
      <c r="AA729">
        <f>IFERROR(Z729/$R$676,0)</f>
        <v>0</v>
      </c>
      <c r="AB729">
        <f>Z729*($F$25+($C$16+$C$17+IF($C$13="single",1.5,3)+3)/12)</f>
        <v>0</v>
      </c>
      <c r="AC729">
        <f>AB729-W729</f>
        <v>0</v>
      </c>
      <c r="AD729" cm="1">
        <f t="array" ref="AD729">IFERROR(IF(AC729&lt;0,0,AC729/($R$676-INDEX(hd_off,MATCH(AQ729,hd_mark,0),0)/12)),0)</f>
        <v>0</v>
      </c>
      <c r="AE729">
        <f>IF(S729=0,0,$AD$676*$AM$665)</f>
        <v>0</v>
      </c>
      <c r="AF729">
        <f>IFERROR(AE729/$R$676,0)</f>
        <v>0</v>
      </c>
      <c r="AG729">
        <f>AE729*($F$25+($C$16+$C$17+IF($C$13="single",1.5,3)+3)/12)</f>
        <v>0</v>
      </c>
      <c r="AH729">
        <f>AG729-X729</f>
        <v>0</v>
      </c>
      <c r="AI729" cm="1">
        <f t="array" ref="AI729">IFERROR(IF(AH729&lt;0,0,AH729/($R$676-INDEX(hd_off,MATCH(AQ729,hd_mark,0),0)/12)),0)</f>
        <v>0</v>
      </c>
      <c r="AJ729">
        <f>MAX($F$25,$AC$676)/$Q$692</f>
        <v>0.29920977011494249</v>
      </c>
      <c r="AK729">
        <f t="shared" si="453"/>
        <v>1</v>
      </c>
      <c r="AL729" cm="1">
        <f t="array" ref="AL729">IFERROR(INDEX(sheath_ecap_asd,MATCH(AP729,sheath_mark,0),0)*AK729,0)</f>
        <v>0</v>
      </c>
      <c r="AM729" cm="1">
        <f t="array" ref="AM729">IFERROR(INDEX(sheath_wcap_asd,MATCH(AP729,sheath_mark,0),0)*AK729,0)</f>
        <v>0</v>
      </c>
      <c r="AN729" cm="1">
        <f t="array" ref="AN729">IFERROR(INDEX(hd_cap,MATCH(AQ729,hd_mark,0),0),0)</f>
        <v>0</v>
      </c>
      <c r="AP729" s="19"/>
      <c r="AQ729" s="19"/>
      <c r="AR729" s="100"/>
      <c r="AS729" s="93"/>
      <c r="AT729" s="109"/>
      <c r="AU729" t="str">
        <f>$Q$665</f>
        <v>Roof</v>
      </c>
      <c r="AV729">
        <f>$E$25</f>
        <v>33.171875</v>
      </c>
      <c r="AW729" cm="1">
        <f t="array" ref="AW729">IFERROR(IF(AV729=0,0,(INDEX($C$33:$C$38,MATCH($AZ$676,$B$33:$B$38,0),0)*(AV729+$BA$676)+$AY$676*$C$31)*$AU$676),0)</f>
        <v>0</v>
      </c>
      <c r="AX729">
        <f>IF(AV729=0,0,-$AY$676*$C$31*$H$27*$AU$676)</f>
        <v>0</v>
      </c>
      <c r="AY729">
        <f>IF(AV729=0,0,$AY$676*$H$26*$AU$676)</f>
        <v>0</v>
      </c>
      <c r="AZ729">
        <f>(0.6*AW729+0.7*AX729)*$AU$676/2</f>
        <v>0</v>
      </c>
      <c r="BA729">
        <f>AW729*$AU$676/2</f>
        <v>0</v>
      </c>
      <c r="BC729">
        <f>IF(AV729=0,0,$BG$676*$AP$665)</f>
        <v>0</v>
      </c>
      <c r="BD729">
        <f>IFERROR(BC729/$AU$676,0)</f>
        <v>0</v>
      </c>
      <c r="BE729">
        <f>BC729*($F$25+($C$16+$C$17+IF($C$13="single",1.5,3)+3)/12)</f>
        <v>0</v>
      </c>
      <c r="BF729">
        <f>BE729-AZ729</f>
        <v>0</v>
      </c>
      <c r="BG729" cm="1">
        <f t="array" ref="BG729">IFERROR(IF(BF729&lt;0,0,BF729/($AU$676-INDEX(hd_off,MATCH(BT729,hd_mark,0),0)/12)),0)</f>
        <v>0</v>
      </c>
      <c r="BH729">
        <f>IF(AV729=0,0,$BG$676*$AM$665)</f>
        <v>0</v>
      </c>
      <c r="BI729">
        <f>IFERROR(BH729/$AU$676,0)</f>
        <v>0</v>
      </c>
      <c r="BJ729">
        <f>BH729*($F$25+($C$16+$C$17+IF($C$13="single",1.5,3)+3)/12)</f>
        <v>0</v>
      </c>
      <c r="BK729">
        <f>BJ729-BA729</f>
        <v>0</v>
      </c>
      <c r="BL729" cm="1">
        <f t="array" ref="BL729">IFERROR(IF(BK729&lt;0,0,BK729/($AU$676-INDEX(hd_off,MATCH(BT729,hd_mark,0),0)/12)),0)</f>
        <v>0</v>
      </c>
      <c r="BM729">
        <f>MAX($F$25,$BF$676)/$Q$692</f>
        <v>0.29920977011494249</v>
      </c>
      <c r="BN729">
        <f t="shared" si="454"/>
        <v>1</v>
      </c>
      <c r="BO729" cm="1">
        <f t="array" ref="BO729">IFERROR(INDEX(sheath_ecap_asd,MATCH(BS729,sheath_mark,0),0)*BN729,0)</f>
        <v>0</v>
      </c>
      <c r="BP729" cm="1">
        <f t="array" ref="BP729">IFERROR(INDEX(sheath_wcap_asd,MATCH(BS729,sheath_mark,0),0)*BN729,0)</f>
        <v>0</v>
      </c>
      <c r="BQ729" cm="1">
        <f t="array" ref="BQ729">IFERROR(INDEX(hd_cap,MATCH(BT729,hd_mark,0),0),0)</f>
        <v>0</v>
      </c>
      <c r="BS729" s="19"/>
      <c r="BT729" s="19"/>
      <c r="BU729" s="100"/>
    </row>
    <row r="730" x14ac:dyDescent="0.25">
      <c r="P730" s="93"/>
      <c r="AR730" s="100"/>
      <c r="AS730" s="93"/>
      <c r="BU730" s="100"/>
    </row>
    <row r="731" x14ac:dyDescent="0.25">
      <c r="P731" s="93"/>
      <c r="Q731" s="110" t="str">
        <f>$Q$677</f>
        <v>A.08</v>
      </c>
      <c r="R731" t="str">
        <f>$Q$661</f>
        <v>L2</v>
      </c>
      <c r="S731">
        <f>$E$21</f>
        <v>10.6875</v>
      </c>
      <c r="T731" cm="1">
        <f t="array" ref="T731">IFERROR(IF(S731=0,0,(INDEX($C$33:$C$38,MATCH($W$677,$B$33:$B$38,0),0)*(S735+$X$677)+$T$677*COUNTIF(S731:S734,"&gt;0")*$C$32+$V$677*$C$31)*$R$677),0)</f>
        <v>0</v>
      </c>
      <c r="U731">
        <f>IF(S731=0,0,-(COUNTIF(S731:S734,"&gt;0")*$T$677*$C$32+$V$677*$C$31)*$H$27*$R$677)</f>
        <v>0</v>
      </c>
      <c r="V731">
        <f>IF(S731=0,0,$V$677*$H$26*$R$677)</f>
        <v>0</v>
      </c>
      <c r="W731">
        <f>(0.6*T731+0.7*U731)*$R$677/2</f>
        <v>0</v>
      </c>
      <c r="X731">
        <f>(0.6*T731+0.6*V731)*$R$677/2</f>
        <v>0</v>
      </c>
      <c r="Z731">
        <f>IF(S731=0,0,$AD$677*$AP$661)</f>
        <v>0</v>
      </c>
      <c r="AA731">
        <f>IFERROR(Z731/$R$677,0)</f>
        <v>0</v>
      </c>
      <c r="AB731">
        <f>Z731*($F$21+IF($F$21=0,0,($C$14+$C$15+IF($C$13="single",1.5,3)+3)/12))</f>
        <v>0</v>
      </c>
      <c r="AC731">
        <f>AB731-W731</f>
        <v>0</v>
      </c>
      <c r="AD731" cm="1">
        <f t="array" ref="AD731">IFERROR(IF(AC731&lt;0,0,AC731/($R$677-INDEX(hd_off,MATCH(AQ731,hd_mark,0),0)/12)),0)</f>
        <v>0</v>
      </c>
      <c r="AE731">
        <f>IF(S731=0,0,$AD$677*$AM$661)</f>
        <v>0</v>
      </c>
      <c r="AF731">
        <f>IFERROR(AE731/$R$677,0)</f>
        <v>0</v>
      </c>
      <c r="AG731">
        <f>AE731*($F$21+IF($F$21=0,0,($C$14+$C$15+IF($C$13="single",1.5,3)+3)/12))</f>
        <v>0</v>
      </c>
      <c r="AH731">
        <f>AG731-X731</f>
        <v>0</v>
      </c>
      <c r="AI731" cm="1">
        <f t="array" ref="AI731">IFERROR(IF(AH731&lt;0,0,AH731/($R$677-INDEX(hd_off,MATCH(AQ731,hd_mark,0),0)/12)),0)</f>
        <v>0</v>
      </c>
      <c r="AJ731">
        <f>MAX($F$21,$Y$677)/$Q$692</f>
        <v>0.30172413793103448</v>
      </c>
      <c r="AK731">
        <f>IF(AJ731=0,0,IF(AJ731&gt;2,1.25-0.125*AJ731,1))</f>
        <v>1</v>
      </c>
      <c r="AL731" cm="1">
        <f t="array" ref="AL731">IFERROR(INDEX(sheath_ecap_asd,MATCH(AP731,sheath_mark,0),0)*AK731,0)</f>
        <v>0</v>
      </c>
      <c r="AM731" cm="1">
        <f t="array" ref="AM731">IFERROR(INDEX(sheath_wcap_asd,MATCH(AP731,sheath_mark,0),0)*AK731,0)</f>
        <v>0</v>
      </c>
      <c r="AN731" cm="1">
        <f t="array" ref="AN731">IFERROR(INDEX(hd_cap,MATCH(AQ731,hd_mark,0),0),0)</f>
        <v>0</v>
      </c>
      <c r="AP731" s="19"/>
      <c r="AQ731" s="19"/>
      <c r="AR731" s="100"/>
      <c r="AS731" s="93"/>
      <c r="AT731" s="110" t="str">
        <f>$AT$677</f>
        <v>1.08</v>
      </c>
      <c r="AU731" t="str">
        <f>$Q$661</f>
        <v>L2</v>
      </c>
      <c r="AV731">
        <f>$E$21</f>
        <v>10.6875</v>
      </c>
      <c r="AW731" cm="1">
        <f t="array" ref="AW731">IFERROR(IF(AV731=0,0,(INDEX($C$33:$C$38,MATCH($AZ$677,$B$33:$B$38,0),0)*(AV735+$BA$677)+$AW$677*COUNTIF(AV731:AV734,"&gt;0")*$C$32+$AY$677*$C$31)*$AU$677),0)</f>
        <v>0</v>
      </c>
      <c r="AX731">
        <f>IF(AV731=0,0,-(COUNTIF(AV731:AV734,"&gt;0")*$AW$677*$C$32+$AY$677*$C$31)*$H$27*$AU$677)</f>
        <v>0</v>
      </c>
      <c r="AY731">
        <f>IF(AV731=0,0,$AY$677*$H$26*$AU$677)</f>
        <v>0</v>
      </c>
      <c r="AZ731">
        <f>(0.6*AW731+0.7*AX731)*$AU$677/2</f>
        <v>0</v>
      </c>
      <c r="BA731">
        <f>(0.6*AW731+0.6*AY731)*$AU$677/2</f>
        <v>0</v>
      </c>
      <c r="BC731">
        <f>IF(AV731=0,0,$BG$677*$AP$661)</f>
        <v>0</v>
      </c>
      <c r="BD731">
        <f>IFERROR(BC731/$AU$677,0)</f>
        <v>0</v>
      </c>
      <c r="BE731">
        <f>BC731*($F$21+IF($F$21=0,0,($C$14+$C$15+IF($C$13="single",1.5,3)+3)/12))</f>
        <v>0</v>
      </c>
      <c r="BF731">
        <f>BE731-AZ731</f>
        <v>0</v>
      </c>
      <c r="BG731" cm="1">
        <f t="array" ref="BG731">IFERROR(IF(BF731&lt;0,0,BF731/($AU$677-INDEX(hd_off,MATCH(BT731,hd_mark,0),0)/12)),0)</f>
        <v>0</v>
      </c>
      <c r="BH731">
        <f>IF(AV731=0,0,$BG$677*$AM$661)</f>
        <v>0</v>
      </c>
      <c r="BI731">
        <f>IFERROR(BH731/$AU$677,0)</f>
        <v>0</v>
      </c>
      <c r="BJ731">
        <f>BH731*($F$21+IF($F$21=0,0,($C$14+$C$15+IF($C$13="single",1.5,3)+3)/12))</f>
        <v>0</v>
      </c>
      <c r="BK731">
        <f>BJ731-BA731</f>
        <v>0</v>
      </c>
      <c r="BL731" cm="1">
        <f t="array" ref="BL731">IFERROR(IF(BK731&lt;0,0,BK731/($AU$677-INDEX(hd_off,MATCH(BT731,hd_mark,0),0)/12)),0)</f>
        <v>0</v>
      </c>
      <c r="BM731">
        <f>MAX($F$21,$BB$677)/$Q$692</f>
        <v>0.30172413793103448</v>
      </c>
      <c r="BN731">
        <f>IF(BM731=0,0,IF(BM731&gt;2,1.25-0.125*BM731,1))</f>
        <v>1</v>
      </c>
      <c r="BO731" cm="1">
        <f t="array" ref="BO731">IFERROR(INDEX(sheath_ecap_asd,MATCH(BS731,sheath_mark,0),0)*BN731,0)</f>
        <v>0</v>
      </c>
      <c r="BP731" cm="1">
        <f t="array" ref="BP731">IFERROR(INDEX(sheath_wcap_asd,MATCH(BS731,sheath_mark,0),0)*BN731,0)</f>
        <v>0</v>
      </c>
      <c r="BQ731" cm="1">
        <f t="array" ref="BQ731">IFERROR(INDEX(hd_cap,MATCH(BT731,hd_mark,0),0),0)</f>
        <v>0</v>
      </c>
      <c r="BS731" s="19"/>
      <c r="BT731" s="19"/>
      <c r="BU731" s="100"/>
    </row>
    <row r="732" x14ac:dyDescent="0.25">
      <c r="P732" s="93"/>
      <c r="Q732" s="109"/>
      <c r="R732" t="str">
        <f>$Q$662</f>
        <v>L3</v>
      </c>
      <c r="S732">
        <f>$E$22</f>
        <v>21.375</v>
      </c>
      <c r="T732" cm="1">
        <f t="array" ref="T732">IFERROR(IF(S732=0,0,(INDEX($C$33:$C$38,MATCH($W$677,$B$33:$B$38,0),0)*(S735+$X$677)+$T$677*COUNTIF(S732:S734,"&gt;0")*$C$32+$V$677*$C$31)*$R$677),0)</f>
        <v>0</v>
      </c>
      <c r="U732">
        <f>IF(S732=0,0,-(COUNTIF(S732:S734,"&gt;0")*$T$677*$C$32+$V$677*$C$31)*$H$27*$R$677)</f>
        <v>0</v>
      </c>
      <c r="V732">
        <f>IF(S732=0,0,$V$677*$H$26*$R$677)</f>
        <v>0</v>
      </c>
      <c r="W732">
        <f>(0.6*T732+0.7*U732)*$R$677/2</f>
        <v>0</v>
      </c>
      <c r="X732">
        <f>T732*$R$677/2</f>
        <v>0</v>
      </c>
      <c r="Z732">
        <f>IF(S732=0,0,$AD$677*$AP$662)</f>
        <v>0</v>
      </c>
      <c r="AA732">
        <f>IFERROR(Z732/$R$677,0)</f>
        <v>0</v>
      </c>
      <c r="AB732">
        <f>Z732*($F$22+IF($F$22=0,0,($C$14+$C$15+IF($C$13="single",1.5,3)+3)/12))</f>
        <v>0</v>
      </c>
      <c r="AC732">
        <f>AB732-W732</f>
        <v>0</v>
      </c>
      <c r="AD732" cm="1">
        <f t="array" ref="AD732">IFERROR(IF(AC732&lt;0,0,AC732/($R$677-INDEX(hd_off,MATCH(AQ732,hd_mark,0),0)/12)),0)</f>
        <v>0</v>
      </c>
      <c r="AE732">
        <f>IF(S732=0,0,$AD$677*$AM$662)</f>
        <v>0</v>
      </c>
      <c r="AF732">
        <f>IFERROR(AE732/$R$677,0)</f>
        <v>0</v>
      </c>
      <c r="AG732">
        <f>AE732*($F$22+IF($F$22=0,0,($C$14+$C$15+IF($C$13="single",1.5,3)+3)/12))</f>
        <v>0</v>
      </c>
      <c r="AH732">
        <f>AG732-X732</f>
        <v>0</v>
      </c>
      <c r="AI732" cm="1">
        <f t="array" ref="AI732">IFERROR(IF(AH732&lt;0,0,AH732/($R$677-INDEX(hd_off,MATCH(AQ732,hd_mark,0),0)/12)),0)</f>
        <v>0</v>
      </c>
      <c r="AJ732">
        <f>MAX($F$22,$Z$677)/$Q$692</f>
        <v>0.30172413793103448</v>
      </c>
      <c r="AK732">
        <f t="shared" ref="AK732:AK735" si="455">IF(AJ732=0,0,IF(AJ732&gt;2,1.25-0.125*AJ732,1))</f>
        <v>1</v>
      </c>
      <c r="AL732" cm="1">
        <f t="array" ref="AL732">IFERROR(INDEX(sheath_ecap_asd,MATCH(AP732,sheath_mark,0),0)*AK732,0)</f>
        <v>0</v>
      </c>
      <c r="AM732" cm="1">
        <f t="array" ref="AM732">IFERROR(INDEX(sheath_wcap_asd,MATCH(AP732,sheath_mark,0),0)*AK732,0)</f>
        <v>0</v>
      </c>
      <c r="AN732" cm="1">
        <f t="array" ref="AN732">IFERROR(INDEX(hd_cap,MATCH(AQ732,hd_mark,0),0),0)</f>
        <v>0</v>
      </c>
      <c r="AP732" s="19"/>
      <c r="AQ732" s="19"/>
      <c r="AR732" s="100"/>
      <c r="AS732" s="93"/>
      <c r="AT732" s="109"/>
      <c r="AU732" t="str">
        <f>$Q$662</f>
        <v>L3</v>
      </c>
      <c r="AV732">
        <f>$E$22</f>
        <v>21.375</v>
      </c>
      <c r="AW732" cm="1">
        <f t="array" ref="AW732">IFERROR(IF(AV732=0,0,(INDEX($C$33:$C$38,MATCH($AZ$677,$B$33:$B$38,0),0)*(AV735+$BA$677)+$AW$677*COUNTIF(AV732:AV734,"&gt;0")*$C$32+$AY$677*$C$31)*$AU$677),0)</f>
        <v>0</v>
      </c>
      <c r="AX732">
        <f>IF(AV732=0,0,-(COUNTIF(AV732:AV734,"&gt;0")*$AW$677*$C$32+$AY$677*$C$31)*$H$27*$AU$677)</f>
        <v>0</v>
      </c>
      <c r="AY732">
        <f>IF(AV732=0,0,$AY$677*$H$26*$AU$677)</f>
        <v>0</v>
      </c>
      <c r="AZ732">
        <f>(0.6*AW732+0.7*AX732)*$AU$677/2</f>
        <v>0</v>
      </c>
      <c r="BA732">
        <f>AW732*$AU$677/2</f>
        <v>0</v>
      </c>
      <c r="BC732">
        <f>IF(AV732=0,0,$BG$677*$AP$662)</f>
        <v>0</v>
      </c>
      <c r="BD732">
        <f>IFERROR(BC732/$AU$677,0)</f>
        <v>0</v>
      </c>
      <c r="BE732">
        <f>BC732*($F$22+IF($F$22=0,0,($C$14+$C$15+IF($C$13="single",1.5,3)+3)/12))</f>
        <v>0</v>
      </c>
      <c r="BF732">
        <f>BE732-AZ732</f>
        <v>0</v>
      </c>
      <c r="BG732" cm="1">
        <f t="array" ref="BG732">IFERROR(IF(BF732&lt;0,0,BF732/($AU$677-INDEX(hd_off,MATCH(BT732,hd_mark,0),0)/12)),0)</f>
        <v>0</v>
      </c>
      <c r="BH732">
        <f>IF(AV732=0,0,$BG$677*$AM$662)</f>
        <v>0</v>
      </c>
      <c r="BI732">
        <f>IFERROR(BH732/$AU$677,0)</f>
        <v>0</v>
      </c>
      <c r="BJ732">
        <f>BH732*($F$22+IF($F$22=0,0,($C$14+$C$15+IF($C$13="single",1.5,3)+3)/12))</f>
        <v>0</v>
      </c>
      <c r="BK732">
        <f>BJ732-BA732</f>
        <v>0</v>
      </c>
      <c r="BL732" cm="1">
        <f t="array" ref="BL732">IFERROR(IF(BK732&lt;0,0,BK732/($AU$677-INDEX(hd_off,MATCH(BT732,hd_mark,0),0)/12)),0)</f>
        <v>0</v>
      </c>
      <c r="BM732">
        <f>MAX($F$22,$BC$677)/$Q$692</f>
        <v>0.30172413793103448</v>
      </c>
      <c r="BN732">
        <f t="shared" ref="BN732:BN735" si="456">IF(BM732=0,0,IF(BM732&gt;2,1.25-0.125*BM732,1))</f>
        <v>1</v>
      </c>
      <c r="BO732" cm="1">
        <f t="array" ref="BO732">IFERROR(INDEX(sheath_ecap_asd,MATCH(BS732,sheath_mark,0),0)*BN732,0)</f>
        <v>0</v>
      </c>
      <c r="BP732" cm="1">
        <f t="array" ref="BP732">IFERROR(INDEX(sheath_wcap_asd,MATCH(BS732,sheath_mark,0),0)*BN732,0)</f>
        <v>0</v>
      </c>
      <c r="BQ732" cm="1">
        <f t="array" ref="BQ732">IFERROR(INDEX(hd_cap,MATCH(BT732,hd_mark,0),0),0)</f>
        <v>0</v>
      </c>
      <c r="BS732" s="19"/>
      <c r="BT732" s="19"/>
      <c r="BU732" s="100"/>
    </row>
    <row r="733" x14ac:dyDescent="0.25">
      <c r="P733" s="93"/>
      <c r="Q733" s="109" t="s">
        <v>491</v>
      </c>
      <c r="R733" t="str">
        <f>$Q$663</f>
        <v>L4</v>
      </c>
      <c r="S733">
        <f>$E$23</f>
        <v>0</v>
      </c>
      <c r="T733" cm="1">
        <f t="array" ref="T733">IFERROR(IF(S733=0,0,(INDEX($C$33:$C$38,MATCH($W$677,$B$33:$B$38,0),0)*(S735+$X$677)+$T$677*COUNTIF(S733:S734,"&gt;0")*$C$32+$V$677*$C$31)*$R$677),0)</f>
        <v>0</v>
      </c>
      <c r="U733">
        <f>IF(S733=0,0,-(COUNTIF(S733:S734,"&gt;0")*$T$677*$C$32+$V$677*$C$31)*$H$27*$R$677)</f>
        <v>0</v>
      </c>
      <c r="V733">
        <f>IF(S733=0,0,$V$677*$H$26*$R$677)</f>
        <v>0</v>
      </c>
      <c r="W733">
        <f>(0.6*T733+0.7*U733)*$R$677/2</f>
        <v>0</v>
      </c>
      <c r="X733">
        <f>T733*$R$677/2</f>
        <v>0</v>
      </c>
      <c r="Z733">
        <f>IF(S733=0,0,$AD$677*$AP$663)</f>
        <v>0</v>
      </c>
      <c r="AA733">
        <f>IFERROR(Z733/$R$677,0)</f>
        <v>0</v>
      </c>
      <c r="AB733">
        <f>Z733*($F$23+IF($F$23=0,0,($C$14+$C$15+IF($C$13="single",1.5,3)+3)/12))</f>
        <v>0</v>
      </c>
      <c r="AC733">
        <f>AB733-W733</f>
        <v>0</v>
      </c>
      <c r="AD733" cm="1">
        <f t="array" ref="AD733">IFERROR(IF(AC733&lt;0,0,AC733/($R$677-INDEX(hd_off,MATCH(AQ733,hd_mark,0),0)/12)),0)</f>
        <v>0</v>
      </c>
      <c r="AE733">
        <f>IF(S733=0,0,$AD$677*$AM$663)</f>
        <v>0</v>
      </c>
      <c r="AF733">
        <f>IFERROR(AE733/$R$677,0)</f>
        <v>0</v>
      </c>
      <c r="AG733">
        <f>AE733*($F$23+IF($F$23=0,0,($C$14+$C$15+IF($C$13="single",1.5,3)+3)/12))</f>
        <v>0</v>
      </c>
      <c r="AH733">
        <f>AG733-X733</f>
        <v>0</v>
      </c>
      <c r="AI733" cm="1">
        <f t="array" ref="AI733">IFERROR(IF(AH733&lt;0,0,AH733/($R$677-INDEX(hd_off,MATCH(AQ733,hd_mark,0),0)/12)),0)</f>
        <v>0</v>
      </c>
      <c r="AJ733">
        <f>MAX($F$23,$AA$677)/$Q$692</f>
        <v>0</v>
      </c>
      <c r="AK733">
        <f t="shared" si="455"/>
        <v>0</v>
      </c>
      <c r="AL733" cm="1">
        <f t="array" ref="AL733">IFERROR(INDEX(sheath_ecap_asd,MATCH(AP733,sheath_mark,0),0)*AK733,0)</f>
        <v>0</v>
      </c>
      <c r="AM733" cm="1">
        <f t="array" ref="AM733">IFERROR(INDEX(sheath_wcap_asd,MATCH(AP733,sheath_mark,0),0)*AK733,0)</f>
        <v>0</v>
      </c>
      <c r="AN733" cm="1">
        <f t="array" ref="AN733">IFERROR(INDEX(hd_cap,MATCH(AQ733,hd_mark,0),0),0)</f>
        <v>0</v>
      </c>
      <c r="AP733" s="19"/>
      <c r="AQ733" s="19"/>
      <c r="AR733" s="100"/>
      <c r="AS733" s="93"/>
      <c r="AT733" s="109" t="s">
        <v>491</v>
      </c>
      <c r="AU733" t="str">
        <f>$Q$663</f>
        <v>L4</v>
      </c>
      <c r="AV733">
        <f>$E$23</f>
        <v>0</v>
      </c>
      <c r="AW733" cm="1">
        <f t="array" ref="AW733">IFERROR(IF(AV733=0,0,(INDEX($C$33:$C$38,MATCH($AZ$677,$B$33:$B$38,0),0)*(AV735+$BA$677)+$AW$677*COUNTIF(AV733:AV734,"&gt;0")*$C$32+$AY$677*$C$31)*$AU$677),0)</f>
        <v>0</v>
      </c>
      <c r="AX733">
        <f>IF(AV733=0,0,-(COUNTIF(AV733:AV734,"&gt;0")*$AW$677*$C$32+$AY$677*$C$31)*$H$27*$AU$677)</f>
        <v>0</v>
      </c>
      <c r="AY733">
        <f>IF(AV733=0,0,$AY$677*$H$26*$AU$677)</f>
        <v>0</v>
      </c>
      <c r="AZ733">
        <f>(0.6*AW733+0.7*AX733)*$AU$677/2</f>
        <v>0</v>
      </c>
      <c r="BA733">
        <f>AW733*$AU$677/2</f>
        <v>0</v>
      </c>
      <c r="BC733">
        <f>IF(AV733=0,0,$BG$677*$AP$663)</f>
        <v>0</v>
      </c>
      <c r="BD733">
        <f>IFERROR(BC733/$AU$677,0)</f>
        <v>0</v>
      </c>
      <c r="BE733">
        <f>BC733*($F$23+IF($F$23=0,0,($C$14+$C$15+IF($C$13="single",1.5,3)+3)/12))</f>
        <v>0</v>
      </c>
      <c r="BF733">
        <f>BE733-AZ733</f>
        <v>0</v>
      </c>
      <c r="BG733" cm="1">
        <f t="array" ref="BG733">IFERROR(IF(BF733&lt;0,0,BF733/($AU$677-INDEX(hd_off,MATCH(BT733,hd_mark,0),0)/12)),0)</f>
        <v>0</v>
      </c>
      <c r="BH733">
        <f>IF(AV733=0,0,$BG$677*$AM$663)</f>
        <v>0</v>
      </c>
      <c r="BI733">
        <f>IFERROR(BH733/$AU$677,0)</f>
        <v>0</v>
      </c>
      <c r="BJ733">
        <f>BH733*($F$23+IF($F$23=0,0,($C$14+$C$15+IF($C$13="single",1.5,3)+3)/12))</f>
        <v>0</v>
      </c>
      <c r="BK733">
        <f>BJ733-BA733</f>
        <v>0</v>
      </c>
      <c r="BL733" cm="1">
        <f t="array" ref="BL733">IFERROR(IF(BK733&lt;0,0,BK733/($AU$677-INDEX(hd_off,MATCH(BT733,hd_mark,0),0)/12)),0)</f>
        <v>0</v>
      </c>
      <c r="BM733">
        <f>MAX($F$23,$BD$677)/$Q$692</f>
        <v>0</v>
      </c>
      <c r="BN733">
        <f t="shared" si="456"/>
        <v>0</v>
      </c>
      <c r="BO733" cm="1">
        <f t="array" ref="BO733">IFERROR(INDEX(sheath_ecap_asd,MATCH(BS733,sheath_mark,0),0)*BN733,0)</f>
        <v>0</v>
      </c>
      <c r="BP733" cm="1">
        <f t="array" ref="BP733">IFERROR(INDEX(sheath_wcap_asd,MATCH(BS733,sheath_mark,0),0)*BN733,0)</f>
        <v>0</v>
      </c>
      <c r="BQ733" cm="1">
        <f t="array" ref="BQ733">IFERROR(INDEX(hd_cap,MATCH(BT733,hd_mark,0),0),0)</f>
        <v>0</v>
      </c>
      <c r="BS733" s="19"/>
      <c r="BT733" s="19"/>
      <c r="BU733" s="100"/>
    </row>
    <row r="734" x14ac:dyDescent="0.25">
      <c r="P734" s="93"/>
      <c r="Q734" s="111">
        <f>$R$677</f>
        <v>0</v>
      </c>
      <c r="R734" t="str">
        <f>$Q$664</f>
        <v>L5</v>
      </c>
      <c r="S734">
        <f>$E$24</f>
        <v>0</v>
      </c>
      <c r="T734" cm="1">
        <f t="array" ref="T734">IFERROR(IF(S734=0,0,(INDEX($C$33:$C$38,MATCH($W$677,$B$33:$B$38,0),0)*(S735+$X$677)+$T$677*COUNTIF(S734:S734,"&gt;0")*$C$32+$V$677*$C$31)*$R$677),0)</f>
        <v>0</v>
      </c>
      <c r="U734">
        <f>IF(S734=0,0,-(COUNTIF(S734:S734,"&gt;0")*$T$677*$C$32+$V$677*$C$31)*$H$27*$R$677)</f>
        <v>0</v>
      </c>
      <c r="V734">
        <f>IF(S734=0,0,$V$677*$H$26*$R$677)</f>
        <v>0</v>
      </c>
      <c r="W734">
        <f>(0.6*T734+0.7*U734)*$R$677/2</f>
        <v>0</v>
      </c>
      <c r="X734">
        <f>T734*$R$677/2</f>
        <v>0</v>
      </c>
      <c r="Z734">
        <f>IF(S734=0,0,$AD$677*$AP$664)</f>
        <v>0</v>
      </c>
      <c r="AA734">
        <f>IFERROR(Z734/$R$677,0)</f>
        <v>0</v>
      </c>
      <c r="AB734">
        <f>Z734*($F$24+IF($F$24=0,0,($C$14+$C$15+IF($C$13="single",1.5,3)+3)/12))</f>
        <v>0</v>
      </c>
      <c r="AC734">
        <f>AB734-W734</f>
        <v>0</v>
      </c>
      <c r="AD734" cm="1">
        <f t="array" ref="AD734">IFERROR(IF(AC734&lt;0,0,AC734/($R$677-INDEX(hd_off,MATCH(AQ734,hd_mark,0),0)/12)),0)</f>
        <v>0</v>
      </c>
      <c r="AE734">
        <f>IF(S734=0,0,$AD$677*$AM$664)</f>
        <v>0</v>
      </c>
      <c r="AF734">
        <f>IFERROR(AE734/$R$677,0)</f>
        <v>0</v>
      </c>
      <c r="AG734">
        <f>AE734*($F$24+IF($F$24=0,0,($C$14+$C$15+IF($C$13="single",1.5,3)+3)/12))</f>
        <v>0</v>
      </c>
      <c r="AH734">
        <f>AG734-X734</f>
        <v>0</v>
      </c>
      <c r="AI734" cm="1">
        <f t="array" ref="AI734">IFERROR(IF(AH734&lt;0,0,AH734/($R$677-INDEX(hd_off,MATCH(AQ734,hd_mark,0),0)/12)),0)</f>
        <v>0</v>
      </c>
      <c r="AJ734">
        <f>MAX($F$24,$AB$677)/$Q$692</f>
        <v>0</v>
      </c>
      <c r="AK734">
        <f t="shared" si="455"/>
        <v>0</v>
      </c>
      <c r="AL734" cm="1">
        <f t="array" ref="AL734">IFERROR(INDEX(sheath_ecap_asd,MATCH(AP734,sheath_mark,0),0)*AK734,0)</f>
        <v>0</v>
      </c>
      <c r="AM734" cm="1">
        <f t="array" ref="AM734">IFERROR(INDEX(sheath_wcap_asd,MATCH(AP734,sheath_mark,0),0)*AK734,0)</f>
        <v>0</v>
      </c>
      <c r="AN734" cm="1">
        <f t="array" ref="AN734">IFERROR(INDEX(hd_cap,MATCH(AQ734,hd_mark,0),0),0)</f>
        <v>0</v>
      </c>
      <c r="AP734" s="19"/>
      <c r="AQ734" s="19"/>
      <c r="AR734" s="100"/>
      <c r="AS734" s="93"/>
      <c r="AT734" s="111">
        <f>$R$677</f>
        <v>0</v>
      </c>
      <c r="AU734" t="str">
        <f>$Q$664</f>
        <v>L5</v>
      </c>
      <c r="AV734">
        <f>$E$24</f>
        <v>0</v>
      </c>
      <c r="AW734" cm="1">
        <f t="array" ref="AW734">IFERROR(IF(AV734=0,0,(INDEX($C$33:$C$38,MATCH($AZ$677,$B$33:$B$38,0),0)*(AV735+$BA$677)+$AW$677*COUNTIF(AV734:AV734,"&gt;0")*$C$32+$AY$677*$C$31)*$AU$677),0)</f>
        <v>0</v>
      </c>
      <c r="AX734">
        <f>IF(AV734=0,0,-(COUNTIF(AV734:AV734,"&gt;0")*$AW$677*$C$32+$AY$677*$C$31)*$H$27*$AU$677)</f>
        <v>0</v>
      </c>
      <c r="AY734">
        <f>IF(AV734=0,0,$AY$677*$H$26*$AU$677)</f>
        <v>0</v>
      </c>
      <c r="AZ734">
        <f>(0.6*AW734+0.7*AX734)*$AU$677/2</f>
        <v>0</v>
      </c>
      <c r="BA734">
        <f>AW734*$AU$677/2</f>
        <v>0</v>
      </c>
      <c r="BC734">
        <f>IF(AV734=0,0,$BG$677*$AP$664)</f>
        <v>0</v>
      </c>
      <c r="BD734">
        <f>IFERROR(BC734/$AU$677,0)</f>
        <v>0</v>
      </c>
      <c r="BE734">
        <f>BC734*($F$24+IF($F$24=0,0,($C$14+$C$15+IF($C$13="single",1.5,3)+3)/12))</f>
        <v>0</v>
      </c>
      <c r="BF734">
        <f>BE734-AZ734</f>
        <v>0</v>
      </c>
      <c r="BG734" cm="1">
        <f t="array" ref="BG734">IFERROR(IF(BF734&lt;0,0,BF734/($AU$677-INDEX(hd_off,MATCH(BT734,hd_mark,0),0)/12)),0)</f>
        <v>0</v>
      </c>
      <c r="BH734">
        <f>IF(AV734=0,0,$BG$677*$AM$664)</f>
        <v>0</v>
      </c>
      <c r="BI734">
        <f>IFERROR(BH734/$AU$677,0)</f>
        <v>0</v>
      </c>
      <c r="BJ734">
        <f>BH734*($F$24+IF($F$24=0,0,($C$14+$C$15+IF($C$13="single",1.5,3)+3)/12))</f>
        <v>0</v>
      </c>
      <c r="BK734">
        <f>BJ734-BA734</f>
        <v>0</v>
      </c>
      <c r="BL734" cm="1">
        <f t="array" ref="BL734">IFERROR(IF(BK734&lt;0,0,BK734/($AU$677-INDEX(hd_off,MATCH(BT734,hd_mark,0),0)/12)),0)</f>
        <v>0</v>
      </c>
      <c r="BM734">
        <f>MAX($F$24,$BE$677)/$Q$692</f>
        <v>0</v>
      </c>
      <c r="BN734">
        <f t="shared" si="456"/>
        <v>0</v>
      </c>
      <c r="BO734" cm="1">
        <f t="array" ref="BO734">IFERROR(INDEX(sheath_ecap_asd,MATCH(BS734,sheath_mark,0),0)*BN734,0)</f>
        <v>0</v>
      </c>
      <c r="BP734" cm="1">
        <f t="array" ref="BP734">IFERROR(INDEX(sheath_wcap_asd,MATCH(BS734,sheath_mark,0),0)*BN734,0)</f>
        <v>0</v>
      </c>
      <c r="BQ734" cm="1">
        <f t="array" ref="BQ734">IFERROR(INDEX(hd_cap,MATCH(BT734,hd_mark,0),0),0)</f>
        <v>0</v>
      </c>
      <c r="BS734" s="19"/>
      <c r="BT734" s="19"/>
      <c r="BU734" s="100"/>
    </row>
    <row r="735" x14ac:dyDescent="0.25">
      <c r="P735" s="93"/>
      <c r="Q735" s="109"/>
      <c r="R735" t="str">
        <f>$Q$665</f>
        <v>Roof</v>
      </c>
      <c r="S735">
        <f>$E$25</f>
        <v>33.171875</v>
      </c>
      <c r="T735" cm="1">
        <f t="array" ref="T735">IFERROR(IF(S735=0,0,(INDEX($C$33:$C$38,MATCH($W$677,$B$33:$B$38,0),0)*(S735+$X$677)+$V$677*$C$31)*$R$677),0)</f>
        <v>0</v>
      </c>
      <c r="U735">
        <f>IF(S735=0,0,-$V$677*$C$31*$H$27*$R$677)</f>
        <v>0</v>
      </c>
      <c r="V735">
        <f>IF(S735=0,0,$V$677*$H$26*$R$677)</f>
        <v>0</v>
      </c>
      <c r="W735">
        <f>(0.6*T735+0.7*U735)*$R$677/2</f>
        <v>0</v>
      </c>
      <c r="X735">
        <f>T735*$R$677/2</f>
        <v>0</v>
      </c>
      <c r="Z735">
        <f>IF(S735=0,0,$AD$677*$AP$665)</f>
        <v>0</v>
      </c>
      <c r="AA735">
        <f>IFERROR(Z735/$R$677,0)</f>
        <v>0</v>
      </c>
      <c r="AB735">
        <f>Z735*($F$25+($C$16+$C$17+IF($C$13="single",1.5,3)+3)/12)</f>
        <v>0</v>
      </c>
      <c r="AC735">
        <f>AB735-W735</f>
        <v>0</v>
      </c>
      <c r="AD735" cm="1">
        <f t="array" ref="AD735">IFERROR(IF(AC735&lt;0,0,AC735/($R$677-INDEX(hd_off,MATCH(AQ735,hd_mark,0),0)/12)),0)</f>
        <v>0</v>
      </c>
      <c r="AE735">
        <f>IF(S735=0,0,$AD$677*$AM$665)</f>
        <v>0</v>
      </c>
      <c r="AF735">
        <f>IFERROR(AE735/$R$677,0)</f>
        <v>0</v>
      </c>
      <c r="AG735">
        <f>AE735*($F$25+($C$16+$C$17+IF($C$13="single",1.5,3)+3)/12)</f>
        <v>0</v>
      </c>
      <c r="AH735">
        <f>AG735-X735</f>
        <v>0</v>
      </c>
      <c r="AI735" cm="1">
        <f t="array" ref="AI735">IFERROR(IF(AH735&lt;0,0,AH735/($R$677-INDEX(hd_off,MATCH(AQ735,hd_mark,0),0)/12)),0)</f>
        <v>0</v>
      </c>
      <c r="AJ735">
        <f>MAX($F$25,$AC$677)/$Q$692</f>
        <v>0.29920977011494249</v>
      </c>
      <c r="AK735">
        <f t="shared" si="455"/>
        <v>1</v>
      </c>
      <c r="AL735" cm="1">
        <f t="array" ref="AL735">IFERROR(INDEX(sheath_ecap_asd,MATCH(AP735,sheath_mark,0),0)*AK735,0)</f>
        <v>0</v>
      </c>
      <c r="AM735" cm="1">
        <f t="array" ref="AM735">IFERROR(INDEX(sheath_wcap_asd,MATCH(AP735,sheath_mark,0),0)*AK735,0)</f>
        <v>0</v>
      </c>
      <c r="AN735" cm="1">
        <f t="array" ref="AN735">IFERROR(INDEX(hd_cap,MATCH(AQ735,hd_mark,0),0),0)</f>
        <v>0</v>
      </c>
      <c r="AP735" s="19"/>
      <c r="AQ735" s="19"/>
      <c r="AR735" s="100"/>
      <c r="AS735" s="93"/>
      <c r="AT735" s="109"/>
      <c r="AU735" t="str">
        <f>$Q$665</f>
        <v>Roof</v>
      </c>
      <c r="AV735">
        <f>$E$25</f>
        <v>33.171875</v>
      </c>
      <c r="AW735" cm="1">
        <f t="array" ref="AW735">IFERROR(IF(AV735=0,0,(INDEX($C$33:$C$38,MATCH($AZ$677,$B$33:$B$38,0),0)*(AV735+$BA$677)+$AY$677*$C$31)*$AU$677),0)</f>
        <v>0</v>
      </c>
      <c r="AX735">
        <f>IF(AV735=0,0,-$AY$677*$C$31*$H$27*$AU$677)</f>
        <v>0</v>
      </c>
      <c r="AY735">
        <f>IF(AV735=0,0,$AY$677*$H$26*$AU$677)</f>
        <v>0</v>
      </c>
      <c r="AZ735">
        <f>(0.6*AW735+0.7*AX735)*$AU$677/2</f>
        <v>0</v>
      </c>
      <c r="BA735">
        <f>AW735*$AU$677/2</f>
        <v>0</v>
      </c>
      <c r="BC735">
        <f>IF(AV735=0,0,$BG$677*$AP$665)</f>
        <v>0</v>
      </c>
      <c r="BD735">
        <f>IFERROR(BC735/$AU$677,0)</f>
        <v>0</v>
      </c>
      <c r="BE735">
        <f>BC735*($F$25+($C$16+$C$17+IF($C$13="single",1.5,3)+3)/12)</f>
        <v>0</v>
      </c>
      <c r="BF735">
        <f>BE735-AZ735</f>
        <v>0</v>
      </c>
      <c r="BG735" cm="1">
        <f t="array" ref="BG735">IFERROR(IF(BF735&lt;0,0,BF735/($AU$677-INDEX(hd_off,MATCH(BT735,hd_mark,0),0)/12)),0)</f>
        <v>0</v>
      </c>
      <c r="BH735">
        <f>IF(AV735=0,0,$BG$677*$AM$665)</f>
        <v>0</v>
      </c>
      <c r="BI735">
        <f>IFERROR(BH735/$AU$677,0)</f>
        <v>0</v>
      </c>
      <c r="BJ735">
        <f>BH735*($F$25+($C$16+$C$17+IF($C$13="single",1.5,3)+3)/12)</f>
        <v>0</v>
      </c>
      <c r="BK735">
        <f>BJ735-BA735</f>
        <v>0</v>
      </c>
      <c r="BL735" cm="1">
        <f t="array" ref="BL735">IFERROR(IF(BK735&lt;0,0,BK735/($AU$677-INDEX(hd_off,MATCH(BT735,hd_mark,0),0)/12)),0)</f>
        <v>0</v>
      </c>
      <c r="BM735">
        <f>MAX($F$25,$BF$677)/$Q$692</f>
        <v>0.29920977011494249</v>
      </c>
      <c r="BN735">
        <f t="shared" si="456"/>
        <v>1</v>
      </c>
      <c r="BO735" cm="1">
        <f t="array" ref="BO735">IFERROR(INDEX(sheath_ecap_asd,MATCH(BS735,sheath_mark,0),0)*BN735,0)</f>
        <v>0</v>
      </c>
      <c r="BP735" cm="1">
        <f t="array" ref="BP735">IFERROR(INDEX(sheath_wcap_asd,MATCH(BS735,sheath_mark,0),0)*BN735,0)</f>
        <v>0</v>
      </c>
      <c r="BQ735" cm="1">
        <f t="array" ref="BQ735">IFERROR(INDEX(hd_cap,MATCH(BT735,hd_mark,0),0),0)</f>
        <v>0</v>
      </c>
      <c r="BS735" s="19"/>
      <c r="BT735" s="19"/>
      <c r="BU735" s="100"/>
    </row>
    <row r="736" x14ac:dyDescent="0.25">
      <c r="P736" s="93"/>
      <c r="AR736" s="100"/>
      <c r="AS736" s="93"/>
      <c r="BU736" s="100"/>
    </row>
    <row r="737" x14ac:dyDescent="0.25">
      <c r="P737" s="93"/>
      <c r="Q737" s="110" t="str">
        <f>$Q$678</f>
        <v>A.09</v>
      </c>
      <c r="R737" t="str">
        <f>$Q$661</f>
        <v>L2</v>
      </c>
      <c r="S737">
        <f>$E$21</f>
        <v>10.6875</v>
      </c>
      <c r="T737" cm="1">
        <f t="array" ref="T737">IFERROR(IF(S737=0,0,(INDEX($C$33:$C$38,MATCH($W$678,$B$33:$B$38,0),0)*(S741+$X$678)+$T$678*COUNTIF(S737:S740,"&gt;0")*$C$32+$V$678*$C$31)*$R$678),0)</f>
        <v>0</v>
      </c>
      <c r="U737">
        <f>IF(S737=0,0,-(COUNTIF(S737:S740,"&gt;0")*$T$678*$C$32+$V$678*$C$31)*$H$27*$R$678)</f>
        <v>0</v>
      </c>
      <c r="V737">
        <f>IF(S737=0,0,$V$678*$H$26*$R$678)</f>
        <v>0</v>
      </c>
      <c r="W737">
        <f>(0.6*T737+0.7*U737)*$R$678/2</f>
        <v>0</v>
      </c>
      <c r="X737">
        <f>(0.6*T737+0.6*V737)*$R$678/2</f>
        <v>0</v>
      </c>
      <c r="Z737">
        <f>IF(S737=0,0,$AD$678*$AP$661)</f>
        <v>0</v>
      </c>
      <c r="AA737">
        <f>IFERROR(Z737/$R$678,0)</f>
        <v>0</v>
      </c>
      <c r="AB737">
        <f>Z737*($F$21+IF($F$21=0,0,($C$14+$C$15+IF($C$13="single",1.5,3)+3)/12))</f>
        <v>0</v>
      </c>
      <c r="AC737">
        <f>AB737-W737</f>
        <v>0</v>
      </c>
      <c r="AD737" cm="1">
        <f t="array" ref="AD737">IFERROR(IF(AC737&lt;0,0,AC737/($R$678-INDEX(hd_off,MATCH(AQ737,hd_mark,0),0)/12)),0)</f>
        <v>0</v>
      </c>
      <c r="AE737">
        <f>IF(S737=0,0,$AD$678*$AM$661)</f>
        <v>0</v>
      </c>
      <c r="AF737">
        <f>IFERROR(AE737/$R$678,0)</f>
        <v>0</v>
      </c>
      <c r="AG737">
        <f>AE737*($F$21+IF($F$21=0,0,($C$14+$C$15+IF($C$13="single",1.5,3)+3)/12))</f>
        <v>0</v>
      </c>
      <c r="AH737">
        <f>AG737-X737</f>
        <v>0</v>
      </c>
      <c r="AI737" cm="1">
        <f t="array" ref="AI737">IFERROR(IF(AH737&lt;0,0,AH737/($R$678-INDEX(hd_off,MATCH(AQ737,hd_mark,0),0)/12)),0)</f>
        <v>0</v>
      </c>
      <c r="AJ737">
        <f>MAX($F$21,$Y$678)/$Q$692</f>
        <v>0.30172413793103448</v>
      </c>
      <c r="AK737">
        <f>IF(AJ737=0,0,IF(AJ737&gt;2,1.25-0.125*AJ737,1))</f>
        <v>1</v>
      </c>
      <c r="AL737" cm="1">
        <f t="array" ref="AL737">IFERROR(INDEX(sheath_ecap_asd,MATCH(AP737,sheath_mark,0),0)*AK737,0)</f>
        <v>0</v>
      </c>
      <c r="AM737" cm="1">
        <f t="array" ref="AM737">IFERROR(INDEX(sheath_wcap_asd,MATCH(AP737,sheath_mark,0),0)*AK737,0)</f>
        <v>0</v>
      </c>
      <c r="AN737" cm="1">
        <f t="array" ref="AN737">IFERROR(INDEX(hd_cap,MATCH(AQ737,hd_mark,0),0),0)</f>
        <v>0</v>
      </c>
      <c r="AP737" s="19"/>
      <c r="AQ737" s="19"/>
      <c r="AR737" s="100"/>
      <c r="AS737" s="93"/>
      <c r="AT737" s="110" t="str">
        <f>$AT$678</f>
        <v>1.09</v>
      </c>
      <c r="AU737" t="str">
        <f>$Q$661</f>
        <v>L2</v>
      </c>
      <c r="AV737">
        <f>$E$21</f>
        <v>10.6875</v>
      </c>
      <c r="AW737" cm="1">
        <f t="array" ref="AW737">IFERROR(IF(AV737=0,0,(INDEX($C$33:$C$38,MATCH($AZ$678,$B$33:$B$38,0),0)*(AV741+$BA$678)+$AW$678*COUNTIF(AV737:AV740,"&gt;0")*$C$32+$AY$678*$C$31)*$AU$678),0)</f>
        <v>0</v>
      </c>
      <c r="AX737">
        <f>IF(AV737=0,0,-(COUNTIF(AV737:AV740,"&gt;0")*$AW$678*$C$32+$AY$678*$C$31)*$H$27*$AU$678)</f>
        <v>0</v>
      </c>
      <c r="AY737">
        <f>IF(AV737=0,0,$AY$678*$H$26*$AU$678)</f>
        <v>0</v>
      </c>
      <c r="AZ737">
        <f>(0.6*AW737+0.7*AX737)*$AU$678/2</f>
        <v>0</v>
      </c>
      <c r="BA737">
        <f>(0.6*AW737+0.6*AY737)*$AU$678/2</f>
        <v>0</v>
      </c>
      <c r="BC737">
        <f>IF(AV737=0,0,$BG$678*$AP$661)</f>
        <v>0</v>
      </c>
      <c r="BD737">
        <f>IFERROR(BC737/$AU$678,0)</f>
        <v>0</v>
      </c>
      <c r="BE737">
        <f>BC737*($F$21+IF($F$21=0,0,($C$14+$C$15+IF($C$13="single",1.5,3)+3)/12))</f>
        <v>0</v>
      </c>
      <c r="BF737">
        <f>BE737-AZ737</f>
        <v>0</v>
      </c>
      <c r="BG737" cm="1">
        <f t="array" ref="BG737">IFERROR(IF(BF737&lt;0,0,BF737/($AU$678-INDEX(hd_off,MATCH(BT737,hd_mark,0),0)/12)),0)</f>
        <v>0</v>
      </c>
      <c r="BH737">
        <f>IF(AV737=0,0,$BG$678*$AM$661)</f>
        <v>0</v>
      </c>
      <c r="BI737">
        <f>IFERROR(BH737/$AU$678,0)</f>
        <v>0</v>
      </c>
      <c r="BJ737">
        <f>BH737*($F$21+IF($F$21=0,0,($C$14+$C$15+IF($C$13="single",1.5,3)+3)/12))</f>
        <v>0</v>
      </c>
      <c r="BK737">
        <f>BJ737-BA737</f>
        <v>0</v>
      </c>
      <c r="BL737" cm="1">
        <f t="array" ref="BL737">IFERROR(IF(BK737&lt;0,0,BK737/($AU$678-INDEX(hd_off,MATCH(BT737,hd_mark,0),0)/12)),0)</f>
        <v>0</v>
      </c>
      <c r="BM737">
        <f>MAX($F$21,$BB$678)/$Q$692</f>
        <v>0.30172413793103448</v>
      </c>
      <c r="BN737">
        <f>IF(BM737=0,0,IF(BM737&gt;2,1.25-0.125*BM737,1))</f>
        <v>1</v>
      </c>
      <c r="BO737" cm="1">
        <f t="array" ref="BO737">IFERROR(INDEX(sheath_ecap_asd,MATCH(BS737,sheath_mark,0),0)*BN737,0)</f>
        <v>0</v>
      </c>
      <c r="BP737" cm="1">
        <f t="array" ref="BP737">IFERROR(INDEX(sheath_wcap_asd,MATCH(BS737,sheath_mark,0),0)*BN737,0)</f>
        <v>0</v>
      </c>
      <c r="BQ737" cm="1">
        <f t="array" ref="BQ737">IFERROR(INDEX(hd_cap,MATCH(BT737,hd_mark,0),0),0)</f>
        <v>0</v>
      </c>
      <c r="BS737" s="19"/>
      <c r="BT737" s="19"/>
      <c r="BU737" s="100"/>
    </row>
    <row r="738" x14ac:dyDescent="0.25">
      <c r="P738" s="93"/>
      <c r="Q738" s="109"/>
      <c r="R738" t="str">
        <f>$Q$662</f>
        <v>L3</v>
      </c>
      <c r="S738">
        <f>$E$22</f>
        <v>21.375</v>
      </c>
      <c r="T738" cm="1">
        <f t="array" ref="T738">IFERROR(IF(S738=0,0,(INDEX($C$33:$C$38,MATCH($W$678,$B$33:$B$38,0),0)*(S741+$X$678)+$T$678*COUNTIF(S738:S740,"&gt;0")*$C$32+$V$678*$C$31)*$R$678),0)</f>
        <v>0</v>
      </c>
      <c r="U738">
        <f>IF(S738=0,0,-(COUNTIF(S738:S740,"&gt;0")*$T$678*$C$32+$V$678*$C$31)*$H$27*$R$678)</f>
        <v>0</v>
      </c>
      <c r="V738">
        <f>IF(S738=0,0,$V$678*$H$26*$R$678)</f>
        <v>0</v>
      </c>
      <c r="W738">
        <f>(0.6*T738+0.7*U738)*$R$678/2</f>
        <v>0</v>
      </c>
      <c r="X738">
        <f>T738*$R$678/2</f>
        <v>0</v>
      </c>
      <c r="Z738">
        <f>IF(S738=0,0,$AD$678*$AP$662)</f>
        <v>0</v>
      </c>
      <c r="AA738">
        <f>IFERROR(Z738/$R$678,0)</f>
        <v>0</v>
      </c>
      <c r="AB738">
        <f>Z738*($F$22+IF($F$22=0,0,($C$14+$C$15+IF($C$13="single",1.5,3)+3)/12))</f>
        <v>0</v>
      </c>
      <c r="AC738">
        <f>AB738-W738</f>
        <v>0</v>
      </c>
      <c r="AD738" cm="1">
        <f t="array" ref="AD738">IFERROR(IF(AC738&lt;0,0,AC738/($R$678-INDEX(hd_off,MATCH(AQ738,hd_mark,0),0)/12)),0)</f>
        <v>0</v>
      </c>
      <c r="AE738">
        <f>IF(S738=0,0,$AD$678*$AM$662)</f>
        <v>0</v>
      </c>
      <c r="AF738">
        <f>IFERROR(AE738/$R$678,0)</f>
        <v>0</v>
      </c>
      <c r="AG738">
        <f>AE738*($F$22+IF($F$22=0,0,($C$14+$C$15+IF($C$13="single",1.5,3)+3)/12))</f>
        <v>0</v>
      </c>
      <c r="AH738">
        <f>AG738-X738</f>
        <v>0</v>
      </c>
      <c r="AI738" cm="1">
        <f t="array" ref="AI738">IFERROR(IF(AH738&lt;0,0,AH738/($R$678-INDEX(hd_off,MATCH(AQ738,hd_mark,0),0)/12)),0)</f>
        <v>0</v>
      </c>
      <c r="AJ738">
        <f>MAX($F$22,$Z$678)/$Q$692</f>
        <v>0.30172413793103448</v>
      </c>
      <c r="AK738">
        <f t="shared" ref="AK738:AK741" si="457">IF(AJ738=0,0,IF(AJ738&gt;2,1.25-0.125*AJ738,1))</f>
        <v>1</v>
      </c>
      <c r="AL738" cm="1">
        <f t="array" ref="AL738">IFERROR(INDEX(sheath_ecap_asd,MATCH(AP738,sheath_mark,0),0)*AK738,0)</f>
        <v>0</v>
      </c>
      <c r="AM738" cm="1">
        <f t="array" ref="AM738">IFERROR(INDEX(sheath_wcap_asd,MATCH(AP738,sheath_mark,0),0)*AK738,0)</f>
        <v>0</v>
      </c>
      <c r="AN738" cm="1">
        <f t="array" ref="AN738">IFERROR(INDEX(hd_cap,MATCH(AQ738,hd_mark,0),0),0)</f>
        <v>0</v>
      </c>
      <c r="AP738" s="19"/>
      <c r="AQ738" s="19"/>
      <c r="AR738" s="100"/>
      <c r="AS738" s="93"/>
      <c r="AT738" s="109"/>
      <c r="AU738" t="str">
        <f>$Q$662</f>
        <v>L3</v>
      </c>
      <c r="AV738">
        <f>$E$22</f>
        <v>21.375</v>
      </c>
      <c r="AW738" cm="1">
        <f t="array" ref="AW738">IFERROR(IF(AV738=0,0,(INDEX($C$33:$C$38,MATCH($AZ$678,$B$33:$B$38,0),0)*(AV741+$BA$678)+$AW$678*COUNTIF(AV738:AV740,"&gt;0")*$C$32+$AY$678*$C$31)*$AU$678),0)</f>
        <v>0</v>
      </c>
      <c r="AX738">
        <f>IF(AV738=0,0,-(COUNTIF(AV738:AV740,"&gt;0")*$AW$678*$C$32+$AY$678*$C$31)*$H$27*$AU$678)</f>
        <v>0</v>
      </c>
      <c r="AY738">
        <f>IF(AV738=0,0,$AY$678*$H$26*$AU$678)</f>
        <v>0</v>
      </c>
      <c r="AZ738">
        <f>(0.6*AW738+0.7*AX738)*$AU$678/2</f>
        <v>0</v>
      </c>
      <c r="BA738">
        <f>AW738*$AU$678/2</f>
        <v>0</v>
      </c>
      <c r="BC738">
        <f>IF(AV738=0,0,$BG$678*$AP$662)</f>
        <v>0</v>
      </c>
      <c r="BD738">
        <f>IFERROR(BC738/$AU$678,0)</f>
        <v>0</v>
      </c>
      <c r="BE738">
        <f>BC738*($F$22+IF($F$22=0,0,($C$14+$C$15+IF($C$13="single",1.5,3)+3)/12))</f>
        <v>0</v>
      </c>
      <c r="BF738">
        <f>BE738-AZ738</f>
        <v>0</v>
      </c>
      <c r="BG738" cm="1">
        <f t="array" ref="BG738">IFERROR(IF(BF738&lt;0,0,BF738/($AU$678-INDEX(hd_off,MATCH(BT738,hd_mark,0),0)/12)),0)</f>
        <v>0</v>
      </c>
      <c r="BH738">
        <f>IF(AV738=0,0,$BG$678*$AM$662)</f>
        <v>0</v>
      </c>
      <c r="BI738">
        <f>IFERROR(BH738/$AU$678,0)</f>
        <v>0</v>
      </c>
      <c r="BJ738">
        <f>BH738*($F$22+IF($F$22=0,0,($C$14+$C$15+IF($C$13="single",1.5,3)+3)/12))</f>
        <v>0</v>
      </c>
      <c r="BK738">
        <f>BJ738-BA738</f>
        <v>0</v>
      </c>
      <c r="BL738" cm="1">
        <f t="array" ref="BL738">IFERROR(IF(BK738&lt;0,0,BK738/($AU$678-INDEX(hd_off,MATCH(BT738,hd_mark,0),0)/12)),0)</f>
        <v>0</v>
      </c>
      <c r="BM738">
        <f>MAX($F$22,$BC$678)/$Q$692</f>
        <v>0.30172413793103448</v>
      </c>
      <c r="BN738">
        <f t="shared" ref="BN738:BN741" si="458">IF(BM738=0,0,IF(BM738&gt;2,1.25-0.125*BM738,1))</f>
        <v>1</v>
      </c>
      <c r="BO738" cm="1">
        <f t="array" ref="BO738">IFERROR(INDEX(sheath_ecap_asd,MATCH(BS738,sheath_mark,0),0)*BN738,0)</f>
        <v>0</v>
      </c>
      <c r="BP738" cm="1">
        <f t="array" ref="BP738">IFERROR(INDEX(sheath_wcap_asd,MATCH(BS738,sheath_mark,0),0)*BN738,0)</f>
        <v>0</v>
      </c>
      <c r="BQ738" cm="1">
        <f t="array" ref="BQ738">IFERROR(INDEX(hd_cap,MATCH(BT738,hd_mark,0),0),0)</f>
        <v>0</v>
      </c>
      <c r="BS738" s="19"/>
      <c r="BT738" s="19"/>
      <c r="BU738" s="100"/>
    </row>
    <row r="739" x14ac:dyDescent="0.25">
      <c r="P739" s="93"/>
      <c r="Q739" s="109" t="s">
        <v>491</v>
      </c>
      <c r="R739" t="str">
        <f>$Q$663</f>
        <v>L4</v>
      </c>
      <c r="S739">
        <f>$E$23</f>
        <v>0</v>
      </c>
      <c r="T739" cm="1">
        <f t="array" ref="T739">IFERROR(IF(S739=0,0,(INDEX($C$33:$C$38,MATCH($W$678,$B$33:$B$38,0),0)*(S741+$X$678)+$T$678*COUNTIF(S739:S740,"&gt;0")*$C$32+$V$678*$C$31)*$R$678),0)</f>
        <v>0</v>
      </c>
      <c r="U739">
        <f>IF(S739=0,0,-(COUNTIF(S739:S740,"&gt;0")*$T$678*$C$32+$V$678*$C$31)*$H$27*$R$678)</f>
        <v>0</v>
      </c>
      <c r="V739">
        <f>IF(S739=0,0,$V$678*$H$26*$R$678)</f>
        <v>0</v>
      </c>
      <c r="W739">
        <f>(0.6*T739+0.7*U739)*$R$678/2</f>
        <v>0</v>
      </c>
      <c r="X739">
        <f>T739*$R$678/2</f>
        <v>0</v>
      </c>
      <c r="Z739">
        <f>IF(S739=0,0,$AD$678*$AP$663)</f>
        <v>0</v>
      </c>
      <c r="AA739">
        <f>IFERROR(Z739/$R$678,0)</f>
        <v>0</v>
      </c>
      <c r="AB739">
        <f>Z739*($F$23+IF($F$23=0,0,($C$14+$C$15+IF($C$13="single",1.5,3)+3)/12))</f>
        <v>0</v>
      </c>
      <c r="AC739">
        <f>AB739-W739</f>
        <v>0</v>
      </c>
      <c r="AD739" cm="1">
        <f t="array" ref="AD739">IFERROR(IF(AC739&lt;0,0,AC739/($R$678-INDEX(hd_off,MATCH(AQ739,hd_mark,0),0)/12)),0)</f>
        <v>0</v>
      </c>
      <c r="AE739">
        <f>IF(S739=0,0,$AD$678*$AM$663)</f>
        <v>0</v>
      </c>
      <c r="AF739">
        <f>IFERROR(AE739/$R$678,0)</f>
        <v>0</v>
      </c>
      <c r="AG739">
        <f>AE739*($F$23+IF($F$23=0,0,($C$14+$C$15+IF($C$13="single",1.5,3)+3)/12))</f>
        <v>0</v>
      </c>
      <c r="AH739">
        <f>AG739-X739</f>
        <v>0</v>
      </c>
      <c r="AI739" cm="1">
        <f t="array" ref="AI739">IFERROR(IF(AH739&lt;0,0,AH739/($R$678-INDEX(hd_off,MATCH(AQ739,hd_mark,0),0)/12)),0)</f>
        <v>0</v>
      </c>
      <c r="AJ739">
        <f>MAX($F$23,$AA$678)/$Q$692</f>
        <v>0</v>
      </c>
      <c r="AK739">
        <f t="shared" si="457"/>
        <v>0</v>
      </c>
      <c r="AL739" cm="1">
        <f t="array" ref="AL739">IFERROR(INDEX(sheath_ecap_asd,MATCH(AP739,sheath_mark,0),0)*AK739,0)</f>
        <v>0</v>
      </c>
      <c r="AM739" cm="1">
        <f t="array" ref="AM739">IFERROR(INDEX(sheath_wcap_asd,MATCH(AP739,sheath_mark,0),0)*AK739,0)</f>
        <v>0</v>
      </c>
      <c r="AN739" cm="1">
        <f t="array" ref="AN739">IFERROR(INDEX(hd_cap,MATCH(AQ739,hd_mark,0),0),0)</f>
        <v>0</v>
      </c>
      <c r="AP739" s="19"/>
      <c r="AQ739" s="19"/>
      <c r="AR739" s="100"/>
      <c r="AS739" s="93"/>
      <c r="AT739" s="109" t="s">
        <v>491</v>
      </c>
      <c r="AU739" t="str">
        <f>$Q$663</f>
        <v>L4</v>
      </c>
      <c r="AV739">
        <f>$E$23</f>
        <v>0</v>
      </c>
      <c r="AW739" cm="1">
        <f t="array" ref="AW739">IFERROR(IF(AV739=0,0,(INDEX($C$33:$C$38,MATCH($AZ$678,$B$33:$B$38,0),0)*(AV741+$BA$678)+$AW$678*COUNTIF(AV739:AV740,"&gt;0")*$C$32+$AY$678*$C$31)*$AU$678),0)</f>
        <v>0</v>
      </c>
      <c r="AX739">
        <f>IF(AV739=0,0,-(COUNTIF(AV739:AV740,"&gt;0")*$AW$678*$C$32+$AY$678*$C$31)*$H$27*$AU$678)</f>
        <v>0</v>
      </c>
      <c r="AY739">
        <f>IF(AV739=0,0,$AY$678*$H$26*$AU$678)</f>
        <v>0</v>
      </c>
      <c r="AZ739">
        <f>(0.6*AW739+0.7*AX739)*$AU$678/2</f>
        <v>0</v>
      </c>
      <c r="BA739">
        <f>AW739*$AU$678/2</f>
        <v>0</v>
      </c>
      <c r="BC739">
        <f>IF(AV739=0,0,$BG$678*$AP$663)</f>
        <v>0</v>
      </c>
      <c r="BD739">
        <f>IFERROR(BC739/$AU$678,0)</f>
        <v>0</v>
      </c>
      <c r="BE739">
        <f>BC739*($F$23+IF($F$23=0,0,($C$14+$C$15+IF($C$13="single",1.5,3)+3)/12))</f>
        <v>0</v>
      </c>
      <c r="BF739">
        <f>BE739-AZ739</f>
        <v>0</v>
      </c>
      <c r="BG739" cm="1">
        <f t="array" ref="BG739">IFERROR(IF(BF739&lt;0,0,BF739/($AU$678-INDEX(hd_off,MATCH(BT739,hd_mark,0),0)/12)),0)</f>
        <v>0</v>
      </c>
      <c r="BH739">
        <f>IF(AV739=0,0,$BG$678*$AM$663)</f>
        <v>0</v>
      </c>
      <c r="BI739">
        <f>IFERROR(BH739/$AU$678,0)</f>
        <v>0</v>
      </c>
      <c r="BJ739">
        <f>BH739*($F$23+IF($F$23=0,0,($C$14+$C$15+IF($C$13="single",1.5,3)+3)/12))</f>
        <v>0</v>
      </c>
      <c r="BK739">
        <f>BJ739-BA739</f>
        <v>0</v>
      </c>
      <c r="BL739" cm="1">
        <f t="array" ref="BL739">IFERROR(IF(BK739&lt;0,0,BK739/($AU$678-INDEX(hd_off,MATCH(BT739,hd_mark,0),0)/12)),0)</f>
        <v>0</v>
      </c>
      <c r="BM739">
        <f>MAX($F$23,$BD$678)/$Q$692</f>
        <v>0</v>
      </c>
      <c r="BN739">
        <f t="shared" si="458"/>
        <v>0</v>
      </c>
      <c r="BO739" cm="1">
        <f t="array" ref="BO739">IFERROR(INDEX(sheath_ecap_asd,MATCH(BS739,sheath_mark,0),0)*BN739,0)</f>
        <v>0</v>
      </c>
      <c r="BP739" cm="1">
        <f t="array" ref="BP739">IFERROR(INDEX(sheath_wcap_asd,MATCH(BS739,sheath_mark,0),0)*BN739,0)</f>
        <v>0</v>
      </c>
      <c r="BQ739" cm="1">
        <f t="array" ref="BQ739">IFERROR(INDEX(hd_cap,MATCH(BT739,hd_mark,0),0),0)</f>
        <v>0</v>
      </c>
      <c r="BS739" s="19"/>
      <c r="BT739" s="19"/>
      <c r="BU739" s="100"/>
    </row>
    <row r="740" x14ac:dyDescent="0.25">
      <c r="P740" s="93"/>
      <c r="Q740" s="111">
        <f>$R$678</f>
        <v>0</v>
      </c>
      <c r="R740" t="str">
        <f>$Q$664</f>
        <v>L5</v>
      </c>
      <c r="S740">
        <f>$E$24</f>
        <v>0</v>
      </c>
      <c r="T740" cm="1">
        <f t="array" ref="T740">IFERROR(IF(S740=0,0,(INDEX($C$33:$C$38,MATCH($W$678,$B$33:$B$38,0),0)*(S741+$X$678)+$T$678*COUNTIF(S740:S740,"&gt;0")*$C$32+$V$678*$C$31)*$R$678),0)</f>
        <v>0</v>
      </c>
      <c r="U740">
        <f>IF(S740=0,0,-(COUNTIF(S740:S740,"&gt;0")*$T$678*$C$32+$V$678*$C$31)*$H$27*$R$678)</f>
        <v>0</v>
      </c>
      <c r="V740">
        <f>IF(S740=0,0,$V$678*$H$26*$R$678)</f>
        <v>0</v>
      </c>
      <c r="W740">
        <f>(0.6*T740+0.7*U740)*$R$678/2</f>
        <v>0</v>
      </c>
      <c r="X740">
        <f>T740*$R$678/2</f>
        <v>0</v>
      </c>
      <c r="Z740">
        <f>IF(S740=0,0,$AD$678*$AP$664)</f>
        <v>0</v>
      </c>
      <c r="AA740">
        <f>IFERROR(Z740/$R$678,0)</f>
        <v>0</v>
      </c>
      <c r="AB740">
        <f>Z740*($F$24+IF($F$24=0,0,($C$14+$C$15+IF($C$13="single",1.5,3)+3)/12))</f>
        <v>0</v>
      </c>
      <c r="AC740">
        <f>AB740-W740</f>
        <v>0</v>
      </c>
      <c r="AD740" cm="1">
        <f t="array" ref="AD740">IFERROR(IF(AC740&lt;0,0,AC740/($R$678-INDEX(hd_off,MATCH(AQ740,hd_mark,0),0)/12)),0)</f>
        <v>0</v>
      </c>
      <c r="AE740">
        <f>IF(S740=0,0,$AD$678*$AM$664)</f>
        <v>0</v>
      </c>
      <c r="AF740">
        <f>IFERROR(AE740/$R$678,0)</f>
        <v>0</v>
      </c>
      <c r="AG740">
        <f>AE740*($F$24+IF($F$24=0,0,($C$14+$C$15+IF($C$13="single",1.5,3)+3)/12))</f>
        <v>0</v>
      </c>
      <c r="AH740">
        <f>AG740-X740</f>
        <v>0</v>
      </c>
      <c r="AI740" cm="1">
        <f t="array" ref="AI740">IFERROR(IF(AH740&lt;0,0,AH740/($R$678-INDEX(hd_off,MATCH(AQ740,hd_mark,0),0)/12)),0)</f>
        <v>0</v>
      </c>
      <c r="AJ740">
        <f>MAX($F$24,$AB$678)/$Q$692</f>
        <v>0</v>
      </c>
      <c r="AK740">
        <f t="shared" si="457"/>
        <v>0</v>
      </c>
      <c r="AL740" cm="1">
        <f t="array" ref="AL740">IFERROR(INDEX(sheath_ecap_asd,MATCH(AP740,sheath_mark,0),0)*AK740,0)</f>
        <v>0</v>
      </c>
      <c r="AM740" cm="1">
        <f t="array" ref="AM740">IFERROR(INDEX(sheath_wcap_asd,MATCH(AP740,sheath_mark,0),0)*AK740,0)</f>
        <v>0</v>
      </c>
      <c r="AN740" cm="1">
        <f t="array" ref="AN740">IFERROR(INDEX(hd_cap,MATCH(AQ740,hd_mark,0),0),0)</f>
        <v>0</v>
      </c>
      <c r="AP740" s="19"/>
      <c r="AQ740" s="19"/>
      <c r="AR740" s="100"/>
      <c r="AS740" s="93"/>
      <c r="AT740" s="111">
        <f>$R$678</f>
        <v>0</v>
      </c>
      <c r="AU740" t="str">
        <f>$Q$664</f>
        <v>L5</v>
      </c>
      <c r="AV740">
        <f>$E$24</f>
        <v>0</v>
      </c>
      <c r="AW740" cm="1">
        <f t="array" ref="AW740">IFERROR(IF(AV740=0,0,(INDEX($C$33:$C$38,MATCH($AZ$678,$B$33:$B$38,0),0)*(AV741+$BA$678)+$AW$678*COUNTIF(AV740:AV740,"&gt;0")*$C$32+$AY$678*$C$31)*$AU$678),0)</f>
        <v>0</v>
      </c>
      <c r="AX740">
        <f>IF(AV740=0,0,-(COUNTIF(AV740:AV740,"&gt;0")*$AW$678*$C$32+$AY$678*$C$31)*$H$27*$AU$678)</f>
        <v>0</v>
      </c>
      <c r="AY740">
        <f>IF(AV740=0,0,$AY$678*$H$26*$AU$678)</f>
        <v>0</v>
      </c>
      <c r="AZ740">
        <f>(0.6*AW740+0.7*AX740)*$AU$678/2</f>
        <v>0</v>
      </c>
      <c r="BA740">
        <f>AW740*$AU$678/2</f>
        <v>0</v>
      </c>
      <c r="BC740">
        <f>IF(AV740=0,0,$BG$678*$AP$664)</f>
        <v>0</v>
      </c>
      <c r="BD740">
        <f>IFERROR(BC740/$AU$678,0)</f>
        <v>0</v>
      </c>
      <c r="BE740">
        <f>BC740*($F$24+IF($F$24=0,0,($C$14+$C$15+IF($C$13="single",1.5,3)+3)/12))</f>
        <v>0</v>
      </c>
      <c r="BF740">
        <f>BE740-AZ740</f>
        <v>0</v>
      </c>
      <c r="BG740" cm="1">
        <f t="array" ref="BG740">IFERROR(IF(BF740&lt;0,0,BF740/($AU$678-INDEX(hd_off,MATCH(BT740,hd_mark,0),0)/12)),0)</f>
        <v>0</v>
      </c>
      <c r="BH740">
        <f>IF(AV740=0,0,$BG$678*$AM$664)</f>
        <v>0</v>
      </c>
      <c r="BI740">
        <f>IFERROR(BH740/$AU$678,0)</f>
        <v>0</v>
      </c>
      <c r="BJ740">
        <f>BH740*($F$24+IF($F$24=0,0,($C$14+$C$15+IF($C$13="single",1.5,3)+3)/12))</f>
        <v>0</v>
      </c>
      <c r="BK740">
        <f>BJ740-BA740</f>
        <v>0</v>
      </c>
      <c r="BL740" cm="1">
        <f t="array" ref="BL740">IFERROR(IF(BK740&lt;0,0,BK740/($AU$678-INDEX(hd_off,MATCH(BT740,hd_mark,0),0)/12)),0)</f>
        <v>0</v>
      </c>
      <c r="BM740">
        <f>MAX($F$24,$BE$678)/$Q$692</f>
        <v>0</v>
      </c>
      <c r="BN740">
        <f t="shared" si="458"/>
        <v>0</v>
      </c>
      <c r="BO740" cm="1">
        <f t="array" ref="BO740">IFERROR(INDEX(sheath_ecap_asd,MATCH(BS740,sheath_mark,0),0)*BN740,0)</f>
        <v>0</v>
      </c>
      <c r="BP740" cm="1">
        <f t="array" ref="BP740">IFERROR(INDEX(sheath_wcap_asd,MATCH(BS740,sheath_mark,0),0)*BN740,0)</f>
        <v>0</v>
      </c>
      <c r="BQ740" cm="1">
        <f t="array" ref="BQ740">IFERROR(INDEX(hd_cap,MATCH(BT740,hd_mark,0),0),0)</f>
        <v>0</v>
      </c>
      <c r="BS740" s="19"/>
      <c r="BT740" s="19"/>
      <c r="BU740" s="100"/>
    </row>
    <row r="741" x14ac:dyDescent="0.25">
      <c r="P741" s="93"/>
      <c r="Q741" s="109"/>
      <c r="R741" t="str">
        <f>$Q$665</f>
        <v>Roof</v>
      </c>
      <c r="S741">
        <f>$E$25</f>
        <v>33.171875</v>
      </c>
      <c r="T741" cm="1">
        <f t="array" ref="T741">IFERROR(IF(S741=0,0,(INDEX($C$33:$C$38,MATCH($W$678,$B$33:$B$38,0),0)*(S741+$X$678)+$V$678*$C$31)*$R$678),0)</f>
        <v>0</v>
      </c>
      <c r="U741">
        <f>IF(S741=0,0,-$V$678*$C$31*$H$27*$R$678)</f>
        <v>0</v>
      </c>
      <c r="V741">
        <f>IF(S741=0,0,$V$678*$H$26*$R$678)</f>
        <v>0</v>
      </c>
      <c r="W741">
        <f>(0.6*T741+0.7*U741)*$R$678/2</f>
        <v>0</v>
      </c>
      <c r="X741">
        <f>T741*$R$678/2</f>
        <v>0</v>
      </c>
      <c r="Z741">
        <f>IF(S741=0,0,$AD$678*$AP$665)</f>
        <v>0</v>
      </c>
      <c r="AA741">
        <f>IFERROR(Z741/$R$678,0)</f>
        <v>0</v>
      </c>
      <c r="AB741">
        <f>Z741*($F$25+($C$16+$C$17+IF($C$13="single",1.5,3)+3)/12)</f>
        <v>0</v>
      </c>
      <c r="AC741">
        <f>AB741-W741</f>
        <v>0</v>
      </c>
      <c r="AD741" cm="1">
        <f t="array" ref="AD741">IFERROR(IF(AC741&lt;0,0,AC741/($R$678-INDEX(hd_off,MATCH(AQ741,hd_mark,0),0)/12)),0)</f>
        <v>0</v>
      </c>
      <c r="AE741">
        <f>IF(S741=0,0,$AD$678*$AM$665)</f>
        <v>0</v>
      </c>
      <c r="AF741">
        <f>IFERROR(AE741/$R$678,0)</f>
        <v>0</v>
      </c>
      <c r="AG741">
        <f>AE741*($F$25+($C$16+$C$17+IF($C$13="single",1.5,3)+3)/12)</f>
        <v>0</v>
      </c>
      <c r="AH741">
        <f>AG741-X741</f>
        <v>0</v>
      </c>
      <c r="AI741" cm="1">
        <f t="array" ref="AI741">IFERROR(IF(AH741&lt;0,0,AH741/($R$678-INDEX(hd_off,MATCH(AQ741,hd_mark,0),0)/12)),0)</f>
        <v>0</v>
      </c>
      <c r="AJ741">
        <f>MAX($F$25,$AC$678)/$Q$692</f>
        <v>0.29920977011494249</v>
      </c>
      <c r="AK741">
        <f t="shared" si="457"/>
        <v>1</v>
      </c>
      <c r="AL741" cm="1">
        <f t="array" ref="AL741">IFERROR(INDEX(sheath_ecap_asd,MATCH(AP741,sheath_mark,0),0)*AK741,0)</f>
        <v>0</v>
      </c>
      <c r="AM741" cm="1">
        <f t="array" ref="AM741">IFERROR(INDEX(sheath_wcap_asd,MATCH(AP741,sheath_mark,0),0)*AK741,0)</f>
        <v>0</v>
      </c>
      <c r="AN741" cm="1">
        <f t="array" ref="AN741">IFERROR(INDEX(hd_cap,MATCH(AQ741,hd_mark,0),0),0)</f>
        <v>0</v>
      </c>
      <c r="AP741" s="19"/>
      <c r="AQ741" s="19"/>
      <c r="AR741" s="100"/>
      <c r="AS741" s="93"/>
      <c r="AT741" s="109"/>
      <c r="AU741" t="str">
        <f>$Q$665</f>
        <v>Roof</v>
      </c>
      <c r="AV741">
        <f>$E$25</f>
        <v>33.171875</v>
      </c>
      <c r="AW741" cm="1">
        <f t="array" ref="AW741">IFERROR(IF(AV741=0,0,(INDEX($C$33:$C$38,MATCH($AZ$678,$B$33:$B$38,0),0)*(AV741+$BA$678)+$AY$678*$C$31)*$AU$678),0)</f>
        <v>0</v>
      </c>
      <c r="AX741">
        <f>IF(AV741=0,0,-$AY$678*$C$31*$H$27*$AU$678)</f>
        <v>0</v>
      </c>
      <c r="AY741">
        <f>IF(AV741=0,0,$AY$678*$H$26*$AU$678)</f>
        <v>0</v>
      </c>
      <c r="AZ741">
        <f>(0.6*AW741+0.7*AX741)*$AU$678/2</f>
        <v>0</v>
      </c>
      <c r="BA741">
        <f>AW741*$AU$678/2</f>
        <v>0</v>
      </c>
      <c r="BC741">
        <f>IF(AV741=0,0,$BG$678*$AP$665)</f>
        <v>0</v>
      </c>
      <c r="BD741">
        <f>IFERROR(BC741/$AU$678,0)</f>
        <v>0</v>
      </c>
      <c r="BE741">
        <f>BC741*($F$25+($C$16+$C$17+IF($C$13="single",1.5,3)+3)/12)</f>
        <v>0</v>
      </c>
      <c r="BF741">
        <f>BE741-AZ741</f>
        <v>0</v>
      </c>
      <c r="BG741" cm="1">
        <f t="array" ref="BG741">IFERROR(IF(BF741&lt;0,0,BF741/($AU$678-INDEX(hd_off,MATCH(BT741,hd_mark,0),0)/12)),0)</f>
        <v>0</v>
      </c>
      <c r="BH741">
        <f>IF(AV741=0,0,$BG$678*$AM$665)</f>
        <v>0</v>
      </c>
      <c r="BI741">
        <f>IFERROR(BH741/$AU$678,0)</f>
        <v>0</v>
      </c>
      <c r="BJ741">
        <f>BH741*($F$25+($C$16+$C$17+IF($C$13="single",1.5,3)+3)/12)</f>
        <v>0</v>
      </c>
      <c r="BK741">
        <f>BJ741-BA741</f>
        <v>0</v>
      </c>
      <c r="BL741" cm="1">
        <f t="array" ref="BL741">IFERROR(IF(BK741&lt;0,0,BK741/($AU$678-INDEX(hd_off,MATCH(BT741,hd_mark,0),0)/12)),0)</f>
        <v>0</v>
      </c>
      <c r="BM741">
        <f>MAX($F$25,$BF$678)/$Q$692</f>
        <v>0.29920977011494249</v>
      </c>
      <c r="BN741">
        <f t="shared" si="458"/>
        <v>1</v>
      </c>
      <c r="BO741" cm="1">
        <f t="array" ref="BO741">IFERROR(INDEX(sheath_ecap_asd,MATCH(BS741,sheath_mark,0),0)*BN741,0)</f>
        <v>0</v>
      </c>
      <c r="BP741" cm="1">
        <f t="array" ref="BP741">IFERROR(INDEX(sheath_wcap_asd,MATCH(BS741,sheath_mark,0),0)*BN741,0)</f>
        <v>0</v>
      </c>
      <c r="BQ741" cm="1">
        <f t="array" ref="BQ741">IFERROR(INDEX(hd_cap,MATCH(BT741,hd_mark,0),0),0)</f>
        <v>0</v>
      </c>
      <c r="BS741" s="19"/>
      <c r="BT741" s="19"/>
      <c r="BU741" s="100"/>
    </row>
    <row r="742" x14ac:dyDescent="0.25">
      <c r="P742" s="93"/>
      <c r="AR742" s="100"/>
      <c r="AS742" s="93"/>
      <c r="BU742" s="100"/>
    </row>
    <row r="743" x14ac:dyDescent="0.25">
      <c r="P743" s="93"/>
      <c r="Q743" s="110" t="str">
        <f>$Q$679</f>
        <v>A.10</v>
      </c>
      <c r="R743" t="str">
        <f>$Q$661</f>
        <v>L2</v>
      </c>
      <c r="S743">
        <f>$E$21</f>
        <v>10.6875</v>
      </c>
      <c r="T743" cm="1">
        <f t="array" ref="T743">IFERROR(IF(S743=0,0,(INDEX($C$33:$C$38,MATCH($W$679,$B$33:$B$38,0),0)*(S747+$X$679)+$T$679*COUNTIF(S743:S746,"&gt;0")*$C$32+$V$679*$C$31)*$R$679),0)</f>
        <v>0</v>
      </c>
      <c r="U743">
        <f>IF(S743=0,0,-(COUNTIF(S743:S746,"&gt;0")*$T$679*$C$32+$V$679*$C$31)*$H$27*$R$679)</f>
        <v>0</v>
      </c>
      <c r="V743">
        <f>IF(S743=0,0,$V$679*$H$26*$R$679)</f>
        <v>0</v>
      </c>
      <c r="W743">
        <f>(0.6*T743+0.7*U743)*$R$679/2</f>
        <v>0</v>
      </c>
      <c r="X743">
        <f>(0.6*T743+0.6*V743)*$R$679/2</f>
        <v>0</v>
      </c>
      <c r="Z743">
        <f>IF(S743=0,0,$AD$679*$AP$661)</f>
        <v>0</v>
      </c>
      <c r="AA743">
        <f>IFERROR(Z743/$R$679,0)</f>
        <v>0</v>
      </c>
      <c r="AB743">
        <f>Z743*($F$21+IF($F$21=0,0,($C$14+$C$15+IF($C$13="single",1.5,3)+3)/12))</f>
        <v>0</v>
      </c>
      <c r="AC743">
        <f>AB743-W743</f>
        <v>0</v>
      </c>
      <c r="AD743" cm="1">
        <f t="array" ref="AD743">IFERROR(IF(AC743&lt;0,0,AC743/($R$679-INDEX(hd_off,MATCH(AQ743,hd_mark,0),0)/12)),0)</f>
        <v>0</v>
      </c>
      <c r="AE743">
        <f>IF(S743=0,0,$AD$679*$AM$661)</f>
        <v>0</v>
      </c>
      <c r="AF743">
        <f>IFERROR(AE743/$R$679,0)</f>
        <v>0</v>
      </c>
      <c r="AG743">
        <f>AE743*($F$21+IF($F$21=0,0,($C$14+$C$15+IF($C$13="single",1.5,3)+3)/12))</f>
        <v>0</v>
      </c>
      <c r="AH743">
        <f>AG743-X743</f>
        <v>0</v>
      </c>
      <c r="AI743" cm="1">
        <f t="array" ref="AI743">IFERROR(IF(AH743&lt;0,0,AH743/($R$679-INDEX(hd_off,MATCH(AQ743,hd_mark,0),0)/12)),0)</f>
        <v>0</v>
      </c>
      <c r="AJ743">
        <f>MAX($F$21,$Y$679)/$Q$692</f>
        <v>0.30172413793103448</v>
      </c>
      <c r="AK743">
        <f>IF(AJ743=0,0,IF(AJ743&gt;2,1.25-0.125*AJ743,1))</f>
        <v>1</v>
      </c>
      <c r="AL743" cm="1">
        <f t="array" ref="AL743">IFERROR(INDEX(sheath_ecap_asd,MATCH(AP743,sheath_mark,0),0)*AK743,0)</f>
        <v>0</v>
      </c>
      <c r="AM743" cm="1">
        <f t="array" ref="AM743">IFERROR(INDEX(sheath_wcap_asd,MATCH(AP743,sheath_mark,0),0)*AK743,0)</f>
        <v>0</v>
      </c>
      <c r="AN743" cm="1">
        <f t="array" ref="AN743">IFERROR(INDEX(hd_cap,MATCH(AQ743,hd_mark,0),0),0)</f>
        <v>0</v>
      </c>
      <c r="AP743" s="19"/>
      <c r="AQ743" s="19"/>
      <c r="AR743" s="100"/>
      <c r="AS743" s="93"/>
      <c r="AT743" s="110" t="str">
        <f>$AT$679</f>
        <v>1.10</v>
      </c>
      <c r="AU743" t="str">
        <f>$Q$661</f>
        <v>L2</v>
      </c>
      <c r="AV743">
        <f>$E$21</f>
        <v>10.6875</v>
      </c>
      <c r="AW743" cm="1">
        <f t="array" ref="AW743">IFERROR(IF(AV743=0,0,(INDEX($C$33:$C$38,MATCH($AZ$679,$B$33:$B$38,0),0)*(AV747+$BA$679)+$AW$679*COUNTIF(AV743:AV746,"&gt;0")*$C$32+$AY$679*$C$31)*$AU$679),0)</f>
        <v>0</v>
      </c>
      <c r="AX743">
        <f>IF(AV743=0,0,-(COUNTIF(AV743:AV746,"&gt;0")*$AW$679*$C$32+$AY$679*$C$31)*$H$27*$AU$679)</f>
        <v>0</v>
      </c>
      <c r="AY743">
        <f>IF(AV743=0,0,$AY$679*$H$26*$AU$679)</f>
        <v>0</v>
      </c>
      <c r="AZ743">
        <f>(0.6*AW743+0.7*AX743)*$AU$679/2</f>
        <v>0</v>
      </c>
      <c r="BA743">
        <f>(0.6*AW743+0.6*AY743)*$AU$679/2</f>
        <v>0</v>
      </c>
      <c r="BC743">
        <f>IF(AV743=0,0,$BG$679*$AP$661)</f>
        <v>0</v>
      </c>
      <c r="BD743">
        <f>IFERROR(BC743/$AU$679,0)</f>
        <v>0</v>
      </c>
      <c r="BE743">
        <f>BC743*($F$21+IF($F$21=0,0,($C$14+$C$15+IF($C$13="single",1.5,3)+3)/12))</f>
        <v>0</v>
      </c>
      <c r="BF743">
        <f>BE743-AZ743</f>
        <v>0</v>
      </c>
      <c r="BG743" cm="1">
        <f t="array" ref="BG743">IFERROR(IF(BF743&lt;0,0,BF743/($AU$679-INDEX(hd_off,MATCH(BT743,hd_mark,0),0)/12)),0)</f>
        <v>0</v>
      </c>
      <c r="BH743">
        <f>IF(AV743=0,0,$BG$679*$AM$661)</f>
        <v>0</v>
      </c>
      <c r="BI743">
        <f>IFERROR(BH743/$AU$679,0)</f>
        <v>0</v>
      </c>
      <c r="BJ743">
        <f>BH743*($F$21+IF($F$21=0,0,($C$14+$C$15+IF($C$13="single",1.5,3)+3)/12))</f>
        <v>0</v>
      </c>
      <c r="BK743">
        <f>BJ743-BA743</f>
        <v>0</v>
      </c>
      <c r="BL743" cm="1">
        <f t="array" ref="BL743">IFERROR(IF(BK743&lt;0,0,BK743/($AU$679-INDEX(hd_off,MATCH(BT743,hd_mark,0),0)/12)),0)</f>
        <v>0</v>
      </c>
      <c r="BM743">
        <f>MAX($F$21,$BB$679)/$Q$692</f>
        <v>0.30172413793103448</v>
      </c>
      <c r="BN743">
        <f>IF(BM743=0,0,IF(BM743&gt;2,1.25-0.125*BM743,1))</f>
        <v>1</v>
      </c>
      <c r="BO743" cm="1">
        <f t="array" ref="BO743">IFERROR(INDEX(sheath_ecap_asd,MATCH(BS743,sheath_mark,0),0)*BN743,0)</f>
        <v>0</v>
      </c>
      <c r="BP743" cm="1">
        <f t="array" ref="BP743">IFERROR(INDEX(sheath_wcap_asd,MATCH(BS743,sheath_mark,0),0)*BN743,0)</f>
        <v>0</v>
      </c>
      <c r="BQ743" cm="1">
        <f t="array" ref="BQ743">IFERROR(INDEX(hd_cap,MATCH(BT743,hd_mark,0),0),0)</f>
        <v>0</v>
      </c>
      <c r="BS743" s="19"/>
      <c r="BT743" s="19"/>
      <c r="BU743" s="100"/>
    </row>
    <row r="744" x14ac:dyDescent="0.25">
      <c r="P744" s="93"/>
      <c r="Q744" s="109"/>
      <c r="R744" t="str">
        <f>$Q$662</f>
        <v>L3</v>
      </c>
      <c r="S744">
        <f>$E$22</f>
        <v>21.375</v>
      </c>
      <c r="T744" cm="1">
        <f t="array" ref="T744">IFERROR(IF(S744=0,0,(INDEX($C$33:$C$38,MATCH($W$679,$B$33:$B$38,0),0)*(S747+$X$679)+$T$679*COUNTIF(S744:S746,"&gt;0")*$C$32+$V$679*$C$31)*$R$679),0)</f>
        <v>0</v>
      </c>
      <c r="U744">
        <f>IF(S744=0,0,-(COUNTIF(S744:S746,"&gt;0")*$T$679*$C$32+$V$679*$C$31)*$H$27*$R$679)</f>
        <v>0</v>
      </c>
      <c r="V744">
        <f>IF(S744=0,0,$V$679*$H$26*$R$679)</f>
        <v>0</v>
      </c>
      <c r="W744">
        <f>(0.6*T744+0.7*U744)*$R$679/2</f>
        <v>0</v>
      </c>
      <c r="X744">
        <f>T744*$R$679/2</f>
        <v>0</v>
      </c>
      <c r="Z744">
        <f>IF(S744=0,0,$AD$679*$AP$662)</f>
        <v>0</v>
      </c>
      <c r="AA744">
        <f>IFERROR(Z744/$R$679,0)</f>
        <v>0</v>
      </c>
      <c r="AB744">
        <f>Z744*($F$22+IF($F$22=0,0,($C$14+$C$15+IF($C$13="single",1.5,3)+3)/12))</f>
        <v>0</v>
      </c>
      <c r="AC744">
        <f>AB744-W744</f>
        <v>0</v>
      </c>
      <c r="AD744" cm="1">
        <f t="array" ref="AD744">IFERROR(IF(AC744&lt;0,0,AC744/($R$679-INDEX(hd_off,MATCH(AQ744,hd_mark,0),0)/12)),0)</f>
        <v>0</v>
      </c>
      <c r="AE744">
        <f>IF(S744=0,0,$AD$679*$AM$662)</f>
        <v>0</v>
      </c>
      <c r="AF744">
        <f>IFERROR(AE744/$R$679,0)</f>
        <v>0</v>
      </c>
      <c r="AG744">
        <f>AE744*($F$22+IF($F$22=0,0,($C$14+$C$15+IF($C$13="single",1.5,3)+3)/12))</f>
        <v>0</v>
      </c>
      <c r="AH744">
        <f>AG744-X744</f>
        <v>0</v>
      </c>
      <c r="AI744" cm="1">
        <f t="array" ref="AI744">IFERROR(IF(AH744&lt;0,0,AH744/($R$679-INDEX(hd_off,MATCH(AQ744,hd_mark,0),0)/12)),0)</f>
        <v>0</v>
      </c>
      <c r="AJ744">
        <f>MAX($F$22,$Z$679)/$Q$692</f>
        <v>0.30172413793103448</v>
      </c>
      <c r="AK744">
        <f t="shared" ref="AK744:AK747" si="459">IF(AJ744=0,0,IF(AJ744&gt;2,1.25-0.125*AJ744,1))</f>
        <v>1</v>
      </c>
      <c r="AL744" cm="1">
        <f t="array" ref="AL744">IFERROR(INDEX(sheath_ecap_asd,MATCH(AP744,sheath_mark,0),0)*AK744,0)</f>
        <v>0</v>
      </c>
      <c r="AM744" cm="1">
        <f t="array" ref="AM744">IFERROR(INDEX(sheath_wcap_asd,MATCH(AP744,sheath_mark,0),0)*AK744,0)</f>
        <v>0</v>
      </c>
      <c r="AN744" cm="1">
        <f t="array" ref="AN744">IFERROR(INDEX(hd_cap,MATCH(AQ744,hd_mark,0),0),0)</f>
        <v>0</v>
      </c>
      <c r="AP744" s="19"/>
      <c r="AQ744" s="19"/>
      <c r="AR744" s="100"/>
      <c r="AS744" s="93"/>
      <c r="AT744" s="109"/>
      <c r="AU744" t="str">
        <f>$Q$662</f>
        <v>L3</v>
      </c>
      <c r="AV744">
        <f>$E$22</f>
        <v>21.375</v>
      </c>
      <c r="AW744" cm="1">
        <f t="array" ref="AW744">IFERROR(IF(AV744=0,0,(INDEX($C$33:$C$38,MATCH($AZ$679,$B$33:$B$38,0),0)*(AV747+$BA$679)+$AW$679*COUNTIF(AV744:AV746,"&gt;0")*$C$32+$AY$679*$C$31)*$AU$679),0)</f>
        <v>0</v>
      </c>
      <c r="AX744">
        <f>IF(AV744=0,0,-(COUNTIF(AV744:AV746,"&gt;0")*$AW$679*$C$32+$AY$679*$C$31)*$H$27*$AU$679)</f>
        <v>0</v>
      </c>
      <c r="AY744">
        <f>IF(AV744=0,0,$AY$679*$H$26*$AU$679)</f>
        <v>0</v>
      </c>
      <c r="AZ744">
        <f>(0.6*AW744+0.7*AX744)*$AU$679/2</f>
        <v>0</v>
      </c>
      <c r="BA744">
        <f>AW744*$AU$679/2</f>
        <v>0</v>
      </c>
      <c r="BC744">
        <f>IF(AV744=0,0,$BG$679*$AP$662)</f>
        <v>0</v>
      </c>
      <c r="BD744">
        <f>IFERROR(BC744/$AU$679,0)</f>
        <v>0</v>
      </c>
      <c r="BE744">
        <f>BC744*($F$22+IF($F$22=0,0,($C$14+$C$15+IF($C$13="single",1.5,3)+3)/12))</f>
        <v>0</v>
      </c>
      <c r="BF744">
        <f>BE744-AZ744</f>
        <v>0</v>
      </c>
      <c r="BG744" cm="1">
        <f t="array" ref="BG744">IFERROR(IF(BF744&lt;0,0,BF744/($AU$679-INDEX(hd_off,MATCH(BT744,hd_mark,0),0)/12)),0)</f>
        <v>0</v>
      </c>
      <c r="BH744">
        <f>IF(AV744=0,0,$BG$679*$AM$662)</f>
        <v>0</v>
      </c>
      <c r="BI744">
        <f>IFERROR(BH744/$AU$679,0)</f>
        <v>0</v>
      </c>
      <c r="BJ744">
        <f>BH744*($F$22+IF($F$22=0,0,($C$14+$C$15+IF($C$13="single",1.5,3)+3)/12))</f>
        <v>0</v>
      </c>
      <c r="BK744">
        <f>BJ744-BA744</f>
        <v>0</v>
      </c>
      <c r="BL744" cm="1">
        <f t="array" ref="BL744">IFERROR(IF(BK744&lt;0,0,BK744/($AU$679-INDEX(hd_off,MATCH(BT744,hd_mark,0),0)/12)),0)</f>
        <v>0</v>
      </c>
      <c r="BM744">
        <f>MAX($F$22,$BC$679)/$Q$692</f>
        <v>0.30172413793103448</v>
      </c>
      <c r="BN744">
        <f t="shared" ref="BN744:BN747" si="460">IF(BM744=0,0,IF(BM744&gt;2,1.25-0.125*BM744,1))</f>
        <v>1</v>
      </c>
      <c r="BO744" cm="1">
        <f t="array" ref="BO744">IFERROR(INDEX(sheath_ecap_asd,MATCH(BS744,sheath_mark,0),0)*BN744,0)</f>
        <v>0</v>
      </c>
      <c r="BP744" cm="1">
        <f t="array" ref="BP744">IFERROR(INDEX(sheath_wcap_asd,MATCH(BS744,sheath_mark,0),0)*BN744,0)</f>
        <v>0</v>
      </c>
      <c r="BQ744" cm="1">
        <f t="array" ref="BQ744">IFERROR(INDEX(hd_cap,MATCH(BT744,hd_mark,0),0),0)</f>
        <v>0</v>
      </c>
      <c r="BS744" s="19"/>
      <c r="BT744" s="19"/>
      <c r="BU744" s="100"/>
    </row>
    <row r="745" x14ac:dyDescent="0.25">
      <c r="P745" s="93"/>
      <c r="Q745" s="109" t="s">
        <v>491</v>
      </c>
      <c r="R745" t="str">
        <f>$Q$663</f>
        <v>L4</v>
      </c>
      <c r="S745">
        <f>$E$23</f>
        <v>0</v>
      </c>
      <c r="T745" cm="1">
        <f t="array" ref="T745">IFERROR(IF(S745=0,0,(INDEX($C$33:$C$38,MATCH($W$679,$B$33:$B$38,0),0)*(S747+$X$679)+$T$679*COUNTIF(S745:S746,"&gt;0")*$C$32+$V$679*$C$31)*$R$679),0)</f>
        <v>0</v>
      </c>
      <c r="U745">
        <f>IF(S745=0,0,-(COUNTIF(S745:S746,"&gt;0")*$T$679*$C$32+$V$679*$C$31)*$H$27*$R$679)</f>
        <v>0</v>
      </c>
      <c r="V745">
        <f>IF(S745=0,0,$V$679*$H$26*$R$679)</f>
        <v>0</v>
      </c>
      <c r="W745">
        <f>(0.6*T745+0.7*U745)*$R$679/2</f>
        <v>0</v>
      </c>
      <c r="X745">
        <f>T745*$R$679/2</f>
        <v>0</v>
      </c>
      <c r="Z745">
        <f>IF(S745=0,0,$AD$679*$AP$663)</f>
        <v>0</v>
      </c>
      <c r="AA745">
        <f>IFERROR(Z745/$R$679,0)</f>
        <v>0</v>
      </c>
      <c r="AB745">
        <f>Z745*($F$23+IF($F$23=0,0,($C$14+$C$15+IF($C$13="single",1.5,3)+3)/12))</f>
        <v>0</v>
      </c>
      <c r="AC745">
        <f>AB745-W745</f>
        <v>0</v>
      </c>
      <c r="AD745" cm="1">
        <f t="array" ref="AD745">IFERROR(IF(AC745&lt;0,0,AC745/($R$679-INDEX(hd_off,MATCH(AQ745,hd_mark,0),0)/12)),0)</f>
        <v>0</v>
      </c>
      <c r="AE745">
        <f>IF(S745=0,0,$AD$679*$AM$663)</f>
        <v>0</v>
      </c>
      <c r="AF745">
        <f>IFERROR(AE745/$R$679,0)</f>
        <v>0</v>
      </c>
      <c r="AG745">
        <f>AE745*($F$23+IF($F$23=0,0,($C$14+$C$15+IF($C$13="single",1.5,3)+3)/12))</f>
        <v>0</v>
      </c>
      <c r="AH745">
        <f>AG745-X745</f>
        <v>0</v>
      </c>
      <c r="AI745" cm="1">
        <f t="array" ref="AI745">IFERROR(IF(AH745&lt;0,0,AH745/($R$679-INDEX(hd_off,MATCH(AQ745,hd_mark,0),0)/12)),0)</f>
        <v>0</v>
      </c>
      <c r="AJ745">
        <f>MAX($F$23,$AA$679)/$Q$692</f>
        <v>0</v>
      </c>
      <c r="AK745">
        <f t="shared" si="459"/>
        <v>0</v>
      </c>
      <c r="AL745" cm="1">
        <f t="array" ref="AL745">IFERROR(INDEX(sheath_ecap_asd,MATCH(AP745,sheath_mark,0),0)*AK745,0)</f>
        <v>0</v>
      </c>
      <c r="AM745" cm="1">
        <f t="array" ref="AM745">IFERROR(INDEX(sheath_wcap_asd,MATCH(AP745,sheath_mark,0),0)*AK745,0)</f>
        <v>0</v>
      </c>
      <c r="AN745" cm="1">
        <f t="array" ref="AN745">IFERROR(INDEX(hd_cap,MATCH(AQ745,hd_mark,0),0),0)</f>
        <v>0</v>
      </c>
      <c r="AP745" s="19"/>
      <c r="AQ745" s="19"/>
      <c r="AR745" s="100"/>
      <c r="AS745" s="93"/>
      <c r="AT745" s="109" t="s">
        <v>491</v>
      </c>
      <c r="AU745" t="str">
        <f>$Q$663</f>
        <v>L4</v>
      </c>
      <c r="AV745">
        <f>$E$23</f>
        <v>0</v>
      </c>
      <c r="AW745" cm="1">
        <f t="array" ref="AW745">IFERROR(IF(AV745=0,0,(INDEX($C$33:$C$38,MATCH($AZ$679,$B$33:$B$38,0),0)*(AV747+$BA$679)+$AW$679*COUNTIF(AV745:AV746,"&gt;0")*$C$32+$AY$679*$C$31)*$AU$679),0)</f>
        <v>0</v>
      </c>
      <c r="AX745">
        <f>IF(AV745=0,0,-(COUNTIF(AV745:AV746,"&gt;0")*$AW$679*$C$32+$AY$679*$C$31)*$H$27*$AU$679)</f>
        <v>0</v>
      </c>
      <c r="AY745">
        <f>IF(AV745=0,0,$AY$679*$H$26*$AU$679)</f>
        <v>0</v>
      </c>
      <c r="AZ745">
        <f>(0.6*AW745+0.7*AX745)*$AU$679/2</f>
        <v>0</v>
      </c>
      <c r="BA745">
        <f>AW745*$AU$679/2</f>
        <v>0</v>
      </c>
      <c r="BC745">
        <f>IF(AV745=0,0,$BG$679*$AP$663)</f>
        <v>0</v>
      </c>
      <c r="BD745">
        <f>IFERROR(BC745/$AU$679,0)</f>
        <v>0</v>
      </c>
      <c r="BE745">
        <f>BC745*($F$23+IF($F$23=0,0,($C$14+$C$15+IF($C$13="single",1.5,3)+3)/12))</f>
        <v>0</v>
      </c>
      <c r="BF745">
        <f>BE745-AZ745</f>
        <v>0</v>
      </c>
      <c r="BG745" cm="1">
        <f t="array" ref="BG745">IFERROR(IF(BF745&lt;0,0,BF745/($AU$679-INDEX(hd_off,MATCH(BT745,hd_mark,0),0)/12)),0)</f>
        <v>0</v>
      </c>
      <c r="BH745">
        <f>IF(AV745=0,0,$BG$679*$AM$663)</f>
        <v>0</v>
      </c>
      <c r="BI745">
        <f>IFERROR(BH745/$AU$679,0)</f>
        <v>0</v>
      </c>
      <c r="BJ745">
        <f>BH745*($F$23+IF($F$23=0,0,($C$14+$C$15+IF($C$13="single",1.5,3)+3)/12))</f>
        <v>0</v>
      </c>
      <c r="BK745">
        <f>BJ745-BA745</f>
        <v>0</v>
      </c>
      <c r="BL745" cm="1">
        <f t="array" ref="BL745">IFERROR(IF(BK745&lt;0,0,BK745/($AU$679-INDEX(hd_off,MATCH(BT745,hd_mark,0),0)/12)),0)</f>
        <v>0</v>
      </c>
      <c r="BM745">
        <f>MAX($F$23,$BD$679)/$Q$692</f>
        <v>0</v>
      </c>
      <c r="BN745">
        <f t="shared" si="460"/>
        <v>0</v>
      </c>
      <c r="BO745" cm="1">
        <f t="array" ref="BO745">IFERROR(INDEX(sheath_ecap_asd,MATCH(BS745,sheath_mark,0),0)*BN745,0)</f>
        <v>0</v>
      </c>
      <c r="BP745" cm="1">
        <f t="array" ref="BP745">IFERROR(INDEX(sheath_wcap_asd,MATCH(BS745,sheath_mark,0),0)*BN745,0)</f>
        <v>0</v>
      </c>
      <c r="BQ745" cm="1">
        <f t="array" ref="BQ745">IFERROR(INDEX(hd_cap,MATCH(BT745,hd_mark,0),0),0)</f>
        <v>0</v>
      </c>
      <c r="BS745" s="19"/>
      <c r="BT745" s="19"/>
      <c r="BU745" s="100"/>
    </row>
    <row r="746" x14ac:dyDescent="0.25">
      <c r="P746" s="93"/>
      <c r="Q746" s="111">
        <f>$R$679</f>
        <v>0</v>
      </c>
      <c r="R746" t="str">
        <f>$Q$664</f>
        <v>L5</v>
      </c>
      <c r="S746">
        <f>$E$24</f>
        <v>0</v>
      </c>
      <c r="T746" cm="1">
        <f t="array" ref="T746">IFERROR(IF(S746=0,0,(INDEX($C$33:$C$38,MATCH($W$679,$B$33:$B$38,0),0)*(S747+$X$679)+$T$679*COUNTIF(S746:S746,"&gt;0")*$C$32+$V$679*$C$31)*$R$679),0)</f>
        <v>0</v>
      </c>
      <c r="U746">
        <f>IF(S746=0,0,-(COUNTIF(S746:S746,"&gt;0")*$T$679*$C$32+$V$679*$C$31)*$H$27*$R$679)</f>
        <v>0</v>
      </c>
      <c r="V746">
        <f>IF(S746=0,0,$V$679*$H$26*$R$679)</f>
        <v>0</v>
      </c>
      <c r="W746">
        <f>(0.6*T746+0.7*U746)*$R$679/2</f>
        <v>0</v>
      </c>
      <c r="X746">
        <f>T746*$R$679/2</f>
        <v>0</v>
      </c>
      <c r="Z746">
        <f>IF(S746=0,0,$AD$679*$AP$664)</f>
        <v>0</v>
      </c>
      <c r="AA746">
        <f>IFERROR(Z746/$R$679,0)</f>
        <v>0</v>
      </c>
      <c r="AB746">
        <f>Z746*($F$24+IF($F$24=0,0,($C$14+$C$15+IF($C$13="single",1.5,3)+3)/12))</f>
        <v>0</v>
      </c>
      <c r="AC746">
        <f>AB746-W746</f>
        <v>0</v>
      </c>
      <c r="AD746" cm="1">
        <f t="array" ref="AD746">IFERROR(IF(AC746&lt;0,0,AC746/($R$679-INDEX(hd_off,MATCH(AQ746,hd_mark,0),0)/12)),0)</f>
        <v>0</v>
      </c>
      <c r="AE746">
        <f>IF(S746=0,0,$AD$679*$AM$664)</f>
        <v>0</v>
      </c>
      <c r="AF746">
        <f>IFERROR(AE746/$R$679,0)</f>
        <v>0</v>
      </c>
      <c r="AG746">
        <f>AE746*($F$24+IF($F$24=0,0,($C$14+$C$15+IF($C$13="single",1.5,3)+3)/12))</f>
        <v>0</v>
      </c>
      <c r="AH746">
        <f>AG746-X746</f>
        <v>0</v>
      </c>
      <c r="AI746" cm="1">
        <f t="array" ref="AI746">IFERROR(IF(AH746&lt;0,0,AH746/($R$679-INDEX(hd_off,MATCH(AQ746,hd_mark,0),0)/12)),0)</f>
        <v>0</v>
      </c>
      <c r="AJ746">
        <f>MAX($F$24,$AB$679)/$Q$692</f>
        <v>0</v>
      </c>
      <c r="AK746">
        <f t="shared" si="459"/>
        <v>0</v>
      </c>
      <c r="AL746" cm="1">
        <f t="array" ref="AL746">IFERROR(INDEX(sheath_ecap_asd,MATCH(AP746,sheath_mark,0),0)*AK746,0)</f>
        <v>0</v>
      </c>
      <c r="AM746" cm="1">
        <f t="array" ref="AM746">IFERROR(INDEX(sheath_wcap_asd,MATCH(AP746,sheath_mark,0),0)*AK746,0)</f>
        <v>0</v>
      </c>
      <c r="AN746" cm="1">
        <f t="array" ref="AN746">IFERROR(INDEX(hd_cap,MATCH(AQ746,hd_mark,0),0),0)</f>
        <v>0</v>
      </c>
      <c r="AP746" s="19"/>
      <c r="AQ746" s="19"/>
      <c r="AR746" s="100"/>
      <c r="AS746" s="93"/>
      <c r="AT746" s="111">
        <f>$R$679</f>
        <v>0</v>
      </c>
      <c r="AU746" t="str">
        <f>$Q$664</f>
        <v>L5</v>
      </c>
      <c r="AV746">
        <f>$E$24</f>
        <v>0</v>
      </c>
      <c r="AW746" cm="1">
        <f t="array" ref="AW746">IFERROR(IF(AV746=0,0,(INDEX($C$33:$C$38,MATCH($AZ$679,$B$33:$B$38,0),0)*(AV747+$BA$679)+$AW$679*COUNTIF(AV746:AV746,"&gt;0")*$C$32+$AY$679*$C$31)*$AU$679),0)</f>
        <v>0</v>
      </c>
      <c r="AX746">
        <f>IF(AV746=0,0,-(COUNTIF(AV746:AV746,"&gt;0")*$AW$679*$C$32+$AY$679*$C$31)*$H$27*$AU$679)</f>
        <v>0</v>
      </c>
      <c r="AY746">
        <f>IF(AV746=0,0,$AY$679*$H$26*$AU$679)</f>
        <v>0</v>
      </c>
      <c r="AZ746">
        <f>(0.6*AW746+0.7*AX746)*$AU$679/2</f>
        <v>0</v>
      </c>
      <c r="BA746">
        <f>AW746*$AU$679/2</f>
        <v>0</v>
      </c>
      <c r="BC746">
        <f>IF(AV746=0,0,$BG$679*$AP$664)</f>
        <v>0</v>
      </c>
      <c r="BD746">
        <f>IFERROR(BC746/$AU$679,0)</f>
        <v>0</v>
      </c>
      <c r="BE746">
        <f>BC746*($F$24+IF($F$24=0,0,($C$14+$C$15+IF($C$13="single",1.5,3)+3)/12))</f>
        <v>0</v>
      </c>
      <c r="BF746">
        <f>BE746-AZ746</f>
        <v>0</v>
      </c>
      <c r="BG746" cm="1">
        <f t="array" ref="BG746">IFERROR(IF(BF746&lt;0,0,BF746/($AU$679-INDEX(hd_off,MATCH(BT746,hd_mark,0),0)/12)),0)</f>
        <v>0</v>
      </c>
      <c r="BH746">
        <f>IF(AV746=0,0,$BG$679*$AM$664)</f>
        <v>0</v>
      </c>
      <c r="BI746">
        <f>IFERROR(BH746/$AU$679,0)</f>
        <v>0</v>
      </c>
      <c r="BJ746">
        <f>BH746*($F$24+IF($F$24=0,0,($C$14+$C$15+IF($C$13="single",1.5,3)+3)/12))</f>
        <v>0</v>
      </c>
      <c r="BK746">
        <f>BJ746-BA746</f>
        <v>0</v>
      </c>
      <c r="BL746" cm="1">
        <f t="array" ref="BL746">IFERROR(IF(BK746&lt;0,0,BK746/($AU$679-INDEX(hd_off,MATCH(BT746,hd_mark,0),0)/12)),0)</f>
        <v>0</v>
      </c>
      <c r="BM746">
        <f>MAX($F$24,$BE$679)/$Q$692</f>
        <v>0</v>
      </c>
      <c r="BN746">
        <f t="shared" si="460"/>
        <v>0</v>
      </c>
      <c r="BO746" cm="1">
        <f t="array" ref="BO746">IFERROR(INDEX(sheath_ecap_asd,MATCH(BS746,sheath_mark,0),0)*BN746,0)</f>
        <v>0</v>
      </c>
      <c r="BP746" cm="1">
        <f t="array" ref="BP746">IFERROR(INDEX(sheath_wcap_asd,MATCH(BS746,sheath_mark,0),0)*BN746,0)</f>
        <v>0</v>
      </c>
      <c r="BQ746" cm="1">
        <f t="array" ref="BQ746">IFERROR(INDEX(hd_cap,MATCH(BT746,hd_mark,0),0),0)</f>
        <v>0</v>
      </c>
      <c r="BS746" s="19"/>
      <c r="BT746" s="19"/>
      <c r="BU746" s="100"/>
    </row>
    <row r="747" x14ac:dyDescent="0.25">
      <c r="P747" s="93"/>
      <c r="Q747" s="109"/>
      <c r="R747" t="str">
        <f>$Q$665</f>
        <v>Roof</v>
      </c>
      <c r="S747">
        <f>$E$25</f>
        <v>33.171875</v>
      </c>
      <c r="T747" cm="1">
        <f t="array" ref="T747">IFERROR(IF(S747=0,0,(INDEX($C$33:$C$38,MATCH($W$679,$B$33:$B$38,0),0)*(S747+$X$679)+$V$679*$C$31)*$R$679),0)</f>
        <v>0</v>
      </c>
      <c r="U747">
        <f>IF(S747=0,0,-$V$679*$C$31*$H$27*$R$679)</f>
        <v>0</v>
      </c>
      <c r="V747">
        <f>IF(S747=0,0,$V$679*$H$26*$R$679)</f>
        <v>0</v>
      </c>
      <c r="W747">
        <f>(0.6*T747+0.7*U747)*$R$679/2</f>
        <v>0</v>
      </c>
      <c r="X747">
        <f>T747*$R$679/2</f>
        <v>0</v>
      </c>
      <c r="Z747">
        <f>IF(S747=0,0,$AD$679*$AP$665)</f>
        <v>0</v>
      </c>
      <c r="AA747">
        <f>IFERROR(Z747/$R$679,0)</f>
        <v>0</v>
      </c>
      <c r="AB747">
        <f>Z747*($F$25+($C$16+$C$17+IF($C$13="single",1.5,3)+3)/12)</f>
        <v>0</v>
      </c>
      <c r="AC747">
        <f>AB747-W747</f>
        <v>0</v>
      </c>
      <c r="AD747" cm="1">
        <f t="array" ref="AD747">IFERROR(IF(AC747&lt;0,0,AC747/($R$679-INDEX(hd_off,MATCH(AQ747,hd_mark,0),0)/12)),0)</f>
        <v>0</v>
      </c>
      <c r="AE747">
        <f>IF(S747=0,0,$AD$679*$AM$665)</f>
        <v>0</v>
      </c>
      <c r="AF747">
        <f>IFERROR(AE747/$R$679,0)</f>
        <v>0</v>
      </c>
      <c r="AG747">
        <f>AE747*($F$25+($C$16+$C$17+IF($C$13="single",1.5,3)+3)/12)</f>
        <v>0</v>
      </c>
      <c r="AH747">
        <f>AG747-X747</f>
        <v>0</v>
      </c>
      <c r="AI747" cm="1">
        <f t="array" ref="AI747">IFERROR(IF(AH747&lt;0,0,AH747/($R$679-INDEX(hd_off,MATCH(AQ747,hd_mark,0),0)/12)),0)</f>
        <v>0</v>
      </c>
      <c r="AJ747">
        <f>MAX($F$25,$AC$679)/$Q$692</f>
        <v>0.29920977011494249</v>
      </c>
      <c r="AK747">
        <f t="shared" si="459"/>
        <v>1</v>
      </c>
      <c r="AL747" cm="1">
        <f t="array" ref="AL747">IFERROR(INDEX(sheath_ecap_asd,MATCH(AP747,sheath_mark,0),0)*AK747,0)</f>
        <v>0</v>
      </c>
      <c r="AM747" cm="1">
        <f t="array" ref="AM747">IFERROR(INDEX(sheath_wcap_asd,MATCH(AP747,sheath_mark,0),0)*AK747,0)</f>
        <v>0</v>
      </c>
      <c r="AN747" cm="1">
        <f t="array" ref="AN747">IFERROR(INDEX(hd_cap,MATCH(AQ747,hd_mark,0),0),0)</f>
        <v>0</v>
      </c>
      <c r="AP747" s="19"/>
      <c r="AQ747" s="19"/>
      <c r="AR747" s="100"/>
      <c r="AS747" s="93"/>
      <c r="AT747" s="109"/>
      <c r="AU747" t="str">
        <f>$Q$665</f>
        <v>Roof</v>
      </c>
      <c r="AV747">
        <f>$E$25</f>
        <v>33.171875</v>
      </c>
      <c r="AW747" cm="1">
        <f t="array" ref="AW747">IFERROR(IF(AV747=0,0,(INDEX($C$33:$C$38,MATCH($AZ$679,$B$33:$B$38,0),0)*(AV747+$BA$679)+$AY$679*$C$31)*$AU$679),0)</f>
        <v>0</v>
      </c>
      <c r="AX747">
        <f>IF(AV747=0,0,-$AY$679*$C$31*$H$27*$AU$679)</f>
        <v>0</v>
      </c>
      <c r="AY747">
        <f>IF(AV747=0,0,$AY$679*$H$26*$AU$679)</f>
        <v>0</v>
      </c>
      <c r="AZ747">
        <f>(0.6*AW747+0.7*AX747)*$AU$679/2</f>
        <v>0</v>
      </c>
      <c r="BA747">
        <f>AW747*$AU$679/2</f>
        <v>0</v>
      </c>
      <c r="BC747">
        <f>IF(AV747=0,0,$BG$679*$AP$665)</f>
        <v>0</v>
      </c>
      <c r="BD747">
        <f>IFERROR(BC747/$AU$679,0)</f>
        <v>0</v>
      </c>
      <c r="BE747">
        <f>BC747*($F$25+($C$16+$C$17+IF($C$13="single",1.5,3)+3)/12)</f>
        <v>0</v>
      </c>
      <c r="BF747">
        <f>BE747-AZ747</f>
        <v>0</v>
      </c>
      <c r="BG747" cm="1">
        <f t="array" ref="BG747">IFERROR(IF(BF747&lt;0,0,BF747/($AU$679-INDEX(hd_off,MATCH(BT747,hd_mark,0),0)/12)),0)</f>
        <v>0</v>
      </c>
      <c r="BH747">
        <f>IF(AV747=0,0,$BG$679*$AM$665)</f>
        <v>0</v>
      </c>
      <c r="BI747">
        <f>IFERROR(BH747/$AU$679,0)</f>
        <v>0</v>
      </c>
      <c r="BJ747">
        <f>BH747*($F$25+($C$16+$C$17+IF($C$13="single",1.5,3)+3)/12)</f>
        <v>0</v>
      </c>
      <c r="BK747">
        <f>BJ747-BA747</f>
        <v>0</v>
      </c>
      <c r="BL747" cm="1">
        <f t="array" ref="BL747">IFERROR(IF(BK747&lt;0,0,BK747/($AU$679-INDEX(hd_off,MATCH(BT747,hd_mark,0),0)/12)),0)</f>
        <v>0</v>
      </c>
      <c r="BM747">
        <f>MAX($F$25,$BF$679)/$Q$692</f>
        <v>0.29920977011494249</v>
      </c>
      <c r="BN747">
        <f t="shared" si="460"/>
        <v>1</v>
      </c>
      <c r="BO747" cm="1">
        <f t="array" ref="BO747">IFERROR(INDEX(sheath_ecap_asd,MATCH(BS747,sheath_mark,0),0)*BN747,0)</f>
        <v>0</v>
      </c>
      <c r="BP747" cm="1">
        <f t="array" ref="BP747">IFERROR(INDEX(sheath_wcap_asd,MATCH(BS747,sheath_mark,0),0)*BN747,0)</f>
        <v>0</v>
      </c>
      <c r="BQ747" cm="1">
        <f t="array" ref="BQ747">IFERROR(INDEX(hd_cap,MATCH(BT747,hd_mark,0),0),0)</f>
        <v>0</v>
      </c>
      <c r="BS747" s="19"/>
      <c r="BT747" s="19"/>
      <c r="BU747" s="100"/>
    </row>
    <row r="748" x14ac:dyDescent="0.25">
      <c r="P748" s="93"/>
      <c r="AR748" s="100"/>
      <c r="AS748" s="93"/>
      <c r="BU748" s="100"/>
    </row>
    <row r="749" x14ac:dyDescent="0.25">
      <c r="P749" s="93"/>
      <c r="Q749" s="110" t="str">
        <f>$Q$680</f>
        <v>A.11</v>
      </c>
      <c r="R749" t="str">
        <f>$Q$661</f>
        <v>L2</v>
      </c>
      <c r="S749">
        <f>$E$21</f>
        <v>10.6875</v>
      </c>
      <c r="T749" cm="1">
        <f t="array" ref="T749">IFERROR(IF(S749=0,0,(INDEX($C$33:$C$38,MATCH($W$680,$B$33:$B$38,0),0)*(S753+$X$680)+$T$680*COUNTIF(S749:S752,"&gt;0")*$C$32+$V$680*$C$31)*$R$680),0)</f>
        <v>0</v>
      </c>
      <c r="U749">
        <f>IF(S749=0,0,-(COUNTIF(S749:S752,"&gt;0")*$T$680*$C$32+$V$680*$C$31)*$H$27*$R$680)</f>
        <v>0</v>
      </c>
      <c r="V749">
        <f>IF(S749=0,0,$V$680*$H$26*$R$680)</f>
        <v>0</v>
      </c>
      <c r="W749">
        <f>(0.6*T749+0.7*U749)*$R$680/2</f>
        <v>0</v>
      </c>
      <c r="X749">
        <f>(0.6*T749+0.6*V749)*$R$680/2</f>
        <v>0</v>
      </c>
      <c r="Z749">
        <f>IF(S749=0,0,$AD$680*$AP$661)</f>
        <v>0</v>
      </c>
      <c r="AA749">
        <f>IFERROR(Z749/$R$680,0)</f>
        <v>0</v>
      </c>
      <c r="AB749">
        <f>Z749*($F$21+IF($F$21=0,0,($C$14+$C$15+IF($C$13="single",1.5,3)+3)/12))</f>
        <v>0</v>
      </c>
      <c r="AC749">
        <f>AB749-W749</f>
        <v>0</v>
      </c>
      <c r="AD749" cm="1">
        <f t="array" ref="AD749">IFERROR(IF(AC749&lt;0,0,AC749/($R$680-INDEX(hd_off,MATCH(AQ749,hd_mark,0),0)/12)),0)</f>
        <v>0</v>
      </c>
      <c r="AE749">
        <f>IF(S749=0,0,$AD$680*$AM$661)</f>
        <v>0</v>
      </c>
      <c r="AF749">
        <f>IFERROR(AE749/$R$680,0)</f>
        <v>0</v>
      </c>
      <c r="AG749">
        <f>AE749*($F$21+IF($F$21=0,0,($C$14+$C$15+IF($C$13="single",1.5,3)+3)/12))</f>
        <v>0</v>
      </c>
      <c r="AH749">
        <f>AG749-X749</f>
        <v>0</v>
      </c>
      <c r="AI749" cm="1">
        <f t="array" ref="AI749">IFERROR(IF(AH749&lt;0,0,AH749/($R$680-INDEX(hd_off,MATCH(AQ749,hd_mark,0),0)/12)),0)</f>
        <v>0</v>
      </c>
      <c r="AJ749">
        <f>MAX($F$21,$Y$680)/$Q$692</f>
        <v>0.30172413793103448</v>
      </c>
      <c r="AK749">
        <f>IF(AJ749=0,0,IF(AJ749&gt;2,1.25-0.125*AJ749,1))</f>
        <v>1</v>
      </c>
      <c r="AL749" cm="1">
        <f t="array" ref="AL749">IFERROR(INDEX(sheath_ecap_asd,MATCH(AP749,sheath_mark,0),0)*AK749,0)</f>
        <v>0</v>
      </c>
      <c r="AM749" cm="1">
        <f t="array" ref="AM749">IFERROR(INDEX(sheath_wcap_asd,MATCH(AP749,sheath_mark,0),0)*AK749,0)</f>
        <v>0</v>
      </c>
      <c r="AN749" cm="1">
        <f t="array" ref="AN749">IFERROR(INDEX(hd_cap,MATCH(AQ749,hd_mark,0),0),0)</f>
        <v>0</v>
      </c>
      <c r="AP749" s="19"/>
      <c r="AQ749" s="19"/>
      <c r="AR749" s="100"/>
      <c r="AS749" s="93"/>
      <c r="AT749" s="110" t="str">
        <f>$AT$680</f>
        <v>1.11</v>
      </c>
      <c r="AU749" t="str">
        <f>$Q$661</f>
        <v>L2</v>
      </c>
      <c r="AV749">
        <f>$E$21</f>
        <v>10.6875</v>
      </c>
      <c r="AW749" cm="1">
        <f t="array" ref="AW749">IFERROR(IF(AV749=0,0,(INDEX($C$33:$C$38,MATCH($AZ$680,$B$33:$B$38,0),0)*(AV753+$BA$680)+$AW$680*COUNTIF(AV749:AV752,"&gt;0")*$C$32+$AY$680*$C$31)*$AU$680),0)</f>
        <v>0</v>
      </c>
      <c r="AX749">
        <f>IF(AV749=0,0,-(COUNTIF(AV749:AV752,"&gt;0")*$AW$680*$C$32+$AY$680*$C$31)*$H$27*$AU$680)</f>
        <v>0</v>
      </c>
      <c r="AY749">
        <f>IF(AV749=0,0,$AY$680*$H$26*$AU$680)</f>
        <v>0</v>
      </c>
      <c r="AZ749">
        <f>(0.6*AW749+0.7*AX749)*$AU$680/2</f>
        <v>0</v>
      </c>
      <c r="BA749">
        <f>(0.6*AW749+0.6*AY749)*$AU$680/2</f>
        <v>0</v>
      </c>
      <c r="BC749">
        <f>IF(AV749=0,0,$BG$680*$AP$661)</f>
        <v>0</v>
      </c>
      <c r="BD749">
        <f>IFERROR(BC749/$AU$680,0)</f>
        <v>0</v>
      </c>
      <c r="BE749">
        <f>BC749*($F$21+IF($F$21=0,0,($C$14+$C$15+IF($C$13="single",1.5,3)+3)/12))</f>
        <v>0</v>
      </c>
      <c r="BF749">
        <f>BE749-AZ749</f>
        <v>0</v>
      </c>
      <c r="BG749" cm="1">
        <f t="array" ref="BG749">IFERROR(IF(BF749&lt;0,0,BF749/($AU$680-INDEX(hd_off,MATCH(BT749,hd_mark,0),0)/12)),0)</f>
        <v>0</v>
      </c>
      <c r="BH749">
        <f>IF(AV749=0,0,$BG$680*$AM$661)</f>
        <v>0</v>
      </c>
      <c r="BI749">
        <f>IFERROR(BH749/$AU$680,0)</f>
        <v>0</v>
      </c>
      <c r="BJ749">
        <f>BH749*($F$21+IF($F$21=0,0,($C$14+$C$15+IF($C$13="single",1.5,3)+3)/12))</f>
        <v>0</v>
      </c>
      <c r="BK749">
        <f>BJ749-BA749</f>
        <v>0</v>
      </c>
      <c r="BL749" cm="1">
        <f t="array" ref="BL749">IFERROR(IF(BK749&lt;0,0,BK749/($AU$680-INDEX(hd_off,MATCH(BT749,hd_mark,0),0)/12)),0)</f>
        <v>0</v>
      </c>
      <c r="BM749">
        <f>MAX($F$21,$BB$680)/$Q$692</f>
        <v>0.30172413793103448</v>
      </c>
      <c r="BN749">
        <f>IF(BM749=0,0,IF(BM749&gt;2,1.25-0.125*BM749,1))</f>
        <v>1</v>
      </c>
      <c r="BO749" cm="1">
        <f t="array" ref="BO749">IFERROR(INDEX(sheath_ecap_asd,MATCH(BS749,sheath_mark,0),0)*BN749,0)</f>
        <v>0</v>
      </c>
      <c r="BP749" cm="1">
        <f t="array" ref="BP749">IFERROR(INDEX(sheath_wcap_asd,MATCH(BS749,sheath_mark,0),0)*BN749,0)</f>
        <v>0</v>
      </c>
      <c r="BQ749" cm="1">
        <f t="array" ref="BQ749">IFERROR(INDEX(hd_cap,MATCH(BT749,hd_mark,0),0),0)</f>
        <v>0</v>
      </c>
      <c r="BS749" s="19"/>
      <c r="BT749" s="19"/>
      <c r="BU749" s="100"/>
    </row>
    <row r="750" x14ac:dyDescent="0.25">
      <c r="P750" s="93"/>
      <c r="Q750" s="109"/>
      <c r="R750" t="str">
        <f>$Q$662</f>
        <v>L3</v>
      </c>
      <c r="S750">
        <f>$E$22</f>
        <v>21.375</v>
      </c>
      <c r="T750" cm="1">
        <f t="array" ref="T750">IFERROR(IF(S750=0,0,(INDEX($C$33:$C$38,MATCH($W$680,$B$33:$B$38,0),0)*(S753+$X$680)+$T$680*COUNTIF(S750:S752,"&gt;0")*$C$32+$V$680*$C$31)*$R$680),0)</f>
        <v>0</v>
      </c>
      <c r="U750">
        <f>IF(S750=0,0,-(COUNTIF(S750:S752,"&gt;0")*$T$680*$C$32+$V$680*$C$31)*$H$27*$R$680)</f>
        <v>0</v>
      </c>
      <c r="V750">
        <f>IF(S750=0,0,$V$680*$H$26*$R$680)</f>
        <v>0</v>
      </c>
      <c r="W750">
        <f>(0.6*T750+0.7*U750)*$R$680/2</f>
        <v>0</v>
      </c>
      <c r="X750">
        <f>T750*$R$680/2</f>
        <v>0</v>
      </c>
      <c r="Z750">
        <f>IF(S750=0,0,$AD$680*$AP$662)</f>
        <v>0</v>
      </c>
      <c r="AA750">
        <f>IFERROR(Z750/$R$680,0)</f>
        <v>0</v>
      </c>
      <c r="AB750">
        <f>Z750*($F$22+IF($F$22=0,0,($C$14+$C$15+IF($C$13="single",1.5,3)+3)/12))</f>
        <v>0</v>
      </c>
      <c r="AC750">
        <f>AB750-W750</f>
        <v>0</v>
      </c>
      <c r="AD750" cm="1">
        <f t="array" ref="AD750">IFERROR(IF(AC750&lt;0,0,AC750/($R$680-INDEX(hd_off,MATCH(AQ750,hd_mark,0),0)/12)),0)</f>
        <v>0</v>
      </c>
      <c r="AE750">
        <f>IF(S750=0,0,$AD$680*$AM$662)</f>
        <v>0</v>
      </c>
      <c r="AF750">
        <f>IFERROR(AE750/$R$680,0)</f>
        <v>0</v>
      </c>
      <c r="AG750">
        <f>AE750*($F$22+IF($F$22=0,0,($C$14+$C$15+IF($C$13="single",1.5,3)+3)/12))</f>
        <v>0</v>
      </c>
      <c r="AH750">
        <f>AG750-X750</f>
        <v>0</v>
      </c>
      <c r="AI750" cm="1">
        <f t="array" ref="AI750">IFERROR(IF(AH750&lt;0,0,AH750/($R$680-INDEX(hd_off,MATCH(AQ750,hd_mark,0),0)/12)),0)</f>
        <v>0</v>
      </c>
      <c r="AJ750">
        <f>MAX($F$22,$Z$680)/$Q$692</f>
        <v>0.30172413793103448</v>
      </c>
      <c r="AK750">
        <f t="shared" ref="AK750:AK753" si="461">IF(AJ750=0,0,IF(AJ750&gt;2,1.25-0.125*AJ750,1))</f>
        <v>1</v>
      </c>
      <c r="AL750" cm="1">
        <f t="array" ref="AL750">IFERROR(INDEX(sheath_ecap_asd,MATCH(AP750,sheath_mark,0),0)*AK750,0)</f>
        <v>0</v>
      </c>
      <c r="AM750" cm="1">
        <f t="array" ref="AM750">IFERROR(INDEX(sheath_wcap_asd,MATCH(AP750,sheath_mark,0),0)*AK750,0)</f>
        <v>0</v>
      </c>
      <c r="AN750" cm="1">
        <f t="array" ref="AN750">IFERROR(INDEX(hd_cap,MATCH(AQ750,hd_mark,0),0),0)</f>
        <v>0</v>
      </c>
      <c r="AP750" s="19"/>
      <c r="AQ750" s="19"/>
      <c r="AR750" s="100"/>
      <c r="AS750" s="93"/>
      <c r="AT750" s="109"/>
      <c r="AU750" t="str">
        <f>$Q$662</f>
        <v>L3</v>
      </c>
      <c r="AV750">
        <f>$E$22</f>
        <v>21.375</v>
      </c>
      <c r="AW750" cm="1">
        <f t="array" ref="AW750">IFERROR(IF(AV750=0,0,(INDEX($C$33:$C$38,MATCH($AZ$680,$B$33:$B$38,0),0)*(AV753+$BA$680)+$AW$680*COUNTIF(AV750:AV752,"&gt;0")*$C$32+$AY$680*$C$31)*$AU$680),0)</f>
        <v>0</v>
      </c>
      <c r="AX750">
        <f>IF(AV750=0,0,-(COUNTIF(AV750:AV752,"&gt;0")*$AW$680*$C$32+$AY$680*$C$31)*$H$27*$AU$680)</f>
        <v>0</v>
      </c>
      <c r="AY750">
        <f>IF(AV750=0,0,$AY$680*$H$26*$AU$680)</f>
        <v>0</v>
      </c>
      <c r="AZ750">
        <f>(0.6*AW750+0.7*AX750)*$AU$680/2</f>
        <v>0</v>
      </c>
      <c r="BA750">
        <f>AW750*$AU$680/2</f>
        <v>0</v>
      </c>
      <c r="BC750">
        <f>IF(AV750=0,0,$BG$680*$AP$662)</f>
        <v>0</v>
      </c>
      <c r="BD750">
        <f>IFERROR(BC750/$AU$680,0)</f>
        <v>0</v>
      </c>
      <c r="BE750">
        <f>BC750*($F$22+IF($F$22=0,0,($C$14+$C$15+IF($C$13="single",1.5,3)+3)/12))</f>
        <v>0</v>
      </c>
      <c r="BF750">
        <f>BE750-AZ750</f>
        <v>0</v>
      </c>
      <c r="BG750" cm="1">
        <f t="array" ref="BG750">IFERROR(IF(BF750&lt;0,0,BF750/($AU$680-INDEX(hd_off,MATCH(BT750,hd_mark,0),0)/12)),0)</f>
        <v>0</v>
      </c>
      <c r="BH750">
        <f>IF(AV750=0,0,$BG$680*$AM$662)</f>
        <v>0</v>
      </c>
      <c r="BI750">
        <f>IFERROR(BH750/$AU$680,0)</f>
        <v>0</v>
      </c>
      <c r="BJ750">
        <f>BH750*($F$22+IF($F$22=0,0,($C$14+$C$15+IF($C$13="single",1.5,3)+3)/12))</f>
        <v>0</v>
      </c>
      <c r="BK750">
        <f>BJ750-BA750</f>
        <v>0</v>
      </c>
      <c r="BL750" cm="1">
        <f t="array" ref="BL750">IFERROR(IF(BK750&lt;0,0,BK750/($AU$680-INDEX(hd_off,MATCH(BT750,hd_mark,0),0)/12)),0)</f>
        <v>0</v>
      </c>
      <c r="BM750">
        <f>MAX($F$22,$BC$680)/$Q$692</f>
        <v>0.30172413793103448</v>
      </c>
      <c r="BN750">
        <f t="shared" ref="BN750:BN753" si="462">IF(BM750=0,0,IF(BM750&gt;2,1.25-0.125*BM750,1))</f>
        <v>1</v>
      </c>
      <c r="BO750" cm="1">
        <f t="array" ref="BO750">IFERROR(INDEX(sheath_ecap_asd,MATCH(BS750,sheath_mark,0),0)*BN750,0)</f>
        <v>0</v>
      </c>
      <c r="BP750" cm="1">
        <f t="array" ref="BP750">IFERROR(INDEX(sheath_wcap_asd,MATCH(BS750,sheath_mark,0),0)*BN750,0)</f>
        <v>0</v>
      </c>
      <c r="BQ750" cm="1">
        <f t="array" ref="BQ750">IFERROR(INDEX(hd_cap,MATCH(BT750,hd_mark,0),0),0)</f>
        <v>0</v>
      </c>
      <c r="BS750" s="19"/>
      <c r="BT750" s="19"/>
      <c r="BU750" s="100"/>
    </row>
    <row r="751" x14ac:dyDescent="0.25">
      <c r="P751" s="93"/>
      <c r="Q751" s="109" t="s">
        <v>491</v>
      </c>
      <c r="R751" t="str">
        <f>$Q$663</f>
        <v>L4</v>
      </c>
      <c r="S751">
        <f>$E$23</f>
        <v>0</v>
      </c>
      <c r="T751" cm="1">
        <f t="array" ref="T751">IFERROR(IF(S751=0,0,(INDEX($C$33:$C$38,MATCH($W$680,$B$33:$B$38,0),0)*(S753+$X$680)+$T$680*COUNTIF(S751:S752,"&gt;0")*$C$32+$V$680*$C$31)*$R$680),0)</f>
        <v>0</v>
      </c>
      <c r="U751">
        <f>IF(S751=0,0,-(COUNTIF(S751:S752,"&gt;0")*$T$680*$C$32+$V$680*$C$31)*$H$27*$R$680)</f>
        <v>0</v>
      </c>
      <c r="V751">
        <f>IF(S751=0,0,$V$680*$H$26*$R$680)</f>
        <v>0</v>
      </c>
      <c r="W751">
        <f>(0.6*T751+0.7*U751)*$R$680/2</f>
        <v>0</v>
      </c>
      <c r="X751">
        <f>T751*$R$680/2</f>
        <v>0</v>
      </c>
      <c r="Z751">
        <f>IF(S751=0,0,$AD$680*$AP$663)</f>
        <v>0</v>
      </c>
      <c r="AA751">
        <f>IFERROR(Z751/$R$680,0)</f>
        <v>0</v>
      </c>
      <c r="AB751">
        <f>Z751*($F$23+IF($F$23=0,0,($C$14+$C$15+IF($C$13="single",1.5,3)+3)/12))</f>
        <v>0</v>
      </c>
      <c r="AC751">
        <f>AB751-W751</f>
        <v>0</v>
      </c>
      <c r="AD751" cm="1">
        <f t="array" ref="AD751">IFERROR(IF(AC751&lt;0,0,AC751/($R$680-INDEX(hd_off,MATCH(AQ751,hd_mark,0),0)/12)),0)</f>
        <v>0</v>
      </c>
      <c r="AE751">
        <f>IF(S751=0,0,$AD$680*$AM$663)</f>
        <v>0</v>
      </c>
      <c r="AF751">
        <f>IFERROR(AE751/$R$680,0)</f>
        <v>0</v>
      </c>
      <c r="AG751">
        <f>AE751*($F$23+IF($F$23=0,0,($C$14+$C$15+IF($C$13="single",1.5,3)+3)/12))</f>
        <v>0</v>
      </c>
      <c r="AH751">
        <f>AG751-X751</f>
        <v>0</v>
      </c>
      <c r="AI751" cm="1">
        <f t="array" ref="AI751">IFERROR(IF(AH751&lt;0,0,AH751/($R$680-INDEX(hd_off,MATCH(AQ751,hd_mark,0),0)/12)),0)</f>
        <v>0</v>
      </c>
      <c r="AJ751">
        <f>MAX($F$23,$AA$680)/$Q$692</f>
        <v>0</v>
      </c>
      <c r="AK751">
        <f t="shared" si="461"/>
        <v>0</v>
      </c>
      <c r="AL751" cm="1">
        <f t="array" ref="AL751">IFERROR(INDEX(sheath_ecap_asd,MATCH(AP751,sheath_mark,0),0)*AK751,0)</f>
        <v>0</v>
      </c>
      <c r="AM751" cm="1">
        <f t="array" ref="AM751">IFERROR(INDEX(sheath_wcap_asd,MATCH(AP751,sheath_mark,0),0)*AK751,0)</f>
        <v>0</v>
      </c>
      <c r="AN751" cm="1">
        <f t="array" ref="AN751">IFERROR(INDEX(hd_cap,MATCH(AQ751,hd_mark,0),0),0)</f>
        <v>0</v>
      </c>
      <c r="AP751" s="19"/>
      <c r="AQ751" s="19"/>
      <c r="AR751" s="100"/>
      <c r="AS751" s="93"/>
      <c r="AT751" s="109" t="s">
        <v>491</v>
      </c>
      <c r="AU751" t="str">
        <f>$Q$663</f>
        <v>L4</v>
      </c>
      <c r="AV751">
        <f>$E$23</f>
        <v>0</v>
      </c>
      <c r="AW751" cm="1">
        <f t="array" ref="AW751">IFERROR(IF(AV751=0,0,(INDEX($C$33:$C$38,MATCH($AZ$680,$B$33:$B$38,0),0)*(AV753+$BA$680)+$AW$680*COUNTIF(AV751:AV752,"&gt;0")*$C$32+$AY$680*$C$31)*$AU$680),0)</f>
        <v>0</v>
      </c>
      <c r="AX751">
        <f>IF(AV751=0,0,-(COUNTIF(AV751:AV752,"&gt;0")*$AW$680*$C$32+$AY$680*$C$31)*$H$27*$AU$680)</f>
        <v>0</v>
      </c>
      <c r="AY751">
        <f>IF(AV751=0,0,$AY$680*$H$26*$AU$680)</f>
        <v>0</v>
      </c>
      <c r="AZ751">
        <f>(0.6*AW751+0.7*AX751)*$AU$680/2</f>
        <v>0</v>
      </c>
      <c r="BA751">
        <f>AW751*$AU$680/2</f>
        <v>0</v>
      </c>
      <c r="BC751">
        <f>IF(AV751=0,0,$BG$680*$AP$663)</f>
        <v>0</v>
      </c>
      <c r="BD751">
        <f>IFERROR(BC751/$AU$680,0)</f>
        <v>0</v>
      </c>
      <c r="BE751">
        <f>BC751*($F$23+IF($F$23=0,0,($C$14+$C$15+IF($C$13="single",1.5,3)+3)/12))</f>
        <v>0</v>
      </c>
      <c r="BF751">
        <f>BE751-AZ751</f>
        <v>0</v>
      </c>
      <c r="BG751" cm="1">
        <f t="array" ref="BG751">IFERROR(IF(BF751&lt;0,0,BF751/($AU$680-INDEX(hd_off,MATCH(BT751,hd_mark,0),0)/12)),0)</f>
        <v>0</v>
      </c>
      <c r="BH751">
        <f>IF(AV751=0,0,$BG$680*$AM$663)</f>
        <v>0</v>
      </c>
      <c r="BI751">
        <f>IFERROR(BH751/$AU$680,0)</f>
        <v>0</v>
      </c>
      <c r="BJ751">
        <f>BH751*($F$23+IF($F$23=0,0,($C$14+$C$15+IF($C$13="single",1.5,3)+3)/12))</f>
        <v>0</v>
      </c>
      <c r="BK751">
        <f>BJ751-BA751</f>
        <v>0</v>
      </c>
      <c r="BL751" cm="1">
        <f t="array" ref="BL751">IFERROR(IF(BK751&lt;0,0,BK751/($AU$680-INDEX(hd_off,MATCH(BT751,hd_mark,0),0)/12)),0)</f>
        <v>0</v>
      </c>
      <c r="BM751">
        <f>MAX($F$23,$BD$680)/$Q$692</f>
        <v>0</v>
      </c>
      <c r="BN751">
        <f t="shared" si="462"/>
        <v>0</v>
      </c>
      <c r="BO751" cm="1">
        <f t="array" ref="BO751">IFERROR(INDEX(sheath_ecap_asd,MATCH(BS751,sheath_mark,0),0)*BN751,0)</f>
        <v>0</v>
      </c>
      <c r="BP751" cm="1">
        <f t="array" ref="BP751">IFERROR(INDEX(sheath_wcap_asd,MATCH(BS751,sheath_mark,0),0)*BN751,0)</f>
        <v>0</v>
      </c>
      <c r="BQ751" cm="1">
        <f t="array" ref="BQ751">IFERROR(INDEX(hd_cap,MATCH(BT751,hd_mark,0),0),0)</f>
        <v>0</v>
      </c>
      <c r="BS751" s="19"/>
      <c r="BT751" s="19"/>
      <c r="BU751" s="100"/>
    </row>
    <row r="752" x14ac:dyDescent="0.25">
      <c r="P752" s="93"/>
      <c r="Q752" s="111">
        <f>$R$680</f>
        <v>0</v>
      </c>
      <c r="R752" t="str">
        <f>$Q$664</f>
        <v>L5</v>
      </c>
      <c r="S752">
        <f>$E$24</f>
        <v>0</v>
      </c>
      <c r="T752" cm="1">
        <f t="array" ref="T752">IFERROR(IF(S752=0,0,(INDEX($C$33:$C$38,MATCH($W$680,$B$33:$B$38,0),0)*(S753+$X$680)+$T$680*COUNTIF(S752:S752,"&gt;0")*$C$32+$V$680*$C$31)*$R$680),0)</f>
        <v>0</v>
      </c>
      <c r="U752">
        <f>IF(S752=0,0,-(COUNTIF(S752:S752,"&gt;0")*$T$680*$C$32+$V$680*$C$31)*$H$27*$R$680)</f>
        <v>0</v>
      </c>
      <c r="V752">
        <f>IF(S752=0,0,$V$680*$H$26*$R$680)</f>
        <v>0</v>
      </c>
      <c r="W752">
        <f>(0.6*T752+0.7*U752)*$R$680/2</f>
        <v>0</v>
      </c>
      <c r="X752">
        <f>T752*$R$680/2</f>
        <v>0</v>
      </c>
      <c r="Z752">
        <f>IF(S752=0,0,$AD$680*$AP$664)</f>
        <v>0</v>
      </c>
      <c r="AA752">
        <f>IFERROR(Z752/$R$680,0)</f>
        <v>0</v>
      </c>
      <c r="AB752">
        <f>Z752*($F$24+IF($F$24=0,0,($C$14+$C$15+IF($C$13="single",1.5,3)+3)/12))</f>
        <v>0</v>
      </c>
      <c r="AC752">
        <f>AB752-W752</f>
        <v>0</v>
      </c>
      <c r="AD752" cm="1">
        <f t="array" ref="AD752">IFERROR(IF(AC752&lt;0,0,AC752/($R$680-INDEX(hd_off,MATCH(AQ752,hd_mark,0),0)/12)),0)</f>
        <v>0</v>
      </c>
      <c r="AE752">
        <f>IF(S752=0,0,$AD$680*$AM$664)</f>
        <v>0</v>
      </c>
      <c r="AF752">
        <f>IFERROR(AE752/$R$680,0)</f>
        <v>0</v>
      </c>
      <c r="AG752">
        <f>AE752*($F$24+IF($F$24=0,0,($C$14+$C$15+IF($C$13="single",1.5,3)+3)/12))</f>
        <v>0</v>
      </c>
      <c r="AH752">
        <f>AG752-X752</f>
        <v>0</v>
      </c>
      <c r="AI752" cm="1">
        <f t="array" ref="AI752">IFERROR(IF(AH752&lt;0,0,AH752/($R$680-INDEX(hd_off,MATCH(AQ752,hd_mark,0),0)/12)),0)</f>
        <v>0</v>
      </c>
      <c r="AJ752">
        <f>MAX($F$24,$AB$680)/$Q$692</f>
        <v>0</v>
      </c>
      <c r="AK752">
        <f t="shared" si="461"/>
        <v>0</v>
      </c>
      <c r="AL752" cm="1">
        <f t="array" ref="AL752">IFERROR(INDEX(sheath_ecap_asd,MATCH(AP752,sheath_mark,0),0)*AK752,0)</f>
        <v>0</v>
      </c>
      <c r="AM752" cm="1">
        <f t="array" ref="AM752">IFERROR(INDEX(sheath_wcap_asd,MATCH(AP752,sheath_mark,0),0)*AK752,0)</f>
        <v>0</v>
      </c>
      <c r="AN752" cm="1">
        <f t="array" ref="AN752">IFERROR(INDEX(hd_cap,MATCH(AQ752,hd_mark,0),0),0)</f>
        <v>0</v>
      </c>
      <c r="AP752" s="19"/>
      <c r="AQ752" s="19"/>
      <c r="AR752" s="100"/>
      <c r="AS752" s="93"/>
      <c r="AT752" s="111">
        <f>$R$680</f>
        <v>0</v>
      </c>
      <c r="AU752" t="str">
        <f>$Q$664</f>
        <v>L5</v>
      </c>
      <c r="AV752">
        <f>$E$24</f>
        <v>0</v>
      </c>
      <c r="AW752" cm="1">
        <f t="array" ref="AW752">IFERROR(IF(AV752=0,0,(INDEX($C$33:$C$38,MATCH($AZ$680,$B$33:$B$38,0),0)*(AV753+$BA$680)+$AW$680*COUNTIF(AV752:AV752,"&gt;0")*$C$32+$AY$680*$C$31)*$AU$680),0)</f>
        <v>0</v>
      </c>
      <c r="AX752">
        <f>IF(AV752=0,0,-(COUNTIF(AV752:AV752,"&gt;0")*$AW$680*$C$32+$AY$680*$C$31)*$H$27*$AU$680)</f>
        <v>0</v>
      </c>
      <c r="AY752">
        <f>IF(AV752=0,0,$AY$680*$H$26*$AU$680)</f>
        <v>0</v>
      </c>
      <c r="AZ752">
        <f>(0.6*AW752+0.7*AX752)*$AU$680/2</f>
        <v>0</v>
      </c>
      <c r="BA752">
        <f>AW752*$AU$680/2</f>
        <v>0</v>
      </c>
      <c r="BC752">
        <f>IF(AV752=0,0,$BG$680*$AP$664)</f>
        <v>0</v>
      </c>
      <c r="BD752">
        <f>IFERROR(BC752/$AU$680,0)</f>
        <v>0</v>
      </c>
      <c r="BE752">
        <f>BC752*($F$24+IF($F$24=0,0,($C$14+$C$15+IF($C$13="single",1.5,3)+3)/12))</f>
        <v>0</v>
      </c>
      <c r="BF752">
        <f>BE752-AZ752</f>
        <v>0</v>
      </c>
      <c r="BG752" cm="1">
        <f t="array" ref="BG752">IFERROR(IF(BF752&lt;0,0,BF752/($AU$680-INDEX(hd_off,MATCH(BT752,hd_mark,0),0)/12)),0)</f>
        <v>0</v>
      </c>
      <c r="BH752">
        <f>IF(AV752=0,0,$BG$680*$AM$664)</f>
        <v>0</v>
      </c>
      <c r="BI752">
        <f>IFERROR(BH752/$AU$680,0)</f>
        <v>0</v>
      </c>
      <c r="BJ752">
        <f>BH752*($F$24+IF($F$24=0,0,($C$14+$C$15+IF($C$13="single",1.5,3)+3)/12))</f>
        <v>0</v>
      </c>
      <c r="BK752">
        <f>BJ752-BA752</f>
        <v>0</v>
      </c>
      <c r="BL752" cm="1">
        <f t="array" ref="BL752">IFERROR(IF(BK752&lt;0,0,BK752/($AU$680-INDEX(hd_off,MATCH(BT752,hd_mark,0),0)/12)),0)</f>
        <v>0</v>
      </c>
      <c r="BM752">
        <f>MAX($F$24,$BE$680)/$Q$692</f>
        <v>0</v>
      </c>
      <c r="BN752">
        <f t="shared" si="462"/>
        <v>0</v>
      </c>
      <c r="BO752" cm="1">
        <f t="array" ref="BO752">IFERROR(INDEX(sheath_ecap_asd,MATCH(BS752,sheath_mark,0),0)*BN752,0)</f>
        <v>0</v>
      </c>
      <c r="BP752" cm="1">
        <f t="array" ref="BP752">IFERROR(INDEX(sheath_wcap_asd,MATCH(BS752,sheath_mark,0),0)*BN752,0)</f>
        <v>0</v>
      </c>
      <c r="BQ752" cm="1">
        <f t="array" ref="BQ752">IFERROR(INDEX(hd_cap,MATCH(BT752,hd_mark,0),0),0)</f>
        <v>0</v>
      </c>
      <c r="BS752" s="19"/>
      <c r="BT752" s="19"/>
      <c r="BU752" s="100"/>
    </row>
    <row r="753" x14ac:dyDescent="0.25">
      <c r="P753" s="93"/>
      <c r="Q753" s="109"/>
      <c r="R753" t="str">
        <f>$Q$665</f>
        <v>Roof</v>
      </c>
      <c r="S753">
        <f>$E$25</f>
        <v>33.171875</v>
      </c>
      <c r="T753" cm="1">
        <f t="array" ref="T753">IFERROR(IF(S753=0,0,(INDEX($C$33:$C$38,MATCH($W$680,$B$33:$B$38,0),0)*(S753+$X$680)+$V$680*$C$31)*$R$680),0)</f>
        <v>0</v>
      </c>
      <c r="U753">
        <f>IF(S753=0,0,-$V$680*$C$31*$H$27*$R$680)</f>
        <v>0</v>
      </c>
      <c r="V753">
        <f>IF(S753=0,0,$V$680*$H$26*$R$680)</f>
        <v>0</v>
      </c>
      <c r="W753">
        <f>(0.6*T753+0.7*U753)*$R$680/2</f>
        <v>0</v>
      </c>
      <c r="X753">
        <f>T753*$R$680/2</f>
        <v>0</v>
      </c>
      <c r="Z753">
        <f>IF(S753=0,0,$AD$680*$AP$665)</f>
        <v>0</v>
      </c>
      <c r="AA753">
        <f>IFERROR(Z753/$R$680,0)</f>
        <v>0</v>
      </c>
      <c r="AB753">
        <f>Z753*($F$25+($C$16+$C$17+IF($C$13="single",1.5,3)+3)/12)</f>
        <v>0</v>
      </c>
      <c r="AC753">
        <f>AB753-W753</f>
        <v>0</v>
      </c>
      <c r="AD753" cm="1">
        <f t="array" ref="AD753">IFERROR(IF(AC753&lt;0,0,AC753/($R$680-INDEX(hd_off,MATCH(AQ753,hd_mark,0),0)/12)),0)</f>
        <v>0</v>
      </c>
      <c r="AE753">
        <f>IF(S753=0,0,$AD$680*$AM$665)</f>
        <v>0</v>
      </c>
      <c r="AF753">
        <f>IFERROR(AE753/$R$680,0)</f>
        <v>0</v>
      </c>
      <c r="AG753">
        <f>AE753*($F$25+($C$16+$C$17+IF($C$13="single",1.5,3)+3)/12)</f>
        <v>0</v>
      </c>
      <c r="AH753">
        <f>AG753-X753</f>
        <v>0</v>
      </c>
      <c r="AI753" cm="1">
        <f t="array" ref="AI753">IFERROR(IF(AH753&lt;0,0,AH753/($R$680-INDEX(hd_off,MATCH(AQ753,hd_mark,0),0)/12)),0)</f>
        <v>0</v>
      </c>
      <c r="AJ753">
        <f>MAX($F$25,$AC$680)/$Q$692</f>
        <v>0.29920977011494249</v>
      </c>
      <c r="AK753">
        <f t="shared" si="461"/>
        <v>1</v>
      </c>
      <c r="AL753" cm="1">
        <f t="array" ref="AL753">IFERROR(INDEX(sheath_ecap_asd,MATCH(AP753,sheath_mark,0),0)*AK753,0)</f>
        <v>0</v>
      </c>
      <c r="AM753" cm="1">
        <f t="array" ref="AM753">IFERROR(INDEX(sheath_wcap_asd,MATCH(AP753,sheath_mark,0),0)*AK753,0)</f>
        <v>0</v>
      </c>
      <c r="AN753" cm="1">
        <f t="array" ref="AN753">IFERROR(INDEX(hd_cap,MATCH(AQ753,hd_mark,0),0),0)</f>
        <v>0</v>
      </c>
      <c r="AP753" s="19"/>
      <c r="AQ753" s="19"/>
      <c r="AR753" s="100"/>
      <c r="AS753" s="93"/>
      <c r="AT753" s="109"/>
      <c r="AU753" t="str">
        <f>$Q$665</f>
        <v>Roof</v>
      </c>
      <c r="AV753">
        <f>$E$25</f>
        <v>33.171875</v>
      </c>
      <c r="AW753" cm="1">
        <f t="array" ref="AW753">IFERROR(IF(AV753=0,0,(INDEX($C$33:$C$38,MATCH($AZ$680,$B$33:$B$38,0),0)*(AV753+$BA$680)+$AY$680*$C$31)*$AU$680),0)</f>
        <v>0</v>
      </c>
      <c r="AX753">
        <f>IF(AV753=0,0,-$AY$680*$C$31*$H$27*$AU$680)</f>
        <v>0</v>
      </c>
      <c r="AY753">
        <f>IF(AV753=0,0,$AY$680*$H$26*$AU$680)</f>
        <v>0</v>
      </c>
      <c r="AZ753">
        <f>(0.6*AW753+0.7*AX753)*$AU$680/2</f>
        <v>0</v>
      </c>
      <c r="BA753">
        <f>AW753*$AU$680/2</f>
        <v>0</v>
      </c>
      <c r="BC753">
        <f>IF(AV753=0,0,$BG$680*$AP$665)</f>
        <v>0</v>
      </c>
      <c r="BD753">
        <f>IFERROR(BC753/$AU$680,0)</f>
        <v>0</v>
      </c>
      <c r="BE753">
        <f>BC753*($F$25+($C$16+$C$17+IF($C$13="single",1.5,3)+3)/12)</f>
        <v>0</v>
      </c>
      <c r="BF753">
        <f>BE753-AZ753</f>
        <v>0</v>
      </c>
      <c r="BG753" cm="1">
        <f t="array" ref="BG753">IFERROR(IF(BF753&lt;0,0,BF753/($AU$680-INDEX(hd_off,MATCH(BT753,hd_mark,0),0)/12)),0)</f>
        <v>0</v>
      </c>
      <c r="BH753">
        <f>IF(AV753=0,0,$BG$680*$AM$665)</f>
        <v>0</v>
      </c>
      <c r="BI753">
        <f>IFERROR(BH753/$AU$680,0)</f>
        <v>0</v>
      </c>
      <c r="BJ753">
        <f>BH753*($F$25+($C$16+$C$17+IF($C$13="single",1.5,3)+3)/12)</f>
        <v>0</v>
      </c>
      <c r="BK753">
        <f>BJ753-BA753</f>
        <v>0</v>
      </c>
      <c r="BL753" cm="1">
        <f t="array" ref="BL753">IFERROR(IF(BK753&lt;0,0,BK753/($AU$680-INDEX(hd_off,MATCH(BT753,hd_mark,0),0)/12)),0)</f>
        <v>0</v>
      </c>
      <c r="BM753">
        <f>MAX($F$25,$BF$680)/$Q$692</f>
        <v>0.29920977011494249</v>
      </c>
      <c r="BN753">
        <f t="shared" si="462"/>
        <v>1</v>
      </c>
      <c r="BO753" cm="1">
        <f t="array" ref="BO753">IFERROR(INDEX(sheath_ecap_asd,MATCH(BS753,sheath_mark,0),0)*BN753,0)</f>
        <v>0</v>
      </c>
      <c r="BP753" cm="1">
        <f t="array" ref="BP753">IFERROR(INDEX(sheath_wcap_asd,MATCH(BS753,sheath_mark,0),0)*BN753,0)</f>
        <v>0</v>
      </c>
      <c r="BQ753" cm="1">
        <f t="array" ref="BQ753">IFERROR(INDEX(hd_cap,MATCH(BT753,hd_mark,0),0),0)</f>
        <v>0</v>
      </c>
      <c r="BS753" s="19"/>
      <c r="BT753" s="19"/>
      <c r="BU753" s="100"/>
    </row>
    <row r="754" x14ac:dyDescent="0.25">
      <c r="P754" s="93"/>
      <c r="AR754" s="100"/>
      <c r="AS754" s="93"/>
      <c r="BU754" s="100"/>
    </row>
    <row r="755" x14ac:dyDescent="0.25">
      <c r="P755" s="93"/>
      <c r="Q755" s="110" t="str">
        <f>$Q$681</f>
        <v>A.12</v>
      </c>
      <c r="R755" t="str">
        <f>$Q$661</f>
        <v>L2</v>
      </c>
      <c r="S755">
        <f>$E$21</f>
        <v>10.6875</v>
      </c>
      <c r="T755" cm="1">
        <f t="array" ref="T755">IFERROR(IF(S755=0,0,(INDEX($C$33:$C$38,MATCH($W$681,$B$33:$B$38,0),0)*(S759+$X$681)+$T$681*COUNTIF(S755:S758,"&gt;0")*$C$32+$V$681*$C$31)*$R$681),0)</f>
        <v>0</v>
      </c>
      <c r="U755">
        <f>IF(S755=0,0,-(COUNTIF(S755:S758,"&gt;0")*$T$681*$C$32+$V$681*$C$31)*$H$27*$R$681)</f>
        <v>0</v>
      </c>
      <c r="V755">
        <f>IF(S755=0,0,$V$681*$H$26*$R$681)</f>
        <v>0</v>
      </c>
      <c r="W755">
        <f>(0.6*T755+0.7*U755)*$R$681/2</f>
        <v>0</v>
      </c>
      <c r="X755">
        <f>(0.6*T755+0.6*V755)*$R$681/2</f>
        <v>0</v>
      </c>
      <c r="Z755">
        <f>IF(S755=0,0,$AD$681*$AP$661)</f>
        <v>0</v>
      </c>
      <c r="AA755">
        <f>IFERROR(Z755/$R$681,0)</f>
        <v>0</v>
      </c>
      <c r="AB755">
        <f>Z755*($F$21+IF($F$21=0,0,($C$14+$C$15+IF($C$13="single",1.5,3)+3)/12))</f>
        <v>0</v>
      </c>
      <c r="AC755">
        <f>AB755-W755</f>
        <v>0</v>
      </c>
      <c r="AD755" cm="1">
        <f t="array" ref="AD755">IFERROR(IF(AC755&lt;0,0,AC755/($R$681-INDEX(hd_off,MATCH(AQ755,hd_mark,0),0)/12)),0)</f>
        <v>0</v>
      </c>
      <c r="AE755">
        <f>IF(S755=0,0,$AD$681*$AM$661)</f>
        <v>0</v>
      </c>
      <c r="AF755">
        <f>IFERROR(AE755/$R$681,0)</f>
        <v>0</v>
      </c>
      <c r="AG755">
        <f>AE755*($F$21+IF($F$21=0,0,($C$14+$C$15+IF($C$13="single",1.5,3)+3)/12))</f>
        <v>0</v>
      </c>
      <c r="AH755">
        <f>AG755-X755</f>
        <v>0</v>
      </c>
      <c r="AI755" cm="1">
        <f t="array" ref="AI755">IFERROR(IF(AH755&lt;0,0,AH755/($R$681-INDEX(hd_off,MATCH(AQ755,hd_mark,0),0)/12)),0)</f>
        <v>0</v>
      </c>
      <c r="AJ755">
        <f>MAX($F$21,$Y$681)/$Q$692</f>
        <v>0.30172413793103448</v>
      </c>
      <c r="AK755">
        <f>IF(AJ755=0,0,IF(AJ755&gt;2,1.25-0.125*AJ755,1))</f>
        <v>1</v>
      </c>
      <c r="AL755" cm="1">
        <f t="array" ref="AL755">IFERROR(INDEX(sheath_ecap_asd,MATCH(AP755,sheath_mark,0),0)*AK755,0)</f>
        <v>0</v>
      </c>
      <c r="AM755" cm="1">
        <f t="array" ref="AM755">IFERROR(INDEX(sheath_wcap_asd,MATCH(AP755,sheath_mark,0),0)*AK755,0)</f>
        <v>0</v>
      </c>
      <c r="AN755" cm="1">
        <f t="array" ref="AN755">IFERROR(INDEX(hd_cap,MATCH(AQ755,hd_mark,0),0),0)</f>
        <v>0</v>
      </c>
      <c r="AP755" s="19"/>
      <c r="AQ755" s="19"/>
      <c r="AR755" s="100"/>
      <c r="AS755" s="93"/>
      <c r="AT755" s="110" t="str">
        <f>$AT$681</f>
        <v>1.12</v>
      </c>
      <c r="AU755" t="str">
        <f>$Q$661</f>
        <v>L2</v>
      </c>
      <c r="AV755">
        <f>$E$21</f>
        <v>10.6875</v>
      </c>
      <c r="AW755" cm="1">
        <f t="array" ref="AW755">IFERROR(IF(AV755=0,0,(INDEX($C$33:$C$38,MATCH($AZ$681,$B$33:$B$38,0),0)*(AV759+$BA$681)+$AW$681*COUNTIF(AV755:AV758,"&gt;0")*$C$32+$AY$681*$C$31)*$AU$681),0)</f>
        <v>0</v>
      </c>
      <c r="AX755">
        <f>IF(AV755=0,0,-(COUNTIF(AV755:AV758,"&gt;0")*$AW$681*$C$32+$AY$681*$C$31)*$H$27*$AU$681)</f>
        <v>0</v>
      </c>
      <c r="AY755">
        <f>IF(AV755=0,0,$AY$681*$H$26*$AU$681)</f>
        <v>0</v>
      </c>
      <c r="AZ755">
        <f>(0.6*AW755+0.7*AX755)*$AU$681/2</f>
        <v>0</v>
      </c>
      <c r="BA755">
        <f>(0.6*AW755+0.6*AY755)*$AU$681/2</f>
        <v>0</v>
      </c>
      <c r="BC755">
        <f>IF(AV755=0,0,$BG$681*$AP$661)</f>
        <v>0</v>
      </c>
      <c r="BD755">
        <f>IFERROR(BC755/$AU$681,0)</f>
        <v>0</v>
      </c>
      <c r="BE755">
        <f>BC755*($F$21+IF($F$21=0,0,($C$14+$C$15+IF($C$13="single",1.5,3)+3)/12))</f>
        <v>0</v>
      </c>
      <c r="BF755">
        <f>BE755-AZ755</f>
        <v>0</v>
      </c>
      <c r="BG755" cm="1">
        <f t="array" ref="BG755">IFERROR(IF(BF755&lt;0,0,BF755/($AU$681-INDEX(hd_off,MATCH(BT755,hd_mark,0),0)/12)),0)</f>
        <v>0</v>
      </c>
      <c r="BH755">
        <f>IF(AV755=0,0,$BG$681*$AM$661)</f>
        <v>0</v>
      </c>
      <c r="BI755">
        <f>IFERROR(BH755/$AU$681,0)</f>
        <v>0</v>
      </c>
      <c r="BJ755">
        <f>BH755*($F$21+IF($F$21=0,0,($C$14+$C$15+IF($C$13="single",1.5,3)+3)/12))</f>
        <v>0</v>
      </c>
      <c r="BK755">
        <f>BJ755-BA755</f>
        <v>0</v>
      </c>
      <c r="BL755" cm="1">
        <f t="array" ref="BL755">IFERROR(IF(BK755&lt;0,0,BK755/($AU$681-INDEX(hd_off,MATCH(BT755,hd_mark,0),0)/12)),0)</f>
        <v>0</v>
      </c>
      <c r="BM755">
        <f>MAX($F$21,$BB$681)/$Q$692</f>
        <v>0.30172413793103448</v>
      </c>
      <c r="BN755">
        <f>IF(BM755=0,0,IF(BM755&gt;2,1.25-0.125*BM755,1))</f>
        <v>1</v>
      </c>
      <c r="BO755" cm="1">
        <f t="array" ref="BO755">IFERROR(INDEX(sheath_ecap_asd,MATCH(BS755,sheath_mark,0),0)*BN755,0)</f>
        <v>0</v>
      </c>
      <c r="BP755" cm="1">
        <f t="array" ref="BP755">IFERROR(INDEX(sheath_wcap_asd,MATCH(BS755,sheath_mark,0),0)*BN755,0)</f>
        <v>0</v>
      </c>
      <c r="BQ755" cm="1">
        <f t="array" ref="BQ755">IFERROR(INDEX(hd_cap,MATCH(BT755,hd_mark,0),0),0)</f>
        <v>0</v>
      </c>
      <c r="BS755" s="19"/>
      <c r="BT755" s="19"/>
      <c r="BU755" s="100"/>
    </row>
    <row r="756" x14ac:dyDescent="0.25">
      <c r="P756" s="93"/>
      <c r="Q756" s="109"/>
      <c r="R756" t="str">
        <f>$Q$662</f>
        <v>L3</v>
      </c>
      <c r="S756">
        <f>$E$22</f>
        <v>21.375</v>
      </c>
      <c r="T756" cm="1">
        <f t="array" ref="T756">IFERROR(IF(S756=0,0,(INDEX($C$33:$C$38,MATCH($W$681,$B$33:$B$38,0),0)*(S759+$X$681)+$T$681*COUNTIF(S756:S758,"&gt;0")*$C$32+$V$681*$C$31)*$R$681),0)</f>
        <v>0</v>
      </c>
      <c r="U756">
        <f>IF(S756=0,0,-(COUNTIF(S756:S758,"&gt;0")*$T$681*$C$32+$V$681*$C$31)*$H$27*$R$681)</f>
        <v>0</v>
      </c>
      <c r="V756">
        <f>IF(S756=0,0,$V$681*$H$26*$R$681)</f>
        <v>0</v>
      </c>
      <c r="W756">
        <f>(0.6*T756+0.7*U756)*$R$681/2</f>
        <v>0</v>
      </c>
      <c r="X756">
        <f>T756*$R$681/2</f>
        <v>0</v>
      </c>
      <c r="Z756">
        <f>IF(S756=0,0,$AD$681*$AP$662)</f>
        <v>0</v>
      </c>
      <c r="AA756">
        <f>IFERROR(Z756/$R$681,0)</f>
        <v>0</v>
      </c>
      <c r="AB756">
        <f>Z756*($F$22+IF($F$22=0,0,($C$14+$C$15+IF($C$13="single",1.5,3)+3)/12))</f>
        <v>0</v>
      </c>
      <c r="AC756">
        <f>AB756-W756</f>
        <v>0</v>
      </c>
      <c r="AD756" cm="1">
        <f t="array" ref="AD756">IFERROR(IF(AC756&lt;0,0,AC756/($R$681-INDEX(hd_off,MATCH(AQ756,hd_mark,0),0)/12)),0)</f>
        <v>0</v>
      </c>
      <c r="AE756">
        <f>IF(S756=0,0,$AD$681*$AM$662)</f>
        <v>0</v>
      </c>
      <c r="AF756">
        <f>IFERROR(AE756/$R$681,0)</f>
        <v>0</v>
      </c>
      <c r="AG756">
        <f>AE756*($F$22+IF($F$22=0,0,($C$14+$C$15+IF($C$13="single",1.5,3)+3)/12))</f>
        <v>0</v>
      </c>
      <c r="AH756">
        <f>AG756-X756</f>
        <v>0</v>
      </c>
      <c r="AI756" cm="1">
        <f t="array" ref="AI756">IFERROR(IF(AH756&lt;0,0,AH756/($R$681-INDEX(hd_off,MATCH(AQ756,hd_mark,0),0)/12)),0)</f>
        <v>0</v>
      </c>
      <c r="AJ756">
        <f>MAX($F$22,$Z$681)/$Q$692</f>
        <v>0.30172413793103448</v>
      </c>
      <c r="AK756">
        <f t="shared" ref="AK756:AK759" si="463">IF(AJ756=0,0,IF(AJ756&gt;2,1.25-0.125*AJ756,1))</f>
        <v>1</v>
      </c>
      <c r="AL756" cm="1">
        <f t="array" ref="AL756">IFERROR(INDEX(sheath_ecap_asd,MATCH(AP756,sheath_mark,0),0)*AK756,0)</f>
        <v>0</v>
      </c>
      <c r="AM756" cm="1">
        <f t="array" ref="AM756">IFERROR(INDEX(sheath_wcap_asd,MATCH(AP756,sheath_mark,0),0)*AK756,0)</f>
        <v>0</v>
      </c>
      <c r="AN756" cm="1">
        <f t="array" ref="AN756">IFERROR(INDEX(hd_cap,MATCH(AQ756,hd_mark,0),0),0)</f>
        <v>0</v>
      </c>
      <c r="AP756" s="19"/>
      <c r="AQ756" s="19"/>
      <c r="AR756" s="100"/>
      <c r="AS756" s="93"/>
      <c r="AT756" s="109"/>
      <c r="AU756" t="str">
        <f>$Q$662</f>
        <v>L3</v>
      </c>
      <c r="AV756">
        <f>$E$22</f>
        <v>21.375</v>
      </c>
      <c r="AW756" cm="1">
        <f t="array" ref="AW756">IFERROR(IF(AV756=0,0,(INDEX($C$33:$C$38,MATCH($AZ$681,$B$33:$B$38,0),0)*(AV759+$BA$681)+$AW$681*COUNTIF(AV756:AV758,"&gt;0")*$C$32+$AY$681*$C$31)*$AU$681),0)</f>
        <v>0</v>
      </c>
      <c r="AX756">
        <f>IF(AV756=0,0,-(COUNTIF(AV756:AV758,"&gt;0")*$AW$681*$C$32+$AY$681*$C$31)*$H$27*$AU$681)</f>
        <v>0</v>
      </c>
      <c r="AY756">
        <f>IF(AV756=0,0,$AY$681*$H$26*$AU$681)</f>
        <v>0</v>
      </c>
      <c r="AZ756">
        <f>(0.6*AW756+0.7*AX756)*$AU$681/2</f>
        <v>0</v>
      </c>
      <c r="BA756">
        <f>AW756*$AU$681/2</f>
        <v>0</v>
      </c>
      <c r="BC756">
        <f>IF(AV756=0,0,$BG$681*$AP$662)</f>
        <v>0</v>
      </c>
      <c r="BD756">
        <f>IFERROR(BC756/$AU$681,0)</f>
        <v>0</v>
      </c>
      <c r="BE756">
        <f>BC756*($F$22+IF($F$22=0,0,($C$14+$C$15+IF($C$13="single",1.5,3)+3)/12))</f>
        <v>0</v>
      </c>
      <c r="BF756">
        <f>BE756-AZ756</f>
        <v>0</v>
      </c>
      <c r="BG756" cm="1">
        <f t="array" ref="BG756">IFERROR(IF(BF756&lt;0,0,BF756/($AU$681-INDEX(hd_off,MATCH(BT756,hd_mark,0),0)/12)),0)</f>
        <v>0</v>
      </c>
      <c r="BH756">
        <f>IF(AV756=0,0,$BG$681*$AM$662)</f>
        <v>0</v>
      </c>
      <c r="BI756">
        <f>IFERROR(BH756/$AU$681,0)</f>
        <v>0</v>
      </c>
      <c r="BJ756">
        <f>BH756*($F$22+IF($F$22=0,0,($C$14+$C$15+IF($C$13="single",1.5,3)+3)/12))</f>
        <v>0</v>
      </c>
      <c r="BK756">
        <f>BJ756-BA756</f>
        <v>0</v>
      </c>
      <c r="BL756" cm="1">
        <f t="array" ref="BL756">IFERROR(IF(BK756&lt;0,0,BK756/($AU$681-INDEX(hd_off,MATCH(BT756,hd_mark,0),0)/12)),0)</f>
        <v>0</v>
      </c>
      <c r="BM756">
        <f>MAX($F$22,$BC$681)/$Q$692</f>
        <v>0.30172413793103448</v>
      </c>
      <c r="BN756">
        <f t="shared" ref="BN756:BN759" si="464">IF(BM756=0,0,IF(BM756&gt;2,1.25-0.125*BM756,1))</f>
        <v>1</v>
      </c>
      <c r="BO756" cm="1">
        <f t="array" ref="BO756">IFERROR(INDEX(sheath_ecap_asd,MATCH(BS756,sheath_mark,0),0)*BN756,0)</f>
        <v>0</v>
      </c>
      <c r="BP756" cm="1">
        <f t="array" ref="BP756">IFERROR(INDEX(sheath_wcap_asd,MATCH(BS756,sheath_mark,0),0)*BN756,0)</f>
        <v>0</v>
      </c>
      <c r="BQ756" cm="1">
        <f t="array" ref="BQ756">IFERROR(INDEX(hd_cap,MATCH(BT756,hd_mark,0),0),0)</f>
        <v>0</v>
      </c>
      <c r="BS756" s="19"/>
      <c r="BT756" s="19"/>
      <c r="BU756" s="100"/>
    </row>
    <row r="757" x14ac:dyDescent="0.25">
      <c r="P757" s="93"/>
      <c r="Q757" s="109" t="s">
        <v>491</v>
      </c>
      <c r="R757" t="str">
        <f>$Q$663</f>
        <v>L4</v>
      </c>
      <c r="S757">
        <f>$E$23</f>
        <v>0</v>
      </c>
      <c r="T757" cm="1">
        <f t="array" ref="T757">IFERROR(IF(S757=0,0,(INDEX($C$33:$C$38,MATCH($W$681,$B$33:$B$38,0),0)*(S759+$X$681)+$T$681*COUNTIF(S757:S758,"&gt;0")*$C$32+$V$681*$C$31)*$R$681),0)</f>
        <v>0</v>
      </c>
      <c r="U757">
        <f>IF(S757=0,0,-(COUNTIF(S757:S758,"&gt;0")*$T$681*$C$32+$V$681*$C$31)*$H$27*$R$681)</f>
        <v>0</v>
      </c>
      <c r="V757">
        <f>IF(S757=0,0,$V$681*$H$26*$R$681)</f>
        <v>0</v>
      </c>
      <c r="W757">
        <f>(0.6*T757+0.7*U757)*$R$681/2</f>
        <v>0</v>
      </c>
      <c r="X757">
        <f>T757*$R$681/2</f>
        <v>0</v>
      </c>
      <c r="Z757">
        <f>IF(S757=0,0,$AD$681*$AP$663)</f>
        <v>0</v>
      </c>
      <c r="AA757">
        <f>IFERROR(Z757/$R$681,0)</f>
        <v>0</v>
      </c>
      <c r="AB757">
        <f>Z757*($F$23+IF($F$23=0,0,($C$14+$C$15+IF($C$13="single",1.5,3)+3)/12))</f>
        <v>0</v>
      </c>
      <c r="AC757">
        <f>AB757-W757</f>
        <v>0</v>
      </c>
      <c r="AD757" cm="1">
        <f t="array" ref="AD757">IFERROR(IF(AC757&lt;0,0,AC757/($R$681-INDEX(hd_off,MATCH(AQ757,hd_mark,0),0)/12)),0)</f>
        <v>0</v>
      </c>
      <c r="AE757">
        <f>IF(S757=0,0,$AD$681*$AM$663)</f>
        <v>0</v>
      </c>
      <c r="AF757">
        <f>IFERROR(AE757/$R$681,0)</f>
        <v>0</v>
      </c>
      <c r="AG757">
        <f>AE757*($F$23+IF($F$23=0,0,($C$14+$C$15+IF($C$13="single",1.5,3)+3)/12))</f>
        <v>0</v>
      </c>
      <c r="AH757">
        <f>AG757-X757</f>
        <v>0</v>
      </c>
      <c r="AI757" cm="1">
        <f t="array" ref="AI757">IFERROR(IF(AH757&lt;0,0,AH757/($R$681-INDEX(hd_off,MATCH(AQ757,hd_mark,0),0)/12)),0)</f>
        <v>0</v>
      </c>
      <c r="AJ757">
        <f>MAX($F$23,$AA$681)/$Q$692</f>
        <v>0</v>
      </c>
      <c r="AK757">
        <f t="shared" si="463"/>
        <v>0</v>
      </c>
      <c r="AL757" cm="1">
        <f t="array" ref="AL757">IFERROR(INDEX(sheath_ecap_asd,MATCH(AP757,sheath_mark,0),0)*AK757,0)</f>
        <v>0</v>
      </c>
      <c r="AM757" cm="1">
        <f t="array" ref="AM757">IFERROR(INDEX(sheath_wcap_asd,MATCH(AP757,sheath_mark,0),0)*AK757,0)</f>
        <v>0</v>
      </c>
      <c r="AN757" cm="1">
        <f t="array" ref="AN757">IFERROR(INDEX(hd_cap,MATCH(AQ757,hd_mark,0),0),0)</f>
        <v>0</v>
      </c>
      <c r="AP757" s="19"/>
      <c r="AQ757" s="19"/>
      <c r="AR757" s="100"/>
      <c r="AS757" s="93"/>
      <c r="AT757" s="109" t="s">
        <v>491</v>
      </c>
      <c r="AU757" t="str">
        <f>$Q$663</f>
        <v>L4</v>
      </c>
      <c r="AV757">
        <f>$E$23</f>
        <v>0</v>
      </c>
      <c r="AW757" cm="1">
        <f t="array" ref="AW757">IFERROR(IF(AV757=0,0,(INDEX($C$33:$C$38,MATCH($AZ$681,$B$33:$B$38,0),0)*(AV759+$BA$681)+$AW$681*COUNTIF(AV757:AV758,"&gt;0")*$C$32+$AY$681*$C$31)*$AU$681),0)</f>
        <v>0</v>
      </c>
      <c r="AX757">
        <f>IF(AV757=0,0,-(COUNTIF(AV757:AV758,"&gt;0")*$AW$681*$C$32+$AY$681*$C$31)*$H$27*$AU$681)</f>
        <v>0</v>
      </c>
      <c r="AY757">
        <f>IF(AV757=0,0,$AY$681*$H$26*$AU$681)</f>
        <v>0</v>
      </c>
      <c r="AZ757">
        <f>(0.6*AW757+0.7*AX757)*$AU$681/2</f>
        <v>0</v>
      </c>
      <c r="BA757">
        <f>AW757*$AU$681/2</f>
        <v>0</v>
      </c>
      <c r="BC757">
        <f>IF(AV757=0,0,$BG$681*$AP$663)</f>
        <v>0</v>
      </c>
      <c r="BD757">
        <f>IFERROR(BC757/$AU$681,0)</f>
        <v>0</v>
      </c>
      <c r="BE757">
        <f>BC757*($F$23+IF($F$23=0,0,($C$14+$C$15+IF($C$13="single",1.5,3)+3)/12))</f>
        <v>0</v>
      </c>
      <c r="BF757">
        <f>BE757-AZ757</f>
        <v>0</v>
      </c>
      <c r="BG757" cm="1">
        <f t="array" ref="BG757">IFERROR(IF(BF757&lt;0,0,BF757/($AU$681-INDEX(hd_off,MATCH(BT757,hd_mark,0),0)/12)),0)</f>
        <v>0</v>
      </c>
      <c r="BH757">
        <f>IF(AV757=0,0,$BG$681*$AM$663)</f>
        <v>0</v>
      </c>
      <c r="BI757">
        <f>IFERROR(BH757/$AU$681,0)</f>
        <v>0</v>
      </c>
      <c r="BJ757">
        <f>BH757*($F$23+IF($F$23=0,0,($C$14+$C$15+IF($C$13="single",1.5,3)+3)/12))</f>
        <v>0</v>
      </c>
      <c r="BK757">
        <f>BJ757-BA757</f>
        <v>0</v>
      </c>
      <c r="BL757" cm="1">
        <f t="array" ref="BL757">IFERROR(IF(BK757&lt;0,0,BK757/($AU$681-INDEX(hd_off,MATCH(BT757,hd_mark,0),0)/12)),0)</f>
        <v>0</v>
      </c>
      <c r="BM757">
        <f>MAX($F$23,$BD$681)/$Q$692</f>
        <v>0</v>
      </c>
      <c r="BN757">
        <f t="shared" si="464"/>
        <v>0</v>
      </c>
      <c r="BO757" cm="1">
        <f t="array" ref="BO757">IFERROR(INDEX(sheath_ecap_asd,MATCH(BS757,sheath_mark,0),0)*BN757,0)</f>
        <v>0</v>
      </c>
      <c r="BP757" cm="1">
        <f t="array" ref="BP757">IFERROR(INDEX(sheath_wcap_asd,MATCH(BS757,sheath_mark,0),0)*BN757,0)</f>
        <v>0</v>
      </c>
      <c r="BQ757" cm="1">
        <f t="array" ref="BQ757">IFERROR(INDEX(hd_cap,MATCH(BT757,hd_mark,0),0),0)</f>
        <v>0</v>
      </c>
      <c r="BS757" s="19"/>
      <c r="BT757" s="19"/>
      <c r="BU757" s="100"/>
    </row>
    <row r="758" x14ac:dyDescent="0.25">
      <c r="P758" s="93"/>
      <c r="Q758" s="111">
        <f>$R$681</f>
        <v>0</v>
      </c>
      <c r="R758" t="str">
        <f>$Q$664</f>
        <v>L5</v>
      </c>
      <c r="S758">
        <f>$E$24</f>
        <v>0</v>
      </c>
      <c r="T758" cm="1">
        <f t="array" ref="T758">IFERROR(IF(S758=0,0,(INDEX($C$33:$C$38,MATCH($W$681,$B$33:$B$38,0),0)*(S759+$X$681)+$T$681*COUNTIF(S758:S758,"&gt;0")*$C$32+$V$681*$C$31)*$R$681),0)</f>
        <v>0</v>
      </c>
      <c r="U758">
        <f>IF(S758=0,0,-(COUNTIF(S758:S758,"&gt;0")*$T$681*$C$32+$V$681*$C$31)*$H$27*$R$681)</f>
        <v>0</v>
      </c>
      <c r="V758">
        <f>IF(S758=0,0,$V$681*$H$26*$R$681)</f>
        <v>0</v>
      </c>
      <c r="W758">
        <f>(0.6*T758+0.7*U758)*$R$681/2</f>
        <v>0</v>
      </c>
      <c r="X758">
        <f>T758*$R$681/2</f>
        <v>0</v>
      </c>
      <c r="Z758">
        <f>IF(S758=0,0,$AD$681*$AP$664)</f>
        <v>0</v>
      </c>
      <c r="AA758">
        <f>IFERROR(Z758/$R$681,0)</f>
        <v>0</v>
      </c>
      <c r="AB758">
        <f>Z758*($F$24+IF($F$24=0,0,($C$14+$C$15+IF($C$13="single",1.5,3)+3)/12))</f>
        <v>0</v>
      </c>
      <c r="AC758">
        <f>AB758-W758</f>
        <v>0</v>
      </c>
      <c r="AD758" cm="1">
        <f t="array" ref="AD758">IFERROR(IF(AC758&lt;0,0,AC758/($R$681-INDEX(hd_off,MATCH(AQ758,hd_mark,0),0)/12)),0)</f>
        <v>0</v>
      </c>
      <c r="AE758">
        <f>IF(S758=0,0,$AD$681*$AM$664)</f>
        <v>0</v>
      </c>
      <c r="AF758">
        <f>IFERROR(AE758/$R$681,0)</f>
        <v>0</v>
      </c>
      <c r="AG758">
        <f>AE758*($F$24+IF($F$24=0,0,($C$14+$C$15+IF($C$13="single",1.5,3)+3)/12))</f>
        <v>0</v>
      </c>
      <c r="AH758">
        <f>AG758-X758</f>
        <v>0</v>
      </c>
      <c r="AI758" cm="1">
        <f t="array" ref="AI758">IFERROR(IF(AH758&lt;0,0,AH758/($R$681-INDEX(hd_off,MATCH(AQ758,hd_mark,0),0)/12)),0)</f>
        <v>0</v>
      </c>
      <c r="AJ758">
        <f>MAX($F$24,$AB$681)/$Q$692</f>
        <v>0</v>
      </c>
      <c r="AK758">
        <f t="shared" si="463"/>
        <v>0</v>
      </c>
      <c r="AL758" cm="1">
        <f t="array" ref="AL758">IFERROR(INDEX(sheath_ecap_asd,MATCH(AP758,sheath_mark,0),0)*AK758,0)</f>
        <v>0</v>
      </c>
      <c r="AM758" cm="1">
        <f t="array" ref="AM758">IFERROR(INDEX(sheath_wcap_asd,MATCH(AP758,sheath_mark,0),0)*AK758,0)</f>
        <v>0</v>
      </c>
      <c r="AN758" cm="1">
        <f t="array" ref="AN758">IFERROR(INDEX(hd_cap,MATCH(AQ758,hd_mark,0),0),0)</f>
        <v>0</v>
      </c>
      <c r="AP758" s="19"/>
      <c r="AQ758" s="19"/>
      <c r="AR758" s="100"/>
      <c r="AS758" s="93"/>
      <c r="AT758" s="111">
        <f>$R$681</f>
        <v>0</v>
      </c>
      <c r="AU758" t="str">
        <f>$Q$664</f>
        <v>L5</v>
      </c>
      <c r="AV758">
        <f>$E$24</f>
        <v>0</v>
      </c>
      <c r="AW758" cm="1">
        <f t="array" ref="AW758">IFERROR(IF(AV758=0,0,(INDEX($C$33:$C$38,MATCH($AZ$681,$B$33:$B$38,0),0)*(AV759+$BA$681)+$AW$681*COUNTIF(AV758:AV758,"&gt;0")*$C$32+$AY$681*$C$31)*$AU$681),0)</f>
        <v>0</v>
      </c>
      <c r="AX758">
        <f>IF(AV758=0,0,-(COUNTIF(AV758:AV758,"&gt;0")*$AW$681*$C$32+$AY$681*$C$31)*$H$27*$AU$681)</f>
        <v>0</v>
      </c>
      <c r="AY758">
        <f>IF(AV758=0,0,$AY$681*$H$26*$AU$681)</f>
        <v>0</v>
      </c>
      <c r="AZ758">
        <f>(0.6*AW758+0.7*AX758)*$AU$681/2</f>
        <v>0</v>
      </c>
      <c r="BA758">
        <f>AW758*$AU$681/2</f>
        <v>0</v>
      </c>
      <c r="BC758">
        <f>IF(AV758=0,0,$BG$681*$AP$664)</f>
        <v>0</v>
      </c>
      <c r="BD758">
        <f>IFERROR(BC758/$AU$681,0)</f>
        <v>0</v>
      </c>
      <c r="BE758">
        <f>BC758*($F$24+IF($F$24=0,0,($C$14+$C$15+IF($C$13="single",1.5,3)+3)/12))</f>
        <v>0</v>
      </c>
      <c r="BF758">
        <f>BE758-AZ758</f>
        <v>0</v>
      </c>
      <c r="BG758" cm="1">
        <f t="array" ref="BG758">IFERROR(IF(BF758&lt;0,0,BF758/($AU$681-INDEX(hd_off,MATCH(BT758,hd_mark,0),0)/12)),0)</f>
        <v>0</v>
      </c>
      <c r="BH758">
        <f>IF(AV758=0,0,$BG$681*$AM$664)</f>
        <v>0</v>
      </c>
      <c r="BI758">
        <f>IFERROR(BH758/$AU$681,0)</f>
        <v>0</v>
      </c>
      <c r="BJ758">
        <f>BH758*($F$24+IF($F$24=0,0,($C$14+$C$15+IF($C$13="single",1.5,3)+3)/12))</f>
        <v>0</v>
      </c>
      <c r="BK758">
        <f>BJ758-BA758</f>
        <v>0</v>
      </c>
      <c r="BL758" cm="1">
        <f t="array" ref="BL758">IFERROR(IF(BK758&lt;0,0,BK758/($AU$681-INDEX(hd_off,MATCH(BT758,hd_mark,0),0)/12)),0)</f>
        <v>0</v>
      </c>
      <c r="BM758">
        <f>MAX($F$24,$BE$681)/$Q$692</f>
        <v>0</v>
      </c>
      <c r="BN758">
        <f t="shared" si="464"/>
        <v>0</v>
      </c>
      <c r="BO758" cm="1">
        <f t="array" ref="BO758">IFERROR(INDEX(sheath_ecap_asd,MATCH(BS758,sheath_mark,0),0)*BN758,0)</f>
        <v>0</v>
      </c>
      <c r="BP758" cm="1">
        <f t="array" ref="BP758">IFERROR(INDEX(sheath_wcap_asd,MATCH(BS758,sheath_mark,0),0)*BN758,0)</f>
        <v>0</v>
      </c>
      <c r="BQ758" cm="1">
        <f t="array" ref="BQ758">IFERROR(INDEX(hd_cap,MATCH(BT758,hd_mark,0),0),0)</f>
        <v>0</v>
      </c>
      <c r="BS758" s="19"/>
      <c r="BT758" s="19"/>
      <c r="BU758" s="100"/>
    </row>
    <row r="759" x14ac:dyDescent="0.25">
      <c r="P759" s="93"/>
      <c r="Q759" s="109"/>
      <c r="R759" t="str">
        <f>$Q$665</f>
        <v>Roof</v>
      </c>
      <c r="S759">
        <f>$E$25</f>
        <v>33.171875</v>
      </c>
      <c r="T759" cm="1">
        <f t="array" ref="T759">IFERROR(IF(S759=0,0,(INDEX($C$33:$C$38,MATCH($W$681,$B$33:$B$38,0),0)*(S759+$X$681)+$V$681*$C$31)*$R$681),0)</f>
        <v>0</v>
      </c>
      <c r="U759">
        <f>IF(S759=0,0,-$V$681*$C$31*$H$27*$R$681)</f>
        <v>0</v>
      </c>
      <c r="V759">
        <f>IF(S759=0,0,$V$681*$H$26*$R$681)</f>
        <v>0</v>
      </c>
      <c r="W759">
        <f>(0.6*T759+0.7*U759)*$R$681/2</f>
        <v>0</v>
      </c>
      <c r="X759">
        <f>T759*$R$681/2</f>
        <v>0</v>
      </c>
      <c r="Z759">
        <f>IF(S759=0,0,$AD$681*$AP$665)</f>
        <v>0</v>
      </c>
      <c r="AA759">
        <f>IFERROR(Z759/$R$681,0)</f>
        <v>0</v>
      </c>
      <c r="AB759">
        <f>Z759*($F$25+($C$16+$C$17+IF($C$13="single",1.5,3)+3)/12)</f>
        <v>0</v>
      </c>
      <c r="AC759">
        <f>AB759-W759</f>
        <v>0</v>
      </c>
      <c r="AD759" cm="1">
        <f t="array" ref="AD759">IFERROR(IF(AC759&lt;0,0,AC759/($R$681-INDEX(hd_off,MATCH(AQ759,hd_mark,0),0)/12)),0)</f>
        <v>0</v>
      </c>
      <c r="AE759">
        <f>IF(S759=0,0,$AD$681*$AM$665)</f>
        <v>0</v>
      </c>
      <c r="AF759">
        <f>IFERROR(AE759/$R$681,0)</f>
        <v>0</v>
      </c>
      <c r="AG759">
        <f>AE759*($F$25+($C$16+$C$17+IF($C$13="single",1.5,3)+3)/12)</f>
        <v>0</v>
      </c>
      <c r="AH759">
        <f>AG759-X759</f>
        <v>0</v>
      </c>
      <c r="AI759" cm="1">
        <f t="array" ref="AI759">IFERROR(IF(AH759&lt;0,0,AH759/($R$681-INDEX(hd_off,MATCH(AQ759,hd_mark,0),0)/12)),0)</f>
        <v>0</v>
      </c>
      <c r="AJ759">
        <f>MAX($F$25,$AC$681)/$Q$692</f>
        <v>0.29920977011494249</v>
      </c>
      <c r="AK759">
        <f t="shared" si="463"/>
        <v>1</v>
      </c>
      <c r="AL759" cm="1">
        <f t="array" ref="AL759">IFERROR(INDEX(sheath_ecap_asd,MATCH(AP759,sheath_mark,0),0)*AK759,0)</f>
        <v>0</v>
      </c>
      <c r="AM759" cm="1">
        <f t="array" ref="AM759">IFERROR(INDEX(sheath_wcap_asd,MATCH(AP759,sheath_mark,0),0)*AK759,0)</f>
        <v>0</v>
      </c>
      <c r="AN759" cm="1">
        <f t="array" ref="AN759">IFERROR(INDEX(hd_cap,MATCH(AQ759,hd_mark,0),0),0)</f>
        <v>0</v>
      </c>
      <c r="AP759" s="19"/>
      <c r="AQ759" s="19"/>
      <c r="AR759" s="100"/>
      <c r="AS759" s="93"/>
      <c r="AT759" s="109"/>
      <c r="AU759" t="str">
        <f>$Q$665</f>
        <v>Roof</v>
      </c>
      <c r="AV759">
        <f>$E$25</f>
        <v>33.171875</v>
      </c>
      <c r="AW759" cm="1">
        <f t="array" ref="AW759">IFERROR(IF(AV759=0,0,(INDEX($C$33:$C$38,MATCH($AZ$681,$B$33:$B$38,0),0)*(AV759+$BA$681)+$AY$681*$C$31)*$AU$681),0)</f>
        <v>0</v>
      </c>
      <c r="AX759">
        <f>IF(AV759=0,0,-$AY$681*$C$31*$H$27*$AU$681)</f>
        <v>0</v>
      </c>
      <c r="AY759">
        <f>IF(AV759=0,0,$AY$681*$H$26*$AU$681)</f>
        <v>0</v>
      </c>
      <c r="AZ759">
        <f>(0.6*AW759+0.7*AX759)*$AU$681/2</f>
        <v>0</v>
      </c>
      <c r="BA759">
        <f>AW759*$AU$681/2</f>
        <v>0</v>
      </c>
      <c r="BC759">
        <f>IF(AV759=0,0,$BG$681*$AP$665)</f>
        <v>0</v>
      </c>
      <c r="BD759">
        <f>IFERROR(BC759/$AU$681,0)</f>
        <v>0</v>
      </c>
      <c r="BE759">
        <f>BC759*($F$25+($C$16+$C$17+IF($C$13="single",1.5,3)+3)/12)</f>
        <v>0</v>
      </c>
      <c r="BF759">
        <f>BE759-AZ759</f>
        <v>0</v>
      </c>
      <c r="BG759" cm="1">
        <f t="array" ref="BG759">IFERROR(IF(BF759&lt;0,0,BF759/($AU$681-INDEX(hd_off,MATCH(BT759,hd_mark,0),0)/12)),0)</f>
        <v>0</v>
      </c>
      <c r="BH759">
        <f>IF(AV759=0,0,$BG$681*$AM$665)</f>
        <v>0</v>
      </c>
      <c r="BI759">
        <f>IFERROR(BH759/$AU$681,0)</f>
        <v>0</v>
      </c>
      <c r="BJ759">
        <f>BH759*($F$25+($C$16+$C$17+IF($C$13="single",1.5,3)+3)/12)</f>
        <v>0</v>
      </c>
      <c r="BK759">
        <f>BJ759-BA759</f>
        <v>0</v>
      </c>
      <c r="BL759" cm="1">
        <f t="array" ref="BL759">IFERROR(IF(BK759&lt;0,0,BK759/($AU$681-INDEX(hd_off,MATCH(BT759,hd_mark,0),0)/12)),0)</f>
        <v>0</v>
      </c>
      <c r="BM759">
        <f>MAX($F$25,$BF$681)/$Q$692</f>
        <v>0.29920977011494249</v>
      </c>
      <c r="BN759">
        <f t="shared" si="464"/>
        <v>1</v>
      </c>
      <c r="BO759" cm="1">
        <f t="array" ref="BO759">IFERROR(INDEX(sheath_ecap_asd,MATCH(BS759,sheath_mark,0),0)*BN759,0)</f>
        <v>0</v>
      </c>
      <c r="BP759" cm="1">
        <f t="array" ref="BP759">IFERROR(INDEX(sheath_wcap_asd,MATCH(BS759,sheath_mark,0),0)*BN759,0)</f>
        <v>0</v>
      </c>
      <c r="BQ759" cm="1">
        <f t="array" ref="BQ759">IFERROR(INDEX(hd_cap,MATCH(BT759,hd_mark,0),0),0)</f>
        <v>0</v>
      </c>
      <c r="BS759" s="19"/>
      <c r="BT759" s="19"/>
      <c r="BU759" s="100"/>
    </row>
    <row r="760" x14ac:dyDescent="0.25">
      <c r="P760" s="93"/>
      <c r="AR760" s="100"/>
      <c r="AS760" s="93"/>
      <c r="BU760" s="100"/>
    </row>
    <row r="761" x14ac:dyDescent="0.25">
      <c r="P761" s="93"/>
      <c r="Q761" s="110" t="str">
        <f>$Q$682</f>
        <v>A.13</v>
      </c>
      <c r="R761" t="str">
        <f>$Q$661</f>
        <v>L2</v>
      </c>
      <c r="S761">
        <f>$E$21</f>
        <v>10.6875</v>
      </c>
      <c r="T761" cm="1">
        <f t="array" ref="T761">IFERROR(IF(S761=0,0,(INDEX($C$33:$C$38,MATCH($W$682,$B$33:$B$38,0),0)*(S765+$X$682)+$T$682*COUNTIF(S761:S764,"&gt;0")*$C$32+$V$682*$C$31)*$R$682),0)</f>
        <v>0</v>
      </c>
      <c r="U761">
        <f>IF(S761=0,0,-(COUNTIF(S761:S764,"&gt;0")*$T$682*$C$32+$V$682*$C$31)*$H$27*$R$682)</f>
        <v>0</v>
      </c>
      <c r="V761">
        <f>IF(S761=0,0,$V$682*$H$26*$R$682)</f>
        <v>0</v>
      </c>
      <c r="W761">
        <f>(0.6*T761+0.7*U761)*$R$682/2</f>
        <v>0</v>
      </c>
      <c r="X761">
        <f>(0.6*T761+0.6*V761)*$R$682/2</f>
        <v>0</v>
      </c>
      <c r="Z761">
        <f>IF(S761=0,0,$AD$682*$AP$661)</f>
        <v>0</v>
      </c>
      <c r="AA761">
        <f>IFERROR(Z761/$R$682,0)</f>
        <v>0</v>
      </c>
      <c r="AB761">
        <f>Z761*($F$21+IF($F$21=0,0,($C$14+$C$15+IF($C$13="single",1.5,3)+3)/12))</f>
        <v>0</v>
      </c>
      <c r="AC761">
        <f>AB761-W761</f>
        <v>0</v>
      </c>
      <c r="AD761" cm="1">
        <f t="array" ref="AD761">IFERROR(IF(AC761&lt;0,0,AC761/($R$682-INDEX(hd_off,MATCH(AQ761,hd_mark,0),0)/12)),0)</f>
        <v>0</v>
      </c>
      <c r="AE761">
        <f>IF(S761=0,0,$AD$682*$AM$661)</f>
        <v>0</v>
      </c>
      <c r="AF761">
        <f>IFERROR(AE761/$R$682,0)</f>
        <v>0</v>
      </c>
      <c r="AG761">
        <f>AE761*($F$21+IF($F$21=0,0,($C$14+$C$15+IF($C$13="single",1.5,3)+3)/12))</f>
        <v>0</v>
      </c>
      <c r="AH761">
        <f>AG761-X761</f>
        <v>0</v>
      </c>
      <c r="AI761" cm="1">
        <f t="array" ref="AI761">IFERROR(IF(AH761&lt;0,0,AH761/($R$682-INDEX(hd_off,MATCH(AQ761,hd_mark,0),0)/12)),0)</f>
        <v>0</v>
      </c>
      <c r="AJ761">
        <f>MAX($F$21,$Y$682)/$Q$692</f>
        <v>0.30172413793103448</v>
      </c>
      <c r="AK761">
        <f>IF(AJ761=0,0,IF(AJ761&gt;2,1.25-0.125*AJ761,1))</f>
        <v>1</v>
      </c>
      <c r="AL761" cm="1">
        <f t="array" ref="AL761">IFERROR(INDEX(sheath_ecap_asd,MATCH(AP761,sheath_mark,0),0)*AK761,0)</f>
        <v>0</v>
      </c>
      <c r="AM761" cm="1">
        <f t="array" ref="AM761">IFERROR(INDEX(sheath_wcap_asd,MATCH(AP761,sheath_mark,0),0)*AK761,0)</f>
        <v>0</v>
      </c>
      <c r="AN761" cm="1">
        <f t="array" ref="AN761">IFERROR(INDEX(hd_cap,MATCH(AQ761,hd_mark,0),0),0)</f>
        <v>0</v>
      </c>
      <c r="AP761" s="19"/>
      <c r="AQ761" s="19"/>
      <c r="AR761" s="100"/>
      <c r="AS761" s="93"/>
      <c r="AT761" s="110" t="str">
        <f>$AT$682</f>
        <v>1.13</v>
      </c>
      <c r="AU761" t="str">
        <f>$Q$661</f>
        <v>L2</v>
      </c>
      <c r="AV761">
        <f>$E$21</f>
        <v>10.6875</v>
      </c>
      <c r="AW761" cm="1">
        <f t="array" ref="AW761">IFERROR(IF(AV761=0,0,(INDEX($C$33:$C$38,MATCH($AZ$682,$B$33:$B$38,0),0)*(AV765+$BA$682)+$AW$682*COUNTIF(AV761:AV764,"&gt;0")*$C$32+$AY$682*$C$31)*$AU$682),0)</f>
        <v>0</v>
      </c>
      <c r="AX761">
        <f>IF(AV761=0,0,-(COUNTIF(AV761:AV764,"&gt;0")*$AW$682*$C$32+$AY$682*$C$31)*$H$27*$AU$682)</f>
        <v>0</v>
      </c>
      <c r="AY761">
        <f>IF(AV761=0,0,$AY$682*$H$26*$AU$682)</f>
        <v>0</v>
      </c>
      <c r="AZ761">
        <f>(0.6*AW761+0.7*AX761)*$AU$682/2</f>
        <v>0</v>
      </c>
      <c r="BA761">
        <f>(0.6*AW761+0.6*AY761)*$AU$682/2</f>
        <v>0</v>
      </c>
      <c r="BC761">
        <f>IF(AV761=0,0,$BG$682*$AP$661)</f>
        <v>0</v>
      </c>
      <c r="BD761">
        <f>IFERROR(BC761/$AU$682,0)</f>
        <v>0</v>
      </c>
      <c r="BE761">
        <f>BC761*($F$21+IF($F$21=0,0,($C$14+$C$15+IF($C$13="single",1.5,3)+3)/12))</f>
        <v>0</v>
      </c>
      <c r="BF761">
        <f>BE761-AZ761</f>
        <v>0</v>
      </c>
      <c r="BG761" cm="1">
        <f t="array" ref="BG761">IFERROR(IF(BF761&lt;0,0,BF761/($AU$682-INDEX(hd_off,MATCH(BT761,hd_mark,0),0)/12)),0)</f>
        <v>0</v>
      </c>
      <c r="BH761">
        <f>IF(AV761=0,0,$BG$682*$AM$661)</f>
        <v>0</v>
      </c>
      <c r="BI761">
        <f>IFERROR(BH761/$AU$682,0)</f>
        <v>0</v>
      </c>
      <c r="BJ761">
        <f>BH761*($F$21+IF($F$21=0,0,($C$14+$C$15+IF($C$13="single",1.5,3)+3)/12))</f>
        <v>0</v>
      </c>
      <c r="BK761">
        <f>BJ761-BA761</f>
        <v>0</v>
      </c>
      <c r="BL761" cm="1">
        <f t="array" ref="BL761">IFERROR(IF(BK761&lt;0,0,BK761/($AU$682-INDEX(hd_off,MATCH(BT761,hd_mark,0),0)/12)),0)</f>
        <v>0</v>
      </c>
      <c r="BM761">
        <f>MAX($F$21,$BB$682)/$Q$692</f>
        <v>0.30172413793103448</v>
      </c>
      <c r="BN761">
        <f>IF(BM761=0,0,IF(BM761&gt;2,1.25-0.125*BM761,1))</f>
        <v>1</v>
      </c>
      <c r="BO761" cm="1">
        <f t="array" ref="BO761">IFERROR(INDEX(sheath_ecap_asd,MATCH(BS761,sheath_mark,0),0)*BN761,0)</f>
        <v>0</v>
      </c>
      <c r="BP761" cm="1">
        <f t="array" ref="BP761">IFERROR(INDEX(sheath_wcap_asd,MATCH(BS761,sheath_mark,0),0)*BN761,0)</f>
        <v>0</v>
      </c>
      <c r="BQ761" cm="1">
        <f t="array" ref="BQ761">IFERROR(INDEX(hd_cap,MATCH(BT761,hd_mark,0),0),0)</f>
        <v>0</v>
      </c>
      <c r="BS761" s="19"/>
      <c r="BT761" s="19"/>
      <c r="BU761" s="100"/>
    </row>
    <row r="762" x14ac:dyDescent="0.25">
      <c r="P762" s="93"/>
      <c r="Q762" s="109"/>
      <c r="R762" t="str">
        <f>$Q$662</f>
        <v>L3</v>
      </c>
      <c r="S762">
        <f>$E$22</f>
        <v>21.375</v>
      </c>
      <c r="T762" cm="1">
        <f t="array" ref="T762">IFERROR(IF(S762=0,0,(INDEX($C$33:$C$38,MATCH($W$682,$B$33:$B$38,0),0)*(S765+$X$682)+$T$682*COUNTIF(S762:S764,"&gt;0")*$C$32+$V$682*$C$31)*$R$682),0)</f>
        <v>0</v>
      </c>
      <c r="U762">
        <f>IF(S762=0,0,-(COUNTIF(S762:S764,"&gt;0")*$T$682*$C$32+$V$682*$C$31)*$H$27*$R$682)</f>
        <v>0</v>
      </c>
      <c r="V762">
        <f>IF(S762=0,0,$V$682*$H$26*$R$682)</f>
        <v>0</v>
      </c>
      <c r="W762">
        <f>(0.6*T762+0.7*U762)*$R$682/2</f>
        <v>0</v>
      </c>
      <c r="X762">
        <f>T762*$R$682/2</f>
        <v>0</v>
      </c>
      <c r="Z762">
        <f>IF(S762=0,0,$AD$682*$AP$662)</f>
        <v>0</v>
      </c>
      <c r="AA762">
        <f>IFERROR(Z762/$R$682,0)</f>
        <v>0</v>
      </c>
      <c r="AB762">
        <f>Z762*($F$22+IF($F$22=0,0,($C$14+$C$15+IF($C$13="single",1.5,3)+3)/12))</f>
        <v>0</v>
      </c>
      <c r="AC762">
        <f>AB762-W762</f>
        <v>0</v>
      </c>
      <c r="AD762" cm="1">
        <f t="array" ref="AD762">IFERROR(IF(AC762&lt;0,0,AC762/($R$682-INDEX(hd_off,MATCH(AQ762,hd_mark,0),0)/12)),0)</f>
        <v>0</v>
      </c>
      <c r="AE762">
        <f>IF(S762=0,0,$AD$682*$AM$662)</f>
        <v>0</v>
      </c>
      <c r="AF762">
        <f>IFERROR(AE762/$R$682,0)</f>
        <v>0</v>
      </c>
      <c r="AG762">
        <f>AE762*($F$22+IF($F$22=0,0,($C$14+$C$15+IF($C$13="single",1.5,3)+3)/12))</f>
        <v>0</v>
      </c>
      <c r="AH762">
        <f>AG762-X762</f>
        <v>0</v>
      </c>
      <c r="AI762" cm="1">
        <f t="array" ref="AI762">IFERROR(IF(AH762&lt;0,0,AH762/($R$682-INDEX(hd_off,MATCH(AQ762,hd_mark,0),0)/12)),0)</f>
        <v>0</v>
      </c>
      <c r="AJ762">
        <f>MAX($F$22,$Z$682)/$Q$692</f>
        <v>0.30172413793103448</v>
      </c>
      <c r="AK762">
        <f t="shared" ref="AK762:AK765" si="465">IF(AJ762=0,0,IF(AJ762&gt;2,1.25-0.125*AJ762,1))</f>
        <v>1</v>
      </c>
      <c r="AL762" cm="1">
        <f t="array" ref="AL762">IFERROR(INDEX(sheath_ecap_asd,MATCH(AP762,sheath_mark,0),0)*AK762,0)</f>
        <v>0</v>
      </c>
      <c r="AM762" cm="1">
        <f t="array" ref="AM762">IFERROR(INDEX(sheath_wcap_asd,MATCH(AP762,sheath_mark,0),0)*AK762,0)</f>
        <v>0</v>
      </c>
      <c r="AN762" cm="1">
        <f t="array" ref="AN762">IFERROR(INDEX(hd_cap,MATCH(AQ762,hd_mark,0),0),0)</f>
        <v>0</v>
      </c>
      <c r="AP762" s="19"/>
      <c r="AQ762" s="19"/>
      <c r="AR762" s="100"/>
      <c r="AS762" s="93"/>
      <c r="AT762" s="109"/>
      <c r="AU762" t="str">
        <f>$Q$662</f>
        <v>L3</v>
      </c>
      <c r="AV762">
        <f>$E$22</f>
        <v>21.375</v>
      </c>
      <c r="AW762" cm="1">
        <f t="array" ref="AW762">IFERROR(IF(AV762=0,0,(INDEX($C$33:$C$38,MATCH($AZ$682,$B$33:$B$38,0),0)*(AV765+$BA$682)+$AW$682*COUNTIF(AV762:AV764,"&gt;0")*$C$32+$AY$682*$C$31)*$AU$682),0)</f>
        <v>0</v>
      </c>
      <c r="AX762">
        <f>IF(AV762=0,0,-(COUNTIF(AV762:AV764,"&gt;0")*$AW$682*$C$32+$AY$682*$C$31)*$H$27*$AU$682)</f>
        <v>0</v>
      </c>
      <c r="AY762">
        <f>IF(AV762=0,0,$AY$682*$H$26*$AU$682)</f>
        <v>0</v>
      </c>
      <c r="AZ762">
        <f>(0.6*AW762+0.7*AX762)*$AU$682/2</f>
        <v>0</v>
      </c>
      <c r="BA762">
        <f>AW762*$AU$682/2</f>
        <v>0</v>
      </c>
      <c r="BC762">
        <f>IF(AV762=0,0,$BG$682*$AP$662)</f>
        <v>0</v>
      </c>
      <c r="BD762">
        <f>IFERROR(BC762/$AU$682,0)</f>
        <v>0</v>
      </c>
      <c r="BE762">
        <f>BC762*($F$22+IF($F$22=0,0,($C$14+$C$15+IF($C$13="single",1.5,3)+3)/12))</f>
        <v>0</v>
      </c>
      <c r="BF762">
        <f>BE762-AZ762</f>
        <v>0</v>
      </c>
      <c r="BG762" cm="1">
        <f t="array" ref="BG762">IFERROR(IF(BF762&lt;0,0,BF762/($AU$682-INDEX(hd_off,MATCH(BT762,hd_mark,0),0)/12)),0)</f>
        <v>0</v>
      </c>
      <c r="BH762">
        <f>IF(AV762=0,0,$BG$682*$AM$662)</f>
        <v>0</v>
      </c>
      <c r="BI762">
        <f>IFERROR(BH762/$AU$682,0)</f>
        <v>0</v>
      </c>
      <c r="BJ762">
        <f>BH762*($F$22+IF($F$22=0,0,($C$14+$C$15+IF($C$13="single",1.5,3)+3)/12))</f>
        <v>0</v>
      </c>
      <c r="BK762">
        <f>BJ762-BA762</f>
        <v>0</v>
      </c>
      <c r="BL762" cm="1">
        <f t="array" ref="BL762">IFERROR(IF(BK762&lt;0,0,BK762/($AU$682-INDEX(hd_off,MATCH(BT762,hd_mark,0),0)/12)),0)</f>
        <v>0</v>
      </c>
      <c r="BM762">
        <f>MAX($F$22,$BC$682)/$Q$692</f>
        <v>0.30172413793103448</v>
      </c>
      <c r="BN762">
        <f t="shared" ref="BN762:BN765" si="466">IF(BM762=0,0,IF(BM762&gt;2,1.25-0.125*BM762,1))</f>
        <v>1</v>
      </c>
      <c r="BO762" cm="1">
        <f t="array" ref="BO762">IFERROR(INDEX(sheath_ecap_asd,MATCH(BS762,sheath_mark,0),0)*BN762,0)</f>
        <v>0</v>
      </c>
      <c r="BP762" cm="1">
        <f t="array" ref="BP762">IFERROR(INDEX(sheath_wcap_asd,MATCH(BS762,sheath_mark,0),0)*BN762,0)</f>
        <v>0</v>
      </c>
      <c r="BQ762" cm="1">
        <f t="array" ref="BQ762">IFERROR(INDEX(hd_cap,MATCH(BT762,hd_mark,0),0),0)</f>
        <v>0</v>
      </c>
      <c r="BS762" s="19"/>
      <c r="BT762" s="19"/>
      <c r="BU762" s="100"/>
    </row>
    <row r="763" x14ac:dyDescent="0.25">
      <c r="P763" s="93"/>
      <c r="Q763" s="109" t="s">
        <v>491</v>
      </c>
      <c r="R763" t="str">
        <f>$Q$663</f>
        <v>L4</v>
      </c>
      <c r="S763">
        <f>$E$23</f>
        <v>0</v>
      </c>
      <c r="T763" cm="1">
        <f t="array" ref="T763">IFERROR(IF(S763=0,0,(INDEX($C$33:$C$38,MATCH($W$682,$B$33:$B$38,0),0)*(S765+$X$682)+$T$682*COUNTIF(S763:S764,"&gt;0")*$C$32+$V$682*$C$31)*$R$682),0)</f>
        <v>0</v>
      </c>
      <c r="U763">
        <f>IF(S763=0,0,-(COUNTIF(S763:S764,"&gt;0")*$T$682*$C$32+$V$682*$C$31)*$H$27*$R$682)</f>
        <v>0</v>
      </c>
      <c r="V763">
        <f>IF(S763=0,0,$V$682*$H$26*$R$682)</f>
        <v>0</v>
      </c>
      <c r="W763">
        <f>(0.6*T763+0.7*U763)*$R$682/2</f>
        <v>0</v>
      </c>
      <c r="X763">
        <f>T763*$R$682/2</f>
        <v>0</v>
      </c>
      <c r="Z763">
        <f>IF(S763=0,0,$AD$682*$AP$663)</f>
        <v>0</v>
      </c>
      <c r="AA763">
        <f>IFERROR(Z763/$R$682,0)</f>
        <v>0</v>
      </c>
      <c r="AB763">
        <f>Z763*($F$23+IF($F$23=0,0,($C$14+$C$15+IF($C$13="single",1.5,3)+3)/12))</f>
        <v>0</v>
      </c>
      <c r="AC763">
        <f>AB763-W763</f>
        <v>0</v>
      </c>
      <c r="AD763" cm="1">
        <f t="array" ref="AD763">IFERROR(IF(AC763&lt;0,0,AC763/($R$682-INDEX(hd_off,MATCH(AQ763,hd_mark,0),0)/12)),0)</f>
        <v>0</v>
      </c>
      <c r="AE763">
        <f>IF(S763=0,0,$AD$682*$AM$663)</f>
        <v>0</v>
      </c>
      <c r="AF763">
        <f>IFERROR(AE763/$R$682,0)</f>
        <v>0</v>
      </c>
      <c r="AG763">
        <f>AE763*($F$23+IF($F$23=0,0,($C$14+$C$15+IF($C$13="single",1.5,3)+3)/12))</f>
        <v>0</v>
      </c>
      <c r="AH763">
        <f>AG763-X763</f>
        <v>0</v>
      </c>
      <c r="AI763" cm="1">
        <f t="array" ref="AI763">IFERROR(IF(AH763&lt;0,0,AH763/($R$682-INDEX(hd_off,MATCH(AQ763,hd_mark,0),0)/12)),0)</f>
        <v>0</v>
      </c>
      <c r="AJ763">
        <f>MAX($F$23,$AA$682)/$Q$692</f>
        <v>0</v>
      </c>
      <c r="AK763">
        <f t="shared" si="465"/>
        <v>0</v>
      </c>
      <c r="AL763" cm="1">
        <f t="array" ref="AL763">IFERROR(INDEX(sheath_ecap_asd,MATCH(AP763,sheath_mark,0),0)*AK763,0)</f>
        <v>0</v>
      </c>
      <c r="AM763" cm="1">
        <f t="array" ref="AM763">IFERROR(INDEX(sheath_wcap_asd,MATCH(AP763,sheath_mark,0),0)*AK763,0)</f>
        <v>0</v>
      </c>
      <c r="AN763" cm="1">
        <f t="array" ref="AN763">IFERROR(INDEX(hd_cap,MATCH(AQ763,hd_mark,0),0),0)</f>
        <v>0</v>
      </c>
      <c r="AP763" s="19"/>
      <c r="AQ763" s="19"/>
      <c r="AR763" s="100"/>
      <c r="AS763" s="93"/>
      <c r="AT763" s="109" t="s">
        <v>491</v>
      </c>
      <c r="AU763" t="str">
        <f>$Q$663</f>
        <v>L4</v>
      </c>
      <c r="AV763">
        <f>$E$23</f>
        <v>0</v>
      </c>
      <c r="AW763" cm="1">
        <f t="array" ref="AW763">IFERROR(IF(AV763=0,0,(INDEX($C$33:$C$38,MATCH($AZ$682,$B$33:$B$38,0),0)*(AV765+$BA$682)+$AW$682*COUNTIF(AV763:AV764,"&gt;0")*$C$32+$AY$682*$C$31)*$AU$682),0)</f>
        <v>0</v>
      </c>
      <c r="AX763">
        <f>IF(AV763=0,0,-(COUNTIF(AV763:AV764,"&gt;0")*$AW$682*$C$32+$AY$682*$C$31)*$H$27*$AU$682)</f>
        <v>0</v>
      </c>
      <c r="AY763">
        <f>IF(AV763=0,0,$AY$682*$H$26*$AU$682)</f>
        <v>0</v>
      </c>
      <c r="AZ763">
        <f>(0.6*AW763+0.7*AX763)*$AU$682/2</f>
        <v>0</v>
      </c>
      <c r="BA763">
        <f>AW763*$AU$682/2</f>
        <v>0</v>
      </c>
      <c r="BC763">
        <f>IF(AV763=0,0,$BG$682*$AP$663)</f>
        <v>0</v>
      </c>
      <c r="BD763">
        <f>IFERROR(BC763/$AU$682,0)</f>
        <v>0</v>
      </c>
      <c r="BE763">
        <f>BC763*($F$23+IF($F$23=0,0,($C$14+$C$15+IF($C$13="single",1.5,3)+3)/12))</f>
        <v>0</v>
      </c>
      <c r="BF763">
        <f>BE763-AZ763</f>
        <v>0</v>
      </c>
      <c r="BG763" cm="1">
        <f t="array" ref="BG763">IFERROR(IF(BF763&lt;0,0,BF763/($AU$682-INDEX(hd_off,MATCH(BT763,hd_mark,0),0)/12)),0)</f>
        <v>0</v>
      </c>
      <c r="BH763">
        <f>IF(AV763=0,0,$BG$682*$AM$663)</f>
        <v>0</v>
      </c>
      <c r="BI763">
        <f>IFERROR(BH763/$AU$682,0)</f>
        <v>0</v>
      </c>
      <c r="BJ763">
        <f>BH763*($F$23+IF($F$23=0,0,($C$14+$C$15+IF($C$13="single",1.5,3)+3)/12))</f>
        <v>0</v>
      </c>
      <c r="BK763">
        <f>BJ763-BA763</f>
        <v>0</v>
      </c>
      <c r="BL763" cm="1">
        <f t="array" ref="BL763">IFERROR(IF(BK763&lt;0,0,BK763/($AU$682-INDEX(hd_off,MATCH(BT763,hd_mark,0),0)/12)),0)</f>
        <v>0</v>
      </c>
      <c r="BM763">
        <f>MAX($F$23,$BD$682)/$Q$692</f>
        <v>0</v>
      </c>
      <c r="BN763">
        <f t="shared" si="466"/>
        <v>0</v>
      </c>
      <c r="BO763" cm="1">
        <f t="array" ref="BO763">IFERROR(INDEX(sheath_ecap_asd,MATCH(BS763,sheath_mark,0),0)*BN763,0)</f>
        <v>0</v>
      </c>
      <c r="BP763" cm="1">
        <f t="array" ref="BP763">IFERROR(INDEX(sheath_wcap_asd,MATCH(BS763,sheath_mark,0),0)*BN763,0)</f>
        <v>0</v>
      </c>
      <c r="BQ763" cm="1">
        <f t="array" ref="BQ763">IFERROR(INDEX(hd_cap,MATCH(BT763,hd_mark,0),0),0)</f>
        <v>0</v>
      </c>
      <c r="BS763" s="19"/>
      <c r="BT763" s="19"/>
      <c r="BU763" s="100"/>
    </row>
    <row r="764" x14ac:dyDescent="0.25">
      <c r="P764" s="93"/>
      <c r="Q764" s="111">
        <f>$R$682</f>
        <v>0</v>
      </c>
      <c r="R764" t="str">
        <f>$Q$664</f>
        <v>L5</v>
      </c>
      <c r="S764">
        <f>$E$24</f>
        <v>0</v>
      </c>
      <c r="T764" cm="1">
        <f t="array" ref="T764">IFERROR(IF(S764=0,0,(INDEX($C$33:$C$38,MATCH($W$682,$B$33:$B$38,0),0)*(S765+$X$682)+$T$682*COUNTIF(S764:S764,"&gt;0")*$C$32+$V$682*$C$31)*$R$682),0)</f>
        <v>0</v>
      </c>
      <c r="U764">
        <f>IF(S764=0,0,-(COUNTIF(S764:S764,"&gt;0")*$T$682*$C$32+$V$682*$C$31)*$H$27*$R$682)</f>
        <v>0</v>
      </c>
      <c r="V764">
        <f>IF(S764=0,0,$V$682*$H$26*$R$682)</f>
        <v>0</v>
      </c>
      <c r="W764">
        <f>(0.6*T764+0.7*U764)*$R$682/2</f>
        <v>0</v>
      </c>
      <c r="X764">
        <f>T764*$R$682/2</f>
        <v>0</v>
      </c>
      <c r="Z764">
        <f>IF(S764=0,0,$AD$682*$AP$664)</f>
        <v>0</v>
      </c>
      <c r="AA764">
        <f>IFERROR(Z764/$R$682,0)</f>
        <v>0</v>
      </c>
      <c r="AB764">
        <f>Z764*($F$24+IF($F$24=0,0,($C$14+$C$15+IF($C$13="single",1.5,3)+3)/12))</f>
        <v>0</v>
      </c>
      <c r="AC764">
        <f>AB764-W764</f>
        <v>0</v>
      </c>
      <c r="AD764" cm="1">
        <f t="array" ref="AD764">IFERROR(IF(AC764&lt;0,0,AC764/($R$682-INDEX(hd_off,MATCH(AQ764,hd_mark,0),0)/12)),0)</f>
        <v>0</v>
      </c>
      <c r="AE764">
        <f>IF(S764=0,0,$AD$682*$AM$664)</f>
        <v>0</v>
      </c>
      <c r="AF764">
        <f>IFERROR(AE764/$R$682,0)</f>
        <v>0</v>
      </c>
      <c r="AG764">
        <f>AE764*($F$24+IF($F$24=0,0,($C$14+$C$15+IF($C$13="single",1.5,3)+3)/12))</f>
        <v>0</v>
      </c>
      <c r="AH764">
        <f>AG764-X764</f>
        <v>0</v>
      </c>
      <c r="AI764" cm="1">
        <f t="array" ref="AI764">IFERROR(IF(AH764&lt;0,0,AH764/($R$682-INDEX(hd_off,MATCH(AQ764,hd_mark,0),0)/12)),0)</f>
        <v>0</v>
      </c>
      <c r="AJ764">
        <f>MAX($F$24,$AB$682)/$Q$692</f>
        <v>0</v>
      </c>
      <c r="AK764">
        <f t="shared" si="465"/>
        <v>0</v>
      </c>
      <c r="AL764" cm="1">
        <f t="array" ref="AL764">IFERROR(INDEX(sheath_ecap_asd,MATCH(AP764,sheath_mark,0),0)*AK764,0)</f>
        <v>0</v>
      </c>
      <c r="AM764" cm="1">
        <f t="array" ref="AM764">IFERROR(INDEX(sheath_wcap_asd,MATCH(AP764,sheath_mark,0),0)*AK764,0)</f>
        <v>0</v>
      </c>
      <c r="AN764" cm="1">
        <f t="array" ref="AN764">IFERROR(INDEX(hd_cap,MATCH(AQ764,hd_mark,0),0),0)</f>
        <v>0</v>
      </c>
      <c r="AP764" s="19"/>
      <c r="AQ764" s="19"/>
      <c r="AR764" s="100"/>
      <c r="AS764" s="93"/>
      <c r="AT764" s="111">
        <f>$R$682</f>
        <v>0</v>
      </c>
      <c r="AU764" t="str">
        <f>$Q$664</f>
        <v>L5</v>
      </c>
      <c r="AV764">
        <f>$E$24</f>
        <v>0</v>
      </c>
      <c r="AW764" cm="1">
        <f t="array" ref="AW764">IFERROR(IF(AV764=0,0,(INDEX($C$33:$C$38,MATCH($AZ$682,$B$33:$B$38,0),0)*(AV765+$BA$682)+$AW$682*COUNTIF(AV764:AV764,"&gt;0")*$C$32+$AY$682*$C$31)*$AU$682),0)</f>
        <v>0</v>
      </c>
      <c r="AX764">
        <f>IF(AV764=0,0,-(COUNTIF(AV764:AV764,"&gt;0")*$AW$682*$C$32+$AY$682*$C$31)*$H$27*$AU$682)</f>
        <v>0</v>
      </c>
      <c r="AY764">
        <f>IF(AV764=0,0,$AY$682*$H$26*$AU$682)</f>
        <v>0</v>
      </c>
      <c r="AZ764">
        <f>(0.6*AW764+0.7*AX764)*$AU$682/2</f>
        <v>0</v>
      </c>
      <c r="BA764">
        <f>AW764*$AU$682/2</f>
        <v>0</v>
      </c>
      <c r="BC764">
        <f>IF(AV764=0,0,$BG$682*$AP$664)</f>
        <v>0</v>
      </c>
      <c r="BD764">
        <f>IFERROR(BC764/$AU$682,0)</f>
        <v>0</v>
      </c>
      <c r="BE764">
        <f>BC764*($F$24+IF($F$24=0,0,($C$14+$C$15+IF($C$13="single",1.5,3)+3)/12))</f>
        <v>0</v>
      </c>
      <c r="BF764">
        <f>BE764-AZ764</f>
        <v>0</v>
      </c>
      <c r="BG764" cm="1">
        <f t="array" ref="BG764">IFERROR(IF(BF764&lt;0,0,BF764/($AU$682-INDEX(hd_off,MATCH(BT764,hd_mark,0),0)/12)),0)</f>
        <v>0</v>
      </c>
      <c r="BH764">
        <f>IF(AV764=0,0,$BG$682*$AM$664)</f>
        <v>0</v>
      </c>
      <c r="BI764">
        <f>IFERROR(BH764/$AU$682,0)</f>
        <v>0</v>
      </c>
      <c r="BJ764">
        <f>BH764*($F$24+IF($F$24=0,0,($C$14+$C$15+IF($C$13="single",1.5,3)+3)/12))</f>
        <v>0</v>
      </c>
      <c r="BK764">
        <f>BJ764-BA764</f>
        <v>0</v>
      </c>
      <c r="BL764" cm="1">
        <f t="array" ref="BL764">IFERROR(IF(BK764&lt;0,0,BK764/($AU$682-INDEX(hd_off,MATCH(BT764,hd_mark,0),0)/12)),0)</f>
        <v>0</v>
      </c>
      <c r="BM764">
        <f>MAX($F$24,$BE$682)/$Q$692</f>
        <v>0</v>
      </c>
      <c r="BN764">
        <f t="shared" si="466"/>
        <v>0</v>
      </c>
      <c r="BO764" cm="1">
        <f t="array" ref="BO764">IFERROR(INDEX(sheath_ecap_asd,MATCH(BS764,sheath_mark,0),0)*BN764,0)</f>
        <v>0</v>
      </c>
      <c r="BP764" cm="1">
        <f t="array" ref="BP764">IFERROR(INDEX(sheath_wcap_asd,MATCH(BS764,sheath_mark,0),0)*BN764,0)</f>
        <v>0</v>
      </c>
      <c r="BQ764" cm="1">
        <f t="array" ref="BQ764">IFERROR(INDEX(hd_cap,MATCH(BT764,hd_mark,0),0),0)</f>
        <v>0</v>
      </c>
      <c r="BS764" s="19"/>
      <c r="BT764" s="19"/>
      <c r="BU764" s="100"/>
    </row>
    <row r="765" x14ac:dyDescent="0.25">
      <c r="P765" s="93"/>
      <c r="Q765" s="109"/>
      <c r="R765" t="str">
        <f>$Q$665</f>
        <v>Roof</v>
      </c>
      <c r="S765">
        <f>$E$25</f>
        <v>33.171875</v>
      </c>
      <c r="T765" cm="1">
        <f t="array" ref="T765">IFERROR(IF(S765=0,0,(INDEX($C$33:$C$38,MATCH($W$682,$B$33:$B$38,0),0)*(S765+$X$682)+$V$682*$C$31)*$R$682),0)</f>
        <v>0</v>
      </c>
      <c r="U765">
        <f>IF(S765=0,0,-$V$682*$C$31*$H$27*$R$682)</f>
        <v>0</v>
      </c>
      <c r="V765">
        <f>IF(S765=0,0,$V$682*$H$26*$R$682)</f>
        <v>0</v>
      </c>
      <c r="W765">
        <f>(0.6*T765+0.7*U765)*$R$682/2</f>
        <v>0</v>
      </c>
      <c r="X765">
        <f>T765*$R$682/2</f>
        <v>0</v>
      </c>
      <c r="Z765">
        <f>IF(S765=0,0,$AD$682*$AP$665)</f>
        <v>0</v>
      </c>
      <c r="AA765">
        <f>IFERROR(Z765/$R$682,0)</f>
        <v>0</v>
      </c>
      <c r="AB765">
        <f>Z765*($F$25+($C$16+$C$17+IF($C$13="single",1.5,3)+3)/12)</f>
        <v>0</v>
      </c>
      <c r="AC765">
        <f>AB765-W765</f>
        <v>0</v>
      </c>
      <c r="AD765" cm="1">
        <f t="array" ref="AD765">IFERROR(IF(AC765&lt;0,0,AC765/($R$682-INDEX(hd_off,MATCH(AQ765,hd_mark,0),0)/12)),0)</f>
        <v>0</v>
      </c>
      <c r="AE765">
        <f>IF(S765=0,0,$AD$682*$AM$665)</f>
        <v>0</v>
      </c>
      <c r="AF765">
        <f>IFERROR(AE765/$R$682,0)</f>
        <v>0</v>
      </c>
      <c r="AG765">
        <f>AE765*($F$25+($C$16+$C$17+IF($C$13="single",1.5,3)+3)/12)</f>
        <v>0</v>
      </c>
      <c r="AH765">
        <f>AG765-X765</f>
        <v>0</v>
      </c>
      <c r="AI765" cm="1">
        <f t="array" ref="AI765">IFERROR(IF(AH765&lt;0,0,AH765/($R$682-INDEX(hd_off,MATCH(AQ765,hd_mark,0),0)/12)),0)</f>
        <v>0</v>
      </c>
      <c r="AJ765">
        <f>MAX($F$25,$AC$682)/$Q$692</f>
        <v>0.29920977011494249</v>
      </c>
      <c r="AK765">
        <f t="shared" si="465"/>
        <v>1</v>
      </c>
      <c r="AL765" cm="1">
        <f t="array" ref="AL765">IFERROR(INDEX(sheath_ecap_asd,MATCH(AP765,sheath_mark,0),0)*AK765,0)</f>
        <v>0</v>
      </c>
      <c r="AM765" cm="1">
        <f t="array" ref="AM765">IFERROR(INDEX(sheath_wcap_asd,MATCH(AP765,sheath_mark,0),0)*AK765,0)</f>
        <v>0</v>
      </c>
      <c r="AN765" cm="1">
        <f t="array" ref="AN765">IFERROR(INDEX(hd_cap,MATCH(AQ765,hd_mark,0),0),0)</f>
        <v>0</v>
      </c>
      <c r="AP765" s="19"/>
      <c r="AQ765" s="19"/>
      <c r="AR765" s="100"/>
      <c r="AS765" s="93"/>
      <c r="AT765" s="109"/>
      <c r="AU765" t="str">
        <f>$Q$665</f>
        <v>Roof</v>
      </c>
      <c r="AV765">
        <f>$E$25</f>
        <v>33.171875</v>
      </c>
      <c r="AW765" cm="1">
        <f t="array" ref="AW765">IFERROR(IF(AV765=0,0,(INDEX($C$33:$C$38,MATCH($AZ$682,$B$33:$B$38,0),0)*(AV765+$BA$682)+$AY$682*$C$31)*$AU$682),0)</f>
        <v>0</v>
      </c>
      <c r="AX765">
        <f>IF(AV765=0,0,-$AY$682*$C$31*$H$27*$AU$682)</f>
        <v>0</v>
      </c>
      <c r="AY765">
        <f>IF(AV765=0,0,$AY$682*$H$26*$AU$682)</f>
        <v>0</v>
      </c>
      <c r="AZ765">
        <f>(0.6*AW765+0.7*AX765)*$AU$682/2</f>
        <v>0</v>
      </c>
      <c r="BA765">
        <f>AW765*$AU$682/2</f>
        <v>0</v>
      </c>
      <c r="BC765">
        <f>IF(AV765=0,0,$BG$682*$AP$665)</f>
        <v>0</v>
      </c>
      <c r="BD765">
        <f>IFERROR(BC765/$AU$682,0)</f>
        <v>0</v>
      </c>
      <c r="BE765">
        <f>BC765*($F$25+($C$16+$C$17+IF($C$13="single",1.5,3)+3)/12)</f>
        <v>0</v>
      </c>
      <c r="BF765">
        <f>BE765-AZ765</f>
        <v>0</v>
      </c>
      <c r="BG765" cm="1">
        <f t="array" ref="BG765">IFERROR(IF(BF765&lt;0,0,BF765/($AU$682-INDEX(hd_off,MATCH(BT765,hd_mark,0),0)/12)),0)</f>
        <v>0</v>
      </c>
      <c r="BH765">
        <f>IF(AV765=0,0,$BG$682*$AM$665)</f>
        <v>0</v>
      </c>
      <c r="BI765">
        <f>IFERROR(BH765/$AU$682,0)</f>
        <v>0</v>
      </c>
      <c r="BJ765">
        <f>BH765*($F$25+($C$16+$C$17+IF($C$13="single",1.5,3)+3)/12)</f>
        <v>0</v>
      </c>
      <c r="BK765">
        <f>BJ765-BA765</f>
        <v>0</v>
      </c>
      <c r="BL765" cm="1">
        <f t="array" ref="BL765">IFERROR(IF(BK765&lt;0,0,BK765/($AU$682-INDEX(hd_off,MATCH(BT765,hd_mark,0),0)/12)),0)</f>
        <v>0</v>
      </c>
      <c r="BM765">
        <f>MAX($F$25,$BF$682)/$Q$692</f>
        <v>0.29920977011494249</v>
      </c>
      <c r="BN765">
        <f t="shared" si="466"/>
        <v>1</v>
      </c>
      <c r="BO765" cm="1">
        <f t="array" ref="BO765">IFERROR(INDEX(sheath_ecap_asd,MATCH(BS765,sheath_mark,0),0)*BN765,0)</f>
        <v>0</v>
      </c>
      <c r="BP765" cm="1">
        <f t="array" ref="BP765">IFERROR(INDEX(sheath_wcap_asd,MATCH(BS765,sheath_mark,0),0)*BN765,0)</f>
        <v>0</v>
      </c>
      <c r="BQ765" cm="1">
        <f t="array" ref="BQ765">IFERROR(INDEX(hd_cap,MATCH(BT765,hd_mark,0),0),0)</f>
        <v>0</v>
      </c>
      <c r="BS765" s="19"/>
      <c r="BT765" s="19"/>
      <c r="BU765" s="100"/>
    </row>
    <row r="766" x14ac:dyDescent="0.25">
      <c r="P766" s="93"/>
      <c r="AR766" s="100"/>
      <c r="AS766" s="93"/>
      <c r="BU766" s="100"/>
    </row>
    <row r="767" x14ac:dyDescent="0.25">
      <c r="P767" s="93"/>
      <c r="Q767" s="110" t="str">
        <f>$Q$683</f>
        <v>A.14</v>
      </c>
      <c r="R767" t="str">
        <f>$Q$661</f>
        <v>L2</v>
      </c>
      <c r="S767">
        <f>$E$21</f>
        <v>10.6875</v>
      </c>
      <c r="T767" cm="1">
        <f t="array" ref="T767">IFERROR(IF(S767=0,0,(INDEX($C$33:$C$38,MATCH($W$683,$B$33:$B$38,0),0)*(S771+$X$683)+$T$683*COUNTIF(S767:S783,"&gt;0")*$C$32+$V$683*$C$31)*$R$683),0)</f>
        <v>0</v>
      </c>
      <c r="U767">
        <f>IF(S767=0,0,-(COUNTIF(S767:S783,"&gt;0")*$T$683*$C$32+$V$683*$C$31)*$H$27*$R$683)</f>
        <v>0</v>
      </c>
      <c r="V767">
        <f>IF(S767=0,0,$V$683*$H$26*$R$683)</f>
        <v>0</v>
      </c>
      <c r="W767">
        <f>(0.6*T767+0.7*U767)*$R$683/2</f>
        <v>0</v>
      </c>
      <c r="X767">
        <f>(0.6*T767+0.6*V767)*$R$683/2</f>
        <v>0</v>
      </c>
      <c r="Z767">
        <f>IF(S767=0,0,$AD$683*$AP$661)</f>
        <v>0</v>
      </c>
      <c r="AA767">
        <f>IFERROR(Z767/$R$683,0)</f>
        <v>0</v>
      </c>
      <c r="AB767">
        <f>Z767*($F$21+IF($F$21=0,0,($C$14+$C$15+IF($C$13="single",1.5,3)+3)/12))</f>
        <v>0</v>
      </c>
      <c r="AC767">
        <f>AB767-W767</f>
        <v>0</v>
      </c>
      <c r="AD767" cm="1">
        <f t="array" ref="AD767">IFERROR(IF(AC767&lt;0,0,AC767/($R$683-INDEX(hd_off,MATCH(AQ767,hd_mark,0),0)/12)),0)</f>
        <v>0</v>
      </c>
      <c r="AE767">
        <f>IF(S767=0,0,$AD$683*$AM$661)</f>
        <v>0</v>
      </c>
      <c r="AF767">
        <f>IFERROR(AE767/$R$683,0)</f>
        <v>0</v>
      </c>
      <c r="AG767">
        <f>AE767*($F$21+IF($F$21=0,0,($C$14+$C$15+IF($C$13="single",1.5,3)+3)/12))</f>
        <v>0</v>
      </c>
      <c r="AH767">
        <f>AG767-X767</f>
        <v>0</v>
      </c>
      <c r="AI767" cm="1">
        <f t="array" ref="AI767">IFERROR(IF(AH767&lt;0,0,AH767/($R$683-INDEX(hd_off,MATCH(AQ767,hd_mark,0),0)/12)),0)</f>
        <v>0</v>
      </c>
      <c r="AJ767">
        <f>MAX($F$21,$Y$683)/$Q$692</f>
        <v>0.30172413793103448</v>
      </c>
      <c r="AK767">
        <f>IF(AJ767=0,0,IF(AJ767&gt;2,1.25-0.125*AJ767,1))</f>
        <v>1</v>
      </c>
      <c r="AL767" cm="1">
        <f t="array" ref="AL767">IFERROR(INDEX(sheath_ecap_asd,MATCH(AP767,sheath_mark,0),0)*AK767,0)</f>
        <v>0</v>
      </c>
      <c r="AM767" cm="1">
        <f t="array" ref="AM767">IFERROR(INDEX(sheath_wcap_asd,MATCH(AP767,sheath_mark,0),0)*AK767,0)</f>
        <v>0</v>
      </c>
      <c r="AN767" cm="1">
        <f t="array" ref="AN767">IFERROR(INDEX(hd_cap,MATCH(AQ767,hd_mark,0),0),0)</f>
        <v>0</v>
      </c>
      <c r="AP767" s="19"/>
      <c r="AQ767" s="19"/>
      <c r="AR767" s="100"/>
      <c r="AS767" s="93"/>
      <c r="AT767" s="110" t="str">
        <f>$AT$683</f>
        <v>1.14</v>
      </c>
      <c r="AU767" t="str">
        <f>$Q$661</f>
        <v>L2</v>
      </c>
      <c r="AV767">
        <f>$E$21</f>
        <v>10.6875</v>
      </c>
      <c r="AW767" cm="1">
        <f t="array" ref="AW767">IFERROR(IF(AV767=0,0,(INDEX($C$33:$C$38,MATCH($AZ$683,$B$33:$B$38,0),0)*(AV771+$BA$683)+$AW$683*COUNTIF(AV767:AV783,"&gt;0")*$C$32+$AY$683*$C$31)*$AU$683),0)</f>
        <v>0</v>
      </c>
      <c r="AX767">
        <f>IF(AV767=0,0,-(COUNTIF(AV767:AV783,"&gt;0")*$AW$683*$C$32+$AY$683*$C$31)*$H$27*$AU$683)</f>
        <v>0</v>
      </c>
      <c r="AY767">
        <f>IF(AV767=0,0,$AY$683*$H$26*$AU$683)</f>
        <v>0</v>
      </c>
      <c r="AZ767">
        <f>(0.6*AW767+0.7*AX767)*$AU$683/2</f>
        <v>0</v>
      </c>
      <c r="BA767">
        <f>(0.6*AW767+0.6*AY767)*$AU$683/2</f>
        <v>0</v>
      </c>
      <c r="BC767">
        <f>IF(AV767=0,0,$BG$683*$AP$661)</f>
        <v>0</v>
      </c>
      <c r="BD767">
        <f>IFERROR(BC767/$AU$683,0)</f>
        <v>0</v>
      </c>
      <c r="BE767">
        <f>BC767*($F$21+IF($F$21=0,0,($C$14+$C$15+IF($C$13="single",1.5,3)+3)/12))</f>
        <v>0</v>
      </c>
      <c r="BF767">
        <f>BE767-AZ767</f>
        <v>0</v>
      </c>
      <c r="BG767" cm="1">
        <f t="array" ref="BG767">IFERROR(IF(BF767&lt;0,0,BF767/($AU$683-INDEX(hd_off,MATCH(BT767,hd_mark,0),0)/12)),0)</f>
        <v>0</v>
      </c>
      <c r="BH767">
        <f>IF(AV767=0,0,$BG$683*$AM$661)</f>
        <v>0</v>
      </c>
      <c r="BI767">
        <f>IFERROR(BH767/$AU$683,0)</f>
        <v>0</v>
      </c>
      <c r="BJ767">
        <f>BH767*($F$21+IF($F$21=0,0,($C$14+$C$15+IF($C$13="single",1.5,3)+3)/12))</f>
        <v>0</v>
      </c>
      <c r="BK767">
        <f>BJ767-BA767</f>
        <v>0</v>
      </c>
      <c r="BL767" cm="1">
        <f t="array" ref="BL767">IFERROR(IF(BK767&lt;0,0,BK767/($AU$683-INDEX(hd_off,MATCH(BT767,hd_mark,0),0)/12)),0)</f>
        <v>0</v>
      </c>
      <c r="BM767">
        <f>MAX($F$21,$BB$683)/$Q$692</f>
        <v>0.30172413793103448</v>
      </c>
      <c r="BN767">
        <f>IF(BM767=0,0,IF(BM767&gt;2,1.25-0.125*BM767,1))</f>
        <v>1</v>
      </c>
      <c r="BO767" cm="1">
        <f t="array" ref="BO767">IFERROR(INDEX(sheath_ecap_asd,MATCH(BS767,sheath_mark,0),0)*BN767,0)</f>
        <v>0</v>
      </c>
      <c r="BP767" cm="1">
        <f t="array" ref="BP767">IFERROR(INDEX(sheath_wcap_asd,MATCH(BS767,sheath_mark,0),0)*BN767,0)</f>
        <v>0</v>
      </c>
      <c r="BQ767" cm="1">
        <f t="array" ref="BQ767">IFERROR(INDEX(hd_cap,MATCH(BT767,hd_mark,0),0),0)</f>
        <v>0</v>
      </c>
      <c r="BS767" s="19"/>
      <c r="BT767" s="19"/>
      <c r="BU767" s="100"/>
    </row>
    <row r="768" x14ac:dyDescent="0.25">
      <c r="P768" s="93"/>
      <c r="Q768" s="109"/>
      <c r="R768" t="str">
        <f>$Q$662</f>
        <v>L3</v>
      </c>
      <c r="S768">
        <f>$E$22</f>
        <v>21.375</v>
      </c>
      <c r="T768" cm="1">
        <f t="array" ref="T768">IFERROR(IF(S768=0,0,(INDEX($C$33:$C$38,MATCH($W$683,$B$33:$B$38,0),0)*(S771+$X$683)+$T$683*COUNTIF(S768:S783,"&gt;0")*$C$32+$V$683*$C$31)*$R$683),0)</f>
        <v>0</v>
      </c>
      <c r="U768">
        <f>IF(S768=0,0,-(COUNTIF(S768:S783,"&gt;0")*$T$683*$C$32+$V$683*$C$31)*$H$27*$R$683)</f>
        <v>0</v>
      </c>
      <c r="V768">
        <f>IF(S768=0,0,$V$683*$H$26*$R$683)</f>
        <v>0</v>
      </c>
      <c r="W768">
        <f>(0.6*T768+0.7*U768)*$R$683/2</f>
        <v>0</v>
      </c>
      <c r="X768">
        <f>T768*$R$683/2</f>
        <v>0</v>
      </c>
      <c r="Z768">
        <f>IF(S768=0,0,$AD$683*$AP$662)</f>
        <v>0</v>
      </c>
      <c r="AA768">
        <f>IFERROR(Z768/$R$683,0)</f>
        <v>0</v>
      </c>
      <c r="AB768">
        <f>Z768*($F$22+IF($F$22=0,0,($C$14+$C$15+IF($C$13="single",1.5,3)+3)/12))</f>
        <v>0</v>
      </c>
      <c r="AC768">
        <f>AB768-W768</f>
        <v>0</v>
      </c>
      <c r="AD768" cm="1">
        <f t="array" ref="AD768">IFERROR(IF(AC768&lt;0,0,AC768/($R$683-INDEX(hd_off,MATCH(AQ768,hd_mark,0),0)/12)),0)</f>
        <v>0</v>
      </c>
      <c r="AE768">
        <f>IF(S768=0,0,$AD$683*$AM$662)</f>
        <v>0</v>
      </c>
      <c r="AF768">
        <f>IFERROR(AE768/$R$683,0)</f>
        <v>0</v>
      </c>
      <c r="AG768">
        <f>AE768*($F$22+IF($F$22=0,0,($C$14+$C$15+IF($C$13="single",1.5,3)+3)/12))</f>
        <v>0</v>
      </c>
      <c r="AH768">
        <f>AG768-X768</f>
        <v>0</v>
      </c>
      <c r="AI768" cm="1">
        <f t="array" ref="AI768">IFERROR(IF(AH768&lt;0,0,AH768/($R$683-INDEX(hd_off,MATCH(AQ768,hd_mark,0),0)/12)),0)</f>
        <v>0</v>
      </c>
      <c r="AJ768">
        <f>MAX($F$22,$Z$683)/$Q$692</f>
        <v>0.30172413793103448</v>
      </c>
      <c r="AK768">
        <f t="shared" ref="AK768:AK771" si="467">IF(AJ768=0,0,IF(AJ768&gt;2,1.25-0.125*AJ768,1))</f>
        <v>1</v>
      </c>
      <c r="AL768" cm="1">
        <f t="array" ref="AL768">IFERROR(INDEX(sheath_ecap_asd,MATCH(AP768,sheath_mark,0),0)*AK768,0)</f>
        <v>0</v>
      </c>
      <c r="AM768" cm="1">
        <f t="array" ref="AM768">IFERROR(INDEX(sheath_wcap_asd,MATCH(AP768,sheath_mark,0),0)*AK768,0)</f>
        <v>0</v>
      </c>
      <c r="AN768" cm="1">
        <f t="array" ref="AN768">IFERROR(INDEX(hd_cap,MATCH(AQ768,hd_mark,0),0),0)</f>
        <v>0</v>
      </c>
      <c r="AP768" s="19"/>
      <c r="AQ768" s="19"/>
      <c r="AR768" s="100"/>
      <c r="AS768" s="93"/>
      <c r="AT768" s="109"/>
      <c r="AU768" t="str">
        <f>$Q$662</f>
        <v>L3</v>
      </c>
      <c r="AV768">
        <f>$E$22</f>
        <v>21.375</v>
      </c>
      <c r="AW768" cm="1">
        <f t="array" ref="AW768">IFERROR(IF(AV768=0,0,(INDEX($C$33:$C$38,MATCH($AZ$683,$B$33:$B$38,0),0)*(AV771+$BA$683)+$AW$683*COUNTIF(AV768:AV783,"&gt;0")*$C$32+$AY$683*$C$31)*$AU$683),0)</f>
        <v>0</v>
      </c>
      <c r="AX768">
        <f>IF(AV768=0,0,-(COUNTIF(AV768:AV783,"&gt;0")*$AW$683*$C$32+$AY$683*$C$31)*$H$27*$AU$683)</f>
        <v>0</v>
      </c>
      <c r="AY768">
        <f>IF(AV768=0,0,$AY$683*$H$26*$AU$683)</f>
        <v>0</v>
      </c>
      <c r="AZ768">
        <f>(0.6*AW768+0.7*AX768)*$AU$683/2</f>
        <v>0</v>
      </c>
      <c r="BA768">
        <f>AW768*$AU$683/2</f>
        <v>0</v>
      </c>
      <c r="BC768">
        <f>IF(AV768=0,0,$BG$683*$AP$662)</f>
        <v>0</v>
      </c>
      <c r="BD768">
        <f>IFERROR(BC768/$AU$683,0)</f>
        <v>0</v>
      </c>
      <c r="BE768">
        <f>BC768*($F$22+IF($F$22=0,0,($C$14+$C$15+IF($C$13="single",1.5,3)+3)/12))</f>
        <v>0</v>
      </c>
      <c r="BF768">
        <f>BE768-AZ768</f>
        <v>0</v>
      </c>
      <c r="BG768" cm="1">
        <f t="array" ref="BG768">IFERROR(IF(BF768&lt;0,0,BF768/($AU$683-INDEX(hd_off,MATCH(BT768,hd_mark,0),0)/12)),0)</f>
        <v>0</v>
      </c>
      <c r="BH768">
        <f>IF(AV768=0,0,$BG$683*$AM$662)</f>
        <v>0</v>
      </c>
      <c r="BI768">
        <f>IFERROR(BH768/$AU$683,0)</f>
        <v>0</v>
      </c>
      <c r="BJ768">
        <f>BH768*($F$22+IF($F$22=0,0,($C$14+$C$15+IF($C$13="single",1.5,3)+3)/12))</f>
        <v>0</v>
      </c>
      <c r="BK768">
        <f>BJ768-BA768</f>
        <v>0</v>
      </c>
      <c r="BL768" cm="1">
        <f t="array" ref="BL768">IFERROR(IF(BK768&lt;0,0,BK768/($AU$683-INDEX(hd_off,MATCH(BT768,hd_mark,0),0)/12)),0)</f>
        <v>0</v>
      </c>
      <c r="BM768">
        <f>MAX($F$22,$BC$683)/$Q$692</f>
        <v>0.30172413793103448</v>
      </c>
      <c r="BN768">
        <f t="shared" ref="BN768:BN769" si="468">IF(BM768=0,0,IF(BM768&gt;2,1.25-0.125*BM768,1))</f>
        <v>1</v>
      </c>
      <c r="BO768" cm="1">
        <f t="array" ref="BO768">IFERROR(INDEX(sheath_ecap_asd,MATCH(BS768,sheath_mark,0),0)*BN768,0)</f>
        <v>0</v>
      </c>
      <c r="BP768" cm="1">
        <f t="array" ref="BP768">IFERROR(INDEX(sheath_wcap_asd,MATCH(BS768,sheath_mark,0),0)*BN768,0)</f>
        <v>0</v>
      </c>
      <c r="BQ768" cm="1">
        <f t="array" ref="BQ768">IFERROR(INDEX(hd_cap,MATCH(BT768,hd_mark,0),0),0)</f>
        <v>0</v>
      </c>
      <c r="BS768" s="19"/>
      <c r="BT768" s="19"/>
      <c r="BU768" s="100"/>
    </row>
    <row r="769" x14ac:dyDescent="0.25">
      <c r="P769" s="93"/>
      <c r="Q769" s="109" t="s">
        <v>491</v>
      </c>
      <c r="R769" t="str">
        <f>$Q$663</f>
        <v>L4</v>
      </c>
      <c r="S769">
        <f>$E$23</f>
        <v>0</v>
      </c>
      <c r="T769" cm="1">
        <f t="array" ref="T769">IFERROR(IF(S769=0,0,(INDEX($C$33:$C$38,MATCH($W$683,$B$33:$B$38,0),0)*(S771+$X$683)+$T$683*COUNTIF(S769:S783,"&gt;0")*$C$32+$V$683*$C$31)*$R$683),0)</f>
        <v>0</v>
      </c>
      <c r="U769">
        <f>IF(S769=0,0,-(COUNTIF(S769:S783,"&gt;0")*$T$683*$C$32+$V$683*$C$31)*$H$27*$R$683)</f>
        <v>0</v>
      </c>
      <c r="V769">
        <f>IF(S769=0,0,$V$683*$H$26*$R$683)</f>
        <v>0</v>
      </c>
      <c r="W769">
        <f>(0.6*T769+0.7*U769)*$R$683/2</f>
        <v>0</v>
      </c>
      <c r="X769">
        <f>T769*$R$683/2</f>
        <v>0</v>
      </c>
      <c r="Z769">
        <f>IF(S769=0,0,$AD$683*$AP$663)</f>
        <v>0</v>
      </c>
      <c r="AA769">
        <f>IFERROR(Z769/$R$683,0)</f>
        <v>0</v>
      </c>
      <c r="AB769">
        <f>Z769*($F$23+IF($F$23=0,0,($C$14+$C$15+IF($C$13="single",1.5,3)+3)/12))</f>
        <v>0</v>
      </c>
      <c r="AC769">
        <f>AB769-W769</f>
        <v>0</v>
      </c>
      <c r="AD769" cm="1">
        <f t="array" ref="AD769">IFERROR(IF(AC769&lt;0,0,AC769/($R$683-INDEX(hd_off,MATCH(AQ769,hd_mark,0),0)/12)),0)</f>
        <v>0</v>
      </c>
      <c r="AE769">
        <f>IF(S769=0,0,$AD$683*$AM$663)</f>
        <v>0</v>
      </c>
      <c r="AF769">
        <f>IFERROR(AE769/$R$683,0)</f>
        <v>0</v>
      </c>
      <c r="AG769">
        <f>AE769*($F$23+IF($F$23=0,0,($C$14+$C$15+IF($C$13="single",1.5,3)+3)/12))</f>
        <v>0</v>
      </c>
      <c r="AH769">
        <f>AG769-X769</f>
        <v>0</v>
      </c>
      <c r="AI769" cm="1">
        <f t="array" ref="AI769">IFERROR(IF(AH769&lt;0,0,AH769/($R$683-INDEX(hd_off,MATCH(AQ769,hd_mark,0),0)/12)),0)</f>
        <v>0</v>
      </c>
      <c r="AJ769">
        <f>MAX($F$23,$AA$683)/$Q$692</f>
        <v>0</v>
      </c>
      <c r="AK769">
        <f t="shared" si="467"/>
        <v>0</v>
      </c>
      <c r="AL769" cm="1">
        <f t="array" ref="AL769">IFERROR(INDEX(sheath_ecap_asd,MATCH(AP769,sheath_mark,0),0)*AK769,0)</f>
        <v>0</v>
      </c>
      <c r="AM769" cm="1">
        <f t="array" ref="AM769">IFERROR(INDEX(sheath_wcap_asd,MATCH(AP769,sheath_mark,0),0)*AK769,0)</f>
        <v>0</v>
      </c>
      <c r="AN769" cm="1">
        <f t="array" ref="AN769">IFERROR(INDEX(hd_cap,MATCH(AQ769,hd_mark,0),0),0)</f>
        <v>0</v>
      </c>
      <c r="AP769" s="19"/>
      <c r="AQ769" s="19"/>
      <c r="AR769" s="100"/>
      <c r="AS769" s="93"/>
      <c r="AT769" s="109" t="s">
        <v>491</v>
      </c>
      <c r="AU769" t="str">
        <f>$Q$663</f>
        <v>L4</v>
      </c>
      <c r="AV769">
        <f>$E$23</f>
        <v>0</v>
      </c>
      <c r="AW769" cm="1">
        <f t="array" ref="AW769">IFERROR(IF(AV769=0,0,(INDEX($C$33:$C$38,MATCH($AZ$683,$B$33:$B$38,0),0)*(AV771+$BA$683)+$AW$683*COUNTIF(AV769:AV783,"&gt;0")*$C$32+$AY$683*$C$31)*$AU$683),0)</f>
        <v>0</v>
      </c>
      <c r="AX769">
        <f>IF(AV769=0,0,-(COUNTIF(AV769:AV783,"&gt;0")*$AW$683*$C$32+$AY$683*$C$31)*$H$27*$AU$683)</f>
        <v>0</v>
      </c>
      <c r="AY769">
        <f>IF(AV769=0,0,$AY$683*$H$26*$AU$683)</f>
        <v>0</v>
      </c>
      <c r="AZ769">
        <f>(0.6*AW769+0.7*AX769)*$AU$683/2</f>
        <v>0</v>
      </c>
      <c r="BA769">
        <f>AW769*$AU$683/2</f>
        <v>0</v>
      </c>
      <c r="BC769">
        <f>IF(AV769=0,0,$BG$683*$AP$663)</f>
        <v>0</v>
      </c>
      <c r="BD769">
        <f>IFERROR(BC769/$AU$683,0)</f>
        <v>0</v>
      </c>
      <c r="BE769">
        <f>BC769*($F$23+IF($F$23=0,0,($C$14+$C$15+IF($C$13="single",1.5,3)+3)/12))</f>
        <v>0</v>
      </c>
      <c r="BF769">
        <f>BE769-AZ769</f>
        <v>0</v>
      </c>
      <c r="BG769" cm="1">
        <f t="array" ref="BG769">IFERROR(IF(BF769&lt;0,0,BF769/($AU$683-INDEX(hd_off,MATCH(BT769,hd_mark,0),0)/12)),0)</f>
        <v>0</v>
      </c>
      <c r="BH769">
        <f>IF(AV769=0,0,$BG$683*$AM$663)</f>
        <v>0</v>
      </c>
      <c r="BI769">
        <f>IFERROR(BH769/$AU$683,0)</f>
        <v>0</v>
      </c>
      <c r="BJ769">
        <f>BH769*($F$23+IF($F$23=0,0,($C$14+$C$15+IF($C$13="single",1.5,3)+3)/12))</f>
        <v>0</v>
      </c>
      <c r="BK769">
        <f>BJ769-BA769</f>
        <v>0</v>
      </c>
      <c r="BL769" cm="1">
        <f t="array" ref="BL769">IFERROR(IF(BK769&lt;0,0,BK769/($AU$683-INDEX(hd_off,MATCH(BT769,hd_mark,0),0)/12)),0)</f>
        <v>0</v>
      </c>
      <c r="BM769">
        <f>MAX($F$23,$BD$683)/$Q$692</f>
        <v>0</v>
      </c>
      <c r="BN769">
        <f t="shared" si="468"/>
        <v>0</v>
      </c>
      <c r="BO769" cm="1">
        <f t="array" ref="BO769">IFERROR(INDEX(sheath_ecap_asd,MATCH(BS769,sheath_mark,0),0)*BN769,0)</f>
        <v>0</v>
      </c>
      <c r="BP769" cm="1">
        <f t="array" ref="BP769">IFERROR(INDEX(sheath_wcap_asd,MATCH(BS769,sheath_mark,0),0)*BN769,0)</f>
        <v>0</v>
      </c>
      <c r="BQ769" cm="1">
        <f t="array" ref="BQ769">IFERROR(INDEX(hd_cap,MATCH(BT769,hd_mark,0),0),0)</f>
        <v>0</v>
      </c>
      <c r="BS769" s="19"/>
      <c r="BT769" s="19"/>
      <c r="BU769" s="100"/>
    </row>
    <row r="770" x14ac:dyDescent="0.25">
      <c r="P770" s="93"/>
      <c r="Q770" s="111">
        <f>$R$683</f>
        <v>0</v>
      </c>
      <c r="R770" t="str">
        <f>$Q$664</f>
        <v>L5</v>
      </c>
      <c r="S770">
        <f>$E$24</f>
        <v>0</v>
      </c>
      <c r="T770" cm="1">
        <f t="array" ref="T770">IFERROR(IF(S783=0,0,(INDEX($C$33:$C$38,MATCH($W$683,$B$33:$B$38,0),0)*(S771+$X$683)+$T$683*COUNTIF(S783:S783,"&gt;0")*$C$32+$V$683*$C$31)*$R$683),0)</f>
        <v>0</v>
      </c>
      <c r="U770">
        <f>IF(S783=0,0,-(COUNTIF(S783:S783,"&gt;0")*$T$683*$C$32+$V$683*$C$31)*$H$27*$R$683)</f>
        <v>0</v>
      </c>
      <c r="V770">
        <f>IF(S783=0,0,$V$683*$H$26*$R$683)</f>
        <v>0</v>
      </c>
      <c r="W770">
        <f>(0.6*T783+0.7*U783)*$R$683/2</f>
        <v>0</v>
      </c>
      <c r="X770">
        <f>T783*$R$683/2</f>
        <v>0</v>
      </c>
      <c r="Z770">
        <f>IF(S783=0,0,$AD$683*$AP$664)</f>
        <v>0</v>
      </c>
      <c r="AA770">
        <f>IFERROR(Z783/$R$683,0)</f>
        <v>0</v>
      </c>
      <c r="AB770">
        <f>Z783*($F$24+IF($F$24=0,0,($C$14+$C$15+IF($C$13="single",1.5,3)+3)/12))</f>
        <v>0</v>
      </c>
      <c r="AC770">
        <f>AB783-W783</f>
        <v>0</v>
      </c>
      <c r="AD770" cm="1">
        <f t="array" ref="AD770">IFERROR(IF(AC783&lt;0,0,AC783/($R$683-INDEX(hd_off,MATCH(AQ783,hd_mark,0),0)/12)),0)</f>
        <v>0</v>
      </c>
      <c r="AE770">
        <f>IF(S783=0,0,$AD$683*$AM$664)</f>
        <v>0</v>
      </c>
      <c r="AF770">
        <f>IFERROR(AE783/$R$683,0)</f>
        <v>0</v>
      </c>
      <c r="AG770">
        <f>AE783*($F$24+IF($F$24=0,0,($C$14+$C$15+IF($C$13="single",1.5,3)+3)/12))</f>
        <v>0</v>
      </c>
      <c r="AH770">
        <f>AG783-X783</f>
        <v>0</v>
      </c>
      <c r="AI770" cm="1">
        <f t="array" ref="AI770">IFERROR(IF(AH783&lt;0,0,AH783/($R$683-INDEX(hd_off,MATCH(AQ783,hd_mark,0),0)/12)),0)</f>
        <v>0</v>
      </c>
      <c r="AJ770">
        <f>MAX($F$24,$AB$683)/$Q$692</f>
        <v>0</v>
      </c>
      <c r="AK770">
        <f>IF(AJ783=0,0,IF(AJ783&gt;2,1.25-0.125*AJ783,1))</f>
        <v>1</v>
      </c>
      <c r="AL770" cm="1">
        <f t="array" ref="AL770">IFERROR(INDEX(sheath_ecap_asd,MATCH(AP783,sheath_mark,0),0)*AK783,0)</f>
        <v>0</v>
      </c>
      <c r="AM770" cm="1">
        <f t="array" ref="AM770">IFERROR(INDEX(sheath_wcap_asd,MATCH(AP783,sheath_mark,0),0)*AK783,0)</f>
        <v>0</v>
      </c>
      <c r="AN770" cm="1">
        <f t="array" ref="AN770">IFERROR(INDEX(hd_cap,MATCH(AQ783,hd_mark,0),0),0)</f>
        <v>0</v>
      </c>
      <c r="AP770" s="19"/>
      <c r="AQ770" s="19"/>
      <c r="AR770" s="100"/>
      <c r="AS770" s="93"/>
      <c r="AT770" s="111">
        <f>$R$683</f>
        <v>0</v>
      </c>
      <c r="AU770" t="str">
        <f>$Q$664</f>
        <v>L5</v>
      </c>
      <c r="AV770">
        <f>$E$24</f>
        <v>0</v>
      </c>
      <c r="AW770" cm="1">
        <f t="array" ref="AW770">IFERROR(IF(AV783=0,0,(INDEX($C$33:$C$38,MATCH($AZ$683,$B$33:$B$38,0),0)*(AV771+$BA$683)+$AW$683*COUNTIF(AV783:AV783,"&gt;0")*$C$32+$AY$683*$C$31)*$AU$683),0)</f>
        <v>0</v>
      </c>
      <c r="AX770">
        <f>IF(AV783=0,0,-(COUNTIF(AV783:AV783,"&gt;0")*$AW$683*$C$32+$AY$683*$C$31)*$H$27*$AU$683)</f>
        <v>0</v>
      </c>
      <c r="AY770">
        <f>IF(AV783=0,0,$AY$683*$H$26*$AU$683)</f>
        <v>0</v>
      </c>
      <c r="AZ770">
        <f>(0.6*AW783+0.7*AX783)*$AU$683/2</f>
        <v>0</v>
      </c>
      <c r="BA770">
        <f>AW783*$AU$683/2</f>
        <v>0</v>
      </c>
      <c r="BC770">
        <f>IF(AV783=0,0,$BG$683*$AP$664)</f>
        <v>0</v>
      </c>
      <c r="BD770">
        <f>IFERROR(BC783/$AU$683,0)</f>
        <v>0</v>
      </c>
      <c r="BE770">
        <f>BC783*($F$24+IF($F$24=0,0,($C$14+$C$15+IF($C$13="single",1.5,3)+3)/12))</f>
        <v>0</v>
      </c>
      <c r="BF770">
        <f>BE783-AZ783</f>
        <v>0</v>
      </c>
      <c r="BG770" cm="1">
        <f t="array" ref="BG770">IFERROR(IF(BF783&lt;0,0,BF783/($AU$683-INDEX(hd_off,MATCH(BT783,hd_mark,0),0)/12)),0)</f>
        <v>0</v>
      </c>
      <c r="BH770">
        <f>IF(AV783=0,0,$BG$683*$AM$664)</f>
        <v>0</v>
      </c>
      <c r="BI770">
        <f>IFERROR(BH783/$AU$683,0)</f>
        <v>0</v>
      </c>
      <c r="BJ770">
        <f>BH783*($F$24+IF($F$24=0,0,($C$14+$C$15+IF($C$13="single",1.5,3)+3)/12))</f>
        <v>0</v>
      </c>
      <c r="BK770">
        <f>BJ783-BA783</f>
        <v>0</v>
      </c>
      <c r="BL770" cm="1">
        <f t="array" ref="BL770">IFERROR(IF(BK783&lt;0,0,BK783/($AU$683-INDEX(hd_off,MATCH(BT783,hd_mark,0),0)/12)),0)</f>
        <v>0</v>
      </c>
      <c r="BM770">
        <f>MAX($F$24,$BE$683)/$Q$692</f>
        <v>0</v>
      </c>
      <c r="BN770">
        <f>IF(BM783=0,0,IF(BM783&gt;2,1.25-0.125*BM783,1))</f>
        <v>0</v>
      </c>
      <c r="BO770" cm="1">
        <f t="array" ref="BO770">IFERROR(INDEX(sheath_ecap_asd,MATCH(BS783,sheath_mark,0),0)*BN783,0)</f>
        <v>0</v>
      </c>
      <c r="BP770" cm="1">
        <f t="array" ref="BP770">IFERROR(INDEX(sheath_wcap_asd,MATCH(BS783,sheath_mark,0),0)*BN783,0)</f>
        <v>0</v>
      </c>
      <c r="BQ770" cm="1">
        <f t="array" ref="BQ770">IFERROR(INDEX(hd_cap,MATCH(BT783,hd_mark,0),0),0)</f>
        <v>0</v>
      </c>
      <c r="BS770" s="19"/>
      <c r="BT770" s="19"/>
      <c r="BU770" s="100"/>
    </row>
    <row r="771" x14ac:dyDescent="0.25">
      <c r="P771" s="93"/>
      <c r="Q771" s="109"/>
      <c r="R771" t="str">
        <f>$Q$665</f>
        <v>Roof</v>
      </c>
      <c r="S771">
        <f>$E$25</f>
        <v>33.171875</v>
      </c>
      <c r="T771" cm="1">
        <f t="array" ref="T771">IFERROR(IF(S771=0,0,(INDEX($C$33:$C$38,MATCH($W$683,$B$33:$B$38,0),0)*(S771+$X$683)+$V$683*$C$31)*$R$683),0)</f>
        <v>0</v>
      </c>
      <c r="U771">
        <f>IF(S771=0,0,-$V$683*$C$31*$H$27*$R$683)</f>
        <v>0</v>
      </c>
      <c r="V771">
        <f>IF(S771=0,0,$V$683*$H$26*$R$683)</f>
        <v>0</v>
      </c>
      <c r="W771">
        <f>(0.6*T771+0.7*U771)*$R$683/2</f>
        <v>0</v>
      </c>
      <c r="X771">
        <f>T771*$R$683/2</f>
        <v>0</v>
      </c>
      <c r="Z771">
        <f>IF(S771=0,0,$AD$683*$AP$665)</f>
        <v>0</v>
      </c>
      <c r="AA771">
        <f>IFERROR(Z771/$R$683,0)</f>
        <v>0</v>
      </c>
      <c r="AB771">
        <f>Z771*($F$25+($C$16+$C$17+IF($C$13="single",1.5,3)+3)/12)</f>
        <v>0</v>
      </c>
      <c r="AC771">
        <f>AB771-W771</f>
        <v>0</v>
      </c>
      <c r="AD771" cm="1">
        <f t="array" ref="AD771">IFERROR(IF(AC771&lt;0,0,AC771/($R$683-INDEX(hd_off,MATCH(AQ771,hd_mark,0),0)/12)),0)</f>
        <v>0</v>
      </c>
      <c r="AE771">
        <f>IF(S771=0,0,$AD$683*$AM$665)</f>
        <v>0</v>
      </c>
      <c r="AF771">
        <f>IFERROR(AE771/$R$683,0)</f>
        <v>0</v>
      </c>
      <c r="AG771">
        <f>AE771*($F$25+($C$16+$C$17+IF($C$13="single",1.5,3)+3)/12)</f>
        <v>0</v>
      </c>
      <c r="AH771">
        <f>AG771-X771</f>
        <v>0</v>
      </c>
      <c r="AI771" cm="1">
        <f t="array" ref="AI771">IFERROR(IF(AH771&lt;0,0,AH771/($R$683-INDEX(hd_off,MATCH(AQ771,hd_mark,0),0)/12)),0)</f>
        <v>0</v>
      </c>
      <c r="AJ771">
        <f>MAX($F$25,$AC$683)/$Q$692</f>
        <v>0.29920977011494249</v>
      </c>
      <c r="AK771">
        <f t="shared" si="467"/>
        <v>1</v>
      </c>
      <c r="AL771" cm="1">
        <f t="array" ref="AL771">IFERROR(INDEX(sheath_ecap_asd,MATCH(AP771,sheath_mark,0),0)*AK771,0)</f>
        <v>0</v>
      </c>
      <c r="AM771" cm="1">
        <f t="array" ref="AM771">IFERROR(INDEX(sheath_wcap_asd,MATCH(AP771,sheath_mark,0),0)*AK771,0)</f>
        <v>0</v>
      </c>
      <c r="AN771" cm="1">
        <f t="array" ref="AN771">IFERROR(INDEX(hd_cap,MATCH(AQ771,hd_mark,0),0),0)</f>
        <v>0</v>
      </c>
      <c r="AP771" s="19"/>
      <c r="AQ771" s="19"/>
      <c r="AR771" s="100"/>
      <c r="AS771" s="93"/>
      <c r="AT771" s="109"/>
      <c r="AU771" t="str">
        <f>$Q$665</f>
        <v>Roof</v>
      </c>
      <c r="AV771">
        <f>$E$25</f>
        <v>33.171875</v>
      </c>
      <c r="AW771" cm="1">
        <f t="array" ref="AW771">IFERROR(IF(AV771=0,0,(INDEX($C$33:$C$38,MATCH($AZ$683,$B$33:$B$38,0),0)*(AV771+$BA$683)+$AY$683*$C$31)*$AU$683),0)</f>
        <v>0</v>
      </c>
      <c r="AX771">
        <f>IF(AV771=0,0,-$AY$683*$C$31*$H$27*$AU$683)</f>
        <v>0</v>
      </c>
      <c r="AY771">
        <f>IF(AV771=0,0,$AY$683*$H$26*$AU$683)</f>
        <v>0</v>
      </c>
      <c r="AZ771">
        <f>(0.6*AW771+0.7*AX771)*$AU$683/2</f>
        <v>0</v>
      </c>
      <c r="BA771">
        <f>AW771*$AU$683/2</f>
        <v>0</v>
      </c>
      <c r="BC771">
        <f>IF(AV771=0,0,$BG$683*$AP$665)</f>
        <v>0</v>
      </c>
      <c r="BD771">
        <f>IFERROR(BC771/$AU$683,0)</f>
        <v>0</v>
      </c>
      <c r="BE771">
        <f>BC771*($F$25+($C$16+$C$17+IF($C$13="single",1.5,3)+3)/12)</f>
        <v>0</v>
      </c>
      <c r="BF771">
        <f>BE771-AZ771</f>
        <v>0</v>
      </c>
      <c r="BG771" cm="1">
        <f t="array" ref="BG771">IFERROR(IF(BF771&lt;0,0,BF771/($AU$683-INDEX(hd_off,MATCH(BT771,hd_mark,0),0)/12)),0)</f>
        <v>0</v>
      </c>
      <c r="BH771">
        <f>IF(AV771=0,0,$BG$683*$AM$665)</f>
        <v>0</v>
      </c>
      <c r="BI771">
        <f>IFERROR(BH771/$AU$683,0)</f>
        <v>0</v>
      </c>
      <c r="BJ771">
        <f>BH771*($F$25+($C$16+$C$17+IF($C$13="single",1.5,3)+3)/12)</f>
        <v>0</v>
      </c>
      <c r="BK771">
        <f>BJ771-BA771</f>
        <v>0</v>
      </c>
      <c r="BL771" cm="1">
        <f t="array" ref="BL771">IFERROR(IF(BK771&lt;0,0,BK771/($AU$683-INDEX(hd_off,MATCH(BT771,hd_mark,0),0)/12)),0)</f>
        <v>0</v>
      </c>
      <c r="BM771">
        <f>MAX($F$25,$BF$683)/$Q$692</f>
        <v>0.29920977011494249</v>
      </c>
      <c r="BN771">
        <f t="shared" ref="BN771" si="469">IF(BM771=0,0,IF(BM771&gt;2,1.25-0.125*BM771,1))</f>
        <v>1</v>
      </c>
      <c r="BO771" cm="1">
        <f t="array" ref="BO771">IFERROR(INDEX(sheath_ecap_asd,MATCH(BS771,sheath_mark,0),0)*BN771,0)</f>
        <v>0</v>
      </c>
      <c r="BP771" cm="1">
        <f t="array" ref="BP771">IFERROR(INDEX(sheath_wcap_asd,MATCH(BS771,sheath_mark,0),0)*BN771,0)</f>
        <v>0</v>
      </c>
      <c r="BQ771" cm="1">
        <f t="array" ref="BQ771">IFERROR(INDEX(hd_cap,MATCH(BT771,hd_mark,0),0),0)</f>
        <v>0</v>
      </c>
      <c r="BS771" s="19"/>
      <c r="BT771" s="19"/>
      <c r="BU771" s="100"/>
    </row>
    <row r="772" x14ac:dyDescent="0.25">
      <c r="P772" s="93"/>
      <c r="AR772" s="100"/>
      <c r="AS772" s="93"/>
      <c r="BU772" s="100"/>
    </row>
    <row r="773" x14ac:dyDescent="0.25">
      <c r="P773" s="93"/>
      <c r="Q773" s="110" t="str">
        <f>$Q$684</f>
        <v>A.15</v>
      </c>
      <c r="R773" t="str">
        <f>$Q$661</f>
        <v>L2</v>
      </c>
      <c r="S773">
        <f>$E$21</f>
        <v>10.6875</v>
      </c>
      <c r="T773" cm="1">
        <f t="array" ref="T773">IFERROR(IF(S773=0,0,(INDEX($C$33:$C$38,MATCH($W$684,$B$33:$B$38,0),0)*(S777+$X$684)+$T$684*COUNTIF(S773:S776,"&gt;0")*$C$32+$V$684*$C$31)*$R$684),0)</f>
        <v>0</v>
      </c>
      <c r="U773">
        <f>IF(S773=0,0,-(COUNTIF(S773:S776,"&gt;0")*$T$684*$C$32+$V$684*$C$31)*$H$27*$R$684)</f>
        <v>0</v>
      </c>
      <c r="V773">
        <f>IF(S773=0,0,$V$684*$H$26*$R$684)</f>
        <v>0</v>
      </c>
      <c r="W773">
        <f>(0.6*T773+0.7*U773)*$R$684/2</f>
        <v>0</v>
      </c>
      <c r="X773">
        <f>(0.6*T773+0.6*V773)*$R$684/2</f>
        <v>0</v>
      </c>
      <c r="Z773">
        <f>IF(S773=0,0,$AD$684*$AP$661)</f>
        <v>0</v>
      </c>
      <c r="AA773">
        <f>IFERROR(Z773/$R$684,0)</f>
        <v>0</v>
      </c>
      <c r="AB773">
        <f>Z773*($F$21+IF($F$21=0,0,($C$14+$C$15+IF($C$13="single",1.5,3)+3)/12))</f>
        <v>0</v>
      </c>
      <c r="AC773">
        <f>AB773-W773</f>
        <v>0</v>
      </c>
      <c r="AD773" cm="1">
        <f t="array" ref="AD773">IFERROR(IF(AC773&lt;0,0,AC773/($R$684-INDEX(hd_off,MATCH(AQ773,hd_mark,0),0)/12)),0)</f>
        <v>0</v>
      </c>
      <c r="AE773">
        <f>IF(S773=0,0,$AD$684*$AM$661)</f>
        <v>0</v>
      </c>
      <c r="AF773">
        <f>IFERROR(AE773/$R$684,0)</f>
        <v>0</v>
      </c>
      <c r="AG773">
        <f>AE773*($F$21+IF($F$21=0,0,($C$14+$C$15+IF($C$13="single",1.5,3)+3)/12))</f>
        <v>0</v>
      </c>
      <c r="AH773">
        <f>AG773-X773</f>
        <v>0</v>
      </c>
      <c r="AI773" cm="1">
        <f t="array" ref="AI773">IFERROR(IF(AH773&lt;0,0,AH773/($R$684-INDEX(hd_off,MATCH(AQ773,hd_mark,0),0)/12)),0)</f>
        <v>0</v>
      </c>
      <c r="AJ773">
        <f>MAX($F$21,$Y$684)/$Q$692</f>
        <v>0.30172413793103448</v>
      </c>
      <c r="AK773">
        <f>IF(AJ773=0,0,IF(AJ773&gt;2,1.25-0.125*AJ773,1))</f>
        <v>1</v>
      </c>
      <c r="AL773" cm="1">
        <f t="array" ref="AL773">IFERROR(INDEX(sheath_ecap_asd,MATCH(AP773,sheath_mark,0),0)*AK773,0)</f>
        <v>0</v>
      </c>
      <c r="AM773" cm="1">
        <f t="array" ref="AM773">IFERROR(INDEX(sheath_wcap_asd,MATCH(AP773,sheath_mark,0),0)*AK773,0)</f>
        <v>0</v>
      </c>
      <c r="AN773" cm="1">
        <f t="array" ref="AN773">IFERROR(INDEX(hd_cap,MATCH(AQ773,hd_mark,0),0),0)</f>
        <v>0</v>
      </c>
      <c r="AP773" s="19"/>
      <c r="AQ773" s="19"/>
      <c r="AR773" s="100"/>
      <c r="AS773" s="93"/>
      <c r="AT773" s="110" t="str">
        <f>$AT$684</f>
        <v>1.15</v>
      </c>
      <c r="AU773" t="str">
        <f>$Q$661</f>
        <v>L2</v>
      </c>
      <c r="AV773">
        <f>$E$21</f>
        <v>10.6875</v>
      </c>
      <c r="AW773" cm="1">
        <f t="array" ref="AW773">IFERROR(IF(AV773=0,0,(INDEX($C$33:$C$38,MATCH($AZ$684,$B$33:$B$38,0),0)*(AV777+$BA$684)+$AW$684*COUNTIF(AV773:AV776,"&gt;0")*$C$32+$AY$684*$C$31)*$AU$684),0)</f>
        <v>0</v>
      </c>
      <c r="AX773">
        <f>IF(AV773=0,0,-(COUNTIF(AV773:AV776,"&gt;0")*$AW$684*$C$32+$AY$684*$C$31)*$H$27*$AU$684)</f>
        <v>0</v>
      </c>
      <c r="AY773">
        <f>IF(AV773=0,0,$AY$684*$H$26*$AU$684)</f>
        <v>0</v>
      </c>
      <c r="AZ773">
        <f>(0.6*AW773+0.7*AX773)*$AU$684/2</f>
        <v>0</v>
      </c>
      <c r="BA773">
        <f>(0.6*AW773+0.6*AY773)*$AU$684/2</f>
        <v>0</v>
      </c>
      <c r="BC773">
        <f>IF(AV773=0,0,$BG$684*$AP$661)</f>
        <v>0</v>
      </c>
      <c r="BD773">
        <f>IFERROR(BC773/$AU$684,0)</f>
        <v>0</v>
      </c>
      <c r="BE773">
        <f>BC773*($F$21+IF($F$21=0,0,($C$14+$C$15+IF($C$13="single",1.5,3)+3)/12))</f>
        <v>0</v>
      </c>
      <c r="BF773">
        <f>BE773-AZ773</f>
        <v>0</v>
      </c>
      <c r="BG773" cm="1">
        <f t="array" ref="BG773">IFERROR(IF(BF773&lt;0,0,BF773/($AU$684-INDEX(hd_off,MATCH(BT773,hd_mark,0),0)/12)),0)</f>
        <v>0</v>
      </c>
      <c r="BH773">
        <f>IF(AV773=0,0,$BG$684*$AM$661)</f>
        <v>0</v>
      </c>
      <c r="BI773">
        <f>IFERROR(BH773/$AU$684,0)</f>
        <v>0</v>
      </c>
      <c r="BJ773">
        <f>BH773*($F$21+IF($F$21=0,0,($C$14+$C$15+IF($C$13="single",1.5,3)+3)/12))</f>
        <v>0</v>
      </c>
      <c r="BK773">
        <f>BJ773-BA773</f>
        <v>0</v>
      </c>
      <c r="BL773" cm="1">
        <f t="array" ref="BL773">IFERROR(IF(BK773&lt;0,0,BK773/($AU$684-INDEX(hd_off,MATCH(BT773,hd_mark,0),0)/12)),0)</f>
        <v>0</v>
      </c>
      <c r="BM773">
        <f>MAX($F$21,$BB$684)/$Q$692</f>
        <v>0.30172413793103448</v>
      </c>
      <c r="BN773">
        <f>IF(BM773=0,0,IF(BM773&gt;2,1.25-0.125*BM773,1))</f>
        <v>1</v>
      </c>
      <c r="BO773" cm="1">
        <f t="array" ref="BO773">IFERROR(INDEX(sheath_ecap_asd,MATCH(BS773,sheath_mark,0),0)*BN773,0)</f>
        <v>0</v>
      </c>
      <c r="BP773" cm="1">
        <f t="array" ref="BP773">IFERROR(INDEX(sheath_wcap_asd,MATCH(BS773,sheath_mark,0),0)*BN773,0)</f>
        <v>0</v>
      </c>
      <c r="BQ773" cm="1">
        <f t="array" ref="BQ773">IFERROR(INDEX(hd_cap,MATCH(BT773,hd_mark,0),0),0)</f>
        <v>0</v>
      </c>
      <c r="BS773" s="19"/>
      <c r="BT773" s="19"/>
      <c r="BU773" s="100"/>
    </row>
    <row r="774" x14ac:dyDescent="0.25">
      <c r="P774" s="93"/>
      <c r="Q774" s="109"/>
      <c r="R774" t="str">
        <f>$Q$662</f>
        <v>L3</v>
      </c>
      <c r="S774">
        <f>$E$22</f>
        <v>21.375</v>
      </c>
      <c r="T774" cm="1">
        <f t="array" ref="T774">IFERROR(IF(S774=0,0,(INDEX($C$33:$C$38,MATCH($W$684,$B$33:$B$38,0),0)*(S777+$X$684)+$T$684*COUNTIF(S774:S776,"&gt;0")*$C$32+$V$684*$C$31)*$R$684),0)</f>
        <v>0</v>
      </c>
      <c r="U774">
        <f>IF(S774=0,0,-(COUNTIF(S774:S776,"&gt;0")*$T$684*$C$32+$V$684*$C$31)*$H$27*$R$684)</f>
        <v>0</v>
      </c>
      <c r="V774">
        <f>IF(S774=0,0,$V$684*$H$26*$R$684)</f>
        <v>0</v>
      </c>
      <c r="W774">
        <f>(0.6*T774+0.7*U774)*$R$684/2</f>
        <v>0</v>
      </c>
      <c r="X774">
        <f>T774*$R$684/2</f>
        <v>0</v>
      </c>
      <c r="Z774">
        <f>IF(S774=0,0,$AD$684*$AP$662)</f>
        <v>0</v>
      </c>
      <c r="AA774">
        <f>IFERROR(Z774/$R$684,0)</f>
        <v>0</v>
      </c>
      <c r="AB774">
        <f>Z774*($F$22+IF($F$22=0,0,($C$14+$C$15+IF($C$13="single",1.5,3)+3)/12))</f>
        <v>0</v>
      </c>
      <c r="AC774">
        <f>AB774-W774</f>
        <v>0</v>
      </c>
      <c r="AD774" cm="1">
        <f t="array" ref="AD774">IFERROR(IF(AC774&lt;0,0,AC774/($R$684-INDEX(hd_off,MATCH(AQ774,hd_mark,0),0)/12)),0)</f>
        <v>0</v>
      </c>
      <c r="AE774">
        <f>IF(S774=0,0,$AD$684*$AM$662)</f>
        <v>0</v>
      </c>
      <c r="AF774">
        <f>IFERROR(AE774/$R$684,0)</f>
        <v>0</v>
      </c>
      <c r="AG774">
        <f>AE774*($F$22+IF($F$22=0,0,($C$14+$C$15+IF($C$13="single",1.5,3)+3)/12))</f>
        <v>0</v>
      </c>
      <c r="AH774">
        <f>AG774-X774</f>
        <v>0</v>
      </c>
      <c r="AI774" cm="1">
        <f t="array" ref="AI774">IFERROR(IF(AH774&lt;0,0,AH774/($R$684-INDEX(hd_off,MATCH(AQ774,hd_mark,0),0)/12)),0)</f>
        <v>0</v>
      </c>
      <c r="AJ774">
        <f>MAX($F$22,$Z$684)/$Q$692</f>
        <v>0.30172413793103448</v>
      </c>
      <c r="AK774">
        <f t="shared" ref="AK774:AK777" si="470">IF(AJ774=0,0,IF(AJ774&gt;2,1.25-0.125*AJ774,1))</f>
        <v>1</v>
      </c>
      <c r="AL774" cm="1">
        <f t="array" ref="AL774">IFERROR(INDEX(sheath_ecap_asd,MATCH(AP774,sheath_mark,0),0)*AK774,0)</f>
        <v>0</v>
      </c>
      <c r="AM774" cm="1">
        <f t="array" ref="AM774">IFERROR(INDEX(sheath_wcap_asd,MATCH(AP774,sheath_mark,0),0)*AK774,0)</f>
        <v>0</v>
      </c>
      <c r="AN774" cm="1">
        <f t="array" ref="AN774">IFERROR(INDEX(hd_cap,MATCH(AQ774,hd_mark,0),0),0)</f>
        <v>0</v>
      </c>
      <c r="AP774" s="19"/>
      <c r="AQ774" s="19"/>
      <c r="AR774" s="100"/>
      <c r="AS774" s="93"/>
      <c r="AT774" s="109"/>
      <c r="AU774" t="str">
        <f>$Q$662</f>
        <v>L3</v>
      </c>
      <c r="AV774">
        <f>$E$22</f>
        <v>21.375</v>
      </c>
      <c r="AW774" cm="1">
        <f t="array" ref="AW774">IFERROR(IF(AV774=0,0,(INDEX($C$33:$C$38,MATCH($AZ$684,$B$33:$B$38,0),0)*(AV777+$BA$684)+$AW$684*COUNTIF(AV774:AV776,"&gt;0")*$C$32+$AY$684*$C$31)*$AU$684),0)</f>
        <v>0</v>
      </c>
      <c r="AX774">
        <f>IF(AV774=0,0,-(COUNTIF(AV774:AV776,"&gt;0")*$AW$684*$C$32+$AY$684*$C$31)*$H$27*$AU$684)</f>
        <v>0</v>
      </c>
      <c r="AY774">
        <f>IF(AV774=0,0,$AY$684*$H$26*$AU$684)</f>
        <v>0</v>
      </c>
      <c r="AZ774">
        <f>(0.6*AW774+0.7*AX774)*$AU$684/2</f>
        <v>0</v>
      </c>
      <c r="BA774">
        <f>AW774*$AU$684/2</f>
        <v>0</v>
      </c>
      <c r="BC774">
        <f>IF(AV774=0,0,$BG$684*$AP$662)</f>
        <v>0</v>
      </c>
      <c r="BD774">
        <f>IFERROR(BC774/$AU$684,0)</f>
        <v>0</v>
      </c>
      <c r="BE774">
        <f>BC774*($F$22+IF($F$22=0,0,($C$14+$C$15+IF($C$13="single",1.5,3)+3)/12))</f>
        <v>0</v>
      </c>
      <c r="BF774">
        <f>BE774-AZ774</f>
        <v>0</v>
      </c>
      <c r="BG774" cm="1">
        <f t="array" ref="BG774">IFERROR(IF(BF774&lt;0,0,BF774/($AU$684-INDEX(hd_off,MATCH(BT774,hd_mark,0),0)/12)),0)</f>
        <v>0</v>
      </c>
      <c r="BH774">
        <f>IF(AV774=0,0,$BG$684*$AM$662)</f>
        <v>0</v>
      </c>
      <c r="BI774">
        <f>IFERROR(BH774/$AU$684,0)</f>
        <v>0</v>
      </c>
      <c r="BJ774">
        <f>BH774*($F$22+IF($F$22=0,0,($C$14+$C$15+IF($C$13="single",1.5,3)+3)/12))</f>
        <v>0</v>
      </c>
      <c r="BK774">
        <f>BJ774-BA774</f>
        <v>0</v>
      </c>
      <c r="BL774" cm="1">
        <f t="array" ref="BL774">IFERROR(IF(BK774&lt;0,0,BK774/($AU$684-INDEX(hd_off,MATCH(BT774,hd_mark,0),0)/12)),0)</f>
        <v>0</v>
      </c>
      <c r="BM774">
        <f>MAX($F$22,$BC$684)/$Q$692</f>
        <v>0.30172413793103448</v>
      </c>
      <c r="BN774">
        <f t="shared" ref="BN774:BN777" si="471">IF(BM774=0,0,IF(BM774&gt;2,1.25-0.125*BM774,1))</f>
        <v>1</v>
      </c>
      <c r="BO774" cm="1">
        <f t="array" ref="BO774">IFERROR(INDEX(sheath_ecap_asd,MATCH(BS774,sheath_mark,0),0)*BN774,0)</f>
        <v>0</v>
      </c>
      <c r="BP774" cm="1">
        <f t="array" ref="BP774">IFERROR(INDEX(sheath_wcap_asd,MATCH(BS774,sheath_mark,0),0)*BN774,0)</f>
        <v>0</v>
      </c>
      <c r="BQ774" cm="1">
        <f t="array" ref="BQ774">IFERROR(INDEX(hd_cap,MATCH(BT774,hd_mark,0),0),0)</f>
        <v>0</v>
      </c>
      <c r="BS774" s="19"/>
      <c r="BT774" s="19"/>
      <c r="BU774" s="100"/>
    </row>
    <row r="775" x14ac:dyDescent="0.25">
      <c r="P775" s="93"/>
      <c r="Q775" s="109" t="s">
        <v>491</v>
      </c>
      <c r="R775" t="str">
        <f>$Q$663</f>
        <v>L4</v>
      </c>
      <c r="S775">
        <f>$E$23</f>
        <v>0</v>
      </c>
      <c r="T775" cm="1">
        <f t="array" ref="T775">IFERROR(IF(S775=0,0,(INDEX($C$33:$C$38,MATCH($W$684,$B$33:$B$38,0),0)*(S777+$X$684)+$T$684*COUNTIF(S775:S776,"&gt;0")*$C$32+$V$684*$C$31)*$R$684),0)</f>
        <v>0</v>
      </c>
      <c r="U775">
        <f>IF(S775=0,0,-(COUNTIF(S775:S776,"&gt;0")*$T$684*$C$32+$V$684*$C$31)*$H$27*$R$684)</f>
        <v>0</v>
      </c>
      <c r="V775">
        <f>IF(S775=0,0,$V$684*$H$26*$R$684)</f>
        <v>0</v>
      </c>
      <c r="W775">
        <f>(0.6*T775+0.7*U775)*$R$684/2</f>
        <v>0</v>
      </c>
      <c r="X775">
        <f>T775*$R$684/2</f>
        <v>0</v>
      </c>
      <c r="Z775">
        <f>IF(S775=0,0,$AD$684*$AP$663)</f>
        <v>0</v>
      </c>
      <c r="AA775">
        <f>IFERROR(Z775/$R$684,0)</f>
        <v>0</v>
      </c>
      <c r="AB775">
        <f>Z775*($F$23+IF($F$23=0,0,($C$14+$C$15+IF($C$13="single",1.5,3)+3)/12))</f>
        <v>0</v>
      </c>
      <c r="AC775">
        <f>AB775-W775</f>
        <v>0</v>
      </c>
      <c r="AD775" cm="1">
        <f t="array" ref="AD775">IFERROR(IF(AC775&lt;0,0,AC775/($R$684-INDEX(hd_off,MATCH(AQ775,hd_mark,0),0)/12)),0)</f>
        <v>0</v>
      </c>
      <c r="AE775">
        <f>IF(S775=0,0,$AD$684*$AM$663)</f>
        <v>0</v>
      </c>
      <c r="AF775">
        <f>IFERROR(AE775/$R$684,0)</f>
        <v>0</v>
      </c>
      <c r="AG775">
        <f>AE775*($F$23+IF($F$23=0,0,($C$14+$C$15+IF($C$13="single",1.5,3)+3)/12))</f>
        <v>0</v>
      </c>
      <c r="AH775">
        <f>AG775-X775</f>
        <v>0</v>
      </c>
      <c r="AI775" cm="1">
        <f t="array" ref="AI775">IFERROR(IF(AH775&lt;0,0,AH775/($R$684-INDEX(hd_off,MATCH(AQ775,hd_mark,0),0)/12)),0)</f>
        <v>0</v>
      </c>
      <c r="AJ775">
        <f>MAX($F$23,$AA$684)/$Q$692</f>
        <v>0</v>
      </c>
      <c r="AK775">
        <f t="shared" si="470"/>
        <v>0</v>
      </c>
      <c r="AL775" cm="1">
        <f t="array" ref="AL775">IFERROR(INDEX(sheath_ecap_asd,MATCH(AP775,sheath_mark,0),0)*AK775,0)</f>
        <v>0</v>
      </c>
      <c r="AM775" cm="1">
        <f t="array" ref="AM775">IFERROR(INDEX(sheath_wcap_asd,MATCH(AP775,sheath_mark,0),0)*AK775,0)</f>
        <v>0</v>
      </c>
      <c r="AN775" cm="1">
        <f t="array" ref="AN775">IFERROR(INDEX(hd_cap,MATCH(AQ775,hd_mark,0),0),0)</f>
        <v>0</v>
      </c>
      <c r="AP775" s="19"/>
      <c r="AQ775" s="19"/>
      <c r="AR775" s="100"/>
      <c r="AS775" s="93"/>
      <c r="AT775" s="109" t="s">
        <v>491</v>
      </c>
      <c r="AU775" t="str">
        <f>$Q$663</f>
        <v>L4</v>
      </c>
      <c r="AV775">
        <f>$E$23</f>
        <v>0</v>
      </c>
      <c r="AW775" cm="1">
        <f t="array" ref="AW775">IFERROR(IF(AV775=0,0,(INDEX($C$33:$C$38,MATCH($AZ$684,$B$33:$B$38,0),0)*(AV777+$BA$684)+$AW$684*COUNTIF(AV775:AV776,"&gt;0")*$C$32+$AY$684*$C$31)*$AU$684),0)</f>
        <v>0</v>
      </c>
      <c r="AX775">
        <f>IF(AV775=0,0,-(COUNTIF(AV775:AV776,"&gt;0")*$AW$684*$C$32+$AY$684*$C$31)*$H$27*$AU$684)</f>
        <v>0</v>
      </c>
      <c r="AY775">
        <f>IF(AV775=0,0,$AY$684*$H$26*$AU$684)</f>
        <v>0</v>
      </c>
      <c r="AZ775">
        <f>(0.6*AW775+0.7*AX775)*$AU$684/2</f>
        <v>0</v>
      </c>
      <c r="BA775">
        <f>AW775*$AU$684/2</f>
        <v>0</v>
      </c>
      <c r="BC775">
        <f>IF(AV775=0,0,$BG$684*$AP$663)</f>
        <v>0</v>
      </c>
      <c r="BD775">
        <f>IFERROR(BC775/$AU$684,0)</f>
        <v>0</v>
      </c>
      <c r="BE775">
        <f>BC775*($F$23+IF($F$23=0,0,($C$14+$C$15+IF($C$13="single",1.5,3)+3)/12))</f>
        <v>0</v>
      </c>
      <c r="BF775">
        <f>BE775-AZ775</f>
        <v>0</v>
      </c>
      <c r="BG775" cm="1">
        <f t="array" ref="BG775">IFERROR(IF(BF775&lt;0,0,BF775/($AU$684-INDEX(hd_off,MATCH(BT775,hd_mark,0),0)/12)),0)</f>
        <v>0</v>
      </c>
      <c r="BH775">
        <f>IF(AV775=0,0,$BG$684*$AM$663)</f>
        <v>0</v>
      </c>
      <c r="BI775">
        <f>IFERROR(BH775/$AU$684,0)</f>
        <v>0</v>
      </c>
      <c r="BJ775">
        <f>BH775*($F$23+IF($F$23=0,0,($C$14+$C$15+IF($C$13="single",1.5,3)+3)/12))</f>
        <v>0</v>
      </c>
      <c r="BK775">
        <f>BJ775-BA775</f>
        <v>0</v>
      </c>
      <c r="BL775" cm="1">
        <f t="array" ref="BL775">IFERROR(IF(BK775&lt;0,0,BK775/($AU$684-INDEX(hd_off,MATCH(BT775,hd_mark,0),0)/12)),0)</f>
        <v>0</v>
      </c>
      <c r="BM775">
        <f>MAX($F$23,$BD$684)/$Q$692</f>
        <v>0</v>
      </c>
      <c r="BN775">
        <f t="shared" si="471"/>
        <v>0</v>
      </c>
      <c r="BO775" cm="1">
        <f t="array" ref="BO775">IFERROR(INDEX(sheath_ecap_asd,MATCH(BS775,sheath_mark,0),0)*BN775,0)</f>
        <v>0</v>
      </c>
      <c r="BP775" cm="1">
        <f t="array" ref="BP775">IFERROR(INDEX(sheath_wcap_asd,MATCH(BS775,sheath_mark,0),0)*BN775,0)</f>
        <v>0</v>
      </c>
      <c r="BQ775" cm="1">
        <f t="array" ref="BQ775">IFERROR(INDEX(hd_cap,MATCH(BT775,hd_mark,0),0),0)</f>
        <v>0</v>
      </c>
      <c r="BS775" s="19"/>
      <c r="BT775" s="19"/>
      <c r="BU775" s="100"/>
    </row>
    <row r="776" x14ac:dyDescent="0.25">
      <c r="P776" s="93"/>
      <c r="Q776" s="111">
        <f>$R$684</f>
        <v>0</v>
      </c>
      <c r="R776" t="str">
        <f>$Q$664</f>
        <v>L5</v>
      </c>
      <c r="S776">
        <f>$E$24</f>
        <v>0</v>
      </c>
      <c r="T776" cm="1">
        <f t="array" ref="T776">IFERROR(IF(S776=0,0,(INDEX($C$33:$C$38,MATCH($W$684,$B$33:$B$38,0),0)*(S777+$X$684)+$T$684*COUNTIF(S776:S776,"&gt;0")*$C$32+$V$684*$C$31)*$R$684),0)</f>
        <v>0</v>
      </c>
      <c r="U776">
        <f>IF(S776=0,0,-(COUNTIF(S776:S776,"&gt;0")*$T$684*$C$32+$V$684*$C$31)*$H$27*$R$684)</f>
        <v>0</v>
      </c>
      <c r="V776">
        <f>IF(S776=0,0,$V$684*$H$26*$R$684)</f>
        <v>0</v>
      </c>
      <c r="W776">
        <f>(0.6*T776+0.7*U776)*$R$684/2</f>
        <v>0</v>
      </c>
      <c r="X776">
        <f>T776*$R$684/2</f>
        <v>0</v>
      </c>
      <c r="Z776">
        <f>IF(S776=0,0,$AD$684*$AP$664)</f>
        <v>0</v>
      </c>
      <c r="AA776">
        <f>IFERROR(Z776/$R$684,0)</f>
        <v>0</v>
      </c>
      <c r="AB776">
        <f>Z776*($F$24+IF($F$24=0,0,($C$14+$C$15+IF($C$13="single",1.5,3)+3)/12))</f>
        <v>0</v>
      </c>
      <c r="AC776">
        <f>AB776-W776</f>
        <v>0</v>
      </c>
      <c r="AD776" cm="1">
        <f t="array" ref="AD776">IFERROR(IF(AC776&lt;0,0,AC776/($R$684-INDEX(hd_off,MATCH(AQ776,hd_mark,0),0)/12)),0)</f>
        <v>0</v>
      </c>
      <c r="AE776">
        <f>IF(S776=0,0,$AD$684*$AM$664)</f>
        <v>0</v>
      </c>
      <c r="AF776">
        <f>IFERROR(AE776/$R$684,0)</f>
        <v>0</v>
      </c>
      <c r="AG776">
        <f>AE776*($F$24+IF($F$24=0,0,($C$14+$C$15+IF($C$13="single",1.5,3)+3)/12))</f>
        <v>0</v>
      </c>
      <c r="AH776">
        <f>AG776-X776</f>
        <v>0</v>
      </c>
      <c r="AI776" cm="1">
        <f t="array" ref="AI776">IFERROR(IF(AH776&lt;0,0,AH776/($R$684-INDEX(hd_off,MATCH(AQ776,hd_mark,0),0)/12)),0)</f>
        <v>0</v>
      </c>
      <c r="AJ776">
        <f>MAX($F$24,$AB$684)/$Q$692</f>
        <v>0</v>
      </c>
      <c r="AK776">
        <f t="shared" si="470"/>
        <v>0</v>
      </c>
      <c r="AL776" cm="1">
        <f t="array" ref="AL776">IFERROR(INDEX(sheath_ecap_asd,MATCH(AP776,sheath_mark,0),0)*AK776,0)</f>
        <v>0</v>
      </c>
      <c r="AM776" cm="1">
        <f t="array" ref="AM776">IFERROR(INDEX(sheath_wcap_asd,MATCH(AP776,sheath_mark,0),0)*AK776,0)</f>
        <v>0</v>
      </c>
      <c r="AN776" cm="1">
        <f t="array" ref="AN776">IFERROR(INDEX(hd_cap,MATCH(AQ776,hd_mark,0),0),0)</f>
        <v>0</v>
      </c>
      <c r="AP776" s="19"/>
      <c r="AQ776" s="19"/>
      <c r="AR776" s="100"/>
      <c r="AS776" s="93"/>
      <c r="AT776" s="111">
        <f>$R$684</f>
        <v>0</v>
      </c>
      <c r="AU776" t="str">
        <f>$Q$664</f>
        <v>L5</v>
      </c>
      <c r="AV776">
        <f>$E$24</f>
        <v>0</v>
      </c>
      <c r="AW776" cm="1">
        <f t="array" ref="AW776">IFERROR(IF(AV776=0,0,(INDEX($C$33:$C$38,MATCH($AZ$684,$B$33:$B$38,0),0)*(AV777+$BA$684)+$AW$684*COUNTIF(AV776:AV776,"&gt;0")*$C$32+$AY$684*$C$31)*$AU$684),0)</f>
        <v>0</v>
      </c>
      <c r="AX776">
        <f>IF(AV776=0,0,-(COUNTIF(AV776:AV776,"&gt;0")*$AW$684*$C$32+$AY$684*$C$31)*$H$27*$AU$684)</f>
        <v>0</v>
      </c>
      <c r="AY776">
        <f>IF(AV776=0,0,$AY$684*$H$26*$AU$684)</f>
        <v>0</v>
      </c>
      <c r="AZ776">
        <f>(0.6*AW776+0.7*AX776)*$AU$684/2</f>
        <v>0</v>
      </c>
      <c r="BA776">
        <f>AW776*$AU$684/2</f>
        <v>0</v>
      </c>
      <c r="BC776">
        <f>IF(AV776=0,0,$BG$684*$AP$664)</f>
        <v>0</v>
      </c>
      <c r="BD776">
        <f>IFERROR(BC776/$AU$684,0)</f>
        <v>0</v>
      </c>
      <c r="BE776">
        <f>BC776*($F$24+IF($F$24=0,0,($C$14+$C$15+IF($C$13="single",1.5,3)+3)/12))</f>
        <v>0</v>
      </c>
      <c r="BF776">
        <f>BE776-AZ776</f>
        <v>0</v>
      </c>
      <c r="BG776" cm="1">
        <f t="array" ref="BG776">IFERROR(IF(BF776&lt;0,0,BF776/($AU$684-INDEX(hd_off,MATCH(BT776,hd_mark,0),0)/12)),0)</f>
        <v>0</v>
      </c>
      <c r="BH776">
        <f>IF(AV776=0,0,$BG$684*$AM$664)</f>
        <v>0</v>
      </c>
      <c r="BI776">
        <f>IFERROR(BH776/$AU$684,0)</f>
        <v>0</v>
      </c>
      <c r="BJ776">
        <f>BH776*($F$24+IF($F$24=0,0,($C$14+$C$15+IF($C$13="single",1.5,3)+3)/12))</f>
        <v>0</v>
      </c>
      <c r="BK776">
        <f>BJ776-BA776</f>
        <v>0</v>
      </c>
      <c r="BL776" cm="1">
        <f t="array" ref="BL776">IFERROR(IF(BK776&lt;0,0,BK776/($AU$684-INDEX(hd_off,MATCH(BT776,hd_mark,0),0)/12)),0)</f>
        <v>0</v>
      </c>
      <c r="BM776">
        <f>MAX($F$24,$BE$684)/$Q$692</f>
        <v>0</v>
      </c>
      <c r="BN776">
        <f t="shared" si="471"/>
        <v>0</v>
      </c>
      <c r="BO776" cm="1">
        <f t="array" ref="BO776">IFERROR(INDEX(sheath_ecap_asd,MATCH(BS776,sheath_mark,0),0)*BN776,0)</f>
        <v>0</v>
      </c>
      <c r="BP776" cm="1">
        <f t="array" ref="BP776">IFERROR(INDEX(sheath_wcap_asd,MATCH(BS776,sheath_mark,0),0)*BN776,0)</f>
        <v>0</v>
      </c>
      <c r="BQ776" cm="1">
        <f t="array" ref="BQ776">IFERROR(INDEX(hd_cap,MATCH(BT776,hd_mark,0),0),0)</f>
        <v>0</v>
      </c>
      <c r="BS776" s="19"/>
      <c r="BT776" s="19"/>
      <c r="BU776" s="100"/>
    </row>
    <row r="777" x14ac:dyDescent="0.25">
      <c r="P777" s="93"/>
      <c r="Q777" s="109"/>
      <c r="R777" t="str">
        <f>$Q$665</f>
        <v>Roof</v>
      </c>
      <c r="S777">
        <f>$E$25</f>
        <v>33.171875</v>
      </c>
      <c r="T777" cm="1">
        <f t="array" ref="T777">IFERROR(IF(S777=0,0,(INDEX($C$33:$C$38,MATCH($W$684,$B$33:$B$38,0),0)*(S777+$X$684)+$V$684*$C$31)*$R$684),0)</f>
        <v>0</v>
      </c>
      <c r="U777">
        <f>IF(S777=0,0,-$V$684*$C$31*$H$27*$R$684)</f>
        <v>0</v>
      </c>
      <c r="V777">
        <f>IF(S777=0,0,$V$684*$H$26*$R$684)</f>
        <v>0</v>
      </c>
      <c r="W777">
        <f>(0.6*T777+0.7*U777)*$R$684/2</f>
        <v>0</v>
      </c>
      <c r="X777">
        <f>T777*$R$684/2</f>
        <v>0</v>
      </c>
      <c r="Z777">
        <f>IF(S777=0,0,$AD$684*$AP$665)</f>
        <v>0</v>
      </c>
      <c r="AA777">
        <f>IFERROR(Z777/$R$684,0)</f>
        <v>0</v>
      </c>
      <c r="AB777">
        <f>Z777*($F$25+($C$16+$C$17+IF($C$13="single",1.5,3)+3)/12)</f>
        <v>0</v>
      </c>
      <c r="AC777">
        <f>AB777-W777</f>
        <v>0</v>
      </c>
      <c r="AD777" cm="1">
        <f t="array" ref="AD777">IFERROR(IF(AC777&lt;0,0,AC777/($R$684-INDEX(hd_off,MATCH(AQ777,hd_mark,0),0)/12)),0)</f>
        <v>0</v>
      </c>
      <c r="AE777">
        <f>IF(S777=0,0,$AD$684*$AM$665)</f>
        <v>0</v>
      </c>
      <c r="AF777">
        <f>IFERROR(AE777/$R$684,0)</f>
        <v>0</v>
      </c>
      <c r="AG777">
        <f>AE777*($F$25+($C$16+$C$17+IF($C$13="single",1.5,3)+3)/12)</f>
        <v>0</v>
      </c>
      <c r="AH777">
        <f>AG777-X777</f>
        <v>0</v>
      </c>
      <c r="AI777" cm="1">
        <f t="array" ref="AI777">IFERROR(IF(AH777&lt;0,0,AH777/($R$684-INDEX(hd_off,MATCH(AQ777,hd_mark,0),0)/12)),0)</f>
        <v>0</v>
      </c>
      <c r="AJ777">
        <f>MAX($F$25,$AC$684)/$Q$692</f>
        <v>0.29920977011494249</v>
      </c>
      <c r="AK777">
        <f t="shared" si="470"/>
        <v>1</v>
      </c>
      <c r="AL777" cm="1">
        <f t="array" ref="AL777">IFERROR(INDEX(sheath_ecap_asd,MATCH(AP777,sheath_mark,0),0)*AK777,0)</f>
        <v>0</v>
      </c>
      <c r="AM777" cm="1">
        <f t="array" ref="AM777">IFERROR(INDEX(sheath_wcap_asd,MATCH(AP777,sheath_mark,0),0)*AK777,0)</f>
        <v>0</v>
      </c>
      <c r="AN777" cm="1">
        <f t="array" ref="AN777">IFERROR(INDEX(hd_cap,MATCH(AQ777,hd_mark,0),0),0)</f>
        <v>0</v>
      </c>
      <c r="AP777" s="19"/>
      <c r="AQ777" s="19"/>
      <c r="AR777" s="100"/>
      <c r="AS777" s="93"/>
      <c r="AT777" s="109"/>
      <c r="AU777" t="str">
        <f>$Q$665</f>
        <v>Roof</v>
      </c>
      <c r="AV777">
        <f>$E$25</f>
        <v>33.171875</v>
      </c>
      <c r="AW777" cm="1">
        <f t="array" ref="AW777">IFERROR(IF(AV777=0,0,(INDEX($C$33:$C$38,MATCH($AZ$684,$B$33:$B$38,0),0)*(AV777+$BA$684)+$AY$684*$C$31)*$AU$684),0)</f>
        <v>0</v>
      </c>
      <c r="AX777">
        <f>IF(AV777=0,0,-$AY$684*$C$31*$H$27*$AU$684)</f>
        <v>0</v>
      </c>
      <c r="AY777">
        <f>IF(AV777=0,0,$AY$684*$H$26*$AU$684)</f>
        <v>0</v>
      </c>
      <c r="AZ777">
        <f>(0.6*AW777+0.7*AX777)*$AU$684/2</f>
        <v>0</v>
      </c>
      <c r="BA777">
        <f>AW777*$AU$684/2</f>
        <v>0</v>
      </c>
      <c r="BC777">
        <f>IF(AV777=0,0,$BG$684*$AP$665)</f>
        <v>0</v>
      </c>
      <c r="BD777">
        <f>IFERROR(BC777/$AU$684,0)</f>
        <v>0</v>
      </c>
      <c r="BE777">
        <f>BC777*($F$25+($C$16+$C$17+IF($C$13="single",1.5,3)+3)/12)</f>
        <v>0</v>
      </c>
      <c r="BF777">
        <f>BE777-AZ777</f>
        <v>0</v>
      </c>
      <c r="BG777" cm="1">
        <f t="array" ref="BG777">IFERROR(IF(BF777&lt;0,0,BF777/($AU$684-INDEX(hd_off,MATCH(BT777,hd_mark,0),0)/12)),0)</f>
        <v>0</v>
      </c>
      <c r="BH777">
        <f>IF(AV777=0,0,$BG$684*$AM$665)</f>
        <v>0</v>
      </c>
      <c r="BI777">
        <f>IFERROR(BH777/$AU$684,0)</f>
        <v>0</v>
      </c>
      <c r="BJ777">
        <f>BH777*($F$25+($C$16+$C$17+IF($C$13="single",1.5,3)+3)/12)</f>
        <v>0</v>
      </c>
      <c r="BK777">
        <f>BJ777-BA777</f>
        <v>0</v>
      </c>
      <c r="BL777" cm="1">
        <f t="array" ref="BL777">IFERROR(IF(BK777&lt;0,0,BK777/($AU$684-INDEX(hd_off,MATCH(BT777,hd_mark,0),0)/12)),0)</f>
        <v>0</v>
      </c>
      <c r="BM777">
        <f>MAX($F$25,$BF$684)/$Q$692</f>
        <v>0.29920977011494249</v>
      </c>
      <c r="BN777">
        <f t="shared" si="471"/>
        <v>1</v>
      </c>
      <c r="BO777" cm="1">
        <f t="array" ref="BO777">IFERROR(INDEX(sheath_ecap_asd,MATCH(BS777,sheath_mark,0),0)*BN777,0)</f>
        <v>0</v>
      </c>
      <c r="BP777" cm="1">
        <f t="array" ref="BP777">IFERROR(INDEX(sheath_wcap_asd,MATCH(BS777,sheath_mark,0),0)*BN777,0)</f>
        <v>0</v>
      </c>
      <c r="BQ777" cm="1">
        <f t="array" ref="BQ777">IFERROR(INDEX(hd_cap,MATCH(BT777,hd_mark,0),0),0)</f>
        <v>0</v>
      </c>
      <c r="BS777" s="19"/>
      <c r="BT777" s="19"/>
      <c r="BU777" s="100"/>
    </row>
    <row r="778" x14ac:dyDescent="0.25">
      <c r="P778" s="93"/>
      <c r="AR778" s="100"/>
      <c r="AS778" s="93"/>
      <c r="BU778" s="100"/>
    </row>
    <row r="779" x14ac:dyDescent="0.25">
      <c r="P779" s="93"/>
      <c r="Q779" s="110" t="str">
        <f>$Q$685</f>
        <v>A.16</v>
      </c>
      <c r="R779" t="str">
        <f>$Q$661</f>
        <v>L2</v>
      </c>
      <c r="S779">
        <f>$E$21</f>
        <v>10.6875</v>
      </c>
      <c r="T779" cm="1">
        <f t="array" ref="T779">IFERROR(IF(S779=0,0,(INDEX($C$33:$C$38,MATCH($W$685,$B$33:$B$38,0),0)*(S783+$X$685)+$T$685*COUNTIF(S779:S782,"&gt;0")*$C$32+$V$685*$C$31)*$R$685),0)</f>
        <v>0</v>
      </c>
      <c r="U779">
        <f>IF(S779=0,0,-(COUNTIF(S779:S782,"&gt;0")*$T$685*$C$32+$V$685*$C$31)*$H$27*$R$685)</f>
        <v>0</v>
      </c>
      <c r="V779">
        <f>IF(S779=0,0,$V$685*$H$26*$R$685)</f>
        <v>0</v>
      </c>
      <c r="W779">
        <f>(0.6*T779+0.7*U779)*$R$685/2</f>
        <v>0</v>
      </c>
      <c r="X779">
        <f>(0.6*T779+0.6*V779)*$R$685/2</f>
        <v>0</v>
      </c>
      <c r="Z779">
        <f>IF(S779=0,0,$AD$685*$AP$661)</f>
        <v>0</v>
      </c>
      <c r="AA779">
        <f>IFERROR(Z779/$R$685,0)</f>
        <v>0</v>
      </c>
      <c r="AB779">
        <f>Z779*($F$21+IF($F$21=0,0,($C$14+$C$15+IF($C$13="single",1.5,3)+3)/12))</f>
        <v>0</v>
      </c>
      <c r="AC779">
        <f>AB779-W779</f>
        <v>0</v>
      </c>
      <c r="AD779" cm="1">
        <f t="array" ref="AD779">IFERROR(IF(AC779&lt;0,0,AC779/($R$685-INDEX(hd_off,MATCH(AQ779,hd_mark,0),0)/12)),0)</f>
        <v>0</v>
      </c>
      <c r="AE779">
        <f>IF(S779=0,0,$AD$685*$AM$661)</f>
        <v>0</v>
      </c>
      <c r="AF779">
        <f>IFERROR(AE779/$R$685,0)</f>
        <v>0</v>
      </c>
      <c r="AG779">
        <f>AE779*($F$21+IF($F$21=0,0,($C$14+$C$15+IF($C$13="single",1.5,3)+3)/12))</f>
        <v>0</v>
      </c>
      <c r="AH779">
        <f>AG779-X779</f>
        <v>0</v>
      </c>
      <c r="AI779" cm="1">
        <f t="array" ref="AI779">IFERROR(IF(AH779&lt;0,0,AH779/($R$685-INDEX(hd_off,MATCH(AQ779,hd_mark,0),0)/12)),0)</f>
        <v>0</v>
      </c>
      <c r="AJ779">
        <f>MAX($F$21,$Y$685)/$Q$692</f>
        <v>0.30172413793103448</v>
      </c>
      <c r="AK779">
        <f>IF(AJ779=0,0,IF(AJ779&gt;2,1.25-0.125*AJ779,1))</f>
        <v>1</v>
      </c>
      <c r="AL779" cm="1">
        <f t="array" ref="AL779">IFERROR(INDEX(sheath_ecap_asd,MATCH(AP779,sheath_mark,0),0)*AK779,0)</f>
        <v>0</v>
      </c>
      <c r="AM779" cm="1">
        <f t="array" ref="AM779">IFERROR(INDEX(sheath_wcap_asd,MATCH(AP779,sheath_mark,0),0)*AK779,0)</f>
        <v>0</v>
      </c>
      <c r="AN779" cm="1">
        <f t="array" ref="AN779">IFERROR(INDEX(hd_cap,MATCH(AQ779,hd_mark,0),0),0)</f>
        <v>0</v>
      </c>
      <c r="AP779" s="19"/>
      <c r="AQ779" s="19"/>
      <c r="AR779" s="100"/>
      <c r="AS779" s="93"/>
      <c r="AT779" s="110" t="str">
        <f>$AT$685</f>
        <v>1.16</v>
      </c>
      <c r="AU779" t="str">
        <f>$Q$661</f>
        <v>L2</v>
      </c>
      <c r="AV779">
        <f>$E$21</f>
        <v>10.6875</v>
      </c>
      <c r="AW779" cm="1">
        <f t="array" ref="AW779">IFERROR(IF(AV779=0,0,(INDEX($C$33:$C$38,MATCH($AZ$685,$B$33:$B$38,0),0)*(AV783+$BA$685)+$AW$685*COUNTIF(AV779:AV782,"&gt;0")*$C$32+$AY$685*$C$31)*$AU$685),0)</f>
        <v>0</v>
      </c>
      <c r="AX779">
        <f>IF(AV779=0,0,-(COUNTIF(AV779:AV782,"&gt;0")*$AW$685*$C$32+$AY$685*$C$31)*$H$27*$AU$685)</f>
        <v>0</v>
      </c>
      <c r="AY779">
        <f>IF(AV779=0,0,$AY$685*$H$26*$AU$685)</f>
        <v>0</v>
      </c>
      <c r="AZ779">
        <f>(0.6*AW779+0.7*AX779)*$AU$685/2</f>
        <v>0</v>
      </c>
      <c r="BA779">
        <f>(0.6*AW779+0.6*AY779)*$AU$685/2</f>
        <v>0</v>
      </c>
      <c r="BC779">
        <f>IF(AV779=0,0,$BG$685*$AP$661)</f>
        <v>0</v>
      </c>
      <c r="BD779">
        <f>IFERROR(BC779/$AU$685,0)</f>
        <v>0</v>
      </c>
      <c r="BE779">
        <f>BC779*($F$21+IF($F$21=0,0,($C$14+$C$15+IF($C$13="single",1.5,3)+3)/12))</f>
        <v>0</v>
      </c>
      <c r="BF779">
        <f>BE779-AZ779</f>
        <v>0</v>
      </c>
      <c r="BG779" cm="1">
        <f t="array" ref="BG779">IFERROR(IF(BF779&lt;0,0,BF779/($AU$685-INDEX(hd_off,MATCH(BT779,hd_mark,0),0)/12)),0)</f>
        <v>0</v>
      </c>
      <c r="BH779">
        <f>IF(AV779=0,0,$BG$685*$AM$661)</f>
        <v>0</v>
      </c>
      <c r="BI779">
        <f>IFERROR(BH779/$AU$685,0)</f>
        <v>0</v>
      </c>
      <c r="BJ779">
        <f>BH779*($F$21+IF($F$21=0,0,($C$14+$C$15+IF($C$13="single",1.5,3)+3)/12))</f>
        <v>0</v>
      </c>
      <c r="BK779">
        <f>BJ779-BA779</f>
        <v>0</v>
      </c>
      <c r="BL779" cm="1">
        <f t="array" ref="BL779">IFERROR(IF(BK779&lt;0,0,BK779/($AU$685-INDEX(hd_off,MATCH(BT779,hd_mark,0),0)/12)),0)</f>
        <v>0</v>
      </c>
      <c r="BM779">
        <f>MAX($F$21,$BB$685)/$Q$692</f>
        <v>0.30172413793103448</v>
      </c>
      <c r="BN779">
        <f>IF(BM779=0,0,IF(BM779&gt;2,1.25-0.125*BM779,1))</f>
        <v>1</v>
      </c>
      <c r="BO779" cm="1">
        <f t="array" ref="BO779">IFERROR(INDEX(sheath_ecap_asd,MATCH(BS779,sheath_mark,0),0)*BN779,0)</f>
        <v>0</v>
      </c>
      <c r="BP779" cm="1">
        <f t="array" ref="BP779">IFERROR(INDEX(sheath_wcap_asd,MATCH(BS779,sheath_mark,0),0)*BN779,0)</f>
        <v>0</v>
      </c>
      <c r="BQ779" cm="1">
        <f t="array" ref="BQ779">IFERROR(INDEX(hd_cap,MATCH(BT779,hd_mark,0),0),0)</f>
        <v>0</v>
      </c>
      <c r="BS779" s="19"/>
      <c r="BT779" s="19"/>
      <c r="BU779" s="100"/>
    </row>
    <row r="780" x14ac:dyDescent="0.25">
      <c r="P780" s="93"/>
      <c r="Q780" s="109"/>
      <c r="R780" t="str">
        <f>$Q$662</f>
        <v>L3</v>
      </c>
      <c r="S780">
        <f>$E$22</f>
        <v>21.375</v>
      </c>
      <c r="T780" cm="1">
        <f t="array" ref="T780">IFERROR(IF(S780=0,0,(INDEX($C$33:$C$38,MATCH($W$685,$B$33:$B$38,0),0)*(S783+$X$685)+$T$685*COUNTIF(S780:S782,"&gt;0")*$C$32+$V$685*$C$31)*$R$685),0)</f>
        <v>0</v>
      </c>
      <c r="U780">
        <f>IF(S780=0,0,-(COUNTIF(S780:S782,"&gt;0")*$T$685*$C$32+$V$685*$C$31)*$H$27*$R$685)</f>
        <v>0</v>
      </c>
      <c r="V780">
        <f>IF(S780=0,0,$V$685*$H$26*$R$685)</f>
        <v>0</v>
      </c>
      <c r="W780">
        <f>(0.6*T780+0.7*U780)*$R$685/2</f>
        <v>0</v>
      </c>
      <c r="X780">
        <f>T780*$R$685/2</f>
        <v>0</v>
      </c>
      <c r="Z780">
        <f>IF(S780=0,0,$AD$685*$AP$662)</f>
        <v>0</v>
      </c>
      <c r="AA780">
        <f>IFERROR(Z780/$R$685,0)</f>
        <v>0</v>
      </c>
      <c r="AB780">
        <f>Z780*($F$22+IF($F$22=0,0,($C$14+$C$15+IF($C$13="single",1.5,3)+3)/12))</f>
        <v>0</v>
      </c>
      <c r="AC780">
        <f>AB780-W780</f>
        <v>0</v>
      </c>
      <c r="AD780" cm="1">
        <f t="array" ref="AD780">IFERROR(IF(AC780&lt;0,0,AC780/($R$685-INDEX(hd_off,MATCH(AQ780,hd_mark,0),0)/12)),0)</f>
        <v>0</v>
      </c>
      <c r="AE780">
        <f>IF(S780=0,0,$AD$685*$AM$662)</f>
        <v>0</v>
      </c>
      <c r="AF780">
        <f>IFERROR(AE780/$R$685,0)</f>
        <v>0</v>
      </c>
      <c r="AG780">
        <f>AE780*($F$22+IF($F$22=0,0,($C$14+$C$15+IF($C$13="single",1.5,3)+3)/12))</f>
        <v>0</v>
      </c>
      <c r="AH780">
        <f>AG780-X780</f>
        <v>0</v>
      </c>
      <c r="AI780" cm="1">
        <f t="array" ref="AI780">IFERROR(IF(AH780&lt;0,0,AH780/($R$685-INDEX(hd_off,MATCH(AQ780,hd_mark,0),0)/12)),0)</f>
        <v>0</v>
      </c>
      <c r="AJ780">
        <f>MAX($F$22,$Z$685)/$Q$692</f>
        <v>0.30172413793103448</v>
      </c>
      <c r="AK780">
        <f t="shared" ref="AK780:AK783" si="472">IF(AJ780=0,0,IF(AJ780&gt;2,1.25-0.125*AJ780,1))</f>
        <v>1</v>
      </c>
      <c r="AL780" cm="1">
        <f t="array" ref="AL780">IFERROR(INDEX(sheath_ecap_asd,MATCH(AP780,sheath_mark,0),0)*AK780,0)</f>
        <v>0</v>
      </c>
      <c r="AM780" cm="1">
        <f t="array" ref="AM780">IFERROR(INDEX(sheath_wcap_asd,MATCH(AP780,sheath_mark,0),0)*AK780,0)</f>
        <v>0</v>
      </c>
      <c r="AN780" cm="1">
        <f t="array" ref="AN780">IFERROR(INDEX(hd_cap,MATCH(AQ780,hd_mark,0),0),0)</f>
        <v>0</v>
      </c>
      <c r="AP780" s="19"/>
      <c r="AQ780" s="19"/>
      <c r="AR780" s="100"/>
      <c r="AS780" s="93"/>
      <c r="AT780" s="109"/>
      <c r="AU780" t="str">
        <f>$Q$662</f>
        <v>L3</v>
      </c>
      <c r="AV780">
        <f>$E$22</f>
        <v>21.375</v>
      </c>
      <c r="AW780" cm="1">
        <f t="array" ref="AW780">IFERROR(IF(AV780=0,0,(INDEX($C$33:$C$38,MATCH($AZ$685,$B$33:$B$38,0),0)*(AV783+$BA$685)+$AW$685*COUNTIF(AV780:AV782,"&gt;0")*$C$32+$AY$685*$C$31)*$AU$685),0)</f>
        <v>0</v>
      </c>
      <c r="AX780">
        <f>IF(AV780=0,0,-(COUNTIF(AV780:AV782,"&gt;0")*$AW$685*$C$32+$AY$685*$C$31)*$H$27*$AU$685)</f>
        <v>0</v>
      </c>
      <c r="AY780">
        <f>IF(AV780=0,0,$AY$685*$H$26*$AU$685)</f>
        <v>0</v>
      </c>
      <c r="AZ780">
        <f>(0.6*AW780+0.7*AX780)*$AU$685/2</f>
        <v>0</v>
      </c>
      <c r="BA780">
        <f>AW780*$AU$685/2</f>
        <v>0</v>
      </c>
      <c r="BC780">
        <f>IF(AV780=0,0,$BG$685*$AP$662)</f>
        <v>0</v>
      </c>
      <c r="BD780">
        <f>IFERROR(BC780/$AU$685,0)</f>
        <v>0</v>
      </c>
      <c r="BE780">
        <f>BC780*($F$22+IF($F$22=0,0,($C$14+$C$15+IF($C$13="single",1.5,3)+3)/12))</f>
        <v>0</v>
      </c>
      <c r="BF780">
        <f>BE780-AZ780</f>
        <v>0</v>
      </c>
      <c r="BG780" cm="1">
        <f t="array" ref="BG780">IFERROR(IF(BF780&lt;0,0,BF780/($AU$685-INDEX(hd_off,MATCH(BT780,hd_mark,0),0)/12)),0)</f>
        <v>0</v>
      </c>
      <c r="BH780">
        <f>IF(AV780=0,0,$BG$685*$AM$662)</f>
        <v>0</v>
      </c>
      <c r="BI780">
        <f>IFERROR(BH780/$AU$685,0)</f>
        <v>0</v>
      </c>
      <c r="BJ780">
        <f>BH780*($F$22+IF($F$22=0,0,($C$14+$C$15+IF($C$13="single",1.5,3)+3)/12))</f>
        <v>0</v>
      </c>
      <c r="BK780">
        <f>BJ780-BA780</f>
        <v>0</v>
      </c>
      <c r="BL780" cm="1">
        <f t="array" ref="BL780">IFERROR(IF(BK780&lt;0,0,BK780/($AU$685-INDEX(hd_off,MATCH(BT780,hd_mark,0),0)/12)),0)</f>
        <v>0</v>
      </c>
      <c r="BM780">
        <f>MAX($F$22,$BC$685)/$Q$692</f>
        <v>0.30172413793103448</v>
      </c>
      <c r="BN780">
        <f t="shared" ref="BN780:BN782" si="473">IF(BM780=0,0,IF(BM780&gt;2,1.25-0.125*BM780,1))</f>
        <v>1</v>
      </c>
      <c r="BO780" cm="1">
        <f t="array" ref="BO780">IFERROR(INDEX(sheath_ecap_asd,MATCH(BS780,sheath_mark,0),0)*BN780,0)</f>
        <v>0</v>
      </c>
      <c r="BP780" cm="1">
        <f t="array" ref="BP780">IFERROR(INDEX(sheath_wcap_asd,MATCH(BS780,sheath_mark,0),0)*BN780,0)</f>
        <v>0</v>
      </c>
      <c r="BQ780" cm="1">
        <f t="array" ref="BQ780">IFERROR(INDEX(hd_cap,MATCH(BT780,hd_mark,0),0),0)</f>
        <v>0</v>
      </c>
      <c r="BS780" s="19"/>
      <c r="BT780" s="19"/>
      <c r="BU780" s="100"/>
    </row>
    <row r="781" x14ac:dyDescent="0.25">
      <c r="P781" s="93"/>
      <c r="Q781" s="109" t="s">
        <v>491</v>
      </c>
      <c r="R781" t="str">
        <f>$Q$663</f>
        <v>L4</v>
      </c>
      <c r="S781">
        <f>$E$23</f>
        <v>0</v>
      </c>
      <c r="T781" cm="1">
        <f t="array" ref="T781">IFERROR(IF(S781=0,0,(INDEX($C$33:$C$38,MATCH($W$685,$B$33:$B$38,0),0)*(S783+$X$685)+$T$685*COUNTIF(S781:S782,"&gt;0")*$C$32+$V$685*$C$31)*$R$685),0)</f>
        <v>0</v>
      </c>
      <c r="U781">
        <f>IF(S781=0,0,-(COUNTIF(S781:S782,"&gt;0")*$T$685*$C$32+$V$685*$C$31)*$H$27*$R$685)</f>
        <v>0</v>
      </c>
      <c r="V781">
        <f>IF(S781=0,0,$V$685*$H$26*$R$685)</f>
        <v>0</v>
      </c>
      <c r="W781">
        <f>(0.6*T781+0.7*U781)*$R$685/2</f>
        <v>0</v>
      </c>
      <c r="X781">
        <f>T781*$R$685/2</f>
        <v>0</v>
      </c>
      <c r="Z781">
        <f>IF(S781=0,0,$AD$685*$AP$663)</f>
        <v>0</v>
      </c>
      <c r="AA781">
        <f>IFERROR(Z781/$R$685,0)</f>
        <v>0</v>
      </c>
      <c r="AB781">
        <f>Z781*($F$23+IF($F$23=0,0,($C$14+$C$15+IF($C$13="single",1.5,3)+3)/12))</f>
        <v>0</v>
      </c>
      <c r="AC781">
        <f>AB781-W781</f>
        <v>0</v>
      </c>
      <c r="AD781" cm="1">
        <f t="array" ref="AD781">IFERROR(IF(AC781&lt;0,0,AC781/($R$685-INDEX(hd_off,MATCH(AQ781,hd_mark,0),0)/12)),0)</f>
        <v>0</v>
      </c>
      <c r="AE781">
        <f>IF(S781=0,0,$AD$685*$AM$663)</f>
        <v>0</v>
      </c>
      <c r="AF781">
        <f>IFERROR(AE781/$R$685,0)</f>
        <v>0</v>
      </c>
      <c r="AG781">
        <f>AE781*($F$23+IF($F$23=0,0,($C$14+$C$15+IF($C$13="single",1.5,3)+3)/12))</f>
        <v>0</v>
      </c>
      <c r="AH781">
        <f>AG781-X781</f>
        <v>0</v>
      </c>
      <c r="AI781" cm="1">
        <f t="array" ref="AI781">IFERROR(IF(AH781&lt;0,0,AH781/($R$685-INDEX(hd_off,MATCH(AQ781,hd_mark,0),0)/12)),0)</f>
        <v>0</v>
      </c>
      <c r="AJ781">
        <f>MAX($F$23,$AA$685)/$Q$692</f>
        <v>0</v>
      </c>
      <c r="AK781">
        <f t="shared" si="472"/>
        <v>0</v>
      </c>
      <c r="AL781" cm="1">
        <f t="array" ref="AL781">IFERROR(INDEX(sheath_ecap_asd,MATCH(AP781,sheath_mark,0),0)*AK781,0)</f>
        <v>0</v>
      </c>
      <c r="AM781" cm="1">
        <f t="array" ref="AM781">IFERROR(INDEX(sheath_wcap_asd,MATCH(AP781,sheath_mark,0),0)*AK781,0)</f>
        <v>0</v>
      </c>
      <c r="AN781" cm="1">
        <f t="array" ref="AN781">IFERROR(INDEX(hd_cap,MATCH(AQ781,hd_mark,0),0),0)</f>
        <v>0</v>
      </c>
      <c r="AP781" s="19"/>
      <c r="AQ781" s="19"/>
      <c r="AR781" s="100"/>
      <c r="AS781" s="93"/>
      <c r="AT781" s="109" t="s">
        <v>491</v>
      </c>
      <c r="AU781" t="str">
        <f>$Q$663</f>
        <v>L4</v>
      </c>
      <c r="AV781">
        <f>$E$23</f>
        <v>0</v>
      </c>
      <c r="AW781" cm="1">
        <f t="array" ref="AW781">IFERROR(IF(AV781=0,0,(INDEX($C$33:$C$38,MATCH($AZ$685,$B$33:$B$38,0),0)*(AV783+$BA$685)+$AW$685*COUNTIF(AV781:AV782,"&gt;0")*$C$32+$AY$685*$C$31)*$AU$685),0)</f>
        <v>0</v>
      </c>
      <c r="AX781">
        <f>IF(AV781=0,0,-(COUNTIF(AV781:AV782,"&gt;0")*$AW$685*$C$32+$AY$685*$C$31)*$H$27*$AU$685)</f>
        <v>0</v>
      </c>
      <c r="AY781">
        <f>IF(AV781=0,0,$AY$685*$H$26*$AU$685)</f>
        <v>0</v>
      </c>
      <c r="AZ781">
        <f>(0.6*AW781+0.7*AX781)*$AU$685/2</f>
        <v>0</v>
      </c>
      <c r="BA781">
        <f>AW781*$AU$685/2</f>
        <v>0</v>
      </c>
      <c r="BC781">
        <f>IF(AV781=0,0,$BG$685*$AP$663)</f>
        <v>0</v>
      </c>
      <c r="BD781">
        <f>IFERROR(BC781/$AU$685,0)</f>
        <v>0</v>
      </c>
      <c r="BE781">
        <f>BC781*($F$23+IF($F$23=0,0,($C$14+$C$15+IF($C$13="single",1.5,3)+3)/12))</f>
        <v>0</v>
      </c>
      <c r="BF781">
        <f>BE781-AZ781</f>
        <v>0</v>
      </c>
      <c r="BG781" cm="1">
        <f t="array" ref="BG781">IFERROR(IF(BF781&lt;0,0,BF781/($AU$685-INDEX(hd_off,MATCH(BT781,hd_mark,0),0)/12)),0)</f>
        <v>0</v>
      </c>
      <c r="BH781">
        <f>IF(AV781=0,0,$BG$685*$AM$663)</f>
        <v>0</v>
      </c>
      <c r="BI781">
        <f>IFERROR(BH781/$AU$685,0)</f>
        <v>0</v>
      </c>
      <c r="BJ781">
        <f>BH781*($F$23+IF($F$23=0,0,($C$14+$C$15+IF($C$13="single",1.5,3)+3)/12))</f>
        <v>0</v>
      </c>
      <c r="BK781">
        <f>BJ781-BA781</f>
        <v>0</v>
      </c>
      <c r="BL781" cm="1">
        <f t="array" ref="BL781">IFERROR(IF(BK781&lt;0,0,BK781/($AU$685-INDEX(hd_off,MATCH(BT781,hd_mark,0),0)/12)),0)</f>
        <v>0</v>
      </c>
      <c r="BM781">
        <f>MAX($F$23,$BD$685)/$Q$692</f>
        <v>0</v>
      </c>
      <c r="BN781">
        <f t="shared" si="473"/>
        <v>0</v>
      </c>
      <c r="BO781" cm="1">
        <f t="array" ref="BO781">IFERROR(INDEX(sheath_ecap_asd,MATCH(BS781,sheath_mark,0),0)*BN781,0)</f>
        <v>0</v>
      </c>
      <c r="BP781" cm="1">
        <f t="array" ref="BP781">IFERROR(INDEX(sheath_wcap_asd,MATCH(BS781,sheath_mark,0),0)*BN781,0)</f>
        <v>0</v>
      </c>
      <c r="BQ781" cm="1">
        <f t="array" ref="BQ781">IFERROR(INDEX(hd_cap,MATCH(BT781,hd_mark,0),0),0)</f>
        <v>0</v>
      </c>
      <c r="BS781" s="19"/>
      <c r="BT781" s="19"/>
      <c r="BU781" s="100"/>
    </row>
    <row r="782" x14ac:dyDescent="0.25">
      <c r="P782" s="93"/>
      <c r="Q782" s="111">
        <f>$R$685</f>
        <v>0</v>
      </c>
      <c r="R782" t="str">
        <f>$Q$664</f>
        <v>L5</v>
      </c>
      <c r="S782">
        <f>$E$24</f>
        <v>0</v>
      </c>
      <c r="T782" cm="1">
        <f t="array" ref="T782">IFERROR(IF(S782=0,0,(INDEX($C$33:$C$38,MATCH($W$685,$B$33:$B$38,0),0)*(S783+$X$685)+$T$685*COUNTIF(S782:S782,"&gt;0")*$C$32+$V$685*$C$31)*$R$685),0)</f>
        <v>0</v>
      </c>
      <c r="U782">
        <f>IF(S782=0,0,-(COUNTIF(S782:S782,"&gt;0")*$T$685*$C$32+$V$685*$C$31)*$H$27*$R$685)</f>
        <v>0</v>
      </c>
      <c r="V782">
        <f>IF(S782=0,0,$V$685*$H$26*$R$685)</f>
        <v>0</v>
      </c>
      <c r="W782">
        <f>(0.6*T782+0.7*U782)*$R$685/2</f>
        <v>0</v>
      </c>
      <c r="X782">
        <f>T782*$R$685/2</f>
        <v>0</v>
      </c>
      <c r="Z782">
        <f>IF(S782=0,0,$AD$685*$AP$664)</f>
        <v>0</v>
      </c>
      <c r="AA782">
        <f>IFERROR(Z782/$R$685,0)</f>
        <v>0</v>
      </c>
      <c r="AB782">
        <f>Z782*($F$24+IF($F$24=0,0,($C$14+$C$15+IF($C$13="single",1.5,3)+3)/12))</f>
        <v>0</v>
      </c>
      <c r="AC782">
        <f>AB782-W782</f>
        <v>0</v>
      </c>
      <c r="AD782" cm="1">
        <f t="array" ref="AD782">IFERROR(IF(AC782&lt;0,0,AC782/($R$685-INDEX(hd_off,MATCH(AQ782,hd_mark,0),0)/12)),0)</f>
        <v>0</v>
      </c>
      <c r="AE782">
        <f>IF(S782=0,0,$AD$685*$AM$664)</f>
        <v>0</v>
      </c>
      <c r="AF782">
        <f>IFERROR(AE782/$R$685,0)</f>
        <v>0</v>
      </c>
      <c r="AG782">
        <f>AE782*($F$24+IF($F$24=0,0,($C$14+$C$15+IF($C$13="single",1.5,3)+3)/12))</f>
        <v>0</v>
      </c>
      <c r="AH782">
        <f>AG782-X782</f>
        <v>0</v>
      </c>
      <c r="AI782" cm="1">
        <f t="array" ref="AI782">IFERROR(IF(AH782&lt;0,0,AH782/($R$685-INDEX(hd_off,MATCH(AQ782,hd_mark,0),0)/12)),0)</f>
        <v>0</v>
      </c>
      <c r="AJ782">
        <f>MAX($F$24,$AB$685)/$Q$692</f>
        <v>0</v>
      </c>
      <c r="AK782">
        <f t="shared" si="472"/>
        <v>0</v>
      </c>
      <c r="AL782" cm="1">
        <f t="array" ref="AL782">IFERROR(INDEX(sheath_ecap_asd,MATCH(AP782,sheath_mark,0),0)*AK782,0)</f>
        <v>0</v>
      </c>
      <c r="AM782" cm="1">
        <f t="array" ref="AM782">IFERROR(INDEX(sheath_wcap_asd,MATCH(AP782,sheath_mark,0),0)*AK782,0)</f>
        <v>0</v>
      </c>
      <c r="AN782" cm="1">
        <f t="array" ref="AN782">IFERROR(INDEX(hd_cap,MATCH(AQ782,hd_mark,0),0),0)</f>
        <v>0</v>
      </c>
      <c r="AP782" s="19"/>
      <c r="AQ782" s="19"/>
      <c r="AR782" s="100"/>
      <c r="AS782" s="93"/>
      <c r="AT782" s="111">
        <f>$R$685</f>
        <v>0</v>
      </c>
      <c r="AU782" t="str">
        <f>$Q$664</f>
        <v>L5</v>
      </c>
      <c r="AV782">
        <f>$E$24</f>
        <v>0</v>
      </c>
      <c r="AW782" cm="1">
        <f t="array" ref="AW782">IFERROR(IF(AV782=0,0,(INDEX($C$33:$C$38,MATCH($AZ$685,$B$33:$B$38,0),0)*(AV783+$BA$685)+$AW$685*COUNTIF(AV782:AV782,"&gt;0")*$C$32+$AY$685*$C$31)*$AU$685),0)</f>
        <v>0</v>
      </c>
      <c r="AX782">
        <f>IF(AV782=0,0,-(COUNTIF(AV782:AV782,"&gt;0")*$AW$685*$C$32+$AY$685*$C$31)*$H$27*$AU$685)</f>
        <v>0</v>
      </c>
      <c r="AY782">
        <f>IF(AV782=0,0,$AY$685*$H$26*$AU$685)</f>
        <v>0</v>
      </c>
      <c r="AZ782">
        <f>(0.6*AW782+0.7*AX782)*$AU$685/2</f>
        <v>0</v>
      </c>
      <c r="BA782">
        <f>AW782*$AU$685/2</f>
        <v>0</v>
      </c>
      <c r="BC782">
        <f>IF(AV782=0,0,$BG$685*$AP$664)</f>
        <v>0</v>
      </c>
      <c r="BD782">
        <f>IFERROR(BC782/$AU$685,0)</f>
        <v>0</v>
      </c>
      <c r="BE782">
        <f>BC782*($F$24+IF($F$24=0,0,($C$14+$C$15+IF($C$13="single",1.5,3)+3)/12))</f>
        <v>0</v>
      </c>
      <c r="BF782">
        <f>BE782-AZ782</f>
        <v>0</v>
      </c>
      <c r="BG782" cm="1">
        <f t="array" ref="BG782">IFERROR(IF(BF782&lt;0,0,BF782/($AU$685-INDEX(hd_off,MATCH(BT782,hd_mark,0),0)/12)),0)</f>
        <v>0</v>
      </c>
      <c r="BH782">
        <f>IF(AV782=0,0,$BG$685*$AM$664)</f>
        <v>0</v>
      </c>
      <c r="BI782">
        <f>IFERROR(BH782/$AU$685,0)</f>
        <v>0</v>
      </c>
      <c r="BJ782">
        <f>BH782*($F$24+IF($F$24=0,0,($C$14+$C$15+IF($C$13="single",1.5,3)+3)/12))</f>
        <v>0</v>
      </c>
      <c r="BK782">
        <f>BJ782-BA782</f>
        <v>0</v>
      </c>
      <c r="BL782" cm="1">
        <f t="array" ref="BL782">IFERROR(IF(BK782&lt;0,0,BK782/($AU$685-INDEX(hd_off,MATCH(BT782,hd_mark,0),0)/12)),0)</f>
        <v>0</v>
      </c>
      <c r="BM782">
        <f>MAX($F$24,$BE$685)/$Q$692</f>
        <v>0</v>
      </c>
      <c r="BN782">
        <f t="shared" si="473"/>
        <v>0</v>
      </c>
      <c r="BO782" cm="1">
        <f t="array" ref="BO782">IFERROR(INDEX(sheath_ecap_asd,MATCH(BS782,sheath_mark,0),0)*BN782,0)</f>
        <v>0</v>
      </c>
      <c r="BP782" cm="1">
        <f t="array" ref="BP782">IFERROR(INDEX(sheath_wcap_asd,MATCH(BS782,sheath_mark,0),0)*BN782,0)</f>
        <v>0</v>
      </c>
      <c r="BQ782" cm="1">
        <f t="array" ref="BQ782">IFERROR(INDEX(hd_cap,MATCH(BT782,hd_mark,0),0),0)</f>
        <v>0</v>
      </c>
      <c r="BS782" s="19"/>
      <c r="BT782" s="19"/>
      <c r="BU782" s="100"/>
    </row>
    <row r="783" x14ac:dyDescent="0.25">
      <c r="P783" s="93"/>
      <c r="Q783" s="109"/>
      <c r="R783" t="str">
        <f>$Q$665</f>
        <v>Roof</v>
      </c>
      <c r="S783">
        <f>$E$25</f>
        <v>33.171875</v>
      </c>
      <c r="T783" cm="1">
        <f t="array" ref="T783">IFERROR(IF(S783=0,0,(INDEX($C$33:$C$38,MATCH($W$685,$B$33:$B$38,0),0)*(S783+$X$685)+$V$685*$C$31)*$R$685),0)</f>
        <v>0</v>
      </c>
      <c r="U783">
        <f>IF(S783=0,0,-$V$685*$C$31*$H$27*$R$685)</f>
        <v>0</v>
      </c>
      <c r="V783">
        <f>IF(S783=0,0,$V$685*$H$26*$R$685)</f>
        <v>0</v>
      </c>
      <c r="W783">
        <f>(0.6*T783+0.7*U783)*$R$685/2</f>
        <v>0</v>
      </c>
      <c r="X783">
        <f>T783*$R$685/2</f>
        <v>0</v>
      </c>
      <c r="Z783">
        <f>IF(S783=0,0,$AD$685*$AP$665)</f>
        <v>0</v>
      </c>
      <c r="AA783">
        <f>IFERROR(Z783/$R$685,0)</f>
        <v>0</v>
      </c>
      <c r="AB783">
        <f>Z783*($F$25+($C$16+$C$17+IF($C$13="single",1.5,3)+3)/12)</f>
        <v>0</v>
      </c>
      <c r="AC783">
        <f>AB783-W783</f>
        <v>0</v>
      </c>
      <c r="AD783" cm="1">
        <f t="array" ref="AD783">IFERROR(IF(AC783&lt;0,0,AC783/($R$685-INDEX(hd_off,MATCH(AQ783,hd_mark,0),0)/12)),0)</f>
        <v>0</v>
      </c>
      <c r="AE783">
        <f>IF(S783=0,0,$AD$685*$AM$665)</f>
        <v>0</v>
      </c>
      <c r="AF783">
        <f>IFERROR(AE783/$R$685,0)</f>
        <v>0</v>
      </c>
      <c r="AG783">
        <f>AE783*($F$25+($C$16+$C$17+IF($C$13="single",1.5,3)+3)/12)</f>
        <v>0</v>
      </c>
      <c r="AH783">
        <f>AG783-X783</f>
        <v>0</v>
      </c>
      <c r="AI783" cm="1">
        <f t="array" ref="AI783">IFERROR(IF(AH783&lt;0,0,AH783/($R$685-INDEX(hd_off,MATCH(AQ783,hd_mark,0),0)/12)),0)</f>
        <v>0</v>
      </c>
      <c r="AJ783">
        <f>MAX($F$25,$AC$685)/$Q$692</f>
        <v>0.29920977011494249</v>
      </c>
      <c r="AK783">
        <f t="shared" si="472"/>
        <v>1</v>
      </c>
      <c r="AL783" cm="1">
        <f t="array" ref="AL783">IFERROR(INDEX(sheath_ecap_asd,MATCH(AP783,sheath_mark,0),0)*AK783,0)</f>
        <v>0</v>
      </c>
      <c r="AM783" cm="1">
        <f t="array" ref="AM783">IFERROR(INDEX(sheath_wcap_asd,MATCH(AP783,sheath_mark,0),0)*AK783,0)</f>
        <v>0</v>
      </c>
      <c r="AN783" cm="1">
        <f t="array" ref="AN783">IFERROR(INDEX(hd_cap,MATCH(AQ783,hd_mark,0),0),0)</f>
        <v>0</v>
      </c>
      <c r="AP783" s="19"/>
      <c r="AQ783" s="19"/>
      <c r="AR783" s="100"/>
      <c r="AS783" s="93"/>
      <c r="BU783" s="100"/>
    </row>
    <row r="784" x14ac:dyDescent="0.25">
      <c r="B784" s="1" t="s">
        <v>569</v>
      </c>
      <c r="C784">
        <f>E16+H16*12</f>
        <v>32.4375</v>
      </c>
      <c r="E784" s="19">
        <v>24</v>
      </c>
      <c r="F784" s="19">
        <f>32+5.625/12</f>
        <v>32.46875</v>
      </c>
      <c r="G784" s="19">
        <f>33+10.5/12</f>
        <v>33.875</v>
      </c>
      <c r="H784">
        <f>(G16-F16)/2</f>
        <v>0.703125</v>
      </c>
      <c r="P784" s="93"/>
      <c r="Q784" t="s">
        <v>524</v>
      </c>
      <c r="R784" s="2" t="str">
        <f>$B$48</f>
        <v>A</v>
      </c>
      <c r="AR784" s="100"/>
      <c r="AS784" s="93"/>
      <c r="AT784" t="s">
        <v>524</v>
      </c>
      <c r="AU784" s="2">
        <f>H48</f>
        <v>1</v>
      </c>
      <c r="BU784" s="100"/>
    </row>
    <row r="785" x14ac:dyDescent="0.25">
      <c r="B785" s="1" t="s">
        <v>500</v>
      </c>
      <c r="C785" s="19">
        <v>0.5</v>
      </c>
      <c r="P785" s="93"/>
      <c r="AR785" s="100"/>
      <c r="AS785" s="93"/>
      <c r="BU785" s="100"/>
    </row>
    <row r="786" x14ac:dyDescent="0.25">
      <c r="P786" s="93"/>
      <c r="R786" t="s">
        <v>482</v>
      </c>
      <c r="Z786" t="s">
        <v>483</v>
      </c>
      <c r="AH786" t="s">
        <v>502</v>
      </c>
      <c r="AJ786" t="s">
        <v>454</v>
      </c>
      <c r="AR786" s="100"/>
      <c r="AS786" s="93"/>
      <c r="AU786" t="s">
        <v>482</v>
      </c>
      <c r="BC786" t="s">
        <v>483</v>
      </c>
      <c r="BK786" t="s">
        <v>502</v>
      </c>
      <c r="BM786" t="s">
        <v>454</v>
      </c>
      <c r="BU786" s="100"/>
    </row>
    <row r="787" x14ac:dyDescent="0.25">
      <c r="B787" t="s">
        <v>448</v>
      </c>
      <c r="C787" t="s">
        <v>272</v>
      </c>
      <c r="D787" t="s">
        <v>193</v>
      </c>
      <c r="E787" s="70" t="s">
        <v>454</v>
      </c>
      <c r="F787" s="71" t="s">
        <v>501</v>
      </c>
      <c r="H787" t="s">
        <v>475</v>
      </c>
      <c r="J787" t="s">
        <v>476</v>
      </c>
      <c r="P787" s="93"/>
      <c r="R787" t="s">
        <v>480</v>
      </c>
      <c r="S787" t="s">
        <v>481</v>
      </c>
      <c r="T787" t="s">
        <v>486</v>
      </c>
      <c r="U787" t="s">
        <v>487</v>
      </c>
      <c r="V787" t="s">
        <v>484</v>
      </c>
      <c r="W787" t="s">
        <v>485</v>
      </c>
      <c r="X787" t="s">
        <v>488</v>
      </c>
      <c r="Y787" t="s">
        <v>489</v>
      </c>
      <c r="Z787" t="s">
        <v>480</v>
      </c>
      <c r="AA787" t="s">
        <v>481</v>
      </c>
      <c r="AB787" t="s">
        <v>486</v>
      </c>
      <c r="AC787" t="s">
        <v>487</v>
      </c>
      <c r="AD787" t="s">
        <v>484</v>
      </c>
      <c r="AE787" t="s">
        <v>485</v>
      </c>
      <c r="AF787" t="s">
        <v>488</v>
      </c>
      <c r="AG787" t="s">
        <v>489</v>
      </c>
      <c r="AH787" t="s">
        <v>312</v>
      </c>
      <c r="AI787" t="s">
        <v>258</v>
      </c>
      <c r="AJ787" t="s">
        <v>486</v>
      </c>
      <c r="AK787" t="s">
        <v>490</v>
      </c>
      <c r="AL787" t="s">
        <v>487</v>
      </c>
      <c r="AM787" t="s">
        <v>490</v>
      </c>
      <c r="AN787" t="s">
        <v>488</v>
      </c>
      <c r="AO787" t="s">
        <v>490</v>
      </c>
      <c r="AP787" t="s">
        <v>489</v>
      </c>
      <c r="AQ787" t="s">
        <v>490</v>
      </c>
      <c r="AR787" s="100"/>
      <c r="AS787" s="93"/>
      <c r="AU787" t="s">
        <v>480</v>
      </c>
      <c r="AV787" t="s">
        <v>481</v>
      </c>
      <c r="AW787" t="s">
        <v>486</v>
      </c>
      <c r="AX787" t="s">
        <v>487</v>
      </c>
      <c r="AY787" t="s">
        <v>484</v>
      </c>
      <c r="AZ787" t="s">
        <v>485</v>
      </c>
      <c r="BA787" t="s">
        <v>488</v>
      </c>
      <c r="BB787" t="s">
        <v>489</v>
      </c>
      <c r="BC787" t="s">
        <v>480</v>
      </c>
      <c r="BD787" t="s">
        <v>481</v>
      </c>
      <c r="BE787" t="s">
        <v>486</v>
      </c>
      <c r="BF787" t="s">
        <v>487</v>
      </c>
      <c r="BG787" t="s">
        <v>484</v>
      </c>
      <c r="BH787" t="s">
        <v>485</v>
      </c>
      <c r="BI787" t="s">
        <v>488</v>
      </c>
      <c r="BJ787" t="s">
        <v>489</v>
      </c>
      <c r="BK787" t="s">
        <v>312</v>
      </c>
      <c r="BL787" t="s">
        <v>258</v>
      </c>
      <c r="BM787" t="s">
        <v>486</v>
      </c>
      <c r="BN787" t="s">
        <v>490</v>
      </c>
      <c r="BO787" t="s">
        <v>487</v>
      </c>
      <c r="BP787" t="s">
        <v>490</v>
      </c>
      <c r="BQ787" t="s">
        <v>488</v>
      </c>
      <c r="BR787" t="s">
        <v>490</v>
      </c>
      <c r="BS787" t="s">
        <v>489</v>
      </c>
      <c r="BT787" t="s">
        <v>490</v>
      </c>
      <c r="BU787" s="100"/>
    </row>
    <row r="788" x14ac:dyDescent="0.25">
      <c r="B788" t="s">
        <v>449</v>
      </c>
      <c r="C788" s="19">
        <v>0</v>
      </c>
      <c r="D788" s="19">
        <v>0</v>
      </c>
      <c r="E788" s="66">
        <f>C20+D20/12</f>
        <v>0</v>
      </c>
      <c r="F788" s="67">
        <v>0</v>
      </c>
      <c r="H788" s="19">
        <v>0</v>
      </c>
      <c r="I788" s="64" t="s">
        <v>196</v>
      </c>
      <c r="J788" s="19">
        <v>0</v>
      </c>
      <c r="K788" s="19">
        <v>0</v>
      </c>
      <c r="L788" s="19">
        <v>0</v>
      </c>
      <c r="M788" s="19">
        <v>0</v>
      </c>
      <c r="P788" s="93"/>
      <c r="Q788" t="s">
        <v>449</v>
      </c>
      <c r="R788" s="19">
        <f>$H$20</f>
        <v>0</v>
      </c>
      <c r="S788">
        <f>R788*0.6</f>
        <v>0</v>
      </c>
      <c r="T788">
        <f>$C$48/2*R788</f>
        <v>0</v>
      </c>
      <c r="U788">
        <f>T788*0.6</f>
        <v>0</v>
      </c>
      <c r="V788" s="19">
        <v>0</v>
      </c>
      <c r="W788">
        <f>V788*0.7</f>
        <v>0</v>
      </c>
      <c r="X788">
        <f>$C$48/2*V788</f>
        <v>0</v>
      </c>
      <c r="Y788">
        <f>X788*0.7</f>
        <v>0</v>
      </c>
      <c r="Z788" s="19">
        <f>$H$20</f>
        <v>0</v>
      </c>
      <c r="AA788">
        <f>Z788*0.6</f>
        <v>0</v>
      </c>
      <c r="AB788">
        <f>$D$48/2*Z788</f>
        <v>0</v>
      </c>
      <c r="AC788">
        <f t="shared" ref="AC788:AC794" si="474">0.6*AB788</f>
        <v>0</v>
      </c>
      <c r="AD788" s="19">
        <v>0</v>
      </c>
      <c r="AE788">
        <f>AD788*0.7</f>
        <v>0</v>
      </c>
      <c r="AF788">
        <f>$D$48/2*AD788</f>
        <v>0</v>
      </c>
      <c r="AG788">
        <f>AF788*0.7</f>
        <v>0</v>
      </c>
      <c r="AH788" s="19">
        <v>0</v>
      </c>
      <c r="AI788" s="19">
        <v>0</v>
      </c>
      <c r="AJ788" s="17">
        <f>T788+AB788+AH788</f>
        <v>0</v>
      </c>
      <c r="AK788" s="17">
        <f>AK789+AJ788</f>
        <v>13166</v>
      </c>
      <c r="AL788" s="17">
        <f>AJ788*0.6</f>
        <v>0</v>
      </c>
      <c r="AM788" s="17">
        <f>AM789+AL788</f>
        <v>7899.5999999999995</v>
      </c>
      <c r="AN788" s="17">
        <f>X788+AF788+AI788</f>
        <v>0</v>
      </c>
      <c r="AO788" s="17">
        <f t="shared" ref="AO788:AQ791" si="475">AN788+AO789</f>
        <v>1302.0999999999999</v>
      </c>
      <c r="AP788" s="17">
        <f>AN788*0.7</f>
        <v>0</v>
      </c>
      <c r="AQ788" s="17">
        <f>AP788+AQ789</f>
        <v>911.46999999999991</v>
      </c>
      <c r="AR788" s="100"/>
      <c r="AS788" s="93"/>
      <c r="AT788" t="s">
        <v>449</v>
      </c>
      <c r="AU788" s="19">
        <f>$H$20</f>
        <v>0</v>
      </c>
      <c r="AV788">
        <f>AU788*0.6</f>
        <v>0</v>
      </c>
      <c r="AW788">
        <f t="shared" ref="AW788:AW794" si="476">$I$48/2*AU788</f>
        <v>0</v>
      </c>
      <c r="AX788">
        <f>AW788*0.6</f>
        <v>0</v>
      </c>
      <c r="AY788" s="19">
        <v>0</v>
      </c>
      <c r="AZ788">
        <f>AY788*0.7</f>
        <v>0</v>
      </c>
      <c r="BA788">
        <f t="shared" ref="BA788:BA793" si="477">$I$48/2*AY788</f>
        <v>0</v>
      </c>
      <c r="BB788">
        <f>BA788*0.7</f>
        <v>0</v>
      </c>
      <c r="BC788" s="19">
        <f>$H$20</f>
        <v>0</v>
      </c>
      <c r="BD788">
        <f>BC788*0.6</f>
        <v>0</v>
      </c>
      <c r="BE788">
        <f t="shared" ref="BE788:BE794" si="478">$J$48/2*BC788</f>
        <v>0</v>
      </c>
      <c r="BF788">
        <f t="shared" ref="BF788:BF794" si="479">0.6*BE788</f>
        <v>0</v>
      </c>
      <c r="BG788" s="19">
        <v>0</v>
      </c>
      <c r="BH788">
        <f>BG788*0.7</f>
        <v>0</v>
      </c>
      <c r="BI788">
        <f t="shared" ref="BI788:BI793" si="480">$J$48/2*BG788</f>
        <v>0</v>
      </c>
      <c r="BJ788">
        <f>BI788*0.7</f>
        <v>0</v>
      </c>
      <c r="BK788" s="19">
        <v>0</v>
      </c>
      <c r="BL788" s="19">
        <v>0</v>
      </c>
      <c r="BM788" s="17">
        <f>AW788+BE788+BK788</f>
        <v>0</v>
      </c>
      <c r="BN788" s="17">
        <f>BN789+BM788</f>
        <v>12258</v>
      </c>
      <c r="BO788" s="17">
        <f>BM788*0.6</f>
        <v>0</v>
      </c>
      <c r="BP788" s="17">
        <f>BP789+BO788</f>
        <v>7354.7999999999993</v>
      </c>
      <c r="BQ788" s="17">
        <f>BA788+BI788+BL788</f>
        <v>0</v>
      </c>
      <c r="BR788" s="17">
        <f t="shared" ref="BR788:BR791" si="481">BQ788+BR789</f>
        <v>1212.3</v>
      </c>
      <c r="BS788" s="17">
        <f>BQ788*0.7</f>
        <v>0</v>
      </c>
      <c r="BT788" s="17">
        <f>BS788+BT789</f>
        <v>848.6099999999999</v>
      </c>
      <c r="BU788" s="100"/>
    </row>
    <row r="789" x14ac:dyDescent="0.25">
      <c r="B789" t="s">
        <v>450</v>
      </c>
      <c r="C789" s="19">
        <v>10</v>
      </c>
      <c r="D789" s="19">
        <v>8.25</v>
      </c>
      <c r="E789" s="66">
        <f>C21+D21/12</f>
        <v>10.6875</v>
      </c>
      <c r="F789" s="67">
        <f>IF(E21&gt;0,E21-(C15+C14+2*1.5+IF(C13="single",1.5,3))/12-_xlfn.XLOOKUP(E21,E20,E20,,-1),0)</f>
        <v>8.75</v>
      </c>
      <c r="H789" s="19">
        <v>236</v>
      </c>
      <c r="I789" s="64" t="s">
        <v>196</v>
      </c>
      <c r="J789" s="19">
        <v>33.799999999999997</v>
      </c>
      <c r="K789" s="19">
        <v>65.599999999999994</v>
      </c>
      <c r="L789" s="19">
        <v>19.3</v>
      </c>
      <c r="M789" s="19">
        <v>119.6</v>
      </c>
      <c r="P789" s="93"/>
      <c r="Q789" t="s">
        <v>450</v>
      </c>
      <c r="R789" s="19">
        <f>$H$21</f>
        <v>236</v>
      </c>
      <c r="S789">
        <f t="shared" ref="S789:S794" si="482">R789*0.6</f>
        <v>141.6</v>
      </c>
      <c r="T789">
        <f t="shared" ref="T789:T793" si="483">$C$48/2*R789</f>
        <v>0</v>
      </c>
      <c r="U789">
        <f>T789*0.6</f>
        <v>0</v>
      </c>
      <c r="V789" s="19">
        <v>33.799999999999997</v>
      </c>
      <c r="W789">
        <f t="shared" ref="W789:W793" si="484">V789*0.7</f>
        <v>23.659999999999997</v>
      </c>
      <c r="X789">
        <f t="shared" ref="X789:X793" si="485">$C$48/2*V789</f>
        <v>0</v>
      </c>
      <c r="Y789">
        <f t="shared" ref="Y789:Y793" si="486">X789*0.7</f>
        <v>0</v>
      </c>
      <c r="Z789" s="19">
        <f>$H$21</f>
        <v>236</v>
      </c>
      <c r="AA789">
        <f t="shared" ref="AA789:AA793" si="487">Z789*0.6</f>
        <v>141.6</v>
      </c>
      <c r="AB789">
        <f t="shared" ref="AB789:AB793" si="488">$D$48/2*Z789</f>
        <v>3422</v>
      </c>
      <c r="AC789">
        <f t="shared" si="474"/>
        <v>2053.1999999999998</v>
      </c>
      <c r="AD789" s="19">
        <v>33.799999999999997</v>
      </c>
      <c r="AE789">
        <f t="shared" ref="AE789:AE793" si="489">AD789*0.7</f>
        <v>23.659999999999997</v>
      </c>
      <c r="AF789">
        <f t="shared" ref="AF789:AF793" si="490">$D$48/2*AD789</f>
        <v>490.09999999999997</v>
      </c>
      <c r="AG789">
        <f t="shared" ref="AG789:AG793" si="491">AF789*0.7</f>
        <v>343.06999999999994</v>
      </c>
      <c r="AH789" s="19">
        <v>0</v>
      </c>
      <c r="AI789" s="19">
        <v>0</v>
      </c>
      <c r="AJ789" s="17">
        <f>T789+AB789+AH789</f>
        <v>3422</v>
      </c>
      <c r="AK789" s="17">
        <f>AK790+AJ789</f>
        <v>13166</v>
      </c>
      <c r="AL789" s="17">
        <f t="shared" ref="AL789:AL793" si="492">AJ789*0.6</f>
        <v>2053.1999999999998</v>
      </c>
      <c r="AM789" s="17">
        <f t="shared" ref="AM789:AM791" si="493">AM790+AL789</f>
        <v>7899.5999999999995</v>
      </c>
      <c r="AN789" s="17">
        <f t="shared" ref="AN789:AN792" si="494">X789+AF789+AI789</f>
        <v>490.09999999999997</v>
      </c>
      <c r="AO789" s="17">
        <f t="shared" si="475"/>
        <v>1302.0999999999999</v>
      </c>
      <c r="AP789" s="17">
        <f t="shared" ref="AP789:AP792" si="495">AN789*0.7</f>
        <v>343.06999999999994</v>
      </c>
      <c r="AQ789" s="17">
        <f t="shared" si="475"/>
        <v>911.46999999999991</v>
      </c>
      <c r="AR789" s="100"/>
      <c r="AS789" s="93"/>
      <c r="AT789" t="s">
        <v>450</v>
      </c>
      <c r="AU789" s="19">
        <f>$H$21</f>
        <v>236</v>
      </c>
      <c r="AV789">
        <f t="shared" ref="AV789:AV794" si="496">AU789*0.6</f>
        <v>141.6</v>
      </c>
      <c r="AW789">
        <f t="shared" si="476"/>
        <v>0</v>
      </c>
      <c r="AX789">
        <f>AW789*0.6</f>
        <v>0</v>
      </c>
      <c r="AY789" s="19">
        <v>33.799999999999997</v>
      </c>
      <c r="AZ789">
        <f t="shared" ref="AZ789:AZ793" si="497">AY789*0.7</f>
        <v>23.659999999999997</v>
      </c>
      <c r="BA789">
        <f t="shared" si="477"/>
        <v>0</v>
      </c>
      <c r="BB789">
        <f t="shared" ref="BB789:BB793" si="498">BA789*0.7</f>
        <v>0</v>
      </c>
      <c r="BC789" s="19">
        <f>$H$21</f>
        <v>236</v>
      </c>
      <c r="BD789">
        <f t="shared" ref="BD789:BD793" si="499">BC789*0.6</f>
        <v>141.6</v>
      </c>
      <c r="BE789">
        <f t="shared" si="478"/>
        <v>3186</v>
      </c>
      <c r="BF789">
        <f t="shared" si="479"/>
        <v>1911.6</v>
      </c>
      <c r="BG789" s="19">
        <v>33.799999999999997</v>
      </c>
      <c r="BH789">
        <f t="shared" ref="BH789:BH793" si="500">BG789*0.7</f>
        <v>23.659999999999997</v>
      </c>
      <c r="BI789">
        <f t="shared" si="480"/>
        <v>456.29999999999995</v>
      </c>
      <c r="BJ789">
        <f t="shared" ref="BJ789:BJ793" si="501">BI789*0.7</f>
        <v>319.40999999999997</v>
      </c>
      <c r="BK789" s="19">
        <v>0</v>
      </c>
      <c r="BL789" s="19">
        <v>0</v>
      </c>
      <c r="BM789" s="17">
        <f>AW789+BE789+BK789</f>
        <v>3186</v>
      </c>
      <c r="BN789" s="17">
        <f>BN790+BM789</f>
        <v>12258</v>
      </c>
      <c r="BO789" s="17">
        <f t="shared" ref="BO789" si="502">BM789*0.6</f>
        <v>1911.6</v>
      </c>
      <c r="BP789" s="17">
        <f t="shared" ref="BP789:BP791" si="503">BP790+BO789</f>
        <v>7354.7999999999993</v>
      </c>
      <c r="BQ789" s="17">
        <f t="shared" ref="BQ789:BQ792" si="504">BA789+BI789+BL789</f>
        <v>456.29999999999995</v>
      </c>
      <c r="BR789" s="17">
        <f t="shared" si="481"/>
        <v>1212.3</v>
      </c>
      <c r="BS789" s="17">
        <f t="shared" ref="BS789:BS792" si="505">BQ789*0.7</f>
        <v>319.40999999999997</v>
      </c>
      <c r="BT789" s="17">
        <f t="shared" ref="BT789:BT791" si="506">BS789+BT790</f>
        <v>848.6099999999999</v>
      </c>
      <c r="BU789" s="100"/>
    </row>
    <row r="790" x14ac:dyDescent="0.25">
      <c r="B790" t="s">
        <v>451</v>
      </c>
      <c r="C790" s="19">
        <v>21</v>
      </c>
      <c r="D790" s="19">
        <v>4.5</v>
      </c>
      <c r="E790" s="66">
        <f t="shared" ref="E22:E25" si="507">C22+D22/12</f>
        <v>21.375</v>
      </c>
      <c r="F790" s="67">
        <f>IF(E22&gt;0,E22-(C15+C14+2*1.5+IF(C13="single",1.5,3))/12-_xlfn.XLOOKUP(E22,E20:E21,E20:E21,,-1),0)</f>
        <v>8.75</v>
      </c>
      <c r="H790" s="19">
        <v>229</v>
      </c>
      <c r="I790" s="64" t="s">
        <v>196</v>
      </c>
      <c r="J790" s="19">
        <v>37.1</v>
      </c>
      <c r="K790" s="19">
        <v>71.8</v>
      </c>
      <c r="L790" s="19">
        <v>21.1</v>
      </c>
      <c r="M790" s="19">
        <v>131.1</v>
      </c>
      <c r="P790" s="93"/>
      <c r="Q790" t="s">
        <v>451</v>
      </c>
      <c r="R790" s="19">
        <f>$H$22</f>
        <v>229</v>
      </c>
      <c r="S790">
        <f t="shared" si="482"/>
        <v>137.4</v>
      </c>
      <c r="T790">
        <f t="shared" si="483"/>
        <v>0</v>
      </c>
      <c r="U790">
        <f t="shared" ref="U790:U794" si="508">T790*0.6</f>
        <v>0</v>
      </c>
      <c r="V790" s="19">
        <v>37.1</v>
      </c>
      <c r="W790">
        <f t="shared" si="484"/>
        <v>25.97</v>
      </c>
      <c r="X790">
        <f>$C$48/2*V790</f>
        <v>0</v>
      </c>
      <c r="Y790">
        <f t="shared" si="486"/>
        <v>0</v>
      </c>
      <c r="Z790" s="19">
        <f>$H$22</f>
        <v>229</v>
      </c>
      <c r="AA790">
        <f t="shared" si="487"/>
        <v>137.4</v>
      </c>
      <c r="AB790">
        <f t="shared" si="488"/>
        <v>3320.5</v>
      </c>
      <c r="AC790">
        <f t="shared" si="474"/>
        <v>1992.3</v>
      </c>
      <c r="AD790" s="19">
        <v>37.1</v>
      </c>
      <c r="AE790">
        <f t="shared" si="489"/>
        <v>25.97</v>
      </c>
      <c r="AF790">
        <f t="shared" si="490"/>
        <v>537.95000000000005</v>
      </c>
      <c r="AG790">
        <f t="shared" si="491"/>
        <v>376.565</v>
      </c>
      <c r="AH790" s="19">
        <v>0</v>
      </c>
      <c r="AI790" s="19">
        <v>0</v>
      </c>
      <c r="AJ790" s="17">
        <f t="shared" ref="AJ790:AJ792" si="509">T790+AB790+AH790</f>
        <v>3320.5</v>
      </c>
      <c r="AK790" s="17">
        <f>AK791+AJ790</f>
        <v>9744</v>
      </c>
      <c r="AL790" s="17">
        <f>AJ790*0.6</f>
        <v>1992.3</v>
      </c>
      <c r="AM790" s="17">
        <f t="shared" si="493"/>
        <v>5846.4</v>
      </c>
      <c r="AN790" s="17">
        <f t="shared" si="494"/>
        <v>537.95000000000005</v>
      </c>
      <c r="AO790" s="17">
        <f t="shared" si="475"/>
        <v>812</v>
      </c>
      <c r="AP790" s="17">
        <f t="shared" si="495"/>
        <v>376.565</v>
      </c>
      <c r="AQ790" s="17">
        <f t="shared" si="475"/>
        <v>568.4</v>
      </c>
      <c r="AR790" s="100"/>
      <c r="AS790" s="93"/>
      <c r="AT790" t="s">
        <v>451</v>
      </c>
      <c r="AU790" s="19">
        <f>$H$22</f>
        <v>229</v>
      </c>
      <c r="AV790">
        <f t="shared" si="496"/>
        <v>137.4</v>
      </c>
      <c r="AW790">
        <f t="shared" si="476"/>
        <v>0</v>
      </c>
      <c r="AX790">
        <f t="shared" ref="AX790:AX794" si="510">AW790*0.6</f>
        <v>0</v>
      </c>
      <c r="AY790" s="19">
        <v>37.1</v>
      </c>
      <c r="AZ790">
        <f t="shared" si="497"/>
        <v>25.97</v>
      </c>
      <c r="BA790">
        <f t="shared" si="477"/>
        <v>0</v>
      </c>
      <c r="BB790">
        <f t="shared" si="498"/>
        <v>0</v>
      </c>
      <c r="BC790" s="19">
        <f>$H$22</f>
        <v>229</v>
      </c>
      <c r="BD790">
        <f t="shared" si="499"/>
        <v>137.4</v>
      </c>
      <c r="BE790">
        <f t="shared" si="478"/>
        <v>3091.5</v>
      </c>
      <c r="BF790">
        <f t="shared" si="479"/>
        <v>1854.8999999999999</v>
      </c>
      <c r="BG790" s="19">
        <v>37.1</v>
      </c>
      <c r="BH790">
        <f t="shared" si="500"/>
        <v>25.97</v>
      </c>
      <c r="BI790">
        <f t="shared" si="480"/>
        <v>500.85</v>
      </c>
      <c r="BJ790">
        <f t="shared" si="501"/>
        <v>350.59499999999997</v>
      </c>
      <c r="BK790" s="19">
        <v>0</v>
      </c>
      <c r="BL790" s="19">
        <v>0</v>
      </c>
      <c r="BM790" s="17">
        <f t="shared" ref="BM790:BM792" si="511">AW790+BE790+BK790</f>
        <v>3091.5</v>
      </c>
      <c r="BN790" s="17">
        <f>BN791+BM790</f>
        <v>9072</v>
      </c>
      <c r="BO790" s="17">
        <f>BM790*0.6</f>
        <v>1854.8999999999999</v>
      </c>
      <c r="BP790" s="17">
        <f t="shared" si="503"/>
        <v>5443.2</v>
      </c>
      <c r="BQ790" s="17">
        <f t="shared" si="504"/>
        <v>500.85</v>
      </c>
      <c r="BR790" s="17">
        <f t="shared" si="481"/>
        <v>756</v>
      </c>
      <c r="BS790" s="17">
        <f t="shared" si="505"/>
        <v>350.59499999999997</v>
      </c>
      <c r="BT790" s="17">
        <f t="shared" si="506"/>
        <v>529.19999999999993</v>
      </c>
      <c r="BU790" s="100"/>
    </row>
    <row r="791" x14ac:dyDescent="0.25">
      <c r="B791" t="s">
        <v>452</v>
      </c>
      <c r="C791" s="19">
        <v>0</v>
      </c>
      <c r="D791" s="19">
        <v>0</v>
      </c>
      <c r="E791" s="66">
        <f t="shared" si="507"/>
        <v>0</v>
      </c>
      <c r="F791" s="67">
        <f>IF(E23&gt;0,E23-(C15+C14+2*1.5+IF(C13="single",1.5,3))/12-_xlfn.XLOOKUP(E23,E20:E22,E20:E22,,-1),0)</f>
        <v>0</v>
      </c>
      <c r="H791" s="19">
        <v>0</v>
      </c>
      <c r="I791" s="64" t="s">
        <v>196</v>
      </c>
      <c r="J791" s="19">
        <v>0</v>
      </c>
      <c r="K791" s="19">
        <v>0</v>
      </c>
      <c r="L791" s="19">
        <v>0</v>
      </c>
      <c r="M791" s="19">
        <v>0</v>
      </c>
      <c r="P791" s="93"/>
      <c r="Q791" t="s">
        <v>452</v>
      </c>
      <c r="R791" s="19">
        <f>$H$23</f>
        <v>0</v>
      </c>
      <c r="S791">
        <f t="shared" si="482"/>
        <v>0</v>
      </c>
      <c r="T791">
        <f t="shared" si="483"/>
        <v>0</v>
      </c>
      <c r="U791">
        <f t="shared" si="508"/>
        <v>0</v>
      </c>
      <c r="V791" s="19">
        <v>0</v>
      </c>
      <c r="W791">
        <f t="shared" si="484"/>
        <v>0</v>
      </c>
      <c r="X791">
        <f t="shared" si="485"/>
        <v>0</v>
      </c>
      <c r="Y791">
        <f t="shared" si="486"/>
        <v>0</v>
      </c>
      <c r="Z791" s="19">
        <f>$H$23</f>
        <v>0</v>
      </c>
      <c r="AA791">
        <f t="shared" si="487"/>
        <v>0</v>
      </c>
      <c r="AB791">
        <f t="shared" si="488"/>
        <v>0</v>
      </c>
      <c r="AC791">
        <f t="shared" si="474"/>
        <v>0</v>
      </c>
      <c r="AD791" s="19">
        <v>0</v>
      </c>
      <c r="AE791">
        <f t="shared" si="489"/>
        <v>0</v>
      </c>
      <c r="AF791">
        <f t="shared" si="490"/>
        <v>0</v>
      </c>
      <c r="AG791">
        <f t="shared" si="491"/>
        <v>0</v>
      </c>
      <c r="AH791" s="19">
        <v>0</v>
      </c>
      <c r="AI791" s="19">
        <v>0</v>
      </c>
      <c r="AJ791" s="17">
        <f t="shared" si="509"/>
        <v>0</v>
      </c>
      <c r="AK791" s="17">
        <f>AK792+AJ791</f>
        <v>6423.5</v>
      </c>
      <c r="AL791" s="17">
        <f>AJ791*0.6</f>
        <v>0</v>
      </c>
      <c r="AM791" s="17">
        <f t="shared" si="493"/>
        <v>3854.1</v>
      </c>
      <c r="AN791" s="17">
        <f t="shared" si="494"/>
        <v>0</v>
      </c>
      <c r="AO791" s="17">
        <f t="shared" si="475"/>
        <v>274.04999999999995</v>
      </c>
      <c r="AP791" s="17">
        <f t="shared" si="495"/>
        <v>0</v>
      </c>
      <c r="AQ791" s="17">
        <f t="shared" si="475"/>
        <v>191.83499999999995</v>
      </c>
      <c r="AR791" s="100"/>
      <c r="AS791" s="93"/>
      <c r="AT791" t="s">
        <v>452</v>
      </c>
      <c r="AU791" s="19">
        <f>$H$23</f>
        <v>0</v>
      </c>
      <c r="AV791">
        <f t="shared" si="496"/>
        <v>0</v>
      </c>
      <c r="AW791">
        <f t="shared" si="476"/>
        <v>0</v>
      </c>
      <c r="AX791">
        <f t="shared" si="510"/>
        <v>0</v>
      </c>
      <c r="AY791" s="19">
        <v>0</v>
      </c>
      <c r="AZ791">
        <f t="shared" si="497"/>
        <v>0</v>
      </c>
      <c r="BA791">
        <f t="shared" si="477"/>
        <v>0</v>
      </c>
      <c r="BB791">
        <f t="shared" si="498"/>
        <v>0</v>
      </c>
      <c r="BC791" s="19">
        <f>$H$23</f>
        <v>0</v>
      </c>
      <c r="BD791">
        <f t="shared" si="499"/>
        <v>0</v>
      </c>
      <c r="BE791">
        <f t="shared" si="478"/>
        <v>0</v>
      </c>
      <c r="BF791">
        <f t="shared" si="479"/>
        <v>0</v>
      </c>
      <c r="BG791" s="19">
        <v>0</v>
      </c>
      <c r="BH791">
        <f t="shared" si="500"/>
        <v>0</v>
      </c>
      <c r="BI791">
        <f t="shared" si="480"/>
        <v>0</v>
      </c>
      <c r="BJ791">
        <f t="shared" si="501"/>
        <v>0</v>
      </c>
      <c r="BK791" s="19">
        <v>0</v>
      </c>
      <c r="BL791" s="19">
        <v>0</v>
      </c>
      <c r="BM791" s="17">
        <f t="shared" si="511"/>
        <v>0</v>
      </c>
      <c r="BN791" s="17">
        <f>BN792+BM791</f>
        <v>5980.5</v>
      </c>
      <c r="BO791" s="17">
        <f>BM791*0.6</f>
        <v>0</v>
      </c>
      <c r="BP791" s="17">
        <f t="shared" si="503"/>
        <v>3588.2999999999997</v>
      </c>
      <c r="BQ791" s="17">
        <f t="shared" si="504"/>
        <v>0</v>
      </c>
      <c r="BR791" s="17">
        <f t="shared" si="481"/>
        <v>255.14999999999998</v>
      </c>
      <c r="BS791" s="17">
        <f t="shared" si="505"/>
        <v>0</v>
      </c>
      <c r="BT791" s="17">
        <f t="shared" si="506"/>
        <v>178.60499999999996</v>
      </c>
      <c r="BU791" s="100"/>
    </row>
    <row r="792" x14ac:dyDescent="0.25">
      <c r="B792" t="s">
        <v>453</v>
      </c>
      <c r="C792" s="19">
        <v>0</v>
      </c>
      <c r="D792" s="19">
        <v>0</v>
      </c>
      <c r="E792" s="66">
        <f t="shared" si="507"/>
        <v>0</v>
      </c>
      <c r="F792" s="67">
        <f>IF(E24&gt;0,E24-(C15+C14+2*1.5+IF(C13="single",1.5,3))/12-_xlfn.XLOOKUP(E24,E20:E23,E20:E23,,-1),0)</f>
        <v>0</v>
      </c>
      <c r="H792" s="19">
        <v>0</v>
      </c>
      <c r="I792" s="64" t="s">
        <v>196</v>
      </c>
      <c r="J792" s="19">
        <v>0</v>
      </c>
      <c r="K792" s="19">
        <v>0</v>
      </c>
      <c r="L792" s="19">
        <v>0</v>
      </c>
      <c r="M792" s="19">
        <v>0</v>
      </c>
      <c r="P792" s="93"/>
      <c r="Q792" t="s">
        <v>453</v>
      </c>
      <c r="R792" s="19">
        <f>$H$24</f>
        <v>0</v>
      </c>
      <c r="S792">
        <f t="shared" si="482"/>
        <v>0</v>
      </c>
      <c r="T792">
        <f t="shared" si="483"/>
        <v>0</v>
      </c>
      <c r="U792">
        <f t="shared" si="508"/>
        <v>0</v>
      </c>
      <c r="V792" s="19">
        <v>0</v>
      </c>
      <c r="W792">
        <f t="shared" si="484"/>
        <v>0</v>
      </c>
      <c r="X792">
        <f t="shared" si="485"/>
        <v>0</v>
      </c>
      <c r="Y792">
        <f t="shared" si="486"/>
        <v>0</v>
      </c>
      <c r="Z792" s="19">
        <f>$H$24</f>
        <v>0</v>
      </c>
      <c r="AA792">
        <f t="shared" si="487"/>
        <v>0</v>
      </c>
      <c r="AB792">
        <f t="shared" si="488"/>
        <v>0</v>
      </c>
      <c r="AC792">
        <f t="shared" si="474"/>
        <v>0</v>
      </c>
      <c r="AD792" s="19">
        <v>0</v>
      </c>
      <c r="AE792">
        <f t="shared" si="489"/>
        <v>0</v>
      </c>
      <c r="AF792">
        <f t="shared" si="490"/>
        <v>0</v>
      </c>
      <c r="AG792">
        <f t="shared" si="491"/>
        <v>0</v>
      </c>
      <c r="AH792" s="19">
        <v>0</v>
      </c>
      <c r="AI792" s="19">
        <v>0</v>
      </c>
      <c r="AJ792" s="17">
        <f t="shared" si="509"/>
        <v>0</v>
      </c>
      <c r="AK792" s="17">
        <f>AK793+IF(AJ792=0,0,AJ792)</f>
        <v>6423.5</v>
      </c>
      <c r="AL792" s="17">
        <f t="shared" si="492"/>
        <v>0</v>
      </c>
      <c r="AM792" s="17">
        <f>AM793+AL792</f>
        <v>3854.1</v>
      </c>
      <c r="AN792" s="17">
        <f t="shared" si="494"/>
        <v>0</v>
      </c>
      <c r="AO792" s="17">
        <f>AN792+AO793</f>
        <v>274.04999999999995</v>
      </c>
      <c r="AP792" s="17">
        <f t="shared" si="495"/>
        <v>0</v>
      </c>
      <c r="AQ792" s="17">
        <f>AP792+AQ793</f>
        <v>191.83499999999995</v>
      </c>
      <c r="AR792" s="100"/>
      <c r="AS792" s="93"/>
      <c r="AT792" t="s">
        <v>453</v>
      </c>
      <c r="AU792" s="19">
        <f>$H$24</f>
        <v>0</v>
      </c>
      <c r="AV792">
        <f t="shared" si="496"/>
        <v>0</v>
      </c>
      <c r="AW792">
        <f t="shared" si="476"/>
        <v>0</v>
      </c>
      <c r="AX792">
        <f t="shared" si="510"/>
        <v>0</v>
      </c>
      <c r="AY792" s="19">
        <v>0</v>
      </c>
      <c r="AZ792">
        <f t="shared" si="497"/>
        <v>0</v>
      </c>
      <c r="BA792">
        <f t="shared" si="477"/>
        <v>0</v>
      </c>
      <c r="BB792">
        <f t="shared" si="498"/>
        <v>0</v>
      </c>
      <c r="BC792" s="19">
        <f>$H$24</f>
        <v>0</v>
      </c>
      <c r="BD792">
        <f t="shared" si="499"/>
        <v>0</v>
      </c>
      <c r="BE792">
        <f t="shared" si="478"/>
        <v>0</v>
      </c>
      <c r="BF792">
        <f t="shared" si="479"/>
        <v>0</v>
      </c>
      <c r="BG792" s="19">
        <v>0</v>
      </c>
      <c r="BH792">
        <f t="shared" si="500"/>
        <v>0</v>
      </c>
      <c r="BI792">
        <f t="shared" si="480"/>
        <v>0</v>
      </c>
      <c r="BJ792">
        <f t="shared" si="501"/>
        <v>0</v>
      </c>
      <c r="BK792" s="19">
        <v>0</v>
      </c>
      <c r="BL792" s="19">
        <v>0</v>
      </c>
      <c r="BM792" s="17">
        <f t="shared" si="511"/>
        <v>0</v>
      </c>
      <c r="BN792" s="17">
        <f>BN793+IF(BM792=0,0,BM792)</f>
        <v>5980.5</v>
      </c>
      <c r="BO792" s="17">
        <f t="shared" ref="BO792:BO793" si="512">BM792*0.6</f>
        <v>0</v>
      </c>
      <c r="BP792" s="17">
        <f>BP793+BO792</f>
        <v>3588.2999999999997</v>
      </c>
      <c r="BQ792" s="17">
        <f t="shared" si="504"/>
        <v>0</v>
      </c>
      <c r="BR792" s="17">
        <f>BQ792+BR793</f>
        <v>255.14999999999998</v>
      </c>
      <c r="BS792" s="17">
        <f t="shared" si="505"/>
        <v>0</v>
      </c>
      <c r="BT792" s="17">
        <f>BS792+BT793</f>
        <v>178.60499999999996</v>
      </c>
      <c r="BU792" s="100"/>
    </row>
    <row r="793" x14ac:dyDescent="0.25">
      <c r="B793" t="s">
        <v>275</v>
      </c>
      <c r="C793" s="19">
        <f>(33+32)/2</f>
        <v>32.5</v>
      </c>
      <c r="D793" s="19">
        <f>(10.5+5.625)/2</f>
        <v>8.0625</v>
      </c>
      <c r="E793" s="68">
        <f t="shared" si="507"/>
        <v>33.171875</v>
      </c>
      <c r="F793" s="69">
        <f>E25-(C17+C16+2*1.5+IF(C13="single",1.5,3))/12-_xlfn.XLOOKUP(E25,E20:E24,E20:E24,,-1)</f>
        <v>8.6770833333333321</v>
      </c>
      <c r="H793" s="19">
        <v>443</v>
      </c>
      <c r="I793" s="64" t="s">
        <v>196</v>
      </c>
      <c r="J793" s="19">
        <v>18.899999999999999</v>
      </c>
      <c r="K793" s="19">
        <v>36.6</v>
      </c>
      <c r="L793" s="19">
        <v>10.8</v>
      </c>
      <c r="M793" s="19">
        <v>66.7</v>
      </c>
      <c r="P793" s="93"/>
      <c r="Q793" t="s">
        <v>275</v>
      </c>
      <c r="R793" s="19">
        <f>$H$25</f>
        <v>443</v>
      </c>
      <c r="S793">
        <f t="shared" si="482"/>
        <v>265.8</v>
      </c>
      <c r="T793">
        <f t="shared" si="483"/>
        <v>0</v>
      </c>
      <c r="U793">
        <f t="shared" si="508"/>
        <v>0</v>
      </c>
      <c r="V793" s="19">
        <v>18.899999999999999</v>
      </c>
      <c r="W793">
        <f t="shared" si="484"/>
        <v>13.229999999999999</v>
      </c>
      <c r="X793">
        <f t="shared" si="485"/>
        <v>0</v>
      </c>
      <c r="Y793">
        <f t="shared" si="486"/>
        <v>0</v>
      </c>
      <c r="Z793" s="19">
        <f>$H$25</f>
        <v>443</v>
      </c>
      <c r="AA793">
        <f t="shared" si="487"/>
        <v>265.8</v>
      </c>
      <c r="AB793">
        <f t="shared" si="488"/>
        <v>6423.5</v>
      </c>
      <c r="AC793">
        <f t="shared" si="474"/>
        <v>3854.1</v>
      </c>
      <c r="AD793" s="19">
        <v>18.899999999999999</v>
      </c>
      <c r="AE793">
        <f t="shared" si="489"/>
        <v>13.229999999999999</v>
      </c>
      <c r="AF793">
        <f t="shared" si="490"/>
        <v>274.04999999999995</v>
      </c>
      <c r="AG793">
        <f t="shared" si="491"/>
        <v>191.83499999999995</v>
      </c>
      <c r="AH793" s="19">
        <v>0</v>
      </c>
      <c r="AI793" s="19">
        <v>0</v>
      </c>
      <c r="AJ793" s="17">
        <f>T793+AB793+AH793</f>
        <v>6423.5</v>
      </c>
      <c r="AK793" s="17">
        <f>AJ793</f>
        <v>6423.5</v>
      </c>
      <c r="AL793" s="17">
        <f t="shared" si="492"/>
        <v>3854.1</v>
      </c>
      <c r="AM793" s="17">
        <f>AL793</f>
        <v>3854.1</v>
      </c>
      <c r="AN793" s="17">
        <f>X793+AF793+AI793</f>
        <v>274.04999999999995</v>
      </c>
      <c r="AO793" s="17">
        <f>AN793</f>
        <v>274.04999999999995</v>
      </c>
      <c r="AP793" s="17">
        <f>AN793*0.7</f>
        <v>191.83499999999995</v>
      </c>
      <c r="AQ793" s="17">
        <f>AP793</f>
        <v>191.83499999999995</v>
      </c>
      <c r="AR793" s="100"/>
      <c r="AS793" s="93"/>
      <c r="AT793" t="s">
        <v>275</v>
      </c>
      <c r="AU793" s="19">
        <f>$H$25</f>
        <v>443</v>
      </c>
      <c r="AV793">
        <f t="shared" si="496"/>
        <v>265.8</v>
      </c>
      <c r="AW793">
        <f t="shared" si="476"/>
        <v>0</v>
      </c>
      <c r="AX793">
        <f t="shared" si="510"/>
        <v>0</v>
      </c>
      <c r="AY793" s="19">
        <v>18.899999999999999</v>
      </c>
      <c r="AZ793">
        <f t="shared" si="497"/>
        <v>13.229999999999999</v>
      </c>
      <c r="BA793">
        <f t="shared" si="477"/>
        <v>0</v>
      </c>
      <c r="BB793">
        <f t="shared" si="498"/>
        <v>0</v>
      </c>
      <c r="BC793" s="19">
        <f>$H$25</f>
        <v>443</v>
      </c>
      <c r="BD793">
        <f t="shared" si="499"/>
        <v>265.8</v>
      </c>
      <c r="BE793">
        <f t="shared" si="478"/>
        <v>5980.5</v>
      </c>
      <c r="BF793">
        <f t="shared" si="479"/>
        <v>3588.2999999999997</v>
      </c>
      <c r="BG793" s="19">
        <v>18.899999999999999</v>
      </c>
      <c r="BH793">
        <f t="shared" si="500"/>
        <v>13.229999999999999</v>
      </c>
      <c r="BI793">
        <f t="shared" si="480"/>
        <v>255.14999999999998</v>
      </c>
      <c r="BJ793">
        <f t="shared" si="501"/>
        <v>178.60499999999996</v>
      </c>
      <c r="BK793" s="19">
        <v>0</v>
      </c>
      <c r="BL793" s="19">
        <v>0</v>
      </c>
      <c r="BM793" s="17">
        <f>AW793+BE793+BK793</f>
        <v>5980.5</v>
      </c>
      <c r="BN793" s="17">
        <f>BM793</f>
        <v>5980.5</v>
      </c>
      <c r="BO793" s="17">
        <f t="shared" si="512"/>
        <v>3588.2999999999997</v>
      </c>
      <c r="BP793" s="17">
        <f>BO793</f>
        <v>3588.2999999999997</v>
      </c>
      <c r="BQ793" s="17">
        <f>BA793+BI793+BL793</f>
        <v>255.14999999999998</v>
      </c>
      <c r="BR793" s="17">
        <f>BQ793</f>
        <v>255.14999999999998</v>
      </c>
      <c r="BS793" s="17">
        <f>BQ793*0.7</f>
        <v>178.60499999999996</v>
      </c>
      <c r="BT793" s="17">
        <f>BS793</f>
        <v>178.60499999999996</v>
      </c>
      <c r="BU793" s="100"/>
    </row>
    <row r="794" x14ac:dyDescent="0.25">
      <c r="B794" t="s">
        <v>530</v>
      </c>
      <c r="E794" s="73"/>
      <c r="F794" s="73"/>
      <c r="H794" s="19">
        <v>-22.9</v>
      </c>
      <c r="I794" s="64" t="s">
        <v>270</v>
      </c>
      <c r="P794" s="93"/>
      <c r="R794" s="19">
        <f>$H$26</f>
        <v>-22.9</v>
      </c>
      <c r="S794">
        <f t="shared" si="482"/>
        <v>-13.739999999999998</v>
      </c>
      <c r="T794">
        <f>$I$48/2*R794</f>
        <v>0</v>
      </c>
      <c r="U794">
        <f t="shared" si="508"/>
        <v>0</v>
      </c>
      <c r="Z794" s="19">
        <f>$H$26</f>
        <v>-22.9</v>
      </c>
      <c r="AA794">
        <f>Z794*0.6</f>
        <v>-13.739999999999998</v>
      </c>
      <c r="AB794">
        <f>$J$48/2*Z794</f>
        <v>-309.14999999999998</v>
      </c>
      <c r="AC794">
        <f t="shared" si="474"/>
        <v>-185.48999999999998</v>
      </c>
      <c r="AR794" s="100"/>
      <c r="AS794" s="93"/>
      <c r="AU794" s="19">
        <f>$H$26</f>
        <v>-22.9</v>
      </c>
      <c r="AV794">
        <f t="shared" si="496"/>
        <v>-13.739999999999998</v>
      </c>
      <c r="AW794">
        <f t="shared" si="476"/>
        <v>0</v>
      </c>
      <c r="AX794">
        <f t="shared" si="510"/>
        <v>0</v>
      </c>
      <c r="BC794" s="19">
        <f>$H$26</f>
        <v>-22.9</v>
      </c>
      <c r="BD794">
        <f>BC794*0.6</f>
        <v>-13.739999999999998</v>
      </c>
      <c r="BE794">
        <f t="shared" si="478"/>
        <v>-309.14999999999998</v>
      </c>
      <c r="BF794">
        <f t="shared" si="479"/>
        <v>-185.48999999999998</v>
      </c>
      <c r="BU794" s="100"/>
    </row>
    <row r="795" x14ac:dyDescent="0.25">
      <c r="B795" t="s">
        <v>531</v>
      </c>
      <c r="C795" s="1" t="s">
        <v>533</v>
      </c>
      <c r="D795" s="19">
        <v>0.18</v>
      </c>
      <c r="E795" s="73"/>
      <c r="F795" s="73"/>
      <c r="H795">
        <f>0.2*D27</f>
        <v>3.5999999999999997E-2</v>
      </c>
      <c r="I795" s="64" t="s">
        <v>534</v>
      </c>
      <c r="P795" s="93"/>
      <c r="Q795" s="1"/>
      <c r="AR795" s="100"/>
      <c r="AS795" s="93"/>
      <c r="AT795" s="1"/>
      <c r="BU795" s="100"/>
    </row>
    <row r="796" x14ac:dyDescent="0.25">
      <c r="P796" s="93"/>
      <c r="Y796" s="112" t="s">
        <v>752</v>
      </c>
      <c r="Z796" s="112"/>
      <c r="AA796" s="112"/>
      <c r="AB796" s="112"/>
      <c r="AC796" s="112"/>
      <c r="AR796" s="100"/>
      <c r="AS796" s="93"/>
      <c r="BB796" s="112" t="s">
        <v>752</v>
      </c>
      <c r="BC796" s="112"/>
      <c r="BD796" s="112"/>
      <c r="BE796" s="112"/>
      <c r="BF796" s="112"/>
      <c r="BU796" s="100"/>
    </row>
    <row r="797" x14ac:dyDescent="0.25">
      <c r="B797" t="s">
        <v>513</v>
      </c>
      <c r="P797" s="93"/>
      <c r="Q797" t="s">
        <v>479</v>
      </c>
      <c r="R797" t="s">
        <v>491</v>
      </c>
      <c r="S797" t="s">
        <v>508</v>
      </c>
      <c r="T797" t="s">
        <v>507</v>
      </c>
      <c r="U797" t="s">
        <v>535</v>
      </c>
      <c r="V797" t="s">
        <v>536</v>
      </c>
      <c r="W797" t="s">
        <v>479</v>
      </c>
      <c r="X797" t="s">
        <v>537</v>
      </c>
      <c r="Y797" t="s">
        <v>450</v>
      </c>
      <c r="Z797" t="s">
        <v>451</v>
      </c>
      <c r="AA797" t="s">
        <v>452</v>
      </c>
      <c r="AB797" t="s">
        <v>453</v>
      </c>
      <c r="AC797" t="s">
        <v>753</v>
      </c>
      <c r="AD797" t="s">
        <v>519</v>
      </c>
      <c r="AR797" s="100"/>
      <c r="AS797" s="93"/>
      <c r="AT797" t="s">
        <v>479</v>
      </c>
      <c r="AU797" t="s">
        <v>491</v>
      </c>
      <c r="AV797" t="s">
        <v>508</v>
      </c>
      <c r="AW797" t="s">
        <v>507</v>
      </c>
      <c r="AX797" t="s">
        <v>535</v>
      </c>
      <c r="AY797" t="s">
        <v>536</v>
      </c>
      <c r="AZ797" t="s">
        <v>479</v>
      </c>
      <c r="BA797" t="s">
        <v>537</v>
      </c>
      <c r="BB797" t="s">
        <v>450</v>
      </c>
      <c r="BC797" t="s">
        <v>451</v>
      </c>
      <c r="BD797" t="s">
        <v>452</v>
      </c>
      <c r="BE797" t="s">
        <v>453</v>
      </c>
      <c r="BF797" t="s">
        <v>753</v>
      </c>
      <c r="BG797" t="s">
        <v>519</v>
      </c>
      <c r="BU797" s="100"/>
    </row>
    <row r="798" x14ac:dyDescent="0.25">
      <c r="B798" s="1" t="s">
        <v>275</v>
      </c>
      <c r="C798" s="19">
        <v>20</v>
      </c>
      <c r="D798" t="s">
        <v>567</v>
      </c>
      <c r="P798" s="93"/>
      <c r="Q798" s="109" t="str">
        <f>R784&amp;".01"</f>
        <v>A.01</v>
      </c>
      <c r="R798" s="19">
        <v>29</v>
      </c>
      <c r="S798" s="19">
        <v>12</v>
      </c>
      <c r="T798">
        <f>S798/2</f>
        <v>6</v>
      </c>
      <c r="U798" s="19">
        <v>4</v>
      </c>
      <c r="V798">
        <f>U798/2</f>
        <v>2</v>
      </c>
      <c r="W798" s="19" t="s">
        <v>515</v>
      </c>
      <c r="X798" s="19">
        <v>6</v>
      </c>
      <c r="Y798" s="19"/>
      <c r="Z798" s="19"/>
      <c r="AA798" s="19"/>
      <c r="AB798" s="19"/>
      <c r="AC798" s="19"/>
      <c r="AD798" s="108">
        <f>R798/R814</f>
        <v>1</v>
      </c>
      <c r="AR798" s="100"/>
      <c r="AS798" s="93"/>
      <c r="AT798" s="109" t="str">
        <f>AU$784&amp;".01"</f>
        <v>1.01</v>
      </c>
      <c r="AU798" s="19">
        <v>29</v>
      </c>
      <c r="AV798" s="19">
        <v>12</v>
      </c>
      <c r="AW798">
        <f>AV798/2</f>
        <v>6</v>
      </c>
      <c r="AX798" s="19">
        <v>4</v>
      </c>
      <c r="AY798">
        <f>AX798/2</f>
        <v>2</v>
      </c>
      <c r="AZ798" s="19" t="s">
        <v>515</v>
      </c>
      <c r="BA798" s="19">
        <v>6</v>
      </c>
      <c r="BB798" s="19"/>
      <c r="BC798" s="19"/>
      <c r="BD798" s="19"/>
      <c r="BE798" s="19"/>
      <c r="BF798" s="19"/>
      <c r="BG798" s="108">
        <f>AU798/AU814</f>
        <v>1</v>
      </c>
      <c r="BU798" s="100"/>
    </row>
    <row r="799" x14ac:dyDescent="0.25">
      <c r="B799" s="1"/>
      <c r="C799">
        <f>0.9*C30</f>
        <v>18</v>
      </c>
      <c r="D799" t="s">
        <v>532</v>
      </c>
      <c r="P799" s="93"/>
      <c r="Q799" s="109" t="str">
        <f>R784&amp;".02"</f>
        <v>A.02</v>
      </c>
      <c r="R799" s="19"/>
      <c r="S799" s="19"/>
      <c r="T799">
        <f t="shared" ref="T799:T813" si="513">S799/2</f>
        <v>0</v>
      </c>
      <c r="U799" s="19"/>
      <c r="V799">
        <f t="shared" ref="V799:V813" si="514">U799/2</f>
        <v>0</v>
      </c>
      <c r="W799" s="19"/>
      <c r="X799" s="19"/>
      <c r="Y799" s="19"/>
      <c r="Z799" s="19"/>
      <c r="AA799" s="19"/>
      <c r="AB799" s="19"/>
      <c r="AC799" s="19"/>
      <c r="AR799" s="100"/>
      <c r="AS799" s="93"/>
      <c r="AT799" s="109" t="str">
        <f>AU$784&amp;".02"</f>
        <v>1.02</v>
      </c>
      <c r="AU799" s="19"/>
      <c r="AV799" s="19"/>
      <c r="AW799">
        <f t="shared" ref="AW799:AW813" si="515">AV799/2</f>
        <v>0</v>
      </c>
      <c r="AX799" s="19"/>
      <c r="AY799">
        <f t="shared" ref="AY799:AY813" si="516">AX799/2</f>
        <v>0</v>
      </c>
      <c r="AZ799" s="19"/>
      <c r="BA799" s="19"/>
      <c r="BB799" s="19"/>
      <c r="BC799" s="19"/>
      <c r="BD799" s="19"/>
      <c r="BE799" s="19"/>
      <c r="BF799" s="19"/>
      <c r="BU799" s="100"/>
    </row>
    <row r="800" x14ac:dyDescent="0.25">
      <c r="B800" s="1" t="s">
        <v>514</v>
      </c>
      <c r="C800" s="19">
        <v>26</v>
      </c>
      <c r="D800" t="s">
        <v>512</v>
      </c>
      <c r="P800" s="93"/>
      <c r="Q800" s="109" t="str">
        <f>R784&amp;".03"</f>
        <v>A.03</v>
      </c>
      <c r="R800" s="19"/>
      <c r="S800" s="19"/>
      <c r="T800">
        <f t="shared" si="513"/>
        <v>0</v>
      </c>
      <c r="U800" s="19"/>
      <c r="V800">
        <f t="shared" si="514"/>
        <v>0</v>
      </c>
      <c r="W800" s="19"/>
      <c r="X800" s="19"/>
      <c r="Y800" s="19"/>
      <c r="Z800" s="19"/>
      <c r="AA800" s="19"/>
      <c r="AB800" s="19"/>
      <c r="AC800" s="19"/>
      <c r="AR800" s="100"/>
      <c r="AS800" s="93"/>
      <c r="AT800" s="109" t="str">
        <f>AU$784&amp;".03"</f>
        <v>1.03</v>
      </c>
      <c r="AU800" s="19"/>
      <c r="AV800" s="19"/>
      <c r="AW800">
        <f t="shared" si="515"/>
        <v>0</v>
      </c>
      <c r="AX800" s="19"/>
      <c r="AY800">
        <f t="shared" si="516"/>
        <v>0</v>
      </c>
      <c r="AZ800" s="19"/>
      <c r="BA800" s="19"/>
      <c r="BB800" s="19"/>
      <c r="BC800" s="19"/>
      <c r="BD800" s="19"/>
      <c r="BE800" s="19"/>
      <c r="BF800" s="19"/>
      <c r="BU800" s="100"/>
    </row>
    <row r="801" x14ac:dyDescent="0.25">
      <c r="B801" s="1" t="s">
        <v>477</v>
      </c>
      <c r="C801" s="19">
        <v>11</v>
      </c>
      <c r="D801" t="s">
        <v>509</v>
      </c>
      <c r="P801" s="93"/>
      <c r="Q801" s="109" t="str">
        <f>R784&amp;".04"</f>
        <v>A.04</v>
      </c>
      <c r="R801" s="19"/>
      <c r="S801" s="19"/>
      <c r="T801">
        <f t="shared" si="513"/>
        <v>0</v>
      </c>
      <c r="U801" s="19"/>
      <c r="V801">
        <f t="shared" si="514"/>
        <v>0</v>
      </c>
      <c r="W801" s="19"/>
      <c r="X801" s="19"/>
      <c r="Y801" s="19"/>
      <c r="Z801" s="19"/>
      <c r="AA801" s="19"/>
      <c r="AB801" s="19"/>
      <c r="AC801" s="19"/>
      <c r="AR801" s="100"/>
      <c r="AS801" s="93"/>
      <c r="AT801" s="109" t="str">
        <f>AU$784&amp;".04"</f>
        <v>1.04</v>
      </c>
      <c r="AU801" s="19"/>
      <c r="AV801" s="19"/>
      <c r="AW801">
        <f t="shared" si="515"/>
        <v>0</v>
      </c>
      <c r="AX801" s="19"/>
      <c r="AY801">
        <f t="shared" si="516"/>
        <v>0</v>
      </c>
      <c r="AZ801" s="19"/>
      <c r="BA801" s="19"/>
      <c r="BB801" s="19"/>
      <c r="BC801" s="19"/>
      <c r="BD801" s="19"/>
      <c r="BE801" s="19"/>
      <c r="BF801" s="19"/>
      <c r="BU801" s="100"/>
    </row>
    <row r="802" x14ac:dyDescent="0.25">
      <c r="B802" s="1" t="s">
        <v>478</v>
      </c>
      <c r="C802" s="19">
        <v>13</v>
      </c>
      <c r="D802" t="s">
        <v>510</v>
      </c>
      <c r="P802" s="93"/>
      <c r="Q802" s="109" t="str">
        <f>R784&amp;".05"</f>
        <v>A.05</v>
      </c>
      <c r="R802" s="19"/>
      <c r="S802" s="19"/>
      <c r="T802">
        <f t="shared" si="513"/>
        <v>0</v>
      </c>
      <c r="U802" s="19"/>
      <c r="V802">
        <f t="shared" si="514"/>
        <v>0</v>
      </c>
      <c r="W802" s="19"/>
      <c r="X802" s="19"/>
      <c r="Y802" s="19"/>
      <c r="Z802" s="19"/>
      <c r="AA802" s="19"/>
      <c r="AB802" s="19"/>
      <c r="AC802" s="19"/>
      <c r="AR802" s="100"/>
      <c r="AS802" s="93"/>
      <c r="AT802" s="109" t="str">
        <f>AU$784&amp;".05"</f>
        <v>1.05</v>
      </c>
      <c r="AU802" s="19"/>
      <c r="AV802" s="19"/>
      <c r="AW802">
        <f t="shared" si="515"/>
        <v>0</v>
      </c>
      <c r="AX802" s="19"/>
      <c r="AY802">
        <f t="shared" si="516"/>
        <v>0</v>
      </c>
      <c r="AZ802" s="19"/>
      <c r="BA802" s="19"/>
      <c r="BB802" s="19"/>
      <c r="BC802" s="19"/>
      <c r="BD802" s="19"/>
      <c r="BE802" s="19"/>
      <c r="BF802" s="19"/>
      <c r="BU802" s="100"/>
    </row>
    <row r="803" x14ac:dyDescent="0.25">
      <c r="B803" s="1" t="s">
        <v>515</v>
      </c>
      <c r="C803" s="19">
        <v>18</v>
      </c>
      <c r="D803" t="s">
        <v>511</v>
      </c>
      <c r="P803" s="93"/>
      <c r="Q803" s="109" t="str">
        <f>R784&amp;".06"</f>
        <v>A.06</v>
      </c>
      <c r="R803" s="19"/>
      <c r="S803" s="19"/>
      <c r="T803">
        <f t="shared" si="513"/>
        <v>0</v>
      </c>
      <c r="U803" s="19"/>
      <c r="V803">
        <f t="shared" si="514"/>
        <v>0</v>
      </c>
      <c r="W803" s="19"/>
      <c r="X803" s="19"/>
      <c r="Y803" s="19"/>
      <c r="Z803" s="19"/>
      <c r="AA803" s="19"/>
      <c r="AB803" s="19"/>
      <c r="AC803" s="19"/>
      <c r="AR803" s="100"/>
      <c r="AS803" s="93"/>
      <c r="AT803" s="109" t="str">
        <f>AU$784&amp;".06"</f>
        <v>1.06</v>
      </c>
      <c r="AU803" s="19"/>
      <c r="AV803" s="19"/>
      <c r="AW803">
        <f t="shared" si="515"/>
        <v>0</v>
      </c>
      <c r="AX803" s="19"/>
      <c r="AY803">
        <f t="shared" si="516"/>
        <v>0</v>
      </c>
      <c r="AZ803" s="19"/>
      <c r="BA803" s="19"/>
      <c r="BB803" s="19"/>
      <c r="BC803" s="19"/>
      <c r="BD803" s="19"/>
      <c r="BE803" s="19"/>
      <c r="BF803" s="19"/>
      <c r="BU803" s="100"/>
    </row>
    <row r="804" x14ac:dyDescent="0.25">
      <c r="B804" s="1" t="s">
        <v>516</v>
      </c>
      <c r="P804" s="93"/>
      <c r="Q804" s="109" t="str">
        <f>R784&amp;".07"</f>
        <v>A.07</v>
      </c>
      <c r="R804" s="19"/>
      <c r="S804" s="19"/>
      <c r="T804">
        <f t="shared" si="513"/>
        <v>0</v>
      </c>
      <c r="U804" s="19"/>
      <c r="V804">
        <f t="shared" si="514"/>
        <v>0</v>
      </c>
      <c r="W804" s="19"/>
      <c r="X804" s="19"/>
      <c r="Y804" s="19"/>
      <c r="Z804" s="19"/>
      <c r="AA804" s="19"/>
      <c r="AB804" s="19"/>
      <c r="AC804" s="19"/>
      <c r="AF804" s="109"/>
      <c r="AR804" s="100"/>
      <c r="AS804" s="93"/>
      <c r="AT804" s="109" t="str">
        <f>AU$784&amp;".07"</f>
        <v>1.07</v>
      </c>
      <c r="AU804" s="19"/>
      <c r="AV804" s="19"/>
      <c r="AW804">
        <f t="shared" si="515"/>
        <v>0</v>
      </c>
      <c r="AX804" s="19"/>
      <c r="AY804">
        <f t="shared" si="516"/>
        <v>0</v>
      </c>
      <c r="AZ804" s="19"/>
      <c r="BA804" s="19"/>
      <c r="BB804" s="19"/>
      <c r="BC804" s="19"/>
      <c r="BD804" s="19"/>
      <c r="BE804" s="19"/>
      <c r="BF804" s="19"/>
      <c r="BI804" s="109"/>
      <c r="BU804" s="100"/>
    </row>
    <row r="805" x14ac:dyDescent="0.25">
      <c r="B805" s="1" t="s">
        <v>517</v>
      </c>
      <c r="P805" s="93"/>
      <c r="Q805" s="109" t="str">
        <f>R784&amp;".08"</f>
        <v>A.08</v>
      </c>
      <c r="R805" s="19"/>
      <c r="S805" s="19"/>
      <c r="T805">
        <f t="shared" si="513"/>
        <v>0</v>
      </c>
      <c r="U805" s="19"/>
      <c r="V805">
        <f t="shared" si="514"/>
        <v>0</v>
      </c>
      <c r="W805" s="19"/>
      <c r="X805" s="19"/>
      <c r="Y805" s="19"/>
      <c r="Z805" s="19"/>
      <c r="AA805" s="19"/>
      <c r="AB805" s="19"/>
      <c r="AC805" s="19"/>
      <c r="AF805" s="109"/>
      <c r="AR805" s="100"/>
      <c r="AS805" s="93"/>
      <c r="AT805" s="109" t="str">
        <f>AU$784&amp;".08"</f>
        <v>1.08</v>
      </c>
      <c r="AU805" s="19"/>
      <c r="AV805" s="19"/>
      <c r="AW805">
        <f t="shared" si="515"/>
        <v>0</v>
      </c>
      <c r="AX805" s="19"/>
      <c r="AY805">
        <f t="shared" si="516"/>
        <v>0</v>
      </c>
      <c r="AZ805" s="19"/>
      <c r="BA805" s="19"/>
      <c r="BB805" s="19"/>
      <c r="BC805" s="19"/>
      <c r="BD805" s="19"/>
      <c r="BE805" s="19"/>
      <c r="BF805" s="19"/>
      <c r="BI805" s="109"/>
      <c r="BU805" s="100"/>
    </row>
    <row r="806" x14ac:dyDescent="0.25">
      <c r="B806" s="1" t="s">
        <v>518</v>
      </c>
      <c r="P806" s="93"/>
      <c r="Q806" s="109" t="str">
        <f>R784&amp;".09"</f>
        <v>A.09</v>
      </c>
      <c r="R806" s="19"/>
      <c r="S806" s="19"/>
      <c r="T806">
        <f t="shared" si="513"/>
        <v>0</v>
      </c>
      <c r="U806" s="19"/>
      <c r="V806">
        <f t="shared" si="514"/>
        <v>0</v>
      </c>
      <c r="W806" s="19"/>
      <c r="X806" s="19"/>
      <c r="Y806" s="19"/>
      <c r="Z806" s="19"/>
      <c r="AA806" s="19"/>
      <c r="AB806" s="19"/>
      <c r="AC806" s="19"/>
      <c r="AF806" s="109"/>
      <c r="AR806" s="100"/>
      <c r="AS806" s="93"/>
      <c r="AT806" s="109" t="str">
        <f>AU$784&amp;".09"</f>
        <v>1.09</v>
      </c>
      <c r="AU806" s="19"/>
      <c r="AV806" s="19"/>
      <c r="AW806">
        <f t="shared" si="515"/>
        <v>0</v>
      </c>
      <c r="AX806" s="19"/>
      <c r="AY806">
        <f t="shared" si="516"/>
        <v>0</v>
      </c>
      <c r="AZ806" s="19"/>
      <c r="BA806" s="19"/>
      <c r="BB806" s="19"/>
      <c r="BC806" s="19"/>
      <c r="BD806" s="19"/>
      <c r="BE806" s="19"/>
      <c r="BF806" s="19"/>
      <c r="BI806" s="109"/>
      <c r="BU806" s="100"/>
    </row>
    <row r="807" x14ac:dyDescent="0.25">
      <c r="P807" s="93"/>
      <c r="Q807" s="109" t="str">
        <f>R784&amp;".10"</f>
        <v>A.10</v>
      </c>
      <c r="R807" s="19"/>
      <c r="S807" s="19"/>
      <c r="T807">
        <f t="shared" si="513"/>
        <v>0</v>
      </c>
      <c r="U807" s="19"/>
      <c r="V807">
        <f t="shared" si="514"/>
        <v>0</v>
      </c>
      <c r="W807" s="19"/>
      <c r="X807" s="19"/>
      <c r="Y807" s="19"/>
      <c r="Z807" s="19"/>
      <c r="AA807" s="19"/>
      <c r="AB807" s="19"/>
      <c r="AC807" s="19"/>
      <c r="AF807" s="109"/>
      <c r="AR807" s="100"/>
      <c r="AS807" s="93"/>
      <c r="AT807" s="109" t="str">
        <f>AU$784&amp;".10"</f>
        <v>1.10</v>
      </c>
      <c r="AU807" s="19"/>
      <c r="AV807" s="19"/>
      <c r="AW807">
        <f t="shared" si="515"/>
        <v>0</v>
      </c>
      <c r="AX807" s="19"/>
      <c r="AY807">
        <f t="shared" si="516"/>
        <v>0</v>
      </c>
      <c r="AZ807" s="19"/>
      <c r="BA807" s="19"/>
      <c r="BB807" s="19"/>
      <c r="BC807" s="19"/>
      <c r="BD807" s="19"/>
      <c r="BE807" s="19"/>
      <c r="BF807" s="19"/>
      <c r="BI807" s="109"/>
      <c r="BU807" s="100"/>
    </row>
    <row r="808" x14ac:dyDescent="0.25">
      <c r="C808" s="112" t="s">
        <v>495</v>
      </c>
      <c r="D808" s="112"/>
      <c r="E808" s="112"/>
      <c r="I808" s="112" t="s">
        <v>495</v>
      </c>
      <c r="J808" s="112"/>
      <c r="K808" s="112"/>
      <c r="P808" s="93"/>
      <c r="Q808" s="109" t="str">
        <f>R784&amp;".11"</f>
        <v>A.11</v>
      </c>
      <c r="R808" s="19"/>
      <c r="S808" s="19"/>
      <c r="T808">
        <f t="shared" si="513"/>
        <v>0</v>
      </c>
      <c r="U808" s="19"/>
      <c r="V808">
        <f t="shared" si="514"/>
        <v>0</v>
      </c>
      <c r="W808" s="19"/>
      <c r="X808" s="19"/>
      <c r="Y808" s="19"/>
      <c r="Z808" s="19"/>
      <c r="AA808" s="19"/>
      <c r="AB808" s="19"/>
      <c r="AC808" s="19"/>
      <c r="AF808" s="109"/>
      <c r="AR808" s="100"/>
      <c r="AS808" s="93"/>
      <c r="AT808" s="109" t="str">
        <f>AU$784&amp;".11"</f>
        <v>1.11</v>
      </c>
      <c r="AU808" s="19"/>
      <c r="AV808" s="19"/>
      <c r="AW808">
        <f t="shared" si="515"/>
        <v>0</v>
      </c>
      <c r="AX808" s="19"/>
      <c r="AY808">
        <f t="shared" si="516"/>
        <v>0</v>
      </c>
      <c r="AZ808" s="19"/>
      <c r="BA808" s="19"/>
      <c r="BB808" s="19"/>
      <c r="BC808" s="19"/>
      <c r="BD808" s="19"/>
      <c r="BE808" s="19"/>
      <c r="BF808" s="19"/>
      <c r="BI808" s="109"/>
      <c r="BU808" s="100"/>
    </row>
    <row r="809" x14ac:dyDescent="0.25">
      <c r="B809" t="s">
        <v>474</v>
      </c>
      <c r="C809" t="s">
        <v>492</v>
      </c>
      <c r="D809" t="s">
        <v>493</v>
      </c>
      <c r="E809" t="s">
        <v>494</v>
      </c>
      <c r="H809" t="s">
        <v>455</v>
      </c>
      <c r="I809" t="s">
        <v>492</v>
      </c>
      <c r="J809" t="s">
        <v>493</v>
      </c>
      <c r="K809" t="s">
        <v>494</v>
      </c>
      <c r="P809" s="93"/>
      <c r="Q809" s="109" t="str">
        <f>R784&amp;".12"</f>
        <v>A.12</v>
      </c>
      <c r="R809" s="19"/>
      <c r="S809" s="19"/>
      <c r="T809">
        <f t="shared" si="513"/>
        <v>0</v>
      </c>
      <c r="U809" s="19"/>
      <c r="V809">
        <f t="shared" si="514"/>
        <v>0</v>
      </c>
      <c r="W809" s="19"/>
      <c r="X809" s="19"/>
      <c r="Y809" s="19"/>
      <c r="Z809" s="19"/>
      <c r="AA809" s="19"/>
      <c r="AB809" s="19"/>
      <c r="AC809" s="19"/>
      <c r="AF809" s="109"/>
      <c r="AR809" s="100"/>
      <c r="AS809" s="93"/>
      <c r="AT809" s="109" t="str">
        <f>AU$784&amp;".12"</f>
        <v>1.12</v>
      </c>
      <c r="AU809" s="19"/>
      <c r="AV809" s="19"/>
      <c r="AW809">
        <f t="shared" si="515"/>
        <v>0</v>
      </c>
      <c r="AX809" s="19"/>
      <c r="AY809">
        <f t="shared" si="516"/>
        <v>0</v>
      </c>
      <c r="AZ809" s="19"/>
      <c r="BA809" s="19"/>
      <c r="BB809" s="19"/>
      <c r="BC809" s="19"/>
      <c r="BD809" s="19"/>
      <c r="BE809" s="19"/>
      <c r="BF809" s="19"/>
      <c r="BI809" s="109"/>
      <c r="BU809" s="100"/>
    </row>
    <row r="810" x14ac:dyDescent="0.25">
      <c r="B810" t="s">
        <v>274</v>
      </c>
      <c r="C810" s="19">
        <v>0</v>
      </c>
      <c r="D810" s="19">
        <v>29</v>
      </c>
      <c r="E810">
        <f>C48+D48</f>
        <v>29</v>
      </c>
      <c r="H810">
        <v>1</v>
      </c>
      <c r="I810" s="19">
        <v>0</v>
      </c>
      <c r="J810" s="19">
        <v>27</v>
      </c>
      <c r="K810">
        <f>I48+J48</f>
        <v>27</v>
      </c>
      <c r="P810" s="93"/>
      <c r="Q810" s="109" t="str">
        <f>R784&amp;".13"</f>
        <v>A.13</v>
      </c>
      <c r="R810" s="19"/>
      <c r="S810" s="19"/>
      <c r="T810">
        <f t="shared" si="513"/>
        <v>0</v>
      </c>
      <c r="U810" s="19"/>
      <c r="V810">
        <f t="shared" si="514"/>
        <v>0</v>
      </c>
      <c r="W810" s="19"/>
      <c r="X810" s="19"/>
      <c r="Y810" s="19"/>
      <c r="Z810" s="19"/>
      <c r="AA810" s="19"/>
      <c r="AB810" s="19"/>
      <c r="AC810" s="19"/>
      <c r="AF810" s="109"/>
      <c r="AR810" s="100"/>
      <c r="AS810" s="93"/>
      <c r="AT810" s="109" t="str">
        <f>AU$784&amp;".13"</f>
        <v>1.13</v>
      </c>
      <c r="AU810" s="19"/>
      <c r="AV810" s="19"/>
      <c r="AW810">
        <f t="shared" si="515"/>
        <v>0</v>
      </c>
      <c r="AX810" s="19"/>
      <c r="AY810">
        <f t="shared" si="516"/>
        <v>0</v>
      </c>
      <c r="AZ810" s="19"/>
      <c r="BA810" s="19"/>
      <c r="BB810" s="19"/>
      <c r="BC810" s="19"/>
      <c r="BD810" s="19"/>
      <c r="BE810" s="19"/>
      <c r="BF810" s="19"/>
      <c r="BI810" s="109"/>
      <c r="BU810" s="100"/>
    </row>
    <row r="811" x14ac:dyDescent="0.25">
      <c r="B811" t="s">
        <v>279</v>
      </c>
      <c r="C811" s="19">
        <v>29</v>
      </c>
      <c r="D811" s="19">
        <v>6</v>
      </c>
      <c r="E811">
        <f t="shared" ref="E43:E67" si="517">C43+D43</f>
        <v>35</v>
      </c>
      <c r="H811">
        <v>2</v>
      </c>
      <c r="I811" s="19">
        <v>27</v>
      </c>
      <c r="J811" s="19">
        <v>14</v>
      </c>
      <c r="K811">
        <f t="shared" ref="K43:K67" si="518">I43+J43</f>
        <v>41</v>
      </c>
      <c r="P811" s="93"/>
      <c r="Q811" s="109" t="str">
        <f>R784&amp;".14"</f>
        <v>A.14</v>
      </c>
      <c r="R811" s="19"/>
      <c r="S811" s="19"/>
      <c r="T811">
        <f t="shared" si="513"/>
        <v>0</v>
      </c>
      <c r="U811" s="19"/>
      <c r="V811">
        <f t="shared" si="514"/>
        <v>0</v>
      </c>
      <c r="W811" s="19"/>
      <c r="X811" s="19"/>
      <c r="Y811" s="19"/>
      <c r="Z811" s="19"/>
      <c r="AA811" s="19"/>
      <c r="AB811" s="19"/>
      <c r="AC811" s="19"/>
      <c r="AF811" s="109"/>
      <c r="AR811" s="100"/>
      <c r="AS811" s="93"/>
      <c r="AT811" s="109" t="str">
        <f>AU$784&amp;".14"</f>
        <v>1.14</v>
      </c>
      <c r="AU811" s="19"/>
      <c r="AV811" s="19"/>
      <c r="AW811">
        <f t="shared" si="515"/>
        <v>0</v>
      </c>
      <c r="AX811" s="19"/>
      <c r="AY811">
        <f t="shared" si="516"/>
        <v>0</v>
      </c>
      <c r="AZ811" s="19"/>
      <c r="BA811" s="19"/>
      <c r="BB811" s="19"/>
      <c r="BC811" s="19"/>
      <c r="BD811" s="19"/>
      <c r="BE811" s="19"/>
      <c r="BF811" s="19"/>
      <c r="BI811" s="109"/>
      <c r="BU811" s="100"/>
    </row>
    <row r="812" x14ac:dyDescent="0.25">
      <c r="B812" t="s">
        <v>283</v>
      </c>
      <c r="C812" s="19">
        <v>6</v>
      </c>
      <c r="D812" s="19">
        <v>29</v>
      </c>
      <c r="E812">
        <f t="shared" si="517"/>
        <v>35</v>
      </c>
      <c r="H812">
        <v>3</v>
      </c>
      <c r="I812" s="19">
        <v>14</v>
      </c>
      <c r="J812" s="19">
        <v>13</v>
      </c>
      <c r="K812">
        <f t="shared" si="518"/>
        <v>27</v>
      </c>
      <c r="P812" s="93"/>
      <c r="Q812" s="109" t="str">
        <f>R784&amp;".15"</f>
        <v>A.15</v>
      </c>
      <c r="R812" s="19"/>
      <c r="S812" s="19"/>
      <c r="T812">
        <f t="shared" si="513"/>
        <v>0</v>
      </c>
      <c r="U812" s="19"/>
      <c r="V812">
        <f t="shared" si="514"/>
        <v>0</v>
      </c>
      <c r="W812" s="19"/>
      <c r="X812" s="19"/>
      <c r="Y812" s="19"/>
      <c r="Z812" s="19"/>
      <c r="AA812" s="19"/>
      <c r="AB812" s="19"/>
      <c r="AC812" s="19"/>
      <c r="AF812" s="109"/>
      <c r="AR812" s="100"/>
      <c r="AS812" s="93"/>
      <c r="AT812" s="109" t="str">
        <f>AU$784&amp;".15"</f>
        <v>1.15</v>
      </c>
      <c r="AU812" s="19"/>
      <c r="AV812" s="19"/>
      <c r="AW812">
        <f t="shared" si="515"/>
        <v>0</v>
      </c>
      <c r="AX812" s="19"/>
      <c r="AY812">
        <f t="shared" si="516"/>
        <v>0</v>
      </c>
      <c r="AZ812" s="19"/>
      <c r="BA812" s="19"/>
      <c r="BB812" s="19"/>
      <c r="BC812" s="19"/>
      <c r="BD812" s="19"/>
      <c r="BE812" s="19"/>
      <c r="BF812" s="19"/>
      <c r="BI812" s="109"/>
      <c r="BU812" s="100"/>
    </row>
    <row r="813" x14ac:dyDescent="0.25">
      <c r="B813" t="s">
        <v>287</v>
      </c>
      <c r="C813" s="19">
        <v>26</v>
      </c>
      <c r="D813" s="19">
        <v>26</v>
      </c>
      <c r="E813">
        <f t="shared" si="517"/>
        <v>52</v>
      </c>
      <c r="F813" t="s">
        <v>506</v>
      </c>
      <c r="H813">
        <v>4</v>
      </c>
      <c r="I813" s="19">
        <v>13</v>
      </c>
      <c r="J813" s="19">
        <v>27</v>
      </c>
      <c r="K813">
        <f t="shared" si="518"/>
        <v>40</v>
      </c>
      <c r="P813" s="93"/>
      <c r="Q813" s="109" t="str">
        <f>R784&amp;".16"</f>
        <v>A.16</v>
      </c>
      <c r="R813" s="19"/>
      <c r="S813" s="19"/>
      <c r="T813">
        <f t="shared" si="513"/>
        <v>0</v>
      </c>
      <c r="U813" s="19"/>
      <c r="V813">
        <f t="shared" si="514"/>
        <v>0</v>
      </c>
      <c r="W813" s="19"/>
      <c r="X813" s="19"/>
      <c r="Y813" s="19"/>
      <c r="Z813" s="19"/>
      <c r="AA813" s="19"/>
      <c r="AB813" s="19"/>
      <c r="AC813" s="19"/>
      <c r="AF813" s="109"/>
      <c r="AR813" s="100"/>
      <c r="AS813" s="93"/>
      <c r="AT813" s="109" t="str">
        <f>AU$784&amp;".16"</f>
        <v>1.16</v>
      </c>
      <c r="AU813" s="19"/>
      <c r="AV813" s="19"/>
      <c r="AW813">
        <f t="shared" si="515"/>
        <v>0</v>
      </c>
      <c r="AX813" s="19"/>
      <c r="AY813">
        <f t="shared" si="516"/>
        <v>0</v>
      </c>
      <c r="AZ813" s="19"/>
      <c r="BA813" s="19"/>
      <c r="BB813" s="19"/>
      <c r="BC813" s="19"/>
      <c r="BD813" s="19"/>
      <c r="BE813" s="19"/>
      <c r="BF813" s="19"/>
      <c r="BI813" s="109"/>
      <c r="BU813" s="100"/>
    </row>
    <row r="814" x14ac:dyDescent="0.25">
      <c r="B814" t="s">
        <v>288</v>
      </c>
      <c r="C814" s="19">
        <v>29</v>
      </c>
      <c r="D814" s="19">
        <v>0</v>
      </c>
      <c r="E814">
        <f t="shared" si="517"/>
        <v>29</v>
      </c>
      <c r="H814">
        <v>5</v>
      </c>
      <c r="I814" s="19">
        <v>27</v>
      </c>
      <c r="J814" s="19">
        <v>11</v>
      </c>
      <c r="K814">
        <f t="shared" si="518"/>
        <v>38</v>
      </c>
      <c r="P814" s="93"/>
      <c r="R814">
        <f>SUM(R798:R813)</f>
        <v>29</v>
      </c>
      <c r="AR814" s="100"/>
      <c r="AS814" s="93"/>
      <c r="AU814">
        <f>SUM(AU798:AU813)</f>
        <v>29</v>
      </c>
      <c r="BU814" s="100"/>
    </row>
    <row r="815" x14ac:dyDescent="0.25">
      <c r="B815" t="s">
        <v>293</v>
      </c>
      <c r="C815" s="19">
        <v>17</v>
      </c>
      <c r="D815" s="19">
        <v>27</v>
      </c>
      <c r="E815">
        <f t="shared" si="517"/>
        <v>44</v>
      </c>
      <c r="H815">
        <v>6</v>
      </c>
      <c r="I815" s="19">
        <v>11</v>
      </c>
      <c r="J815" s="19">
        <v>6</v>
      </c>
      <c r="K815">
        <f t="shared" si="518"/>
        <v>17</v>
      </c>
      <c r="P815" s="93"/>
      <c r="AP815" t="s">
        <v>746</v>
      </c>
      <c r="AR815" s="100"/>
      <c r="AS815" s="93"/>
      <c r="BS815" t="s">
        <v>746</v>
      </c>
      <c r="BU815" s="100"/>
    </row>
    <row r="816" x14ac:dyDescent="0.25">
      <c r="B816" t="s">
        <v>456</v>
      </c>
      <c r="C816" s="19">
        <v>27</v>
      </c>
      <c r="D816" s="19">
        <v>27</v>
      </c>
      <c r="E816">
        <f t="shared" si="517"/>
        <v>54</v>
      </c>
      <c r="H816">
        <v>7</v>
      </c>
      <c r="I816" s="19">
        <v>6</v>
      </c>
      <c r="J816" s="19">
        <v>11</v>
      </c>
      <c r="K816">
        <f t="shared" si="518"/>
        <v>17</v>
      </c>
      <c r="P816" s="93"/>
      <c r="Q816" t="s">
        <v>525</v>
      </c>
      <c r="R816" t="s">
        <v>263</v>
      </c>
      <c r="S816" t="s">
        <v>526</v>
      </c>
      <c r="T816" t="s">
        <v>570</v>
      </c>
      <c r="U816" t="s">
        <v>571</v>
      </c>
      <c r="V816" t="s">
        <v>572</v>
      </c>
      <c r="W816" t="s">
        <v>539</v>
      </c>
      <c r="X816" t="s">
        <v>538</v>
      </c>
      <c r="Z816" t="s">
        <v>522</v>
      </c>
      <c r="AA816" t="s">
        <v>523</v>
      </c>
      <c r="AB816" t="s">
        <v>541</v>
      </c>
      <c r="AC816" t="s">
        <v>540</v>
      </c>
      <c r="AD816" t="s">
        <v>542</v>
      </c>
      <c r="AE816" t="s">
        <v>520</v>
      </c>
      <c r="AF816" t="s">
        <v>521</v>
      </c>
      <c r="AG816" t="s">
        <v>527</v>
      </c>
      <c r="AH816" t="s">
        <v>528</v>
      </c>
      <c r="AI816" t="s">
        <v>543</v>
      </c>
      <c r="AJ816" t="s">
        <v>744</v>
      </c>
      <c r="AK816" t="s">
        <v>745</v>
      </c>
      <c r="AL816" t="s">
        <v>749</v>
      </c>
      <c r="AM816" t="s">
        <v>750</v>
      </c>
      <c r="AN816" t="s">
        <v>751</v>
      </c>
      <c r="AP816" t="s">
        <v>747</v>
      </c>
      <c r="AQ816" t="s">
        <v>748</v>
      </c>
      <c r="AR816" s="100"/>
      <c r="AS816" s="93"/>
      <c r="AT816" t="s">
        <v>525</v>
      </c>
      <c r="AU816" t="s">
        <v>263</v>
      </c>
      <c r="AV816" t="s">
        <v>526</v>
      </c>
      <c r="AW816" t="s">
        <v>570</v>
      </c>
      <c r="AX816" t="s">
        <v>571</v>
      </c>
      <c r="AY816" t="s">
        <v>572</v>
      </c>
      <c r="AZ816" t="s">
        <v>539</v>
      </c>
      <c r="BA816" t="s">
        <v>538</v>
      </c>
      <c r="BC816" t="s">
        <v>522</v>
      </c>
      <c r="BD816" t="s">
        <v>523</v>
      </c>
      <c r="BE816" t="s">
        <v>541</v>
      </c>
      <c r="BF816" t="s">
        <v>540</v>
      </c>
      <c r="BG816" t="s">
        <v>542</v>
      </c>
      <c r="BH816" t="s">
        <v>520</v>
      </c>
      <c r="BI816" t="s">
        <v>521</v>
      </c>
      <c r="BJ816" t="s">
        <v>527</v>
      </c>
      <c r="BK816" t="s">
        <v>528</v>
      </c>
      <c r="BL816" t="s">
        <v>543</v>
      </c>
      <c r="BM816" t="s">
        <v>744</v>
      </c>
      <c r="BN816" t="s">
        <v>745</v>
      </c>
      <c r="BO816" t="s">
        <v>749</v>
      </c>
      <c r="BP816" t="s">
        <v>750</v>
      </c>
      <c r="BQ816" t="s">
        <v>751</v>
      </c>
      <c r="BS816" t="s">
        <v>747</v>
      </c>
      <c r="BT816" t="s">
        <v>748</v>
      </c>
      <c r="BU816" s="100"/>
    </row>
    <row r="817" x14ac:dyDescent="0.25">
      <c r="B817" t="s">
        <v>457</v>
      </c>
      <c r="C817" s="19">
        <v>27</v>
      </c>
      <c r="D817" s="19">
        <v>27</v>
      </c>
      <c r="E817">
        <f t="shared" si="517"/>
        <v>54</v>
      </c>
      <c r="H817">
        <v>8</v>
      </c>
      <c r="I817" s="19">
        <v>20</v>
      </c>
      <c r="J817" s="19">
        <v>0</v>
      </c>
      <c r="K817">
        <f t="shared" si="518"/>
        <v>20</v>
      </c>
      <c r="L817" t="s">
        <v>506</v>
      </c>
      <c r="P817" s="93"/>
      <c r="Q817" s="110" t="str">
        <f>$Q$798</f>
        <v>A.01</v>
      </c>
      <c r="R817" t="str">
        <f>$Q$789</f>
        <v>L2</v>
      </c>
      <c r="S817">
        <f>$E$21</f>
        <v>10.6875</v>
      </c>
      <c r="T817" cm="1">
        <f t="array" ref="T817">IFERROR(IF(S817=0,0,(INDEX($C$33:$C$38,MATCH($W$798,$B$33:$B$38,0),0)*(S821+$X$798)+$T$798*COUNTIF(S817:S820,"&gt;0")*$C$32+$V$798*$C$31)*$R$798),0)</f>
        <v>30539.71875</v>
      </c>
      <c r="U817">
        <f>IF(S817=0,0,-(COUNTIF(S817:S820,"&gt;0")*$T$798*$C$32+$V$798*$C$31)*$H$27*$R$798)</f>
        <v>-363.31199999999995</v>
      </c>
      <c r="V817">
        <f>IF(S817=0,0,$V$798*$H$26*$R$798)</f>
        <v>-1328.1999999999998</v>
      </c>
      <c r="W817">
        <f>(0.6*T817+0.7*U817)*$R$798/2</f>
        <v>262007.93632499999</v>
      </c>
      <c r="X817">
        <f>(0.6*T817+0.6*V817)*$R$798/2</f>
        <v>254140.21312500001</v>
      </c>
      <c r="Z817">
        <f>IF(S817=0,0,$AD$798*$AP$789)</f>
        <v>343.06999999999994</v>
      </c>
      <c r="AA817">
        <f>IFERROR(Z817/$R$798,0)</f>
        <v>11.829999999999998</v>
      </c>
      <c r="AB817">
        <f>Z817*($F$21+IF($F$21=0,0,($C$14+$C$15+IF($C$13="single",1.5,3)+3)/12))</f>
        <v>3666.5606249999992</v>
      </c>
      <c r="AC817">
        <f>AB817-W817</f>
        <v>-258341.37569999998</v>
      </c>
      <c r="AD817" cm="1">
        <f t="array" ref="AD817">IFERROR(IF(AC817&lt;0,0,AC817/($R$798-INDEX(hd_off,MATCH(AQ817,hd_mark,0),0)/12)),0)</f>
        <v>0</v>
      </c>
      <c r="AE817">
        <f>IF(S817=0,0,$AD$798*$AM$789)</f>
        <v>7899.5999999999995</v>
      </c>
      <c r="AF817">
        <f>IFERROR(AE817/$R$798,0)</f>
        <v>272.39999999999998</v>
      </c>
      <c r="AG817">
        <f>AE817*($F$21+IF($F$21=0,0,($C$14+$C$15+IF($C$13="single",1.5,3)+3)/12))</f>
        <v>84426.974999999991</v>
      </c>
      <c r="AH817">
        <f>AG817-X817</f>
        <v>-169713.23812500003</v>
      </c>
      <c r="AI817" cm="1">
        <f t="array" ref="AI817">IFERROR(IF(AH817&lt;0,0,AH817/($R$798-INDEX(hd_off,MATCH(AQ817,hd_mark,0),0)/12)),0)</f>
        <v>0</v>
      </c>
      <c r="AJ817">
        <f>MAX($F$21,$Y$798)/$Q$820</f>
        <v>0.30172413793103448</v>
      </c>
      <c r="AK817">
        <f>IF(AJ817=0,0,IF(AJ817&gt;2,1.25-0.125*AJ817,1))</f>
        <v>1</v>
      </c>
      <c r="AL817" cm="1">
        <f t="array" ref="AL817">IFERROR(INDEX(sheath_ecap_asd,MATCH(AP817,sheath_mark,0),0)*AK817,0)</f>
        <v>239.85714285714286</v>
      </c>
      <c r="AM817" cm="1">
        <f t="array" ref="AM817">IFERROR(INDEX(sheath_wcap_asd,MATCH(AP817,sheath_mark,0),0)*AK817,0)</f>
        <v>335.8</v>
      </c>
      <c r="AN817" cm="1">
        <f t="array" ref="AN817">IFERROR(INDEX(hd_cap,MATCH(AQ817,hd_mark,0),0),0)</f>
        <v>0</v>
      </c>
      <c r="AP817" s="19">
        <v>21</v>
      </c>
      <c r="AQ817" s="19"/>
      <c r="AR817" s="100"/>
      <c r="AS817" s="93"/>
      <c r="AT817" s="110" t="str">
        <f>$AT$798</f>
        <v>1.01</v>
      </c>
      <c r="AU817" t="str">
        <f>$Q$789</f>
        <v>L2</v>
      </c>
      <c r="AV817">
        <f>$E$21</f>
        <v>10.6875</v>
      </c>
      <c r="AW817" cm="1">
        <f t="array" ref="AW817">IFERROR(IF(AV817=0,0,(INDEX($C$33:$C$38,MATCH($AZ$798,$B$33:$B$38,0),0)*(AV821+$BA$798)+$AW$798*COUNTIF(AV817:AV820,"&gt;0")*$C$32+$AY$798*$C$31)*$AU$798),0)</f>
        <v>30539.71875</v>
      </c>
      <c r="AX817">
        <f>IF(AV817=0,0,-(COUNTIF(AV817:AV820,"&gt;0")*$AW$798*$C$32+$AY$798*$C$31)*$H$27*$AU$798)</f>
        <v>-363.31199999999995</v>
      </c>
      <c r="AY817">
        <f>IF(AV817=0,0,$AY$798*$H$26*$AU$798)</f>
        <v>-1328.1999999999998</v>
      </c>
      <c r="AZ817">
        <f>(0.6*AW817+0.7*AX817)*$AU$798/2</f>
        <v>262007.93632499999</v>
      </c>
      <c r="BA817">
        <f>(0.6*AW817+0.6*AY817)*$AU$798/2</f>
        <v>254140.21312500001</v>
      </c>
      <c r="BC817">
        <f>IF(AV817=0,0,$BG$798*$AP$789)</f>
        <v>343.06999999999994</v>
      </c>
      <c r="BD817">
        <f>IFERROR(BC817/$AU$798,0)</f>
        <v>11.829999999999998</v>
      </c>
      <c r="BE817">
        <f>BC817*($F$21+IF($F$21=0,0,($C$14+$C$15+IF($C$13="single",1.5,3)+3)/12))</f>
        <v>3666.5606249999992</v>
      </c>
      <c r="BF817">
        <f>BE817-AZ817</f>
        <v>-258341.37569999998</v>
      </c>
      <c r="BG817" cm="1">
        <f t="array" ref="BG817">IFERROR(IF(BF817&lt;0,0,BF817/($AU$798-INDEX(hd_off,MATCH(BT817,hd_mark,0),0)/12)),0)</f>
        <v>0</v>
      </c>
      <c r="BH817">
        <f>IF(AV817=0,0,$BG$798*$AM$789)</f>
        <v>7899.5999999999995</v>
      </c>
      <c r="BI817">
        <f>IFERROR(BH817/$AU$798,0)</f>
        <v>272.39999999999998</v>
      </c>
      <c r="BJ817">
        <f>BH817*($F$21+IF($F$21=0,0,($C$14+$C$15+IF($C$13="single",1.5,3)+3)/12))</f>
        <v>84426.974999999991</v>
      </c>
      <c r="BK817">
        <f>BJ817-BA817</f>
        <v>-169713.23812500003</v>
      </c>
      <c r="BL817" cm="1">
        <f t="array" ref="BL817">IFERROR(IF(BK817&lt;0,0,BK817/($AU$798-INDEX(hd_off,MATCH(BT817,hd_mark,0),0)/12)),0)</f>
        <v>0</v>
      </c>
      <c r="BM817">
        <f>MAX($F$21,$BB$798)/$Q$820</f>
        <v>0.30172413793103448</v>
      </c>
      <c r="BN817">
        <f>IF(BM817=0,0,IF(BM817&gt;2,1.25-0.125*BM817,1))</f>
        <v>1</v>
      </c>
      <c r="BO817" cm="1">
        <f t="array" ref="BO817">IFERROR(INDEX(sheath_ecap_asd,MATCH(BS817,sheath_mark,0),0)*BN817,0)</f>
        <v>239.85714285714286</v>
      </c>
      <c r="BP817" cm="1">
        <f t="array" ref="BP817">IFERROR(INDEX(sheath_wcap_asd,MATCH(BS817,sheath_mark,0),0)*BN817,0)</f>
        <v>335.8</v>
      </c>
      <c r="BQ817" cm="1">
        <f t="array" ref="BQ817">IFERROR(INDEX(hd_cap,MATCH(BT817,hd_mark,0),0),0)</f>
        <v>0</v>
      </c>
      <c r="BS817" s="19">
        <v>21</v>
      </c>
      <c r="BT817" s="19"/>
      <c r="BU817" s="100"/>
    </row>
    <row r="818" x14ac:dyDescent="0.25">
      <c r="B818" t="s">
        <v>458</v>
      </c>
      <c r="C818" s="19">
        <v>27</v>
      </c>
      <c r="D818" s="19">
        <v>27</v>
      </c>
      <c r="E818">
        <f t="shared" si="517"/>
        <v>54</v>
      </c>
      <c r="H818">
        <v>9</v>
      </c>
      <c r="I818" s="19">
        <v>30</v>
      </c>
      <c r="J818" s="19">
        <v>0</v>
      </c>
      <c r="K818">
        <f t="shared" si="518"/>
        <v>30</v>
      </c>
      <c r="P818" s="93"/>
      <c r="Q818" s="109"/>
      <c r="R818" t="str">
        <f>$Q$790</f>
        <v>L3</v>
      </c>
      <c r="S818">
        <f>$E$22</f>
        <v>21.375</v>
      </c>
      <c r="T818" cm="1">
        <f t="array" ref="T818">IFERROR(IF(S818=0,0,(INDEX($C$33:$C$38,MATCH($W$798,$B$33:$B$38,0),0)*(S821+$X$798)+$T$798*COUNTIF(S818:S820,"&gt;0")*$C$32+$V$798*$C$31)*$R$798),0)</f>
        <v>26015.71875</v>
      </c>
      <c r="U818">
        <f>IF(S818=0,0,-(COUNTIF(S818:S820,"&gt;0")*$T$798*$C$32+$V$798*$C$31)*$H$27*$R$798)</f>
        <v>-200.44799999999998</v>
      </c>
      <c r="V818">
        <f>IF(S818=0,0,$V$798*$H$26*$R$798)</f>
        <v>-1328.1999999999998</v>
      </c>
      <c r="W818">
        <f t="shared" ref="W818:W820" si="519">(0.6*T818+0.7*U818)*$R$798/2</f>
        <v>224302.20592500002</v>
      </c>
      <c r="X818">
        <f>T818*$R$798/2</f>
        <v>377227.921875</v>
      </c>
      <c r="Z818">
        <f>IF(S818=0,0,$AD$798*$AP$790)</f>
        <v>376.565</v>
      </c>
      <c r="AA818">
        <f>IFERROR(Z818/$R$798,0)</f>
        <v>12.984999999999999</v>
      </c>
      <c r="AB818">
        <f>Z818*($F$22+IF($F$22=0,0,($C$14+$C$15+IF($C$13="single",1.5,3)+3)/12))</f>
        <v>4024.5384374999999</v>
      </c>
      <c r="AC818">
        <f>AB818-W818</f>
        <v>-220277.6674875</v>
      </c>
      <c r="AD818" cm="1">
        <f t="array" ref="AD818">IFERROR(IF(AC818&lt;0,0,AC818/($R$798-INDEX(hd_off,MATCH(AQ818,hd_mark,0),0)/12)),0)</f>
        <v>0</v>
      </c>
      <c r="AE818">
        <f>IF(S818=0,0,$AD$798*$AM$790)</f>
        <v>5846.4</v>
      </c>
      <c r="AF818">
        <f>IFERROR(AE818/$R$798,0)</f>
        <v>201.6</v>
      </c>
      <c r="AG818">
        <f>AE818*($F$22+IF($F$22=0,0,($C$14+$C$15+IF($C$13="single",1.5,3)+3)/12))</f>
        <v>62483.399999999994</v>
      </c>
      <c r="AH818">
        <f>AG818-X818</f>
        <v>-314744.52187499998</v>
      </c>
      <c r="AI818" cm="1">
        <f t="array" ref="AI818">IFERROR(IF(AH818&lt;0,0,AH818/($R$798-INDEX(hd_off,MATCH(AQ818,hd_mark,0),0)/12)),0)</f>
        <v>0</v>
      </c>
      <c r="AJ818">
        <f>MAX($F$22,$Z$798)/$Q$820</f>
        <v>0.30172413793103448</v>
      </c>
      <c r="AK818">
        <f t="shared" ref="AK818:AK821" si="520">IF(AJ818=0,0,IF(AJ818&gt;2,1.25-0.125*AJ818,1))</f>
        <v>1</v>
      </c>
      <c r="AL818" cm="1">
        <f t="array" ref="AL818">IFERROR(INDEX(sheath_ecap_asd,MATCH(AP818,sheath_mark,0),0)*AK818,0)</f>
        <v>239.85714285714286</v>
      </c>
      <c r="AM818" cm="1">
        <f t="array" ref="AM818">IFERROR(INDEX(sheath_wcap_asd,MATCH(AP818,sheath_mark,0),0)*AK818,0)</f>
        <v>335.8</v>
      </c>
      <c r="AN818" cm="1">
        <f t="array" ref="AN818">IFERROR(INDEX(hd_cap,MATCH(AQ818,hd_mark,0),0),0)</f>
        <v>0</v>
      </c>
      <c r="AP818" s="19">
        <v>21</v>
      </c>
      <c r="AQ818" s="19"/>
      <c r="AR818" s="100"/>
      <c r="AS818" s="93"/>
      <c r="AT818" s="109"/>
      <c r="AU818" t="str">
        <f>$Q$790</f>
        <v>L3</v>
      </c>
      <c r="AV818">
        <f>$E$22</f>
        <v>21.375</v>
      </c>
      <c r="AW818" cm="1">
        <f t="array" ref="AW818">IFERROR(IF(AV818=0,0,(INDEX($C$33:$C$38,MATCH($AZ$798,$B$33:$B$38,0),0)*(AV821+$BA$798)+$AW$798*COUNTIF(AV818:AV820,"&gt;0")*$C$32+$AY$798*$C$31)*$AU$798),0)</f>
        <v>26015.71875</v>
      </c>
      <c r="AX818">
        <f>IF(AV818=0,0,-(COUNTIF(AV818:AV820,"&gt;0")*$AW$798*$C$32+$AY$798*$C$31)*$H$27*$AU$798)</f>
        <v>-200.44799999999998</v>
      </c>
      <c r="AY818">
        <f>IF(AV818=0,0,$AY$798*$H$26*$AU$798)</f>
        <v>-1328.1999999999998</v>
      </c>
      <c r="AZ818">
        <f>(0.6*AW818+0.7*AX818)*$AU$798/2</f>
        <v>224302.20592500002</v>
      </c>
      <c r="BA818">
        <f>AW818*$AU$798/2</f>
        <v>377227.921875</v>
      </c>
      <c r="BC818">
        <f>IF(AV818=0,0,$BG$798*$AP$790)</f>
        <v>376.565</v>
      </c>
      <c r="BD818">
        <f>IFERROR(BC818/$AU$798,0)</f>
        <v>12.984999999999999</v>
      </c>
      <c r="BE818">
        <f>BC818*($F$22+IF($F$22=0,0,($C$14+$C$15+IF($C$13="single",1.5,3)+3)/12))</f>
        <v>4024.5384374999999</v>
      </c>
      <c r="BF818">
        <f>BE818-AZ818</f>
        <v>-220277.6674875</v>
      </c>
      <c r="BG818" cm="1">
        <f t="array" ref="BG818">IFERROR(IF(BF818&lt;0,0,BF818/($AU$798-INDEX(hd_off,MATCH(BT818,hd_mark,0),0)/12)),0)</f>
        <v>0</v>
      </c>
      <c r="BH818">
        <f>IF(AV818=0,0,$BG$798*$AM$790)</f>
        <v>5846.4</v>
      </c>
      <c r="BI818">
        <f>IFERROR(BH818/$AU$798,0)</f>
        <v>201.6</v>
      </c>
      <c r="BJ818">
        <f>BH818*($F$22+IF($F$22=0,0,($C$14+$C$15+IF($C$13="single",1.5,3)+3)/12))</f>
        <v>62483.399999999994</v>
      </c>
      <c r="BK818">
        <f>BJ818-BA818</f>
        <v>-314744.52187499998</v>
      </c>
      <c r="BL818" cm="1">
        <f t="array" ref="BL818">IFERROR(IF(BK818&lt;0,0,BK818/($AU$798-INDEX(hd_off,MATCH(BT818,hd_mark,0),0)/12)),0)</f>
        <v>0</v>
      </c>
      <c r="BM818">
        <f>MAX($F$22,$BC$798)/$Q$820</f>
        <v>0.30172413793103448</v>
      </c>
      <c r="BN818">
        <f t="shared" ref="BN818:BN821" si="521">IF(BM818=0,0,IF(BM818&gt;2,1.25-0.125*BM818,1))</f>
        <v>1</v>
      </c>
      <c r="BO818" cm="1">
        <f t="array" ref="BO818">IFERROR(INDEX(sheath_ecap_asd,MATCH(BS818,sheath_mark,0),0)*BN818,0)</f>
        <v>239.85714285714286</v>
      </c>
      <c r="BP818" cm="1">
        <f t="array" ref="BP818">IFERROR(INDEX(sheath_wcap_asd,MATCH(BS818,sheath_mark,0),0)*BN818,0)</f>
        <v>335.8</v>
      </c>
      <c r="BQ818" cm="1">
        <f t="array" ref="BQ818">IFERROR(INDEX(hd_cap,MATCH(BT818,hd_mark,0),0),0)</f>
        <v>0</v>
      </c>
      <c r="BS818" s="19">
        <v>21</v>
      </c>
      <c r="BT818" s="19"/>
      <c r="BU818" s="100"/>
    </row>
    <row r="819" x14ac:dyDescent="0.25">
      <c r="B819" t="s">
        <v>459</v>
      </c>
      <c r="C819" s="19">
        <v>27</v>
      </c>
      <c r="D819" s="19">
        <v>41</v>
      </c>
      <c r="E819">
        <f t="shared" si="517"/>
        <v>68</v>
      </c>
      <c r="F819" t="s">
        <v>506</v>
      </c>
      <c r="H819">
        <v>10</v>
      </c>
      <c r="I819" s="19">
        <v>30</v>
      </c>
      <c r="J819" s="19">
        <v>0</v>
      </c>
      <c r="K819">
        <f t="shared" si="518"/>
        <v>30</v>
      </c>
      <c r="P819" s="93"/>
      <c r="Q819" s="109" t="s">
        <v>491</v>
      </c>
      <c r="R819" t="str">
        <f>$Q$791</f>
        <v>L4</v>
      </c>
      <c r="S819">
        <f>$E$23</f>
        <v>0</v>
      </c>
      <c r="T819" cm="1">
        <f t="array" ref="T819">IFERROR(IF(S819=0,0,(INDEX($C$33:$C$38,MATCH($W$798,$B$33:$B$38,0),0)*(S821+$X$798)+$T$798*COUNTIF(S819:S820,"&gt;0")*$C$32+$V$798*$C$31)*$R$798),0)</f>
        <v>0</v>
      </c>
      <c r="U819">
        <f>IF(S819=0,0,-(COUNTIF(S819:S820,"&gt;0")*$T$798*$C$32+$V$798*$C$31)*$H$27*$R$798)</f>
        <v>0</v>
      </c>
      <c r="V819">
        <f>IF(S819=0,0,$V$798*$H$26*$R$798)</f>
        <v>0</v>
      </c>
      <c r="W819">
        <f t="shared" si="519"/>
        <v>0</v>
      </c>
      <c r="X819">
        <f>T819*$R$798/2</f>
        <v>0</v>
      </c>
      <c r="Z819">
        <f>IF(S819=0,0,$AD$798*$AP$791)</f>
        <v>0</v>
      </c>
      <c r="AA819">
        <f>IFERROR(Z819/$R$798,0)</f>
        <v>0</v>
      </c>
      <c r="AB819">
        <f>Z819*($F$23+IF($F$23=0,0,($C$14+$C$15+IF($C$13="single",1.5,3)+3)/12))</f>
        <v>0</v>
      </c>
      <c r="AC819">
        <f>AB819-W819</f>
        <v>0</v>
      </c>
      <c r="AD819" cm="1">
        <f t="array" ref="AD819">IFERROR(IF(AC819&lt;0,0,AC819/($R$798-INDEX(hd_off,MATCH(AQ819,hd_mark,0),0)/12)),0)</f>
        <v>0</v>
      </c>
      <c r="AE819">
        <f>IF(S819=0,0,$AD$798*$AM$791)</f>
        <v>0</v>
      </c>
      <c r="AF819">
        <f>IFERROR(AE819/$R$798,0)</f>
        <v>0</v>
      </c>
      <c r="AG819">
        <f>AE819*($F$23+IF($F$23=0,0,($C$14+$C$15+IF($C$13="single",1.5,3)+3)/12))</f>
        <v>0</v>
      </c>
      <c r="AH819">
        <f>AG819-X819</f>
        <v>0</v>
      </c>
      <c r="AI819" cm="1">
        <f t="array" ref="AI819">IFERROR(IF(AH819&lt;0,0,AH819/($R$798-INDEX(hd_off,MATCH(AQ819,hd_mark,0),0)/12)),0)</f>
        <v>0</v>
      </c>
      <c r="AJ819">
        <f>MAX($F$23,$AA$798)/$Q$820</f>
        <v>0</v>
      </c>
      <c r="AK819">
        <f t="shared" si="520"/>
        <v>0</v>
      </c>
      <c r="AL819" cm="1">
        <f t="array" ref="AL819">IFERROR(INDEX(sheath_ecap_asd,MATCH(AP819,sheath_mark,0),0)*AK819,0)</f>
        <v>0</v>
      </c>
      <c r="AM819" cm="1">
        <f t="array" ref="AM819">IFERROR(INDEX(sheath_wcap_asd,MATCH(AP819,sheath_mark,0),0)*AK819,0)</f>
        <v>0</v>
      </c>
      <c r="AN819" cm="1">
        <f t="array" ref="AN819">IFERROR(INDEX(hd_cap,MATCH(AQ819,hd_mark,0),0),0)</f>
        <v>0</v>
      </c>
      <c r="AP819" s="19"/>
      <c r="AQ819" s="19"/>
      <c r="AR819" s="100"/>
      <c r="AS819" s="93"/>
      <c r="AT819" s="109" t="s">
        <v>491</v>
      </c>
      <c r="AU819" t="str">
        <f>$Q$791</f>
        <v>L4</v>
      </c>
      <c r="AV819">
        <f>$E$23</f>
        <v>0</v>
      </c>
      <c r="AW819" cm="1">
        <f t="array" ref="AW819">IFERROR(IF(AV819=0,0,(INDEX($C$33:$C$38,MATCH($AZ$798,$B$33:$B$38,0),0)*(AV821+$BA$798)+$AW$798*COUNTIF(AV819:AV820,"&gt;0")*$C$32+$AY$798*$C$31)*$AU$798),0)</f>
        <v>0</v>
      </c>
      <c r="AX819">
        <f>IF(AV819=0,0,-(COUNTIF(AV819:AV820,"&gt;0")*$AW$798*$C$32+$AY$798*$C$31)*$H$27*$AU$798)</f>
        <v>0</v>
      </c>
      <c r="AY819">
        <f>IF(AV819=0,0,$AY$798*$H$26*$AU$798)</f>
        <v>0</v>
      </c>
      <c r="AZ819">
        <f>(0.6*AW819+0.7*AX819)*$AU$798/2</f>
        <v>0</v>
      </c>
      <c r="BA819">
        <f>AW819*$AU$798/2</f>
        <v>0</v>
      </c>
      <c r="BC819">
        <f>IF(AV819=0,0,$BG$798*$AP$791)</f>
        <v>0</v>
      </c>
      <c r="BD819">
        <f>IFERROR(BC819/$AU$798,0)</f>
        <v>0</v>
      </c>
      <c r="BE819">
        <f>BC819*($F$23+IF($F$23=0,0,($C$14+$C$15+IF($C$13="single",1.5,3)+3)/12))</f>
        <v>0</v>
      </c>
      <c r="BF819">
        <f>BE819-AZ819</f>
        <v>0</v>
      </c>
      <c r="BG819" cm="1">
        <f t="array" ref="BG819">IFERROR(IF(BF819&lt;0,0,BF819/($AU$798-INDEX(hd_off,MATCH(BT819,hd_mark,0),0)/12)),0)</f>
        <v>0</v>
      </c>
      <c r="BH819">
        <f>IF(AV819=0,0,$BG$798*$AM$791)</f>
        <v>0</v>
      </c>
      <c r="BI819">
        <f>IFERROR(BH819/$AU$798,0)</f>
        <v>0</v>
      </c>
      <c r="BJ819">
        <f>BH819*($F$23+IF($F$23=0,0,($C$14+$C$15+IF($C$13="single",1.5,3)+3)/12))</f>
        <v>0</v>
      </c>
      <c r="BK819">
        <f>BJ819-BA819</f>
        <v>0</v>
      </c>
      <c r="BL819" cm="1">
        <f t="array" ref="BL819">IFERROR(IF(BK819&lt;0,0,BK819/($AU$798-INDEX(hd_off,MATCH(BT819,hd_mark,0),0)/12)),0)</f>
        <v>0</v>
      </c>
      <c r="BM819">
        <f>MAX($F$23,$BD$798)/$Q$820</f>
        <v>0</v>
      </c>
      <c r="BN819">
        <f t="shared" si="521"/>
        <v>0</v>
      </c>
      <c r="BO819" cm="1">
        <f t="array" ref="BO819">IFERROR(INDEX(sheath_ecap_asd,MATCH(BS819,sheath_mark,0),0)*BN819,0)</f>
        <v>0</v>
      </c>
      <c r="BP819" cm="1">
        <f t="array" ref="BP819">IFERROR(INDEX(sheath_wcap_asd,MATCH(BS819,sheath_mark,0),0)*BN819,0)</f>
        <v>0</v>
      </c>
      <c r="BQ819" cm="1">
        <f t="array" ref="BQ819">IFERROR(INDEX(hd_cap,MATCH(BT819,hd_mark,0),0),0)</f>
        <v>0</v>
      </c>
      <c r="BS819" s="19"/>
      <c r="BT819" s="19"/>
      <c r="BU819" s="100"/>
    </row>
    <row r="820" x14ac:dyDescent="0.25">
      <c r="B820" t="s">
        <v>171</v>
      </c>
      <c r="C820" s="19">
        <v>0</v>
      </c>
      <c r="D820" s="19">
        <v>29</v>
      </c>
      <c r="E820">
        <f t="shared" si="517"/>
        <v>29</v>
      </c>
      <c r="H820">
        <v>11</v>
      </c>
      <c r="I820" s="19">
        <v>0</v>
      </c>
      <c r="J820" s="19">
        <v>27</v>
      </c>
      <c r="K820">
        <f t="shared" si="518"/>
        <v>27</v>
      </c>
      <c r="P820" s="93"/>
      <c r="Q820" s="111">
        <f>$R$798</f>
        <v>29</v>
      </c>
      <c r="R820" t="str">
        <f>$Q$792</f>
        <v>L5</v>
      </c>
      <c r="S820">
        <f>$E$24</f>
        <v>0</v>
      </c>
      <c r="T820" cm="1">
        <f t="array" ref="T820">IFERROR(IF(S820=0,0,(INDEX($C$33:$C$38,MATCH($W$798,$B$33:$B$38,0),0)*(S821+$X$798)+$T$798*COUNTIF(S820:S820,"&gt;0")*$C$32+$V$798*$C$31)*$R$798),0)</f>
        <v>0</v>
      </c>
      <c r="U820">
        <f>IF(S820=0,0,-(COUNTIF(S820:S820,"&gt;0")*$T$798*$C$32+$V$798*$C$31)*$H$27*$R$798)</f>
        <v>0</v>
      </c>
      <c r="V820">
        <f>IF(S820=0,0,$V$798*$H$26*$R$798)</f>
        <v>0</v>
      </c>
      <c r="W820">
        <f t="shared" si="519"/>
        <v>0</v>
      </c>
      <c r="X820">
        <f>T820*$R$798/2</f>
        <v>0</v>
      </c>
      <c r="Z820">
        <f>IF(S820=0,0,$AD$798*$AP$792)</f>
        <v>0</v>
      </c>
      <c r="AA820">
        <f>IFERROR(Z820/$R$798,0)</f>
        <v>0</v>
      </c>
      <c r="AB820">
        <f>Z820*($F$24+IF($F$24=0,0,($C$14+$C$15+IF($C$13="single",1.5,3)+3)/12))</f>
        <v>0</v>
      </c>
      <c r="AC820">
        <f>AB820-W820</f>
        <v>0</v>
      </c>
      <c r="AD820" cm="1">
        <f t="array" ref="AD820">IFERROR(IF(AC820&lt;0,0,AC820/($R$798-INDEX(hd_off,MATCH(AQ820,hd_mark,0),0)/12)),0)</f>
        <v>0</v>
      </c>
      <c r="AE820">
        <f>IF(S820=0,0,$AD$798*$AM$792)</f>
        <v>0</v>
      </c>
      <c r="AF820">
        <f>IFERROR(AE820/$R$798,0)</f>
        <v>0</v>
      </c>
      <c r="AG820">
        <f>AE820*($F$24+IF($F$24=0,0,($C$14+$C$15+IF($C$13="single",1.5,3)+3)/12))</f>
        <v>0</v>
      </c>
      <c r="AH820">
        <f>AG820-X820</f>
        <v>0</v>
      </c>
      <c r="AI820" cm="1">
        <f t="array" ref="AI820">IFERROR(IF(AH820&lt;0,0,AH820/($R$798-INDEX(hd_off,MATCH(AQ820,hd_mark,0),0)/12)),0)</f>
        <v>0</v>
      </c>
      <c r="AJ820">
        <f>MAX($F$24,$AB$798)/$Q$820</f>
        <v>0</v>
      </c>
      <c r="AK820">
        <f t="shared" si="520"/>
        <v>0</v>
      </c>
      <c r="AL820" cm="1">
        <f t="array" ref="AL820">IFERROR(INDEX(sheath_ecap_asd,MATCH(AP820,sheath_mark,0),0)*AK820,0)</f>
        <v>0</v>
      </c>
      <c r="AM820" cm="1">
        <f t="array" ref="AM820">IFERROR(INDEX(sheath_wcap_asd,MATCH(AP820,sheath_mark,0),0)*AK820,0)</f>
        <v>0</v>
      </c>
      <c r="AN820" cm="1">
        <f t="array" ref="AN820">IFERROR(INDEX(hd_cap,MATCH(AQ820,hd_mark,0),0),0)</f>
        <v>0</v>
      </c>
      <c r="AP820" s="19"/>
      <c r="AQ820" s="19"/>
      <c r="AR820" s="100"/>
      <c r="AS820" s="93"/>
      <c r="AT820" s="111">
        <f>$R$798</f>
        <v>29</v>
      </c>
      <c r="AU820" t="str">
        <f>$Q$792</f>
        <v>L5</v>
      </c>
      <c r="AV820">
        <f>$E$24</f>
        <v>0</v>
      </c>
      <c r="AW820" cm="1">
        <f t="array" ref="AW820">IFERROR(IF(AV820=0,0,(INDEX($C$33:$C$38,MATCH($AZ$798,$B$33:$B$38,0),0)*(AV821+$BA$798)+$AW$798*COUNTIF(AV820:AV820,"&gt;0")*$C$32+$AY$798*$C$31)*$AU$798),0)</f>
        <v>0</v>
      </c>
      <c r="AX820">
        <f>IF(AV820=0,0,-(COUNTIF(AV820:AV820,"&gt;0")*$AW$798*$C$32+$AY$798*$C$31)*$H$27*$AU$798)</f>
        <v>0</v>
      </c>
      <c r="AY820">
        <f>IF(AV820=0,0,$AY$798*$H$26*$AU$798)</f>
        <v>0</v>
      </c>
      <c r="AZ820">
        <f>(0.6*AW820+0.7*AX820)*$AU$798/2</f>
        <v>0</v>
      </c>
      <c r="BA820">
        <f>AW820*$AU$798/2</f>
        <v>0</v>
      </c>
      <c r="BC820">
        <f>IF(AV820=0,0,$BG$798*$AP$792)</f>
        <v>0</v>
      </c>
      <c r="BD820">
        <f>IFERROR(BC820/$AU$798,0)</f>
        <v>0</v>
      </c>
      <c r="BE820">
        <f>BC820*($F$24+IF($F$24=0,0,($C$14+$C$15+IF($C$13="single",1.5,3)+3)/12))</f>
        <v>0</v>
      </c>
      <c r="BF820">
        <f>BE820-AZ820</f>
        <v>0</v>
      </c>
      <c r="BG820" cm="1">
        <f t="array" ref="BG820">IFERROR(IF(BF820&lt;0,0,BF820/($AU$798-INDEX(hd_off,MATCH(BT820,hd_mark,0),0)/12)),0)</f>
        <v>0</v>
      </c>
      <c r="BH820">
        <f>IF(AV820=0,0,$BG$798*$AM$792)</f>
        <v>0</v>
      </c>
      <c r="BI820">
        <f>IFERROR(BH820/$AU$798,0)</f>
        <v>0</v>
      </c>
      <c r="BJ820">
        <f>BH820*($F$24+IF($F$24=0,0,($C$14+$C$15+IF($C$13="single",1.5,3)+3)/12))</f>
        <v>0</v>
      </c>
      <c r="BK820">
        <f>BJ820-BA820</f>
        <v>0</v>
      </c>
      <c r="BL820" cm="1">
        <f t="array" ref="BL820">IFERROR(IF(BK820&lt;0,0,BK820/($AU$798-INDEX(hd_off,MATCH(BT820,hd_mark,0),0)/12)),0)</f>
        <v>0</v>
      </c>
      <c r="BM820">
        <f>MAX($F$24,$BE$798)/$Q$820</f>
        <v>0</v>
      </c>
      <c r="BN820">
        <f t="shared" si="521"/>
        <v>0</v>
      </c>
      <c r="BO820" cm="1">
        <f t="array" ref="BO820">IFERROR(INDEX(sheath_ecap_asd,MATCH(BS820,sheath_mark,0),0)*BN820,0)</f>
        <v>0</v>
      </c>
      <c r="BP820" cm="1">
        <f t="array" ref="BP820">IFERROR(INDEX(sheath_wcap_asd,MATCH(BS820,sheath_mark,0),0)*BN820,0)</f>
        <v>0</v>
      </c>
      <c r="BQ820" cm="1">
        <f t="array" ref="BQ820">IFERROR(INDEX(hd_cap,MATCH(BT820,hd_mark,0),0),0)</f>
        <v>0</v>
      </c>
      <c r="BS820" s="19"/>
      <c r="BT820" s="19"/>
      <c r="BU820" s="100"/>
    </row>
    <row r="821" x14ac:dyDescent="0.25">
      <c r="B821" t="s">
        <v>460</v>
      </c>
      <c r="C821" s="19">
        <v>29</v>
      </c>
      <c r="D821" s="19">
        <v>6</v>
      </c>
      <c r="E821">
        <f t="shared" si="517"/>
        <v>35</v>
      </c>
      <c r="H821">
        <v>12</v>
      </c>
      <c r="I821" s="19">
        <v>27</v>
      </c>
      <c r="J821" s="19">
        <v>14</v>
      </c>
      <c r="K821">
        <f t="shared" si="518"/>
        <v>41</v>
      </c>
      <c r="P821" s="93"/>
      <c r="Q821" s="109"/>
      <c r="R821" t="str">
        <f>$Q$793</f>
        <v>Roof</v>
      </c>
      <c r="S821">
        <f>$E$25</f>
        <v>33.171875</v>
      </c>
      <c r="T821" cm="1">
        <f t="array" ref="T821">IFERROR(IF(S821=0,0,(INDEX($C$33:$C$38,MATCH($W$798,$B$33:$B$38,0),0)*(S821+$X$798)+$V$798*$C$31)*$R$798),0)</f>
        <v>21491.71875</v>
      </c>
      <c r="U821">
        <f>IF(S821=0,0,-$V$798*$C$31*$H$27*$R$798)</f>
        <v>-37.583999999999996</v>
      </c>
      <c r="V821">
        <f>IF(S821=0,0,$V$798*$H$26*$R$798)</f>
        <v>-1328.1999999999998</v>
      </c>
      <c r="W821">
        <f>(0.6*T821+0.7*U821)*$R$798/2</f>
        <v>186596.47552499999</v>
      </c>
      <c r="X821">
        <f>T821*$R$798/2</f>
        <v>311629.921875</v>
      </c>
      <c r="Z821">
        <f>IF(S821=0,0,$AD$798*$AP$793)</f>
        <v>191.83499999999995</v>
      </c>
      <c r="AA821">
        <f>IFERROR(Z821/$R$798,0)</f>
        <v>6.6149999999999984</v>
      </c>
      <c r="AB821">
        <f>Z821*($F$25+($C$16+$C$17+IF($C$13="single",1.5,3)+3)/12)</f>
        <v>2263.0535156249989</v>
      </c>
      <c r="AC821">
        <f>AB821-W821</f>
        <v>-184333.42200937498</v>
      </c>
      <c r="AD821" cm="1">
        <f t="array" ref="AD821">IFERROR(IF(AC821&lt;0,0,AC821/($R$798-INDEX(hd_off,MATCH(AQ821,hd_mark,0),0)/12)),0)</f>
        <v>0</v>
      </c>
      <c r="AE821">
        <f>IF(S821=0,0,$AD$798*$AM$793)</f>
        <v>3854.1</v>
      </c>
      <c r="AF821">
        <f>IFERROR(AE821/$R$798,0)</f>
        <v>132.9</v>
      </c>
      <c r="AG821">
        <f>AE821*($F$25+($C$16+$C$17+IF($C$13="single",1.5,3)+3)/12)</f>
        <v>45466.335937499993</v>
      </c>
      <c r="AH821">
        <f>AG821-X821</f>
        <v>-266163.5859375</v>
      </c>
      <c r="AI821" cm="1">
        <f t="array" ref="AI821">IFERROR(IF(AH821&lt;0,0,AH821/($R$798-INDEX(hd_off,MATCH(AQ821,hd_mark,0),0)/12)),0)</f>
        <v>0</v>
      </c>
      <c r="AJ821">
        <f>MAX($F$25,$AC$798)/$Q$820</f>
        <v>0.29920977011494249</v>
      </c>
      <c r="AK821">
        <f t="shared" si="520"/>
        <v>1</v>
      </c>
      <c r="AL821" cm="1">
        <f t="array" ref="AL821">IFERROR(INDEX(sheath_ecap_asd,MATCH(AP821,sheath_mark,0),0)*AK821,0)</f>
        <v>95.285714285714306</v>
      </c>
      <c r="AM821" cm="1">
        <f t="array" ref="AM821">IFERROR(INDEX(sheath_wcap_asd,MATCH(AP821,sheath_mark,0),0)*AK821,0)</f>
        <v>133.4</v>
      </c>
      <c r="AN821" cm="1">
        <f t="array" ref="AN821">IFERROR(INDEX(hd_cap,MATCH(AQ821,hd_mark,0),0),0)</f>
        <v>0</v>
      </c>
      <c r="AP821" s="19">
        <v>11</v>
      </c>
      <c r="AQ821" s="19"/>
      <c r="AR821" s="100"/>
      <c r="AS821" s="93"/>
      <c r="AT821" s="109"/>
      <c r="AU821" t="str">
        <f>$Q$793</f>
        <v>Roof</v>
      </c>
      <c r="AV821">
        <f>$E$25</f>
        <v>33.171875</v>
      </c>
      <c r="AW821" cm="1">
        <f t="array" ref="AW821">IFERROR(IF(AV821=0,0,(INDEX($C$33:$C$38,MATCH($AZ$798,$B$33:$B$38,0),0)*(AV821+$BA$798)+$AY$798*$C$31)*$AU$798),0)</f>
        <v>21491.71875</v>
      </c>
      <c r="AX821">
        <f>IF(AV821=0,0,-$AY$798*$C$31*$H$27*$AU$798)</f>
        <v>-37.583999999999996</v>
      </c>
      <c r="AY821">
        <f>IF(AV821=0,0,$AY$798*$H$26*$AU$798)</f>
        <v>-1328.1999999999998</v>
      </c>
      <c r="AZ821">
        <f>(0.6*AW821+0.7*AX821)*$AU$798/2</f>
        <v>186596.47552499999</v>
      </c>
      <c r="BA821">
        <f>AW821*$AU$798/2</f>
        <v>311629.921875</v>
      </c>
      <c r="BC821">
        <f>IF(AV821=0,0,$BG$798*$AP$793)</f>
        <v>191.83499999999995</v>
      </c>
      <c r="BD821">
        <f>IFERROR(BC821/$AU$798,0)</f>
        <v>6.6149999999999984</v>
      </c>
      <c r="BE821">
        <f>BC821*($F$25+($C$16+$C$17+IF($C$13="single",1.5,3)+3)/12)</f>
        <v>2263.0535156249989</v>
      </c>
      <c r="BF821">
        <f>BE821-AZ821</f>
        <v>-184333.42200937498</v>
      </c>
      <c r="BG821" cm="1">
        <f t="array" ref="BG821">IFERROR(IF(BF821&lt;0,0,BF821/($AU$798-INDEX(hd_off,MATCH(BT821,hd_mark,0),0)/12)),0)</f>
        <v>0</v>
      </c>
      <c r="BH821">
        <f>IF(AV821=0,0,$BG$798*$AM$793)</f>
        <v>3854.1</v>
      </c>
      <c r="BI821">
        <f>IFERROR(BH821/$AU$798,0)</f>
        <v>132.9</v>
      </c>
      <c r="BJ821">
        <f>BH821*($F$25+($C$16+$C$17+IF($C$13="single",1.5,3)+3)/12)</f>
        <v>45466.335937499993</v>
      </c>
      <c r="BK821">
        <f>BJ821-BA821</f>
        <v>-266163.5859375</v>
      </c>
      <c r="BL821" cm="1">
        <f t="array" ref="BL821">IFERROR(IF(BK821&lt;0,0,BK821/($AU$798-INDEX(hd_off,MATCH(BT821,hd_mark,0),0)/12)),0)</f>
        <v>0</v>
      </c>
      <c r="BM821">
        <f>MAX($F$25,$BF$798)/$Q$820</f>
        <v>0.29920977011494249</v>
      </c>
      <c r="BN821">
        <f t="shared" si="521"/>
        <v>1</v>
      </c>
      <c r="BO821" cm="1">
        <f t="array" ref="BO821">IFERROR(INDEX(sheath_ecap_asd,MATCH(BS821,sheath_mark,0),0)*BN821,0)</f>
        <v>95.285714285714306</v>
      </c>
      <c r="BP821" cm="1">
        <f t="array" ref="BP821">IFERROR(INDEX(sheath_wcap_asd,MATCH(BS821,sheath_mark,0),0)*BN821,0)</f>
        <v>133.4</v>
      </c>
      <c r="BQ821" cm="1">
        <f t="array" ref="BQ821">IFERROR(INDEX(hd_cap,MATCH(BT821,hd_mark,0),0),0)</f>
        <v>0</v>
      </c>
      <c r="BS821" s="19">
        <v>11</v>
      </c>
      <c r="BT821" s="19"/>
      <c r="BU821" s="100"/>
    </row>
    <row r="822" x14ac:dyDescent="0.25">
      <c r="B822" t="s">
        <v>461</v>
      </c>
      <c r="C822" s="19">
        <v>6</v>
      </c>
      <c r="D822" s="19">
        <v>29</v>
      </c>
      <c r="E822">
        <f t="shared" si="517"/>
        <v>35</v>
      </c>
      <c r="H822">
        <v>13</v>
      </c>
      <c r="I822" s="19">
        <v>14</v>
      </c>
      <c r="J822" s="19">
        <v>12</v>
      </c>
      <c r="K822">
        <f t="shared" si="518"/>
        <v>26</v>
      </c>
      <c r="P822" s="93"/>
      <c r="Q822" s="109"/>
      <c r="AR822" s="100"/>
      <c r="AS822" s="93"/>
      <c r="AT822" s="109"/>
      <c r="BU822" s="100"/>
    </row>
    <row r="823" x14ac:dyDescent="0.25">
      <c r="B823" t="s">
        <v>462</v>
      </c>
      <c r="C823" s="19">
        <v>29</v>
      </c>
      <c r="D823" s="19">
        <v>0</v>
      </c>
      <c r="E823">
        <f t="shared" si="517"/>
        <v>29</v>
      </c>
      <c r="H823">
        <v>14</v>
      </c>
      <c r="I823" s="19">
        <v>12</v>
      </c>
      <c r="J823" s="19">
        <v>27</v>
      </c>
      <c r="K823">
        <f t="shared" si="518"/>
        <v>39</v>
      </c>
      <c r="P823" s="93"/>
      <c r="Q823" s="110" t="str">
        <f>$Q$799</f>
        <v>A.02</v>
      </c>
      <c r="R823" t="str">
        <f>$Q$789</f>
        <v>L2</v>
      </c>
      <c r="S823">
        <f>$E$21</f>
        <v>10.6875</v>
      </c>
      <c r="T823" cm="1">
        <f t="array" ref="T823">IFERROR(IF(S823=0,0,(INDEX($C$33:$C$38,MATCH($W$799,$B$33:$B$38,0),0)*(S827+$X$799)+$T$799*COUNTIF(S823:S826,"&gt;0")*$C$32+$V$799*$C$31)*$R$799),0)</f>
        <v>0</v>
      </c>
      <c r="U823">
        <f>IF(S823=0,0,-(COUNTIF(S823:S826,"&gt;0")*$T$799*$C$32+$V$799*$C$31)*$H$27*$R$799)</f>
        <v>0</v>
      </c>
      <c r="V823">
        <f>IF(S823=0,0,$V$799*$H$26*$R$799)</f>
        <v>0</v>
      </c>
      <c r="W823">
        <f>(0.6*T823+0.7*U823)*$R$799/2</f>
        <v>0</v>
      </c>
      <c r="X823">
        <f>(0.6*T823+0.6*V823)*$R$799/2</f>
        <v>0</v>
      </c>
      <c r="Z823">
        <f>IF(S823=0,0,$AD$799*$AP$789)</f>
        <v>0</v>
      </c>
      <c r="AA823">
        <f>IFERROR(Z823/$R$799,0)</f>
        <v>0</v>
      </c>
      <c r="AB823">
        <f>Z823*($F$21+IF($F$21=0,0,($C$14+$C$15+IF($C$13="single",1.5,3)+3)/12))</f>
        <v>0</v>
      </c>
      <c r="AC823">
        <f>AB823-W823</f>
        <v>0</v>
      </c>
      <c r="AD823" cm="1">
        <f t="array" ref="AD823">IFERROR(IF(AC823&lt;0,0,AC823/($R$799-INDEX(hd_off,MATCH(AQ823,hd_mark,0),0)/12)),0)</f>
        <v>0</v>
      </c>
      <c r="AE823">
        <f>IF(S823=0,0,$AD$799*$AM$789)</f>
        <v>0</v>
      </c>
      <c r="AF823">
        <f>IFERROR(AE823/$R$799,0)</f>
        <v>0</v>
      </c>
      <c r="AG823">
        <f>AE823*($F$21+IF($F$21=0,0,($C$14+$C$15+IF($C$13="single",1.5,3)+3)/12))</f>
        <v>0</v>
      </c>
      <c r="AH823">
        <f>AG823-X823</f>
        <v>0</v>
      </c>
      <c r="AI823" cm="1">
        <f t="array" ref="AI823">IFERROR(IF(AH823&lt;0,0,AH823/($R$799-INDEX(hd_off,MATCH(AQ823,hd_mark,0),0)/12)),0)</f>
        <v>0</v>
      </c>
      <c r="AJ823">
        <f>MAX($F$21,$Y$799)/$Q$820</f>
        <v>0.30172413793103448</v>
      </c>
      <c r="AK823">
        <f>IF(AJ823=0,0,IF(AJ823&gt;2,1.25-0.125*AJ823,1))</f>
        <v>1</v>
      </c>
      <c r="AL823" cm="1">
        <f t="array" ref="AL823">IFERROR(INDEX(sheath_ecap_asd,MATCH(AP823,sheath_mark,0),0)*AK823,0)</f>
        <v>0</v>
      </c>
      <c r="AM823" cm="1">
        <f t="array" ref="AM823">IFERROR(INDEX(sheath_wcap_asd,MATCH(AP823,sheath_mark,0),0)*AK823,0)</f>
        <v>0</v>
      </c>
      <c r="AN823" cm="1">
        <f t="array" ref="AN823">IFERROR(INDEX(hd_cap,MATCH(AQ823,hd_mark,0),0),0)</f>
        <v>0</v>
      </c>
      <c r="AP823" s="19"/>
      <c r="AQ823" s="19"/>
      <c r="AR823" s="100"/>
      <c r="AS823" s="93"/>
      <c r="AT823" s="110" t="str">
        <f>$AT$799</f>
        <v>1.02</v>
      </c>
      <c r="AU823" t="str">
        <f>$Q$789</f>
        <v>L2</v>
      </c>
      <c r="AV823">
        <f>$E$21</f>
        <v>10.6875</v>
      </c>
      <c r="AW823" cm="1">
        <f t="array" ref="AW823">IFERROR(IF(AV823=0,0,(INDEX($C$33:$C$38,MATCH($AZ$799,$B$33:$B$38,0),0)*(AV827+$BA$799)+$AW$799*COUNTIF(AV823:AV826,"&gt;0")*$C$32+$AY$799*$C$31)*$AU$799),0)</f>
        <v>0</v>
      </c>
      <c r="AX823">
        <f>IF(AV823=0,0,-(COUNTIF(AV823:AV826,"&gt;0")*$AW$799*$C$32+$AY$799*$C$31)*$H$27*$AU$799)</f>
        <v>0</v>
      </c>
      <c r="AY823">
        <f>IF(AV823=0,0,$AY$799*$H$26*$AU$799)</f>
        <v>0</v>
      </c>
      <c r="AZ823">
        <f>(0.6*AW823+0.7*AX823)*$AU$799/2</f>
        <v>0</v>
      </c>
      <c r="BA823">
        <f>(0.6*AW823+0.6*AY823)*$AU$799/2</f>
        <v>0</v>
      </c>
      <c r="BC823">
        <f>IF(AV823=0,0,$BG$799*$AP$789)</f>
        <v>0</v>
      </c>
      <c r="BD823">
        <f>IFERROR(BC823/$AU$799,0)</f>
        <v>0</v>
      </c>
      <c r="BE823">
        <f>BC823*($F$21+IF($F$21=0,0,($C$14+$C$15+IF($C$13="single",1.5,3)+3)/12))</f>
        <v>0</v>
      </c>
      <c r="BF823">
        <f>BE823-AZ823</f>
        <v>0</v>
      </c>
      <c r="BG823" cm="1">
        <f t="array" ref="BG823">IFERROR(IF(BF823&lt;0,0,BF823/($AU$799-INDEX(hd_off,MATCH(BT823,hd_mark,0),0)/12)),0)</f>
        <v>0</v>
      </c>
      <c r="BH823">
        <f>IF(AV823=0,0,$BG$799*$AM$789)</f>
        <v>0</v>
      </c>
      <c r="BI823">
        <f>IFERROR(BH823/$AU$799,0)</f>
        <v>0</v>
      </c>
      <c r="BJ823">
        <f>BH823*($F$21+IF($F$21=0,0,($C$14+$C$15+IF($C$13="single",1.5,3)+3)/12))</f>
        <v>0</v>
      </c>
      <c r="BK823">
        <f>BJ823-BA823</f>
        <v>0</v>
      </c>
      <c r="BL823" cm="1">
        <f t="array" ref="BL823">IFERROR(IF(BK823&lt;0,0,BK823/($AU$799-INDEX(hd_off,MATCH(BT823,hd_mark,0),0)/12)),0)</f>
        <v>0</v>
      </c>
      <c r="BM823">
        <f>MAX($F$21,$BB$799)/$Q$820</f>
        <v>0.30172413793103448</v>
      </c>
      <c r="BN823">
        <f>IF(BM823=0,0,IF(BM823&gt;2,1.25-0.125*BM823,1))</f>
        <v>1</v>
      </c>
      <c r="BO823" cm="1">
        <f t="array" ref="BO823">IFERROR(INDEX(sheath_ecap_asd,MATCH(BS823,sheath_mark,0),0)*BN823,0)</f>
        <v>0</v>
      </c>
      <c r="BP823" cm="1">
        <f t="array" ref="BP823">IFERROR(INDEX(sheath_wcap_asd,MATCH(BS823,sheath_mark,0),0)*BN823,0)</f>
        <v>0</v>
      </c>
      <c r="BQ823" cm="1">
        <f t="array" ref="BQ823">IFERROR(INDEX(hd_cap,MATCH(BT823,hd_mark,0),0),0)</f>
        <v>0</v>
      </c>
      <c r="BS823" s="19"/>
      <c r="BT823" s="19"/>
      <c r="BU823" s="100"/>
    </row>
    <row r="824" x14ac:dyDescent="0.25">
      <c r="B824" t="s">
        <v>463</v>
      </c>
      <c r="C824" s="19"/>
      <c r="D824" s="19"/>
      <c r="E824">
        <f t="shared" si="517"/>
        <v>0</v>
      </c>
      <c r="H824">
        <v>15</v>
      </c>
      <c r="I824" s="19">
        <v>27</v>
      </c>
      <c r="J824" s="19">
        <v>18</v>
      </c>
      <c r="K824">
        <f t="shared" si="518"/>
        <v>45</v>
      </c>
      <c r="P824" s="93"/>
      <c r="Q824" s="109"/>
      <c r="R824" t="str">
        <f>$Q$790</f>
        <v>L3</v>
      </c>
      <c r="S824">
        <f>$E$22</f>
        <v>21.375</v>
      </c>
      <c r="T824" cm="1">
        <f t="array" ref="T824">IFERROR(IF(S824=0,0,(INDEX($C$33:$C$38,MATCH($W$799,$B$33:$B$38,0),0)*(S827+$X$799)+$T$799*COUNTIF(S824:S826,"&gt;0")*$C$32+$V$799*$C$31)*$R$799),0)</f>
        <v>0</v>
      </c>
      <c r="U824">
        <f>IF(S824=0,0,-(COUNTIF(S824:S826,"&gt;0")*$T$799*$C$32+$V$799*$C$31)*$H$27*$R$799)</f>
        <v>0</v>
      </c>
      <c r="V824">
        <f>IF(S824=0,0,$V$799*$H$26*$R$799)</f>
        <v>0</v>
      </c>
      <c r="W824">
        <f>(0.6*T824+0.7*U824)*$R$799/2</f>
        <v>0</v>
      </c>
      <c r="X824">
        <f>T824*$R$799/2</f>
        <v>0</v>
      </c>
      <c r="Z824">
        <f>IF(S824=0,0,$AD$799*$AP$790)</f>
        <v>0</v>
      </c>
      <c r="AA824">
        <f>IFERROR(Z824/$R$799,0)</f>
        <v>0</v>
      </c>
      <c r="AB824">
        <f>Z824*($F$22+IF($F$22=0,0,($C$14+$C$15+IF($C$13="single",1.5,3)+3)/12))</f>
        <v>0</v>
      </c>
      <c r="AC824">
        <f>AB824-W824</f>
        <v>0</v>
      </c>
      <c r="AD824" cm="1">
        <f t="array" ref="AD824">IFERROR(IF(AC824&lt;0,0,AC824/($R$799-INDEX(hd_off,MATCH(AQ824,hd_mark,0),0)/12)),0)</f>
        <v>0</v>
      </c>
      <c r="AE824">
        <f>IF(S824=0,0,$AD$799*$AM$790)</f>
        <v>0</v>
      </c>
      <c r="AF824">
        <f>IFERROR(AE824/$R$799,0)</f>
        <v>0</v>
      </c>
      <c r="AG824">
        <f>AE824*($F$22+IF($F$22=0,0,($C$14+$C$15+IF($C$13="single",1.5,3)+3)/12))</f>
        <v>0</v>
      </c>
      <c r="AH824">
        <f>AG824-X824</f>
        <v>0</v>
      </c>
      <c r="AI824" cm="1">
        <f t="array" ref="AI824">IFERROR(IF(AH824&lt;0,0,AH824/($R$799-INDEX(hd_off,MATCH(AQ824,hd_mark,0),0)/12)),0)</f>
        <v>0</v>
      </c>
      <c r="AJ824">
        <f>MAX($F$22,$Z$799)/$Q$820</f>
        <v>0.30172413793103448</v>
      </c>
      <c r="AK824">
        <f t="shared" ref="AK824:AK827" si="522">IF(AJ824=0,0,IF(AJ824&gt;2,1.25-0.125*AJ824,1))</f>
        <v>1</v>
      </c>
      <c r="AL824" cm="1">
        <f t="array" ref="AL824">IFERROR(INDEX(sheath_ecap_asd,MATCH(AP824,sheath_mark,0),0)*AK824,0)</f>
        <v>0</v>
      </c>
      <c r="AM824" cm="1">
        <f t="array" ref="AM824">IFERROR(INDEX(sheath_wcap_asd,MATCH(AP824,sheath_mark,0),0)*AK824,0)</f>
        <v>0</v>
      </c>
      <c r="AN824" cm="1">
        <f t="array" ref="AN824">IFERROR(INDEX(hd_cap,MATCH(AQ824,hd_mark,0),0),0)</f>
        <v>0</v>
      </c>
      <c r="AP824" s="19"/>
      <c r="AQ824" s="19"/>
      <c r="AR824" s="100"/>
      <c r="AS824" s="93"/>
      <c r="AT824" s="109"/>
      <c r="AU824" t="str">
        <f>$Q$790</f>
        <v>L3</v>
      </c>
      <c r="AV824">
        <f>$E$22</f>
        <v>21.375</v>
      </c>
      <c r="AW824" cm="1">
        <f t="array" ref="AW824">IFERROR(IF(AV824=0,0,(INDEX($C$33:$C$38,MATCH($AZ$799,$B$33:$B$38,0),0)*(AV827+$BA$799)+$AW$799*COUNTIF(AV824:AV826,"&gt;0")*$C$32+$AY$799*$C$31)*$AU$799),0)</f>
        <v>0</v>
      </c>
      <c r="AX824">
        <f>IF(AV824=0,0,-(COUNTIF(AV824:AV826,"&gt;0")*$AW$799*$C$32+$AY$799*$C$31)*$H$27*$AU$799)</f>
        <v>0</v>
      </c>
      <c r="AY824">
        <f>IF(AV824=0,0,$AY$799*$H$26*$AU$799)</f>
        <v>0</v>
      </c>
      <c r="AZ824">
        <f>(0.6*AW824+0.7*AX824)*$AU$799/2</f>
        <v>0</v>
      </c>
      <c r="BA824">
        <f>AW824*$AU$799/2</f>
        <v>0</v>
      </c>
      <c r="BC824">
        <f>IF(AV824=0,0,$BG$799*$AP$790)</f>
        <v>0</v>
      </c>
      <c r="BD824">
        <f>IFERROR(BC824/$AU$799,0)</f>
        <v>0</v>
      </c>
      <c r="BE824">
        <f>BC824*($F$22+IF($F$22=0,0,($C$14+$C$15+IF($C$13="single",1.5,3)+3)/12))</f>
        <v>0</v>
      </c>
      <c r="BF824">
        <f>BE824-AZ824</f>
        <v>0</v>
      </c>
      <c r="BG824" cm="1">
        <f t="array" ref="BG824">IFERROR(IF(BF824&lt;0,0,BF824/($AU$799-INDEX(hd_off,MATCH(BT824,hd_mark,0),0)/12)),0)</f>
        <v>0</v>
      </c>
      <c r="BH824">
        <f>IF(AV824=0,0,$BG$799*$AM$790)</f>
        <v>0</v>
      </c>
      <c r="BI824">
        <f>IFERROR(BH824/$AU$799,0)</f>
        <v>0</v>
      </c>
      <c r="BJ824">
        <f>BH824*($F$22+IF($F$22=0,0,($C$14+$C$15+IF($C$13="single",1.5,3)+3)/12))</f>
        <v>0</v>
      </c>
      <c r="BK824">
        <f>BJ824-BA824</f>
        <v>0</v>
      </c>
      <c r="BL824" cm="1">
        <f t="array" ref="BL824">IFERROR(IF(BK824&lt;0,0,BK824/($AU$799-INDEX(hd_off,MATCH(BT824,hd_mark,0),0)/12)),0)</f>
        <v>0</v>
      </c>
      <c r="BM824">
        <f>MAX($F$22,$BC$799)/$Q$820</f>
        <v>0.30172413793103448</v>
      </c>
      <c r="BN824">
        <f t="shared" ref="BN824:BN827" si="523">IF(BM824=0,0,IF(BM824&gt;2,1.25-0.125*BM824,1))</f>
        <v>1</v>
      </c>
      <c r="BO824" cm="1">
        <f t="array" ref="BO824">IFERROR(INDEX(sheath_ecap_asd,MATCH(BS824,sheath_mark,0),0)*BN824,0)</f>
        <v>0</v>
      </c>
      <c r="BP824" cm="1">
        <f t="array" ref="BP824">IFERROR(INDEX(sheath_wcap_asd,MATCH(BS824,sheath_mark,0),0)*BN824,0)</f>
        <v>0</v>
      </c>
      <c r="BQ824" cm="1">
        <f t="array" ref="BQ824">IFERROR(INDEX(hd_cap,MATCH(BT824,hd_mark,0),0),0)</f>
        <v>0</v>
      </c>
      <c r="BS824" s="19"/>
      <c r="BT824" s="19"/>
      <c r="BU824" s="100"/>
    </row>
    <row r="825" x14ac:dyDescent="0.25">
      <c r="B825" t="s">
        <v>464</v>
      </c>
      <c r="C825" s="19"/>
      <c r="D825" s="19"/>
      <c r="E825">
        <f t="shared" si="517"/>
        <v>0</v>
      </c>
      <c r="H825">
        <v>16</v>
      </c>
      <c r="I825" s="19"/>
      <c r="J825" s="19"/>
      <c r="K825">
        <f t="shared" si="518"/>
        <v>0</v>
      </c>
      <c r="P825" s="93"/>
      <c r="Q825" s="109" t="s">
        <v>491</v>
      </c>
      <c r="R825" t="str">
        <f>$Q$791</f>
        <v>L4</v>
      </c>
      <c r="S825">
        <f>$E$23</f>
        <v>0</v>
      </c>
      <c r="T825" cm="1">
        <f t="array" ref="T825">IFERROR(IF(S825=0,0,(INDEX($C$33:$C$38,MATCH($W$799,$B$33:$B$38,0),0)*(S827+$X$799)+$T$799*COUNTIF(S825:S826,"&gt;0")*$C$32+$V$799*$C$31)*$R$799),0)</f>
        <v>0</v>
      </c>
      <c r="U825">
        <f>IF(S825=0,0,-(COUNTIF(S825:S826,"&gt;0")*$T$799*$C$32+$V$799*$C$31)*$H$27*$R$799)</f>
        <v>0</v>
      </c>
      <c r="V825">
        <f>IF(S825=0,0,$V$799*$H$26*$R$799)</f>
        <v>0</v>
      </c>
      <c r="W825">
        <f>(0.6*T825+0.7*U825)*$R$799/2</f>
        <v>0</v>
      </c>
      <c r="X825">
        <f>T825*$R$799/2</f>
        <v>0</v>
      </c>
      <c r="Z825">
        <f>IF(S825=0,0,$AD$799*$AP$791)</f>
        <v>0</v>
      </c>
      <c r="AA825">
        <f>IFERROR(Z825/$R$799,0)</f>
        <v>0</v>
      </c>
      <c r="AB825">
        <f>Z825*($F$23+IF($F$23=0,0,($C$14+$C$15+IF($C$13="single",1.5,3)+3)/12))</f>
        <v>0</v>
      </c>
      <c r="AC825">
        <f>AB825-W825</f>
        <v>0</v>
      </c>
      <c r="AD825" cm="1">
        <f t="array" ref="AD825">IFERROR(IF(AC825&lt;0,0,AC825/($R$799-INDEX(hd_off,MATCH(AQ825,hd_mark,0),0)/12)),0)</f>
        <v>0</v>
      </c>
      <c r="AE825">
        <f>IF(S825=0,0,$AD$799*$AM$791)</f>
        <v>0</v>
      </c>
      <c r="AF825">
        <f>IFERROR(AE825/$R$799,0)</f>
        <v>0</v>
      </c>
      <c r="AG825">
        <f>AE825*($F$23+IF($F$23=0,0,($C$14+$C$15+IF($C$13="single",1.5,3)+3)/12))</f>
        <v>0</v>
      </c>
      <c r="AH825">
        <f>AG825-X825</f>
        <v>0</v>
      </c>
      <c r="AI825" cm="1">
        <f t="array" ref="AI825">IFERROR(IF(AH825&lt;0,0,AH825/($R$799-INDEX(hd_off,MATCH(AQ825,hd_mark,0),0)/12)),0)</f>
        <v>0</v>
      </c>
      <c r="AJ825">
        <f>MAX($F$23,$AA$799)/$Q$820</f>
        <v>0</v>
      </c>
      <c r="AK825">
        <f t="shared" si="522"/>
        <v>0</v>
      </c>
      <c r="AL825" cm="1">
        <f t="array" ref="AL825">IFERROR(INDEX(sheath_ecap_asd,MATCH(AP825,sheath_mark,0),0)*AK825,0)</f>
        <v>0</v>
      </c>
      <c r="AM825" cm="1">
        <f t="array" ref="AM825">IFERROR(INDEX(sheath_wcap_asd,MATCH(AP825,sheath_mark,0),0)*AK825,0)</f>
        <v>0</v>
      </c>
      <c r="AN825" cm="1">
        <f t="array" ref="AN825">IFERROR(INDEX(hd_cap,MATCH(AQ825,hd_mark,0),0),0)</f>
        <v>0</v>
      </c>
      <c r="AP825" s="19"/>
      <c r="AQ825" s="19"/>
      <c r="AR825" s="100"/>
      <c r="AS825" s="93"/>
      <c r="AT825" s="109" t="s">
        <v>491</v>
      </c>
      <c r="AU825" t="str">
        <f>$Q$791</f>
        <v>L4</v>
      </c>
      <c r="AV825">
        <f>$E$23</f>
        <v>0</v>
      </c>
      <c r="AW825" cm="1">
        <f t="array" ref="AW825">IFERROR(IF(AV825=0,0,(INDEX($C$33:$C$38,MATCH($AZ$799,$B$33:$B$38,0),0)*(AV827+$BA$799)+$AW$799*COUNTIF(AV825:AV826,"&gt;0")*$C$32+$AY$799*$C$31)*$AU$799),0)</f>
        <v>0</v>
      </c>
      <c r="AX825">
        <f>IF(AV825=0,0,-(COUNTIF(AV825:AV826,"&gt;0")*$AW$799*$C$32+$AY$799*$C$31)*$H$27*$AU$799)</f>
        <v>0</v>
      </c>
      <c r="AY825">
        <f>IF(AV825=0,0,$AY$799*$H$26*$AU$799)</f>
        <v>0</v>
      </c>
      <c r="AZ825">
        <f>(0.6*AW825+0.7*AX825)*$AU$799/2</f>
        <v>0</v>
      </c>
      <c r="BA825">
        <f>AW825*$AU$799/2</f>
        <v>0</v>
      </c>
      <c r="BC825">
        <f>IF(AV825=0,0,$BG$799*$AP$791)</f>
        <v>0</v>
      </c>
      <c r="BD825">
        <f>IFERROR(BC825/$AU$799,0)</f>
        <v>0</v>
      </c>
      <c r="BE825">
        <f>BC825*($F$23+IF($F$23=0,0,($C$14+$C$15+IF($C$13="single",1.5,3)+3)/12))</f>
        <v>0</v>
      </c>
      <c r="BF825">
        <f>BE825-AZ825</f>
        <v>0</v>
      </c>
      <c r="BG825" cm="1">
        <f t="array" ref="BG825">IFERROR(IF(BF825&lt;0,0,BF825/($AU$799-INDEX(hd_off,MATCH(BT825,hd_mark,0),0)/12)),0)</f>
        <v>0</v>
      </c>
      <c r="BH825">
        <f>IF(AV825=0,0,$BG$799*$AM$791)</f>
        <v>0</v>
      </c>
      <c r="BI825">
        <f>IFERROR(BH825/$AU$799,0)</f>
        <v>0</v>
      </c>
      <c r="BJ825">
        <f>BH825*($F$23+IF($F$23=0,0,($C$14+$C$15+IF($C$13="single",1.5,3)+3)/12))</f>
        <v>0</v>
      </c>
      <c r="BK825">
        <f>BJ825-BA825</f>
        <v>0</v>
      </c>
      <c r="BL825" cm="1">
        <f t="array" ref="BL825">IFERROR(IF(BK825&lt;0,0,BK825/($AU$799-INDEX(hd_off,MATCH(BT825,hd_mark,0),0)/12)),0)</f>
        <v>0</v>
      </c>
      <c r="BM825">
        <f>MAX($F$23,$BD$799)/$Q$820</f>
        <v>0</v>
      </c>
      <c r="BN825">
        <f t="shared" si="523"/>
        <v>0</v>
      </c>
      <c r="BO825" cm="1">
        <f t="array" ref="BO825">IFERROR(INDEX(sheath_ecap_asd,MATCH(BS825,sheath_mark,0),0)*BN825,0)</f>
        <v>0</v>
      </c>
      <c r="BP825" cm="1">
        <f t="array" ref="BP825">IFERROR(INDEX(sheath_wcap_asd,MATCH(BS825,sheath_mark,0),0)*BN825,0)</f>
        <v>0</v>
      </c>
      <c r="BQ825" cm="1">
        <f t="array" ref="BQ825">IFERROR(INDEX(hd_cap,MATCH(BT825,hd_mark,0),0),0)</f>
        <v>0</v>
      </c>
      <c r="BS825" s="19"/>
      <c r="BT825" s="19"/>
      <c r="BU825" s="100"/>
    </row>
    <row r="826" x14ac:dyDescent="0.25">
      <c r="B826" t="s">
        <v>465</v>
      </c>
      <c r="C826" s="19"/>
      <c r="D826" s="19"/>
      <c r="E826">
        <f t="shared" si="517"/>
        <v>0</v>
      </c>
      <c r="H826">
        <v>17</v>
      </c>
      <c r="I826" s="19"/>
      <c r="J826" s="19"/>
      <c r="K826">
        <f t="shared" si="518"/>
        <v>0</v>
      </c>
      <c r="P826" s="93"/>
      <c r="Q826" s="111">
        <f>$R$799</f>
        <v>0</v>
      </c>
      <c r="R826" t="str">
        <f>$Q$792</f>
        <v>L5</v>
      </c>
      <c r="S826">
        <f>$E$24</f>
        <v>0</v>
      </c>
      <c r="T826" cm="1">
        <f t="array" ref="T826">IFERROR(IF(S826=0,0,(INDEX($C$33:$C$38,MATCH($W$799,$B$33:$B$38,0),0)*(S827+$X$799)+$T$799*COUNTIF(S826:S826,"&gt;0")*$C$32+$V$799*$C$31)*$R$799),0)</f>
        <v>0</v>
      </c>
      <c r="U826">
        <f>IF(S826=0,0,-(COUNTIF(S826:S826,"&gt;0")*$T$799*$C$32+$V$799*$C$31)*$H$27*$R$799)</f>
        <v>0</v>
      </c>
      <c r="V826">
        <f>IF(S826=0,0,$V$799*$H$26*$R$799)</f>
        <v>0</v>
      </c>
      <c r="W826">
        <f>(0.6*T826+0.7*U826)*$R$799/2</f>
        <v>0</v>
      </c>
      <c r="X826">
        <f>T826*$R$799/2</f>
        <v>0</v>
      </c>
      <c r="Z826">
        <f>IF(S826=0,0,$AD$799*$AP$792)</f>
        <v>0</v>
      </c>
      <c r="AA826">
        <f>IFERROR(Z826/$R$799,0)</f>
        <v>0</v>
      </c>
      <c r="AB826">
        <f>Z826*($F$24+IF($F$24=0,0,($C$14+$C$15+IF($C$13="single",1.5,3)+3)/12))</f>
        <v>0</v>
      </c>
      <c r="AC826">
        <f>AB826-W826</f>
        <v>0</v>
      </c>
      <c r="AD826" cm="1">
        <f t="array" ref="AD826">IFERROR(IF(AC826&lt;0,0,AC826/($R$799-INDEX(hd_off,MATCH(AQ826,hd_mark,0),0)/12)),0)</f>
        <v>0</v>
      </c>
      <c r="AE826">
        <f>IF(S826=0,0,$AD$799*$AM$792)</f>
        <v>0</v>
      </c>
      <c r="AF826">
        <f>IFERROR(AE826/$R$799,0)</f>
        <v>0</v>
      </c>
      <c r="AG826">
        <f>AE826*($F$24+IF($F$24=0,0,($C$14+$C$15+IF($C$13="single",1.5,3)+3)/12))</f>
        <v>0</v>
      </c>
      <c r="AH826">
        <f>AG826-X826</f>
        <v>0</v>
      </c>
      <c r="AI826" cm="1">
        <f t="array" ref="AI826">IFERROR(IF(AH826&lt;0,0,AH826/($R$799-INDEX(hd_off,MATCH(AQ826,hd_mark,0),0)/12)),0)</f>
        <v>0</v>
      </c>
      <c r="AJ826">
        <f>MAX($F$24,$AB$799)/$Q$820</f>
        <v>0</v>
      </c>
      <c r="AK826">
        <f t="shared" si="522"/>
        <v>0</v>
      </c>
      <c r="AL826" cm="1">
        <f t="array" ref="AL826">IFERROR(INDEX(sheath_ecap_asd,MATCH(AP826,sheath_mark,0),0)*AK826,0)</f>
        <v>0</v>
      </c>
      <c r="AM826" cm="1">
        <f t="array" ref="AM826">IFERROR(INDEX(sheath_wcap_asd,MATCH(AP826,sheath_mark,0),0)*AK826,0)</f>
        <v>0</v>
      </c>
      <c r="AN826" cm="1">
        <f t="array" ref="AN826">IFERROR(INDEX(hd_cap,MATCH(AQ826,hd_mark,0),0),0)</f>
        <v>0</v>
      </c>
      <c r="AP826" s="19"/>
      <c r="AQ826" s="19"/>
      <c r="AR826" s="100"/>
      <c r="AS826" s="93"/>
      <c r="AT826" s="111">
        <f>$R$799</f>
        <v>0</v>
      </c>
      <c r="AU826" t="str">
        <f>$Q$792</f>
        <v>L5</v>
      </c>
      <c r="AV826">
        <f>$E$24</f>
        <v>0</v>
      </c>
      <c r="AW826" cm="1">
        <f t="array" ref="AW826">IFERROR(IF(AV826=0,0,(INDEX($C$33:$C$38,MATCH($AZ$799,$B$33:$B$38,0),0)*(AV827+$BA$799)+$AW$799*COUNTIF(AV826:AV826,"&gt;0")*$C$32+$AY$799*$C$31)*$AU$799),0)</f>
        <v>0</v>
      </c>
      <c r="AX826">
        <f>IF(AV826=0,0,-(COUNTIF(AV826:AV826,"&gt;0")*$AW$799*$C$32+$AY$799*$C$31)*$H$27*$AU$799)</f>
        <v>0</v>
      </c>
      <c r="AY826">
        <f>IF(AV826=0,0,$AY$799*$H$26*$AU$799)</f>
        <v>0</v>
      </c>
      <c r="AZ826">
        <f>(0.6*AW826+0.7*AX826)*$AU$799/2</f>
        <v>0</v>
      </c>
      <c r="BA826">
        <f>AW826*$AU$799/2</f>
        <v>0</v>
      </c>
      <c r="BC826">
        <f>IF(AV826=0,0,$BG$799*$AP$792)</f>
        <v>0</v>
      </c>
      <c r="BD826">
        <f>IFERROR(BC826/$AU$799,0)</f>
        <v>0</v>
      </c>
      <c r="BE826">
        <f>BC826*($F$24+IF($F$24=0,0,($C$14+$C$15+IF($C$13="single",1.5,3)+3)/12))</f>
        <v>0</v>
      </c>
      <c r="BF826">
        <f>BE826-AZ826</f>
        <v>0</v>
      </c>
      <c r="BG826" cm="1">
        <f t="array" ref="BG826">IFERROR(IF(BF826&lt;0,0,BF826/($AU$799-INDEX(hd_off,MATCH(BT826,hd_mark,0),0)/12)),0)</f>
        <v>0</v>
      </c>
      <c r="BH826">
        <f>IF(AV826=0,0,$BG$799*$AM$792)</f>
        <v>0</v>
      </c>
      <c r="BI826">
        <f>IFERROR(BH826/$AU$799,0)</f>
        <v>0</v>
      </c>
      <c r="BJ826">
        <f>BH826*($F$24+IF($F$24=0,0,($C$14+$C$15+IF($C$13="single",1.5,3)+3)/12))</f>
        <v>0</v>
      </c>
      <c r="BK826">
        <f>BJ826-BA826</f>
        <v>0</v>
      </c>
      <c r="BL826" cm="1">
        <f t="array" ref="BL826">IFERROR(IF(BK826&lt;0,0,BK826/($AU$799-INDEX(hd_off,MATCH(BT826,hd_mark,0),0)/12)),0)</f>
        <v>0</v>
      </c>
      <c r="BM826">
        <f>MAX($F$24,$BE$799)/$Q$820</f>
        <v>0</v>
      </c>
      <c r="BN826">
        <f t="shared" si="523"/>
        <v>0</v>
      </c>
      <c r="BO826" cm="1">
        <f t="array" ref="BO826">IFERROR(INDEX(sheath_ecap_asd,MATCH(BS826,sheath_mark,0),0)*BN826,0)</f>
        <v>0</v>
      </c>
      <c r="BP826" cm="1">
        <f t="array" ref="BP826">IFERROR(INDEX(sheath_wcap_asd,MATCH(BS826,sheath_mark,0),0)*BN826,0)</f>
        <v>0</v>
      </c>
      <c r="BQ826" cm="1">
        <f t="array" ref="BQ826">IFERROR(INDEX(hd_cap,MATCH(BT826,hd_mark,0),0),0)</f>
        <v>0</v>
      </c>
      <c r="BS826" s="19"/>
      <c r="BT826" s="19"/>
      <c r="BU826" s="100"/>
    </row>
    <row r="827" x14ac:dyDescent="0.25">
      <c r="B827" t="s">
        <v>466</v>
      </c>
      <c r="C827" s="19"/>
      <c r="D827" s="19"/>
      <c r="E827">
        <f t="shared" si="517"/>
        <v>0</v>
      </c>
      <c r="H827">
        <v>18</v>
      </c>
      <c r="I827" s="19"/>
      <c r="J827" s="19"/>
      <c r="K827">
        <f t="shared" si="518"/>
        <v>0</v>
      </c>
      <c r="P827" s="93"/>
      <c r="Q827" s="109"/>
      <c r="R827" t="str">
        <f>$Q$793</f>
        <v>Roof</v>
      </c>
      <c r="S827">
        <f>$E$25</f>
        <v>33.171875</v>
      </c>
      <c r="T827" cm="1">
        <f t="array" ref="T827">IFERROR(IF(S827=0,0,(INDEX($C$33:$C$38,MATCH($W$799,$B$33:$B$38,0),0)*(S827+$X$799)+$V$799*$C$31)*$R$799),0)</f>
        <v>0</v>
      </c>
      <c r="U827">
        <f>IF(S827=0,0,-$V$799*$C$31*$H$27*$R$799)</f>
        <v>0</v>
      </c>
      <c r="V827">
        <f>IF(S827=0,0,$V$799*$H$26*$R$799)</f>
        <v>0</v>
      </c>
      <c r="W827">
        <f>(0.6*T827+0.7*U827)*$R$799/2</f>
        <v>0</v>
      </c>
      <c r="X827">
        <f>T827*$R$799/2</f>
        <v>0</v>
      </c>
      <c r="Z827">
        <f>IF(S827=0,0,$AD$799*$AP$793)</f>
        <v>0</v>
      </c>
      <c r="AA827">
        <f>IFERROR(Z827/$R$799,0)</f>
        <v>0</v>
      </c>
      <c r="AB827">
        <f>Z827*($F$25+($C$16+$C$17+IF($C$13="single",1.5,3)+3)/12)</f>
        <v>0</v>
      </c>
      <c r="AC827">
        <f>AB827-W827</f>
        <v>0</v>
      </c>
      <c r="AD827" cm="1">
        <f t="array" ref="AD827">IFERROR(IF(AC827&lt;0,0,AC827/($R$799-INDEX(hd_off,MATCH(AQ827,hd_mark,0),0)/12)),0)</f>
        <v>0</v>
      </c>
      <c r="AE827">
        <f>IF(S827=0,0,$AD$799*$AM$793)</f>
        <v>0</v>
      </c>
      <c r="AF827">
        <f>IFERROR(AE827/$R$799,0)</f>
        <v>0</v>
      </c>
      <c r="AG827">
        <f>AE827*($F$25+($C$16+$C$17+IF($C$13="single",1.5,3)+3)/12)</f>
        <v>0</v>
      </c>
      <c r="AH827">
        <f>AG827-X827</f>
        <v>0</v>
      </c>
      <c r="AI827" cm="1">
        <f t="array" ref="AI827">IFERROR(IF(AH827&lt;0,0,AH827/($R$799-INDEX(hd_off,MATCH(AQ827,hd_mark,0),0)/12)),0)</f>
        <v>0</v>
      </c>
      <c r="AJ827">
        <f>MAX($F$25,$AC$799)/$Q$820</f>
        <v>0.29920977011494249</v>
      </c>
      <c r="AK827">
        <f t="shared" si="522"/>
        <v>1</v>
      </c>
      <c r="AL827" cm="1">
        <f t="array" ref="AL827">IFERROR(INDEX(sheath_ecap_asd,MATCH(AP827,sheath_mark,0),0)*AK827,0)</f>
        <v>0</v>
      </c>
      <c r="AM827" cm="1">
        <f t="array" ref="AM827">IFERROR(INDEX(sheath_wcap_asd,MATCH(AP827,sheath_mark,0),0)*AK827,0)</f>
        <v>0</v>
      </c>
      <c r="AN827" cm="1">
        <f t="array" ref="AN827">IFERROR(INDEX(hd_cap,MATCH(AQ827,hd_mark,0),0),0)</f>
        <v>0</v>
      </c>
      <c r="AP827" s="19"/>
      <c r="AQ827" s="19"/>
      <c r="AR827" s="100"/>
      <c r="AS827" s="93"/>
      <c r="AT827" s="109"/>
      <c r="AU827" t="str">
        <f>$Q$793</f>
        <v>Roof</v>
      </c>
      <c r="AV827">
        <f>$E$25</f>
        <v>33.171875</v>
      </c>
      <c r="AW827" cm="1">
        <f t="array" ref="AW827">IFERROR(IF(AV827=0,0,(INDEX($C$33:$C$38,MATCH($AZ$799,$B$33:$B$38,0),0)*(AV827+$BA$799)+$AY$799*$C$31)*$AU$799),0)</f>
        <v>0</v>
      </c>
      <c r="AX827">
        <f>IF(AV827=0,0,-$AY$799*$C$31*$H$27*$AU$799)</f>
        <v>0</v>
      </c>
      <c r="AY827">
        <f>IF(AV827=0,0,$AY$799*$H$26*$AU$799)</f>
        <v>0</v>
      </c>
      <c r="AZ827">
        <f>(0.6*AW827+0.7*AX827)*$AU$799/2</f>
        <v>0</v>
      </c>
      <c r="BA827">
        <f>AW827*$AU$799/2</f>
        <v>0</v>
      </c>
      <c r="BC827">
        <f>IF(AV827=0,0,$BG$799*$AP$793)</f>
        <v>0</v>
      </c>
      <c r="BD827">
        <f>IFERROR(BC827/$AU$799,0)</f>
        <v>0</v>
      </c>
      <c r="BE827">
        <f>BC827*($F$25+($C$16+$C$17+IF($C$13="single",1.5,3)+3)/12)</f>
        <v>0</v>
      </c>
      <c r="BF827">
        <f>BE827-AZ827</f>
        <v>0</v>
      </c>
      <c r="BG827" cm="1">
        <f t="array" ref="BG827">IFERROR(IF(BF827&lt;0,0,BF827/($AU$799-INDEX(hd_off,MATCH(BT827,hd_mark,0),0)/12)),0)</f>
        <v>0</v>
      </c>
      <c r="BH827">
        <f>IF(AV827=0,0,$BG$799*$AM$793)</f>
        <v>0</v>
      </c>
      <c r="BI827">
        <f>IFERROR(BH827/$AU$799,0)</f>
        <v>0</v>
      </c>
      <c r="BJ827">
        <f>BH827*($F$25+($C$16+$C$17+IF($C$13="single",1.5,3)+3)/12)</f>
        <v>0</v>
      </c>
      <c r="BK827">
        <f>BJ827-BA827</f>
        <v>0</v>
      </c>
      <c r="BL827" cm="1">
        <f t="array" ref="BL827">IFERROR(IF(BK827&lt;0,0,BK827/($AU$799-INDEX(hd_off,MATCH(BT827,hd_mark,0),0)/12)),0)</f>
        <v>0</v>
      </c>
      <c r="BM827">
        <f>MAX($F$25,$BF$799)/$Q$820</f>
        <v>0.29920977011494249</v>
      </c>
      <c r="BN827">
        <f t="shared" si="523"/>
        <v>1</v>
      </c>
      <c r="BO827" cm="1">
        <f t="array" ref="BO827">IFERROR(INDEX(sheath_ecap_asd,MATCH(BS827,sheath_mark,0),0)*BN827,0)</f>
        <v>0</v>
      </c>
      <c r="BP827" cm="1">
        <f t="array" ref="BP827">IFERROR(INDEX(sheath_wcap_asd,MATCH(BS827,sheath_mark,0),0)*BN827,0)</f>
        <v>0</v>
      </c>
      <c r="BQ827" cm="1">
        <f t="array" ref="BQ827">IFERROR(INDEX(hd_cap,MATCH(BT827,hd_mark,0),0),0)</f>
        <v>0</v>
      </c>
      <c r="BS827" s="19"/>
      <c r="BT827" s="19"/>
      <c r="BU827" s="100"/>
    </row>
    <row r="828" x14ac:dyDescent="0.25">
      <c r="B828" t="s">
        <v>467</v>
      </c>
      <c r="C828" s="19"/>
      <c r="D828" s="19"/>
      <c r="E828">
        <f t="shared" si="517"/>
        <v>0</v>
      </c>
      <c r="H828">
        <v>19</v>
      </c>
      <c r="I828" s="19"/>
      <c r="J828" s="19"/>
      <c r="K828">
        <f t="shared" si="518"/>
        <v>0</v>
      </c>
      <c r="P828" s="93"/>
      <c r="AR828" s="100"/>
      <c r="AS828" s="93"/>
      <c r="BU828" s="100"/>
    </row>
    <row r="829" x14ac:dyDescent="0.25">
      <c r="B829" t="s">
        <v>468</v>
      </c>
      <c r="C829" s="19"/>
      <c r="D829" s="19"/>
      <c r="E829">
        <f t="shared" si="517"/>
        <v>0</v>
      </c>
      <c r="H829">
        <v>20</v>
      </c>
      <c r="I829" s="19"/>
      <c r="J829" s="19"/>
      <c r="K829">
        <f t="shared" si="518"/>
        <v>0</v>
      </c>
      <c r="P829" s="93"/>
      <c r="Q829" s="110" t="str">
        <f>$Q$800</f>
        <v>A.03</v>
      </c>
      <c r="R829" t="str">
        <f>$Q$789</f>
        <v>L2</v>
      </c>
      <c r="S829">
        <f>$E$21</f>
        <v>10.6875</v>
      </c>
      <c r="T829" cm="1">
        <f t="array" ref="T829">IFERROR(IF(S829=0,0,(INDEX($C$33:$C$38,MATCH($W$800,$B$33:$B$38,0),0)*(S833+$X$800)+$T$800*COUNTIF(S829:S832,"&gt;0")*$C$32+$V$800*$C$31)*$R$800),0)</f>
        <v>0</v>
      </c>
      <c r="U829">
        <f>IF(S829=0,0,-(COUNTIF(S829:S832,"&gt;0")*$T$800*$C$32+$V$800*$C$31)*$H$27*$R$800)</f>
        <v>0</v>
      </c>
      <c r="V829">
        <f>IF(S829=0,0,$V$800*$H$26*$R$800)</f>
        <v>0</v>
      </c>
      <c r="W829">
        <f>(0.6*T829+0.7*U829)*$R$800/2</f>
        <v>0</v>
      </c>
      <c r="X829">
        <f>(0.6*T829+0.6*V829)*$R$800/2</f>
        <v>0</v>
      </c>
      <c r="Z829">
        <f>IF(S829=0,0,$AD$800*$AP$789)</f>
        <v>0</v>
      </c>
      <c r="AA829">
        <f>IFERROR(Z829/$R$800,0)</f>
        <v>0</v>
      </c>
      <c r="AB829">
        <f>Z829*($F$21+IF($F$21=0,0,($C$14+$C$15+IF($C$13="single",1.5,3)+3)/12))</f>
        <v>0</v>
      </c>
      <c r="AC829">
        <f>AB829-W829</f>
        <v>0</v>
      </c>
      <c r="AD829" cm="1">
        <f t="array" ref="AD829">IFERROR(IF(AC829&lt;0,0,AC829/($R$800-INDEX(hd_off,MATCH(AQ829,hd_mark,0),0)/12)),0)</f>
        <v>0</v>
      </c>
      <c r="AE829">
        <f>IF(S829=0,0,$AD$800*$AM$789)</f>
        <v>0</v>
      </c>
      <c r="AF829">
        <f>IFERROR(AE829/$R$800,0)</f>
        <v>0</v>
      </c>
      <c r="AG829">
        <f>AE829*($F$21+IF($F$21=0,0,($C$14+$C$15+IF($C$13="single",1.5,3)+3)/12))</f>
        <v>0</v>
      </c>
      <c r="AH829">
        <f>AG829-X829</f>
        <v>0</v>
      </c>
      <c r="AI829" cm="1">
        <f t="array" ref="AI829">IFERROR(IF(AH829&lt;0,0,AH829/($R$800-INDEX(hd_off,MATCH(AQ829,hd_mark,0),0)/12)),0)</f>
        <v>0</v>
      </c>
      <c r="AJ829">
        <f>MAX($F$21,$Y$800)/$Q$820</f>
        <v>0.30172413793103448</v>
      </c>
      <c r="AK829">
        <f>IF(AJ829=0,0,IF(AJ829&gt;2,1.25-0.125*AJ829,1))</f>
        <v>1</v>
      </c>
      <c r="AL829" cm="1">
        <f t="array" ref="AL829">IFERROR(INDEX(sheath_ecap_asd,MATCH(AP829,sheath_mark,0),0)*AK829,0)</f>
        <v>0</v>
      </c>
      <c r="AM829" cm="1">
        <f t="array" ref="AM829">IFERROR(INDEX(sheath_wcap_asd,MATCH(AP829,sheath_mark,0),0)*AK829,0)</f>
        <v>0</v>
      </c>
      <c r="AN829" cm="1">
        <f t="array" ref="AN829">IFERROR(INDEX(hd_cap,MATCH(AQ829,hd_mark,0),0),0)</f>
        <v>0</v>
      </c>
      <c r="AP829" s="19"/>
      <c r="AQ829" s="19"/>
      <c r="AR829" s="100"/>
      <c r="AS829" s="93"/>
      <c r="AT829" s="110" t="str">
        <f>$AT$800</f>
        <v>1.03</v>
      </c>
      <c r="AU829" t="str">
        <f>$Q$789</f>
        <v>L2</v>
      </c>
      <c r="AV829">
        <f>$E$21</f>
        <v>10.6875</v>
      </c>
      <c r="AW829" cm="1">
        <f t="array" ref="AW829">IFERROR(IF(AV829=0,0,(INDEX($C$33:$C$38,MATCH($AZ$800,$B$33:$B$38,0),0)*(AV833+$BA$800)+$AW$800*COUNTIF(AV829:AV832,"&gt;0")*$C$32+$AY$800*$C$31)*$AU$800),0)</f>
        <v>0</v>
      </c>
      <c r="AX829">
        <f>IF(AV829=0,0,-(COUNTIF(AV829:AV832,"&gt;0")*$AW$800*$C$32+$AY$800*$C$31)*$H$27*$AU$800)</f>
        <v>0</v>
      </c>
      <c r="AY829">
        <f>IF(AV829=0,0,$AY$800*$H$26*$AU$800)</f>
        <v>0</v>
      </c>
      <c r="AZ829">
        <f>(0.6*AW829+0.7*AX829)*$AU$800/2</f>
        <v>0</v>
      </c>
      <c r="BA829">
        <f>(0.6*AW829+0.6*AY829)*$AU$800/2</f>
        <v>0</v>
      </c>
      <c r="BC829">
        <f>IF(AV829=0,0,$BG$800*$AP$789)</f>
        <v>0</v>
      </c>
      <c r="BD829">
        <f>IFERROR(BC829/$AU$800,0)</f>
        <v>0</v>
      </c>
      <c r="BE829">
        <f>BC829*($F$21+IF($F$21=0,0,($C$14+$C$15+IF($C$13="single",1.5,3)+3)/12))</f>
        <v>0</v>
      </c>
      <c r="BF829">
        <f>BE829-AZ829</f>
        <v>0</v>
      </c>
      <c r="BG829" cm="1">
        <f t="array" ref="BG829">IFERROR(IF(BF829&lt;0,0,BF829/($AU$800-INDEX(hd_off,MATCH(BT829,hd_mark,0),0)/12)),0)</f>
        <v>0</v>
      </c>
      <c r="BH829">
        <f>IF(AV829=0,0,$BG$800*$AM$789)</f>
        <v>0</v>
      </c>
      <c r="BI829">
        <f>IFERROR(BH829/$AU$800,0)</f>
        <v>0</v>
      </c>
      <c r="BJ829">
        <f>BH829*($F$21+IF($F$21=0,0,($C$14+$C$15+IF($C$13="single",1.5,3)+3)/12))</f>
        <v>0</v>
      </c>
      <c r="BK829">
        <f>BJ829-BA829</f>
        <v>0</v>
      </c>
      <c r="BL829" cm="1">
        <f t="array" ref="BL829">IFERROR(IF(BK829&lt;0,0,BK829/($AU$800-INDEX(hd_off,MATCH(BT829,hd_mark,0),0)/12)),0)</f>
        <v>0</v>
      </c>
      <c r="BM829">
        <f>MAX($F$21,$BB$800)/$Q$820</f>
        <v>0.30172413793103448</v>
      </c>
      <c r="BN829">
        <f>IF(BM829=0,0,IF(BM829&gt;2,1.25-0.125*BM829,1))</f>
        <v>1</v>
      </c>
      <c r="BO829" cm="1">
        <f t="array" ref="BO829">IFERROR(INDEX(sheath_ecap_asd,MATCH(BS829,sheath_mark,0),0)*BN829,0)</f>
        <v>0</v>
      </c>
      <c r="BP829" cm="1">
        <f t="array" ref="BP829">IFERROR(INDEX(sheath_wcap_asd,MATCH(BS829,sheath_mark,0),0)*BN829,0)</f>
        <v>0</v>
      </c>
      <c r="BQ829" cm="1">
        <f t="array" ref="BQ829">IFERROR(INDEX(hd_cap,MATCH(BT829,hd_mark,0),0),0)</f>
        <v>0</v>
      </c>
      <c r="BS829" s="19"/>
      <c r="BT829" s="19"/>
      <c r="BU829" s="100"/>
    </row>
    <row r="830" x14ac:dyDescent="0.25">
      <c r="B830" t="s">
        <v>469</v>
      </c>
      <c r="C830" s="19"/>
      <c r="D830" s="19"/>
      <c r="E830">
        <f t="shared" si="517"/>
        <v>0</v>
      </c>
      <c r="H830">
        <v>21</v>
      </c>
      <c r="I830" s="19"/>
      <c r="J830" s="19"/>
      <c r="K830">
        <f t="shared" si="518"/>
        <v>0</v>
      </c>
      <c r="P830" s="93"/>
      <c r="Q830" s="109"/>
      <c r="R830" t="str">
        <f>$Q$790</f>
        <v>L3</v>
      </c>
      <c r="S830">
        <f>$E$22</f>
        <v>21.375</v>
      </c>
      <c r="T830" cm="1">
        <f t="array" ref="T830">IFERROR(IF(S830=0,0,(INDEX($C$33:$C$38,MATCH($W$800,$B$33:$B$38,0),0)*(S833+$X$800)+$T$800*COUNTIF(S830:S832,"&gt;0")*$C$32+$V$800*$C$31)*$R$800),0)</f>
        <v>0</v>
      </c>
      <c r="U830">
        <f>IF(S830=0,0,-(COUNTIF(S830:S832,"&gt;0")*$T$800*$C$32+$V$800*$C$31)*$H$27*$R$800)</f>
        <v>0</v>
      </c>
      <c r="V830">
        <f>IF(S830=0,0,$V$800*$H$26*$R$800)</f>
        <v>0</v>
      </c>
      <c r="W830">
        <f>(0.6*T830+0.7*U830)*$R$800/2</f>
        <v>0</v>
      </c>
      <c r="X830">
        <f>T830*$R$800/2</f>
        <v>0</v>
      </c>
      <c r="Z830">
        <f>IF(S830=0,0,$AD$800*$AP$790)</f>
        <v>0</v>
      </c>
      <c r="AA830">
        <f>IFERROR(Z830/$R$800,0)</f>
        <v>0</v>
      </c>
      <c r="AB830">
        <f>Z830*($F$22+IF($F$22=0,0,($C$14+$C$15+IF($C$13="single",1.5,3)+3)/12))</f>
        <v>0</v>
      </c>
      <c r="AC830">
        <f>AB830-W830</f>
        <v>0</v>
      </c>
      <c r="AD830" cm="1">
        <f t="array" ref="AD830">IFERROR(IF(AC830&lt;0,0,AC830/($R$800-INDEX(hd_off,MATCH(AQ830,hd_mark,0),0)/12)),0)</f>
        <v>0</v>
      </c>
      <c r="AE830">
        <f>IF(S830=0,0,$AD$800*$AM$790)</f>
        <v>0</v>
      </c>
      <c r="AF830">
        <f>IFERROR(AE830/$R$800,0)</f>
        <v>0</v>
      </c>
      <c r="AG830">
        <f>AE830*($F$22+IF($F$22=0,0,($C$14+$C$15+IF($C$13="single",1.5,3)+3)/12))</f>
        <v>0</v>
      </c>
      <c r="AH830">
        <f>AG830-X830</f>
        <v>0</v>
      </c>
      <c r="AI830" cm="1">
        <f t="array" ref="AI830">IFERROR(IF(AH830&lt;0,0,AH830/($R$800-INDEX(hd_off,MATCH(AQ830,hd_mark,0),0)/12)),0)</f>
        <v>0</v>
      </c>
      <c r="AJ830">
        <f>MAX($F$22,$Z$800)/$Q$820</f>
        <v>0.30172413793103448</v>
      </c>
      <c r="AK830">
        <f t="shared" ref="AK830:AK833" si="524">IF(AJ830=0,0,IF(AJ830&gt;2,1.25-0.125*AJ830,1))</f>
        <v>1</v>
      </c>
      <c r="AL830" cm="1">
        <f t="array" ref="AL830">IFERROR(INDEX(sheath_ecap_asd,MATCH(AP830,sheath_mark,0),0)*AK830,0)</f>
        <v>0</v>
      </c>
      <c r="AM830" cm="1">
        <f t="array" ref="AM830">IFERROR(INDEX(sheath_wcap_asd,MATCH(AP830,sheath_mark,0),0)*AK830,0)</f>
        <v>0</v>
      </c>
      <c r="AN830" cm="1">
        <f t="array" ref="AN830">IFERROR(INDEX(hd_cap,MATCH(AQ830,hd_mark,0),0),0)</f>
        <v>0</v>
      </c>
      <c r="AP830" s="19"/>
      <c r="AQ830" s="19"/>
      <c r="AR830" s="100"/>
      <c r="AS830" s="93"/>
      <c r="AT830" s="109"/>
      <c r="AU830" t="str">
        <f>$Q$790</f>
        <v>L3</v>
      </c>
      <c r="AV830">
        <f>$E$22</f>
        <v>21.375</v>
      </c>
      <c r="AW830" cm="1">
        <f t="array" ref="AW830">IFERROR(IF(AV830=0,0,(INDEX($C$33:$C$38,MATCH($AZ$800,$B$33:$B$38,0),0)*(AV833+$BA$800)+$AW$800*COUNTIF(AV830:AV832,"&gt;0")*$C$32+$AY$800*$C$31)*$AU$800),0)</f>
        <v>0</v>
      </c>
      <c r="AX830">
        <f>IF(AV830=0,0,-(COUNTIF(AV830:AV832,"&gt;0")*$AW$800*$C$32+$AY$800*$C$31)*$H$27*$AU$800)</f>
        <v>0</v>
      </c>
      <c r="AY830">
        <f>IF(AV830=0,0,$AY$800*$H$26*$AU$800)</f>
        <v>0</v>
      </c>
      <c r="AZ830">
        <f>(0.6*AW830+0.7*AX830)*$AU$800/2</f>
        <v>0</v>
      </c>
      <c r="BA830">
        <f>AW830*$AU$800/2</f>
        <v>0</v>
      </c>
      <c r="BC830">
        <f>IF(AV830=0,0,$BG$800*$AP$790)</f>
        <v>0</v>
      </c>
      <c r="BD830">
        <f>IFERROR(BC830/$AU$800,0)</f>
        <v>0</v>
      </c>
      <c r="BE830">
        <f>BC830*($F$22+IF($F$22=0,0,($C$14+$C$15+IF($C$13="single",1.5,3)+3)/12))</f>
        <v>0</v>
      </c>
      <c r="BF830">
        <f>BE830-AZ830</f>
        <v>0</v>
      </c>
      <c r="BG830" cm="1">
        <f t="array" ref="BG830">IFERROR(IF(BF830&lt;0,0,BF830/($AU$800-INDEX(hd_off,MATCH(BT830,hd_mark,0),0)/12)),0)</f>
        <v>0</v>
      </c>
      <c r="BH830">
        <f>IF(AV830=0,0,$BG$800*$AM$790)</f>
        <v>0</v>
      </c>
      <c r="BI830">
        <f>IFERROR(BH830/$AU$800,0)</f>
        <v>0</v>
      </c>
      <c r="BJ830">
        <f>BH830*($F$22+IF($F$22=0,0,($C$14+$C$15+IF($C$13="single",1.5,3)+3)/12))</f>
        <v>0</v>
      </c>
      <c r="BK830">
        <f>BJ830-BA830</f>
        <v>0</v>
      </c>
      <c r="BL830" cm="1">
        <f t="array" ref="BL830">IFERROR(IF(BK830&lt;0,0,BK830/($AU$800-INDEX(hd_off,MATCH(BT830,hd_mark,0),0)/12)),0)</f>
        <v>0</v>
      </c>
      <c r="BM830">
        <f>MAX($F$22,$BC$800)/$Q$820</f>
        <v>0.30172413793103448</v>
      </c>
      <c r="BN830">
        <f t="shared" ref="BN830:BN833" si="525">IF(BM830=0,0,IF(BM830&gt;2,1.25-0.125*BM830,1))</f>
        <v>1</v>
      </c>
      <c r="BO830" cm="1">
        <f t="array" ref="BO830">IFERROR(INDEX(sheath_ecap_asd,MATCH(BS830,sheath_mark,0),0)*BN830,0)</f>
        <v>0</v>
      </c>
      <c r="BP830" cm="1">
        <f t="array" ref="BP830">IFERROR(INDEX(sheath_wcap_asd,MATCH(BS830,sheath_mark,0),0)*BN830,0)</f>
        <v>0</v>
      </c>
      <c r="BQ830" cm="1">
        <f t="array" ref="BQ830">IFERROR(INDEX(hd_cap,MATCH(BT830,hd_mark,0),0),0)</f>
        <v>0</v>
      </c>
      <c r="BS830" s="19"/>
      <c r="BT830" s="19"/>
      <c r="BU830" s="100"/>
    </row>
    <row r="831" x14ac:dyDescent="0.25">
      <c r="B831" t="s">
        <v>285</v>
      </c>
      <c r="C831" s="19"/>
      <c r="D831" s="19"/>
      <c r="E831">
        <f t="shared" si="517"/>
        <v>0</v>
      </c>
      <c r="H831">
        <v>22</v>
      </c>
      <c r="I831" s="19"/>
      <c r="J831" s="19"/>
      <c r="K831">
        <f t="shared" si="518"/>
        <v>0</v>
      </c>
      <c r="P831" s="93"/>
      <c r="Q831" s="109" t="s">
        <v>491</v>
      </c>
      <c r="R831" t="str">
        <f>$Q$791</f>
        <v>L4</v>
      </c>
      <c r="S831">
        <f>$E$23</f>
        <v>0</v>
      </c>
      <c r="T831" cm="1">
        <f t="array" ref="T831">IFERROR(IF(S831=0,0,(INDEX($C$33:$C$38,MATCH($W$800,$B$33:$B$38,0),0)*(S833+$X$800)+$T$800*COUNTIF(S831:S832,"&gt;0")*$C$32+$V$800*$C$31)*$R$800),0)</f>
        <v>0</v>
      </c>
      <c r="U831">
        <f>IF(S831=0,0,-(COUNTIF(S831:S832,"&gt;0")*$T$800*$C$32+$V$800*$C$31)*$H$27*$R$800)</f>
        <v>0</v>
      </c>
      <c r="V831">
        <f>IF(S831=0,0,$V$800*$H$26*$R$800)</f>
        <v>0</v>
      </c>
      <c r="W831">
        <f>(0.6*T831+0.7*U831)*$R$800/2</f>
        <v>0</v>
      </c>
      <c r="X831">
        <f>T831*$R$800/2</f>
        <v>0</v>
      </c>
      <c r="Z831">
        <f>IF(S831=0,0,$AD$800*$AP$791)</f>
        <v>0</v>
      </c>
      <c r="AA831">
        <f>IFERROR(Z831/$R$800,0)</f>
        <v>0</v>
      </c>
      <c r="AB831">
        <f>Z831*($F$23+IF($F$23=0,0,($C$14+$C$15+IF($C$13="single",1.5,3)+3)/12))</f>
        <v>0</v>
      </c>
      <c r="AC831">
        <f>AB831-W831</f>
        <v>0</v>
      </c>
      <c r="AD831" cm="1">
        <f t="array" ref="AD831">IFERROR(IF(AC831&lt;0,0,AC831/($R$800-INDEX(hd_off,MATCH(AQ831,hd_mark,0),0)/12)),0)</f>
        <v>0</v>
      </c>
      <c r="AE831">
        <f>IF(S831=0,0,$AD$800*$AM$791)</f>
        <v>0</v>
      </c>
      <c r="AF831">
        <f>IFERROR(AE831/$R$800,0)</f>
        <v>0</v>
      </c>
      <c r="AG831">
        <f>AE831*($F$23+IF($F$23=0,0,($C$14+$C$15+IF($C$13="single",1.5,3)+3)/12))</f>
        <v>0</v>
      </c>
      <c r="AH831">
        <f>AG831-X831</f>
        <v>0</v>
      </c>
      <c r="AI831" cm="1">
        <f t="array" ref="AI831">IFERROR(IF(AH831&lt;0,0,AH831/($R$800-INDEX(hd_off,MATCH(AQ831,hd_mark,0),0)/12)),0)</f>
        <v>0</v>
      </c>
      <c r="AJ831">
        <f>MAX($F$23,$AA$800)/$Q$820</f>
        <v>0</v>
      </c>
      <c r="AK831">
        <f t="shared" si="524"/>
        <v>0</v>
      </c>
      <c r="AL831" cm="1">
        <f t="array" ref="AL831">IFERROR(INDEX(sheath_ecap_asd,MATCH(AP831,sheath_mark,0),0)*AK831,0)</f>
        <v>0</v>
      </c>
      <c r="AM831" cm="1">
        <f t="array" ref="AM831">IFERROR(INDEX(sheath_wcap_asd,MATCH(AP831,sheath_mark,0),0)*AK831,0)</f>
        <v>0</v>
      </c>
      <c r="AN831" cm="1">
        <f t="array" ref="AN831">IFERROR(INDEX(hd_cap,MATCH(AQ831,hd_mark,0),0),0)</f>
        <v>0</v>
      </c>
      <c r="AP831" s="19"/>
      <c r="AQ831" s="19"/>
      <c r="AR831" s="100"/>
      <c r="AS831" s="93"/>
      <c r="AT831" s="109" t="s">
        <v>491</v>
      </c>
      <c r="AU831" t="str">
        <f>$Q$791</f>
        <v>L4</v>
      </c>
      <c r="AV831">
        <f>$E$23</f>
        <v>0</v>
      </c>
      <c r="AW831" cm="1">
        <f t="array" ref="AW831">IFERROR(IF(AV831=0,0,(INDEX($C$33:$C$38,MATCH($AZ$800,$B$33:$B$38,0),0)*(AV833+$BA$800)+$AW$800*COUNTIF(AV831:AV832,"&gt;0")*$C$32+$AY$800*$C$31)*$AU$800),0)</f>
        <v>0</v>
      </c>
      <c r="AX831">
        <f>IF(AV831=0,0,-(COUNTIF(AV831:AV832,"&gt;0")*$AW$800*$C$32+$AY$800*$C$31)*$H$27*$AU$800)</f>
        <v>0</v>
      </c>
      <c r="AY831">
        <f>IF(AV831=0,0,$AY$800*$H$26*$AU$800)</f>
        <v>0</v>
      </c>
      <c r="AZ831">
        <f>(0.6*AW831+0.7*AX831)*$AU$800/2</f>
        <v>0</v>
      </c>
      <c r="BA831">
        <f>AW831*$AU$800/2</f>
        <v>0</v>
      </c>
      <c r="BC831">
        <f>IF(AV831=0,0,$BG$800*$AP$791)</f>
        <v>0</v>
      </c>
      <c r="BD831">
        <f>IFERROR(BC831/$AU$800,0)</f>
        <v>0</v>
      </c>
      <c r="BE831">
        <f>BC831*($F$23+IF($F$23=0,0,($C$14+$C$15+IF($C$13="single",1.5,3)+3)/12))</f>
        <v>0</v>
      </c>
      <c r="BF831">
        <f>BE831-AZ831</f>
        <v>0</v>
      </c>
      <c r="BG831" cm="1">
        <f t="array" ref="BG831">IFERROR(IF(BF831&lt;0,0,BF831/($AU$800-INDEX(hd_off,MATCH(BT831,hd_mark,0),0)/12)),0)</f>
        <v>0</v>
      </c>
      <c r="BH831">
        <f>IF(AV831=0,0,$BG$800*$AM$791)</f>
        <v>0</v>
      </c>
      <c r="BI831">
        <f>IFERROR(BH831/$AU$800,0)</f>
        <v>0</v>
      </c>
      <c r="BJ831">
        <f>BH831*($F$23+IF($F$23=0,0,($C$14+$C$15+IF($C$13="single",1.5,3)+3)/12))</f>
        <v>0</v>
      </c>
      <c r="BK831">
        <f>BJ831-BA831</f>
        <v>0</v>
      </c>
      <c r="BL831" cm="1">
        <f t="array" ref="BL831">IFERROR(IF(BK831&lt;0,0,BK831/($AU$800-INDEX(hd_off,MATCH(BT831,hd_mark,0),0)/12)),0)</f>
        <v>0</v>
      </c>
      <c r="BM831">
        <f>MAX($F$23,$BD$800)/$Q$820</f>
        <v>0</v>
      </c>
      <c r="BN831">
        <f t="shared" si="525"/>
        <v>0</v>
      </c>
      <c r="BO831" cm="1">
        <f t="array" ref="BO831">IFERROR(INDEX(sheath_ecap_asd,MATCH(BS831,sheath_mark,0),0)*BN831,0)</f>
        <v>0</v>
      </c>
      <c r="BP831" cm="1">
        <f t="array" ref="BP831">IFERROR(INDEX(sheath_wcap_asd,MATCH(BS831,sheath_mark,0),0)*BN831,0)</f>
        <v>0</v>
      </c>
      <c r="BQ831" cm="1">
        <f t="array" ref="BQ831">IFERROR(INDEX(hd_cap,MATCH(BT831,hd_mark,0),0),0)</f>
        <v>0</v>
      </c>
      <c r="BS831" s="19"/>
      <c r="BT831" s="19"/>
      <c r="BU831" s="100"/>
    </row>
    <row r="832" x14ac:dyDescent="0.25">
      <c r="B832" t="s">
        <v>470</v>
      </c>
      <c r="C832" s="19"/>
      <c r="D832" s="19"/>
      <c r="E832">
        <f t="shared" si="517"/>
        <v>0</v>
      </c>
      <c r="H832">
        <v>23</v>
      </c>
      <c r="I832" s="19"/>
      <c r="J832" s="19"/>
      <c r="K832">
        <f t="shared" si="518"/>
        <v>0</v>
      </c>
      <c r="P832" s="93"/>
      <c r="Q832" s="111">
        <f>$R$800</f>
        <v>0</v>
      </c>
      <c r="R832" t="str">
        <f>$Q$792</f>
        <v>L5</v>
      </c>
      <c r="S832">
        <f>$E$24</f>
        <v>0</v>
      </c>
      <c r="T832" cm="1">
        <f t="array" ref="T832">IFERROR(IF(S832=0,0,(INDEX($C$33:$C$38,MATCH($W$800,$B$33:$B$38,0),0)*(S833+$X$800)+$T$800*COUNTIF(S832:S832,"&gt;0")*$C$32+$V$800*$C$31)*$R$800),0)</f>
        <v>0</v>
      </c>
      <c r="U832">
        <f>IF(S832=0,0,-(COUNTIF(S832:S832,"&gt;0")*$T$800*$C$32+$V$800*$C$31)*$H$27*$R$800)</f>
        <v>0</v>
      </c>
      <c r="V832">
        <f>IF(S832=0,0,$V$800*$H$26*$R$800)</f>
        <v>0</v>
      </c>
      <c r="W832">
        <f>(0.6*T832+0.7*U832)*$R$800/2</f>
        <v>0</v>
      </c>
      <c r="X832">
        <f>T832*$R$800/2</f>
        <v>0</v>
      </c>
      <c r="Z832">
        <f>IF(S832=0,0,$AD$800*$AP$792)</f>
        <v>0</v>
      </c>
      <c r="AA832">
        <f>IFERROR(Z832/$R$800,0)</f>
        <v>0</v>
      </c>
      <c r="AB832">
        <f>Z832*($F$24+IF($F$24=0,0,($C$14+$C$15+IF($C$13="single",1.5,3)+3)/12))</f>
        <v>0</v>
      </c>
      <c r="AC832">
        <f>AB832-W832</f>
        <v>0</v>
      </c>
      <c r="AD832" cm="1">
        <f t="array" ref="AD832">IFERROR(IF(AC832&lt;0,0,AC832/($R$800-INDEX(hd_off,MATCH(AQ832,hd_mark,0),0)/12)),0)</f>
        <v>0</v>
      </c>
      <c r="AE832">
        <f>IF(S832=0,0,$AD$800*$AM$792)</f>
        <v>0</v>
      </c>
      <c r="AF832">
        <f>IFERROR(AE832/$R$800,0)</f>
        <v>0</v>
      </c>
      <c r="AG832">
        <f>AE832*($F$24+IF($F$24=0,0,($C$14+$C$15+IF($C$13="single",1.5,3)+3)/12))</f>
        <v>0</v>
      </c>
      <c r="AH832">
        <f>AG832-X832</f>
        <v>0</v>
      </c>
      <c r="AI832" cm="1">
        <f t="array" ref="AI832">IFERROR(IF(AH832&lt;0,0,AH832/($R$800-INDEX(hd_off,MATCH(AQ832,hd_mark,0),0)/12)),0)</f>
        <v>0</v>
      </c>
      <c r="AJ832">
        <f>MAX($F$24,$AB$800)/$Q$820</f>
        <v>0</v>
      </c>
      <c r="AK832">
        <f t="shared" si="524"/>
        <v>0</v>
      </c>
      <c r="AL832" cm="1">
        <f t="array" ref="AL832">IFERROR(INDEX(sheath_ecap_asd,MATCH(AP832,sheath_mark,0),0)*AK832,0)</f>
        <v>0</v>
      </c>
      <c r="AM832" cm="1">
        <f t="array" ref="AM832">IFERROR(INDEX(sheath_wcap_asd,MATCH(AP832,sheath_mark,0),0)*AK832,0)</f>
        <v>0</v>
      </c>
      <c r="AN832" cm="1">
        <f t="array" ref="AN832">IFERROR(INDEX(hd_cap,MATCH(AQ832,hd_mark,0),0),0)</f>
        <v>0</v>
      </c>
      <c r="AP832" s="19"/>
      <c r="AQ832" s="19"/>
      <c r="AR832" s="100"/>
      <c r="AS832" s="93"/>
      <c r="AT832" s="111">
        <f>$R$800</f>
        <v>0</v>
      </c>
      <c r="AU832" t="str">
        <f>$Q$792</f>
        <v>L5</v>
      </c>
      <c r="AV832">
        <f>$E$24</f>
        <v>0</v>
      </c>
      <c r="AW832" cm="1">
        <f t="array" ref="AW832">IFERROR(IF(AV832=0,0,(INDEX($C$33:$C$38,MATCH($AZ$800,$B$33:$B$38,0),0)*(AV833+$BA$800)+$AW$800*COUNTIF(AV832:AV832,"&gt;0")*$C$32+$AY$800*$C$31)*$AU$800),0)</f>
        <v>0</v>
      </c>
      <c r="AX832">
        <f>IF(AV832=0,0,-(COUNTIF(AV832:AV832,"&gt;0")*$AW$800*$C$32+$AY$800*$C$31)*$H$27*$AU$800)</f>
        <v>0</v>
      </c>
      <c r="AY832">
        <f>IF(AV832=0,0,$AY$800*$H$26*$AU$800)</f>
        <v>0</v>
      </c>
      <c r="AZ832">
        <f>(0.6*AW832+0.7*AX832)*$AU$800/2</f>
        <v>0</v>
      </c>
      <c r="BA832">
        <f>AW832*$AU$800/2</f>
        <v>0</v>
      </c>
      <c r="BC832">
        <f>IF(AV832=0,0,$BG$800*$AP$792)</f>
        <v>0</v>
      </c>
      <c r="BD832">
        <f>IFERROR(BC832/$AU$800,0)</f>
        <v>0</v>
      </c>
      <c r="BE832">
        <f>BC832*($F$24+IF($F$24=0,0,($C$14+$C$15+IF($C$13="single",1.5,3)+3)/12))</f>
        <v>0</v>
      </c>
      <c r="BF832">
        <f>BE832-AZ832</f>
        <v>0</v>
      </c>
      <c r="BG832" cm="1">
        <f t="array" ref="BG832">IFERROR(IF(BF832&lt;0,0,BF832/($AU$800-INDEX(hd_off,MATCH(BT832,hd_mark,0),0)/12)),0)</f>
        <v>0</v>
      </c>
      <c r="BH832">
        <f>IF(AV832=0,0,$BG$800*$AM$792)</f>
        <v>0</v>
      </c>
      <c r="BI832">
        <f>IFERROR(BH832/$AU$800,0)</f>
        <v>0</v>
      </c>
      <c r="BJ832">
        <f>BH832*($F$24+IF($F$24=0,0,($C$14+$C$15+IF($C$13="single",1.5,3)+3)/12))</f>
        <v>0</v>
      </c>
      <c r="BK832">
        <f>BJ832-BA832</f>
        <v>0</v>
      </c>
      <c r="BL832" cm="1">
        <f t="array" ref="BL832">IFERROR(IF(BK832&lt;0,0,BK832/($AU$800-INDEX(hd_off,MATCH(BT832,hd_mark,0),0)/12)),0)</f>
        <v>0</v>
      </c>
      <c r="BM832">
        <f>MAX($F$24,$BE$800)/$Q$820</f>
        <v>0</v>
      </c>
      <c r="BN832">
        <f t="shared" si="525"/>
        <v>0</v>
      </c>
      <c r="BO832" cm="1">
        <f t="array" ref="BO832">IFERROR(INDEX(sheath_ecap_asd,MATCH(BS832,sheath_mark,0),0)*BN832,0)</f>
        <v>0</v>
      </c>
      <c r="BP832" cm="1">
        <f t="array" ref="BP832">IFERROR(INDEX(sheath_wcap_asd,MATCH(BS832,sheath_mark,0),0)*BN832,0)</f>
        <v>0</v>
      </c>
      <c r="BQ832" cm="1">
        <f t="array" ref="BQ832">IFERROR(INDEX(hd_cap,MATCH(BT832,hd_mark,0),0),0)</f>
        <v>0</v>
      </c>
      <c r="BS832" s="19"/>
      <c r="BT832" s="19"/>
      <c r="BU832" s="100"/>
    </row>
    <row r="833" x14ac:dyDescent="0.25">
      <c r="B833" t="s">
        <v>471</v>
      </c>
      <c r="C833" s="19"/>
      <c r="D833" s="19"/>
      <c r="E833">
        <f t="shared" si="517"/>
        <v>0</v>
      </c>
      <c r="H833">
        <v>24</v>
      </c>
      <c r="I833" s="19"/>
      <c r="J833" s="19"/>
      <c r="K833">
        <f t="shared" si="518"/>
        <v>0</v>
      </c>
      <c r="P833" s="93"/>
      <c r="Q833" s="109"/>
      <c r="R833" t="str">
        <f>$Q$793</f>
        <v>Roof</v>
      </c>
      <c r="S833">
        <f>$E$25</f>
        <v>33.171875</v>
      </c>
      <c r="T833" cm="1">
        <f t="array" ref="T833">IFERROR(IF(S833=0,0,(INDEX($C$33:$C$38,MATCH($W$800,$B$33:$B$38,0),0)*(S833+$X$800)+$V$800*$C$31)*$R$800),0)</f>
        <v>0</v>
      </c>
      <c r="U833">
        <f>IF(S833=0,0,-$V$800*$C$31*$H$27*$R$800)</f>
        <v>0</v>
      </c>
      <c r="V833">
        <f>IF(S833=0,0,$V$800*$H$26*$R$800)</f>
        <v>0</v>
      </c>
      <c r="W833">
        <f>(0.6*T833+0.7*U833)*$R$800/2</f>
        <v>0</v>
      </c>
      <c r="X833">
        <f>T833*$R$800/2</f>
        <v>0</v>
      </c>
      <c r="Z833">
        <f>IF(S833=0,0,$AD$800*$AP$793)</f>
        <v>0</v>
      </c>
      <c r="AA833">
        <f>IFERROR(Z833/$R$800,0)</f>
        <v>0</v>
      </c>
      <c r="AB833">
        <f>Z833*($F$25+($C$16+$C$17+IF($C$13="single",1.5,3)+3)/12)</f>
        <v>0</v>
      </c>
      <c r="AC833">
        <f>AB833-W833</f>
        <v>0</v>
      </c>
      <c r="AD833" cm="1">
        <f t="array" ref="AD833">IFERROR(IF(AC833&lt;0,0,AC833/($R$800-INDEX(hd_off,MATCH(AQ833,hd_mark,0),0)/12)),0)</f>
        <v>0</v>
      </c>
      <c r="AE833">
        <f>IF(S833=0,0,$AD$800*$AM$793)</f>
        <v>0</v>
      </c>
      <c r="AF833">
        <f>IFERROR(AE833/$R$800,0)</f>
        <v>0</v>
      </c>
      <c r="AG833">
        <f>AE833*($F$25+($C$16+$C$17+IF($C$13="single",1.5,3)+3)/12)</f>
        <v>0</v>
      </c>
      <c r="AH833">
        <f>AG833-X833</f>
        <v>0</v>
      </c>
      <c r="AI833" cm="1">
        <f t="array" ref="AI833">IFERROR(IF(AH833&lt;0,0,AH833/($R$800-INDEX(hd_off,MATCH(AQ833,hd_mark,0),0)/12)),0)</f>
        <v>0</v>
      </c>
      <c r="AJ833">
        <f>MAX($F$25,$AC$800)/$Q$820</f>
        <v>0.29920977011494249</v>
      </c>
      <c r="AK833">
        <f t="shared" si="524"/>
        <v>1</v>
      </c>
      <c r="AL833" cm="1">
        <f t="array" ref="AL833">IFERROR(INDEX(sheath_ecap_asd,MATCH(AP833,sheath_mark,0),0)*AK833,0)</f>
        <v>0</v>
      </c>
      <c r="AM833" cm="1">
        <f t="array" ref="AM833">IFERROR(INDEX(sheath_wcap_asd,MATCH(AP833,sheath_mark,0),0)*AK833,0)</f>
        <v>0</v>
      </c>
      <c r="AN833" cm="1">
        <f t="array" ref="AN833">IFERROR(INDEX(hd_cap,MATCH(AQ833,hd_mark,0),0),0)</f>
        <v>0</v>
      </c>
      <c r="AP833" s="19"/>
      <c r="AQ833" s="19"/>
      <c r="AR833" s="100"/>
      <c r="AS833" s="93"/>
      <c r="AT833" s="109"/>
      <c r="AU833" t="str">
        <f>$Q$793</f>
        <v>Roof</v>
      </c>
      <c r="AV833">
        <f>$E$25</f>
        <v>33.171875</v>
      </c>
      <c r="AW833" cm="1">
        <f t="array" ref="AW833">IFERROR(IF(AV833=0,0,(INDEX($C$33:$C$38,MATCH($AZ$800,$B$33:$B$38,0),0)*(AV833+$BA$800)+$AY$800*$C$31)*$AU$800),0)</f>
        <v>0</v>
      </c>
      <c r="AX833">
        <f>IF(AV833=0,0,-$AY$800*$C$31*$H$27*$AU$800)</f>
        <v>0</v>
      </c>
      <c r="AY833">
        <f>IF(AV833=0,0,$AY$800*$H$26*$AU$800)</f>
        <v>0</v>
      </c>
      <c r="AZ833">
        <f>(0.6*AW833+0.7*AX833)*$AU$800/2</f>
        <v>0</v>
      </c>
      <c r="BA833">
        <f>AW833*$AU$800/2</f>
        <v>0</v>
      </c>
      <c r="BC833">
        <f>IF(AV833=0,0,$BG$800*$AP$793)</f>
        <v>0</v>
      </c>
      <c r="BD833">
        <f>IFERROR(BC833/$AU$800,0)</f>
        <v>0</v>
      </c>
      <c r="BE833">
        <f>BC833*($F$25+($C$16+$C$17+IF($C$13="single",1.5,3)+3)/12)</f>
        <v>0</v>
      </c>
      <c r="BF833">
        <f>BE833-AZ833</f>
        <v>0</v>
      </c>
      <c r="BG833" cm="1">
        <f t="array" ref="BG833">IFERROR(IF(BF833&lt;0,0,BF833/($AU$800-INDEX(hd_off,MATCH(BT833,hd_mark,0),0)/12)),0)</f>
        <v>0</v>
      </c>
      <c r="BH833">
        <f>IF(AV833=0,0,$BG$800*$AM$793)</f>
        <v>0</v>
      </c>
      <c r="BI833">
        <f>IFERROR(BH833/$AU$800,0)</f>
        <v>0</v>
      </c>
      <c r="BJ833">
        <f>BH833*($F$25+($C$16+$C$17+IF($C$13="single",1.5,3)+3)/12)</f>
        <v>0</v>
      </c>
      <c r="BK833">
        <f>BJ833-BA833</f>
        <v>0</v>
      </c>
      <c r="BL833" cm="1">
        <f t="array" ref="BL833">IFERROR(IF(BK833&lt;0,0,BK833/($AU$800-INDEX(hd_off,MATCH(BT833,hd_mark,0),0)/12)),0)</f>
        <v>0</v>
      </c>
      <c r="BM833">
        <f>MAX($F$25,$BF$800)/$Q$820</f>
        <v>0.29920977011494249</v>
      </c>
      <c r="BN833">
        <f t="shared" si="525"/>
        <v>1</v>
      </c>
      <c r="BO833" cm="1">
        <f t="array" ref="BO833">IFERROR(INDEX(sheath_ecap_asd,MATCH(BS833,sheath_mark,0),0)*BN833,0)</f>
        <v>0</v>
      </c>
      <c r="BP833" cm="1">
        <f t="array" ref="BP833">IFERROR(INDEX(sheath_wcap_asd,MATCH(BS833,sheath_mark,0),0)*BN833,0)</f>
        <v>0</v>
      </c>
      <c r="BQ833" cm="1">
        <f t="array" ref="BQ833">IFERROR(INDEX(hd_cap,MATCH(BT833,hd_mark,0),0),0)</f>
        <v>0</v>
      </c>
      <c r="BS833" s="19"/>
      <c r="BT833" s="19"/>
      <c r="BU833" s="100"/>
    </row>
    <row r="834" x14ac:dyDescent="0.25">
      <c r="B834" t="s">
        <v>472</v>
      </c>
      <c r="C834" s="19"/>
      <c r="D834" s="19"/>
      <c r="E834">
        <f t="shared" si="517"/>
        <v>0</v>
      </c>
      <c r="H834">
        <v>25</v>
      </c>
      <c r="I834" s="19"/>
      <c r="J834" s="19"/>
      <c r="K834">
        <f t="shared" si="518"/>
        <v>0</v>
      </c>
      <c r="P834" s="93"/>
      <c r="AR834" s="100"/>
      <c r="AS834" s="93"/>
      <c r="BU834" s="100"/>
    </row>
    <row r="835" x14ac:dyDescent="0.25">
      <c r="B835" t="s">
        <v>473</v>
      </c>
      <c r="C835" s="19"/>
      <c r="D835" s="19"/>
      <c r="E835">
        <f t="shared" si="517"/>
        <v>0</v>
      </c>
      <c r="H835">
        <v>26</v>
      </c>
      <c r="I835" s="19"/>
      <c r="J835" s="19"/>
      <c r="K835">
        <f t="shared" si="518"/>
        <v>0</v>
      </c>
      <c r="P835" s="93"/>
      <c r="Q835" s="110" t="str">
        <f>$Q$801</f>
        <v>A.04</v>
      </c>
      <c r="R835" t="str">
        <f>$Q$789</f>
        <v>L2</v>
      </c>
      <c r="S835">
        <f>$E$21</f>
        <v>10.6875</v>
      </c>
      <c r="T835" cm="1">
        <f t="array" ref="T835">IFERROR(IF(S835=0,0,(INDEX($C$33:$C$38,MATCH($W$801,$B$33:$B$38,0),0)*(S839+$X$801)+$T$801*COUNTIF(S835:S838,"&gt;0")*$C$32+$V$801*$C$31)*$R$801),0)</f>
        <v>0</v>
      </c>
      <c r="U835">
        <f>IF(S835=0,0,-(COUNTIF(S835:S838,"&gt;0")*$T$801*$C$32+$V$801*$C$31)*$H$27*$R$801)</f>
        <v>0</v>
      </c>
      <c r="V835">
        <f>IF(S835=0,0,$V$801*$H$26*$R$801)</f>
        <v>0</v>
      </c>
      <c r="W835">
        <f>(0.6*T835+0.7*U835)*$R$801/2</f>
        <v>0</v>
      </c>
      <c r="X835">
        <f>(0.6*T835+0.6*V835)*$R$801/2</f>
        <v>0</v>
      </c>
      <c r="Z835">
        <f>IF(S835=0,0,$AD$801*$AP$789)</f>
        <v>0</v>
      </c>
      <c r="AA835">
        <f>IFERROR(Z835/$R$801,0)</f>
        <v>0</v>
      </c>
      <c r="AB835">
        <f>Z835*($F$21+IF($F$21=0,0,($C$14+$C$15+IF($C$13="single",1.5,3)+3)/12))</f>
        <v>0</v>
      </c>
      <c r="AC835">
        <f>AB835-W835</f>
        <v>0</v>
      </c>
      <c r="AD835" cm="1">
        <f t="array" ref="AD835">IFERROR(IF(AC835&lt;0,0,AC835/($R$801-INDEX(hd_off,MATCH(AQ835,hd_mark,0),0)/12)),0)</f>
        <v>0</v>
      </c>
      <c r="AE835">
        <f>IF(S835=0,0,$AD$801*$AM$789)</f>
        <v>0</v>
      </c>
      <c r="AF835">
        <f>IFERROR(AE835/$R$801,0)</f>
        <v>0</v>
      </c>
      <c r="AG835">
        <f>AE835*($F$21+IF($F$21=0,0,($C$14+$C$15+IF($C$13="single",1.5,3)+3)/12))</f>
        <v>0</v>
      </c>
      <c r="AH835">
        <f>AG835-X835</f>
        <v>0</v>
      </c>
      <c r="AI835" cm="1">
        <f t="array" ref="AI835">IFERROR(IF(AH835&lt;0,0,AH835/($R$801-INDEX(hd_off,MATCH(AQ835,hd_mark,0),0)/12)),0)</f>
        <v>0</v>
      </c>
      <c r="AJ835">
        <f>MAX($F$21,$Y$801)/$Q$820</f>
        <v>0.30172413793103448</v>
      </c>
      <c r="AK835">
        <f>IF(AJ835=0,0,IF(AJ835&gt;2,1.25-0.125*AJ835,1))</f>
        <v>1</v>
      </c>
      <c r="AL835" cm="1">
        <f t="array" ref="AL835">IFERROR(INDEX(sheath_ecap_asd,MATCH(AP835,sheath_mark,0),0)*AK835,0)</f>
        <v>0</v>
      </c>
      <c r="AM835" cm="1">
        <f t="array" ref="AM835">IFERROR(INDEX(sheath_wcap_asd,MATCH(AP835,sheath_mark,0),0)*AK835,0)</f>
        <v>0</v>
      </c>
      <c r="AN835" cm="1">
        <f t="array" ref="AN835">IFERROR(INDEX(hd_cap,MATCH(AQ835,hd_mark,0),0),0)</f>
        <v>0</v>
      </c>
      <c r="AP835" s="19"/>
      <c r="AQ835" s="19"/>
      <c r="AR835" s="100"/>
      <c r="AS835" s="93"/>
      <c r="AT835" s="110" t="str">
        <f>$AT$801</f>
        <v>1.04</v>
      </c>
      <c r="AU835" t="str">
        <f>$Q$789</f>
        <v>L2</v>
      </c>
      <c r="AV835">
        <f>$E$21</f>
        <v>10.6875</v>
      </c>
      <c r="AW835" cm="1">
        <f t="array" ref="AW835">IFERROR(IF(AV835=0,0,(INDEX($C$33:$C$38,MATCH($AZ$801,$B$33:$B$38,0),0)*(AV839+$BA$801)+$AW$801*COUNTIF(AV835:AV838,"&gt;0")*$C$32+$AY$801*$C$31)*$AU$801),0)</f>
        <v>0</v>
      </c>
      <c r="AX835">
        <f>IF(AV835=0,0,-(COUNTIF(AV835:AV838,"&gt;0")*$AW$801*$C$32+$AY$801*$C$31)*$H$27*$AU$801)</f>
        <v>0</v>
      </c>
      <c r="AY835">
        <f>IF(AV835=0,0,$AY$801*$H$26*$AU$801)</f>
        <v>0</v>
      </c>
      <c r="AZ835">
        <f>(0.6*AW835+0.7*AX835)*$AU$801/2</f>
        <v>0</v>
      </c>
      <c r="BA835">
        <f>(0.6*AW835+0.6*AY835)*$AU$801/2</f>
        <v>0</v>
      </c>
      <c r="BC835">
        <f>IF(AV835=0,0,$BG$801*$AP$789)</f>
        <v>0</v>
      </c>
      <c r="BD835">
        <f>IFERROR(BC835/$AU$801,0)</f>
        <v>0</v>
      </c>
      <c r="BE835">
        <f>BC835*($F$21+IF($F$21=0,0,($C$14+$C$15+IF($C$13="single",1.5,3)+3)/12))</f>
        <v>0</v>
      </c>
      <c r="BF835">
        <f>BE835-AZ835</f>
        <v>0</v>
      </c>
      <c r="BG835" cm="1">
        <f t="array" ref="BG835">IFERROR(IF(BF835&lt;0,0,BF835/($AU$801-INDEX(hd_off,MATCH(BT835,hd_mark,0),0)/12)),0)</f>
        <v>0</v>
      </c>
      <c r="BH835">
        <f>IF(AV835=0,0,$BG$801*$AM$789)</f>
        <v>0</v>
      </c>
      <c r="BI835">
        <f>IFERROR(BH835/$AU$801,0)</f>
        <v>0</v>
      </c>
      <c r="BJ835">
        <f>BH835*($F$21+IF($F$21=0,0,($C$14+$C$15+IF($C$13="single",1.5,3)+3)/12))</f>
        <v>0</v>
      </c>
      <c r="BK835">
        <f>BJ835-BA835</f>
        <v>0</v>
      </c>
      <c r="BL835" cm="1">
        <f t="array" ref="BL835">IFERROR(IF(BK835&lt;0,0,BK835/($AU$801-INDEX(hd_off,MATCH(BT835,hd_mark,0),0)/12)),0)</f>
        <v>0</v>
      </c>
      <c r="BM835">
        <f>MAX($F$21,$BB$801)/$Q$820</f>
        <v>0.30172413793103448</v>
      </c>
      <c r="BN835">
        <f>IF(BM835=0,0,IF(BM835&gt;2,1.25-0.125*BM835,1))</f>
        <v>1</v>
      </c>
      <c r="BO835" cm="1">
        <f t="array" ref="BO835">IFERROR(INDEX(sheath_ecap_asd,MATCH(BS835,sheath_mark,0),0)*BN835,0)</f>
        <v>0</v>
      </c>
      <c r="BP835" cm="1">
        <f t="array" ref="BP835">IFERROR(INDEX(sheath_wcap_asd,MATCH(BS835,sheath_mark,0),0)*BN835,0)</f>
        <v>0</v>
      </c>
      <c r="BQ835" cm="1">
        <f t="array" ref="BQ835">IFERROR(INDEX(hd_cap,MATCH(BT835,hd_mark,0),0),0)</f>
        <v>0</v>
      </c>
      <c r="BS835" s="19"/>
      <c r="BT835" s="19"/>
      <c r="BU835" s="100"/>
    </row>
    <row r="836" x14ac:dyDescent="0.25">
      <c r="P836" s="93"/>
      <c r="Q836" s="109"/>
      <c r="R836" t="str">
        <f>$Q$790</f>
        <v>L3</v>
      </c>
      <c r="S836">
        <f>$E$22</f>
        <v>21.375</v>
      </c>
      <c r="T836" cm="1">
        <f t="array" ref="T836">IFERROR(IF(S836=0,0,(INDEX($C$33:$C$38,MATCH($W$801,$B$33:$B$38,0),0)*(S839+$X$801)+$T$801*COUNTIF(S836:S838,"&gt;0")*$C$32+$V$801*$C$31)*$R$801),0)</f>
        <v>0</v>
      </c>
      <c r="U836">
        <f>IF(S836=0,0,-(COUNTIF(S836:S838,"&gt;0")*$T$801*$C$32+$V$801*$C$31)*$H$27*$R$801)</f>
        <v>0</v>
      </c>
      <c r="V836">
        <f>IF(S836=0,0,$V$801*$H$26*$R$801)</f>
        <v>0</v>
      </c>
      <c r="W836">
        <f>(0.6*T836+0.7*U836)*$R$801/2</f>
        <v>0</v>
      </c>
      <c r="X836">
        <f>T836*$R$801/2</f>
        <v>0</v>
      </c>
      <c r="Z836">
        <f>IF(S836=0,0,$AD$801*$AP$790)</f>
        <v>0</v>
      </c>
      <c r="AA836">
        <f>IFERROR(Z836/$R$801,0)</f>
        <v>0</v>
      </c>
      <c r="AB836">
        <f>Z836*($F$22+IF($F$22=0,0,($C$14+$C$15+IF($C$13="single",1.5,3)+3)/12))</f>
        <v>0</v>
      </c>
      <c r="AC836">
        <f>AB836-W836</f>
        <v>0</v>
      </c>
      <c r="AD836" cm="1">
        <f t="array" ref="AD836">IFERROR(IF(AC836&lt;0,0,AC836/($R$801-INDEX(hd_off,MATCH(AQ836,hd_mark,0),0)/12)),0)</f>
        <v>0</v>
      </c>
      <c r="AE836">
        <f>IF(S836=0,0,$AD$801*$AM$790)</f>
        <v>0</v>
      </c>
      <c r="AF836">
        <f>IFERROR(AE836/$R$801,0)</f>
        <v>0</v>
      </c>
      <c r="AG836">
        <f>AE836*($F$22+IF($F$22=0,0,($C$14+$C$15+IF($C$13="single",1.5,3)+3)/12))</f>
        <v>0</v>
      </c>
      <c r="AH836">
        <f>AG836-X836</f>
        <v>0</v>
      </c>
      <c r="AI836" cm="1">
        <f t="array" ref="AI836">IFERROR(IF(AH836&lt;0,0,AH836/($R$801-INDEX(hd_off,MATCH(AQ836,hd_mark,0),0)/12)),0)</f>
        <v>0</v>
      </c>
      <c r="AJ836">
        <f>MAX($F$22,$Z$801)/$Q$820</f>
        <v>0.30172413793103448</v>
      </c>
      <c r="AK836">
        <f t="shared" ref="AK836:AK839" si="526">IF(AJ836=0,0,IF(AJ836&gt;2,1.25-0.125*AJ836,1))</f>
        <v>1</v>
      </c>
      <c r="AL836" cm="1">
        <f t="array" ref="AL836">IFERROR(INDEX(sheath_ecap_asd,MATCH(AP836,sheath_mark,0),0)*AK836,0)</f>
        <v>0</v>
      </c>
      <c r="AM836" cm="1">
        <f t="array" ref="AM836">IFERROR(INDEX(sheath_wcap_asd,MATCH(AP836,sheath_mark,0),0)*AK836,0)</f>
        <v>0</v>
      </c>
      <c r="AN836" cm="1">
        <f t="array" ref="AN836">IFERROR(INDEX(hd_cap,MATCH(AQ836,hd_mark,0),0),0)</f>
        <v>0</v>
      </c>
      <c r="AP836" s="19"/>
      <c r="AQ836" s="19"/>
      <c r="AR836" s="100"/>
      <c r="AS836" s="93"/>
      <c r="AT836" s="109"/>
      <c r="AU836" t="str">
        <f>$Q$790</f>
        <v>L3</v>
      </c>
      <c r="AV836">
        <f>$E$22</f>
        <v>21.375</v>
      </c>
      <c r="AW836" cm="1">
        <f t="array" ref="AW836">IFERROR(IF(AV836=0,0,(INDEX($C$33:$C$38,MATCH($AZ$801,$B$33:$B$38,0),0)*(AV839+$BA$801)+$AW$801*COUNTIF(AV836:AV838,"&gt;0")*$C$32+$AY$801*$C$31)*$AU$801),0)</f>
        <v>0</v>
      </c>
      <c r="AX836">
        <f>IF(AV836=0,0,-(COUNTIF(AV836:AV838,"&gt;0")*$AW$801*$C$32+$AY$801*$C$31)*$H$27*$AU$801)</f>
        <v>0</v>
      </c>
      <c r="AY836">
        <f>IF(AV836=0,0,$AY$801*$H$26*$AU$801)</f>
        <v>0</v>
      </c>
      <c r="AZ836">
        <f>(0.6*AW836+0.7*AX836)*$AU$801/2</f>
        <v>0</v>
      </c>
      <c r="BA836">
        <f>AW836*$AU$801/2</f>
        <v>0</v>
      </c>
      <c r="BC836">
        <f>IF(AV836=0,0,$BG$801*$AP$790)</f>
        <v>0</v>
      </c>
      <c r="BD836">
        <f>IFERROR(BC836/$AU$801,0)</f>
        <v>0</v>
      </c>
      <c r="BE836">
        <f>BC836*($F$22+IF($F$22=0,0,($C$14+$C$15+IF($C$13="single",1.5,3)+3)/12))</f>
        <v>0</v>
      </c>
      <c r="BF836">
        <f>BE836-AZ836</f>
        <v>0</v>
      </c>
      <c r="BG836" cm="1">
        <f t="array" ref="BG836">IFERROR(IF(BF836&lt;0,0,BF836/($AU$801-INDEX(hd_off,MATCH(BT836,hd_mark,0),0)/12)),0)</f>
        <v>0</v>
      </c>
      <c r="BH836">
        <f>IF(AV836=0,0,$BG$801*$AM$790)</f>
        <v>0</v>
      </c>
      <c r="BI836">
        <f>IFERROR(BH836/$AU$801,0)</f>
        <v>0</v>
      </c>
      <c r="BJ836">
        <f>BH836*($F$22+IF($F$22=0,0,($C$14+$C$15+IF($C$13="single",1.5,3)+3)/12))</f>
        <v>0</v>
      </c>
      <c r="BK836">
        <f>BJ836-BA836</f>
        <v>0</v>
      </c>
      <c r="BL836" cm="1">
        <f t="array" ref="BL836">IFERROR(IF(BK836&lt;0,0,BK836/($AU$801-INDEX(hd_off,MATCH(BT836,hd_mark,0),0)/12)),0)</f>
        <v>0</v>
      </c>
      <c r="BM836">
        <f>MAX($F$22,$BC$801)/$Q$820</f>
        <v>0.30172413793103448</v>
      </c>
      <c r="BN836">
        <f t="shared" ref="BN836:BN839" si="527">IF(BM836=0,0,IF(BM836&gt;2,1.25-0.125*BM836,1))</f>
        <v>1</v>
      </c>
      <c r="BO836" cm="1">
        <f t="array" ref="BO836">IFERROR(INDEX(sheath_ecap_asd,MATCH(BS836,sheath_mark,0),0)*BN836,0)</f>
        <v>0</v>
      </c>
      <c r="BP836" cm="1">
        <f t="array" ref="BP836">IFERROR(INDEX(sheath_wcap_asd,MATCH(BS836,sheath_mark,0),0)*BN836,0)</f>
        <v>0</v>
      </c>
      <c r="BQ836" cm="1">
        <f t="array" ref="BQ836">IFERROR(INDEX(hd_cap,MATCH(BT836,hd_mark,0),0),0)</f>
        <v>0</v>
      </c>
      <c r="BS836" s="19"/>
      <c r="BT836" s="19"/>
      <c r="BU836" s="100"/>
    </row>
    <row r="837" x14ac:dyDescent="0.25">
      <c r="B837" s="1"/>
      <c r="P837" s="93"/>
      <c r="Q837" s="109" t="s">
        <v>491</v>
      </c>
      <c r="R837" t="str">
        <f>$Q$791</f>
        <v>L4</v>
      </c>
      <c r="S837">
        <f>$E$23</f>
        <v>0</v>
      </c>
      <c r="T837" cm="1">
        <f t="array" ref="T837">IFERROR(IF(S837=0,0,(INDEX($C$33:$C$38,MATCH($W$801,$B$33:$B$38,0),0)*(S839+$X$801)+$T$801*COUNTIF(S837:S838,"&gt;0")*$C$32+$V$801*$C$31)*$R$801),0)</f>
        <v>0</v>
      </c>
      <c r="U837">
        <f>IF(S837=0,0,-(COUNTIF(S837:S838,"&gt;0")*$T$801*$C$32+$V$801*$C$31)*$H$27*$R$801)</f>
        <v>0</v>
      </c>
      <c r="V837">
        <f>IF(S837=0,0,$V$801*$H$26*$R$801)</f>
        <v>0</v>
      </c>
      <c r="W837">
        <f>(0.6*T837+0.7*U837)*$R$801/2</f>
        <v>0</v>
      </c>
      <c r="X837">
        <f>T837*$R$801/2</f>
        <v>0</v>
      </c>
      <c r="Z837">
        <f>IF(S837=0,0,$AD$801*$AP$791)</f>
        <v>0</v>
      </c>
      <c r="AA837">
        <f>IFERROR(Z837/$R$801,0)</f>
        <v>0</v>
      </c>
      <c r="AB837">
        <f>Z837*($F$23+IF($F$23=0,0,($C$14+$C$15+IF($C$13="single",1.5,3)+3)/12))</f>
        <v>0</v>
      </c>
      <c r="AC837">
        <f>AB837-W837</f>
        <v>0</v>
      </c>
      <c r="AD837" cm="1">
        <f t="array" ref="AD837">IFERROR(IF(AC837&lt;0,0,AC837/($R$801-INDEX(hd_off,MATCH(AQ837,hd_mark,0),0)/12)),0)</f>
        <v>0</v>
      </c>
      <c r="AE837">
        <f>IF(S837=0,0,$AD$801*$AM$791)</f>
        <v>0</v>
      </c>
      <c r="AF837">
        <f>IFERROR(AE837/$R$801,0)</f>
        <v>0</v>
      </c>
      <c r="AG837">
        <f>AE837*($F$23+IF($F$23=0,0,($C$14+$C$15+IF($C$13="single",1.5,3)+3)/12))</f>
        <v>0</v>
      </c>
      <c r="AH837">
        <f>AG837-X837</f>
        <v>0</v>
      </c>
      <c r="AI837" cm="1">
        <f t="array" ref="AI837">IFERROR(IF(AH837&lt;0,0,AH837/($R$801-INDEX(hd_off,MATCH(AQ837,hd_mark,0),0)/12)),0)</f>
        <v>0</v>
      </c>
      <c r="AJ837">
        <f>MAX($F$23,$AA$801)/$Q$820</f>
        <v>0</v>
      </c>
      <c r="AK837">
        <f t="shared" si="526"/>
        <v>0</v>
      </c>
      <c r="AL837" cm="1">
        <f t="array" ref="AL837">IFERROR(INDEX(sheath_ecap_asd,MATCH(AP837,sheath_mark,0),0)*AK837,0)</f>
        <v>0</v>
      </c>
      <c r="AM837" cm="1">
        <f t="array" ref="AM837">IFERROR(INDEX(sheath_wcap_asd,MATCH(AP837,sheath_mark,0),0)*AK837,0)</f>
        <v>0</v>
      </c>
      <c r="AN837" cm="1">
        <f t="array" ref="AN837">IFERROR(INDEX(hd_cap,MATCH(AQ837,hd_mark,0),0),0)</f>
        <v>0</v>
      </c>
      <c r="AP837" s="19"/>
      <c r="AQ837" s="19"/>
      <c r="AR837" s="100"/>
      <c r="AS837" s="93"/>
      <c r="AT837" s="109" t="s">
        <v>491</v>
      </c>
      <c r="AU837" t="str">
        <f>$Q$791</f>
        <v>L4</v>
      </c>
      <c r="AV837">
        <f>$E$23</f>
        <v>0</v>
      </c>
      <c r="AW837" cm="1">
        <f t="array" ref="AW837">IFERROR(IF(AV837=0,0,(INDEX($C$33:$C$38,MATCH($AZ$801,$B$33:$B$38,0),0)*(AV839+$BA$801)+$AW$801*COUNTIF(AV837:AV838,"&gt;0")*$C$32+$AY$801*$C$31)*$AU$801),0)</f>
        <v>0</v>
      </c>
      <c r="AX837">
        <f>IF(AV837=0,0,-(COUNTIF(AV837:AV838,"&gt;0")*$AW$801*$C$32+$AY$801*$C$31)*$H$27*$AU$801)</f>
        <v>0</v>
      </c>
      <c r="AY837">
        <f>IF(AV837=0,0,$AY$801*$H$26*$AU$801)</f>
        <v>0</v>
      </c>
      <c r="AZ837">
        <f>(0.6*AW837+0.7*AX837)*$AU$801/2</f>
        <v>0</v>
      </c>
      <c r="BA837">
        <f>AW837*$AU$801/2</f>
        <v>0</v>
      </c>
      <c r="BC837">
        <f>IF(AV837=0,0,$BG$801*$AP$791)</f>
        <v>0</v>
      </c>
      <c r="BD837">
        <f>IFERROR(BC837/$AU$801,0)</f>
        <v>0</v>
      </c>
      <c r="BE837">
        <f>BC837*($F$23+IF($F$23=0,0,($C$14+$C$15+IF($C$13="single",1.5,3)+3)/12))</f>
        <v>0</v>
      </c>
      <c r="BF837">
        <f>BE837-AZ837</f>
        <v>0</v>
      </c>
      <c r="BG837" cm="1">
        <f t="array" ref="BG837">IFERROR(IF(BF837&lt;0,0,BF837/($AU$801-INDEX(hd_off,MATCH(BT837,hd_mark,0),0)/12)),0)</f>
        <v>0</v>
      </c>
      <c r="BH837">
        <f>IF(AV837=0,0,$BG$801*$AM$791)</f>
        <v>0</v>
      </c>
      <c r="BI837">
        <f>IFERROR(BH837/$AU$801,0)</f>
        <v>0</v>
      </c>
      <c r="BJ837">
        <f>BH837*($F$23+IF($F$23=0,0,($C$14+$C$15+IF($C$13="single",1.5,3)+3)/12))</f>
        <v>0</v>
      </c>
      <c r="BK837">
        <f>BJ837-BA837</f>
        <v>0</v>
      </c>
      <c r="BL837" cm="1">
        <f t="array" ref="BL837">IFERROR(IF(BK837&lt;0,0,BK837/($AU$801-INDEX(hd_off,MATCH(BT837,hd_mark,0),0)/12)),0)</f>
        <v>0</v>
      </c>
      <c r="BM837">
        <f>MAX($F$23,$BD$801)/$Q$820</f>
        <v>0</v>
      </c>
      <c r="BN837">
        <f t="shared" si="527"/>
        <v>0</v>
      </c>
      <c r="BO837" cm="1">
        <f t="array" ref="BO837">IFERROR(INDEX(sheath_ecap_asd,MATCH(BS837,sheath_mark,0),0)*BN837,0)</f>
        <v>0</v>
      </c>
      <c r="BP837" cm="1">
        <f t="array" ref="BP837">IFERROR(INDEX(sheath_wcap_asd,MATCH(BS837,sheath_mark,0),0)*BN837,0)</f>
        <v>0</v>
      </c>
      <c r="BQ837" cm="1">
        <f t="array" ref="BQ837">IFERROR(INDEX(hd_cap,MATCH(BT837,hd_mark,0),0),0)</f>
        <v>0</v>
      </c>
      <c r="BS837" s="19"/>
      <c r="BT837" s="19"/>
      <c r="BU837" s="100"/>
    </row>
    <row r="838" x14ac:dyDescent="0.25">
      <c r="P838" s="93"/>
      <c r="Q838" s="111">
        <f>$R$801</f>
        <v>0</v>
      </c>
      <c r="R838" t="str">
        <f>$Q$792</f>
        <v>L5</v>
      </c>
      <c r="S838">
        <f>$E$24</f>
        <v>0</v>
      </c>
      <c r="T838" cm="1">
        <f t="array" ref="T838">IFERROR(IF(S838=0,0,(INDEX($C$33:$C$38,MATCH($W$801,$B$33:$B$38,0),0)*(S839+$X$801)+$T$801*COUNTIF(S838:S838,"&gt;0")*$C$32+$V$801*$C$31)*$R$801),0)</f>
        <v>0</v>
      </c>
      <c r="U838">
        <f>IF(S838=0,0,-(COUNTIF(S838:S838,"&gt;0")*$T$801*$C$32+$V$801*$C$31)*$H$27*$R$801)</f>
        <v>0</v>
      </c>
      <c r="V838">
        <f>IF(S838=0,0,$V$801*$H$26*$R$801)</f>
        <v>0</v>
      </c>
      <c r="W838">
        <f>(0.6*T838+0.7*U838)*$R$801/2</f>
        <v>0</v>
      </c>
      <c r="X838">
        <f>T838*$R$801/2</f>
        <v>0</v>
      </c>
      <c r="Z838">
        <f>IF(S838=0,0,$AD$801*$AP$792)</f>
        <v>0</v>
      </c>
      <c r="AA838">
        <f>IFERROR(Z838/$R$801,0)</f>
        <v>0</v>
      </c>
      <c r="AB838">
        <f>Z838*($F$24+IF($F$24=0,0,($C$14+$C$15+IF($C$13="single",1.5,3)+3)/12))</f>
        <v>0</v>
      </c>
      <c r="AC838">
        <f>AB838-W838</f>
        <v>0</v>
      </c>
      <c r="AD838" cm="1">
        <f t="array" ref="AD838">IFERROR(IF(AC838&lt;0,0,AC838/($R$801-INDEX(hd_off,MATCH(AQ838,hd_mark,0),0)/12)),0)</f>
        <v>0</v>
      </c>
      <c r="AE838">
        <f>IF(S838=0,0,$AD$801*$AM$792)</f>
        <v>0</v>
      </c>
      <c r="AF838">
        <f>IFERROR(AE838/$R$801,0)</f>
        <v>0</v>
      </c>
      <c r="AG838">
        <f>AE838*($F$24+IF($F$24=0,0,($C$14+$C$15+IF($C$13="single",1.5,3)+3)/12))</f>
        <v>0</v>
      </c>
      <c r="AH838">
        <f>AG838-X838</f>
        <v>0</v>
      </c>
      <c r="AI838" cm="1">
        <f t="array" ref="AI838">IFERROR(IF(AH838&lt;0,0,AH838/($R$801-INDEX(hd_off,MATCH(AQ838,hd_mark,0),0)/12)),0)</f>
        <v>0</v>
      </c>
      <c r="AJ838">
        <f>MAX($F$24,$AB$801)/$Q$820</f>
        <v>0</v>
      </c>
      <c r="AK838">
        <f t="shared" si="526"/>
        <v>0</v>
      </c>
      <c r="AL838" cm="1">
        <f t="array" ref="AL838">IFERROR(INDEX(sheath_ecap_asd,MATCH(AP838,sheath_mark,0),0)*AK838,0)</f>
        <v>0</v>
      </c>
      <c r="AM838" cm="1">
        <f t="array" ref="AM838">IFERROR(INDEX(sheath_wcap_asd,MATCH(AP838,sheath_mark,0),0)*AK838,0)</f>
        <v>0</v>
      </c>
      <c r="AN838" cm="1">
        <f t="array" ref="AN838">IFERROR(INDEX(hd_cap,MATCH(AQ838,hd_mark,0),0),0)</f>
        <v>0</v>
      </c>
      <c r="AP838" s="19"/>
      <c r="AQ838" s="19"/>
      <c r="AR838" s="100"/>
      <c r="AS838" s="93"/>
      <c r="AT838" s="111">
        <f>$R$801</f>
        <v>0</v>
      </c>
      <c r="AU838" t="str">
        <f>$Q$792</f>
        <v>L5</v>
      </c>
      <c r="AV838">
        <f>$E$24</f>
        <v>0</v>
      </c>
      <c r="AW838" cm="1">
        <f t="array" ref="AW838">IFERROR(IF(AV838=0,0,(INDEX($C$33:$C$38,MATCH($AZ$801,$B$33:$B$38,0),0)*(AV839+$BA$801)+$AW$801*COUNTIF(AV838:AV838,"&gt;0")*$C$32+$AY$801*$C$31)*$AU$801),0)</f>
        <v>0</v>
      </c>
      <c r="AX838">
        <f>IF(AV838=0,0,-(COUNTIF(AV838:AV838,"&gt;0")*$AW$801*$C$32+$AY$801*$C$31)*$H$27*$AU$801)</f>
        <v>0</v>
      </c>
      <c r="AY838">
        <f>IF(AV838=0,0,$AY$801*$H$26*$AU$801)</f>
        <v>0</v>
      </c>
      <c r="AZ838">
        <f>(0.6*AW838+0.7*AX838)*$AU$801/2</f>
        <v>0</v>
      </c>
      <c r="BA838">
        <f>AW838*$AU$801/2</f>
        <v>0</v>
      </c>
      <c r="BC838">
        <f>IF(AV838=0,0,$BG$801*$AP$792)</f>
        <v>0</v>
      </c>
      <c r="BD838">
        <f>IFERROR(BC838/$AU$801,0)</f>
        <v>0</v>
      </c>
      <c r="BE838">
        <f>BC838*($F$24+IF($F$24=0,0,($C$14+$C$15+IF($C$13="single",1.5,3)+3)/12))</f>
        <v>0</v>
      </c>
      <c r="BF838">
        <f>BE838-AZ838</f>
        <v>0</v>
      </c>
      <c r="BG838" cm="1">
        <f t="array" ref="BG838">IFERROR(IF(BF838&lt;0,0,BF838/($AU$801-INDEX(hd_off,MATCH(BT838,hd_mark,0),0)/12)),0)</f>
        <v>0</v>
      </c>
      <c r="BH838">
        <f>IF(AV838=0,0,$BG$801*$AM$792)</f>
        <v>0</v>
      </c>
      <c r="BI838">
        <f>IFERROR(BH838/$AU$801,0)</f>
        <v>0</v>
      </c>
      <c r="BJ838">
        <f>BH838*($F$24+IF($F$24=0,0,($C$14+$C$15+IF($C$13="single",1.5,3)+3)/12))</f>
        <v>0</v>
      </c>
      <c r="BK838">
        <f>BJ838-BA838</f>
        <v>0</v>
      </c>
      <c r="BL838" cm="1">
        <f t="array" ref="BL838">IFERROR(IF(BK838&lt;0,0,BK838/($AU$801-INDEX(hd_off,MATCH(BT838,hd_mark,0),0)/12)),0)</f>
        <v>0</v>
      </c>
      <c r="BM838">
        <f>MAX($F$24,$BE$801)/$Q$820</f>
        <v>0</v>
      </c>
      <c r="BN838">
        <f t="shared" si="527"/>
        <v>0</v>
      </c>
      <c r="BO838" cm="1">
        <f t="array" ref="BO838">IFERROR(INDEX(sheath_ecap_asd,MATCH(BS838,sheath_mark,0),0)*BN838,0)</f>
        <v>0</v>
      </c>
      <c r="BP838" cm="1">
        <f t="array" ref="BP838">IFERROR(INDEX(sheath_wcap_asd,MATCH(BS838,sheath_mark,0),0)*BN838,0)</f>
        <v>0</v>
      </c>
      <c r="BQ838" cm="1">
        <f t="array" ref="BQ838">IFERROR(INDEX(hd_cap,MATCH(BT838,hd_mark,0),0),0)</f>
        <v>0</v>
      </c>
      <c r="BS838" s="19"/>
      <c r="BT838" s="19"/>
      <c r="BU838" s="100"/>
    </row>
    <row r="839" x14ac:dyDescent="0.25">
      <c r="P839" s="93"/>
      <c r="Q839" s="109"/>
      <c r="R839" t="str">
        <f>$Q$793</f>
        <v>Roof</v>
      </c>
      <c r="S839">
        <f>$E$25</f>
        <v>33.171875</v>
      </c>
      <c r="T839" cm="1">
        <f t="array" ref="T839">IFERROR(IF(S839=0,0,(INDEX($C$33:$C$38,MATCH($W$801,$B$33:$B$38,0),0)*(S839+$X$801)+$V$801*$C$31)*$R$801),0)</f>
        <v>0</v>
      </c>
      <c r="U839">
        <f>IF(S839=0,0,-$V$801*$C$31*$H$27*$R$801)</f>
        <v>0</v>
      </c>
      <c r="V839">
        <f>IF(S839=0,0,$V$801*$H$26*$R$801)</f>
        <v>0</v>
      </c>
      <c r="W839">
        <f>(0.6*T839+0.7*U839)*$R$801/2</f>
        <v>0</v>
      </c>
      <c r="X839">
        <f>T839*$R$801/2</f>
        <v>0</v>
      </c>
      <c r="Z839">
        <f>IF(S839=0,0,$AD$801*$AP$793)</f>
        <v>0</v>
      </c>
      <c r="AA839">
        <f>IFERROR(Z839/$R$801,0)</f>
        <v>0</v>
      </c>
      <c r="AB839">
        <f>Z839*($F$25+($C$16+$C$17+IF($C$13="single",1.5,3)+3)/12)</f>
        <v>0</v>
      </c>
      <c r="AC839">
        <f>AB839-W839</f>
        <v>0</v>
      </c>
      <c r="AD839" cm="1">
        <f t="array" ref="AD839">IFERROR(IF(AC839&lt;0,0,AC839/($R$801-INDEX(hd_off,MATCH(AQ839,hd_mark,0),0)/12)),0)</f>
        <v>0</v>
      </c>
      <c r="AE839">
        <f>IF(S839=0,0,$AD$801*$AM$793)</f>
        <v>0</v>
      </c>
      <c r="AF839">
        <f>IFERROR(AE839/$R$801,0)</f>
        <v>0</v>
      </c>
      <c r="AG839">
        <f>AE839*($F$25+($C$16+$C$17+IF($C$13="single",1.5,3)+3)/12)</f>
        <v>0</v>
      </c>
      <c r="AH839">
        <f>AG839-X839</f>
        <v>0</v>
      </c>
      <c r="AI839" cm="1">
        <f t="array" ref="AI839">IFERROR(IF(AH839&lt;0,0,AH839/($R$801-INDEX(hd_off,MATCH(AQ839,hd_mark,0),0)/12)),0)</f>
        <v>0</v>
      </c>
      <c r="AJ839">
        <f>MAX($F$25,$AC$801)/$Q$820</f>
        <v>0.29920977011494249</v>
      </c>
      <c r="AK839">
        <f t="shared" si="526"/>
        <v>1</v>
      </c>
      <c r="AL839" cm="1">
        <f t="array" ref="AL839">IFERROR(INDEX(sheath_ecap_asd,MATCH(AP839,sheath_mark,0),0)*AK839,0)</f>
        <v>0</v>
      </c>
      <c r="AM839" cm="1">
        <f t="array" ref="AM839">IFERROR(INDEX(sheath_wcap_asd,MATCH(AP839,sheath_mark,0),0)*AK839,0)</f>
        <v>0</v>
      </c>
      <c r="AN839" cm="1">
        <f t="array" ref="AN839">IFERROR(INDEX(hd_cap,MATCH(AQ839,hd_mark,0),0),0)</f>
        <v>0</v>
      </c>
      <c r="AP839" s="19"/>
      <c r="AQ839" s="19"/>
      <c r="AR839" s="100"/>
      <c r="AS839" s="93"/>
      <c r="AT839" s="109"/>
      <c r="AU839" t="str">
        <f>$Q$793</f>
        <v>Roof</v>
      </c>
      <c r="AV839">
        <f>$E$25</f>
        <v>33.171875</v>
      </c>
      <c r="AW839" cm="1">
        <f t="array" ref="AW839">IFERROR(IF(AV839=0,0,(INDEX($C$33:$C$38,MATCH($AZ$801,$B$33:$B$38,0),0)*(AV839+$BA$801)+$AY$801*$C$31)*$AU$801),0)</f>
        <v>0</v>
      </c>
      <c r="AX839">
        <f>IF(AV839=0,0,-$AY$801*$C$31*$H$27*$AU$801)</f>
        <v>0</v>
      </c>
      <c r="AY839">
        <f>IF(AV839=0,0,$AY$801*$H$26*$AU$801)</f>
        <v>0</v>
      </c>
      <c r="AZ839">
        <f>(0.6*AW839+0.7*AX839)*$AU$801/2</f>
        <v>0</v>
      </c>
      <c r="BA839">
        <f>AW839*$AU$801/2</f>
        <v>0</v>
      </c>
      <c r="BC839">
        <f>IF(AV839=0,0,$BG$801*$AP$793)</f>
        <v>0</v>
      </c>
      <c r="BD839">
        <f>IFERROR(BC839/$AU$801,0)</f>
        <v>0</v>
      </c>
      <c r="BE839">
        <f>BC839*($F$25+($C$16+$C$17+IF($C$13="single",1.5,3)+3)/12)</f>
        <v>0</v>
      </c>
      <c r="BF839">
        <f>BE839-AZ839</f>
        <v>0</v>
      </c>
      <c r="BG839" cm="1">
        <f t="array" ref="BG839">IFERROR(IF(BF839&lt;0,0,BF839/($AU$801-INDEX(hd_off,MATCH(BT839,hd_mark,0),0)/12)),0)</f>
        <v>0</v>
      </c>
      <c r="BH839">
        <f>IF(AV839=0,0,$BG$801*$AM$793)</f>
        <v>0</v>
      </c>
      <c r="BI839">
        <f>IFERROR(BH839/$AU$801,0)</f>
        <v>0</v>
      </c>
      <c r="BJ839">
        <f>BH839*($F$25+($C$16+$C$17+IF($C$13="single",1.5,3)+3)/12)</f>
        <v>0</v>
      </c>
      <c r="BK839">
        <f>BJ839-BA839</f>
        <v>0</v>
      </c>
      <c r="BL839" cm="1">
        <f t="array" ref="BL839">IFERROR(IF(BK839&lt;0,0,BK839/($AU$801-INDEX(hd_off,MATCH(BT839,hd_mark,0),0)/12)),0)</f>
        <v>0</v>
      </c>
      <c r="BM839">
        <f>MAX($F$25,$BF$801)/$Q$820</f>
        <v>0.29920977011494249</v>
      </c>
      <c r="BN839">
        <f t="shared" si="527"/>
        <v>1</v>
      </c>
      <c r="BO839" cm="1">
        <f t="array" ref="BO839">IFERROR(INDEX(sheath_ecap_asd,MATCH(BS839,sheath_mark,0),0)*BN839,0)</f>
        <v>0</v>
      </c>
      <c r="BP839" cm="1">
        <f t="array" ref="BP839">IFERROR(INDEX(sheath_wcap_asd,MATCH(BS839,sheath_mark,0),0)*BN839,0)</f>
        <v>0</v>
      </c>
      <c r="BQ839" cm="1">
        <f t="array" ref="BQ839">IFERROR(INDEX(hd_cap,MATCH(BT839,hd_mark,0),0),0)</f>
        <v>0</v>
      </c>
      <c r="BS839" s="19"/>
      <c r="BT839" s="19"/>
      <c r="BU839" s="100"/>
    </row>
    <row r="840" x14ac:dyDescent="0.25">
      <c r="P840" s="93"/>
      <c r="AR840" s="100"/>
      <c r="AS840" s="93"/>
      <c r="BU840" s="100"/>
    </row>
    <row r="841" x14ac:dyDescent="0.25">
      <c r="P841" s="93"/>
      <c r="Q841" s="110" t="str">
        <f>$Q$802</f>
        <v>A.05</v>
      </c>
      <c r="R841" t="str">
        <f>$Q$789</f>
        <v>L2</v>
      </c>
      <c r="S841">
        <f>$E$21</f>
        <v>10.6875</v>
      </c>
      <c r="T841" cm="1">
        <f t="array" ref="T841">IFERROR(IF(S841=0,0,(INDEX($C$33:$C$38,MATCH($W$802,$B$33:$B$38,0),0)*(S845+$X$802)+$T$802*COUNTIF(S841:S844,"&gt;0")*$C$32+$V$802*$C$31)*$R$802),0)</f>
        <v>0</v>
      </c>
      <c r="U841">
        <f>IF(S841=0,0,-(COUNTIF(S841:S844,"&gt;0")*$T$802*$C$32+$V$802*$C$31)*$H$27*$R$802)</f>
        <v>0</v>
      </c>
      <c r="V841">
        <f>IF(S841=0,0,$V$802*$H$26*$R$802)</f>
        <v>0</v>
      </c>
      <c r="W841">
        <f>(0.6*T841+0.7*U841)*$R$802/2</f>
        <v>0</v>
      </c>
      <c r="X841">
        <f>(0.6*T841+0.6*V841)*$R$802/2</f>
        <v>0</v>
      </c>
      <c r="Z841">
        <f>IF(S841=0,0,$AD$802*$AP$789)</f>
        <v>0</v>
      </c>
      <c r="AA841">
        <f>IFERROR(Z841/$R$802,0)</f>
        <v>0</v>
      </c>
      <c r="AB841">
        <f>Z841*($F$21+IF($F$21=0,0,($C$14+$C$15+IF($C$13="single",1.5,3)+3)/12))</f>
        <v>0</v>
      </c>
      <c r="AC841">
        <f>AB841-W841</f>
        <v>0</v>
      </c>
      <c r="AD841" cm="1">
        <f t="array" ref="AD841">IFERROR(IF(AC841&lt;0,0,AC841/($R$802-INDEX(hd_off,MATCH(AQ841,hd_mark,0),0)/12)),0)</f>
        <v>0</v>
      </c>
      <c r="AE841">
        <f>IF(S841=0,0,$AD$802*$AM$789)</f>
        <v>0</v>
      </c>
      <c r="AF841">
        <f>IFERROR(AE841/$R$802,0)</f>
        <v>0</v>
      </c>
      <c r="AG841">
        <f>AE841*($F$21+IF($F$21=0,0,($C$14+$C$15+IF($C$13="single",1.5,3)+3)/12))</f>
        <v>0</v>
      </c>
      <c r="AH841">
        <f>AG841-X841</f>
        <v>0</v>
      </c>
      <c r="AI841" cm="1">
        <f t="array" ref="AI841">IFERROR(IF(AH841&lt;0,0,AH841/($R$802-INDEX(hd_off,MATCH(AQ841,hd_mark,0),0)/12)),0)</f>
        <v>0</v>
      </c>
      <c r="AJ841">
        <f>MAX($F$21,$Y$802)/$Q$820</f>
        <v>0.30172413793103448</v>
      </c>
      <c r="AK841">
        <f>IF(AJ841=0,0,IF(AJ841&gt;2,1.25-0.125*AJ841,1))</f>
        <v>1</v>
      </c>
      <c r="AL841" cm="1">
        <f t="array" ref="AL841">IFERROR(INDEX(sheath_ecap_asd,MATCH(AP841,sheath_mark,0),0)*AK841,0)</f>
        <v>0</v>
      </c>
      <c r="AM841" cm="1">
        <f t="array" ref="AM841">IFERROR(INDEX(sheath_wcap_asd,MATCH(AP841,sheath_mark,0),0)*AK841,0)</f>
        <v>0</v>
      </c>
      <c r="AN841" cm="1">
        <f t="array" ref="AN841">IFERROR(INDEX(hd_cap,MATCH(AQ841,hd_mark,0),0),0)</f>
        <v>0</v>
      </c>
      <c r="AP841" s="19"/>
      <c r="AQ841" s="19"/>
      <c r="AR841" s="100"/>
      <c r="AS841" s="93"/>
      <c r="AT841" s="110" t="str">
        <f>$AT$802</f>
        <v>1.05</v>
      </c>
      <c r="AU841" t="str">
        <f>$Q$789</f>
        <v>L2</v>
      </c>
      <c r="AV841">
        <f>$E$21</f>
        <v>10.6875</v>
      </c>
      <c r="AW841" cm="1">
        <f t="array" ref="AW841">IFERROR(IF(AV841=0,0,(INDEX($C$33:$C$38,MATCH($AZ$802,$B$33:$B$38,0),0)*(AV845+$BA$802)+$AW$802*COUNTIF(AV841:AV844,"&gt;0")*$C$32+$AY$802*$C$31)*$AU$802),0)</f>
        <v>0</v>
      </c>
      <c r="AX841">
        <f>IF(AV841=0,0,-(COUNTIF(AV841:AV844,"&gt;0")*$AW$802*$C$32+$AY$802*$C$31)*$H$27*$AU$802)</f>
        <v>0</v>
      </c>
      <c r="AY841">
        <f>IF(AV841=0,0,$AY$802*$H$26*$AU$802)</f>
        <v>0</v>
      </c>
      <c r="AZ841">
        <f>(0.6*AW841+0.7*AX841)*$AU$802/2</f>
        <v>0</v>
      </c>
      <c r="BA841">
        <f>(0.6*AW841+0.6*AY841)*$AU$802/2</f>
        <v>0</v>
      </c>
      <c r="BC841">
        <f>IF(AV841=0,0,$BG$802*$AP$789)</f>
        <v>0</v>
      </c>
      <c r="BD841">
        <f>IFERROR(BC841/$AU$802,0)</f>
        <v>0</v>
      </c>
      <c r="BE841">
        <f>BC841*($F$21+IF($F$21=0,0,($C$14+$C$15+IF($C$13="single",1.5,3)+3)/12))</f>
        <v>0</v>
      </c>
      <c r="BF841">
        <f>BE841-AZ841</f>
        <v>0</v>
      </c>
      <c r="BG841" cm="1">
        <f t="array" ref="BG841">IFERROR(IF(BF841&lt;0,0,BF841/($AU$802-INDEX(hd_off,MATCH(BT841,hd_mark,0),0)/12)),0)</f>
        <v>0</v>
      </c>
      <c r="BH841">
        <f>IF(AV841=0,0,$BG$802*$AM$789)</f>
        <v>0</v>
      </c>
      <c r="BI841">
        <f>IFERROR(BH841/$AU$802,0)</f>
        <v>0</v>
      </c>
      <c r="BJ841">
        <f>BH841*($F$21+IF($F$21=0,0,($C$14+$C$15+IF($C$13="single",1.5,3)+3)/12))</f>
        <v>0</v>
      </c>
      <c r="BK841">
        <f>BJ841-BA841</f>
        <v>0</v>
      </c>
      <c r="BL841" cm="1">
        <f t="array" ref="BL841">IFERROR(IF(BK841&lt;0,0,BK841/($AU$802-INDEX(hd_off,MATCH(BT841,hd_mark,0),0)/12)),0)</f>
        <v>0</v>
      </c>
      <c r="BM841">
        <f>MAX($F$21,$BB$802)/$Q$820</f>
        <v>0.30172413793103448</v>
      </c>
      <c r="BN841">
        <f>IF(BM841=0,0,IF(BM841&gt;2,1.25-0.125*BM841,1))</f>
        <v>1</v>
      </c>
      <c r="BO841" cm="1">
        <f t="array" ref="BO841">IFERROR(INDEX(sheath_ecap_asd,MATCH(BS841,sheath_mark,0),0)*BN841,0)</f>
        <v>0</v>
      </c>
      <c r="BP841" cm="1">
        <f t="array" ref="BP841">IFERROR(INDEX(sheath_wcap_asd,MATCH(BS841,sheath_mark,0),0)*BN841,0)</f>
        <v>0</v>
      </c>
      <c r="BQ841" cm="1">
        <f t="array" ref="BQ841">IFERROR(INDEX(hd_cap,MATCH(BT841,hd_mark,0),0),0)</f>
        <v>0</v>
      </c>
      <c r="BS841" s="19"/>
      <c r="BT841" s="19"/>
      <c r="BU841" s="100"/>
    </row>
    <row r="842" x14ac:dyDescent="0.25">
      <c r="B842" s="1"/>
      <c r="P842" s="93"/>
      <c r="Q842" s="109"/>
      <c r="R842" t="str">
        <f>$Q$790</f>
        <v>L3</v>
      </c>
      <c r="S842">
        <f>$E$22</f>
        <v>21.375</v>
      </c>
      <c r="T842" cm="1">
        <f t="array" ref="T842">IFERROR(IF(S842=0,0,(INDEX($C$33:$C$38,MATCH($W$802,$B$33:$B$38,0),0)*(S845+$X$802)+$T$802*COUNTIF(S842:S844,"&gt;0")*$C$32+$V$802*$C$31)*$R$802),0)</f>
        <v>0</v>
      </c>
      <c r="U842">
        <f>IF(S842=0,0,-(COUNTIF(S842:S844,"&gt;0")*$T$802*$C$32+$V$802*$C$31)*$H$27*$R$802)</f>
        <v>0</v>
      </c>
      <c r="V842">
        <f>IF(S842=0,0,$V$802*$H$26*$R$802)</f>
        <v>0</v>
      </c>
      <c r="W842">
        <f>(0.6*T842+0.7*U842)*$R$802/2</f>
        <v>0</v>
      </c>
      <c r="X842">
        <f>T842*$R$802/2</f>
        <v>0</v>
      </c>
      <c r="Z842">
        <f>IF(S842=0,0,$AD$802*$AP$790)</f>
        <v>0</v>
      </c>
      <c r="AA842">
        <f>IFERROR(Z842/$R$802,0)</f>
        <v>0</v>
      </c>
      <c r="AB842">
        <f>Z842*($F$22+IF($F$22=0,0,($C$14+$C$15+IF($C$13="single",1.5,3)+3)/12))</f>
        <v>0</v>
      </c>
      <c r="AC842">
        <f>AB842-W842</f>
        <v>0</v>
      </c>
      <c r="AD842" cm="1">
        <f t="array" ref="AD842">IFERROR(IF(AC842&lt;0,0,AC842/($R$802-INDEX(hd_off,MATCH(AQ842,hd_mark,0),0)/12)),0)</f>
        <v>0</v>
      </c>
      <c r="AE842">
        <f>IF(S842=0,0,$AD$802*$AM$790)</f>
        <v>0</v>
      </c>
      <c r="AF842">
        <f>IFERROR(AE842/$R$802,0)</f>
        <v>0</v>
      </c>
      <c r="AG842">
        <f>AE842*($F$22+IF($F$22=0,0,($C$14+$C$15+IF($C$13="single",1.5,3)+3)/12))</f>
        <v>0</v>
      </c>
      <c r="AH842">
        <f>AG842-X842</f>
        <v>0</v>
      </c>
      <c r="AI842" cm="1">
        <f t="array" ref="AI842">IFERROR(IF(AH842&lt;0,0,AH842/($R$802-INDEX(hd_off,MATCH(AQ842,hd_mark,0),0)/12)),0)</f>
        <v>0</v>
      </c>
      <c r="AJ842">
        <f>MAX($F$22,$Z$802)/$Q$820</f>
        <v>0.30172413793103448</v>
      </c>
      <c r="AK842">
        <f t="shared" ref="AK842:AK845" si="528">IF(AJ842=0,0,IF(AJ842&gt;2,1.25-0.125*AJ842,1))</f>
        <v>1</v>
      </c>
      <c r="AL842" cm="1">
        <f t="array" ref="AL842">IFERROR(INDEX(sheath_ecap_asd,MATCH(AP842,sheath_mark,0),0)*AK842,0)</f>
        <v>0</v>
      </c>
      <c r="AM842" cm="1">
        <f t="array" ref="AM842">IFERROR(INDEX(sheath_wcap_asd,MATCH(AP842,sheath_mark,0),0)*AK842,0)</f>
        <v>0</v>
      </c>
      <c r="AN842" cm="1">
        <f t="array" ref="AN842">IFERROR(INDEX(hd_cap,MATCH(AQ842,hd_mark,0),0),0)</f>
        <v>0</v>
      </c>
      <c r="AP842" s="19"/>
      <c r="AQ842" s="19"/>
      <c r="AR842" s="100"/>
      <c r="AS842" s="93"/>
      <c r="AT842" s="109"/>
      <c r="AU842" t="str">
        <f>$Q$790</f>
        <v>L3</v>
      </c>
      <c r="AV842">
        <f>$E$22</f>
        <v>21.375</v>
      </c>
      <c r="AW842" cm="1">
        <f t="array" ref="AW842">IFERROR(IF(AV842=0,0,(INDEX($C$33:$C$38,MATCH($AZ$802,$B$33:$B$38,0),0)*(AV845+$BA$802)+$AW$802*COUNTIF(AV842:AV844,"&gt;0")*$C$32+$AY$802*$C$31)*$AU$802),0)</f>
        <v>0</v>
      </c>
      <c r="AX842">
        <f>IF(AV842=0,0,-(COUNTIF(AV842:AV844,"&gt;0")*$AW$802*$C$32+$AY$802*$C$31)*$H$27*$AU$802)</f>
        <v>0</v>
      </c>
      <c r="AY842">
        <f>IF(AV842=0,0,$AY$802*$H$26*$AU$802)</f>
        <v>0</v>
      </c>
      <c r="AZ842">
        <f>(0.6*AW842+0.7*AX842)*$AU$802/2</f>
        <v>0</v>
      </c>
      <c r="BA842">
        <f>AW842*$AU$802/2</f>
        <v>0</v>
      </c>
      <c r="BC842">
        <f>IF(AV842=0,0,$BG$802*$AP$790)</f>
        <v>0</v>
      </c>
      <c r="BD842">
        <f>IFERROR(BC842/$AU$802,0)</f>
        <v>0</v>
      </c>
      <c r="BE842">
        <f>BC842*($F$22+IF($F$22=0,0,($C$14+$C$15+IF($C$13="single",1.5,3)+3)/12))</f>
        <v>0</v>
      </c>
      <c r="BF842">
        <f>BE842-AZ842</f>
        <v>0</v>
      </c>
      <c r="BG842" cm="1">
        <f t="array" ref="BG842">IFERROR(IF(BF842&lt;0,0,BF842/($AU$802-INDEX(hd_off,MATCH(BT842,hd_mark,0),0)/12)),0)</f>
        <v>0</v>
      </c>
      <c r="BH842">
        <f>IF(AV842=0,0,$BG$802*$AM$790)</f>
        <v>0</v>
      </c>
      <c r="BI842">
        <f>IFERROR(BH842/$AU$802,0)</f>
        <v>0</v>
      </c>
      <c r="BJ842">
        <f>BH842*($F$22+IF($F$22=0,0,($C$14+$C$15+IF($C$13="single",1.5,3)+3)/12))</f>
        <v>0</v>
      </c>
      <c r="BK842">
        <f>BJ842-BA842</f>
        <v>0</v>
      </c>
      <c r="BL842" cm="1">
        <f t="array" ref="BL842">IFERROR(IF(BK842&lt;0,0,BK842/($AU$802-INDEX(hd_off,MATCH(BT842,hd_mark,0),0)/12)),0)</f>
        <v>0</v>
      </c>
      <c r="BM842">
        <f>MAX($F$22,$BC$802)/$Q$820</f>
        <v>0.30172413793103448</v>
      </c>
      <c r="BN842">
        <f t="shared" ref="BN842:BN845" si="529">IF(BM842=0,0,IF(BM842&gt;2,1.25-0.125*BM842,1))</f>
        <v>1</v>
      </c>
      <c r="BO842" cm="1">
        <f t="array" ref="BO842">IFERROR(INDEX(sheath_ecap_asd,MATCH(BS842,sheath_mark,0),0)*BN842,0)</f>
        <v>0</v>
      </c>
      <c r="BP842" cm="1">
        <f t="array" ref="BP842">IFERROR(INDEX(sheath_wcap_asd,MATCH(BS842,sheath_mark,0),0)*BN842,0)</f>
        <v>0</v>
      </c>
      <c r="BQ842" cm="1">
        <f t="array" ref="BQ842">IFERROR(INDEX(hd_cap,MATCH(BT842,hd_mark,0),0),0)</f>
        <v>0</v>
      </c>
      <c r="BS842" s="19"/>
      <c r="BT842" s="19"/>
      <c r="BU842" s="100"/>
    </row>
    <row r="843" x14ac:dyDescent="0.25">
      <c r="P843" s="93"/>
      <c r="Q843" s="109" t="s">
        <v>491</v>
      </c>
      <c r="R843" t="str">
        <f>$Q$791</f>
        <v>L4</v>
      </c>
      <c r="S843">
        <f>$E$23</f>
        <v>0</v>
      </c>
      <c r="T843" cm="1">
        <f t="array" ref="T843">IFERROR(IF(S843=0,0,(INDEX($C$33:$C$38,MATCH($W$802,$B$33:$B$38,0),0)*(S845+$X$802)+$T$802*COUNTIF(S843:S844,"&gt;0")*$C$32+$V$802*$C$31)*$R$802),0)</f>
        <v>0</v>
      </c>
      <c r="U843">
        <f>IF(S843=0,0,-(COUNTIF(S843:S844,"&gt;0")*$T$802*$C$32+$V$802*$C$31)*$H$27*$R$802)</f>
        <v>0</v>
      </c>
      <c r="V843">
        <f>IF(S843=0,0,$V$802*$H$26*$R$802)</f>
        <v>0</v>
      </c>
      <c r="W843">
        <f>(0.6*T843+0.7*U843)*$R$802/2</f>
        <v>0</v>
      </c>
      <c r="X843">
        <f>T843*$R$802/2</f>
        <v>0</v>
      </c>
      <c r="Z843">
        <f>IF(S843=0,0,$AD$802*$AP$791)</f>
        <v>0</v>
      </c>
      <c r="AA843">
        <f>IFERROR(Z843/$R$802,0)</f>
        <v>0</v>
      </c>
      <c r="AB843">
        <f>Z843*($F$23+IF($F$23=0,0,($C$14+$C$15+IF($C$13="single",1.5,3)+3)/12))</f>
        <v>0</v>
      </c>
      <c r="AC843">
        <f>AB843-W843</f>
        <v>0</v>
      </c>
      <c r="AD843" cm="1">
        <f t="array" ref="AD843">IFERROR(IF(AC843&lt;0,0,AC843/($R$802-INDEX(hd_off,MATCH(AQ843,hd_mark,0),0)/12)),0)</f>
        <v>0</v>
      </c>
      <c r="AE843">
        <f>IF(S843=0,0,$AD$802*$AM$791)</f>
        <v>0</v>
      </c>
      <c r="AF843">
        <f>IFERROR(AE843/$R$802,0)</f>
        <v>0</v>
      </c>
      <c r="AG843">
        <f>AE843*($F$23+IF($F$23=0,0,($C$14+$C$15+IF($C$13="single",1.5,3)+3)/12))</f>
        <v>0</v>
      </c>
      <c r="AH843">
        <f>AG843-X843</f>
        <v>0</v>
      </c>
      <c r="AI843" cm="1">
        <f t="array" ref="AI843">IFERROR(IF(AH843&lt;0,0,AH843/($R$802-INDEX(hd_off,MATCH(AQ843,hd_mark,0),0)/12)),0)</f>
        <v>0</v>
      </c>
      <c r="AJ843">
        <f>MAX($F$23,$AA$802)/$Q$820</f>
        <v>0</v>
      </c>
      <c r="AK843">
        <f t="shared" si="528"/>
        <v>0</v>
      </c>
      <c r="AL843" cm="1">
        <f t="array" ref="AL843">IFERROR(INDEX(sheath_ecap_asd,MATCH(AP843,sheath_mark,0),0)*AK843,0)</f>
        <v>0</v>
      </c>
      <c r="AM843" cm="1">
        <f t="array" ref="AM843">IFERROR(INDEX(sheath_wcap_asd,MATCH(AP843,sheath_mark,0),0)*AK843,0)</f>
        <v>0</v>
      </c>
      <c r="AN843" cm="1">
        <f t="array" ref="AN843">IFERROR(INDEX(hd_cap,MATCH(AQ843,hd_mark,0),0),0)</f>
        <v>0</v>
      </c>
      <c r="AP843" s="19"/>
      <c r="AQ843" s="19"/>
      <c r="AR843" s="100"/>
      <c r="AS843" s="93"/>
      <c r="AT843" s="109" t="s">
        <v>491</v>
      </c>
      <c r="AU843" t="str">
        <f>$Q$791</f>
        <v>L4</v>
      </c>
      <c r="AV843">
        <f>$E$23</f>
        <v>0</v>
      </c>
      <c r="AW843" cm="1">
        <f t="array" ref="AW843">IFERROR(IF(AV843=0,0,(INDEX($C$33:$C$38,MATCH($AZ$802,$B$33:$B$38,0),0)*(AV845+$BA$802)+$AW$802*COUNTIF(AV843:AV844,"&gt;0")*$C$32+$AY$802*$C$31)*$AU$802),0)</f>
        <v>0</v>
      </c>
      <c r="AX843">
        <f>IF(AV843=0,0,-(COUNTIF(AV843:AV844,"&gt;0")*$AW$802*$C$32+$AY$802*$C$31)*$H$27*$AU$802)</f>
        <v>0</v>
      </c>
      <c r="AY843">
        <f>IF(AV843=0,0,$AY$802*$H$26*$AU$802)</f>
        <v>0</v>
      </c>
      <c r="AZ843">
        <f>(0.6*AW843+0.7*AX843)*$AU$802/2</f>
        <v>0</v>
      </c>
      <c r="BA843">
        <f>AW843*$AU$802/2</f>
        <v>0</v>
      </c>
      <c r="BC843">
        <f>IF(AV843=0,0,$BG$802*$AP$791)</f>
        <v>0</v>
      </c>
      <c r="BD843">
        <f>IFERROR(BC843/$AU$802,0)</f>
        <v>0</v>
      </c>
      <c r="BE843">
        <f>BC843*($F$23+IF($F$23=0,0,($C$14+$C$15+IF($C$13="single",1.5,3)+3)/12))</f>
        <v>0</v>
      </c>
      <c r="BF843">
        <f>BE843-AZ843</f>
        <v>0</v>
      </c>
      <c r="BG843" cm="1">
        <f t="array" ref="BG843">IFERROR(IF(BF843&lt;0,0,BF843/($AU$802-INDEX(hd_off,MATCH(BT843,hd_mark,0),0)/12)),0)</f>
        <v>0</v>
      </c>
      <c r="BH843">
        <f>IF(AV843=0,0,$BG$802*$AM$791)</f>
        <v>0</v>
      </c>
      <c r="BI843">
        <f>IFERROR(BH843/$AU$802,0)</f>
        <v>0</v>
      </c>
      <c r="BJ843">
        <f>BH843*($F$23+IF($F$23=0,0,($C$14+$C$15+IF($C$13="single",1.5,3)+3)/12))</f>
        <v>0</v>
      </c>
      <c r="BK843">
        <f>BJ843-BA843</f>
        <v>0</v>
      </c>
      <c r="BL843" cm="1">
        <f t="array" ref="BL843">IFERROR(IF(BK843&lt;0,0,BK843/($AU$802-INDEX(hd_off,MATCH(BT843,hd_mark,0),0)/12)),0)</f>
        <v>0</v>
      </c>
      <c r="BM843">
        <f>MAX($F$23,$BD$802)/$Q$820</f>
        <v>0</v>
      </c>
      <c r="BN843">
        <f t="shared" si="529"/>
        <v>0</v>
      </c>
      <c r="BO843" cm="1">
        <f t="array" ref="BO843">IFERROR(INDEX(sheath_ecap_asd,MATCH(BS843,sheath_mark,0),0)*BN843,0)</f>
        <v>0</v>
      </c>
      <c r="BP843" cm="1">
        <f t="array" ref="BP843">IFERROR(INDEX(sheath_wcap_asd,MATCH(BS843,sheath_mark,0),0)*BN843,0)</f>
        <v>0</v>
      </c>
      <c r="BQ843" cm="1">
        <f t="array" ref="BQ843">IFERROR(INDEX(hd_cap,MATCH(BT843,hd_mark,0),0),0)</f>
        <v>0</v>
      </c>
      <c r="BS843" s="19"/>
      <c r="BT843" s="19"/>
      <c r="BU843" s="100"/>
    </row>
    <row r="844" x14ac:dyDescent="0.25">
      <c r="P844" s="93"/>
      <c r="Q844" s="111">
        <f>$R$802</f>
        <v>0</v>
      </c>
      <c r="R844" t="str">
        <f>$Q$792</f>
        <v>L5</v>
      </c>
      <c r="S844">
        <f>$E$24</f>
        <v>0</v>
      </c>
      <c r="T844" cm="1">
        <f t="array" ref="T844">IFERROR(IF(S844=0,0,(INDEX($C$33:$C$38,MATCH($W$802,$B$33:$B$38,0),0)*(S845+$X$802)+$T$802*COUNTIF(S844:S844,"&gt;0")*$C$32+$V$802*$C$31)*$R$802),0)</f>
        <v>0</v>
      </c>
      <c r="U844">
        <f>IF(S844=0,0,-(COUNTIF(S844:S844,"&gt;0")*$T$802*$C$32+$V$802*$C$31)*$H$27*$R$802)</f>
        <v>0</v>
      </c>
      <c r="V844">
        <f>IF(S844=0,0,$V$802*$H$26*$R$802)</f>
        <v>0</v>
      </c>
      <c r="W844">
        <f>(0.6*T844+0.7*U844)*$R$802/2</f>
        <v>0</v>
      </c>
      <c r="X844">
        <f>T844*$R$802/2</f>
        <v>0</v>
      </c>
      <c r="Z844">
        <f>IF(S844=0,0,$AD$802*$AP$792)</f>
        <v>0</v>
      </c>
      <c r="AA844">
        <f>IFERROR(Z844/$R$802,0)</f>
        <v>0</v>
      </c>
      <c r="AB844">
        <f>Z844*($F$24+IF($F$24=0,0,($C$14+$C$15+IF($C$13="single",1.5,3)+3)/12))</f>
        <v>0</v>
      </c>
      <c r="AC844">
        <f>AB844-W844</f>
        <v>0</v>
      </c>
      <c r="AD844" cm="1">
        <f t="array" ref="AD844">IFERROR(IF(AC844&lt;0,0,AC844/($R$802-INDEX(hd_off,MATCH(AQ844,hd_mark,0),0)/12)),0)</f>
        <v>0</v>
      </c>
      <c r="AE844">
        <f>IF(S844=0,0,$AD$802*$AM$792)</f>
        <v>0</v>
      </c>
      <c r="AF844">
        <f>IFERROR(AE844/$R$802,0)</f>
        <v>0</v>
      </c>
      <c r="AG844">
        <f>AE844*($F$24+IF($F$24=0,0,($C$14+$C$15+IF($C$13="single",1.5,3)+3)/12))</f>
        <v>0</v>
      </c>
      <c r="AH844">
        <f>AG844-X844</f>
        <v>0</v>
      </c>
      <c r="AI844" cm="1">
        <f t="array" ref="AI844">IFERROR(IF(AH844&lt;0,0,AH844/($R$802-INDEX(hd_off,MATCH(AQ844,hd_mark,0),0)/12)),0)</f>
        <v>0</v>
      </c>
      <c r="AJ844">
        <f>MAX($F$24,$AB$802)/$Q$820</f>
        <v>0</v>
      </c>
      <c r="AK844">
        <f t="shared" si="528"/>
        <v>0</v>
      </c>
      <c r="AL844" cm="1">
        <f t="array" ref="AL844">IFERROR(INDEX(sheath_ecap_asd,MATCH(AP844,sheath_mark,0),0)*AK844,0)</f>
        <v>0</v>
      </c>
      <c r="AM844" cm="1">
        <f t="array" ref="AM844">IFERROR(INDEX(sheath_wcap_asd,MATCH(AP844,sheath_mark,0),0)*AK844,0)</f>
        <v>0</v>
      </c>
      <c r="AN844" cm="1">
        <f t="array" ref="AN844">IFERROR(INDEX(hd_cap,MATCH(AQ844,hd_mark,0),0),0)</f>
        <v>0</v>
      </c>
      <c r="AP844" s="19"/>
      <c r="AQ844" s="19"/>
      <c r="AR844" s="100"/>
      <c r="AS844" s="93"/>
      <c r="AT844" s="111">
        <f>$R$802</f>
        <v>0</v>
      </c>
      <c r="AU844" t="str">
        <f>$Q$792</f>
        <v>L5</v>
      </c>
      <c r="AV844">
        <f>$E$24</f>
        <v>0</v>
      </c>
      <c r="AW844" cm="1">
        <f t="array" ref="AW844">IFERROR(IF(AV844=0,0,(INDEX($C$33:$C$38,MATCH($AZ$802,$B$33:$B$38,0),0)*(AV845+$BA$802)+$AW$802*COUNTIF(AV844:AV844,"&gt;0")*$C$32+$AY$802*$C$31)*$AU$802),0)</f>
        <v>0</v>
      </c>
      <c r="AX844">
        <f>IF(AV844=0,0,-(COUNTIF(AV844:AV844,"&gt;0")*$AW$802*$C$32+$AY$802*$C$31)*$H$27*$AU$802)</f>
        <v>0</v>
      </c>
      <c r="AY844">
        <f>IF(AV844=0,0,$AY$802*$H$26*$AU$802)</f>
        <v>0</v>
      </c>
      <c r="AZ844">
        <f>(0.6*AW844+0.7*AX844)*$AU$802/2</f>
        <v>0</v>
      </c>
      <c r="BA844">
        <f>AW844*$AU$802/2</f>
        <v>0</v>
      </c>
      <c r="BC844">
        <f>IF(AV844=0,0,$BG$802*$AP$792)</f>
        <v>0</v>
      </c>
      <c r="BD844">
        <f>IFERROR(BC844/$AU$802,0)</f>
        <v>0</v>
      </c>
      <c r="BE844">
        <f>BC844*($F$24+IF($F$24=0,0,($C$14+$C$15+IF($C$13="single",1.5,3)+3)/12))</f>
        <v>0</v>
      </c>
      <c r="BF844">
        <f>BE844-AZ844</f>
        <v>0</v>
      </c>
      <c r="BG844" cm="1">
        <f t="array" ref="BG844">IFERROR(IF(BF844&lt;0,0,BF844/($AU$802-INDEX(hd_off,MATCH(BT844,hd_mark,0),0)/12)),0)</f>
        <v>0</v>
      </c>
      <c r="BH844">
        <f>IF(AV844=0,0,$BG$802*$AM$792)</f>
        <v>0</v>
      </c>
      <c r="BI844">
        <f>IFERROR(BH844/$AU$802,0)</f>
        <v>0</v>
      </c>
      <c r="BJ844">
        <f>BH844*($F$24+IF($F$24=0,0,($C$14+$C$15+IF($C$13="single",1.5,3)+3)/12))</f>
        <v>0</v>
      </c>
      <c r="BK844">
        <f>BJ844-BA844</f>
        <v>0</v>
      </c>
      <c r="BL844" cm="1">
        <f t="array" ref="BL844">IFERROR(IF(BK844&lt;0,0,BK844/($AU$802-INDEX(hd_off,MATCH(BT844,hd_mark,0),0)/12)),0)</f>
        <v>0</v>
      </c>
      <c r="BM844">
        <f>MAX($F$24,$BE$802)/$Q$820</f>
        <v>0</v>
      </c>
      <c r="BN844">
        <f t="shared" si="529"/>
        <v>0</v>
      </c>
      <c r="BO844" cm="1">
        <f t="array" ref="BO844">IFERROR(INDEX(sheath_ecap_asd,MATCH(BS844,sheath_mark,0),0)*BN844,0)</f>
        <v>0</v>
      </c>
      <c r="BP844" cm="1">
        <f t="array" ref="BP844">IFERROR(INDEX(sheath_wcap_asd,MATCH(BS844,sheath_mark,0),0)*BN844,0)</f>
        <v>0</v>
      </c>
      <c r="BQ844" cm="1">
        <f t="array" ref="BQ844">IFERROR(INDEX(hd_cap,MATCH(BT844,hd_mark,0),0),0)</f>
        <v>0</v>
      </c>
      <c r="BS844" s="19"/>
      <c r="BT844" s="19"/>
      <c r="BU844" s="100"/>
    </row>
    <row r="845" x14ac:dyDescent="0.25">
      <c r="P845" s="93"/>
      <c r="Q845" s="109"/>
      <c r="R845" t="str">
        <f>$Q$793</f>
        <v>Roof</v>
      </c>
      <c r="S845">
        <f>$E$25</f>
        <v>33.171875</v>
      </c>
      <c r="T845" cm="1">
        <f t="array" ref="T845">IFERROR(IF(S845=0,0,(INDEX($C$33:$C$38,MATCH($W$802,$B$33:$B$38,0),0)*(S845+$X$802)+$V$802*$C$31)*$R$802),0)</f>
        <v>0</v>
      </c>
      <c r="U845">
        <f>IF(S845=0,0,-$V$802*$C$31*$H$27*$R$802)</f>
        <v>0</v>
      </c>
      <c r="V845">
        <f>IF(S845=0,0,$V$802*$H$26*$R$802)</f>
        <v>0</v>
      </c>
      <c r="W845">
        <f>(0.6*T845+0.7*U845)*$R$802/2</f>
        <v>0</v>
      </c>
      <c r="X845">
        <f>T845*$R$802/2</f>
        <v>0</v>
      </c>
      <c r="Z845">
        <f>IF(S845=0,0,$AD$802*$AP$793)</f>
        <v>0</v>
      </c>
      <c r="AA845">
        <f>IFERROR(Z845/$R$802,0)</f>
        <v>0</v>
      </c>
      <c r="AB845">
        <f>Z845*($F$25+($C$16+$C$17+IF($C$13="single",1.5,3)+3)/12)</f>
        <v>0</v>
      </c>
      <c r="AC845">
        <f>AB845-W845</f>
        <v>0</v>
      </c>
      <c r="AD845" cm="1">
        <f t="array" ref="AD845">IFERROR(IF(AC845&lt;0,0,AC845/($R$802-INDEX(hd_off,MATCH(AQ845,hd_mark,0),0)/12)),0)</f>
        <v>0</v>
      </c>
      <c r="AE845">
        <f>IF(S845=0,0,$AD$802*$AM$793)</f>
        <v>0</v>
      </c>
      <c r="AF845">
        <f>IFERROR(AE845/$R$802,0)</f>
        <v>0</v>
      </c>
      <c r="AG845">
        <f>AE845*($F$25+($C$16+$C$17+IF($C$13="single",1.5,3)+3)/12)</f>
        <v>0</v>
      </c>
      <c r="AH845">
        <f>AG845-X845</f>
        <v>0</v>
      </c>
      <c r="AI845" cm="1">
        <f t="array" ref="AI845">IFERROR(IF(AH845&lt;0,0,AH845/($R$802-INDEX(hd_off,MATCH(AQ845,hd_mark,0),0)/12)),0)</f>
        <v>0</v>
      </c>
      <c r="AJ845">
        <f>MAX($F$25,$AC$802)/$Q$820</f>
        <v>0.29920977011494249</v>
      </c>
      <c r="AK845">
        <f t="shared" si="528"/>
        <v>1</v>
      </c>
      <c r="AL845" cm="1">
        <f t="array" ref="AL845">IFERROR(INDEX(sheath_ecap_asd,MATCH(AP845,sheath_mark,0),0)*AK845,0)</f>
        <v>0</v>
      </c>
      <c r="AM845" cm="1">
        <f t="array" ref="AM845">IFERROR(INDEX(sheath_wcap_asd,MATCH(AP845,sheath_mark,0),0)*AK845,0)</f>
        <v>0</v>
      </c>
      <c r="AN845" cm="1">
        <f t="array" ref="AN845">IFERROR(INDEX(hd_cap,MATCH(AQ845,hd_mark,0),0),0)</f>
        <v>0</v>
      </c>
      <c r="AP845" s="19"/>
      <c r="AQ845" s="19"/>
      <c r="AR845" s="100"/>
      <c r="AS845" s="93"/>
      <c r="AT845" s="109"/>
      <c r="AU845" t="str">
        <f>$Q$793</f>
        <v>Roof</v>
      </c>
      <c r="AV845">
        <f>$E$25</f>
        <v>33.171875</v>
      </c>
      <c r="AW845" cm="1">
        <f t="array" ref="AW845">IFERROR(IF(AV845=0,0,(INDEX($C$33:$C$38,MATCH($AZ$802,$B$33:$B$38,0),0)*(AV845+$BA$802)+$AY$802*$C$31)*$AU$802),0)</f>
        <v>0</v>
      </c>
      <c r="AX845">
        <f>IF(AV845=0,0,-$AY$802*$C$31*$H$27*$AU$802)</f>
        <v>0</v>
      </c>
      <c r="AY845">
        <f>IF(AV845=0,0,$AY$802*$H$26*$AU$802)</f>
        <v>0</v>
      </c>
      <c r="AZ845">
        <f>(0.6*AW845+0.7*AX845)*$AU$802/2</f>
        <v>0</v>
      </c>
      <c r="BA845">
        <f>AW845*$AU$802/2</f>
        <v>0</v>
      </c>
      <c r="BC845">
        <f>IF(AV845=0,0,$BG$802*$AP$793)</f>
        <v>0</v>
      </c>
      <c r="BD845">
        <f>IFERROR(BC845/$AU$802,0)</f>
        <v>0</v>
      </c>
      <c r="BE845">
        <f>BC845*($F$25+($C$16+$C$17+IF($C$13="single",1.5,3)+3)/12)</f>
        <v>0</v>
      </c>
      <c r="BF845">
        <f>BE845-AZ845</f>
        <v>0</v>
      </c>
      <c r="BG845" cm="1">
        <f t="array" ref="BG845">IFERROR(IF(BF845&lt;0,0,BF845/($AU$802-INDEX(hd_off,MATCH(BT845,hd_mark,0),0)/12)),0)</f>
        <v>0</v>
      </c>
      <c r="BH845">
        <f>IF(AV845=0,0,$BG$802*$AM$793)</f>
        <v>0</v>
      </c>
      <c r="BI845">
        <f>IFERROR(BH845/$AU$802,0)</f>
        <v>0</v>
      </c>
      <c r="BJ845">
        <f>BH845*($F$25+($C$16+$C$17+IF($C$13="single",1.5,3)+3)/12)</f>
        <v>0</v>
      </c>
      <c r="BK845">
        <f>BJ845-BA845</f>
        <v>0</v>
      </c>
      <c r="BL845" cm="1">
        <f t="array" ref="BL845">IFERROR(IF(BK845&lt;0,0,BK845/($AU$802-INDEX(hd_off,MATCH(BT845,hd_mark,0),0)/12)),0)</f>
        <v>0</v>
      </c>
      <c r="BM845">
        <f>MAX($F$25,$BF$802)/$Q$820</f>
        <v>0.29920977011494249</v>
      </c>
      <c r="BN845">
        <f t="shared" si="529"/>
        <v>1</v>
      </c>
      <c r="BO845" cm="1">
        <f t="array" ref="BO845">IFERROR(INDEX(sheath_ecap_asd,MATCH(BS845,sheath_mark,0),0)*BN845,0)</f>
        <v>0</v>
      </c>
      <c r="BP845" cm="1">
        <f t="array" ref="BP845">IFERROR(INDEX(sheath_wcap_asd,MATCH(BS845,sheath_mark,0),0)*BN845,0)</f>
        <v>0</v>
      </c>
      <c r="BQ845" cm="1">
        <f t="array" ref="BQ845">IFERROR(INDEX(hd_cap,MATCH(BT845,hd_mark,0),0),0)</f>
        <v>0</v>
      </c>
      <c r="BS845" s="19"/>
      <c r="BT845" s="19"/>
      <c r="BU845" s="100"/>
    </row>
    <row r="846" x14ac:dyDescent="0.25">
      <c r="P846" s="93"/>
      <c r="AR846" s="100"/>
      <c r="AS846" s="93"/>
      <c r="BU846" s="100"/>
    </row>
    <row r="847" x14ac:dyDescent="0.25">
      <c r="P847" s="93"/>
      <c r="Q847" s="110" t="str">
        <f>$Q$803</f>
        <v>A.06</v>
      </c>
      <c r="R847" t="str">
        <f>$Q$789</f>
        <v>L2</v>
      </c>
      <c r="S847">
        <f>$E$21</f>
        <v>10.6875</v>
      </c>
      <c r="T847" cm="1">
        <f t="array" ref="T847">IFERROR(IF(S847=0,0,(INDEX($C$33:$C$38,MATCH($W$803,$B$33:$B$38,0),0)*(S851+$X$803)+$T$803*COUNTIF(S847:S850,"&gt;0")*$C$32+$V$803*$C$31)*$R$803),0)</f>
        <v>0</v>
      </c>
      <c r="U847">
        <f>IF(S847=0,0,-(COUNTIF(S847:S850,"&gt;0")*$T$803*$C$32+$V$803*$C$31)*$H$27*$R$803)</f>
        <v>0</v>
      </c>
      <c r="V847">
        <f>IF(S847=0,0,$V$803*$H$26*$R$803)</f>
        <v>0</v>
      </c>
      <c r="W847">
        <f>(0.6*T847+0.7*U847)*$R$803/2</f>
        <v>0</v>
      </c>
      <c r="X847">
        <f>(0.6*T847+0.6*V847)*$R$803/2</f>
        <v>0</v>
      </c>
      <c r="Z847">
        <f>IF(S847=0,0,$AD$803*$AP$789)</f>
        <v>0</v>
      </c>
      <c r="AA847">
        <f>IFERROR(Z847/$R$803,0)</f>
        <v>0</v>
      </c>
      <c r="AB847">
        <f>Z847*($F$21+IF($F$21=0,0,($C$14+$C$15+IF($C$13="single",1.5,3)+3)/12))</f>
        <v>0</v>
      </c>
      <c r="AC847">
        <f>AB847-W847</f>
        <v>0</v>
      </c>
      <c r="AD847" cm="1">
        <f t="array" ref="AD847">IFERROR(IF(AC847&lt;0,0,AC847/($R$803-INDEX(hd_off,MATCH(AQ847,hd_mark,0),0)/12)),0)</f>
        <v>0</v>
      </c>
      <c r="AE847">
        <f>IF(S847=0,0,$AD$803*$AM$789)</f>
        <v>0</v>
      </c>
      <c r="AF847">
        <f>IFERROR(AE847/$R$803,0)</f>
        <v>0</v>
      </c>
      <c r="AG847">
        <f>AE847*($F$21+IF($F$21=0,0,($C$14+$C$15+IF($C$13="single",1.5,3)+3)/12))</f>
        <v>0</v>
      </c>
      <c r="AH847">
        <f>AG847-X847</f>
        <v>0</v>
      </c>
      <c r="AI847" cm="1">
        <f t="array" ref="AI847">IFERROR(IF(AH847&lt;0,0,AH847/($R$803-INDEX(hd_off,MATCH(AQ847,hd_mark,0),0)/12)),0)</f>
        <v>0</v>
      </c>
      <c r="AJ847">
        <f>MAX($F$21,$Y$803)/$Q$820</f>
        <v>0.30172413793103448</v>
      </c>
      <c r="AK847">
        <f>IF(AJ847=0,0,IF(AJ847&gt;2,1.25-0.125*AJ847,1))</f>
        <v>1</v>
      </c>
      <c r="AL847" cm="1">
        <f t="array" ref="AL847">IFERROR(INDEX(sheath_ecap_asd,MATCH(AP847,sheath_mark,0),0)*AK847,0)</f>
        <v>0</v>
      </c>
      <c r="AM847" cm="1">
        <f t="array" ref="AM847">IFERROR(INDEX(sheath_wcap_asd,MATCH(AP847,sheath_mark,0),0)*AK847,0)</f>
        <v>0</v>
      </c>
      <c r="AN847" cm="1">
        <f t="array" ref="AN847">IFERROR(INDEX(hd_cap,MATCH(AQ847,hd_mark,0),0),0)</f>
        <v>0</v>
      </c>
      <c r="AP847" s="19"/>
      <c r="AQ847" s="19"/>
      <c r="AR847" s="100"/>
      <c r="AS847" s="93"/>
      <c r="AT847" s="110" t="str">
        <f>$AT$803</f>
        <v>1.06</v>
      </c>
      <c r="AU847" t="str">
        <f>$Q$789</f>
        <v>L2</v>
      </c>
      <c r="AV847">
        <f>$E$21</f>
        <v>10.6875</v>
      </c>
      <c r="AW847" cm="1">
        <f t="array" ref="AW847">IFERROR(IF(AV847=0,0,(INDEX($C$33:$C$38,MATCH($AZ$803,$B$33:$B$38,0),0)*(AV851+$BA$803)+$AW$803*COUNTIF(AV847:AV850,"&gt;0")*$C$32+$AY$803*$C$31)*$AU$803),0)</f>
        <v>0</v>
      </c>
      <c r="AX847">
        <f>IF(AV847=0,0,-(COUNTIF(AV847:AV850,"&gt;0")*$AW$803*$C$32+$AY$803*$C$31)*$H$27*$AU$803)</f>
        <v>0</v>
      </c>
      <c r="AY847">
        <f>IF(AV847=0,0,$AY$803*$H$26*$AU$803)</f>
        <v>0</v>
      </c>
      <c r="AZ847">
        <f>(0.6*AW847+0.7*AX847)*$AU$803/2</f>
        <v>0</v>
      </c>
      <c r="BA847">
        <f>(0.6*AW847+0.6*AY847)*$AU$803/2</f>
        <v>0</v>
      </c>
      <c r="BC847">
        <f>IF(AV847=0,0,$BG$803*$AP$789)</f>
        <v>0</v>
      </c>
      <c r="BD847">
        <f>IFERROR(BC847/$AU$803,0)</f>
        <v>0</v>
      </c>
      <c r="BE847">
        <f>BC847*($F$21+IF($F$21=0,0,($C$14+$C$15+IF($C$13="single",1.5,3)+3)/12))</f>
        <v>0</v>
      </c>
      <c r="BF847">
        <f>BE847-AZ847</f>
        <v>0</v>
      </c>
      <c r="BG847" cm="1">
        <f t="array" ref="BG847">IFERROR(IF(BF847&lt;0,0,BF847/($AU$803-INDEX(hd_off,MATCH(BT847,hd_mark,0),0)/12)),0)</f>
        <v>0</v>
      </c>
      <c r="BH847">
        <f>IF(AV847=0,0,$BG$803*$AM$789)</f>
        <v>0</v>
      </c>
      <c r="BI847">
        <f>IFERROR(BH847/$AU$803,0)</f>
        <v>0</v>
      </c>
      <c r="BJ847">
        <f>BH847*($F$21+IF($F$21=0,0,($C$14+$C$15+IF($C$13="single",1.5,3)+3)/12))</f>
        <v>0</v>
      </c>
      <c r="BK847">
        <f>BJ847-BA847</f>
        <v>0</v>
      </c>
      <c r="BL847" cm="1">
        <f t="array" ref="BL847">IFERROR(IF(BK847&lt;0,0,BK847/($AU$803-INDEX(hd_off,MATCH(BT847,hd_mark,0),0)/12)),0)</f>
        <v>0</v>
      </c>
      <c r="BM847">
        <f>MAX($F$21,$BB$803)/$Q$820</f>
        <v>0.30172413793103448</v>
      </c>
      <c r="BN847">
        <f>IF(BM847=0,0,IF(BM847&gt;2,1.25-0.125*BM847,1))</f>
        <v>1</v>
      </c>
      <c r="BO847" cm="1">
        <f t="array" ref="BO847">IFERROR(INDEX(sheath_ecap_asd,MATCH(BS847,sheath_mark,0),0)*BN847,0)</f>
        <v>0</v>
      </c>
      <c r="BP847" cm="1">
        <f t="array" ref="BP847">IFERROR(INDEX(sheath_wcap_asd,MATCH(BS847,sheath_mark,0),0)*BN847,0)</f>
        <v>0</v>
      </c>
      <c r="BQ847" cm="1">
        <f t="array" ref="BQ847">IFERROR(INDEX(hd_cap,MATCH(BT847,hd_mark,0),0),0)</f>
        <v>0</v>
      </c>
      <c r="BS847" s="19"/>
      <c r="BT847" s="19"/>
      <c r="BU847" s="100"/>
    </row>
    <row r="848" x14ac:dyDescent="0.25">
      <c r="P848" s="93"/>
      <c r="Q848" s="109"/>
      <c r="R848" t="str">
        <f>$Q$790</f>
        <v>L3</v>
      </c>
      <c r="S848">
        <f>$E$22</f>
        <v>21.375</v>
      </c>
      <c r="T848" cm="1">
        <f t="array" ref="T848">IFERROR(IF(S848=0,0,(INDEX($C$33:$C$38,MATCH($W$803,$B$33:$B$38,0),0)*(S851+$X$803)+$T$803*COUNTIF(S848:S850,"&gt;0")*$C$32+$V$803*$C$31)*$R$803),0)</f>
        <v>0</v>
      </c>
      <c r="U848">
        <f>IF(S848=0,0,-(COUNTIF(S848:S850,"&gt;0")*$T$803*$C$32+$V$803*$C$31)*$H$27*$R$803)</f>
        <v>0</v>
      </c>
      <c r="V848">
        <f>IF(S848=0,0,$V$803*$H$26*$R$803)</f>
        <v>0</v>
      </c>
      <c r="W848">
        <f>(0.6*T848+0.7*U848)*$R$803/2</f>
        <v>0</v>
      </c>
      <c r="X848">
        <f>T848*$R$803/2</f>
        <v>0</v>
      </c>
      <c r="Z848">
        <f>IF(S848=0,0,$AD$803*$AP$790)</f>
        <v>0</v>
      </c>
      <c r="AA848">
        <f>IFERROR(Z848/$R$803,0)</f>
        <v>0</v>
      </c>
      <c r="AB848">
        <f>Z848*($F$22+IF($F$22=0,0,($C$14+$C$15+IF($C$13="single",1.5,3)+3)/12))</f>
        <v>0</v>
      </c>
      <c r="AC848">
        <f>AB848-W848</f>
        <v>0</v>
      </c>
      <c r="AD848" cm="1">
        <f t="array" ref="AD848">IFERROR(IF(AC848&lt;0,0,AC848/($R$803-INDEX(hd_off,MATCH(AQ848,hd_mark,0),0)/12)),0)</f>
        <v>0</v>
      </c>
      <c r="AE848">
        <f>IF(S848=0,0,$AD$803*$AM$790)</f>
        <v>0</v>
      </c>
      <c r="AF848">
        <f>IFERROR(AE848/$R$803,0)</f>
        <v>0</v>
      </c>
      <c r="AG848">
        <f>AE848*($F$22+IF($F$22=0,0,($C$14+$C$15+IF($C$13="single",1.5,3)+3)/12))</f>
        <v>0</v>
      </c>
      <c r="AH848">
        <f>AG848-X848</f>
        <v>0</v>
      </c>
      <c r="AI848" cm="1">
        <f t="array" ref="AI848">IFERROR(IF(AH848&lt;0,0,AH848/($R$803-INDEX(hd_off,MATCH(AQ848,hd_mark,0),0)/12)),0)</f>
        <v>0</v>
      </c>
      <c r="AJ848">
        <f>MAX($F$22,$Z$803)/$Q$820</f>
        <v>0.30172413793103448</v>
      </c>
      <c r="AK848">
        <f t="shared" ref="AK848:AK851" si="530">IF(AJ848=0,0,IF(AJ848&gt;2,1.25-0.125*AJ848,1))</f>
        <v>1</v>
      </c>
      <c r="AL848" cm="1">
        <f t="array" ref="AL848">IFERROR(INDEX(sheath_ecap_asd,MATCH(AP848,sheath_mark,0),0)*AK848,0)</f>
        <v>0</v>
      </c>
      <c r="AM848" cm="1">
        <f t="array" ref="AM848">IFERROR(INDEX(sheath_wcap_asd,MATCH(AP848,sheath_mark,0),0)*AK848,0)</f>
        <v>0</v>
      </c>
      <c r="AN848" cm="1">
        <f t="array" ref="AN848">IFERROR(INDEX(hd_cap,MATCH(AQ848,hd_mark,0),0),0)</f>
        <v>0</v>
      </c>
      <c r="AP848" s="19"/>
      <c r="AQ848" s="19"/>
      <c r="AR848" s="100"/>
      <c r="AS848" s="93"/>
      <c r="AT848" s="109"/>
      <c r="AU848" t="str">
        <f>$Q$790</f>
        <v>L3</v>
      </c>
      <c r="AV848">
        <f>$E$22</f>
        <v>21.375</v>
      </c>
      <c r="AW848" cm="1">
        <f t="array" ref="AW848">IFERROR(IF(AV848=0,0,(INDEX($C$33:$C$38,MATCH($AZ$803,$B$33:$B$38,0),0)*(AV851+$BA$803)+$AW$803*COUNTIF(AV848:AV850,"&gt;0")*$C$32+$AY$803*$C$31)*$AU$803),0)</f>
        <v>0</v>
      </c>
      <c r="AX848">
        <f>IF(AV848=0,0,-(COUNTIF(AV848:AV850,"&gt;0")*$AW$803*$C$32+$AY$803*$C$31)*$H$27*$AU$803)</f>
        <v>0</v>
      </c>
      <c r="AY848">
        <f>IF(AV848=0,0,$AY$803*$H$26*$AU$803)</f>
        <v>0</v>
      </c>
      <c r="AZ848">
        <f>(0.6*AW848+0.7*AX848)*$AU$803/2</f>
        <v>0</v>
      </c>
      <c r="BA848">
        <f>AW848*$AU$803/2</f>
        <v>0</v>
      </c>
      <c r="BC848">
        <f>IF(AV848=0,0,$BG$803*$AP$790)</f>
        <v>0</v>
      </c>
      <c r="BD848">
        <f>IFERROR(BC848/$AU$803,0)</f>
        <v>0</v>
      </c>
      <c r="BE848">
        <f>BC848*($F$22+IF($F$22=0,0,($C$14+$C$15+IF($C$13="single",1.5,3)+3)/12))</f>
        <v>0</v>
      </c>
      <c r="BF848">
        <f>BE848-AZ848</f>
        <v>0</v>
      </c>
      <c r="BG848" cm="1">
        <f t="array" ref="BG848">IFERROR(IF(BF848&lt;0,0,BF848/($AU$803-INDEX(hd_off,MATCH(BT848,hd_mark,0),0)/12)),0)</f>
        <v>0</v>
      </c>
      <c r="BH848">
        <f>IF(AV848=0,0,$BG$803*$AM$790)</f>
        <v>0</v>
      </c>
      <c r="BI848">
        <f>IFERROR(BH848/$AU$803,0)</f>
        <v>0</v>
      </c>
      <c r="BJ848">
        <f>BH848*($F$22+IF($F$22=0,0,($C$14+$C$15+IF($C$13="single",1.5,3)+3)/12))</f>
        <v>0</v>
      </c>
      <c r="BK848">
        <f>BJ848-BA848</f>
        <v>0</v>
      </c>
      <c r="BL848" cm="1">
        <f t="array" ref="BL848">IFERROR(IF(BK848&lt;0,0,BK848/($AU$803-INDEX(hd_off,MATCH(BT848,hd_mark,0),0)/12)),0)</f>
        <v>0</v>
      </c>
      <c r="BM848">
        <f>MAX($F$22,$BC$803)/$Q$820</f>
        <v>0.30172413793103448</v>
      </c>
      <c r="BN848">
        <f t="shared" ref="BN848:BN851" si="531">IF(BM848=0,0,IF(BM848&gt;2,1.25-0.125*BM848,1))</f>
        <v>1</v>
      </c>
      <c r="BO848" cm="1">
        <f t="array" ref="BO848">IFERROR(INDEX(sheath_ecap_asd,MATCH(BS848,sheath_mark,0),0)*BN848,0)</f>
        <v>0</v>
      </c>
      <c r="BP848" cm="1">
        <f t="array" ref="BP848">IFERROR(INDEX(sheath_wcap_asd,MATCH(BS848,sheath_mark,0),0)*BN848,0)</f>
        <v>0</v>
      </c>
      <c r="BQ848" cm="1">
        <f t="array" ref="BQ848">IFERROR(INDEX(hd_cap,MATCH(BT848,hd_mark,0),0),0)</f>
        <v>0</v>
      </c>
      <c r="BS848" s="19"/>
      <c r="BT848" s="19"/>
      <c r="BU848" s="100"/>
    </row>
    <row r="849" x14ac:dyDescent="0.25">
      <c r="P849" s="93"/>
      <c r="Q849" s="109" t="s">
        <v>491</v>
      </c>
      <c r="R849" t="str">
        <f>$Q$791</f>
        <v>L4</v>
      </c>
      <c r="S849">
        <f>$E$23</f>
        <v>0</v>
      </c>
      <c r="T849" cm="1">
        <f t="array" ref="T849">IFERROR(IF(S849=0,0,(INDEX($C$33:$C$38,MATCH($W$803,$B$33:$B$38,0),0)*(S851+$X$803)+$T$803*COUNTIF(S849:S850,"&gt;0")*$C$32+$V$803*$C$31)*$R$803),0)</f>
        <v>0</v>
      </c>
      <c r="U849">
        <f>IF(S849=0,0,-(COUNTIF(S849:S850,"&gt;0")*$T$803*$C$32+$V$803*$C$31)*$H$27*$R$803)</f>
        <v>0</v>
      </c>
      <c r="V849">
        <f>IF(S849=0,0,$V$803*$H$26*$R$803)</f>
        <v>0</v>
      </c>
      <c r="W849">
        <f>(0.6*T849+0.7*U849)*$R$803/2</f>
        <v>0</v>
      </c>
      <c r="X849">
        <f>T849*$R$803/2</f>
        <v>0</v>
      </c>
      <c r="Z849">
        <f>IF(S849=0,0,$AD$803*$AP$791)</f>
        <v>0</v>
      </c>
      <c r="AA849">
        <f>IFERROR(Z849/$R$803,0)</f>
        <v>0</v>
      </c>
      <c r="AB849">
        <f>Z849*($F$23+IF($F$23=0,0,($C$14+$C$15+IF($C$13="single",1.5,3)+3)/12))</f>
        <v>0</v>
      </c>
      <c r="AC849">
        <f>AB849-W849</f>
        <v>0</v>
      </c>
      <c r="AD849" cm="1">
        <f t="array" ref="AD849">IFERROR(IF(AC849&lt;0,0,AC849/($R$803-INDEX(hd_off,MATCH(AQ849,hd_mark,0),0)/12)),0)</f>
        <v>0</v>
      </c>
      <c r="AE849">
        <f>IF(S849=0,0,$AD$803*$AM$791)</f>
        <v>0</v>
      </c>
      <c r="AF849">
        <f>IFERROR(AE849/$R$803,0)</f>
        <v>0</v>
      </c>
      <c r="AG849">
        <f>AE849*($F$23+IF($F$23=0,0,($C$14+$C$15+IF($C$13="single",1.5,3)+3)/12))</f>
        <v>0</v>
      </c>
      <c r="AH849">
        <f>AG849-X849</f>
        <v>0</v>
      </c>
      <c r="AI849" cm="1">
        <f t="array" ref="AI849">IFERROR(IF(AH849&lt;0,0,AH849/($R$803-INDEX(hd_off,MATCH(AQ849,hd_mark,0),0)/12)),0)</f>
        <v>0</v>
      </c>
      <c r="AJ849">
        <f>MAX($F$23,$AA$803)/$Q$820</f>
        <v>0</v>
      </c>
      <c r="AK849">
        <f t="shared" si="530"/>
        <v>0</v>
      </c>
      <c r="AL849" cm="1">
        <f t="array" ref="AL849">IFERROR(INDEX(sheath_ecap_asd,MATCH(AP849,sheath_mark,0),0)*AK849,0)</f>
        <v>0</v>
      </c>
      <c r="AM849" cm="1">
        <f t="array" ref="AM849">IFERROR(INDEX(sheath_wcap_asd,MATCH(AP849,sheath_mark,0),0)*AK849,0)</f>
        <v>0</v>
      </c>
      <c r="AN849" cm="1">
        <f t="array" ref="AN849">IFERROR(INDEX(hd_cap,MATCH(AQ849,hd_mark,0),0),0)</f>
        <v>0</v>
      </c>
      <c r="AP849" s="19"/>
      <c r="AQ849" s="19"/>
      <c r="AR849" s="100"/>
      <c r="AS849" s="93"/>
      <c r="AT849" s="109" t="s">
        <v>491</v>
      </c>
      <c r="AU849" t="str">
        <f>$Q$791</f>
        <v>L4</v>
      </c>
      <c r="AV849">
        <f>$E$23</f>
        <v>0</v>
      </c>
      <c r="AW849" cm="1">
        <f t="array" ref="AW849">IFERROR(IF(AV849=0,0,(INDEX($C$33:$C$38,MATCH($AZ$803,$B$33:$B$38,0),0)*(AV851+$BA$803)+$AW$803*COUNTIF(AV849:AV850,"&gt;0")*$C$32+$AY$803*$C$31)*$AU$803),0)</f>
        <v>0</v>
      </c>
      <c r="AX849">
        <f>IF(AV849=0,0,-(COUNTIF(AV849:AV850,"&gt;0")*$AW$803*$C$32+$AY$803*$C$31)*$H$27*$AU$803)</f>
        <v>0</v>
      </c>
      <c r="AY849">
        <f>IF(AV849=0,0,$AY$803*$H$26*$AU$803)</f>
        <v>0</v>
      </c>
      <c r="AZ849">
        <f>(0.6*AW849+0.7*AX849)*$AU$803/2</f>
        <v>0</v>
      </c>
      <c r="BA849">
        <f>AW849*$AU$803/2</f>
        <v>0</v>
      </c>
      <c r="BC849">
        <f>IF(AV849=0,0,$BG$803*$AP$791)</f>
        <v>0</v>
      </c>
      <c r="BD849">
        <f>IFERROR(BC849/$AU$803,0)</f>
        <v>0</v>
      </c>
      <c r="BE849">
        <f>BC849*($F$23+IF($F$23=0,0,($C$14+$C$15+IF($C$13="single",1.5,3)+3)/12))</f>
        <v>0</v>
      </c>
      <c r="BF849">
        <f>BE849-AZ849</f>
        <v>0</v>
      </c>
      <c r="BG849" cm="1">
        <f t="array" ref="BG849">IFERROR(IF(BF849&lt;0,0,BF849/($AU$803-INDEX(hd_off,MATCH(BT849,hd_mark,0),0)/12)),0)</f>
        <v>0</v>
      </c>
      <c r="BH849">
        <f>IF(AV849=0,0,$BG$803*$AM$791)</f>
        <v>0</v>
      </c>
      <c r="BI849">
        <f>IFERROR(BH849/$AU$803,0)</f>
        <v>0</v>
      </c>
      <c r="BJ849">
        <f>BH849*($F$23+IF($F$23=0,0,($C$14+$C$15+IF($C$13="single",1.5,3)+3)/12))</f>
        <v>0</v>
      </c>
      <c r="BK849">
        <f>BJ849-BA849</f>
        <v>0</v>
      </c>
      <c r="BL849" cm="1">
        <f t="array" ref="BL849">IFERROR(IF(BK849&lt;0,0,BK849/($AU$803-INDEX(hd_off,MATCH(BT849,hd_mark,0),0)/12)),0)</f>
        <v>0</v>
      </c>
      <c r="BM849">
        <f>MAX($F$23,$BD$803)/$Q$820</f>
        <v>0</v>
      </c>
      <c r="BN849">
        <f t="shared" si="531"/>
        <v>0</v>
      </c>
      <c r="BO849" cm="1">
        <f t="array" ref="BO849">IFERROR(INDEX(sheath_ecap_asd,MATCH(BS849,sheath_mark,0),0)*BN849,0)</f>
        <v>0</v>
      </c>
      <c r="BP849" cm="1">
        <f t="array" ref="BP849">IFERROR(INDEX(sheath_wcap_asd,MATCH(BS849,sheath_mark,0),0)*BN849,0)</f>
        <v>0</v>
      </c>
      <c r="BQ849" cm="1">
        <f t="array" ref="BQ849">IFERROR(INDEX(hd_cap,MATCH(BT849,hd_mark,0),0),0)</f>
        <v>0</v>
      </c>
      <c r="BS849" s="19"/>
      <c r="BT849" s="19"/>
      <c r="BU849" s="100"/>
    </row>
    <row r="850" x14ac:dyDescent="0.25">
      <c r="P850" s="93"/>
      <c r="Q850" s="111">
        <f>$R$803</f>
        <v>0</v>
      </c>
      <c r="R850" t="str">
        <f>$Q$792</f>
        <v>L5</v>
      </c>
      <c r="S850">
        <f>$E$24</f>
        <v>0</v>
      </c>
      <c r="T850" cm="1">
        <f t="array" ref="T850">IFERROR(IF(S850=0,0,(INDEX($C$33:$C$38,MATCH($W$803,$B$33:$B$38,0),0)*(S851+$X$803)+$T$803*COUNTIF(S850:S850,"&gt;0")*$C$32+$V$803*$C$31)*$R$803),0)</f>
        <v>0</v>
      </c>
      <c r="U850">
        <f>IF(S850=0,0,-(COUNTIF(S850:S850,"&gt;0")*$T$803*$C$32+$V$803*$C$31)*$H$27*$R$803)</f>
        <v>0</v>
      </c>
      <c r="V850">
        <f>IF(S850=0,0,$V$803*$H$26*$R$803)</f>
        <v>0</v>
      </c>
      <c r="W850">
        <f>(0.6*T850+0.7*U850)*$R$803/2</f>
        <v>0</v>
      </c>
      <c r="X850">
        <f>T850*$R$803/2</f>
        <v>0</v>
      </c>
      <c r="Z850">
        <f>IF(S850=0,0,$AD$803*$AP$792)</f>
        <v>0</v>
      </c>
      <c r="AA850">
        <f>IFERROR(Z850/$R$803,0)</f>
        <v>0</v>
      </c>
      <c r="AB850">
        <f>Z850*($F$24+IF($F$24=0,0,($C$14+$C$15+IF($C$13="single",1.5,3)+3)/12))</f>
        <v>0</v>
      </c>
      <c r="AC850">
        <f>AB850-W850</f>
        <v>0</v>
      </c>
      <c r="AD850" cm="1">
        <f t="array" ref="AD850">IFERROR(IF(AC850&lt;0,0,AC850/($R$803-INDEX(hd_off,MATCH(AQ850,hd_mark,0),0)/12)),0)</f>
        <v>0</v>
      </c>
      <c r="AE850">
        <f>IF(S850=0,0,$AD$803*$AM$792)</f>
        <v>0</v>
      </c>
      <c r="AF850">
        <f>IFERROR(AE850/$R$803,0)</f>
        <v>0</v>
      </c>
      <c r="AG850">
        <f>AE850*($F$24+IF($F$24=0,0,($C$14+$C$15+IF($C$13="single",1.5,3)+3)/12))</f>
        <v>0</v>
      </c>
      <c r="AH850">
        <f>AG850-X850</f>
        <v>0</v>
      </c>
      <c r="AI850" cm="1">
        <f t="array" ref="AI850">IFERROR(IF(AH850&lt;0,0,AH850/($R$803-INDEX(hd_off,MATCH(AQ850,hd_mark,0),0)/12)),0)</f>
        <v>0</v>
      </c>
      <c r="AJ850">
        <f>MAX($F$24,$AB$803)/$Q$820</f>
        <v>0</v>
      </c>
      <c r="AK850">
        <f t="shared" si="530"/>
        <v>0</v>
      </c>
      <c r="AL850" cm="1">
        <f t="array" ref="AL850">IFERROR(INDEX(sheath_ecap_asd,MATCH(AP850,sheath_mark,0),0)*AK850,0)</f>
        <v>0</v>
      </c>
      <c r="AM850" cm="1">
        <f t="array" ref="AM850">IFERROR(INDEX(sheath_wcap_asd,MATCH(AP850,sheath_mark,0),0)*AK850,0)</f>
        <v>0</v>
      </c>
      <c r="AN850" cm="1">
        <f t="array" ref="AN850">IFERROR(INDEX(hd_cap,MATCH(AQ850,hd_mark,0),0),0)</f>
        <v>0</v>
      </c>
      <c r="AP850" s="19"/>
      <c r="AQ850" s="19"/>
      <c r="AR850" s="100"/>
      <c r="AS850" s="93"/>
      <c r="AT850" s="111">
        <f>$R$803</f>
        <v>0</v>
      </c>
      <c r="AU850" t="str">
        <f>$Q$792</f>
        <v>L5</v>
      </c>
      <c r="AV850">
        <f>$E$24</f>
        <v>0</v>
      </c>
      <c r="AW850" cm="1">
        <f t="array" ref="AW850">IFERROR(IF(AV850=0,0,(INDEX($C$33:$C$38,MATCH($AZ$803,$B$33:$B$38,0),0)*(AV851+$BA$803)+$AW$803*COUNTIF(AV850:AV850,"&gt;0")*$C$32+$AY$803*$C$31)*$AU$803),0)</f>
        <v>0</v>
      </c>
      <c r="AX850">
        <f>IF(AV850=0,0,-(COUNTIF(AV850:AV850,"&gt;0")*$AW$803*$C$32+$AY$803*$C$31)*$H$27*$AU$803)</f>
        <v>0</v>
      </c>
      <c r="AY850">
        <f>IF(AV850=0,0,$AY$803*$H$26*$AU$803)</f>
        <v>0</v>
      </c>
      <c r="AZ850">
        <f>(0.6*AW850+0.7*AX850)*$AU$803/2</f>
        <v>0</v>
      </c>
      <c r="BA850">
        <f>AW850*$AU$803/2</f>
        <v>0</v>
      </c>
      <c r="BC850">
        <f>IF(AV850=0,0,$BG$803*$AP$792)</f>
        <v>0</v>
      </c>
      <c r="BD850">
        <f>IFERROR(BC850/$AU$803,0)</f>
        <v>0</v>
      </c>
      <c r="BE850">
        <f>BC850*($F$24+IF($F$24=0,0,($C$14+$C$15+IF($C$13="single",1.5,3)+3)/12))</f>
        <v>0</v>
      </c>
      <c r="BF850">
        <f>BE850-AZ850</f>
        <v>0</v>
      </c>
      <c r="BG850" cm="1">
        <f t="array" ref="BG850">IFERROR(IF(BF850&lt;0,0,BF850/($AU$803-INDEX(hd_off,MATCH(BT850,hd_mark,0),0)/12)),0)</f>
        <v>0</v>
      </c>
      <c r="BH850">
        <f>IF(AV850=0,0,$BG$803*$AM$792)</f>
        <v>0</v>
      </c>
      <c r="BI850">
        <f>IFERROR(BH850/$AU$803,0)</f>
        <v>0</v>
      </c>
      <c r="BJ850">
        <f>BH850*($F$24+IF($F$24=0,0,($C$14+$C$15+IF($C$13="single",1.5,3)+3)/12))</f>
        <v>0</v>
      </c>
      <c r="BK850">
        <f>BJ850-BA850</f>
        <v>0</v>
      </c>
      <c r="BL850" cm="1">
        <f t="array" ref="BL850">IFERROR(IF(BK850&lt;0,0,BK850/($AU$803-INDEX(hd_off,MATCH(BT850,hd_mark,0),0)/12)),0)</f>
        <v>0</v>
      </c>
      <c r="BM850">
        <f>MAX($F$24,$BE$803)/$Q$820</f>
        <v>0</v>
      </c>
      <c r="BN850">
        <f t="shared" si="531"/>
        <v>0</v>
      </c>
      <c r="BO850" cm="1">
        <f t="array" ref="BO850">IFERROR(INDEX(sheath_ecap_asd,MATCH(BS850,sheath_mark,0),0)*BN850,0)</f>
        <v>0</v>
      </c>
      <c r="BP850" cm="1">
        <f t="array" ref="BP850">IFERROR(INDEX(sheath_wcap_asd,MATCH(BS850,sheath_mark,0),0)*BN850,0)</f>
        <v>0</v>
      </c>
      <c r="BQ850" cm="1">
        <f t="array" ref="BQ850">IFERROR(INDEX(hd_cap,MATCH(BT850,hd_mark,0),0),0)</f>
        <v>0</v>
      </c>
      <c r="BS850" s="19"/>
      <c r="BT850" s="19"/>
      <c r="BU850" s="100"/>
    </row>
    <row r="851" x14ac:dyDescent="0.25">
      <c r="P851" s="93"/>
      <c r="Q851" s="109"/>
      <c r="R851" t="str">
        <f>$Q$793</f>
        <v>Roof</v>
      </c>
      <c r="S851">
        <f>$E$25</f>
        <v>33.171875</v>
      </c>
      <c r="T851" cm="1">
        <f t="array" ref="T851">IFERROR(IF(S851=0,0,(INDEX($C$33:$C$38,MATCH($W$803,$B$33:$B$38,0),0)*(S851+$X$803)+$V$803*$C$31)*$R$803),0)</f>
        <v>0</v>
      </c>
      <c r="U851">
        <f>IF(S851=0,0,-$V$803*$C$31*$H$27*$R$803)</f>
        <v>0</v>
      </c>
      <c r="V851">
        <f>IF(S851=0,0,$V$803*$H$26*$R$803)</f>
        <v>0</v>
      </c>
      <c r="W851">
        <f>(0.6*T851+0.7*U851)*$R$803/2</f>
        <v>0</v>
      </c>
      <c r="X851">
        <f>T851*$R$803/2</f>
        <v>0</v>
      </c>
      <c r="Z851">
        <f>IF(S851=0,0,$AD$803*$AP$793)</f>
        <v>0</v>
      </c>
      <c r="AA851">
        <f>IFERROR(Z851/$R$803,0)</f>
        <v>0</v>
      </c>
      <c r="AB851">
        <f>Z851*($F$25+($C$16+$C$17+IF($C$13="single",1.5,3)+3)/12)</f>
        <v>0</v>
      </c>
      <c r="AC851">
        <f>AB851-W851</f>
        <v>0</v>
      </c>
      <c r="AD851" cm="1">
        <f t="array" ref="AD851">IFERROR(IF(AC851&lt;0,0,AC851/($R$803-INDEX(hd_off,MATCH(AQ851,hd_mark,0),0)/12)),0)</f>
        <v>0</v>
      </c>
      <c r="AE851">
        <f>IF(S851=0,0,$AD$803*$AM$793)</f>
        <v>0</v>
      </c>
      <c r="AF851">
        <f>IFERROR(AE851/$R$803,0)</f>
        <v>0</v>
      </c>
      <c r="AG851">
        <f>AE851*($F$25+($C$16+$C$17+IF($C$13="single",1.5,3)+3)/12)</f>
        <v>0</v>
      </c>
      <c r="AH851">
        <f>AG851-X851</f>
        <v>0</v>
      </c>
      <c r="AI851" cm="1">
        <f t="array" ref="AI851">IFERROR(IF(AH851&lt;0,0,AH851/($R$803-INDEX(hd_off,MATCH(AQ851,hd_mark,0),0)/12)),0)</f>
        <v>0</v>
      </c>
      <c r="AJ851">
        <f>MAX($F$25,$AC$803)/$Q$820</f>
        <v>0.29920977011494249</v>
      </c>
      <c r="AK851">
        <f t="shared" si="530"/>
        <v>1</v>
      </c>
      <c r="AL851" cm="1">
        <f t="array" ref="AL851">IFERROR(INDEX(sheath_ecap_asd,MATCH(AP851,sheath_mark,0),0)*AK851,0)</f>
        <v>0</v>
      </c>
      <c r="AM851" cm="1">
        <f t="array" ref="AM851">IFERROR(INDEX(sheath_wcap_asd,MATCH(AP851,sheath_mark,0),0)*AK851,0)</f>
        <v>0</v>
      </c>
      <c r="AN851" cm="1">
        <f t="array" ref="AN851">IFERROR(INDEX(hd_cap,MATCH(AQ851,hd_mark,0),0),0)</f>
        <v>0</v>
      </c>
      <c r="AP851" s="19"/>
      <c r="AQ851" s="19"/>
      <c r="AR851" s="100"/>
      <c r="AS851" s="93"/>
      <c r="AT851" s="109"/>
      <c r="AU851" t="str">
        <f>$Q$793</f>
        <v>Roof</v>
      </c>
      <c r="AV851">
        <f>$E$25</f>
        <v>33.171875</v>
      </c>
      <c r="AW851" cm="1">
        <f t="array" ref="AW851">IFERROR(IF(AV851=0,0,(INDEX($C$33:$C$38,MATCH($AZ$803,$B$33:$B$38,0),0)*(AV851+$BA$803)+$AY$803*$C$31)*$AU$803),0)</f>
        <v>0</v>
      </c>
      <c r="AX851">
        <f>IF(AV851=0,0,-$AY$803*$C$31*$H$27*$AU$803)</f>
        <v>0</v>
      </c>
      <c r="AY851">
        <f>IF(AV851=0,0,$AY$803*$H$26*$AU$803)</f>
        <v>0</v>
      </c>
      <c r="AZ851">
        <f>(0.6*AW851+0.7*AX851)*$AU$803/2</f>
        <v>0</v>
      </c>
      <c r="BA851">
        <f>AW851*$AU$803/2</f>
        <v>0</v>
      </c>
      <c r="BC851">
        <f>IF(AV851=0,0,$BG$803*$AP$793)</f>
        <v>0</v>
      </c>
      <c r="BD851">
        <f>IFERROR(BC851/$AU$803,0)</f>
        <v>0</v>
      </c>
      <c r="BE851">
        <f>BC851*($F$25+($C$16+$C$17+IF($C$13="single",1.5,3)+3)/12)</f>
        <v>0</v>
      </c>
      <c r="BF851">
        <f>BE851-AZ851</f>
        <v>0</v>
      </c>
      <c r="BG851" cm="1">
        <f t="array" ref="BG851">IFERROR(IF(BF851&lt;0,0,BF851/($AU$803-INDEX(hd_off,MATCH(BT851,hd_mark,0),0)/12)),0)</f>
        <v>0</v>
      </c>
      <c r="BH851">
        <f>IF(AV851=0,0,$BG$803*$AM$793)</f>
        <v>0</v>
      </c>
      <c r="BI851">
        <f>IFERROR(BH851/$AU$803,0)</f>
        <v>0</v>
      </c>
      <c r="BJ851">
        <f>BH851*($F$25+($C$16+$C$17+IF($C$13="single",1.5,3)+3)/12)</f>
        <v>0</v>
      </c>
      <c r="BK851">
        <f>BJ851-BA851</f>
        <v>0</v>
      </c>
      <c r="BL851" cm="1">
        <f t="array" ref="BL851">IFERROR(IF(BK851&lt;0,0,BK851/($AU$803-INDEX(hd_off,MATCH(BT851,hd_mark,0),0)/12)),0)</f>
        <v>0</v>
      </c>
      <c r="BM851">
        <f>MAX($F$25,$BF$803)/$Q$820</f>
        <v>0.29920977011494249</v>
      </c>
      <c r="BN851">
        <f t="shared" si="531"/>
        <v>1</v>
      </c>
      <c r="BO851" cm="1">
        <f t="array" ref="BO851">IFERROR(INDEX(sheath_ecap_asd,MATCH(BS851,sheath_mark,0),0)*BN851,0)</f>
        <v>0</v>
      </c>
      <c r="BP851" cm="1">
        <f t="array" ref="BP851">IFERROR(INDEX(sheath_wcap_asd,MATCH(BS851,sheath_mark,0),0)*BN851,0)</f>
        <v>0</v>
      </c>
      <c r="BQ851" cm="1">
        <f t="array" ref="BQ851">IFERROR(INDEX(hd_cap,MATCH(BT851,hd_mark,0),0),0)</f>
        <v>0</v>
      </c>
      <c r="BS851" s="19"/>
      <c r="BT851" s="19"/>
      <c r="BU851" s="100"/>
    </row>
    <row r="852" x14ac:dyDescent="0.25">
      <c r="P852" s="93"/>
      <c r="AR852" s="100"/>
      <c r="AS852" s="93"/>
      <c r="BU852" s="100"/>
    </row>
    <row r="853" x14ac:dyDescent="0.25">
      <c r="P853" s="93"/>
      <c r="Q853" s="110" t="str">
        <f>$Q$804</f>
        <v>A.07</v>
      </c>
      <c r="R853" t="str">
        <f>$Q$789</f>
        <v>L2</v>
      </c>
      <c r="S853">
        <f>$E$21</f>
        <v>10.6875</v>
      </c>
      <c r="T853" cm="1">
        <f t="array" ref="T853">IFERROR(IF(S853=0,0,(INDEX($C$33:$C$38,MATCH($W$804,$B$33:$B$38,0),0)*(S857+$X$804)+$T$804*COUNTIF(S853:S856,"&gt;0")*$C$32+$V$804*$C$31)*$R$804),0)</f>
        <v>0</v>
      </c>
      <c r="U853">
        <f>IF(S853=0,0,-(COUNTIF(S853:S856,"&gt;0")*$T$804*$C$32+$V$804*$C$31)*$H$27*$R$804)</f>
        <v>0</v>
      </c>
      <c r="V853">
        <f>IF(S853=0,0,$V$804*$H$26*$R$804)</f>
        <v>0</v>
      </c>
      <c r="W853">
        <f>(0.6*T853+0.7*U853)*$R$804/2</f>
        <v>0</v>
      </c>
      <c r="X853">
        <f>(0.6*T853+0.6*V853)*$R$804/2</f>
        <v>0</v>
      </c>
      <c r="Z853">
        <f>IF(S853=0,0,$AD$804*$AP$789)</f>
        <v>0</v>
      </c>
      <c r="AA853">
        <f>IFERROR(Z853/$R$804,0)</f>
        <v>0</v>
      </c>
      <c r="AB853">
        <f>Z853*($F$21+IF($F$21=0,0,($C$14+$C$15+IF($C$13="single",1.5,3)+3)/12))</f>
        <v>0</v>
      </c>
      <c r="AC853">
        <f>AB853-W853</f>
        <v>0</v>
      </c>
      <c r="AD853" cm="1">
        <f t="array" ref="AD853">IFERROR(IF(AC853&lt;0,0,AC853/($R$804-INDEX(hd_off,MATCH(AQ853,hd_mark,0),0)/12)),0)</f>
        <v>0</v>
      </c>
      <c r="AE853">
        <f>IF(S853=0,0,$AD$804*$AM$789)</f>
        <v>0</v>
      </c>
      <c r="AF853">
        <f>IFERROR(AE853/$R$804,0)</f>
        <v>0</v>
      </c>
      <c r="AG853">
        <f>AE853*($F$21+IF($F$21=0,0,($C$14+$C$15+IF($C$13="single",1.5,3)+3)/12))</f>
        <v>0</v>
      </c>
      <c r="AH853">
        <f>AG853-X853</f>
        <v>0</v>
      </c>
      <c r="AI853" cm="1">
        <f t="array" ref="AI853">IFERROR(IF(AH853&lt;0,0,AH853/($R$804-INDEX(hd_off,MATCH(AQ853,hd_mark,0),0)/12)),0)</f>
        <v>0</v>
      </c>
      <c r="AJ853">
        <f>MAX($F$21,$Y$804)/$Q$820</f>
        <v>0.30172413793103448</v>
      </c>
      <c r="AK853">
        <f>IF(AJ853=0,0,IF(AJ853&gt;2,1.25-0.125*AJ853,1))</f>
        <v>1</v>
      </c>
      <c r="AL853" cm="1">
        <f t="array" ref="AL853">IFERROR(INDEX(sheath_ecap_asd,MATCH(AP853,sheath_mark,0),0)*AK853,0)</f>
        <v>0</v>
      </c>
      <c r="AM853" cm="1">
        <f t="array" ref="AM853">IFERROR(INDEX(sheath_wcap_asd,MATCH(AP853,sheath_mark,0),0)*AK853,0)</f>
        <v>0</v>
      </c>
      <c r="AN853" cm="1">
        <f t="array" ref="AN853">IFERROR(INDEX(hd_cap,MATCH(AQ853,hd_mark,0),0),0)</f>
        <v>0</v>
      </c>
      <c r="AP853" s="19"/>
      <c r="AQ853" s="19"/>
      <c r="AR853" s="100"/>
      <c r="AS853" s="93"/>
      <c r="AT853" s="110" t="str">
        <f>$AT$804</f>
        <v>1.07</v>
      </c>
      <c r="AU853" t="str">
        <f>$Q$789</f>
        <v>L2</v>
      </c>
      <c r="AV853">
        <f>$E$21</f>
        <v>10.6875</v>
      </c>
      <c r="AW853" cm="1">
        <f t="array" ref="AW853">IFERROR(IF(AV853=0,0,(INDEX($C$33:$C$38,MATCH($AZ$804,$B$33:$B$38,0),0)*(AV857+$BA$804)+$AW$804*COUNTIF(AV853:AV856,"&gt;0")*$C$32+$AY$804*$C$31)*$AU$804),0)</f>
        <v>0</v>
      </c>
      <c r="AX853">
        <f>IF(AV853=0,0,-(COUNTIF(AV853:AV856,"&gt;0")*$AW$804*$C$32+$AY$804*$C$31)*$H$27*$AU$804)</f>
        <v>0</v>
      </c>
      <c r="AY853">
        <f>IF(AV853=0,0,$AY$804*$H$26*$AU$804)</f>
        <v>0</v>
      </c>
      <c r="AZ853">
        <f>(0.6*AW853+0.7*AX853)*$AU$804/2</f>
        <v>0</v>
      </c>
      <c r="BA853">
        <f>(0.6*AW853+0.6*AY853)*$AU$804/2</f>
        <v>0</v>
      </c>
      <c r="BC853">
        <f>IF(AV853=0,0,$BG$804*$AP$789)</f>
        <v>0</v>
      </c>
      <c r="BD853">
        <f>IFERROR(BC853/$AU$804,0)</f>
        <v>0</v>
      </c>
      <c r="BE853">
        <f>BC853*($F$21+IF($F$21=0,0,($C$14+$C$15+IF($C$13="single",1.5,3)+3)/12))</f>
        <v>0</v>
      </c>
      <c r="BF853">
        <f>BE853-AZ853</f>
        <v>0</v>
      </c>
      <c r="BG853" cm="1">
        <f t="array" ref="BG853">IFERROR(IF(BF853&lt;0,0,BF853/($AU$804-INDEX(hd_off,MATCH(BT853,hd_mark,0),0)/12)),0)</f>
        <v>0</v>
      </c>
      <c r="BH853">
        <f>IF(AV853=0,0,$BG$804*$AM$789)</f>
        <v>0</v>
      </c>
      <c r="BI853">
        <f>IFERROR(BH853/$AU$804,0)</f>
        <v>0</v>
      </c>
      <c r="BJ853">
        <f>BH853*($F$21+IF($F$21=0,0,($C$14+$C$15+IF($C$13="single",1.5,3)+3)/12))</f>
        <v>0</v>
      </c>
      <c r="BK853">
        <f>BJ853-BA853</f>
        <v>0</v>
      </c>
      <c r="BL853" cm="1">
        <f t="array" ref="BL853">IFERROR(IF(BK853&lt;0,0,BK853/($AU$804-INDEX(hd_off,MATCH(BT853,hd_mark,0),0)/12)),0)</f>
        <v>0</v>
      </c>
      <c r="BM853">
        <f>MAX($F$21,$BB$804)/$Q$820</f>
        <v>0.30172413793103448</v>
      </c>
      <c r="BN853">
        <f>IF(BM853=0,0,IF(BM853&gt;2,1.25-0.125*BM853,1))</f>
        <v>1</v>
      </c>
      <c r="BO853" cm="1">
        <f t="array" ref="BO853">IFERROR(INDEX(sheath_ecap_asd,MATCH(BS853,sheath_mark,0),0)*BN853,0)</f>
        <v>0</v>
      </c>
      <c r="BP853" cm="1">
        <f t="array" ref="BP853">IFERROR(INDEX(sheath_wcap_asd,MATCH(BS853,sheath_mark,0),0)*BN853,0)</f>
        <v>0</v>
      </c>
      <c r="BQ853" cm="1">
        <f t="array" ref="BQ853">IFERROR(INDEX(hd_cap,MATCH(BT853,hd_mark,0),0),0)</f>
        <v>0</v>
      </c>
      <c r="BS853" s="19"/>
      <c r="BT853" s="19"/>
      <c r="BU853" s="100"/>
    </row>
    <row r="854" x14ac:dyDescent="0.25">
      <c r="P854" s="93"/>
      <c r="Q854" s="109"/>
      <c r="R854" t="str">
        <f>$Q$790</f>
        <v>L3</v>
      </c>
      <c r="S854">
        <f>$E$22</f>
        <v>21.375</v>
      </c>
      <c r="T854" cm="1">
        <f t="array" ref="T854">IFERROR(IF(S854=0,0,(INDEX($C$33:$C$38,MATCH($W$804,$B$33:$B$38,0),0)*(S857+$X$804)+$T$804*COUNTIF(S854:S856,"&gt;0")*$C$32+$V$804*$C$31)*$R$804),0)</f>
        <v>0</v>
      </c>
      <c r="U854">
        <f>IF(S854=0,0,-(COUNTIF(S854:S856,"&gt;0")*$T$804*$C$32+$V$804*$C$31)*$H$27*$R$804)</f>
        <v>0</v>
      </c>
      <c r="V854">
        <f>IF(S854=0,0,$V$804*$H$26*$R$804)</f>
        <v>0</v>
      </c>
      <c r="W854">
        <f>(0.6*T854+0.7*U854)*$R$804/2</f>
        <v>0</v>
      </c>
      <c r="X854">
        <f>T854*$R$804/2</f>
        <v>0</v>
      </c>
      <c r="Z854">
        <f>IF(S854=0,0,$AD$804*$AP$790)</f>
        <v>0</v>
      </c>
      <c r="AA854">
        <f>IFERROR(Z854/$R$804,0)</f>
        <v>0</v>
      </c>
      <c r="AB854">
        <f>Z854*($F$22+IF($F$22=0,0,($C$14+$C$15+IF($C$13="single",1.5,3)+3)/12))</f>
        <v>0</v>
      </c>
      <c r="AC854">
        <f>AB854-W854</f>
        <v>0</v>
      </c>
      <c r="AD854" cm="1">
        <f t="array" ref="AD854">IFERROR(IF(AC854&lt;0,0,AC854/($R$804-INDEX(hd_off,MATCH(AQ854,hd_mark,0),0)/12)),0)</f>
        <v>0</v>
      </c>
      <c r="AE854">
        <f>IF(S854=0,0,$AD$804*$AM$790)</f>
        <v>0</v>
      </c>
      <c r="AF854">
        <f>IFERROR(AE854/$R$804,0)</f>
        <v>0</v>
      </c>
      <c r="AG854">
        <f>AE854*($F$22+IF($F$22=0,0,($C$14+$C$15+IF($C$13="single",1.5,3)+3)/12))</f>
        <v>0</v>
      </c>
      <c r="AH854">
        <f>AG854-X854</f>
        <v>0</v>
      </c>
      <c r="AI854" cm="1">
        <f t="array" ref="AI854">IFERROR(IF(AH854&lt;0,0,AH854/($R$804-INDEX(hd_off,MATCH(AQ854,hd_mark,0),0)/12)),0)</f>
        <v>0</v>
      </c>
      <c r="AJ854">
        <f>MAX($F$22,$Z$804)/$Q$820</f>
        <v>0.30172413793103448</v>
      </c>
      <c r="AK854">
        <f t="shared" ref="AK854:AK857" si="532">IF(AJ854=0,0,IF(AJ854&gt;2,1.25-0.125*AJ854,1))</f>
        <v>1</v>
      </c>
      <c r="AL854" cm="1">
        <f t="array" ref="AL854">IFERROR(INDEX(sheath_ecap_asd,MATCH(AP854,sheath_mark,0),0)*AK854,0)</f>
        <v>0</v>
      </c>
      <c r="AM854" cm="1">
        <f t="array" ref="AM854">IFERROR(INDEX(sheath_wcap_asd,MATCH(AP854,sheath_mark,0),0)*AK854,0)</f>
        <v>0</v>
      </c>
      <c r="AN854" cm="1">
        <f t="array" ref="AN854">IFERROR(INDEX(hd_cap,MATCH(AQ854,hd_mark,0),0),0)</f>
        <v>0</v>
      </c>
      <c r="AP854" s="19"/>
      <c r="AQ854" s="19"/>
      <c r="AR854" s="100"/>
      <c r="AS854" s="93"/>
      <c r="AT854" s="109"/>
      <c r="AU854" t="str">
        <f>$Q$790</f>
        <v>L3</v>
      </c>
      <c r="AV854">
        <f>$E$22</f>
        <v>21.375</v>
      </c>
      <c r="AW854" cm="1">
        <f t="array" ref="AW854">IFERROR(IF(AV854=0,0,(INDEX($C$33:$C$38,MATCH($AZ$804,$B$33:$B$38,0),0)*(AV857+$BA$804)+$AW$804*COUNTIF(AV854:AV856,"&gt;0")*$C$32+$AY$804*$C$31)*$AU$804),0)</f>
        <v>0</v>
      </c>
      <c r="AX854">
        <f>IF(AV854=0,0,-(COUNTIF(AV854:AV856,"&gt;0")*$AW$804*$C$32+$AY$804*$C$31)*$H$27*$AU$804)</f>
        <v>0</v>
      </c>
      <c r="AY854">
        <f>IF(AV854=0,0,$AY$804*$H$26*$AU$804)</f>
        <v>0</v>
      </c>
      <c r="AZ854">
        <f>(0.6*AW854+0.7*AX854)*$AU$804/2</f>
        <v>0</v>
      </c>
      <c r="BA854">
        <f>AW854*$AU$804/2</f>
        <v>0</v>
      </c>
      <c r="BC854">
        <f>IF(AV854=0,0,$BG$804*$AP$790)</f>
        <v>0</v>
      </c>
      <c r="BD854">
        <f>IFERROR(BC854/$AU$804,0)</f>
        <v>0</v>
      </c>
      <c r="BE854">
        <f>BC854*($F$22+IF($F$22=0,0,($C$14+$C$15+IF($C$13="single",1.5,3)+3)/12))</f>
        <v>0</v>
      </c>
      <c r="BF854">
        <f>BE854-AZ854</f>
        <v>0</v>
      </c>
      <c r="BG854" cm="1">
        <f t="array" ref="BG854">IFERROR(IF(BF854&lt;0,0,BF854/($AU$804-INDEX(hd_off,MATCH(BT854,hd_mark,0),0)/12)),0)</f>
        <v>0</v>
      </c>
      <c r="BH854">
        <f>IF(AV854=0,0,$BG$804*$AM$790)</f>
        <v>0</v>
      </c>
      <c r="BI854">
        <f>IFERROR(BH854/$AU$804,0)</f>
        <v>0</v>
      </c>
      <c r="BJ854">
        <f>BH854*($F$22+IF($F$22=0,0,($C$14+$C$15+IF($C$13="single",1.5,3)+3)/12))</f>
        <v>0</v>
      </c>
      <c r="BK854">
        <f>BJ854-BA854</f>
        <v>0</v>
      </c>
      <c r="BL854" cm="1">
        <f t="array" ref="BL854">IFERROR(IF(BK854&lt;0,0,BK854/($AU$804-INDEX(hd_off,MATCH(BT854,hd_mark,0),0)/12)),0)</f>
        <v>0</v>
      </c>
      <c r="BM854">
        <f>MAX($F$22,$BC$804)/$Q$820</f>
        <v>0.30172413793103448</v>
      </c>
      <c r="BN854">
        <f t="shared" ref="BN854:BN857" si="533">IF(BM854=0,0,IF(BM854&gt;2,1.25-0.125*BM854,1))</f>
        <v>1</v>
      </c>
      <c r="BO854" cm="1">
        <f t="array" ref="BO854">IFERROR(INDEX(sheath_ecap_asd,MATCH(BS854,sheath_mark,0),0)*BN854,0)</f>
        <v>0</v>
      </c>
      <c r="BP854" cm="1">
        <f t="array" ref="BP854">IFERROR(INDEX(sheath_wcap_asd,MATCH(BS854,sheath_mark,0),0)*BN854,0)</f>
        <v>0</v>
      </c>
      <c r="BQ854" cm="1">
        <f t="array" ref="BQ854">IFERROR(INDEX(hd_cap,MATCH(BT854,hd_mark,0),0),0)</f>
        <v>0</v>
      </c>
      <c r="BS854" s="19"/>
      <c r="BT854" s="19"/>
      <c r="BU854" s="100"/>
    </row>
    <row r="855" x14ac:dyDescent="0.25">
      <c r="P855" s="93"/>
      <c r="Q855" s="109" t="s">
        <v>491</v>
      </c>
      <c r="R855" t="str">
        <f>$Q$791</f>
        <v>L4</v>
      </c>
      <c r="S855">
        <f>$E$23</f>
        <v>0</v>
      </c>
      <c r="T855" cm="1">
        <f t="array" ref="T855">IFERROR(IF(S855=0,0,(INDEX($C$33:$C$38,MATCH($W$804,$B$33:$B$38,0),0)*(S857+$X$804)+$T$804*COUNTIF(S855:S856,"&gt;0")*$C$32+$V$804*$C$31)*$R$804),0)</f>
        <v>0</v>
      </c>
      <c r="U855">
        <f>IF(S855=0,0,-(COUNTIF(S855:S856,"&gt;0")*$T$804*$C$32+$V$804*$C$31)*$H$27*$R$804)</f>
        <v>0</v>
      </c>
      <c r="V855">
        <f>IF(S855=0,0,$V$804*$H$26*$R$804)</f>
        <v>0</v>
      </c>
      <c r="W855">
        <f>(0.6*T855+0.7*U855)*$R$804/2</f>
        <v>0</v>
      </c>
      <c r="X855">
        <f>T855*$R$804/2</f>
        <v>0</v>
      </c>
      <c r="Z855">
        <f>IF(S855=0,0,$AD$804*$AP$791)</f>
        <v>0</v>
      </c>
      <c r="AA855">
        <f>IFERROR(Z855/$R$804,0)</f>
        <v>0</v>
      </c>
      <c r="AB855">
        <f>Z855*($F$23+IF($F$23=0,0,($C$14+$C$15+IF($C$13="single",1.5,3)+3)/12))</f>
        <v>0</v>
      </c>
      <c r="AC855">
        <f>AB855-W855</f>
        <v>0</v>
      </c>
      <c r="AD855" cm="1">
        <f t="array" ref="AD855">IFERROR(IF(AC855&lt;0,0,AC855/($R$804-INDEX(hd_off,MATCH(AQ855,hd_mark,0),0)/12)),0)</f>
        <v>0</v>
      </c>
      <c r="AE855">
        <f>IF(S855=0,0,$AD$804*$AM$791)</f>
        <v>0</v>
      </c>
      <c r="AF855">
        <f>IFERROR(AE855/$R$804,0)</f>
        <v>0</v>
      </c>
      <c r="AG855">
        <f>AE855*($F$23+IF($F$23=0,0,($C$14+$C$15+IF($C$13="single",1.5,3)+3)/12))</f>
        <v>0</v>
      </c>
      <c r="AH855">
        <f>AG855-X855</f>
        <v>0</v>
      </c>
      <c r="AI855" cm="1">
        <f t="array" ref="AI855">IFERROR(IF(AH855&lt;0,0,AH855/($R$804-INDEX(hd_off,MATCH(AQ855,hd_mark,0),0)/12)),0)</f>
        <v>0</v>
      </c>
      <c r="AJ855">
        <f>MAX($F$23,$AA$804)/$Q$820</f>
        <v>0</v>
      </c>
      <c r="AK855">
        <f t="shared" si="532"/>
        <v>0</v>
      </c>
      <c r="AL855" cm="1">
        <f t="array" ref="AL855">IFERROR(INDEX(sheath_ecap_asd,MATCH(AP855,sheath_mark,0),0)*AK855,0)</f>
        <v>0</v>
      </c>
      <c r="AM855" cm="1">
        <f t="array" ref="AM855">IFERROR(INDEX(sheath_wcap_asd,MATCH(AP855,sheath_mark,0),0)*AK855,0)</f>
        <v>0</v>
      </c>
      <c r="AN855" cm="1">
        <f t="array" ref="AN855">IFERROR(INDEX(hd_cap,MATCH(AQ855,hd_mark,0),0),0)</f>
        <v>0</v>
      </c>
      <c r="AP855" s="19"/>
      <c r="AQ855" s="19"/>
      <c r="AR855" s="100"/>
      <c r="AS855" s="93"/>
      <c r="AT855" s="109" t="s">
        <v>491</v>
      </c>
      <c r="AU855" t="str">
        <f>$Q$791</f>
        <v>L4</v>
      </c>
      <c r="AV855">
        <f>$E$23</f>
        <v>0</v>
      </c>
      <c r="AW855" cm="1">
        <f t="array" ref="AW855">IFERROR(IF(AV855=0,0,(INDEX($C$33:$C$38,MATCH($AZ$804,$B$33:$B$38,0),0)*(AV857+$BA$804)+$AW$804*COUNTIF(AV855:AV856,"&gt;0")*$C$32+$AY$804*$C$31)*$AU$804),0)</f>
        <v>0</v>
      </c>
      <c r="AX855">
        <f>IF(AV855=0,0,-(COUNTIF(AV855:AV856,"&gt;0")*$AW$804*$C$32+$AY$804*$C$31)*$H$27*$AU$804)</f>
        <v>0</v>
      </c>
      <c r="AY855">
        <f>IF(AV855=0,0,$AY$804*$H$26*$AU$804)</f>
        <v>0</v>
      </c>
      <c r="AZ855">
        <f>(0.6*AW855+0.7*AX855)*$AU$804/2</f>
        <v>0</v>
      </c>
      <c r="BA855">
        <f>AW855*$AU$804/2</f>
        <v>0</v>
      </c>
      <c r="BC855">
        <f>IF(AV855=0,0,$BG$804*$AP$791)</f>
        <v>0</v>
      </c>
      <c r="BD855">
        <f>IFERROR(BC855/$AU$804,0)</f>
        <v>0</v>
      </c>
      <c r="BE855">
        <f>BC855*($F$23+IF($F$23=0,0,($C$14+$C$15+IF($C$13="single",1.5,3)+3)/12))</f>
        <v>0</v>
      </c>
      <c r="BF855">
        <f>BE855-AZ855</f>
        <v>0</v>
      </c>
      <c r="BG855" cm="1">
        <f t="array" ref="BG855">IFERROR(IF(BF855&lt;0,0,BF855/($AU$804-INDEX(hd_off,MATCH(BT855,hd_mark,0),0)/12)),0)</f>
        <v>0</v>
      </c>
      <c r="BH855">
        <f>IF(AV855=0,0,$BG$804*$AM$791)</f>
        <v>0</v>
      </c>
      <c r="BI855">
        <f>IFERROR(BH855/$AU$804,0)</f>
        <v>0</v>
      </c>
      <c r="BJ855">
        <f>BH855*($F$23+IF($F$23=0,0,($C$14+$C$15+IF($C$13="single",1.5,3)+3)/12))</f>
        <v>0</v>
      </c>
      <c r="BK855">
        <f>BJ855-BA855</f>
        <v>0</v>
      </c>
      <c r="BL855" cm="1">
        <f t="array" ref="BL855">IFERROR(IF(BK855&lt;0,0,BK855/($AU$804-INDEX(hd_off,MATCH(BT855,hd_mark,0),0)/12)),0)</f>
        <v>0</v>
      </c>
      <c r="BM855">
        <f>MAX($F$23,$BD$804)/$Q$820</f>
        <v>0</v>
      </c>
      <c r="BN855">
        <f t="shared" si="533"/>
        <v>0</v>
      </c>
      <c r="BO855" cm="1">
        <f t="array" ref="BO855">IFERROR(INDEX(sheath_ecap_asd,MATCH(BS855,sheath_mark,0),0)*BN855,0)</f>
        <v>0</v>
      </c>
      <c r="BP855" cm="1">
        <f t="array" ref="BP855">IFERROR(INDEX(sheath_wcap_asd,MATCH(BS855,sheath_mark,0),0)*BN855,0)</f>
        <v>0</v>
      </c>
      <c r="BQ855" cm="1">
        <f t="array" ref="BQ855">IFERROR(INDEX(hd_cap,MATCH(BT855,hd_mark,0),0),0)</f>
        <v>0</v>
      </c>
      <c r="BS855" s="19"/>
      <c r="BT855" s="19"/>
      <c r="BU855" s="100"/>
    </row>
    <row r="856" x14ac:dyDescent="0.25">
      <c r="P856" s="93"/>
      <c r="Q856" s="111">
        <f>$R$804</f>
        <v>0</v>
      </c>
      <c r="R856" t="str">
        <f>$Q$792</f>
        <v>L5</v>
      </c>
      <c r="S856">
        <f>$E$24</f>
        <v>0</v>
      </c>
      <c r="T856" cm="1">
        <f t="array" ref="T856">IFERROR(IF(S856=0,0,(INDEX($C$33:$C$38,MATCH($W$804,$B$33:$B$38,0),0)*(S857+$X$804)+$T$804*COUNTIF(S856:S856,"&gt;0")*$C$32+$V$804*$C$31)*$R$804),0)</f>
        <v>0</v>
      </c>
      <c r="U856">
        <f>IF(S856=0,0,-(COUNTIF(S856:S856,"&gt;0")*$T$804*$C$32+$V$804*$C$31)*$H$27*$R$804)</f>
        <v>0</v>
      </c>
      <c r="V856">
        <f>IF(S856=0,0,$V$804*$H$26*$R$804)</f>
        <v>0</v>
      </c>
      <c r="W856">
        <f>(0.6*T856+0.7*U856)*$R$804/2</f>
        <v>0</v>
      </c>
      <c r="X856">
        <f>T856*$R$804/2</f>
        <v>0</v>
      </c>
      <c r="Z856">
        <f>IF(S856=0,0,$AD$804*$AP$792)</f>
        <v>0</v>
      </c>
      <c r="AA856">
        <f>IFERROR(Z856/$R$804,0)</f>
        <v>0</v>
      </c>
      <c r="AB856">
        <f>Z856*($F$24+IF($F$24=0,0,($C$14+$C$15+IF($C$13="single",1.5,3)+3)/12))</f>
        <v>0</v>
      </c>
      <c r="AC856">
        <f>AB856-W856</f>
        <v>0</v>
      </c>
      <c r="AD856" cm="1">
        <f t="array" ref="AD856">IFERROR(IF(AC856&lt;0,0,AC856/($R$804-INDEX(hd_off,MATCH(AQ856,hd_mark,0),0)/12)),0)</f>
        <v>0</v>
      </c>
      <c r="AE856">
        <f>IF(S856=0,0,$AD$804*$AM$792)</f>
        <v>0</v>
      </c>
      <c r="AF856">
        <f>IFERROR(AE856/$R$804,0)</f>
        <v>0</v>
      </c>
      <c r="AG856">
        <f>AE856*($F$24+IF($F$24=0,0,($C$14+$C$15+IF($C$13="single",1.5,3)+3)/12))</f>
        <v>0</v>
      </c>
      <c r="AH856">
        <f>AG856-X856</f>
        <v>0</v>
      </c>
      <c r="AI856" cm="1">
        <f t="array" ref="AI856">IFERROR(IF(AH856&lt;0,0,AH856/($R$804-INDEX(hd_off,MATCH(AQ856,hd_mark,0),0)/12)),0)</f>
        <v>0</v>
      </c>
      <c r="AJ856">
        <f>MAX($F$24,$AB$804)/$Q$820</f>
        <v>0</v>
      </c>
      <c r="AK856">
        <f t="shared" si="532"/>
        <v>0</v>
      </c>
      <c r="AL856" cm="1">
        <f t="array" ref="AL856">IFERROR(INDEX(sheath_ecap_asd,MATCH(AP856,sheath_mark,0),0)*AK856,0)</f>
        <v>0</v>
      </c>
      <c r="AM856" cm="1">
        <f t="array" ref="AM856">IFERROR(INDEX(sheath_wcap_asd,MATCH(AP856,sheath_mark,0),0)*AK856,0)</f>
        <v>0</v>
      </c>
      <c r="AN856" cm="1">
        <f t="array" ref="AN856">IFERROR(INDEX(hd_cap,MATCH(AQ856,hd_mark,0),0),0)</f>
        <v>0</v>
      </c>
      <c r="AP856" s="19"/>
      <c r="AQ856" s="19"/>
      <c r="AR856" s="100"/>
      <c r="AS856" s="93"/>
      <c r="AT856" s="111">
        <f>$R$804</f>
        <v>0</v>
      </c>
      <c r="AU856" t="str">
        <f>$Q$792</f>
        <v>L5</v>
      </c>
      <c r="AV856">
        <f>$E$24</f>
        <v>0</v>
      </c>
      <c r="AW856" cm="1">
        <f t="array" ref="AW856">IFERROR(IF(AV856=0,0,(INDEX($C$33:$C$38,MATCH($AZ$804,$B$33:$B$38,0),0)*(AV857+$BA$804)+$AW$804*COUNTIF(AV856:AV856,"&gt;0")*$C$32+$AY$804*$C$31)*$AU$804),0)</f>
        <v>0</v>
      </c>
      <c r="AX856">
        <f>IF(AV856=0,0,-(COUNTIF(AV856:AV856,"&gt;0")*$AW$804*$C$32+$AY$804*$C$31)*$H$27*$AU$804)</f>
        <v>0</v>
      </c>
      <c r="AY856">
        <f>IF(AV856=0,0,$AY$804*$H$26*$AU$804)</f>
        <v>0</v>
      </c>
      <c r="AZ856">
        <f>(0.6*AW856+0.7*AX856)*$AU$804/2</f>
        <v>0</v>
      </c>
      <c r="BA856">
        <f>AW856*$AU$804/2</f>
        <v>0</v>
      </c>
      <c r="BC856">
        <f>IF(AV856=0,0,$BG$804*$AP$792)</f>
        <v>0</v>
      </c>
      <c r="BD856">
        <f>IFERROR(BC856/$AU$804,0)</f>
        <v>0</v>
      </c>
      <c r="BE856">
        <f>BC856*($F$24+IF($F$24=0,0,($C$14+$C$15+IF($C$13="single",1.5,3)+3)/12))</f>
        <v>0</v>
      </c>
      <c r="BF856">
        <f>BE856-AZ856</f>
        <v>0</v>
      </c>
      <c r="BG856" cm="1">
        <f t="array" ref="BG856">IFERROR(IF(BF856&lt;0,0,BF856/($AU$804-INDEX(hd_off,MATCH(BT856,hd_mark,0),0)/12)),0)</f>
        <v>0</v>
      </c>
      <c r="BH856">
        <f>IF(AV856=0,0,$BG$804*$AM$792)</f>
        <v>0</v>
      </c>
      <c r="BI856">
        <f>IFERROR(BH856/$AU$804,0)</f>
        <v>0</v>
      </c>
      <c r="BJ856">
        <f>BH856*($F$24+IF($F$24=0,0,($C$14+$C$15+IF($C$13="single",1.5,3)+3)/12))</f>
        <v>0</v>
      </c>
      <c r="BK856">
        <f>BJ856-BA856</f>
        <v>0</v>
      </c>
      <c r="BL856" cm="1">
        <f t="array" ref="BL856">IFERROR(IF(BK856&lt;0,0,BK856/($AU$804-INDEX(hd_off,MATCH(BT856,hd_mark,0),0)/12)),0)</f>
        <v>0</v>
      </c>
      <c r="BM856">
        <f>MAX($F$24,$BE$804)/$Q$820</f>
        <v>0</v>
      </c>
      <c r="BN856">
        <f t="shared" si="533"/>
        <v>0</v>
      </c>
      <c r="BO856" cm="1">
        <f t="array" ref="BO856">IFERROR(INDEX(sheath_ecap_asd,MATCH(BS856,sheath_mark,0),0)*BN856,0)</f>
        <v>0</v>
      </c>
      <c r="BP856" cm="1">
        <f t="array" ref="BP856">IFERROR(INDEX(sheath_wcap_asd,MATCH(BS856,sheath_mark,0),0)*BN856,0)</f>
        <v>0</v>
      </c>
      <c r="BQ856" cm="1">
        <f t="array" ref="BQ856">IFERROR(INDEX(hd_cap,MATCH(BT856,hd_mark,0),0),0)</f>
        <v>0</v>
      </c>
      <c r="BS856" s="19"/>
      <c r="BT856" s="19"/>
      <c r="BU856" s="100"/>
    </row>
    <row r="857" x14ac:dyDescent="0.25">
      <c r="P857" s="93"/>
      <c r="Q857" s="109"/>
      <c r="R857" t="str">
        <f>$Q$793</f>
        <v>Roof</v>
      </c>
      <c r="S857">
        <f>$E$25</f>
        <v>33.171875</v>
      </c>
      <c r="T857" cm="1">
        <f t="array" ref="T857">IFERROR(IF(S857=0,0,(INDEX($C$33:$C$38,MATCH($W$804,$B$33:$B$38,0),0)*(S857+$X$804)+$V$804*$C$31)*$R$804),0)</f>
        <v>0</v>
      </c>
      <c r="U857">
        <f>IF(S857=0,0,-$V$804*$C$31*$H$27*$R$804)</f>
        <v>0</v>
      </c>
      <c r="V857">
        <f>IF(S857=0,0,$V$804*$H$26*$R$804)</f>
        <v>0</v>
      </c>
      <c r="W857">
        <f>(0.6*T857+0.7*U857)*$R$804/2</f>
        <v>0</v>
      </c>
      <c r="X857">
        <f>T857*$R$804/2</f>
        <v>0</v>
      </c>
      <c r="Z857">
        <f>IF(S857=0,0,$AD$804*$AP$793)</f>
        <v>0</v>
      </c>
      <c r="AA857">
        <f>IFERROR(Z857/$R$804,0)</f>
        <v>0</v>
      </c>
      <c r="AB857">
        <f>Z857*($F$25+($C$16+$C$17+IF($C$13="single",1.5,3)+3)/12)</f>
        <v>0</v>
      </c>
      <c r="AC857">
        <f>AB857-W857</f>
        <v>0</v>
      </c>
      <c r="AD857" cm="1">
        <f t="array" ref="AD857">IFERROR(IF(AC857&lt;0,0,AC857/($R$804-INDEX(hd_off,MATCH(AQ857,hd_mark,0),0)/12)),0)</f>
        <v>0</v>
      </c>
      <c r="AE857">
        <f>IF(S857=0,0,$AD$804*$AM$793)</f>
        <v>0</v>
      </c>
      <c r="AF857">
        <f>IFERROR(AE857/$R$804,0)</f>
        <v>0</v>
      </c>
      <c r="AG857">
        <f>AE857*($F$25+($C$16+$C$17+IF($C$13="single",1.5,3)+3)/12)</f>
        <v>0</v>
      </c>
      <c r="AH857">
        <f>AG857-X857</f>
        <v>0</v>
      </c>
      <c r="AI857" cm="1">
        <f t="array" ref="AI857">IFERROR(IF(AH857&lt;0,0,AH857/($R$804-INDEX(hd_off,MATCH(AQ857,hd_mark,0),0)/12)),0)</f>
        <v>0</v>
      </c>
      <c r="AJ857">
        <f>MAX($F$25,$AC$804)/$Q$820</f>
        <v>0.29920977011494249</v>
      </c>
      <c r="AK857">
        <f t="shared" si="532"/>
        <v>1</v>
      </c>
      <c r="AL857" cm="1">
        <f t="array" ref="AL857">IFERROR(INDEX(sheath_ecap_asd,MATCH(AP857,sheath_mark,0),0)*AK857,0)</f>
        <v>0</v>
      </c>
      <c r="AM857" cm="1">
        <f t="array" ref="AM857">IFERROR(INDEX(sheath_wcap_asd,MATCH(AP857,sheath_mark,0),0)*AK857,0)</f>
        <v>0</v>
      </c>
      <c r="AN857" cm="1">
        <f t="array" ref="AN857">IFERROR(INDEX(hd_cap,MATCH(AQ857,hd_mark,0),0),0)</f>
        <v>0</v>
      </c>
      <c r="AP857" s="19"/>
      <c r="AQ857" s="19"/>
      <c r="AR857" s="100"/>
      <c r="AS857" s="93"/>
      <c r="AT857" s="109"/>
      <c r="AU857" t="str">
        <f>$Q$793</f>
        <v>Roof</v>
      </c>
      <c r="AV857">
        <f>$E$25</f>
        <v>33.171875</v>
      </c>
      <c r="AW857" cm="1">
        <f t="array" ref="AW857">IFERROR(IF(AV857=0,0,(INDEX($C$33:$C$38,MATCH($AZ$804,$B$33:$B$38,0),0)*(AV857+$BA$804)+$AY$804*$C$31)*$AU$804),0)</f>
        <v>0</v>
      </c>
      <c r="AX857">
        <f>IF(AV857=0,0,-$AY$804*$C$31*$H$27*$AU$804)</f>
        <v>0</v>
      </c>
      <c r="AY857">
        <f>IF(AV857=0,0,$AY$804*$H$26*$AU$804)</f>
        <v>0</v>
      </c>
      <c r="AZ857">
        <f>(0.6*AW857+0.7*AX857)*$AU$804/2</f>
        <v>0</v>
      </c>
      <c r="BA857">
        <f>AW857*$AU$804/2</f>
        <v>0</v>
      </c>
      <c r="BC857">
        <f>IF(AV857=0,0,$BG$804*$AP$793)</f>
        <v>0</v>
      </c>
      <c r="BD857">
        <f>IFERROR(BC857/$AU$804,0)</f>
        <v>0</v>
      </c>
      <c r="BE857">
        <f>BC857*($F$25+($C$16+$C$17+IF($C$13="single",1.5,3)+3)/12)</f>
        <v>0</v>
      </c>
      <c r="BF857">
        <f>BE857-AZ857</f>
        <v>0</v>
      </c>
      <c r="BG857" cm="1">
        <f t="array" ref="BG857">IFERROR(IF(BF857&lt;0,0,BF857/($AU$804-INDEX(hd_off,MATCH(BT857,hd_mark,0),0)/12)),0)</f>
        <v>0</v>
      </c>
      <c r="BH857">
        <f>IF(AV857=0,0,$BG$804*$AM$793)</f>
        <v>0</v>
      </c>
      <c r="BI857">
        <f>IFERROR(BH857/$AU$804,0)</f>
        <v>0</v>
      </c>
      <c r="BJ857">
        <f>BH857*($F$25+($C$16+$C$17+IF($C$13="single",1.5,3)+3)/12)</f>
        <v>0</v>
      </c>
      <c r="BK857">
        <f>BJ857-BA857</f>
        <v>0</v>
      </c>
      <c r="BL857" cm="1">
        <f t="array" ref="BL857">IFERROR(IF(BK857&lt;0,0,BK857/($AU$804-INDEX(hd_off,MATCH(BT857,hd_mark,0),0)/12)),0)</f>
        <v>0</v>
      </c>
      <c r="BM857">
        <f>MAX($F$25,$BF$804)/$Q$820</f>
        <v>0.29920977011494249</v>
      </c>
      <c r="BN857">
        <f t="shared" si="533"/>
        <v>1</v>
      </c>
      <c r="BO857" cm="1">
        <f t="array" ref="BO857">IFERROR(INDEX(sheath_ecap_asd,MATCH(BS857,sheath_mark,0),0)*BN857,0)</f>
        <v>0</v>
      </c>
      <c r="BP857" cm="1">
        <f t="array" ref="BP857">IFERROR(INDEX(sheath_wcap_asd,MATCH(BS857,sheath_mark,0),0)*BN857,0)</f>
        <v>0</v>
      </c>
      <c r="BQ857" cm="1">
        <f t="array" ref="BQ857">IFERROR(INDEX(hd_cap,MATCH(BT857,hd_mark,0),0),0)</f>
        <v>0</v>
      </c>
      <c r="BS857" s="19"/>
      <c r="BT857" s="19"/>
      <c r="BU857" s="100"/>
    </row>
    <row r="858" x14ac:dyDescent="0.25">
      <c r="P858" s="93"/>
      <c r="AR858" s="100"/>
      <c r="AS858" s="93"/>
      <c r="BU858" s="100"/>
    </row>
    <row r="859" x14ac:dyDescent="0.25">
      <c r="P859" s="93"/>
      <c r="Q859" s="110" t="str">
        <f>$Q$805</f>
        <v>A.08</v>
      </c>
      <c r="R859" t="str">
        <f>$Q$789</f>
        <v>L2</v>
      </c>
      <c r="S859">
        <f>$E$21</f>
        <v>10.6875</v>
      </c>
      <c r="T859" cm="1">
        <f t="array" ref="T859">IFERROR(IF(S859=0,0,(INDEX($C$33:$C$38,MATCH($W$805,$B$33:$B$38,0),0)*(S863+$X$805)+$T$805*COUNTIF(S859:S862,"&gt;0")*$C$32+$V$805*$C$31)*$R$805),0)</f>
        <v>0</v>
      </c>
      <c r="U859">
        <f>IF(S859=0,0,-(COUNTIF(S859:S862,"&gt;0")*$T$805*$C$32+$V$805*$C$31)*$H$27*$R$805)</f>
        <v>0</v>
      </c>
      <c r="V859">
        <f>IF(S859=0,0,$V$805*$H$26*$R$805)</f>
        <v>0</v>
      </c>
      <c r="W859">
        <f>(0.6*T859+0.7*U859)*$R$805/2</f>
        <v>0</v>
      </c>
      <c r="X859">
        <f>(0.6*T859+0.6*V859)*$R$805/2</f>
        <v>0</v>
      </c>
      <c r="Z859">
        <f>IF(S859=0,0,$AD$805*$AP$789)</f>
        <v>0</v>
      </c>
      <c r="AA859">
        <f>IFERROR(Z859/$R$805,0)</f>
        <v>0</v>
      </c>
      <c r="AB859">
        <f>Z859*($F$21+IF($F$21=0,0,($C$14+$C$15+IF($C$13="single",1.5,3)+3)/12))</f>
        <v>0</v>
      </c>
      <c r="AC859">
        <f>AB859-W859</f>
        <v>0</v>
      </c>
      <c r="AD859" cm="1">
        <f t="array" ref="AD859">IFERROR(IF(AC859&lt;0,0,AC859/($R$805-INDEX(hd_off,MATCH(AQ859,hd_mark,0),0)/12)),0)</f>
        <v>0</v>
      </c>
      <c r="AE859">
        <f>IF(S859=0,0,$AD$805*$AM$789)</f>
        <v>0</v>
      </c>
      <c r="AF859">
        <f>IFERROR(AE859/$R$805,0)</f>
        <v>0</v>
      </c>
      <c r="AG859">
        <f>AE859*($F$21+IF($F$21=0,0,($C$14+$C$15+IF($C$13="single",1.5,3)+3)/12))</f>
        <v>0</v>
      </c>
      <c r="AH859">
        <f>AG859-X859</f>
        <v>0</v>
      </c>
      <c r="AI859" cm="1">
        <f t="array" ref="AI859">IFERROR(IF(AH859&lt;0,0,AH859/($R$805-INDEX(hd_off,MATCH(AQ859,hd_mark,0),0)/12)),0)</f>
        <v>0</v>
      </c>
      <c r="AJ859">
        <f>MAX($F$21,$Y$805)/$Q$820</f>
        <v>0.30172413793103448</v>
      </c>
      <c r="AK859">
        <f>IF(AJ859=0,0,IF(AJ859&gt;2,1.25-0.125*AJ859,1))</f>
        <v>1</v>
      </c>
      <c r="AL859" cm="1">
        <f t="array" ref="AL859">IFERROR(INDEX(sheath_ecap_asd,MATCH(AP859,sheath_mark,0),0)*AK859,0)</f>
        <v>0</v>
      </c>
      <c r="AM859" cm="1">
        <f t="array" ref="AM859">IFERROR(INDEX(sheath_wcap_asd,MATCH(AP859,sheath_mark,0),0)*AK859,0)</f>
        <v>0</v>
      </c>
      <c r="AN859" cm="1">
        <f t="array" ref="AN859">IFERROR(INDEX(hd_cap,MATCH(AQ859,hd_mark,0),0),0)</f>
        <v>0</v>
      </c>
      <c r="AP859" s="19"/>
      <c r="AQ859" s="19"/>
      <c r="AR859" s="100"/>
      <c r="AS859" s="93"/>
      <c r="AT859" s="110" t="str">
        <f>$AT$805</f>
        <v>1.08</v>
      </c>
      <c r="AU859" t="str">
        <f>$Q$789</f>
        <v>L2</v>
      </c>
      <c r="AV859">
        <f>$E$21</f>
        <v>10.6875</v>
      </c>
      <c r="AW859" cm="1">
        <f t="array" ref="AW859">IFERROR(IF(AV859=0,0,(INDEX($C$33:$C$38,MATCH($AZ$805,$B$33:$B$38,0),0)*(AV863+$BA$805)+$AW$805*COUNTIF(AV859:AV862,"&gt;0")*$C$32+$AY$805*$C$31)*$AU$805),0)</f>
        <v>0</v>
      </c>
      <c r="AX859">
        <f>IF(AV859=0,0,-(COUNTIF(AV859:AV862,"&gt;0")*$AW$805*$C$32+$AY$805*$C$31)*$H$27*$AU$805)</f>
        <v>0</v>
      </c>
      <c r="AY859">
        <f>IF(AV859=0,0,$AY$805*$H$26*$AU$805)</f>
        <v>0</v>
      </c>
      <c r="AZ859">
        <f>(0.6*AW859+0.7*AX859)*$AU$805/2</f>
        <v>0</v>
      </c>
      <c r="BA859">
        <f>(0.6*AW859+0.6*AY859)*$AU$805/2</f>
        <v>0</v>
      </c>
      <c r="BC859">
        <f>IF(AV859=0,0,$BG$805*$AP$789)</f>
        <v>0</v>
      </c>
      <c r="BD859">
        <f>IFERROR(BC859/$AU$805,0)</f>
        <v>0</v>
      </c>
      <c r="BE859">
        <f>BC859*($F$21+IF($F$21=0,0,($C$14+$C$15+IF($C$13="single",1.5,3)+3)/12))</f>
        <v>0</v>
      </c>
      <c r="BF859">
        <f>BE859-AZ859</f>
        <v>0</v>
      </c>
      <c r="BG859" cm="1">
        <f t="array" ref="BG859">IFERROR(IF(BF859&lt;0,0,BF859/($AU$805-INDEX(hd_off,MATCH(BT859,hd_mark,0),0)/12)),0)</f>
        <v>0</v>
      </c>
      <c r="BH859">
        <f>IF(AV859=0,0,$BG$805*$AM$789)</f>
        <v>0</v>
      </c>
      <c r="BI859">
        <f>IFERROR(BH859/$AU$805,0)</f>
        <v>0</v>
      </c>
      <c r="BJ859">
        <f>BH859*($F$21+IF($F$21=0,0,($C$14+$C$15+IF($C$13="single",1.5,3)+3)/12))</f>
        <v>0</v>
      </c>
      <c r="BK859">
        <f>BJ859-BA859</f>
        <v>0</v>
      </c>
      <c r="BL859" cm="1">
        <f t="array" ref="BL859">IFERROR(IF(BK859&lt;0,0,BK859/($AU$805-INDEX(hd_off,MATCH(BT859,hd_mark,0),0)/12)),0)</f>
        <v>0</v>
      </c>
      <c r="BM859">
        <f>MAX($F$21,$BB$805)/$Q$820</f>
        <v>0.30172413793103448</v>
      </c>
      <c r="BN859">
        <f>IF(BM859=0,0,IF(BM859&gt;2,1.25-0.125*BM859,1))</f>
        <v>1</v>
      </c>
      <c r="BO859" cm="1">
        <f t="array" ref="BO859">IFERROR(INDEX(sheath_ecap_asd,MATCH(BS859,sheath_mark,0),0)*BN859,0)</f>
        <v>0</v>
      </c>
      <c r="BP859" cm="1">
        <f t="array" ref="BP859">IFERROR(INDEX(sheath_wcap_asd,MATCH(BS859,sheath_mark,0),0)*BN859,0)</f>
        <v>0</v>
      </c>
      <c r="BQ859" cm="1">
        <f t="array" ref="BQ859">IFERROR(INDEX(hd_cap,MATCH(BT859,hd_mark,0),0),0)</f>
        <v>0</v>
      </c>
      <c r="BS859" s="19"/>
      <c r="BT859" s="19"/>
      <c r="BU859" s="100"/>
    </row>
    <row r="860" x14ac:dyDescent="0.25">
      <c r="P860" s="93"/>
      <c r="Q860" s="109"/>
      <c r="R860" t="str">
        <f>$Q$790</f>
        <v>L3</v>
      </c>
      <c r="S860">
        <f>$E$22</f>
        <v>21.375</v>
      </c>
      <c r="T860" cm="1">
        <f t="array" ref="T860">IFERROR(IF(S860=0,0,(INDEX($C$33:$C$38,MATCH($W$805,$B$33:$B$38,0),0)*(S863+$X$805)+$T$805*COUNTIF(S860:S862,"&gt;0")*$C$32+$V$805*$C$31)*$R$805),0)</f>
        <v>0</v>
      </c>
      <c r="U860">
        <f>IF(S860=0,0,-(COUNTIF(S860:S862,"&gt;0")*$T$805*$C$32+$V$805*$C$31)*$H$27*$R$805)</f>
        <v>0</v>
      </c>
      <c r="V860">
        <f>IF(S860=0,0,$V$805*$H$26*$R$805)</f>
        <v>0</v>
      </c>
      <c r="W860">
        <f>(0.6*T860+0.7*U860)*$R$805/2</f>
        <v>0</v>
      </c>
      <c r="X860">
        <f>T860*$R$805/2</f>
        <v>0</v>
      </c>
      <c r="Z860">
        <f>IF(S860=0,0,$AD$805*$AP$790)</f>
        <v>0</v>
      </c>
      <c r="AA860">
        <f>IFERROR(Z860/$R$805,0)</f>
        <v>0</v>
      </c>
      <c r="AB860">
        <f>Z860*($F$22+IF($F$22=0,0,($C$14+$C$15+IF($C$13="single",1.5,3)+3)/12))</f>
        <v>0</v>
      </c>
      <c r="AC860">
        <f>AB860-W860</f>
        <v>0</v>
      </c>
      <c r="AD860" cm="1">
        <f t="array" ref="AD860">IFERROR(IF(AC860&lt;0,0,AC860/($R$805-INDEX(hd_off,MATCH(AQ860,hd_mark,0),0)/12)),0)</f>
        <v>0</v>
      </c>
      <c r="AE860">
        <f>IF(S860=0,0,$AD$805*$AM$790)</f>
        <v>0</v>
      </c>
      <c r="AF860">
        <f>IFERROR(AE860/$R$805,0)</f>
        <v>0</v>
      </c>
      <c r="AG860">
        <f>AE860*($F$22+IF($F$22=0,0,($C$14+$C$15+IF($C$13="single",1.5,3)+3)/12))</f>
        <v>0</v>
      </c>
      <c r="AH860">
        <f>AG860-X860</f>
        <v>0</v>
      </c>
      <c r="AI860" cm="1">
        <f t="array" ref="AI860">IFERROR(IF(AH860&lt;0,0,AH860/($R$805-INDEX(hd_off,MATCH(AQ860,hd_mark,0),0)/12)),0)</f>
        <v>0</v>
      </c>
      <c r="AJ860">
        <f>MAX($F$22,$Z$805)/$Q$820</f>
        <v>0.30172413793103448</v>
      </c>
      <c r="AK860">
        <f t="shared" ref="AK860:AK863" si="534">IF(AJ860=0,0,IF(AJ860&gt;2,1.25-0.125*AJ860,1))</f>
        <v>1</v>
      </c>
      <c r="AL860" cm="1">
        <f t="array" ref="AL860">IFERROR(INDEX(sheath_ecap_asd,MATCH(AP860,sheath_mark,0),0)*AK860,0)</f>
        <v>0</v>
      </c>
      <c r="AM860" cm="1">
        <f t="array" ref="AM860">IFERROR(INDEX(sheath_wcap_asd,MATCH(AP860,sheath_mark,0),0)*AK860,0)</f>
        <v>0</v>
      </c>
      <c r="AN860" cm="1">
        <f t="array" ref="AN860">IFERROR(INDEX(hd_cap,MATCH(AQ860,hd_mark,0),0),0)</f>
        <v>0</v>
      </c>
      <c r="AP860" s="19"/>
      <c r="AQ860" s="19"/>
      <c r="AR860" s="100"/>
      <c r="AS860" s="93"/>
      <c r="AT860" s="109"/>
      <c r="AU860" t="str">
        <f>$Q$790</f>
        <v>L3</v>
      </c>
      <c r="AV860">
        <f>$E$22</f>
        <v>21.375</v>
      </c>
      <c r="AW860" cm="1">
        <f t="array" ref="AW860">IFERROR(IF(AV860=0,0,(INDEX($C$33:$C$38,MATCH($AZ$805,$B$33:$B$38,0),0)*(AV863+$BA$805)+$AW$805*COUNTIF(AV860:AV862,"&gt;0")*$C$32+$AY$805*$C$31)*$AU$805),0)</f>
        <v>0</v>
      </c>
      <c r="AX860">
        <f>IF(AV860=0,0,-(COUNTIF(AV860:AV862,"&gt;0")*$AW$805*$C$32+$AY$805*$C$31)*$H$27*$AU$805)</f>
        <v>0</v>
      </c>
      <c r="AY860">
        <f>IF(AV860=0,0,$AY$805*$H$26*$AU$805)</f>
        <v>0</v>
      </c>
      <c r="AZ860">
        <f>(0.6*AW860+0.7*AX860)*$AU$805/2</f>
        <v>0</v>
      </c>
      <c r="BA860">
        <f>AW860*$AU$805/2</f>
        <v>0</v>
      </c>
      <c r="BC860">
        <f>IF(AV860=0,0,$BG$805*$AP$790)</f>
        <v>0</v>
      </c>
      <c r="BD860">
        <f>IFERROR(BC860/$AU$805,0)</f>
        <v>0</v>
      </c>
      <c r="BE860">
        <f>BC860*($F$22+IF($F$22=0,0,($C$14+$C$15+IF($C$13="single",1.5,3)+3)/12))</f>
        <v>0</v>
      </c>
      <c r="BF860">
        <f>BE860-AZ860</f>
        <v>0</v>
      </c>
      <c r="BG860" cm="1">
        <f t="array" ref="BG860">IFERROR(IF(BF860&lt;0,0,BF860/($AU$805-INDEX(hd_off,MATCH(BT860,hd_mark,0),0)/12)),0)</f>
        <v>0</v>
      </c>
      <c r="BH860">
        <f>IF(AV860=0,0,$BG$805*$AM$790)</f>
        <v>0</v>
      </c>
      <c r="BI860">
        <f>IFERROR(BH860/$AU$805,0)</f>
        <v>0</v>
      </c>
      <c r="BJ860">
        <f>BH860*($F$22+IF($F$22=0,0,($C$14+$C$15+IF($C$13="single",1.5,3)+3)/12))</f>
        <v>0</v>
      </c>
      <c r="BK860">
        <f>BJ860-BA860</f>
        <v>0</v>
      </c>
      <c r="BL860" cm="1">
        <f t="array" ref="BL860">IFERROR(IF(BK860&lt;0,0,BK860/($AU$805-INDEX(hd_off,MATCH(BT860,hd_mark,0),0)/12)),0)</f>
        <v>0</v>
      </c>
      <c r="BM860">
        <f>MAX($F$22,$BC$805)/$Q$820</f>
        <v>0.30172413793103448</v>
      </c>
      <c r="BN860">
        <f t="shared" ref="BN860:BN863" si="535">IF(BM860=0,0,IF(BM860&gt;2,1.25-0.125*BM860,1))</f>
        <v>1</v>
      </c>
      <c r="BO860" cm="1">
        <f t="array" ref="BO860">IFERROR(INDEX(sheath_ecap_asd,MATCH(BS860,sheath_mark,0),0)*BN860,0)</f>
        <v>0</v>
      </c>
      <c r="BP860" cm="1">
        <f t="array" ref="BP860">IFERROR(INDEX(sheath_wcap_asd,MATCH(BS860,sheath_mark,0),0)*BN860,0)</f>
        <v>0</v>
      </c>
      <c r="BQ860" cm="1">
        <f t="array" ref="BQ860">IFERROR(INDEX(hd_cap,MATCH(BT860,hd_mark,0),0),0)</f>
        <v>0</v>
      </c>
      <c r="BS860" s="19"/>
      <c r="BT860" s="19"/>
      <c r="BU860" s="100"/>
    </row>
    <row r="861" x14ac:dyDescent="0.25">
      <c r="P861" s="93"/>
      <c r="Q861" s="109" t="s">
        <v>491</v>
      </c>
      <c r="R861" t="str">
        <f>$Q$791</f>
        <v>L4</v>
      </c>
      <c r="S861">
        <f>$E$23</f>
        <v>0</v>
      </c>
      <c r="T861" cm="1">
        <f t="array" ref="T861">IFERROR(IF(S861=0,0,(INDEX($C$33:$C$38,MATCH($W$805,$B$33:$B$38,0),0)*(S863+$X$805)+$T$805*COUNTIF(S861:S862,"&gt;0")*$C$32+$V$805*$C$31)*$R$805),0)</f>
        <v>0</v>
      </c>
      <c r="U861">
        <f>IF(S861=0,0,-(COUNTIF(S861:S862,"&gt;0")*$T$805*$C$32+$V$805*$C$31)*$H$27*$R$805)</f>
        <v>0</v>
      </c>
      <c r="V861">
        <f>IF(S861=0,0,$V$805*$H$26*$R$805)</f>
        <v>0</v>
      </c>
      <c r="W861">
        <f>(0.6*T861+0.7*U861)*$R$805/2</f>
        <v>0</v>
      </c>
      <c r="X861">
        <f>T861*$R$805/2</f>
        <v>0</v>
      </c>
      <c r="Z861">
        <f>IF(S861=0,0,$AD$805*$AP$791)</f>
        <v>0</v>
      </c>
      <c r="AA861">
        <f>IFERROR(Z861/$R$805,0)</f>
        <v>0</v>
      </c>
      <c r="AB861">
        <f>Z861*($F$23+IF($F$23=0,0,($C$14+$C$15+IF($C$13="single",1.5,3)+3)/12))</f>
        <v>0</v>
      </c>
      <c r="AC861">
        <f>AB861-W861</f>
        <v>0</v>
      </c>
      <c r="AD861" cm="1">
        <f t="array" ref="AD861">IFERROR(IF(AC861&lt;0,0,AC861/($R$805-INDEX(hd_off,MATCH(AQ861,hd_mark,0),0)/12)),0)</f>
        <v>0</v>
      </c>
      <c r="AE861">
        <f>IF(S861=0,0,$AD$805*$AM$791)</f>
        <v>0</v>
      </c>
      <c r="AF861">
        <f>IFERROR(AE861/$R$805,0)</f>
        <v>0</v>
      </c>
      <c r="AG861">
        <f>AE861*($F$23+IF($F$23=0,0,($C$14+$C$15+IF($C$13="single",1.5,3)+3)/12))</f>
        <v>0</v>
      </c>
      <c r="AH861">
        <f>AG861-X861</f>
        <v>0</v>
      </c>
      <c r="AI861" cm="1">
        <f t="array" ref="AI861">IFERROR(IF(AH861&lt;0,0,AH861/($R$805-INDEX(hd_off,MATCH(AQ861,hd_mark,0),0)/12)),0)</f>
        <v>0</v>
      </c>
      <c r="AJ861">
        <f>MAX($F$23,$AA$805)/$Q$820</f>
        <v>0</v>
      </c>
      <c r="AK861">
        <f t="shared" si="534"/>
        <v>0</v>
      </c>
      <c r="AL861" cm="1">
        <f t="array" ref="AL861">IFERROR(INDEX(sheath_ecap_asd,MATCH(AP861,sheath_mark,0),0)*AK861,0)</f>
        <v>0</v>
      </c>
      <c r="AM861" cm="1">
        <f t="array" ref="AM861">IFERROR(INDEX(sheath_wcap_asd,MATCH(AP861,sheath_mark,0),0)*AK861,0)</f>
        <v>0</v>
      </c>
      <c r="AN861" cm="1">
        <f t="array" ref="AN861">IFERROR(INDEX(hd_cap,MATCH(AQ861,hd_mark,0),0),0)</f>
        <v>0</v>
      </c>
      <c r="AP861" s="19"/>
      <c r="AQ861" s="19"/>
      <c r="AR861" s="100"/>
      <c r="AS861" s="93"/>
      <c r="AT861" s="109" t="s">
        <v>491</v>
      </c>
      <c r="AU861" t="str">
        <f>$Q$791</f>
        <v>L4</v>
      </c>
      <c r="AV861">
        <f>$E$23</f>
        <v>0</v>
      </c>
      <c r="AW861" cm="1">
        <f t="array" ref="AW861">IFERROR(IF(AV861=0,0,(INDEX($C$33:$C$38,MATCH($AZ$805,$B$33:$B$38,0),0)*(AV863+$BA$805)+$AW$805*COUNTIF(AV861:AV862,"&gt;0")*$C$32+$AY$805*$C$31)*$AU$805),0)</f>
        <v>0</v>
      </c>
      <c r="AX861">
        <f>IF(AV861=0,0,-(COUNTIF(AV861:AV862,"&gt;0")*$AW$805*$C$32+$AY$805*$C$31)*$H$27*$AU$805)</f>
        <v>0</v>
      </c>
      <c r="AY861">
        <f>IF(AV861=0,0,$AY$805*$H$26*$AU$805)</f>
        <v>0</v>
      </c>
      <c r="AZ861">
        <f>(0.6*AW861+0.7*AX861)*$AU$805/2</f>
        <v>0</v>
      </c>
      <c r="BA861">
        <f>AW861*$AU$805/2</f>
        <v>0</v>
      </c>
      <c r="BC861">
        <f>IF(AV861=0,0,$BG$805*$AP$791)</f>
        <v>0</v>
      </c>
      <c r="BD861">
        <f>IFERROR(BC861/$AU$805,0)</f>
        <v>0</v>
      </c>
      <c r="BE861">
        <f>BC861*($F$23+IF($F$23=0,0,($C$14+$C$15+IF($C$13="single",1.5,3)+3)/12))</f>
        <v>0</v>
      </c>
      <c r="BF861">
        <f>BE861-AZ861</f>
        <v>0</v>
      </c>
      <c r="BG861" cm="1">
        <f t="array" ref="BG861">IFERROR(IF(BF861&lt;0,0,BF861/($AU$805-INDEX(hd_off,MATCH(BT861,hd_mark,0),0)/12)),0)</f>
        <v>0</v>
      </c>
      <c r="BH861">
        <f>IF(AV861=0,0,$BG$805*$AM$791)</f>
        <v>0</v>
      </c>
      <c r="BI861">
        <f>IFERROR(BH861/$AU$805,0)</f>
        <v>0</v>
      </c>
      <c r="BJ861">
        <f>BH861*($F$23+IF($F$23=0,0,($C$14+$C$15+IF($C$13="single",1.5,3)+3)/12))</f>
        <v>0</v>
      </c>
      <c r="BK861">
        <f>BJ861-BA861</f>
        <v>0</v>
      </c>
      <c r="BL861" cm="1">
        <f t="array" ref="BL861">IFERROR(IF(BK861&lt;0,0,BK861/($AU$805-INDEX(hd_off,MATCH(BT861,hd_mark,0),0)/12)),0)</f>
        <v>0</v>
      </c>
      <c r="BM861">
        <f>MAX($F$23,$BD$805)/$Q$820</f>
        <v>0</v>
      </c>
      <c r="BN861">
        <f t="shared" si="535"/>
        <v>0</v>
      </c>
      <c r="BO861" cm="1">
        <f t="array" ref="BO861">IFERROR(INDEX(sheath_ecap_asd,MATCH(BS861,sheath_mark,0),0)*BN861,0)</f>
        <v>0</v>
      </c>
      <c r="BP861" cm="1">
        <f t="array" ref="BP861">IFERROR(INDEX(sheath_wcap_asd,MATCH(BS861,sheath_mark,0),0)*BN861,0)</f>
        <v>0</v>
      </c>
      <c r="BQ861" cm="1">
        <f t="array" ref="BQ861">IFERROR(INDEX(hd_cap,MATCH(BT861,hd_mark,0),0),0)</f>
        <v>0</v>
      </c>
      <c r="BS861" s="19"/>
      <c r="BT861" s="19"/>
      <c r="BU861" s="100"/>
    </row>
    <row r="862" x14ac:dyDescent="0.25">
      <c r="P862" s="93"/>
      <c r="Q862" s="111">
        <f>$R$805</f>
        <v>0</v>
      </c>
      <c r="R862" t="str">
        <f>$Q$792</f>
        <v>L5</v>
      </c>
      <c r="S862">
        <f>$E$24</f>
        <v>0</v>
      </c>
      <c r="T862" cm="1">
        <f t="array" ref="T862">IFERROR(IF(S862=0,0,(INDEX($C$33:$C$38,MATCH($W$805,$B$33:$B$38,0),0)*(S863+$X$805)+$T$805*COUNTIF(S862:S862,"&gt;0")*$C$32+$V$805*$C$31)*$R$805),0)</f>
        <v>0</v>
      </c>
      <c r="U862">
        <f>IF(S862=0,0,-(COUNTIF(S862:S862,"&gt;0")*$T$805*$C$32+$V$805*$C$31)*$H$27*$R$805)</f>
        <v>0</v>
      </c>
      <c r="V862">
        <f>IF(S862=0,0,$V$805*$H$26*$R$805)</f>
        <v>0</v>
      </c>
      <c r="W862">
        <f>(0.6*T862+0.7*U862)*$R$805/2</f>
        <v>0</v>
      </c>
      <c r="X862">
        <f>T862*$R$805/2</f>
        <v>0</v>
      </c>
      <c r="Z862">
        <f>IF(S862=0,0,$AD$805*$AP$792)</f>
        <v>0</v>
      </c>
      <c r="AA862">
        <f>IFERROR(Z862/$R$805,0)</f>
        <v>0</v>
      </c>
      <c r="AB862">
        <f>Z862*($F$24+IF($F$24=0,0,($C$14+$C$15+IF($C$13="single",1.5,3)+3)/12))</f>
        <v>0</v>
      </c>
      <c r="AC862">
        <f>AB862-W862</f>
        <v>0</v>
      </c>
      <c r="AD862" cm="1">
        <f t="array" ref="AD862">IFERROR(IF(AC862&lt;0,0,AC862/($R$805-INDEX(hd_off,MATCH(AQ862,hd_mark,0),0)/12)),0)</f>
        <v>0</v>
      </c>
      <c r="AE862">
        <f>IF(S862=0,0,$AD$805*$AM$792)</f>
        <v>0</v>
      </c>
      <c r="AF862">
        <f>IFERROR(AE862/$R$805,0)</f>
        <v>0</v>
      </c>
      <c r="AG862">
        <f>AE862*($F$24+IF($F$24=0,0,($C$14+$C$15+IF($C$13="single",1.5,3)+3)/12))</f>
        <v>0</v>
      </c>
      <c r="AH862">
        <f>AG862-X862</f>
        <v>0</v>
      </c>
      <c r="AI862" cm="1">
        <f t="array" ref="AI862">IFERROR(IF(AH862&lt;0,0,AH862/($R$805-INDEX(hd_off,MATCH(AQ862,hd_mark,0),0)/12)),0)</f>
        <v>0</v>
      </c>
      <c r="AJ862">
        <f>MAX($F$24,$AB$805)/$Q$820</f>
        <v>0</v>
      </c>
      <c r="AK862">
        <f t="shared" si="534"/>
        <v>0</v>
      </c>
      <c r="AL862" cm="1">
        <f t="array" ref="AL862">IFERROR(INDEX(sheath_ecap_asd,MATCH(AP862,sheath_mark,0),0)*AK862,0)</f>
        <v>0</v>
      </c>
      <c r="AM862" cm="1">
        <f t="array" ref="AM862">IFERROR(INDEX(sheath_wcap_asd,MATCH(AP862,sheath_mark,0),0)*AK862,0)</f>
        <v>0</v>
      </c>
      <c r="AN862" cm="1">
        <f t="array" ref="AN862">IFERROR(INDEX(hd_cap,MATCH(AQ862,hd_mark,0),0),0)</f>
        <v>0</v>
      </c>
      <c r="AP862" s="19"/>
      <c r="AQ862" s="19"/>
      <c r="AR862" s="100"/>
      <c r="AS862" s="93"/>
      <c r="AT862" s="111">
        <f>$R$805</f>
        <v>0</v>
      </c>
      <c r="AU862" t="str">
        <f>$Q$792</f>
        <v>L5</v>
      </c>
      <c r="AV862">
        <f>$E$24</f>
        <v>0</v>
      </c>
      <c r="AW862" cm="1">
        <f t="array" ref="AW862">IFERROR(IF(AV862=0,0,(INDEX($C$33:$C$38,MATCH($AZ$805,$B$33:$B$38,0),0)*(AV863+$BA$805)+$AW$805*COUNTIF(AV862:AV862,"&gt;0")*$C$32+$AY$805*$C$31)*$AU$805),0)</f>
        <v>0</v>
      </c>
      <c r="AX862">
        <f>IF(AV862=0,0,-(COUNTIF(AV862:AV862,"&gt;0")*$AW$805*$C$32+$AY$805*$C$31)*$H$27*$AU$805)</f>
        <v>0</v>
      </c>
      <c r="AY862">
        <f>IF(AV862=0,0,$AY$805*$H$26*$AU$805)</f>
        <v>0</v>
      </c>
      <c r="AZ862">
        <f>(0.6*AW862+0.7*AX862)*$AU$805/2</f>
        <v>0</v>
      </c>
      <c r="BA862">
        <f>AW862*$AU$805/2</f>
        <v>0</v>
      </c>
      <c r="BC862">
        <f>IF(AV862=0,0,$BG$805*$AP$792)</f>
        <v>0</v>
      </c>
      <c r="BD862">
        <f>IFERROR(BC862/$AU$805,0)</f>
        <v>0</v>
      </c>
      <c r="BE862">
        <f>BC862*($F$24+IF($F$24=0,0,($C$14+$C$15+IF($C$13="single",1.5,3)+3)/12))</f>
        <v>0</v>
      </c>
      <c r="BF862">
        <f>BE862-AZ862</f>
        <v>0</v>
      </c>
      <c r="BG862" cm="1">
        <f t="array" ref="BG862">IFERROR(IF(BF862&lt;0,0,BF862/($AU$805-INDEX(hd_off,MATCH(BT862,hd_mark,0),0)/12)),0)</f>
        <v>0</v>
      </c>
      <c r="BH862">
        <f>IF(AV862=0,0,$BG$805*$AM$792)</f>
        <v>0</v>
      </c>
      <c r="BI862">
        <f>IFERROR(BH862/$AU$805,0)</f>
        <v>0</v>
      </c>
      <c r="BJ862">
        <f>BH862*($F$24+IF($F$24=0,0,($C$14+$C$15+IF($C$13="single",1.5,3)+3)/12))</f>
        <v>0</v>
      </c>
      <c r="BK862">
        <f>BJ862-BA862</f>
        <v>0</v>
      </c>
      <c r="BL862" cm="1">
        <f t="array" ref="BL862">IFERROR(IF(BK862&lt;0,0,BK862/($AU$805-INDEX(hd_off,MATCH(BT862,hd_mark,0),0)/12)),0)</f>
        <v>0</v>
      </c>
      <c r="BM862">
        <f>MAX($F$24,$BE$805)/$Q$820</f>
        <v>0</v>
      </c>
      <c r="BN862">
        <f t="shared" si="535"/>
        <v>0</v>
      </c>
      <c r="BO862" cm="1">
        <f t="array" ref="BO862">IFERROR(INDEX(sheath_ecap_asd,MATCH(BS862,sheath_mark,0),0)*BN862,0)</f>
        <v>0</v>
      </c>
      <c r="BP862" cm="1">
        <f t="array" ref="BP862">IFERROR(INDEX(sheath_wcap_asd,MATCH(BS862,sheath_mark,0),0)*BN862,0)</f>
        <v>0</v>
      </c>
      <c r="BQ862" cm="1">
        <f t="array" ref="BQ862">IFERROR(INDEX(hd_cap,MATCH(BT862,hd_mark,0),0),0)</f>
        <v>0</v>
      </c>
      <c r="BS862" s="19"/>
      <c r="BT862" s="19"/>
      <c r="BU862" s="100"/>
    </row>
    <row r="863" x14ac:dyDescent="0.25">
      <c r="P863" s="93"/>
      <c r="Q863" s="109"/>
      <c r="R863" t="str">
        <f>$Q$793</f>
        <v>Roof</v>
      </c>
      <c r="S863">
        <f>$E$25</f>
        <v>33.171875</v>
      </c>
      <c r="T863" cm="1">
        <f t="array" ref="T863">IFERROR(IF(S863=0,0,(INDEX($C$33:$C$38,MATCH($W$805,$B$33:$B$38,0),0)*(S863+$X$805)+$V$805*$C$31)*$R$805),0)</f>
        <v>0</v>
      </c>
      <c r="U863">
        <f>IF(S863=0,0,-$V$805*$C$31*$H$27*$R$805)</f>
        <v>0</v>
      </c>
      <c r="V863">
        <f>IF(S863=0,0,$V$805*$H$26*$R$805)</f>
        <v>0</v>
      </c>
      <c r="W863">
        <f>(0.6*T863+0.7*U863)*$R$805/2</f>
        <v>0</v>
      </c>
      <c r="X863">
        <f>T863*$R$805/2</f>
        <v>0</v>
      </c>
      <c r="Z863">
        <f>IF(S863=0,0,$AD$805*$AP$793)</f>
        <v>0</v>
      </c>
      <c r="AA863">
        <f>IFERROR(Z863/$R$805,0)</f>
        <v>0</v>
      </c>
      <c r="AB863">
        <f>Z863*($F$25+($C$16+$C$17+IF($C$13="single",1.5,3)+3)/12)</f>
        <v>0</v>
      </c>
      <c r="AC863">
        <f>AB863-W863</f>
        <v>0</v>
      </c>
      <c r="AD863" cm="1">
        <f t="array" ref="AD863">IFERROR(IF(AC863&lt;0,0,AC863/($R$805-INDEX(hd_off,MATCH(AQ863,hd_mark,0),0)/12)),0)</f>
        <v>0</v>
      </c>
      <c r="AE863">
        <f>IF(S863=0,0,$AD$805*$AM$793)</f>
        <v>0</v>
      </c>
      <c r="AF863">
        <f>IFERROR(AE863/$R$805,0)</f>
        <v>0</v>
      </c>
      <c r="AG863">
        <f>AE863*($F$25+($C$16+$C$17+IF($C$13="single",1.5,3)+3)/12)</f>
        <v>0</v>
      </c>
      <c r="AH863">
        <f>AG863-X863</f>
        <v>0</v>
      </c>
      <c r="AI863" cm="1">
        <f t="array" ref="AI863">IFERROR(IF(AH863&lt;0,0,AH863/($R$805-INDEX(hd_off,MATCH(AQ863,hd_mark,0),0)/12)),0)</f>
        <v>0</v>
      </c>
      <c r="AJ863">
        <f>MAX($F$25,$AC$805)/$Q$820</f>
        <v>0.29920977011494249</v>
      </c>
      <c r="AK863">
        <f t="shared" si="534"/>
        <v>1</v>
      </c>
      <c r="AL863" cm="1">
        <f t="array" ref="AL863">IFERROR(INDEX(sheath_ecap_asd,MATCH(AP863,sheath_mark,0),0)*AK863,0)</f>
        <v>0</v>
      </c>
      <c r="AM863" cm="1">
        <f t="array" ref="AM863">IFERROR(INDEX(sheath_wcap_asd,MATCH(AP863,sheath_mark,0),0)*AK863,0)</f>
        <v>0</v>
      </c>
      <c r="AN863" cm="1">
        <f t="array" ref="AN863">IFERROR(INDEX(hd_cap,MATCH(AQ863,hd_mark,0),0),0)</f>
        <v>0</v>
      </c>
      <c r="AP863" s="19"/>
      <c r="AQ863" s="19"/>
      <c r="AR863" s="100"/>
      <c r="AS863" s="93"/>
      <c r="AT863" s="109"/>
      <c r="AU863" t="str">
        <f>$Q$793</f>
        <v>Roof</v>
      </c>
      <c r="AV863">
        <f>$E$25</f>
        <v>33.171875</v>
      </c>
      <c r="AW863" cm="1">
        <f t="array" ref="AW863">IFERROR(IF(AV863=0,0,(INDEX($C$33:$C$38,MATCH($AZ$805,$B$33:$B$38,0),0)*(AV863+$BA$805)+$AY$805*$C$31)*$AU$805),0)</f>
        <v>0</v>
      </c>
      <c r="AX863">
        <f>IF(AV863=0,0,-$AY$805*$C$31*$H$27*$AU$805)</f>
        <v>0</v>
      </c>
      <c r="AY863">
        <f>IF(AV863=0,0,$AY$805*$H$26*$AU$805)</f>
        <v>0</v>
      </c>
      <c r="AZ863">
        <f>(0.6*AW863+0.7*AX863)*$AU$805/2</f>
        <v>0</v>
      </c>
      <c r="BA863">
        <f>AW863*$AU$805/2</f>
        <v>0</v>
      </c>
      <c r="BC863">
        <f>IF(AV863=0,0,$BG$805*$AP$793)</f>
        <v>0</v>
      </c>
      <c r="BD863">
        <f>IFERROR(BC863/$AU$805,0)</f>
        <v>0</v>
      </c>
      <c r="BE863">
        <f>BC863*($F$25+($C$16+$C$17+IF($C$13="single",1.5,3)+3)/12)</f>
        <v>0</v>
      </c>
      <c r="BF863">
        <f>BE863-AZ863</f>
        <v>0</v>
      </c>
      <c r="BG863" cm="1">
        <f t="array" ref="BG863">IFERROR(IF(BF863&lt;0,0,BF863/($AU$805-INDEX(hd_off,MATCH(BT863,hd_mark,0),0)/12)),0)</f>
        <v>0</v>
      </c>
      <c r="BH863">
        <f>IF(AV863=0,0,$BG$805*$AM$793)</f>
        <v>0</v>
      </c>
      <c r="BI863">
        <f>IFERROR(BH863/$AU$805,0)</f>
        <v>0</v>
      </c>
      <c r="BJ863">
        <f>BH863*($F$25+($C$16+$C$17+IF($C$13="single",1.5,3)+3)/12)</f>
        <v>0</v>
      </c>
      <c r="BK863">
        <f>BJ863-BA863</f>
        <v>0</v>
      </c>
      <c r="BL863" cm="1">
        <f t="array" ref="BL863">IFERROR(IF(BK863&lt;0,0,BK863/($AU$805-INDEX(hd_off,MATCH(BT863,hd_mark,0),0)/12)),0)</f>
        <v>0</v>
      </c>
      <c r="BM863">
        <f>MAX($F$25,$BF$805)/$Q$820</f>
        <v>0.29920977011494249</v>
      </c>
      <c r="BN863">
        <f t="shared" si="535"/>
        <v>1</v>
      </c>
      <c r="BO863" cm="1">
        <f t="array" ref="BO863">IFERROR(INDEX(sheath_ecap_asd,MATCH(BS863,sheath_mark,0),0)*BN863,0)</f>
        <v>0</v>
      </c>
      <c r="BP863" cm="1">
        <f t="array" ref="BP863">IFERROR(INDEX(sheath_wcap_asd,MATCH(BS863,sheath_mark,0),0)*BN863,0)</f>
        <v>0</v>
      </c>
      <c r="BQ863" cm="1">
        <f t="array" ref="BQ863">IFERROR(INDEX(hd_cap,MATCH(BT863,hd_mark,0),0),0)</f>
        <v>0</v>
      </c>
      <c r="BS863" s="19"/>
      <c r="BT863" s="19"/>
      <c r="BU863" s="100"/>
    </row>
    <row r="864" x14ac:dyDescent="0.25">
      <c r="P864" s="93"/>
      <c r="AR864" s="100"/>
      <c r="AS864" s="93"/>
      <c r="BU864" s="100"/>
    </row>
    <row r="865" x14ac:dyDescent="0.25">
      <c r="P865" s="93"/>
      <c r="Q865" s="110" t="str">
        <f>$Q$806</f>
        <v>A.09</v>
      </c>
      <c r="R865" t="str">
        <f>$Q$789</f>
        <v>L2</v>
      </c>
      <c r="S865">
        <f>$E$21</f>
        <v>10.6875</v>
      </c>
      <c r="T865" cm="1">
        <f t="array" ref="T865">IFERROR(IF(S865=0,0,(INDEX($C$33:$C$38,MATCH($W$806,$B$33:$B$38,0),0)*(S869+$X$806)+$T$806*COUNTIF(S865:S868,"&gt;0")*$C$32+$V$806*$C$31)*$R$806),0)</f>
        <v>0</v>
      </c>
      <c r="U865">
        <f>IF(S865=0,0,-(COUNTIF(S865:S868,"&gt;0")*$T$806*$C$32+$V$806*$C$31)*$H$27*$R$806)</f>
        <v>0</v>
      </c>
      <c r="V865">
        <f>IF(S865=0,0,$V$806*$H$26*$R$806)</f>
        <v>0</v>
      </c>
      <c r="W865">
        <f>(0.6*T865+0.7*U865)*$R$806/2</f>
        <v>0</v>
      </c>
      <c r="X865">
        <f>(0.6*T865+0.6*V865)*$R$806/2</f>
        <v>0</v>
      </c>
      <c r="Z865">
        <f>IF(S865=0,0,$AD$806*$AP$789)</f>
        <v>0</v>
      </c>
      <c r="AA865">
        <f>IFERROR(Z865/$R$806,0)</f>
        <v>0</v>
      </c>
      <c r="AB865">
        <f>Z865*($F$21+IF($F$21=0,0,($C$14+$C$15+IF($C$13="single",1.5,3)+3)/12))</f>
        <v>0</v>
      </c>
      <c r="AC865">
        <f>AB865-W865</f>
        <v>0</v>
      </c>
      <c r="AD865" cm="1">
        <f t="array" ref="AD865">IFERROR(IF(AC865&lt;0,0,AC865/($R$806-INDEX(hd_off,MATCH(AQ865,hd_mark,0),0)/12)),0)</f>
        <v>0</v>
      </c>
      <c r="AE865">
        <f>IF(S865=0,0,$AD$806*$AM$789)</f>
        <v>0</v>
      </c>
      <c r="AF865">
        <f>IFERROR(AE865/$R$806,0)</f>
        <v>0</v>
      </c>
      <c r="AG865">
        <f>AE865*($F$21+IF($F$21=0,0,($C$14+$C$15+IF($C$13="single",1.5,3)+3)/12))</f>
        <v>0</v>
      </c>
      <c r="AH865">
        <f>AG865-X865</f>
        <v>0</v>
      </c>
      <c r="AI865" cm="1">
        <f t="array" ref="AI865">IFERROR(IF(AH865&lt;0,0,AH865/($R$806-INDEX(hd_off,MATCH(AQ865,hd_mark,0),0)/12)),0)</f>
        <v>0</v>
      </c>
      <c r="AJ865">
        <f>MAX($F$21,$Y$806)/$Q$820</f>
        <v>0.30172413793103448</v>
      </c>
      <c r="AK865">
        <f>IF(AJ865=0,0,IF(AJ865&gt;2,1.25-0.125*AJ865,1))</f>
        <v>1</v>
      </c>
      <c r="AL865" cm="1">
        <f t="array" ref="AL865">IFERROR(INDEX(sheath_ecap_asd,MATCH(AP865,sheath_mark,0),0)*AK865,0)</f>
        <v>0</v>
      </c>
      <c r="AM865" cm="1">
        <f t="array" ref="AM865">IFERROR(INDEX(sheath_wcap_asd,MATCH(AP865,sheath_mark,0),0)*AK865,0)</f>
        <v>0</v>
      </c>
      <c r="AN865" cm="1">
        <f t="array" ref="AN865">IFERROR(INDEX(hd_cap,MATCH(AQ865,hd_mark,0),0),0)</f>
        <v>0</v>
      </c>
      <c r="AP865" s="19"/>
      <c r="AQ865" s="19"/>
      <c r="AR865" s="100"/>
      <c r="AS865" s="93"/>
      <c r="AT865" s="110" t="str">
        <f>$AT$806</f>
        <v>1.09</v>
      </c>
      <c r="AU865" t="str">
        <f>$Q$789</f>
        <v>L2</v>
      </c>
      <c r="AV865">
        <f>$E$21</f>
        <v>10.6875</v>
      </c>
      <c r="AW865" cm="1">
        <f t="array" ref="AW865">IFERROR(IF(AV865=0,0,(INDEX($C$33:$C$38,MATCH($AZ$806,$B$33:$B$38,0),0)*(AV869+$BA$806)+$AW$806*COUNTIF(AV865:AV868,"&gt;0")*$C$32+$AY$806*$C$31)*$AU$806),0)</f>
        <v>0</v>
      </c>
      <c r="AX865">
        <f>IF(AV865=0,0,-(COUNTIF(AV865:AV868,"&gt;0")*$AW$806*$C$32+$AY$806*$C$31)*$H$27*$AU$806)</f>
        <v>0</v>
      </c>
      <c r="AY865">
        <f>IF(AV865=0,0,$AY$806*$H$26*$AU$806)</f>
        <v>0</v>
      </c>
      <c r="AZ865">
        <f>(0.6*AW865+0.7*AX865)*$AU$806/2</f>
        <v>0</v>
      </c>
      <c r="BA865">
        <f>(0.6*AW865+0.6*AY865)*$AU$806/2</f>
        <v>0</v>
      </c>
      <c r="BC865">
        <f>IF(AV865=0,0,$BG$806*$AP$789)</f>
        <v>0</v>
      </c>
      <c r="BD865">
        <f>IFERROR(BC865/$AU$806,0)</f>
        <v>0</v>
      </c>
      <c r="BE865">
        <f>BC865*($F$21+IF($F$21=0,0,($C$14+$C$15+IF($C$13="single",1.5,3)+3)/12))</f>
        <v>0</v>
      </c>
      <c r="BF865">
        <f>BE865-AZ865</f>
        <v>0</v>
      </c>
      <c r="BG865" cm="1">
        <f t="array" ref="BG865">IFERROR(IF(BF865&lt;0,0,BF865/($AU$806-INDEX(hd_off,MATCH(BT865,hd_mark,0),0)/12)),0)</f>
        <v>0</v>
      </c>
      <c r="BH865">
        <f>IF(AV865=0,0,$BG$806*$AM$789)</f>
        <v>0</v>
      </c>
      <c r="BI865">
        <f>IFERROR(BH865/$AU$806,0)</f>
        <v>0</v>
      </c>
      <c r="BJ865">
        <f>BH865*($F$21+IF($F$21=0,0,($C$14+$C$15+IF($C$13="single",1.5,3)+3)/12))</f>
        <v>0</v>
      </c>
      <c r="BK865">
        <f>BJ865-BA865</f>
        <v>0</v>
      </c>
      <c r="BL865" cm="1">
        <f t="array" ref="BL865">IFERROR(IF(BK865&lt;0,0,BK865/($AU$806-INDEX(hd_off,MATCH(BT865,hd_mark,0),0)/12)),0)</f>
        <v>0</v>
      </c>
      <c r="BM865">
        <f>MAX($F$21,$BB$806)/$Q$820</f>
        <v>0.30172413793103448</v>
      </c>
      <c r="BN865">
        <f>IF(BM865=0,0,IF(BM865&gt;2,1.25-0.125*BM865,1))</f>
        <v>1</v>
      </c>
      <c r="BO865" cm="1">
        <f t="array" ref="BO865">IFERROR(INDEX(sheath_ecap_asd,MATCH(BS865,sheath_mark,0),0)*BN865,0)</f>
        <v>0</v>
      </c>
      <c r="BP865" cm="1">
        <f t="array" ref="BP865">IFERROR(INDEX(sheath_wcap_asd,MATCH(BS865,sheath_mark,0),0)*BN865,0)</f>
        <v>0</v>
      </c>
      <c r="BQ865" cm="1">
        <f t="array" ref="BQ865">IFERROR(INDEX(hd_cap,MATCH(BT865,hd_mark,0),0),0)</f>
        <v>0</v>
      </c>
      <c r="BS865" s="19"/>
      <c r="BT865" s="19"/>
      <c r="BU865" s="100"/>
    </row>
    <row r="866" x14ac:dyDescent="0.25">
      <c r="P866" s="93"/>
      <c r="Q866" s="109"/>
      <c r="R866" t="str">
        <f>$Q$790</f>
        <v>L3</v>
      </c>
      <c r="S866">
        <f>$E$22</f>
        <v>21.375</v>
      </c>
      <c r="T866" cm="1">
        <f t="array" ref="T866">IFERROR(IF(S866=0,0,(INDEX($C$33:$C$38,MATCH($W$806,$B$33:$B$38,0),0)*(S869+$X$806)+$T$806*COUNTIF(S866:S868,"&gt;0")*$C$32+$V$806*$C$31)*$R$806),0)</f>
        <v>0</v>
      </c>
      <c r="U866">
        <f>IF(S866=0,0,-(COUNTIF(S866:S868,"&gt;0")*$T$806*$C$32+$V$806*$C$31)*$H$27*$R$806)</f>
        <v>0</v>
      </c>
      <c r="V866">
        <f>IF(S866=0,0,$V$806*$H$26*$R$806)</f>
        <v>0</v>
      </c>
      <c r="W866">
        <f>(0.6*T866+0.7*U866)*$R$806/2</f>
        <v>0</v>
      </c>
      <c r="X866">
        <f>T866*$R$806/2</f>
        <v>0</v>
      </c>
      <c r="Z866">
        <f>IF(S866=0,0,$AD$806*$AP$790)</f>
        <v>0</v>
      </c>
      <c r="AA866">
        <f>IFERROR(Z866/$R$806,0)</f>
        <v>0</v>
      </c>
      <c r="AB866">
        <f>Z866*($F$22+IF($F$22=0,0,($C$14+$C$15+IF($C$13="single",1.5,3)+3)/12))</f>
        <v>0</v>
      </c>
      <c r="AC866">
        <f>AB866-W866</f>
        <v>0</v>
      </c>
      <c r="AD866" cm="1">
        <f t="array" ref="AD866">IFERROR(IF(AC866&lt;0,0,AC866/($R$806-INDEX(hd_off,MATCH(AQ866,hd_mark,0),0)/12)),0)</f>
        <v>0</v>
      </c>
      <c r="AE866">
        <f>IF(S866=0,0,$AD$806*$AM$790)</f>
        <v>0</v>
      </c>
      <c r="AF866">
        <f>IFERROR(AE866/$R$806,0)</f>
        <v>0</v>
      </c>
      <c r="AG866">
        <f>AE866*($F$22+IF($F$22=0,0,($C$14+$C$15+IF($C$13="single",1.5,3)+3)/12))</f>
        <v>0</v>
      </c>
      <c r="AH866">
        <f>AG866-X866</f>
        <v>0</v>
      </c>
      <c r="AI866" cm="1">
        <f t="array" ref="AI866">IFERROR(IF(AH866&lt;0,0,AH866/($R$806-INDEX(hd_off,MATCH(AQ866,hd_mark,0),0)/12)),0)</f>
        <v>0</v>
      </c>
      <c r="AJ866">
        <f>MAX($F$22,$Z$806)/$Q$820</f>
        <v>0.30172413793103448</v>
      </c>
      <c r="AK866">
        <f t="shared" ref="AK866:AK869" si="536">IF(AJ866=0,0,IF(AJ866&gt;2,1.25-0.125*AJ866,1))</f>
        <v>1</v>
      </c>
      <c r="AL866" cm="1">
        <f t="array" ref="AL866">IFERROR(INDEX(sheath_ecap_asd,MATCH(AP866,sheath_mark,0),0)*AK866,0)</f>
        <v>0</v>
      </c>
      <c r="AM866" cm="1">
        <f t="array" ref="AM866">IFERROR(INDEX(sheath_wcap_asd,MATCH(AP866,sheath_mark,0),0)*AK866,0)</f>
        <v>0</v>
      </c>
      <c r="AN866" cm="1">
        <f t="array" ref="AN866">IFERROR(INDEX(hd_cap,MATCH(AQ866,hd_mark,0),0),0)</f>
        <v>0</v>
      </c>
      <c r="AP866" s="19"/>
      <c r="AQ866" s="19"/>
      <c r="AR866" s="100"/>
      <c r="AS866" s="93"/>
      <c r="AT866" s="109"/>
      <c r="AU866" t="str">
        <f>$Q$790</f>
        <v>L3</v>
      </c>
      <c r="AV866">
        <f>$E$22</f>
        <v>21.375</v>
      </c>
      <c r="AW866" cm="1">
        <f t="array" ref="AW866">IFERROR(IF(AV866=0,0,(INDEX($C$33:$C$38,MATCH($AZ$806,$B$33:$B$38,0),0)*(AV869+$BA$806)+$AW$806*COUNTIF(AV866:AV868,"&gt;0")*$C$32+$AY$806*$C$31)*$AU$806),0)</f>
        <v>0</v>
      </c>
      <c r="AX866">
        <f>IF(AV866=0,0,-(COUNTIF(AV866:AV868,"&gt;0")*$AW$806*$C$32+$AY$806*$C$31)*$H$27*$AU$806)</f>
        <v>0</v>
      </c>
      <c r="AY866">
        <f>IF(AV866=0,0,$AY$806*$H$26*$AU$806)</f>
        <v>0</v>
      </c>
      <c r="AZ866">
        <f>(0.6*AW866+0.7*AX866)*$AU$806/2</f>
        <v>0</v>
      </c>
      <c r="BA866">
        <f>AW866*$AU$806/2</f>
        <v>0</v>
      </c>
      <c r="BC866">
        <f>IF(AV866=0,0,$BG$806*$AP$790)</f>
        <v>0</v>
      </c>
      <c r="BD866">
        <f>IFERROR(BC866/$AU$806,0)</f>
        <v>0</v>
      </c>
      <c r="BE866">
        <f>BC866*($F$22+IF($F$22=0,0,($C$14+$C$15+IF($C$13="single",1.5,3)+3)/12))</f>
        <v>0</v>
      </c>
      <c r="BF866">
        <f>BE866-AZ866</f>
        <v>0</v>
      </c>
      <c r="BG866" cm="1">
        <f t="array" ref="BG866">IFERROR(IF(BF866&lt;0,0,BF866/($AU$806-INDEX(hd_off,MATCH(BT866,hd_mark,0),0)/12)),0)</f>
        <v>0</v>
      </c>
      <c r="BH866">
        <f>IF(AV866=0,0,$BG$806*$AM$790)</f>
        <v>0</v>
      </c>
      <c r="BI866">
        <f>IFERROR(BH866/$AU$806,0)</f>
        <v>0</v>
      </c>
      <c r="BJ866">
        <f>BH866*($F$22+IF($F$22=0,0,($C$14+$C$15+IF($C$13="single",1.5,3)+3)/12))</f>
        <v>0</v>
      </c>
      <c r="BK866">
        <f>BJ866-BA866</f>
        <v>0</v>
      </c>
      <c r="BL866" cm="1">
        <f t="array" ref="BL866">IFERROR(IF(BK866&lt;0,0,BK866/($AU$806-INDEX(hd_off,MATCH(BT866,hd_mark,0),0)/12)),0)</f>
        <v>0</v>
      </c>
      <c r="BM866">
        <f>MAX($F$22,$BC$806)/$Q$820</f>
        <v>0.30172413793103448</v>
      </c>
      <c r="BN866">
        <f t="shared" ref="BN866:BN869" si="537">IF(BM866=0,0,IF(BM866&gt;2,1.25-0.125*BM866,1))</f>
        <v>1</v>
      </c>
      <c r="BO866" cm="1">
        <f t="array" ref="BO866">IFERROR(INDEX(sheath_ecap_asd,MATCH(BS866,sheath_mark,0),0)*BN866,0)</f>
        <v>0</v>
      </c>
      <c r="BP866" cm="1">
        <f t="array" ref="BP866">IFERROR(INDEX(sheath_wcap_asd,MATCH(BS866,sheath_mark,0),0)*BN866,0)</f>
        <v>0</v>
      </c>
      <c r="BQ866" cm="1">
        <f t="array" ref="BQ866">IFERROR(INDEX(hd_cap,MATCH(BT866,hd_mark,0),0),0)</f>
        <v>0</v>
      </c>
      <c r="BS866" s="19"/>
      <c r="BT866" s="19"/>
      <c r="BU866" s="100"/>
    </row>
    <row r="867" x14ac:dyDescent="0.25">
      <c r="P867" s="93"/>
      <c r="Q867" s="109" t="s">
        <v>491</v>
      </c>
      <c r="R867" t="str">
        <f>$Q$791</f>
        <v>L4</v>
      </c>
      <c r="S867">
        <f>$E$23</f>
        <v>0</v>
      </c>
      <c r="T867" cm="1">
        <f t="array" ref="T867">IFERROR(IF(S867=0,0,(INDEX($C$33:$C$38,MATCH($W$806,$B$33:$B$38,0),0)*(S869+$X$806)+$T$806*COUNTIF(S867:S868,"&gt;0")*$C$32+$V$806*$C$31)*$R$806),0)</f>
        <v>0</v>
      </c>
      <c r="U867">
        <f>IF(S867=0,0,-(COUNTIF(S867:S868,"&gt;0")*$T$806*$C$32+$V$806*$C$31)*$H$27*$R$806)</f>
        <v>0</v>
      </c>
      <c r="V867">
        <f>IF(S867=0,0,$V$806*$H$26*$R$806)</f>
        <v>0</v>
      </c>
      <c r="W867">
        <f>(0.6*T867+0.7*U867)*$R$806/2</f>
        <v>0</v>
      </c>
      <c r="X867">
        <f>T867*$R$806/2</f>
        <v>0</v>
      </c>
      <c r="Z867">
        <f>IF(S867=0,0,$AD$806*$AP$791)</f>
        <v>0</v>
      </c>
      <c r="AA867">
        <f>IFERROR(Z867/$R$806,0)</f>
        <v>0</v>
      </c>
      <c r="AB867">
        <f>Z867*($F$23+IF($F$23=0,0,($C$14+$C$15+IF($C$13="single",1.5,3)+3)/12))</f>
        <v>0</v>
      </c>
      <c r="AC867">
        <f>AB867-W867</f>
        <v>0</v>
      </c>
      <c r="AD867" cm="1">
        <f t="array" ref="AD867">IFERROR(IF(AC867&lt;0,0,AC867/($R$806-INDEX(hd_off,MATCH(AQ867,hd_mark,0),0)/12)),0)</f>
        <v>0</v>
      </c>
      <c r="AE867">
        <f>IF(S867=0,0,$AD$806*$AM$791)</f>
        <v>0</v>
      </c>
      <c r="AF867">
        <f>IFERROR(AE867/$R$806,0)</f>
        <v>0</v>
      </c>
      <c r="AG867">
        <f>AE867*($F$23+IF($F$23=0,0,($C$14+$C$15+IF($C$13="single",1.5,3)+3)/12))</f>
        <v>0</v>
      </c>
      <c r="AH867">
        <f>AG867-X867</f>
        <v>0</v>
      </c>
      <c r="AI867" cm="1">
        <f t="array" ref="AI867">IFERROR(IF(AH867&lt;0,0,AH867/($R$806-INDEX(hd_off,MATCH(AQ867,hd_mark,0),0)/12)),0)</f>
        <v>0</v>
      </c>
      <c r="AJ867">
        <f>MAX($F$23,$AA$806)/$Q$820</f>
        <v>0</v>
      </c>
      <c r="AK867">
        <f t="shared" si="536"/>
        <v>0</v>
      </c>
      <c r="AL867" cm="1">
        <f t="array" ref="AL867">IFERROR(INDEX(sheath_ecap_asd,MATCH(AP867,sheath_mark,0),0)*AK867,0)</f>
        <v>0</v>
      </c>
      <c r="AM867" cm="1">
        <f t="array" ref="AM867">IFERROR(INDEX(sheath_wcap_asd,MATCH(AP867,sheath_mark,0),0)*AK867,0)</f>
        <v>0</v>
      </c>
      <c r="AN867" cm="1">
        <f t="array" ref="AN867">IFERROR(INDEX(hd_cap,MATCH(AQ867,hd_mark,0),0),0)</f>
        <v>0</v>
      </c>
      <c r="AP867" s="19"/>
      <c r="AQ867" s="19"/>
      <c r="AR867" s="100"/>
      <c r="AS867" s="93"/>
      <c r="AT867" s="109" t="s">
        <v>491</v>
      </c>
      <c r="AU867" t="str">
        <f>$Q$791</f>
        <v>L4</v>
      </c>
      <c r="AV867">
        <f>$E$23</f>
        <v>0</v>
      </c>
      <c r="AW867" cm="1">
        <f t="array" ref="AW867">IFERROR(IF(AV867=0,0,(INDEX($C$33:$C$38,MATCH($AZ$806,$B$33:$B$38,0),0)*(AV869+$BA$806)+$AW$806*COUNTIF(AV867:AV868,"&gt;0")*$C$32+$AY$806*$C$31)*$AU$806),0)</f>
        <v>0</v>
      </c>
      <c r="AX867">
        <f>IF(AV867=0,0,-(COUNTIF(AV867:AV868,"&gt;0")*$AW$806*$C$32+$AY$806*$C$31)*$H$27*$AU$806)</f>
        <v>0</v>
      </c>
      <c r="AY867">
        <f>IF(AV867=0,0,$AY$806*$H$26*$AU$806)</f>
        <v>0</v>
      </c>
      <c r="AZ867">
        <f>(0.6*AW867+0.7*AX867)*$AU$806/2</f>
        <v>0</v>
      </c>
      <c r="BA867">
        <f>AW867*$AU$806/2</f>
        <v>0</v>
      </c>
      <c r="BC867">
        <f>IF(AV867=0,0,$BG$806*$AP$791)</f>
        <v>0</v>
      </c>
      <c r="BD867">
        <f>IFERROR(BC867/$AU$806,0)</f>
        <v>0</v>
      </c>
      <c r="BE867">
        <f>BC867*($F$23+IF($F$23=0,0,($C$14+$C$15+IF($C$13="single",1.5,3)+3)/12))</f>
        <v>0</v>
      </c>
      <c r="BF867">
        <f>BE867-AZ867</f>
        <v>0</v>
      </c>
      <c r="BG867" cm="1">
        <f t="array" ref="BG867">IFERROR(IF(BF867&lt;0,0,BF867/($AU$806-INDEX(hd_off,MATCH(BT867,hd_mark,0),0)/12)),0)</f>
        <v>0</v>
      </c>
      <c r="BH867">
        <f>IF(AV867=0,0,$BG$806*$AM$791)</f>
        <v>0</v>
      </c>
      <c r="BI867">
        <f>IFERROR(BH867/$AU$806,0)</f>
        <v>0</v>
      </c>
      <c r="BJ867">
        <f>BH867*($F$23+IF($F$23=0,0,($C$14+$C$15+IF($C$13="single",1.5,3)+3)/12))</f>
        <v>0</v>
      </c>
      <c r="BK867">
        <f>BJ867-BA867</f>
        <v>0</v>
      </c>
      <c r="BL867" cm="1">
        <f t="array" ref="BL867">IFERROR(IF(BK867&lt;0,0,BK867/($AU$806-INDEX(hd_off,MATCH(BT867,hd_mark,0),0)/12)),0)</f>
        <v>0</v>
      </c>
      <c r="BM867">
        <f>MAX($F$23,$BD$806)/$Q$820</f>
        <v>0</v>
      </c>
      <c r="BN867">
        <f t="shared" si="537"/>
        <v>0</v>
      </c>
      <c r="BO867" cm="1">
        <f t="array" ref="BO867">IFERROR(INDEX(sheath_ecap_asd,MATCH(BS867,sheath_mark,0),0)*BN867,0)</f>
        <v>0</v>
      </c>
      <c r="BP867" cm="1">
        <f t="array" ref="BP867">IFERROR(INDEX(sheath_wcap_asd,MATCH(BS867,sheath_mark,0),0)*BN867,0)</f>
        <v>0</v>
      </c>
      <c r="BQ867" cm="1">
        <f t="array" ref="BQ867">IFERROR(INDEX(hd_cap,MATCH(BT867,hd_mark,0),0),0)</f>
        <v>0</v>
      </c>
      <c r="BS867" s="19"/>
      <c r="BT867" s="19"/>
      <c r="BU867" s="100"/>
    </row>
    <row r="868" x14ac:dyDescent="0.25">
      <c r="P868" s="93"/>
      <c r="Q868" s="111">
        <f>$R$806</f>
        <v>0</v>
      </c>
      <c r="R868" t="str">
        <f>$Q$792</f>
        <v>L5</v>
      </c>
      <c r="S868">
        <f>$E$24</f>
        <v>0</v>
      </c>
      <c r="T868" cm="1">
        <f t="array" ref="T868">IFERROR(IF(S868=0,0,(INDEX($C$33:$C$38,MATCH($W$806,$B$33:$B$38,0),0)*(S869+$X$806)+$T$806*COUNTIF(S868:S868,"&gt;0")*$C$32+$V$806*$C$31)*$R$806),0)</f>
        <v>0</v>
      </c>
      <c r="U868">
        <f>IF(S868=0,0,-(COUNTIF(S868:S868,"&gt;0")*$T$806*$C$32+$V$806*$C$31)*$H$27*$R$806)</f>
        <v>0</v>
      </c>
      <c r="V868">
        <f>IF(S868=0,0,$V$806*$H$26*$R$806)</f>
        <v>0</v>
      </c>
      <c r="W868">
        <f>(0.6*T868+0.7*U868)*$R$806/2</f>
        <v>0</v>
      </c>
      <c r="X868">
        <f>T868*$R$806/2</f>
        <v>0</v>
      </c>
      <c r="Z868">
        <f>IF(S868=0,0,$AD$806*$AP$792)</f>
        <v>0</v>
      </c>
      <c r="AA868">
        <f>IFERROR(Z868/$R$806,0)</f>
        <v>0</v>
      </c>
      <c r="AB868">
        <f>Z868*($F$24+IF($F$24=0,0,($C$14+$C$15+IF($C$13="single",1.5,3)+3)/12))</f>
        <v>0</v>
      </c>
      <c r="AC868">
        <f>AB868-W868</f>
        <v>0</v>
      </c>
      <c r="AD868" cm="1">
        <f t="array" ref="AD868">IFERROR(IF(AC868&lt;0,0,AC868/($R$806-INDEX(hd_off,MATCH(AQ868,hd_mark,0),0)/12)),0)</f>
        <v>0</v>
      </c>
      <c r="AE868">
        <f>IF(S868=0,0,$AD$806*$AM$792)</f>
        <v>0</v>
      </c>
      <c r="AF868">
        <f>IFERROR(AE868/$R$806,0)</f>
        <v>0</v>
      </c>
      <c r="AG868">
        <f>AE868*($F$24+IF($F$24=0,0,($C$14+$C$15+IF($C$13="single",1.5,3)+3)/12))</f>
        <v>0</v>
      </c>
      <c r="AH868">
        <f>AG868-X868</f>
        <v>0</v>
      </c>
      <c r="AI868" cm="1">
        <f t="array" ref="AI868">IFERROR(IF(AH868&lt;0,0,AH868/($R$806-INDEX(hd_off,MATCH(AQ868,hd_mark,0),0)/12)),0)</f>
        <v>0</v>
      </c>
      <c r="AJ868">
        <f>MAX($F$24,$AB$806)/$Q$820</f>
        <v>0</v>
      </c>
      <c r="AK868">
        <f t="shared" si="536"/>
        <v>0</v>
      </c>
      <c r="AL868" cm="1">
        <f t="array" ref="AL868">IFERROR(INDEX(sheath_ecap_asd,MATCH(AP868,sheath_mark,0),0)*AK868,0)</f>
        <v>0</v>
      </c>
      <c r="AM868" cm="1">
        <f t="array" ref="AM868">IFERROR(INDEX(sheath_wcap_asd,MATCH(AP868,sheath_mark,0),0)*AK868,0)</f>
        <v>0</v>
      </c>
      <c r="AN868" cm="1">
        <f t="array" ref="AN868">IFERROR(INDEX(hd_cap,MATCH(AQ868,hd_mark,0),0),0)</f>
        <v>0</v>
      </c>
      <c r="AP868" s="19"/>
      <c r="AQ868" s="19"/>
      <c r="AR868" s="100"/>
      <c r="AS868" s="93"/>
      <c r="AT868" s="111">
        <f>$R$806</f>
        <v>0</v>
      </c>
      <c r="AU868" t="str">
        <f>$Q$792</f>
        <v>L5</v>
      </c>
      <c r="AV868">
        <f>$E$24</f>
        <v>0</v>
      </c>
      <c r="AW868" cm="1">
        <f t="array" ref="AW868">IFERROR(IF(AV868=0,0,(INDEX($C$33:$C$38,MATCH($AZ$806,$B$33:$B$38,0),0)*(AV869+$BA$806)+$AW$806*COUNTIF(AV868:AV868,"&gt;0")*$C$32+$AY$806*$C$31)*$AU$806),0)</f>
        <v>0</v>
      </c>
      <c r="AX868">
        <f>IF(AV868=0,0,-(COUNTIF(AV868:AV868,"&gt;0")*$AW$806*$C$32+$AY$806*$C$31)*$H$27*$AU$806)</f>
        <v>0</v>
      </c>
      <c r="AY868">
        <f>IF(AV868=0,0,$AY$806*$H$26*$AU$806)</f>
        <v>0</v>
      </c>
      <c r="AZ868">
        <f>(0.6*AW868+0.7*AX868)*$AU$806/2</f>
        <v>0</v>
      </c>
      <c r="BA868">
        <f>AW868*$AU$806/2</f>
        <v>0</v>
      </c>
      <c r="BC868">
        <f>IF(AV868=0,0,$BG$806*$AP$792)</f>
        <v>0</v>
      </c>
      <c r="BD868">
        <f>IFERROR(BC868/$AU$806,0)</f>
        <v>0</v>
      </c>
      <c r="BE868">
        <f>BC868*($F$24+IF($F$24=0,0,($C$14+$C$15+IF($C$13="single",1.5,3)+3)/12))</f>
        <v>0</v>
      </c>
      <c r="BF868">
        <f>BE868-AZ868</f>
        <v>0</v>
      </c>
      <c r="BG868" cm="1">
        <f t="array" ref="BG868">IFERROR(IF(BF868&lt;0,0,BF868/($AU$806-INDEX(hd_off,MATCH(BT868,hd_mark,0),0)/12)),0)</f>
        <v>0</v>
      </c>
      <c r="BH868">
        <f>IF(AV868=0,0,$BG$806*$AM$792)</f>
        <v>0</v>
      </c>
      <c r="BI868">
        <f>IFERROR(BH868/$AU$806,0)</f>
        <v>0</v>
      </c>
      <c r="BJ868">
        <f>BH868*($F$24+IF($F$24=0,0,($C$14+$C$15+IF($C$13="single",1.5,3)+3)/12))</f>
        <v>0</v>
      </c>
      <c r="BK868">
        <f>BJ868-BA868</f>
        <v>0</v>
      </c>
      <c r="BL868" cm="1">
        <f t="array" ref="BL868">IFERROR(IF(BK868&lt;0,0,BK868/($AU$806-INDEX(hd_off,MATCH(BT868,hd_mark,0),0)/12)),0)</f>
        <v>0</v>
      </c>
      <c r="BM868">
        <f>MAX($F$24,$BE$806)/$Q$820</f>
        <v>0</v>
      </c>
      <c r="BN868">
        <f t="shared" si="537"/>
        <v>0</v>
      </c>
      <c r="BO868" cm="1">
        <f t="array" ref="BO868">IFERROR(INDEX(sheath_ecap_asd,MATCH(BS868,sheath_mark,0),0)*BN868,0)</f>
        <v>0</v>
      </c>
      <c r="BP868" cm="1">
        <f t="array" ref="BP868">IFERROR(INDEX(sheath_wcap_asd,MATCH(BS868,sheath_mark,0),0)*BN868,0)</f>
        <v>0</v>
      </c>
      <c r="BQ868" cm="1">
        <f t="array" ref="BQ868">IFERROR(INDEX(hd_cap,MATCH(BT868,hd_mark,0),0),0)</f>
        <v>0</v>
      </c>
      <c r="BS868" s="19"/>
      <c r="BT868" s="19"/>
      <c r="BU868" s="100"/>
    </row>
    <row r="869" x14ac:dyDescent="0.25">
      <c r="P869" s="93"/>
      <c r="Q869" s="109"/>
      <c r="R869" t="str">
        <f>$Q$793</f>
        <v>Roof</v>
      </c>
      <c r="S869">
        <f>$E$25</f>
        <v>33.171875</v>
      </c>
      <c r="T869" cm="1">
        <f t="array" ref="T869">IFERROR(IF(S869=0,0,(INDEX($C$33:$C$38,MATCH($W$806,$B$33:$B$38,0),0)*(S869+$X$806)+$V$806*$C$31)*$R$806),0)</f>
        <v>0</v>
      </c>
      <c r="U869">
        <f>IF(S869=0,0,-$V$806*$C$31*$H$27*$R$806)</f>
        <v>0</v>
      </c>
      <c r="V869">
        <f>IF(S869=0,0,$V$806*$H$26*$R$806)</f>
        <v>0</v>
      </c>
      <c r="W869">
        <f>(0.6*T869+0.7*U869)*$R$806/2</f>
        <v>0</v>
      </c>
      <c r="X869">
        <f>T869*$R$806/2</f>
        <v>0</v>
      </c>
      <c r="Z869">
        <f>IF(S869=0,0,$AD$806*$AP$793)</f>
        <v>0</v>
      </c>
      <c r="AA869">
        <f>IFERROR(Z869/$R$806,0)</f>
        <v>0</v>
      </c>
      <c r="AB869">
        <f>Z869*($F$25+($C$16+$C$17+IF($C$13="single",1.5,3)+3)/12)</f>
        <v>0</v>
      </c>
      <c r="AC869">
        <f>AB869-W869</f>
        <v>0</v>
      </c>
      <c r="AD869" cm="1">
        <f t="array" ref="AD869">IFERROR(IF(AC869&lt;0,0,AC869/($R$806-INDEX(hd_off,MATCH(AQ869,hd_mark,0),0)/12)),0)</f>
        <v>0</v>
      </c>
      <c r="AE869">
        <f>IF(S869=0,0,$AD$806*$AM$793)</f>
        <v>0</v>
      </c>
      <c r="AF869">
        <f>IFERROR(AE869/$R$806,0)</f>
        <v>0</v>
      </c>
      <c r="AG869">
        <f>AE869*($F$25+($C$16+$C$17+IF($C$13="single",1.5,3)+3)/12)</f>
        <v>0</v>
      </c>
      <c r="AH869">
        <f>AG869-X869</f>
        <v>0</v>
      </c>
      <c r="AI869" cm="1">
        <f t="array" ref="AI869">IFERROR(IF(AH869&lt;0,0,AH869/($R$806-INDEX(hd_off,MATCH(AQ869,hd_mark,0),0)/12)),0)</f>
        <v>0</v>
      </c>
      <c r="AJ869">
        <f>MAX($F$25,$AC$806)/$Q$820</f>
        <v>0.29920977011494249</v>
      </c>
      <c r="AK869">
        <f t="shared" si="536"/>
        <v>1</v>
      </c>
      <c r="AL869" cm="1">
        <f t="array" ref="AL869">IFERROR(INDEX(sheath_ecap_asd,MATCH(AP869,sheath_mark,0),0)*AK869,0)</f>
        <v>0</v>
      </c>
      <c r="AM869" cm="1">
        <f t="array" ref="AM869">IFERROR(INDEX(sheath_wcap_asd,MATCH(AP869,sheath_mark,0),0)*AK869,0)</f>
        <v>0</v>
      </c>
      <c r="AN869" cm="1">
        <f t="array" ref="AN869">IFERROR(INDEX(hd_cap,MATCH(AQ869,hd_mark,0),0),0)</f>
        <v>0</v>
      </c>
      <c r="AP869" s="19"/>
      <c r="AQ869" s="19"/>
      <c r="AR869" s="100"/>
      <c r="AS869" s="93"/>
      <c r="AT869" s="109"/>
      <c r="AU869" t="str">
        <f>$Q$793</f>
        <v>Roof</v>
      </c>
      <c r="AV869">
        <f>$E$25</f>
        <v>33.171875</v>
      </c>
      <c r="AW869" cm="1">
        <f t="array" ref="AW869">IFERROR(IF(AV869=0,0,(INDEX($C$33:$C$38,MATCH($AZ$806,$B$33:$B$38,0),0)*(AV869+$BA$806)+$AY$806*$C$31)*$AU$806),0)</f>
        <v>0</v>
      </c>
      <c r="AX869">
        <f>IF(AV869=0,0,-$AY$806*$C$31*$H$27*$AU$806)</f>
        <v>0</v>
      </c>
      <c r="AY869">
        <f>IF(AV869=0,0,$AY$806*$H$26*$AU$806)</f>
        <v>0</v>
      </c>
      <c r="AZ869">
        <f>(0.6*AW869+0.7*AX869)*$AU$806/2</f>
        <v>0</v>
      </c>
      <c r="BA869">
        <f>AW869*$AU$806/2</f>
        <v>0</v>
      </c>
      <c r="BC869">
        <f>IF(AV869=0,0,$BG$806*$AP$793)</f>
        <v>0</v>
      </c>
      <c r="BD869">
        <f>IFERROR(BC869/$AU$806,0)</f>
        <v>0</v>
      </c>
      <c r="BE869">
        <f>BC869*($F$25+($C$16+$C$17+IF($C$13="single",1.5,3)+3)/12)</f>
        <v>0</v>
      </c>
      <c r="BF869">
        <f>BE869-AZ869</f>
        <v>0</v>
      </c>
      <c r="BG869" cm="1">
        <f t="array" ref="BG869">IFERROR(IF(BF869&lt;0,0,BF869/($AU$806-INDEX(hd_off,MATCH(BT869,hd_mark,0),0)/12)),0)</f>
        <v>0</v>
      </c>
      <c r="BH869">
        <f>IF(AV869=0,0,$BG$806*$AM$793)</f>
        <v>0</v>
      </c>
      <c r="BI869">
        <f>IFERROR(BH869/$AU$806,0)</f>
        <v>0</v>
      </c>
      <c r="BJ869">
        <f>BH869*($F$25+($C$16+$C$17+IF($C$13="single",1.5,3)+3)/12)</f>
        <v>0</v>
      </c>
      <c r="BK869">
        <f>BJ869-BA869</f>
        <v>0</v>
      </c>
      <c r="BL869" cm="1">
        <f t="array" ref="BL869">IFERROR(IF(BK869&lt;0,0,BK869/($AU$806-INDEX(hd_off,MATCH(BT869,hd_mark,0),0)/12)),0)</f>
        <v>0</v>
      </c>
      <c r="BM869">
        <f>MAX($F$25,$BF$806)/$Q$820</f>
        <v>0.29920977011494249</v>
      </c>
      <c r="BN869">
        <f t="shared" si="537"/>
        <v>1</v>
      </c>
      <c r="BO869" cm="1">
        <f t="array" ref="BO869">IFERROR(INDEX(sheath_ecap_asd,MATCH(BS869,sheath_mark,0),0)*BN869,0)</f>
        <v>0</v>
      </c>
      <c r="BP869" cm="1">
        <f t="array" ref="BP869">IFERROR(INDEX(sheath_wcap_asd,MATCH(BS869,sheath_mark,0),0)*BN869,0)</f>
        <v>0</v>
      </c>
      <c r="BQ869" cm="1">
        <f t="array" ref="BQ869">IFERROR(INDEX(hd_cap,MATCH(BT869,hd_mark,0),0),0)</f>
        <v>0</v>
      </c>
      <c r="BS869" s="19"/>
      <c r="BT869" s="19"/>
      <c r="BU869" s="100"/>
    </row>
    <row r="870" x14ac:dyDescent="0.25">
      <c r="P870" s="93"/>
      <c r="AR870" s="100"/>
      <c r="AS870" s="93"/>
      <c r="BU870" s="100"/>
    </row>
    <row r="871" x14ac:dyDescent="0.25">
      <c r="P871" s="93"/>
      <c r="Q871" s="110" t="str">
        <f>$Q$807</f>
        <v>A.10</v>
      </c>
      <c r="R871" t="str">
        <f>$Q$789</f>
        <v>L2</v>
      </c>
      <c r="S871">
        <f>$E$21</f>
        <v>10.6875</v>
      </c>
      <c r="T871" cm="1">
        <f t="array" ref="T871">IFERROR(IF(S871=0,0,(INDEX($C$33:$C$38,MATCH($W$807,$B$33:$B$38,0),0)*(S875+$X$807)+$T$807*COUNTIF(S871:S874,"&gt;0")*$C$32+$V$807*$C$31)*$R$807),0)</f>
        <v>0</v>
      </c>
      <c r="U871">
        <f>IF(S871=0,0,-(COUNTIF(S871:S874,"&gt;0")*$T$807*$C$32+$V$807*$C$31)*$H$27*$R$807)</f>
        <v>0</v>
      </c>
      <c r="V871">
        <f>IF(S871=0,0,$V$807*$H$26*$R$807)</f>
        <v>0</v>
      </c>
      <c r="W871">
        <f>(0.6*T871+0.7*U871)*$R$807/2</f>
        <v>0</v>
      </c>
      <c r="X871">
        <f>(0.6*T871+0.6*V871)*$R$807/2</f>
        <v>0</v>
      </c>
      <c r="Z871">
        <f>IF(S871=0,0,$AD$807*$AP$789)</f>
        <v>0</v>
      </c>
      <c r="AA871">
        <f>IFERROR(Z871/$R$807,0)</f>
        <v>0</v>
      </c>
      <c r="AB871">
        <f>Z871*($F$21+IF($F$21=0,0,($C$14+$C$15+IF($C$13="single",1.5,3)+3)/12))</f>
        <v>0</v>
      </c>
      <c r="AC871">
        <f>AB871-W871</f>
        <v>0</v>
      </c>
      <c r="AD871" cm="1">
        <f t="array" ref="AD871">IFERROR(IF(AC871&lt;0,0,AC871/($R$807-INDEX(hd_off,MATCH(AQ871,hd_mark,0),0)/12)),0)</f>
        <v>0</v>
      </c>
      <c r="AE871">
        <f>IF(S871=0,0,$AD$807*$AM$789)</f>
        <v>0</v>
      </c>
      <c r="AF871">
        <f>IFERROR(AE871/$R$807,0)</f>
        <v>0</v>
      </c>
      <c r="AG871">
        <f>AE871*($F$21+IF($F$21=0,0,($C$14+$C$15+IF($C$13="single",1.5,3)+3)/12))</f>
        <v>0</v>
      </c>
      <c r="AH871">
        <f>AG871-X871</f>
        <v>0</v>
      </c>
      <c r="AI871" cm="1">
        <f t="array" ref="AI871">IFERROR(IF(AH871&lt;0,0,AH871/($R$807-INDEX(hd_off,MATCH(AQ871,hd_mark,0),0)/12)),0)</f>
        <v>0</v>
      </c>
      <c r="AJ871">
        <f>MAX($F$21,$Y$807)/$Q$820</f>
        <v>0.30172413793103448</v>
      </c>
      <c r="AK871">
        <f>IF(AJ871=0,0,IF(AJ871&gt;2,1.25-0.125*AJ871,1))</f>
        <v>1</v>
      </c>
      <c r="AL871" cm="1">
        <f t="array" ref="AL871">IFERROR(INDEX(sheath_ecap_asd,MATCH(AP871,sheath_mark,0),0)*AK871,0)</f>
        <v>0</v>
      </c>
      <c r="AM871" cm="1">
        <f t="array" ref="AM871">IFERROR(INDEX(sheath_wcap_asd,MATCH(AP871,sheath_mark,0),0)*AK871,0)</f>
        <v>0</v>
      </c>
      <c r="AN871" cm="1">
        <f t="array" ref="AN871">IFERROR(INDEX(hd_cap,MATCH(AQ871,hd_mark,0),0),0)</f>
        <v>0</v>
      </c>
      <c r="AP871" s="19"/>
      <c r="AQ871" s="19"/>
      <c r="AR871" s="100"/>
      <c r="AS871" s="93"/>
      <c r="AT871" s="110" t="str">
        <f>$AT$807</f>
        <v>1.10</v>
      </c>
      <c r="AU871" t="str">
        <f>$Q$789</f>
        <v>L2</v>
      </c>
      <c r="AV871">
        <f>$E$21</f>
        <v>10.6875</v>
      </c>
      <c r="AW871" cm="1">
        <f t="array" ref="AW871">IFERROR(IF(AV871=0,0,(INDEX($C$33:$C$38,MATCH($AZ$807,$B$33:$B$38,0),0)*(AV875+$BA$807)+$AW$807*COUNTIF(AV871:AV874,"&gt;0")*$C$32+$AY$807*$C$31)*$AU$807),0)</f>
        <v>0</v>
      </c>
      <c r="AX871">
        <f>IF(AV871=0,0,-(COUNTIF(AV871:AV874,"&gt;0")*$AW$807*$C$32+$AY$807*$C$31)*$H$27*$AU$807)</f>
        <v>0</v>
      </c>
      <c r="AY871">
        <f>IF(AV871=0,0,$AY$807*$H$26*$AU$807)</f>
        <v>0</v>
      </c>
      <c r="AZ871">
        <f>(0.6*AW871+0.7*AX871)*$AU$807/2</f>
        <v>0</v>
      </c>
      <c r="BA871">
        <f>(0.6*AW871+0.6*AY871)*$AU$807/2</f>
        <v>0</v>
      </c>
      <c r="BC871">
        <f>IF(AV871=0,0,$BG$807*$AP$789)</f>
        <v>0</v>
      </c>
      <c r="BD871">
        <f>IFERROR(BC871/$AU$807,0)</f>
        <v>0</v>
      </c>
      <c r="BE871">
        <f>BC871*($F$21+IF($F$21=0,0,($C$14+$C$15+IF($C$13="single",1.5,3)+3)/12))</f>
        <v>0</v>
      </c>
      <c r="BF871">
        <f>BE871-AZ871</f>
        <v>0</v>
      </c>
      <c r="BG871" cm="1">
        <f t="array" ref="BG871">IFERROR(IF(BF871&lt;0,0,BF871/($AU$807-INDEX(hd_off,MATCH(BT871,hd_mark,0),0)/12)),0)</f>
        <v>0</v>
      </c>
      <c r="BH871">
        <f>IF(AV871=0,0,$BG$807*$AM$789)</f>
        <v>0</v>
      </c>
      <c r="BI871">
        <f>IFERROR(BH871/$AU$807,0)</f>
        <v>0</v>
      </c>
      <c r="BJ871">
        <f>BH871*($F$21+IF($F$21=0,0,($C$14+$C$15+IF($C$13="single",1.5,3)+3)/12))</f>
        <v>0</v>
      </c>
      <c r="BK871">
        <f>BJ871-BA871</f>
        <v>0</v>
      </c>
      <c r="BL871" cm="1">
        <f t="array" ref="BL871">IFERROR(IF(BK871&lt;0,0,BK871/($AU$807-INDEX(hd_off,MATCH(BT871,hd_mark,0),0)/12)),0)</f>
        <v>0</v>
      </c>
      <c r="BM871">
        <f>MAX($F$21,$BB$807)/$Q$820</f>
        <v>0.30172413793103448</v>
      </c>
      <c r="BN871">
        <f>IF(BM871=0,0,IF(BM871&gt;2,1.25-0.125*BM871,1))</f>
        <v>1</v>
      </c>
      <c r="BO871" cm="1">
        <f t="array" ref="BO871">IFERROR(INDEX(sheath_ecap_asd,MATCH(BS871,sheath_mark,0),0)*BN871,0)</f>
        <v>0</v>
      </c>
      <c r="BP871" cm="1">
        <f t="array" ref="BP871">IFERROR(INDEX(sheath_wcap_asd,MATCH(BS871,sheath_mark,0),0)*BN871,0)</f>
        <v>0</v>
      </c>
      <c r="BQ871" cm="1">
        <f t="array" ref="BQ871">IFERROR(INDEX(hd_cap,MATCH(BT871,hd_mark,0),0),0)</f>
        <v>0</v>
      </c>
      <c r="BS871" s="19"/>
      <c r="BT871" s="19"/>
      <c r="BU871" s="100"/>
    </row>
    <row r="872" x14ac:dyDescent="0.25">
      <c r="P872" s="93"/>
      <c r="Q872" s="109"/>
      <c r="R872" t="str">
        <f>$Q$790</f>
        <v>L3</v>
      </c>
      <c r="S872">
        <f>$E$22</f>
        <v>21.375</v>
      </c>
      <c r="T872" cm="1">
        <f t="array" ref="T872">IFERROR(IF(S872=0,0,(INDEX($C$33:$C$38,MATCH($W$807,$B$33:$B$38,0),0)*(S875+$X$807)+$T$807*COUNTIF(S872:S874,"&gt;0")*$C$32+$V$807*$C$31)*$R$807),0)</f>
        <v>0</v>
      </c>
      <c r="U872">
        <f>IF(S872=0,0,-(COUNTIF(S872:S874,"&gt;0")*$T$807*$C$32+$V$807*$C$31)*$H$27*$R$807)</f>
        <v>0</v>
      </c>
      <c r="V872">
        <f>IF(S872=0,0,$V$807*$H$26*$R$807)</f>
        <v>0</v>
      </c>
      <c r="W872">
        <f>(0.6*T872+0.7*U872)*$R$807/2</f>
        <v>0</v>
      </c>
      <c r="X872">
        <f>T872*$R$807/2</f>
        <v>0</v>
      </c>
      <c r="Z872">
        <f>IF(S872=0,0,$AD$807*$AP$790)</f>
        <v>0</v>
      </c>
      <c r="AA872">
        <f>IFERROR(Z872/$R$807,0)</f>
        <v>0</v>
      </c>
      <c r="AB872">
        <f>Z872*($F$22+IF($F$22=0,0,($C$14+$C$15+IF($C$13="single",1.5,3)+3)/12))</f>
        <v>0</v>
      </c>
      <c r="AC872">
        <f>AB872-W872</f>
        <v>0</v>
      </c>
      <c r="AD872" cm="1">
        <f t="array" ref="AD872">IFERROR(IF(AC872&lt;0,0,AC872/($R$807-INDEX(hd_off,MATCH(AQ872,hd_mark,0),0)/12)),0)</f>
        <v>0</v>
      </c>
      <c r="AE872">
        <f>IF(S872=0,0,$AD$807*$AM$790)</f>
        <v>0</v>
      </c>
      <c r="AF872">
        <f>IFERROR(AE872/$R$807,0)</f>
        <v>0</v>
      </c>
      <c r="AG872">
        <f>AE872*($F$22+IF($F$22=0,0,($C$14+$C$15+IF($C$13="single",1.5,3)+3)/12))</f>
        <v>0</v>
      </c>
      <c r="AH872">
        <f>AG872-X872</f>
        <v>0</v>
      </c>
      <c r="AI872" cm="1">
        <f t="array" ref="AI872">IFERROR(IF(AH872&lt;0,0,AH872/($R$807-INDEX(hd_off,MATCH(AQ872,hd_mark,0),0)/12)),0)</f>
        <v>0</v>
      </c>
      <c r="AJ872">
        <f>MAX($F$22,$Z$807)/$Q$820</f>
        <v>0.30172413793103448</v>
      </c>
      <c r="AK872">
        <f t="shared" ref="AK872:AK875" si="538">IF(AJ872=0,0,IF(AJ872&gt;2,1.25-0.125*AJ872,1))</f>
        <v>1</v>
      </c>
      <c r="AL872" cm="1">
        <f t="array" ref="AL872">IFERROR(INDEX(sheath_ecap_asd,MATCH(AP872,sheath_mark,0),0)*AK872,0)</f>
        <v>0</v>
      </c>
      <c r="AM872" cm="1">
        <f t="array" ref="AM872">IFERROR(INDEX(sheath_wcap_asd,MATCH(AP872,sheath_mark,0),0)*AK872,0)</f>
        <v>0</v>
      </c>
      <c r="AN872" cm="1">
        <f t="array" ref="AN872">IFERROR(INDEX(hd_cap,MATCH(AQ872,hd_mark,0),0),0)</f>
        <v>0</v>
      </c>
      <c r="AP872" s="19"/>
      <c r="AQ872" s="19"/>
      <c r="AR872" s="100"/>
      <c r="AS872" s="93"/>
      <c r="AT872" s="109"/>
      <c r="AU872" t="str">
        <f>$Q$790</f>
        <v>L3</v>
      </c>
      <c r="AV872">
        <f>$E$22</f>
        <v>21.375</v>
      </c>
      <c r="AW872" cm="1">
        <f t="array" ref="AW872">IFERROR(IF(AV872=0,0,(INDEX($C$33:$C$38,MATCH($AZ$807,$B$33:$B$38,0),0)*(AV875+$BA$807)+$AW$807*COUNTIF(AV872:AV874,"&gt;0")*$C$32+$AY$807*$C$31)*$AU$807),0)</f>
        <v>0</v>
      </c>
      <c r="AX872">
        <f>IF(AV872=0,0,-(COUNTIF(AV872:AV874,"&gt;0")*$AW$807*$C$32+$AY$807*$C$31)*$H$27*$AU$807)</f>
        <v>0</v>
      </c>
      <c r="AY872">
        <f>IF(AV872=0,0,$AY$807*$H$26*$AU$807)</f>
        <v>0</v>
      </c>
      <c r="AZ872">
        <f>(0.6*AW872+0.7*AX872)*$AU$807/2</f>
        <v>0</v>
      </c>
      <c r="BA872">
        <f>AW872*$AU$807/2</f>
        <v>0</v>
      </c>
      <c r="BC872">
        <f>IF(AV872=0,0,$BG$807*$AP$790)</f>
        <v>0</v>
      </c>
      <c r="BD872">
        <f>IFERROR(BC872/$AU$807,0)</f>
        <v>0</v>
      </c>
      <c r="BE872">
        <f>BC872*($F$22+IF($F$22=0,0,($C$14+$C$15+IF($C$13="single",1.5,3)+3)/12))</f>
        <v>0</v>
      </c>
      <c r="BF872">
        <f>BE872-AZ872</f>
        <v>0</v>
      </c>
      <c r="BG872" cm="1">
        <f t="array" ref="BG872">IFERROR(IF(BF872&lt;0,0,BF872/($AU$807-INDEX(hd_off,MATCH(BT872,hd_mark,0),0)/12)),0)</f>
        <v>0</v>
      </c>
      <c r="BH872">
        <f>IF(AV872=0,0,$BG$807*$AM$790)</f>
        <v>0</v>
      </c>
      <c r="BI872">
        <f>IFERROR(BH872/$AU$807,0)</f>
        <v>0</v>
      </c>
      <c r="BJ872">
        <f>BH872*($F$22+IF($F$22=0,0,($C$14+$C$15+IF($C$13="single",1.5,3)+3)/12))</f>
        <v>0</v>
      </c>
      <c r="BK872">
        <f>BJ872-BA872</f>
        <v>0</v>
      </c>
      <c r="BL872" cm="1">
        <f t="array" ref="BL872">IFERROR(IF(BK872&lt;0,0,BK872/($AU$807-INDEX(hd_off,MATCH(BT872,hd_mark,0),0)/12)),0)</f>
        <v>0</v>
      </c>
      <c r="BM872">
        <f>MAX($F$22,$BC$807)/$Q$820</f>
        <v>0.30172413793103448</v>
      </c>
      <c r="BN872">
        <f t="shared" ref="BN872:BN875" si="539">IF(BM872=0,0,IF(BM872&gt;2,1.25-0.125*BM872,1))</f>
        <v>1</v>
      </c>
      <c r="BO872" cm="1">
        <f t="array" ref="BO872">IFERROR(INDEX(sheath_ecap_asd,MATCH(BS872,sheath_mark,0),0)*BN872,0)</f>
        <v>0</v>
      </c>
      <c r="BP872" cm="1">
        <f t="array" ref="BP872">IFERROR(INDEX(sheath_wcap_asd,MATCH(BS872,sheath_mark,0),0)*BN872,0)</f>
        <v>0</v>
      </c>
      <c r="BQ872" cm="1">
        <f t="array" ref="BQ872">IFERROR(INDEX(hd_cap,MATCH(BT872,hd_mark,0),0),0)</f>
        <v>0</v>
      </c>
      <c r="BS872" s="19"/>
      <c r="BT872" s="19"/>
      <c r="BU872" s="100"/>
    </row>
    <row r="873" x14ac:dyDescent="0.25">
      <c r="P873" s="93"/>
      <c r="Q873" s="109" t="s">
        <v>491</v>
      </c>
      <c r="R873" t="str">
        <f>$Q$791</f>
        <v>L4</v>
      </c>
      <c r="S873">
        <f>$E$23</f>
        <v>0</v>
      </c>
      <c r="T873" cm="1">
        <f t="array" ref="T873">IFERROR(IF(S873=0,0,(INDEX($C$33:$C$38,MATCH($W$807,$B$33:$B$38,0),0)*(S875+$X$807)+$T$807*COUNTIF(S873:S874,"&gt;0")*$C$32+$V$807*$C$31)*$R$807),0)</f>
        <v>0</v>
      </c>
      <c r="U873">
        <f>IF(S873=0,0,-(COUNTIF(S873:S874,"&gt;0")*$T$807*$C$32+$V$807*$C$31)*$H$27*$R$807)</f>
        <v>0</v>
      </c>
      <c r="V873">
        <f>IF(S873=0,0,$V$807*$H$26*$R$807)</f>
        <v>0</v>
      </c>
      <c r="W873">
        <f>(0.6*T873+0.7*U873)*$R$807/2</f>
        <v>0</v>
      </c>
      <c r="X873">
        <f>T873*$R$807/2</f>
        <v>0</v>
      </c>
      <c r="Z873">
        <f>IF(S873=0,0,$AD$807*$AP$791)</f>
        <v>0</v>
      </c>
      <c r="AA873">
        <f>IFERROR(Z873/$R$807,0)</f>
        <v>0</v>
      </c>
      <c r="AB873">
        <f>Z873*($F$23+IF($F$23=0,0,($C$14+$C$15+IF($C$13="single",1.5,3)+3)/12))</f>
        <v>0</v>
      </c>
      <c r="AC873">
        <f>AB873-W873</f>
        <v>0</v>
      </c>
      <c r="AD873" cm="1">
        <f t="array" ref="AD873">IFERROR(IF(AC873&lt;0,0,AC873/($R$807-INDEX(hd_off,MATCH(AQ873,hd_mark,0),0)/12)),0)</f>
        <v>0</v>
      </c>
      <c r="AE873">
        <f>IF(S873=0,0,$AD$807*$AM$791)</f>
        <v>0</v>
      </c>
      <c r="AF873">
        <f>IFERROR(AE873/$R$807,0)</f>
        <v>0</v>
      </c>
      <c r="AG873">
        <f>AE873*($F$23+IF($F$23=0,0,($C$14+$C$15+IF($C$13="single",1.5,3)+3)/12))</f>
        <v>0</v>
      </c>
      <c r="AH873">
        <f>AG873-X873</f>
        <v>0</v>
      </c>
      <c r="AI873" cm="1">
        <f t="array" ref="AI873">IFERROR(IF(AH873&lt;0,0,AH873/($R$807-INDEX(hd_off,MATCH(AQ873,hd_mark,0),0)/12)),0)</f>
        <v>0</v>
      </c>
      <c r="AJ873">
        <f>MAX($F$23,$AA$807)/$Q$820</f>
        <v>0</v>
      </c>
      <c r="AK873">
        <f t="shared" si="538"/>
        <v>0</v>
      </c>
      <c r="AL873" cm="1">
        <f t="array" ref="AL873">IFERROR(INDEX(sheath_ecap_asd,MATCH(AP873,sheath_mark,0),0)*AK873,0)</f>
        <v>0</v>
      </c>
      <c r="AM873" cm="1">
        <f t="array" ref="AM873">IFERROR(INDEX(sheath_wcap_asd,MATCH(AP873,sheath_mark,0),0)*AK873,0)</f>
        <v>0</v>
      </c>
      <c r="AN873" cm="1">
        <f t="array" ref="AN873">IFERROR(INDEX(hd_cap,MATCH(AQ873,hd_mark,0),0),0)</f>
        <v>0</v>
      </c>
      <c r="AP873" s="19"/>
      <c r="AQ873" s="19"/>
      <c r="AR873" s="100"/>
      <c r="AS873" s="93"/>
      <c r="AT873" s="109" t="s">
        <v>491</v>
      </c>
      <c r="AU873" t="str">
        <f>$Q$791</f>
        <v>L4</v>
      </c>
      <c r="AV873">
        <f>$E$23</f>
        <v>0</v>
      </c>
      <c r="AW873" cm="1">
        <f t="array" ref="AW873">IFERROR(IF(AV873=0,0,(INDEX($C$33:$C$38,MATCH($AZ$807,$B$33:$B$38,0),0)*(AV875+$BA$807)+$AW$807*COUNTIF(AV873:AV874,"&gt;0")*$C$32+$AY$807*$C$31)*$AU$807),0)</f>
        <v>0</v>
      </c>
      <c r="AX873">
        <f>IF(AV873=0,0,-(COUNTIF(AV873:AV874,"&gt;0")*$AW$807*$C$32+$AY$807*$C$31)*$H$27*$AU$807)</f>
        <v>0</v>
      </c>
      <c r="AY873">
        <f>IF(AV873=0,0,$AY$807*$H$26*$AU$807)</f>
        <v>0</v>
      </c>
      <c r="AZ873">
        <f>(0.6*AW873+0.7*AX873)*$AU$807/2</f>
        <v>0</v>
      </c>
      <c r="BA873">
        <f>AW873*$AU$807/2</f>
        <v>0</v>
      </c>
      <c r="BC873">
        <f>IF(AV873=0,0,$BG$807*$AP$791)</f>
        <v>0</v>
      </c>
      <c r="BD873">
        <f>IFERROR(BC873/$AU$807,0)</f>
        <v>0</v>
      </c>
      <c r="BE873">
        <f>BC873*($F$23+IF($F$23=0,0,($C$14+$C$15+IF($C$13="single",1.5,3)+3)/12))</f>
        <v>0</v>
      </c>
      <c r="BF873">
        <f>BE873-AZ873</f>
        <v>0</v>
      </c>
      <c r="BG873" cm="1">
        <f t="array" ref="BG873">IFERROR(IF(BF873&lt;0,0,BF873/($AU$807-INDEX(hd_off,MATCH(BT873,hd_mark,0),0)/12)),0)</f>
        <v>0</v>
      </c>
      <c r="BH873">
        <f>IF(AV873=0,0,$BG$807*$AM$791)</f>
        <v>0</v>
      </c>
      <c r="BI873">
        <f>IFERROR(BH873/$AU$807,0)</f>
        <v>0</v>
      </c>
      <c r="BJ873">
        <f>BH873*($F$23+IF($F$23=0,0,($C$14+$C$15+IF($C$13="single",1.5,3)+3)/12))</f>
        <v>0</v>
      </c>
      <c r="BK873">
        <f>BJ873-BA873</f>
        <v>0</v>
      </c>
      <c r="BL873" cm="1">
        <f t="array" ref="BL873">IFERROR(IF(BK873&lt;0,0,BK873/($AU$807-INDEX(hd_off,MATCH(BT873,hd_mark,0),0)/12)),0)</f>
        <v>0</v>
      </c>
      <c r="BM873">
        <f>MAX($F$23,$BD$807)/$Q$820</f>
        <v>0</v>
      </c>
      <c r="BN873">
        <f t="shared" si="539"/>
        <v>0</v>
      </c>
      <c r="BO873" cm="1">
        <f t="array" ref="BO873">IFERROR(INDEX(sheath_ecap_asd,MATCH(BS873,sheath_mark,0),0)*BN873,0)</f>
        <v>0</v>
      </c>
      <c r="BP873" cm="1">
        <f t="array" ref="BP873">IFERROR(INDEX(sheath_wcap_asd,MATCH(BS873,sheath_mark,0),0)*BN873,0)</f>
        <v>0</v>
      </c>
      <c r="BQ873" cm="1">
        <f t="array" ref="BQ873">IFERROR(INDEX(hd_cap,MATCH(BT873,hd_mark,0),0),0)</f>
        <v>0</v>
      </c>
      <c r="BS873" s="19"/>
      <c r="BT873" s="19"/>
      <c r="BU873" s="100"/>
    </row>
    <row r="874" x14ac:dyDescent="0.25">
      <c r="P874" s="93"/>
      <c r="Q874" s="111">
        <f>$R$807</f>
        <v>0</v>
      </c>
      <c r="R874" t="str">
        <f>$Q$792</f>
        <v>L5</v>
      </c>
      <c r="S874">
        <f>$E$24</f>
        <v>0</v>
      </c>
      <c r="T874" cm="1">
        <f t="array" ref="T874">IFERROR(IF(S874=0,0,(INDEX($C$33:$C$38,MATCH($W$807,$B$33:$B$38,0),0)*(S875+$X$807)+$T$807*COUNTIF(S874:S874,"&gt;0")*$C$32+$V$807*$C$31)*$R$807),0)</f>
        <v>0</v>
      </c>
      <c r="U874">
        <f>IF(S874=0,0,-(COUNTIF(S874:S874,"&gt;0")*$T$807*$C$32+$V$807*$C$31)*$H$27*$R$807)</f>
        <v>0</v>
      </c>
      <c r="V874">
        <f>IF(S874=0,0,$V$807*$H$26*$R$807)</f>
        <v>0</v>
      </c>
      <c r="W874">
        <f>(0.6*T874+0.7*U874)*$R$807/2</f>
        <v>0</v>
      </c>
      <c r="X874">
        <f>T874*$R$807/2</f>
        <v>0</v>
      </c>
      <c r="Z874">
        <f>IF(S874=0,0,$AD$807*$AP$792)</f>
        <v>0</v>
      </c>
      <c r="AA874">
        <f>IFERROR(Z874/$R$807,0)</f>
        <v>0</v>
      </c>
      <c r="AB874">
        <f>Z874*($F$24+IF($F$24=0,0,($C$14+$C$15+IF($C$13="single",1.5,3)+3)/12))</f>
        <v>0</v>
      </c>
      <c r="AC874">
        <f>AB874-W874</f>
        <v>0</v>
      </c>
      <c r="AD874" cm="1">
        <f t="array" ref="AD874">IFERROR(IF(AC874&lt;0,0,AC874/($R$807-INDEX(hd_off,MATCH(AQ874,hd_mark,0),0)/12)),0)</f>
        <v>0</v>
      </c>
      <c r="AE874">
        <f>IF(S874=0,0,$AD$807*$AM$792)</f>
        <v>0</v>
      </c>
      <c r="AF874">
        <f>IFERROR(AE874/$R$807,0)</f>
        <v>0</v>
      </c>
      <c r="AG874">
        <f>AE874*($F$24+IF($F$24=0,0,($C$14+$C$15+IF($C$13="single",1.5,3)+3)/12))</f>
        <v>0</v>
      </c>
      <c r="AH874">
        <f>AG874-X874</f>
        <v>0</v>
      </c>
      <c r="AI874" cm="1">
        <f t="array" ref="AI874">IFERROR(IF(AH874&lt;0,0,AH874/($R$807-INDEX(hd_off,MATCH(AQ874,hd_mark,0),0)/12)),0)</f>
        <v>0</v>
      </c>
      <c r="AJ874">
        <f>MAX($F$24,$AB$807)/$Q$820</f>
        <v>0</v>
      </c>
      <c r="AK874">
        <f t="shared" si="538"/>
        <v>0</v>
      </c>
      <c r="AL874" cm="1">
        <f t="array" ref="AL874">IFERROR(INDEX(sheath_ecap_asd,MATCH(AP874,sheath_mark,0),0)*AK874,0)</f>
        <v>0</v>
      </c>
      <c r="AM874" cm="1">
        <f t="array" ref="AM874">IFERROR(INDEX(sheath_wcap_asd,MATCH(AP874,sheath_mark,0),0)*AK874,0)</f>
        <v>0</v>
      </c>
      <c r="AN874" cm="1">
        <f t="array" ref="AN874">IFERROR(INDEX(hd_cap,MATCH(AQ874,hd_mark,0),0),0)</f>
        <v>0</v>
      </c>
      <c r="AP874" s="19"/>
      <c r="AQ874" s="19"/>
      <c r="AR874" s="100"/>
      <c r="AS874" s="93"/>
      <c r="AT874" s="111">
        <f>$R$807</f>
        <v>0</v>
      </c>
      <c r="AU874" t="str">
        <f>$Q$792</f>
        <v>L5</v>
      </c>
      <c r="AV874">
        <f>$E$24</f>
        <v>0</v>
      </c>
      <c r="AW874" cm="1">
        <f t="array" ref="AW874">IFERROR(IF(AV874=0,0,(INDEX($C$33:$C$38,MATCH($AZ$807,$B$33:$B$38,0),0)*(AV875+$BA$807)+$AW$807*COUNTIF(AV874:AV874,"&gt;0")*$C$32+$AY$807*$C$31)*$AU$807),0)</f>
        <v>0</v>
      </c>
      <c r="AX874">
        <f>IF(AV874=0,0,-(COUNTIF(AV874:AV874,"&gt;0")*$AW$807*$C$32+$AY$807*$C$31)*$H$27*$AU$807)</f>
        <v>0</v>
      </c>
      <c r="AY874">
        <f>IF(AV874=0,0,$AY$807*$H$26*$AU$807)</f>
        <v>0</v>
      </c>
      <c r="AZ874">
        <f>(0.6*AW874+0.7*AX874)*$AU$807/2</f>
        <v>0</v>
      </c>
      <c r="BA874">
        <f>AW874*$AU$807/2</f>
        <v>0</v>
      </c>
      <c r="BC874">
        <f>IF(AV874=0,0,$BG$807*$AP$792)</f>
        <v>0</v>
      </c>
      <c r="BD874">
        <f>IFERROR(BC874/$AU$807,0)</f>
        <v>0</v>
      </c>
      <c r="BE874">
        <f>BC874*($F$24+IF($F$24=0,0,($C$14+$C$15+IF($C$13="single",1.5,3)+3)/12))</f>
        <v>0</v>
      </c>
      <c r="BF874">
        <f>BE874-AZ874</f>
        <v>0</v>
      </c>
      <c r="BG874" cm="1">
        <f t="array" ref="BG874">IFERROR(IF(BF874&lt;0,0,BF874/($AU$807-INDEX(hd_off,MATCH(BT874,hd_mark,0),0)/12)),0)</f>
        <v>0</v>
      </c>
      <c r="BH874">
        <f>IF(AV874=0,0,$BG$807*$AM$792)</f>
        <v>0</v>
      </c>
      <c r="BI874">
        <f>IFERROR(BH874/$AU$807,0)</f>
        <v>0</v>
      </c>
      <c r="BJ874">
        <f>BH874*($F$24+IF($F$24=0,0,($C$14+$C$15+IF($C$13="single",1.5,3)+3)/12))</f>
        <v>0</v>
      </c>
      <c r="BK874">
        <f>BJ874-BA874</f>
        <v>0</v>
      </c>
      <c r="BL874" cm="1">
        <f t="array" ref="BL874">IFERROR(IF(BK874&lt;0,0,BK874/($AU$807-INDEX(hd_off,MATCH(BT874,hd_mark,0),0)/12)),0)</f>
        <v>0</v>
      </c>
      <c r="BM874">
        <f>MAX($F$24,$BE$807)/$Q$820</f>
        <v>0</v>
      </c>
      <c r="BN874">
        <f t="shared" si="539"/>
        <v>0</v>
      </c>
      <c r="BO874" cm="1">
        <f t="array" ref="BO874">IFERROR(INDEX(sheath_ecap_asd,MATCH(BS874,sheath_mark,0),0)*BN874,0)</f>
        <v>0</v>
      </c>
      <c r="BP874" cm="1">
        <f t="array" ref="BP874">IFERROR(INDEX(sheath_wcap_asd,MATCH(BS874,sheath_mark,0),0)*BN874,0)</f>
        <v>0</v>
      </c>
      <c r="BQ874" cm="1">
        <f t="array" ref="BQ874">IFERROR(INDEX(hd_cap,MATCH(BT874,hd_mark,0),0),0)</f>
        <v>0</v>
      </c>
      <c r="BS874" s="19"/>
      <c r="BT874" s="19"/>
      <c r="BU874" s="100"/>
    </row>
    <row r="875" x14ac:dyDescent="0.25">
      <c r="P875" s="93"/>
      <c r="Q875" s="109"/>
      <c r="R875" t="str">
        <f>$Q$793</f>
        <v>Roof</v>
      </c>
      <c r="S875">
        <f>$E$25</f>
        <v>33.171875</v>
      </c>
      <c r="T875" cm="1">
        <f t="array" ref="T875">IFERROR(IF(S875=0,0,(INDEX($C$33:$C$38,MATCH($W$807,$B$33:$B$38,0),0)*(S875+$X$807)+$V$807*$C$31)*$R$807),0)</f>
        <v>0</v>
      </c>
      <c r="U875">
        <f>IF(S875=0,0,-$V$807*$C$31*$H$27*$R$807)</f>
        <v>0</v>
      </c>
      <c r="V875">
        <f>IF(S875=0,0,$V$807*$H$26*$R$807)</f>
        <v>0</v>
      </c>
      <c r="W875">
        <f>(0.6*T875+0.7*U875)*$R$807/2</f>
        <v>0</v>
      </c>
      <c r="X875">
        <f>T875*$R$807/2</f>
        <v>0</v>
      </c>
      <c r="Z875">
        <f>IF(S875=0,0,$AD$807*$AP$793)</f>
        <v>0</v>
      </c>
      <c r="AA875">
        <f>IFERROR(Z875/$R$807,0)</f>
        <v>0</v>
      </c>
      <c r="AB875">
        <f>Z875*($F$25+($C$16+$C$17+IF($C$13="single",1.5,3)+3)/12)</f>
        <v>0</v>
      </c>
      <c r="AC875">
        <f>AB875-W875</f>
        <v>0</v>
      </c>
      <c r="AD875" cm="1">
        <f t="array" ref="AD875">IFERROR(IF(AC875&lt;0,0,AC875/($R$807-INDEX(hd_off,MATCH(AQ875,hd_mark,0),0)/12)),0)</f>
        <v>0</v>
      </c>
      <c r="AE875">
        <f>IF(S875=0,0,$AD$807*$AM$793)</f>
        <v>0</v>
      </c>
      <c r="AF875">
        <f>IFERROR(AE875/$R$807,0)</f>
        <v>0</v>
      </c>
      <c r="AG875">
        <f>AE875*($F$25+($C$16+$C$17+IF($C$13="single",1.5,3)+3)/12)</f>
        <v>0</v>
      </c>
      <c r="AH875">
        <f>AG875-X875</f>
        <v>0</v>
      </c>
      <c r="AI875" cm="1">
        <f t="array" ref="AI875">IFERROR(IF(AH875&lt;0,0,AH875/($R$807-INDEX(hd_off,MATCH(AQ875,hd_mark,0),0)/12)),0)</f>
        <v>0</v>
      </c>
      <c r="AJ875">
        <f>MAX($F$25,$AC$807)/$Q$820</f>
        <v>0.29920977011494249</v>
      </c>
      <c r="AK875">
        <f t="shared" si="538"/>
        <v>1</v>
      </c>
      <c r="AL875" cm="1">
        <f t="array" ref="AL875">IFERROR(INDEX(sheath_ecap_asd,MATCH(AP875,sheath_mark,0),0)*AK875,0)</f>
        <v>0</v>
      </c>
      <c r="AM875" cm="1">
        <f t="array" ref="AM875">IFERROR(INDEX(sheath_wcap_asd,MATCH(AP875,sheath_mark,0),0)*AK875,0)</f>
        <v>0</v>
      </c>
      <c r="AN875" cm="1">
        <f t="array" ref="AN875">IFERROR(INDEX(hd_cap,MATCH(AQ875,hd_mark,0),0),0)</f>
        <v>0</v>
      </c>
      <c r="AP875" s="19"/>
      <c r="AQ875" s="19"/>
      <c r="AR875" s="100"/>
      <c r="AS875" s="93"/>
      <c r="AT875" s="109"/>
      <c r="AU875" t="str">
        <f>$Q$793</f>
        <v>Roof</v>
      </c>
      <c r="AV875">
        <f>$E$25</f>
        <v>33.171875</v>
      </c>
      <c r="AW875" cm="1">
        <f t="array" ref="AW875">IFERROR(IF(AV875=0,0,(INDEX($C$33:$C$38,MATCH($AZ$807,$B$33:$B$38,0),0)*(AV875+$BA$807)+$AY$807*$C$31)*$AU$807),0)</f>
        <v>0</v>
      </c>
      <c r="AX875">
        <f>IF(AV875=0,0,-$AY$807*$C$31*$H$27*$AU$807)</f>
        <v>0</v>
      </c>
      <c r="AY875">
        <f>IF(AV875=0,0,$AY$807*$H$26*$AU$807)</f>
        <v>0</v>
      </c>
      <c r="AZ875">
        <f>(0.6*AW875+0.7*AX875)*$AU$807/2</f>
        <v>0</v>
      </c>
      <c r="BA875">
        <f>AW875*$AU$807/2</f>
        <v>0</v>
      </c>
      <c r="BC875">
        <f>IF(AV875=0,0,$BG$807*$AP$793)</f>
        <v>0</v>
      </c>
      <c r="BD875">
        <f>IFERROR(BC875/$AU$807,0)</f>
        <v>0</v>
      </c>
      <c r="BE875">
        <f>BC875*($F$25+($C$16+$C$17+IF($C$13="single",1.5,3)+3)/12)</f>
        <v>0</v>
      </c>
      <c r="BF875">
        <f>BE875-AZ875</f>
        <v>0</v>
      </c>
      <c r="BG875" cm="1">
        <f t="array" ref="BG875">IFERROR(IF(BF875&lt;0,0,BF875/($AU$807-INDEX(hd_off,MATCH(BT875,hd_mark,0),0)/12)),0)</f>
        <v>0</v>
      </c>
      <c r="BH875">
        <f>IF(AV875=0,0,$BG$807*$AM$793)</f>
        <v>0</v>
      </c>
      <c r="BI875">
        <f>IFERROR(BH875/$AU$807,0)</f>
        <v>0</v>
      </c>
      <c r="BJ875">
        <f>BH875*($F$25+($C$16+$C$17+IF($C$13="single",1.5,3)+3)/12)</f>
        <v>0</v>
      </c>
      <c r="BK875">
        <f>BJ875-BA875</f>
        <v>0</v>
      </c>
      <c r="BL875" cm="1">
        <f t="array" ref="BL875">IFERROR(IF(BK875&lt;0,0,BK875/($AU$807-INDEX(hd_off,MATCH(BT875,hd_mark,0),0)/12)),0)</f>
        <v>0</v>
      </c>
      <c r="BM875">
        <f>MAX($F$25,$BF$807)/$Q$820</f>
        <v>0.29920977011494249</v>
      </c>
      <c r="BN875">
        <f t="shared" si="539"/>
        <v>1</v>
      </c>
      <c r="BO875" cm="1">
        <f t="array" ref="BO875">IFERROR(INDEX(sheath_ecap_asd,MATCH(BS875,sheath_mark,0),0)*BN875,0)</f>
        <v>0</v>
      </c>
      <c r="BP875" cm="1">
        <f t="array" ref="BP875">IFERROR(INDEX(sheath_wcap_asd,MATCH(BS875,sheath_mark,0),0)*BN875,0)</f>
        <v>0</v>
      </c>
      <c r="BQ875" cm="1">
        <f t="array" ref="BQ875">IFERROR(INDEX(hd_cap,MATCH(BT875,hd_mark,0),0),0)</f>
        <v>0</v>
      </c>
      <c r="BS875" s="19"/>
      <c r="BT875" s="19"/>
      <c r="BU875" s="100"/>
    </row>
    <row r="876" x14ac:dyDescent="0.25">
      <c r="P876" s="93"/>
      <c r="AR876" s="100"/>
      <c r="AS876" s="93"/>
      <c r="BU876" s="100"/>
    </row>
    <row r="877" x14ac:dyDescent="0.25">
      <c r="P877" s="93"/>
      <c r="Q877" s="110" t="str">
        <f>$Q$808</f>
        <v>A.11</v>
      </c>
      <c r="R877" t="str">
        <f>$Q$789</f>
        <v>L2</v>
      </c>
      <c r="S877">
        <f>$E$21</f>
        <v>10.6875</v>
      </c>
      <c r="T877" cm="1">
        <f t="array" ref="T877">IFERROR(IF(S877=0,0,(INDEX($C$33:$C$38,MATCH($W$808,$B$33:$B$38,0),0)*(S881+$X$808)+$T$808*COUNTIF(S877:S880,"&gt;0")*$C$32+$V$808*$C$31)*$R$808),0)</f>
        <v>0</v>
      </c>
      <c r="U877">
        <f>IF(S877=0,0,-(COUNTIF(S877:S880,"&gt;0")*$T$808*$C$32+$V$808*$C$31)*$H$27*$R$808)</f>
        <v>0</v>
      </c>
      <c r="V877">
        <f>IF(S877=0,0,$V$808*$H$26*$R$808)</f>
        <v>0</v>
      </c>
      <c r="W877">
        <f>(0.6*T877+0.7*U877)*$R$808/2</f>
        <v>0</v>
      </c>
      <c r="X877">
        <f>(0.6*T877+0.6*V877)*$R$808/2</f>
        <v>0</v>
      </c>
      <c r="Z877">
        <f>IF(S877=0,0,$AD$808*$AP$789)</f>
        <v>0</v>
      </c>
      <c r="AA877">
        <f>IFERROR(Z877/$R$808,0)</f>
        <v>0</v>
      </c>
      <c r="AB877">
        <f>Z877*($F$21+IF($F$21=0,0,($C$14+$C$15+IF($C$13="single",1.5,3)+3)/12))</f>
        <v>0</v>
      </c>
      <c r="AC877">
        <f>AB877-W877</f>
        <v>0</v>
      </c>
      <c r="AD877" cm="1">
        <f t="array" ref="AD877">IFERROR(IF(AC877&lt;0,0,AC877/($R$808-INDEX(hd_off,MATCH(AQ877,hd_mark,0),0)/12)),0)</f>
        <v>0</v>
      </c>
      <c r="AE877">
        <f>IF(S877=0,0,$AD$808*$AM$789)</f>
        <v>0</v>
      </c>
      <c r="AF877">
        <f>IFERROR(AE877/$R$808,0)</f>
        <v>0</v>
      </c>
      <c r="AG877">
        <f>AE877*($F$21+IF($F$21=0,0,($C$14+$C$15+IF($C$13="single",1.5,3)+3)/12))</f>
        <v>0</v>
      </c>
      <c r="AH877">
        <f>AG877-X877</f>
        <v>0</v>
      </c>
      <c r="AI877" cm="1">
        <f t="array" ref="AI877">IFERROR(IF(AH877&lt;0,0,AH877/($R$808-INDEX(hd_off,MATCH(AQ877,hd_mark,0),0)/12)),0)</f>
        <v>0</v>
      </c>
      <c r="AJ877">
        <f>MAX($F$21,$Y$808)/$Q$820</f>
        <v>0.30172413793103448</v>
      </c>
      <c r="AK877">
        <f>IF(AJ877=0,0,IF(AJ877&gt;2,1.25-0.125*AJ877,1))</f>
        <v>1</v>
      </c>
      <c r="AL877" cm="1">
        <f t="array" ref="AL877">IFERROR(INDEX(sheath_ecap_asd,MATCH(AP877,sheath_mark,0),0)*AK877,0)</f>
        <v>0</v>
      </c>
      <c r="AM877" cm="1">
        <f t="array" ref="AM877">IFERROR(INDEX(sheath_wcap_asd,MATCH(AP877,sheath_mark,0),0)*AK877,0)</f>
        <v>0</v>
      </c>
      <c r="AN877" cm="1">
        <f t="array" ref="AN877">IFERROR(INDEX(hd_cap,MATCH(AQ877,hd_mark,0),0),0)</f>
        <v>0</v>
      </c>
      <c r="AP877" s="19"/>
      <c r="AQ877" s="19"/>
      <c r="AR877" s="100"/>
      <c r="AS877" s="93"/>
      <c r="AT877" s="110" t="str">
        <f>$AT$808</f>
        <v>1.11</v>
      </c>
      <c r="AU877" t="str">
        <f>$Q$789</f>
        <v>L2</v>
      </c>
      <c r="AV877">
        <f>$E$21</f>
        <v>10.6875</v>
      </c>
      <c r="AW877" cm="1">
        <f t="array" ref="AW877">IFERROR(IF(AV877=0,0,(INDEX($C$33:$C$38,MATCH($AZ$808,$B$33:$B$38,0),0)*(AV881+$BA$808)+$AW$808*COUNTIF(AV877:AV880,"&gt;0")*$C$32+$AY$808*$C$31)*$AU$808),0)</f>
        <v>0</v>
      </c>
      <c r="AX877">
        <f>IF(AV877=0,0,-(COUNTIF(AV877:AV880,"&gt;0")*$AW$808*$C$32+$AY$808*$C$31)*$H$27*$AU$808)</f>
        <v>0</v>
      </c>
      <c r="AY877">
        <f>IF(AV877=0,0,$AY$808*$H$26*$AU$808)</f>
        <v>0</v>
      </c>
      <c r="AZ877">
        <f>(0.6*AW877+0.7*AX877)*$AU$808/2</f>
        <v>0</v>
      </c>
      <c r="BA877">
        <f>(0.6*AW877+0.6*AY877)*$AU$808/2</f>
        <v>0</v>
      </c>
      <c r="BC877">
        <f>IF(AV877=0,0,$BG$808*$AP$789)</f>
        <v>0</v>
      </c>
      <c r="BD877">
        <f>IFERROR(BC877/$AU$808,0)</f>
        <v>0</v>
      </c>
      <c r="BE877">
        <f>BC877*($F$21+IF($F$21=0,0,($C$14+$C$15+IF($C$13="single",1.5,3)+3)/12))</f>
        <v>0</v>
      </c>
      <c r="BF877">
        <f>BE877-AZ877</f>
        <v>0</v>
      </c>
      <c r="BG877" cm="1">
        <f t="array" ref="BG877">IFERROR(IF(BF877&lt;0,0,BF877/($AU$808-INDEX(hd_off,MATCH(BT877,hd_mark,0),0)/12)),0)</f>
        <v>0</v>
      </c>
      <c r="BH877">
        <f>IF(AV877=0,0,$BG$808*$AM$789)</f>
        <v>0</v>
      </c>
      <c r="BI877">
        <f>IFERROR(BH877/$AU$808,0)</f>
        <v>0</v>
      </c>
      <c r="BJ877">
        <f>BH877*($F$21+IF($F$21=0,0,($C$14+$C$15+IF($C$13="single",1.5,3)+3)/12))</f>
        <v>0</v>
      </c>
      <c r="BK877">
        <f>BJ877-BA877</f>
        <v>0</v>
      </c>
      <c r="BL877" cm="1">
        <f t="array" ref="BL877">IFERROR(IF(BK877&lt;0,0,BK877/($AU$808-INDEX(hd_off,MATCH(BT877,hd_mark,0),0)/12)),0)</f>
        <v>0</v>
      </c>
      <c r="BM877">
        <f>MAX($F$21,$BB$808)/$Q$820</f>
        <v>0.30172413793103448</v>
      </c>
      <c r="BN877">
        <f>IF(BM877=0,0,IF(BM877&gt;2,1.25-0.125*BM877,1))</f>
        <v>1</v>
      </c>
      <c r="BO877" cm="1">
        <f t="array" ref="BO877">IFERROR(INDEX(sheath_ecap_asd,MATCH(BS877,sheath_mark,0),0)*BN877,0)</f>
        <v>0</v>
      </c>
      <c r="BP877" cm="1">
        <f t="array" ref="BP877">IFERROR(INDEX(sheath_wcap_asd,MATCH(BS877,sheath_mark,0),0)*BN877,0)</f>
        <v>0</v>
      </c>
      <c r="BQ877" cm="1">
        <f t="array" ref="BQ877">IFERROR(INDEX(hd_cap,MATCH(BT877,hd_mark,0),0),0)</f>
        <v>0</v>
      </c>
      <c r="BS877" s="19"/>
      <c r="BT877" s="19"/>
      <c r="BU877" s="100"/>
    </row>
    <row r="878" x14ac:dyDescent="0.25">
      <c r="P878" s="93"/>
      <c r="Q878" s="109"/>
      <c r="R878" t="str">
        <f>$Q$790</f>
        <v>L3</v>
      </c>
      <c r="S878">
        <f>$E$22</f>
        <v>21.375</v>
      </c>
      <c r="T878" cm="1">
        <f t="array" ref="T878">IFERROR(IF(S878=0,0,(INDEX($C$33:$C$38,MATCH($W$808,$B$33:$B$38,0),0)*(S881+$X$808)+$T$808*COUNTIF(S878:S880,"&gt;0")*$C$32+$V$808*$C$31)*$R$808),0)</f>
        <v>0</v>
      </c>
      <c r="U878">
        <f>IF(S878=0,0,-(COUNTIF(S878:S880,"&gt;0")*$T$808*$C$32+$V$808*$C$31)*$H$27*$R$808)</f>
        <v>0</v>
      </c>
      <c r="V878">
        <f>IF(S878=0,0,$V$808*$H$26*$R$808)</f>
        <v>0</v>
      </c>
      <c r="W878">
        <f>(0.6*T878+0.7*U878)*$R$808/2</f>
        <v>0</v>
      </c>
      <c r="X878">
        <f>T878*$R$808/2</f>
        <v>0</v>
      </c>
      <c r="Z878">
        <f>IF(S878=0,0,$AD$808*$AP$790)</f>
        <v>0</v>
      </c>
      <c r="AA878">
        <f>IFERROR(Z878/$R$808,0)</f>
        <v>0</v>
      </c>
      <c r="AB878">
        <f>Z878*($F$22+IF($F$22=0,0,($C$14+$C$15+IF($C$13="single",1.5,3)+3)/12))</f>
        <v>0</v>
      </c>
      <c r="AC878">
        <f>AB878-W878</f>
        <v>0</v>
      </c>
      <c r="AD878" cm="1">
        <f t="array" ref="AD878">IFERROR(IF(AC878&lt;0,0,AC878/($R$808-INDEX(hd_off,MATCH(AQ878,hd_mark,0),0)/12)),0)</f>
        <v>0</v>
      </c>
      <c r="AE878">
        <f>IF(S878=0,0,$AD$808*$AM$790)</f>
        <v>0</v>
      </c>
      <c r="AF878">
        <f>IFERROR(AE878/$R$808,0)</f>
        <v>0</v>
      </c>
      <c r="AG878">
        <f>AE878*($F$22+IF($F$22=0,0,($C$14+$C$15+IF($C$13="single",1.5,3)+3)/12))</f>
        <v>0</v>
      </c>
      <c r="AH878">
        <f>AG878-X878</f>
        <v>0</v>
      </c>
      <c r="AI878" cm="1">
        <f t="array" ref="AI878">IFERROR(IF(AH878&lt;0,0,AH878/($R$808-INDEX(hd_off,MATCH(AQ878,hd_mark,0),0)/12)),0)</f>
        <v>0</v>
      </c>
      <c r="AJ878">
        <f>MAX($F$22,$Z$808)/$Q$820</f>
        <v>0.30172413793103448</v>
      </c>
      <c r="AK878">
        <f t="shared" ref="AK878:AK881" si="540">IF(AJ878=0,0,IF(AJ878&gt;2,1.25-0.125*AJ878,1))</f>
        <v>1</v>
      </c>
      <c r="AL878" cm="1">
        <f t="array" ref="AL878">IFERROR(INDEX(sheath_ecap_asd,MATCH(AP878,sheath_mark,0),0)*AK878,0)</f>
        <v>0</v>
      </c>
      <c r="AM878" cm="1">
        <f t="array" ref="AM878">IFERROR(INDEX(sheath_wcap_asd,MATCH(AP878,sheath_mark,0),0)*AK878,0)</f>
        <v>0</v>
      </c>
      <c r="AN878" cm="1">
        <f t="array" ref="AN878">IFERROR(INDEX(hd_cap,MATCH(AQ878,hd_mark,0),0),0)</f>
        <v>0</v>
      </c>
      <c r="AP878" s="19"/>
      <c r="AQ878" s="19"/>
      <c r="AR878" s="100"/>
      <c r="AS878" s="93"/>
      <c r="AT878" s="109"/>
      <c r="AU878" t="str">
        <f>$Q$790</f>
        <v>L3</v>
      </c>
      <c r="AV878">
        <f>$E$22</f>
        <v>21.375</v>
      </c>
      <c r="AW878" cm="1">
        <f t="array" ref="AW878">IFERROR(IF(AV878=0,0,(INDEX($C$33:$C$38,MATCH($AZ$808,$B$33:$B$38,0),0)*(AV881+$BA$808)+$AW$808*COUNTIF(AV878:AV880,"&gt;0")*$C$32+$AY$808*$C$31)*$AU$808),0)</f>
        <v>0</v>
      </c>
      <c r="AX878">
        <f>IF(AV878=0,0,-(COUNTIF(AV878:AV880,"&gt;0")*$AW$808*$C$32+$AY$808*$C$31)*$H$27*$AU$808)</f>
        <v>0</v>
      </c>
      <c r="AY878">
        <f>IF(AV878=0,0,$AY$808*$H$26*$AU$808)</f>
        <v>0</v>
      </c>
      <c r="AZ878">
        <f>(0.6*AW878+0.7*AX878)*$AU$808/2</f>
        <v>0</v>
      </c>
      <c r="BA878">
        <f>AW878*$AU$808/2</f>
        <v>0</v>
      </c>
      <c r="BC878">
        <f>IF(AV878=0,0,$BG$808*$AP$790)</f>
        <v>0</v>
      </c>
      <c r="BD878">
        <f>IFERROR(BC878/$AU$808,0)</f>
        <v>0</v>
      </c>
      <c r="BE878">
        <f>BC878*($F$22+IF($F$22=0,0,($C$14+$C$15+IF($C$13="single",1.5,3)+3)/12))</f>
        <v>0</v>
      </c>
      <c r="BF878">
        <f>BE878-AZ878</f>
        <v>0</v>
      </c>
      <c r="BG878" cm="1">
        <f t="array" ref="BG878">IFERROR(IF(BF878&lt;0,0,BF878/($AU$808-INDEX(hd_off,MATCH(BT878,hd_mark,0),0)/12)),0)</f>
        <v>0</v>
      </c>
      <c r="BH878">
        <f>IF(AV878=0,0,$BG$808*$AM$790)</f>
        <v>0</v>
      </c>
      <c r="BI878">
        <f>IFERROR(BH878/$AU$808,0)</f>
        <v>0</v>
      </c>
      <c r="BJ878">
        <f>BH878*($F$22+IF($F$22=0,0,($C$14+$C$15+IF($C$13="single",1.5,3)+3)/12))</f>
        <v>0</v>
      </c>
      <c r="BK878">
        <f>BJ878-BA878</f>
        <v>0</v>
      </c>
      <c r="BL878" cm="1">
        <f t="array" ref="BL878">IFERROR(IF(BK878&lt;0,0,BK878/($AU$808-INDEX(hd_off,MATCH(BT878,hd_mark,0),0)/12)),0)</f>
        <v>0</v>
      </c>
      <c r="BM878">
        <f>MAX($F$22,$BC$808)/$Q$820</f>
        <v>0.30172413793103448</v>
      </c>
      <c r="BN878">
        <f t="shared" ref="BN878:BN881" si="541">IF(BM878=0,0,IF(BM878&gt;2,1.25-0.125*BM878,1))</f>
        <v>1</v>
      </c>
      <c r="BO878" cm="1">
        <f t="array" ref="BO878">IFERROR(INDEX(sheath_ecap_asd,MATCH(BS878,sheath_mark,0),0)*BN878,0)</f>
        <v>0</v>
      </c>
      <c r="BP878" cm="1">
        <f t="array" ref="BP878">IFERROR(INDEX(sheath_wcap_asd,MATCH(BS878,sheath_mark,0),0)*BN878,0)</f>
        <v>0</v>
      </c>
      <c r="BQ878" cm="1">
        <f t="array" ref="BQ878">IFERROR(INDEX(hd_cap,MATCH(BT878,hd_mark,0),0),0)</f>
        <v>0</v>
      </c>
      <c r="BS878" s="19"/>
      <c r="BT878" s="19"/>
      <c r="BU878" s="100"/>
    </row>
    <row r="879" x14ac:dyDescent="0.25">
      <c r="P879" s="93"/>
      <c r="Q879" s="109" t="s">
        <v>491</v>
      </c>
      <c r="R879" t="str">
        <f>$Q$791</f>
        <v>L4</v>
      </c>
      <c r="S879">
        <f>$E$23</f>
        <v>0</v>
      </c>
      <c r="T879" cm="1">
        <f t="array" ref="T879">IFERROR(IF(S879=0,0,(INDEX($C$33:$C$38,MATCH($W$808,$B$33:$B$38,0),0)*(S881+$X$808)+$T$808*COUNTIF(S879:S880,"&gt;0")*$C$32+$V$808*$C$31)*$R$808),0)</f>
        <v>0</v>
      </c>
      <c r="U879">
        <f>IF(S879=0,0,-(COUNTIF(S879:S880,"&gt;0")*$T$808*$C$32+$V$808*$C$31)*$H$27*$R$808)</f>
        <v>0</v>
      </c>
      <c r="V879">
        <f>IF(S879=0,0,$V$808*$H$26*$R$808)</f>
        <v>0</v>
      </c>
      <c r="W879">
        <f>(0.6*T879+0.7*U879)*$R$808/2</f>
        <v>0</v>
      </c>
      <c r="X879">
        <f>T879*$R$808/2</f>
        <v>0</v>
      </c>
      <c r="Z879">
        <f>IF(S879=0,0,$AD$808*$AP$791)</f>
        <v>0</v>
      </c>
      <c r="AA879">
        <f>IFERROR(Z879/$R$808,0)</f>
        <v>0</v>
      </c>
      <c r="AB879">
        <f>Z879*($F$23+IF($F$23=0,0,($C$14+$C$15+IF($C$13="single",1.5,3)+3)/12))</f>
        <v>0</v>
      </c>
      <c r="AC879">
        <f>AB879-W879</f>
        <v>0</v>
      </c>
      <c r="AD879" cm="1">
        <f t="array" ref="AD879">IFERROR(IF(AC879&lt;0,0,AC879/($R$808-INDEX(hd_off,MATCH(AQ879,hd_mark,0),0)/12)),0)</f>
        <v>0</v>
      </c>
      <c r="AE879">
        <f>IF(S879=0,0,$AD$808*$AM$791)</f>
        <v>0</v>
      </c>
      <c r="AF879">
        <f>IFERROR(AE879/$R$808,0)</f>
        <v>0</v>
      </c>
      <c r="AG879">
        <f>AE879*($F$23+IF($F$23=0,0,($C$14+$C$15+IF($C$13="single",1.5,3)+3)/12))</f>
        <v>0</v>
      </c>
      <c r="AH879">
        <f>AG879-X879</f>
        <v>0</v>
      </c>
      <c r="AI879" cm="1">
        <f t="array" ref="AI879">IFERROR(IF(AH879&lt;0,0,AH879/($R$808-INDEX(hd_off,MATCH(AQ879,hd_mark,0),0)/12)),0)</f>
        <v>0</v>
      </c>
      <c r="AJ879">
        <f>MAX($F$23,$AA$808)/$Q$820</f>
        <v>0</v>
      </c>
      <c r="AK879">
        <f t="shared" si="540"/>
        <v>0</v>
      </c>
      <c r="AL879" cm="1">
        <f t="array" ref="AL879">IFERROR(INDEX(sheath_ecap_asd,MATCH(AP879,sheath_mark,0),0)*AK879,0)</f>
        <v>0</v>
      </c>
      <c r="AM879" cm="1">
        <f t="array" ref="AM879">IFERROR(INDEX(sheath_wcap_asd,MATCH(AP879,sheath_mark,0),0)*AK879,0)</f>
        <v>0</v>
      </c>
      <c r="AN879" cm="1">
        <f t="array" ref="AN879">IFERROR(INDEX(hd_cap,MATCH(AQ879,hd_mark,0),0),0)</f>
        <v>0</v>
      </c>
      <c r="AP879" s="19"/>
      <c r="AQ879" s="19"/>
      <c r="AR879" s="100"/>
      <c r="AS879" s="93"/>
      <c r="AT879" s="109" t="s">
        <v>491</v>
      </c>
      <c r="AU879" t="str">
        <f>$Q$791</f>
        <v>L4</v>
      </c>
      <c r="AV879">
        <f>$E$23</f>
        <v>0</v>
      </c>
      <c r="AW879" cm="1">
        <f t="array" ref="AW879">IFERROR(IF(AV879=0,0,(INDEX($C$33:$C$38,MATCH($AZ$808,$B$33:$B$38,0),0)*(AV881+$BA$808)+$AW$808*COUNTIF(AV879:AV880,"&gt;0")*$C$32+$AY$808*$C$31)*$AU$808),0)</f>
        <v>0</v>
      </c>
      <c r="AX879">
        <f>IF(AV879=0,0,-(COUNTIF(AV879:AV880,"&gt;0")*$AW$808*$C$32+$AY$808*$C$31)*$H$27*$AU$808)</f>
        <v>0</v>
      </c>
      <c r="AY879">
        <f>IF(AV879=0,0,$AY$808*$H$26*$AU$808)</f>
        <v>0</v>
      </c>
      <c r="AZ879">
        <f>(0.6*AW879+0.7*AX879)*$AU$808/2</f>
        <v>0</v>
      </c>
      <c r="BA879">
        <f>AW879*$AU$808/2</f>
        <v>0</v>
      </c>
      <c r="BC879">
        <f>IF(AV879=0,0,$BG$808*$AP$791)</f>
        <v>0</v>
      </c>
      <c r="BD879">
        <f>IFERROR(BC879/$AU$808,0)</f>
        <v>0</v>
      </c>
      <c r="BE879">
        <f>BC879*($F$23+IF($F$23=0,0,($C$14+$C$15+IF($C$13="single",1.5,3)+3)/12))</f>
        <v>0</v>
      </c>
      <c r="BF879">
        <f>BE879-AZ879</f>
        <v>0</v>
      </c>
      <c r="BG879" cm="1">
        <f t="array" ref="BG879">IFERROR(IF(BF879&lt;0,0,BF879/($AU$808-INDEX(hd_off,MATCH(BT879,hd_mark,0),0)/12)),0)</f>
        <v>0</v>
      </c>
      <c r="BH879">
        <f>IF(AV879=0,0,$BG$808*$AM$791)</f>
        <v>0</v>
      </c>
      <c r="BI879">
        <f>IFERROR(BH879/$AU$808,0)</f>
        <v>0</v>
      </c>
      <c r="BJ879">
        <f>BH879*($F$23+IF($F$23=0,0,($C$14+$C$15+IF($C$13="single",1.5,3)+3)/12))</f>
        <v>0</v>
      </c>
      <c r="BK879">
        <f>BJ879-BA879</f>
        <v>0</v>
      </c>
      <c r="BL879" cm="1">
        <f t="array" ref="BL879">IFERROR(IF(BK879&lt;0,0,BK879/($AU$808-INDEX(hd_off,MATCH(BT879,hd_mark,0),0)/12)),0)</f>
        <v>0</v>
      </c>
      <c r="BM879">
        <f>MAX($F$23,$BD$808)/$Q$820</f>
        <v>0</v>
      </c>
      <c r="BN879">
        <f t="shared" si="541"/>
        <v>0</v>
      </c>
      <c r="BO879" cm="1">
        <f t="array" ref="BO879">IFERROR(INDEX(sheath_ecap_asd,MATCH(BS879,sheath_mark,0),0)*BN879,0)</f>
        <v>0</v>
      </c>
      <c r="BP879" cm="1">
        <f t="array" ref="BP879">IFERROR(INDEX(sheath_wcap_asd,MATCH(BS879,sheath_mark,0),0)*BN879,0)</f>
        <v>0</v>
      </c>
      <c r="BQ879" cm="1">
        <f t="array" ref="BQ879">IFERROR(INDEX(hd_cap,MATCH(BT879,hd_mark,0),0),0)</f>
        <v>0</v>
      </c>
      <c r="BS879" s="19"/>
      <c r="BT879" s="19"/>
      <c r="BU879" s="100"/>
    </row>
    <row r="880" x14ac:dyDescent="0.25">
      <c r="P880" s="93"/>
      <c r="Q880" s="111">
        <f>$R$808</f>
        <v>0</v>
      </c>
      <c r="R880" t="str">
        <f>$Q$792</f>
        <v>L5</v>
      </c>
      <c r="S880">
        <f>$E$24</f>
        <v>0</v>
      </c>
      <c r="T880" cm="1">
        <f t="array" ref="T880">IFERROR(IF(S880=0,0,(INDEX($C$33:$C$38,MATCH($W$808,$B$33:$B$38,0),0)*(S881+$X$808)+$T$808*COUNTIF(S880:S880,"&gt;0")*$C$32+$V$808*$C$31)*$R$808),0)</f>
        <v>0</v>
      </c>
      <c r="U880">
        <f>IF(S880=0,0,-(COUNTIF(S880:S880,"&gt;0")*$T$808*$C$32+$V$808*$C$31)*$H$27*$R$808)</f>
        <v>0</v>
      </c>
      <c r="V880">
        <f>IF(S880=0,0,$V$808*$H$26*$R$808)</f>
        <v>0</v>
      </c>
      <c r="W880">
        <f>(0.6*T880+0.7*U880)*$R$808/2</f>
        <v>0</v>
      </c>
      <c r="X880">
        <f>T880*$R$808/2</f>
        <v>0</v>
      </c>
      <c r="Z880">
        <f>IF(S880=0,0,$AD$808*$AP$792)</f>
        <v>0</v>
      </c>
      <c r="AA880">
        <f>IFERROR(Z880/$R$808,0)</f>
        <v>0</v>
      </c>
      <c r="AB880">
        <f>Z880*($F$24+IF($F$24=0,0,($C$14+$C$15+IF($C$13="single",1.5,3)+3)/12))</f>
        <v>0</v>
      </c>
      <c r="AC880">
        <f>AB880-W880</f>
        <v>0</v>
      </c>
      <c r="AD880" cm="1">
        <f t="array" ref="AD880">IFERROR(IF(AC880&lt;0,0,AC880/($R$808-INDEX(hd_off,MATCH(AQ880,hd_mark,0),0)/12)),0)</f>
        <v>0</v>
      </c>
      <c r="AE880">
        <f>IF(S880=0,0,$AD$808*$AM$792)</f>
        <v>0</v>
      </c>
      <c r="AF880">
        <f>IFERROR(AE880/$R$808,0)</f>
        <v>0</v>
      </c>
      <c r="AG880">
        <f>AE880*($F$24+IF($F$24=0,0,($C$14+$C$15+IF($C$13="single",1.5,3)+3)/12))</f>
        <v>0</v>
      </c>
      <c r="AH880">
        <f>AG880-X880</f>
        <v>0</v>
      </c>
      <c r="AI880" cm="1">
        <f t="array" ref="AI880">IFERROR(IF(AH880&lt;0,0,AH880/($R$808-INDEX(hd_off,MATCH(AQ880,hd_mark,0),0)/12)),0)</f>
        <v>0</v>
      </c>
      <c r="AJ880">
        <f>MAX($F$24,$AB$808)/$Q$820</f>
        <v>0</v>
      </c>
      <c r="AK880">
        <f t="shared" si="540"/>
        <v>0</v>
      </c>
      <c r="AL880" cm="1">
        <f t="array" ref="AL880">IFERROR(INDEX(sheath_ecap_asd,MATCH(AP880,sheath_mark,0),0)*AK880,0)</f>
        <v>0</v>
      </c>
      <c r="AM880" cm="1">
        <f t="array" ref="AM880">IFERROR(INDEX(sheath_wcap_asd,MATCH(AP880,sheath_mark,0),0)*AK880,0)</f>
        <v>0</v>
      </c>
      <c r="AN880" cm="1">
        <f t="array" ref="AN880">IFERROR(INDEX(hd_cap,MATCH(AQ880,hd_mark,0),0),0)</f>
        <v>0</v>
      </c>
      <c r="AP880" s="19"/>
      <c r="AQ880" s="19"/>
      <c r="AR880" s="100"/>
      <c r="AS880" s="93"/>
      <c r="AT880" s="111">
        <f>$R$808</f>
        <v>0</v>
      </c>
      <c r="AU880" t="str">
        <f>$Q$792</f>
        <v>L5</v>
      </c>
      <c r="AV880">
        <f>$E$24</f>
        <v>0</v>
      </c>
      <c r="AW880" cm="1">
        <f t="array" ref="AW880">IFERROR(IF(AV880=0,0,(INDEX($C$33:$C$38,MATCH($AZ$808,$B$33:$B$38,0),0)*(AV881+$BA$808)+$AW$808*COUNTIF(AV880:AV880,"&gt;0")*$C$32+$AY$808*$C$31)*$AU$808),0)</f>
        <v>0</v>
      </c>
      <c r="AX880">
        <f>IF(AV880=0,0,-(COUNTIF(AV880:AV880,"&gt;0")*$AW$808*$C$32+$AY$808*$C$31)*$H$27*$AU$808)</f>
        <v>0</v>
      </c>
      <c r="AY880">
        <f>IF(AV880=0,0,$AY$808*$H$26*$AU$808)</f>
        <v>0</v>
      </c>
      <c r="AZ880">
        <f>(0.6*AW880+0.7*AX880)*$AU$808/2</f>
        <v>0</v>
      </c>
      <c r="BA880">
        <f>AW880*$AU$808/2</f>
        <v>0</v>
      </c>
      <c r="BC880">
        <f>IF(AV880=0,0,$BG$808*$AP$792)</f>
        <v>0</v>
      </c>
      <c r="BD880">
        <f>IFERROR(BC880/$AU$808,0)</f>
        <v>0</v>
      </c>
      <c r="BE880">
        <f>BC880*($F$24+IF($F$24=0,0,($C$14+$C$15+IF($C$13="single",1.5,3)+3)/12))</f>
        <v>0</v>
      </c>
      <c r="BF880">
        <f>BE880-AZ880</f>
        <v>0</v>
      </c>
      <c r="BG880" cm="1">
        <f t="array" ref="BG880">IFERROR(IF(BF880&lt;0,0,BF880/($AU$808-INDEX(hd_off,MATCH(BT880,hd_mark,0),0)/12)),0)</f>
        <v>0</v>
      </c>
      <c r="BH880">
        <f>IF(AV880=0,0,$BG$808*$AM$792)</f>
        <v>0</v>
      </c>
      <c r="BI880">
        <f>IFERROR(BH880/$AU$808,0)</f>
        <v>0</v>
      </c>
      <c r="BJ880">
        <f>BH880*($F$24+IF($F$24=0,0,($C$14+$C$15+IF($C$13="single",1.5,3)+3)/12))</f>
        <v>0</v>
      </c>
      <c r="BK880">
        <f>BJ880-BA880</f>
        <v>0</v>
      </c>
      <c r="BL880" cm="1">
        <f t="array" ref="BL880">IFERROR(IF(BK880&lt;0,0,BK880/($AU$808-INDEX(hd_off,MATCH(BT880,hd_mark,0),0)/12)),0)</f>
        <v>0</v>
      </c>
      <c r="BM880">
        <f>MAX($F$24,$BE$808)/$Q$820</f>
        <v>0</v>
      </c>
      <c r="BN880">
        <f t="shared" si="541"/>
        <v>0</v>
      </c>
      <c r="BO880" cm="1">
        <f t="array" ref="BO880">IFERROR(INDEX(sheath_ecap_asd,MATCH(BS880,sheath_mark,0),0)*BN880,0)</f>
        <v>0</v>
      </c>
      <c r="BP880" cm="1">
        <f t="array" ref="BP880">IFERROR(INDEX(sheath_wcap_asd,MATCH(BS880,sheath_mark,0),0)*BN880,0)</f>
        <v>0</v>
      </c>
      <c r="BQ880" cm="1">
        <f t="array" ref="BQ880">IFERROR(INDEX(hd_cap,MATCH(BT880,hd_mark,0),0),0)</f>
        <v>0</v>
      </c>
      <c r="BS880" s="19"/>
      <c r="BT880" s="19"/>
      <c r="BU880" s="100"/>
    </row>
    <row r="881" x14ac:dyDescent="0.25">
      <c r="P881" s="93"/>
      <c r="Q881" s="109"/>
      <c r="R881" t="str">
        <f>$Q$793</f>
        <v>Roof</v>
      </c>
      <c r="S881">
        <f>$E$25</f>
        <v>33.171875</v>
      </c>
      <c r="T881" cm="1">
        <f t="array" ref="T881">IFERROR(IF(S881=0,0,(INDEX($C$33:$C$38,MATCH($W$808,$B$33:$B$38,0),0)*(S881+$X$808)+$V$808*$C$31)*$R$808),0)</f>
        <v>0</v>
      </c>
      <c r="U881">
        <f>IF(S881=0,0,-$V$808*$C$31*$H$27*$R$808)</f>
        <v>0</v>
      </c>
      <c r="V881">
        <f>IF(S881=0,0,$V$808*$H$26*$R$808)</f>
        <v>0</v>
      </c>
      <c r="W881">
        <f>(0.6*T881+0.7*U881)*$R$808/2</f>
        <v>0</v>
      </c>
      <c r="X881">
        <f>T881*$R$808/2</f>
        <v>0</v>
      </c>
      <c r="Z881">
        <f>IF(S881=0,0,$AD$808*$AP$793)</f>
        <v>0</v>
      </c>
      <c r="AA881">
        <f>IFERROR(Z881/$R$808,0)</f>
        <v>0</v>
      </c>
      <c r="AB881">
        <f>Z881*($F$25+($C$16+$C$17+IF($C$13="single",1.5,3)+3)/12)</f>
        <v>0</v>
      </c>
      <c r="AC881">
        <f>AB881-W881</f>
        <v>0</v>
      </c>
      <c r="AD881" cm="1">
        <f t="array" ref="AD881">IFERROR(IF(AC881&lt;0,0,AC881/($R$808-INDEX(hd_off,MATCH(AQ881,hd_mark,0),0)/12)),0)</f>
        <v>0</v>
      </c>
      <c r="AE881">
        <f>IF(S881=0,0,$AD$808*$AM$793)</f>
        <v>0</v>
      </c>
      <c r="AF881">
        <f>IFERROR(AE881/$R$808,0)</f>
        <v>0</v>
      </c>
      <c r="AG881">
        <f>AE881*($F$25+($C$16+$C$17+IF($C$13="single",1.5,3)+3)/12)</f>
        <v>0</v>
      </c>
      <c r="AH881">
        <f>AG881-X881</f>
        <v>0</v>
      </c>
      <c r="AI881" cm="1">
        <f t="array" ref="AI881">IFERROR(IF(AH881&lt;0,0,AH881/($R$808-INDEX(hd_off,MATCH(AQ881,hd_mark,0),0)/12)),0)</f>
        <v>0</v>
      </c>
      <c r="AJ881">
        <f>MAX($F$25,$AC$808)/$Q$820</f>
        <v>0.29920977011494249</v>
      </c>
      <c r="AK881">
        <f t="shared" si="540"/>
        <v>1</v>
      </c>
      <c r="AL881" cm="1">
        <f t="array" ref="AL881">IFERROR(INDEX(sheath_ecap_asd,MATCH(AP881,sheath_mark,0),0)*AK881,0)</f>
        <v>0</v>
      </c>
      <c r="AM881" cm="1">
        <f t="array" ref="AM881">IFERROR(INDEX(sheath_wcap_asd,MATCH(AP881,sheath_mark,0),0)*AK881,0)</f>
        <v>0</v>
      </c>
      <c r="AN881" cm="1">
        <f t="array" ref="AN881">IFERROR(INDEX(hd_cap,MATCH(AQ881,hd_mark,0),0),0)</f>
        <v>0</v>
      </c>
      <c r="AP881" s="19"/>
      <c r="AQ881" s="19"/>
      <c r="AR881" s="100"/>
      <c r="AS881" s="93"/>
      <c r="AT881" s="109"/>
      <c r="AU881" t="str">
        <f>$Q$793</f>
        <v>Roof</v>
      </c>
      <c r="AV881">
        <f>$E$25</f>
        <v>33.171875</v>
      </c>
      <c r="AW881" cm="1">
        <f t="array" ref="AW881">IFERROR(IF(AV881=0,0,(INDEX($C$33:$C$38,MATCH($AZ$808,$B$33:$B$38,0),0)*(AV881+$BA$808)+$AY$808*$C$31)*$AU$808),0)</f>
        <v>0</v>
      </c>
      <c r="AX881">
        <f>IF(AV881=0,0,-$AY$808*$C$31*$H$27*$AU$808)</f>
        <v>0</v>
      </c>
      <c r="AY881">
        <f>IF(AV881=0,0,$AY$808*$H$26*$AU$808)</f>
        <v>0</v>
      </c>
      <c r="AZ881">
        <f>(0.6*AW881+0.7*AX881)*$AU$808/2</f>
        <v>0</v>
      </c>
      <c r="BA881">
        <f>AW881*$AU$808/2</f>
        <v>0</v>
      </c>
      <c r="BC881">
        <f>IF(AV881=0,0,$BG$808*$AP$793)</f>
        <v>0</v>
      </c>
      <c r="BD881">
        <f>IFERROR(BC881/$AU$808,0)</f>
        <v>0</v>
      </c>
      <c r="BE881">
        <f>BC881*($F$25+($C$16+$C$17+IF($C$13="single",1.5,3)+3)/12)</f>
        <v>0</v>
      </c>
      <c r="BF881">
        <f>BE881-AZ881</f>
        <v>0</v>
      </c>
      <c r="BG881" cm="1">
        <f t="array" ref="BG881">IFERROR(IF(BF881&lt;0,0,BF881/($AU$808-INDEX(hd_off,MATCH(BT881,hd_mark,0),0)/12)),0)</f>
        <v>0</v>
      </c>
      <c r="BH881">
        <f>IF(AV881=0,0,$BG$808*$AM$793)</f>
        <v>0</v>
      </c>
      <c r="BI881">
        <f>IFERROR(BH881/$AU$808,0)</f>
        <v>0</v>
      </c>
      <c r="BJ881">
        <f>BH881*($F$25+($C$16+$C$17+IF($C$13="single",1.5,3)+3)/12)</f>
        <v>0</v>
      </c>
      <c r="BK881">
        <f>BJ881-BA881</f>
        <v>0</v>
      </c>
      <c r="BL881" cm="1">
        <f t="array" ref="BL881">IFERROR(IF(BK881&lt;0,0,BK881/($AU$808-INDEX(hd_off,MATCH(BT881,hd_mark,0),0)/12)),0)</f>
        <v>0</v>
      </c>
      <c r="BM881">
        <f>MAX($F$25,$BF$808)/$Q$820</f>
        <v>0.29920977011494249</v>
      </c>
      <c r="BN881">
        <f t="shared" si="541"/>
        <v>1</v>
      </c>
      <c r="BO881" cm="1">
        <f t="array" ref="BO881">IFERROR(INDEX(sheath_ecap_asd,MATCH(BS881,sheath_mark,0),0)*BN881,0)</f>
        <v>0</v>
      </c>
      <c r="BP881" cm="1">
        <f t="array" ref="BP881">IFERROR(INDEX(sheath_wcap_asd,MATCH(BS881,sheath_mark,0),0)*BN881,0)</f>
        <v>0</v>
      </c>
      <c r="BQ881" cm="1">
        <f t="array" ref="BQ881">IFERROR(INDEX(hd_cap,MATCH(BT881,hd_mark,0),0),0)</f>
        <v>0</v>
      </c>
      <c r="BS881" s="19"/>
      <c r="BT881" s="19"/>
      <c r="BU881" s="100"/>
    </row>
    <row r="882" x14ac:dyDescent="0.25">
      <c r="P882" s="93"/>
      <c r="AR882" s="100"/>
      <c r="AS882" s="93"/>
      <c r="BU882" s="100"/>
    </row>
    <row r="883" x14ac:dyDescent="0.25">
      <c r="P883" s="93"/>
      <c r="Q883" s="110" t="str">
        <f>$Q$809</f>
        <v>A.12</v>
      </c>
      <c r="R883" t="str">
        <f>$Q$789</f>
        <v>L2</v>
      </c>
      <c r="S883">
        <f>$E$21</f>
        <v>10.6875</v>
      </c>
      <c r="T883" cm="1">
        <f t="array" ref="T883">IFERROR(IF(S883=0,0,(INDEX($C$33:$C$38,MATCH($W$809,$B$33:$B$38,0),0)*(S887+$X$809)+$T$809*COUNTIF(S883:S886,"&gt;0")*$C$32+$V$809*$C$31)*$R$809),0)</f>
        <v>0</v>
      </c>
      <c r="U883">
        <f>IF(S883=0,0,-(COUNTIF(S883:S886,"&gt;0")*$T$809*$C$32+$V$809*$C$31)*$H$27*$R$809)</f>
        <v>0</v>
      </c>
      <c r="V883">
        <f>IF(S883=0,0,$V$809*$H$26*$R$809)</f>
        <v>0</v>
      </c>
      <c r="W883">
        <f>(0.6*T883+0.7*U883)*$R$809/2</f>
        <v>0</v>
      </c>
      <c r="X883">
        <f>(0.6*T883+0.6*V883)*$R$809/2</f>
        <v>0</v>
      </c>
      <c r="Z883">
        <f>IF(S883=0,0,$AD$809*$AP$789)</f>
        <v>0</v>
      </c>
      <c r="AA883">
        <f>IFERROR(Z883/$R$809,0)</f>
        <v>0</v>
      </c>
      <c r="AB883">
        <f>Z883*($F$21+IF($F$21=0,0,($C$14+$C$15+IF($C$13="single",1.5,3)+3)/12))</f>
        <v>0</v>
      </c>
      <c r="AC883">
        <f>AB883-W883</f>
        <v>0</v>
      </c>
      <c r="AD883" cm="1">
        <f t="array" ref="AD883">IFERROR(IF(AC883&lt;0,0,AC883/($R$809-INDEX(hd_off,MATCH(AQ883,hd_mark,0),0)/12)),0)</f>
        <v>0</v>
      </c>
      <c r="AE883">
        <f>IF(S883=0,0,$AD$809*$AM$789)</f>
        <v>0</v>
      </c>
      <c r="AF883">
        <f>IFERROR(AE883/$R$809,0)</f>
        <v>0</v>
      </c>
      <c r="AG883">
        <f>AE883*($F$21+IF($F$21=0,0,($C$14+$C$15+IF($C$13="single",1.5,3)+3)/12))</f>
        <v>0</v>
      </c>
      <c r="AH883">
        <f>AG883-X883</f>
        <v>0</v>
      </c>
      <c r="AI883" cm="1">
        <f t="array" ref="AI883">IFERROR(IF(AH883&lt;0,0,AH883/($R$809-INDEX(hd_off,MATCH(AQ883,hd_mark,0),0)/12)),0)</f>
        <v>0</v>
      </c>
      <c r="AJ883">
        <f>MAX($F$21,$Y$809)/$Q$820</f>
        <v>0.30172413793103448</v>
      </c>
      <c r="AK883">
        <f>IF(AJ883=0,0,IF(AJ883&gt;2,1.25-0.125*AJ883,1))</f>
        <v>1</v>
      </c>
      <c r="AL883" cm="1">
        <f t="array" ref="AL883">IFERROR(INDEX(sheath_ecap_asd,MATCH(AP883,sheath_mark,0),0)*AK883,0)</f>
        <v>0</v>
      </c>
      <c r="AM883" cm="1">
        <f t="array" ref="AM883">IFERROR(INDEX(sheath_wcap_asd,MATCH(AP883,sheath_mark,0),0)*AK883,0)</f>
        <v>0</v>
      </c>
      <c r="AN883" cm="1">
        <f t="array" ref="AN883">IFERROR(INDEX(hd_cap,MATCH(AQ883,hd_mark,0),0),0)</f>
        <v>0</v>
      </c>
      <c r="AP883" s="19"/>
      <c r="AQ883" s="19"/>
      <c r="AR883" s="100"/>
      <c r="AS883" s="93"/>
      <c r="AT883" s="110" t="str">
        <f>$AT$809</f>
        <v>1.12</v>
      </c>
      <c r="AU883" t="str">
        <f>$Q$789</f>
        <v>L2</v>
      </c>
      <c r="AV883">
        <f>$E$21</f>
        <v>10.6875</v>
      </c>
      <c r="AW883" cm="1">
        <f t="array" ref="AW883">IFERROR(IF(AV883=0,0,(INDEX($C$33:$C$38,MATCH($AZ$809,$B$33:$B$38,0),0)*(AV887+$BA$809)+$AW$809*COUNTIF(AV883:AV886,"&gt;0")*$C$32+$AY$809*$C$31)*$AU$809),0)</f>
        <v>0</v>
      </c>
      <c r="AX883">
        <f>IF(AV883=0,0,-(COUNTIF(AV883:AV886,"&gt;0")*$AW$809*$C$32+$AY$809*$C$31)*$H$27*$AU$809)</f>
        <v>0</v>
      </c>
      <c r="AY883">
        <f>IF(AV883=0,0,$AY$809*$H$26*$AU$809)</f>
        <v>0</v>
      </c>
      <c r="AZ883">
        <f>(0.6*AW883+0.7*AX883)*$AU$809/2</f>
        <v>0</v>
      </c>
      <c r="BA883">
        <f>(0.6*AW883+0.6*AY883)*$AU$809/2</f>
        <v>0</v>
      </c>
      <c r="BC883">
        <f>IF(AV883=0,0,$BG$809*$AP$789)</f>
        <v>0</v>
      </c>
      <c r="BD883">
        <f>IFERROR(BC883/$AU$809,0)</f>
        <v>0</v>
      </c>
      <c r="BE883">
        <f>BC883*($F$21+IF($F$21=0,0,($C$14+$C$15+IF($C$13="single",1.5,3)+3)/12))</f>
        <v>0</v>
      </c>
      <c r="BF883">
        <f>BE883-AZ883</f>
        <v>0</v>
      </c>
      <c r="BG883" cm="1">
        <f t="array" ref="BG883">IFERROR(IF(BF883&lt;0,0,BF883/($AU$809-INDEX(hd_off,MATCH(BT883,hd_mark,0),0)/12)),0)</f>
        <v>0</v>
      </c>
      <c r="BH883">
        <f>IF(AV883=0,0,$BG$809*$AM$789)</f>
        <v>0</v>
      </c>
      <c r="BI883">
        <f>IFERROR(BH883/$AU$809,0)</f>
        <v>0</v>
      </c>
      <c r="BJ883">
        <f>BH883*($F$21+IF($F$21=0,0,($C$14+$C$15+IF($C$13="single",1.5,3)+3)/12))</f>
        <v>0</v>
      </c>
      <c r="BK883">
        <f>BJ883-BA883</f>
        <v>0</v>
      </c>
      <c r="BL883" cm="1">
        <f t="array" ref="BL883">IFERROR(IF(BK883&lt;0,0,BK883/($AU$809-INDEX(hd_off,MATCH(BT883,hd_mark,0),0)/12)),0)</f>
        <v>0</v>
      </c>
      <c r="BM883">
        <f>MAX($F$21,$BB$809)/$Q$820</f>
        <v>0.30172413793103448</v>
      </c>
      <c r="BN883">
        <f>IF(BM883=0,0,IF(BM883&gt;2,1.25-0.125*BM883,1))</f>
        <v>1</v>
      </c>
      <c r="BO883" cm="1">
        <f t="array" ref="BO883">IFERROR(INDEX(sheath_ecap_asd,MATCH(BS883,sheath_mark,0),0)*BN883,0)</f>
        <v>0</v>
      </c>
      <c r="BP883" cm="1">
        <f t="array" ref="BP883">IFERROR(INDEX(sheath_wcap_asd,MATCH(BS883,sheath_mark,0),0)*BN883,0)</f>
        <v>0</v>
      </c>
      <c r="BQ883" cm="1">
        <f t="array" ref="BQ883">IFERROR(INDEX(hd_cap,MATCH(BT883,hd_mark,0),0),0)</f>
        <v>0</v>
      </c>
      <c r="BS883" s="19"/>
      <c r="BT883" s="19"/>
      <c r="BU883" s="100"/>
    </row>
    <row r="884" x14ac:dyDescent="0.25">
      <c r="P884" s="93"/>
      <c r="Q884" s="109"/>
      <c r="R884" t="str">
        <f>$Q$790</f>
        <v>L3</v>
      </c>
      <c r="S884">
        <f>$E$22</f>
        <v>21.375</v>
      </c>
      <c r="T884" cm="1">
        <f t="array" ref="T884">IFERROR(IF(S884=0,0,(INDEX($C$33:$C$38,MATCH($W$809,$B$33:$B$38,0),0)*(S887+$X$809)+$T$809*COUNTIF(S884:S886,"&gt;0")*$C$32+$V$809*$C$31)*$R$809),0)</f>
        <v>0</v>
      </c>
      <c r="U884">
        <f>IF(S884=0,0,-(COUNTIF(S884:S886,"&gt;0")*$T$809*$C$32+$V$809*$C$31)*$H$27*$R$809)</f>
        <v>0</v>
      </c>
      <c r="V884">
        <f>IF(S884=0,0,$V$809*$H$26*$R$809)</f>
        <v>0</v>
      </c>
      <c r="W884">
        <f>(0.6*T884+0.7*U884)*$R$809/2</f>
        <v>0</v>
      </c>
      <c r="X884">
        <f>T884*$R$809/2</f>
        <v>0</v>
      </c>
      <c r="Z884">
        <f>IF(S884=0,0,$AD$809*$AP$790)</f>
        <v>0</v>
      </c>
      <c r="AA884">
        <f>IFERROR(Z884/$R$809,0)</f>
        <v>0</v>
      </c>
      <c r="AB884">
        <f>Z884*($F$22+IF($F$22=0,0,($C$14+$C$15+IF($C$13="single",1.5,3)+3)/12))</f>
        <v>0</v>
      </c>
      <c r="AC884">
        <f>AB884-W884</f>
        <v>0</v>
      </c>
      <c r="AD884" cm="1">
        <f t="array" ref="AD884">IFERROR(IF(AC884&lt;0,0,AC884/($R$809-INDEX(hd_off,MATCH(AQ884,hd_mark,0),0)/12)),0)</f>
        <v>0</v>
      </c>
      <c r="AE884">
        <f>IF(S884=0,0,$AD$809*$AM$790)</f>
        <v>0</v>
      </c>
      <c r="AF884">
        <f>IFERROR(AE884/$R$809,0)</f>
        <v>0</v>
      </c>
      <c r="AG884">
        <f>AE884*($F$22+IF($F$22=0,0,($C$14+$C$15+IF($C$13="single",1.5,3)+3)/12))</f>
        <v>0</v>
      </c>
      <c r="AH884">
        <f>AG884-X884</f>
        <v>0</v>
      </c>
      <c r="AI884" cm="1">
        <f t="array" ref="AI884">IFERROR(IF(AH884&lt;0,0,AH884/($R$809-INDEX(hd_off,MATCH(AQ884,hd_mark,0),0)/12)),0)</f>
        <v>0</v>
      </c>
      <c r="AJ884">
        <f>MAX($F$22,$Z$809)/$Q$820</f>
        <v>0.30172413793103448</v>
      </c>
      <c r="AK884">
        <f t="shared" ref="AK884:AK887" si="542">IF(AJ884=0,0,IF(AJ884&gt;2,1.25-0.125*AJ884,1))</f>
        <v>1</v>
      </c>
      <c r="AL884" cm="1">
        <f t="array" ref="AL884">IFERROR(INDEX(sheath_ecap_asd,MATCH(AP884,sheath_mark,0),0)*AK884,0)</f>
        <v>0</v>
      </c>
      <c r="AM884" cm="1">
        <f t="array" ref="AM884">IFERROR(INDEX(sheath_wcap_asd,MATCH(AP884,sheath_mark,0),0)*AK884,0)</f>
        <v>0</v>
      </c>
      <c r="AN884" cm="1">
        <f t="array" ref="AN884">IFERROR(INDEX(hd_cap,MATCH(AQ884,hd_mark,0),0),0)</f>
        <v>0</v>
      </c>
      <c r="AP884" s="19"/>
      <c r="AQ884" s="19"/>
      <c r="AR884" s="100"/>
      <c r="AS884" s="93"/>
      <c r="AT884" s="109"/>
      <c r="AU884" t="str">
        <f>$Q$790</f>
        <v>L3</v>
      </c>
      <c r="AV884">
        <f>$E$22</f>
        <v>21.375</v>
      </c>
      <c r="AW884" cm="1">
        <f t="array" ref="AW884">IFERROR(IF(AV884=0,0,(INDEX($C$33:$C$38,MATCH($AZ$809,$B$33:$B$38,0),0)*(AV887+$BA$809)+$AW$809*COUNTIF(AV884:AV886,"&gt;0")*$C$32+$AY$809*$C$31)*$AU$809),0)</f>
        <v>0</v>
      </c>
      <c r="AX884">
        <f>IF(AV884=0,0,-(COUNTIF(AV884:AV886,"&gt;0")*$AW$809*$C$32+$AY$809*$C$31)*$H$27*$AU$809)</f>
        <v>0</v>
      </c>
      <c r="AY884">
        <f>IF(AV884=0,0,$AY$809*$H$26*$AU$809)</f>
        <v>0</v>
      </c>
      <c r="AZ884">
        <f>(0.6*AW884+0.7*AX884)*$AU$809/2</f>
        <v>0</v>
      </c>
      <c r="BA884">
        <f>AW884*$AU$809/2</f>
        <v>0</v>
      </c>
      <c r="BC884">
        <f>IF(AV884=0,0,$BG$809*$AP$790)</f>
        <v>0</v>
      </c>
      <c r="BD884">
        <f>IFERROR(BC884/$AU$809,0)</f>
        <v>0</v>
      </c>
      <c r="BE884">
        <f>BC884*($F$22+IF($F$22=0,0,($C$14+$C$15+IF($C$13="single",1.5,3)+3)/12))</f>
        <v>0</v>
      </c>
      <c r="BF884">
        <f>BE884-AZ884</f>
        <v>0</v>
      </c>
      <c r="BG884" cm="1">
        <f t="array" ref="BG884">IFERROR(IF(BF884&lt;0,0,BF884/($AU$809-INDEX(hd_off,MATCH(BT884,hd_mark,0),0)/12)),0)</f>
        <v>0</v>
      </c>
      <c r="BH884">
        <f>IF(AV884=0,0,$BG$809*$AM$790)</f>
        <v>0</v>
      </c>
      <c r="BI884">
        <f>IFERROR(BH884/$AU$809,0)</f>
        <v>0</v>
      </c>
      <c r="BJ884">
        <f>BH884*($F$22+IF($F$22=0,0,($C$14+$C$15+IF($C$13="single",1.5,3)+3)/12))</f>
        <v>0</v>
      </c>
      <c r="BK884">
        <f>BJ884-BA884</f>
        <v>0</v>
      </c>
      <c r="BL884" cm="1">
        <f t="array" ref="BL884">IFERROR(IF(BK884&lt;0,0,BK884/($AU$809-INDEX(hd_off,MATCH(BT884,hd_mark,0),0)/12)),0)</f>
        <v>0</v>
      </c>
      <c r="BM884">
        <f>MAX($F$22,$BC$809)/$Q$820</f>
        <v>0.30172413793103448</v>
      </c>
      <c r="BN884">
        <f t="shared" ref="BN884:BN887" si="543">IF(BM884=0,0,IF(BM884&gt;2,1.25-0.125*BM884,1))</f>
        <v>1</v>
      </c>
      <c r="BO884" cm="1">
        <f t="array" ref="BO884">IFERROR(INDEX(sheath_ecap_asd,MATCH(BS884,sheath_mark,0),0)*BN884,0)</f>
        <v>0</v>
      </c>
      <c r="BP884" cm="1">
        <f t="array" ref="BP884">IFERROR(INDEX(sheath_wcap_asd,MATCH(BS884,sheath_mark,0),0)*BN884,0)</f>
        <v>0</v>
      </c>
      <c r="BQ884" cm="1">
        <f t="array" ref="BQ884">IFERROR(INDEX(hd_cap,MATCH(BT884,hd_mark,0),0),0)</f>
        <v>0</v>
      </c>
      <c r="BS884" s="19"/>
      <c r="BT884" s="19"/>
      <c r="BU884" s="100"/>
    </row>
    <row r="885" x14ac:dyDescent="0.25">
      <c r="P885" s="93"/>
      <c r="Q885" s="109" t="s">
        <v>491</v>
      </c>
      <c r="R885" t="str">
        <f>$Q$791</f>
        <v>L4</v>
      </c>
      <c r="S885">
        <f>$E$23</f>
        <v>0</v>
      </c>
      <c r="T885" cm="1">
        <f t="array" ref="T885">IFERROR(IF(S885=0,0,(INDEX($C$33:$C$38,MATCH($W$809,$B$33:$B$38,0),0)*(S887+$X$809)+$T$809*COUNTIF(S885:S886,"&gt;0")*$C$32+$V$809*$C$31)*$R$809),0)</f>
        <v>0</v>
      </c>
      <c r="U885">
        <f>IF(S885=0,0,-(COUNTIF(S885:S886,"&gt;0")*$T$809*$C$32+$V$809*$C$31)*$H$27*$R$809)</f>
        <v>0</v>
      </c>
      <c r="V885">
        <f>IF(S885=0,0,$V$809*$H$26*$R$809)</f>
        <v>0</v>
      </c>
      <c r="W885">
        <f>(0.6*T885+0.7*U885)*$R$809/2</f>
        <v>0</v>
      </c>
      <c r="X885">
        <f>T885*$R$809/2</f>
        <v>0</v>
      </c>
      <c r="Z885">
        <f>IF(S885=0,0,$AD$809*$AP$791)</f>
        <v>0</v>
      </c>
      <c r="AA885">
        <f>IFERROR(Z885/$R$809,0)</f>
        <v>0</v>
      </c>
      <c r="AB885">
        <f>Z885*($F$23+IF($F$23=0,0,($C$14+$C$15+IF($C$13="single",1.5,3)+3)/12))</f>
        <v>0</v>
      </c>
      <c r="AC885">
        <f>AB885-W885</f>
        <v>0</v>
      </c>
      <c r="AD885" cm="1">
        <f t="array" ref="AD885">IFERROR(IF(AC885&lt;0,0,AC885/($R$809-INDEX(hd_off,MATCH(AQ885,hd_mark,0),0)/12)),0)</f>
        <v>0</v>
      </c>
      <c r="AE885">
        <f>IF(S885=0,0,$AD$809*$AM$791)</f>
        <v>0</v>
      </c>
      <c r="AF885">
        <f>IFERROR(AE885/$R$809,0)</f>
        <v>0</v>
      </c>
      <c r="AG885">
        <f>AE885*($F$23+IF($F$23=0,0,($C$14+$C$15+IF($C$13="single",1.5,3)+3)/12))</f>
        <v>0</v>
      </c>
      <c r="AH885">
        <f>AG885-X885</f>
        <v>0</v>
      </c>
      <c r="AI885" cm="1">
        <f t="array" ref="AI885">IFERROR(IF(AH885&lt;0,0,AH885/($R$809-INDEX(hd_off,MATCH(AQ885,hd_mark,0),0)/12)),0)</f>
        <v>0</v>
      </c>
      <c r="AJ885">
        <f>MAX($F$23,$AA$809)/$Q$820</f>
        <v>0</v>
      </c>
      <c r="AK885">
        <f t="shared" si="542"/>
        <v>0</v>
      </c>
      <c r="AL885" cm="1">
        <f t="array" ref="AL885">IFERROR(INDEX(sheath_ecap_asd,MATCH(AP885,sheath_mark,0),0)*AK885,0)</f>
        <v>0</v>
      </c>
      <c r="AM885" cm="1">
        <f t="array" ref="AM885">IFERROR(INDEX(sheath_wcap_asd,MATCH(AP885,sheath_mark,0),0)*AK885,0)</f>
        <v>0</v>
      </c>
      <c r="AN885" cm="1">
        <f t="array" ref="AN885">IFERROR(INDEX(hd_cap,MATCH(AQ885,hd_mark,0),0),0)</f>
        <v>0</v>
      </c>
      <c r="AP885" s="19"/>
      <c r="AQ885" s="19"/>
      <c r="AR885" s="100"/>
      <c r="AS885" s="93"/>
      <c r="AT885" s="109" t="s">
        <v>491</v>
      </c>
      <c r="AU885" t="str">
        <f>$Q$791</f>
        <v>L4</v>
      </c>
      <c r="AV885">
        <f>$E$23</f>
        <v>0</v>
      </c>
      <c r="AW885" cm="1">
        <f t="array" ref="AW885">IFERROR(IF(AV885=0,0,(INDEX($C$33:$C$38,MATCH($AZ$809,$B$33:$B$38,0),0)*(AV887+$BA$809)+$AW$809*COUNTIF(AV885:AV886,"&gt;0")*$C$32+$AY$809*$C$31)*$AU$809),0)</f>
        <v>0</v>
      </c>
      <c r="AX885">
        <f>IF(AV885=0,0,-(COUNTIF(AV885:AV886,"&gt;0")*$AW$809*$C$32+$AY$809*$C$31)*$H$27*$AU$809)</f>
        <v>0</v>
      </c>
      <c r="AY885">
        <f>IF(AV885=0,0,$AY$809*$H$26*$AU$809)</f>
        <v>0</v>
      </c>
      <c r="AZ885">
        <f>(0.6*AW885+0.7*AX885)*$AU$809/2</f>
        <v>0</v>
      </c>
      <c r="BA885">
        <f>AW885*$AU$809/2</f>
        <v>0</v>
      </c>
      <c r="BC885">
        <f>IF(AV885=0,0,$BG$809*$AP$791)</f>
        <v>0</v>
      </c>
      <c r="BD885">
        <f>IFERROR(BC885/$AU$809,0)</f>
        <v>0</v>
      </c>
      <c r="BE885">
        <f>BC885*($F$23+IF($F$23=0,0,($C$14+$C$15+IF($C$13="single",1.5,3)+3)/12))</f>
        <v>0</v>
      </c>
      <c r="BF885">
        <f>BE885-AZ885</f>
        <v>0</v>
      </c>
      <c r="BG885" cm="1">
        <f t="array" ref="BG885">IFERROR(IF(BF885&lt;0,0,BF885/($AU$809-INDEX(hd_off,MATCH(BT885,hd_mark,0),0)/12)),0)</f>
        <v>0</v>
      </c>
      <c r="BH885">
        <f>IF(AV885=0,0,$BG$809*$AM$791)</f>
        <v>0</v>
      </c>
      <c r="BI885">
        <f>IFERROR(BH885/$AU$809,0)</f>
        <v>0</v>
      </c>
      <c r="BJ885">
        <f>BH885*($F$23+IF($F$23=0,0,($C$14+$C$15+IF($C$13="single",1.5,3)+3)/12))</f>
        <v>0</v>
      </c>
      <c r="BK885">
        <f>BJ885-BA885</f>
        <v>0</v>
      </c>
      <c r="BL885" cm="1">
        <f t="array" ref="BL885">IFERROR(IF(BK885&lt;0,0,BK885/($AU$809-INDEX(hd_off,MATCH(BT885,hd_mark,0),0)/12)),0)</f>
        <v>0</v>
      </c>
      <c r="BM885">
        <f>MAX($F$23,$BD$809)/$Q$820</f>
        <v>0</v>
      </c>
      <c r="BN885">
        <f t="shared" si="543"/>
        <v>0</v>
      </c>
      <c r="BO885" cm="1">
        <f t="array" ref="BO885">IFERROR(INDEX(sheath_ecap_asd,MATCH(BS885,sheath_mark,0),0)*BN885,0)</f>
        <v>0</v>
      </c>
      <c r="BP885" cm="1">
        <f t="array" ref="BP885">IFERROR(INDEX(sheath_wcap_asd,MATCH(BS885,sheath_mark,0),0)*BN885,0)</f>
        <v>0</v>
      </c>
      <c r="BQ885" cm="1">
        <f t="array" ref="BQ885">IFERROR(INDEX(hd_cap,MATCH(BT885,hd_mark,0),0),0)</f>
        <v>0</v>
      </c>
      <c r="BS885" s="19"/>
      <c r="BT885" s="19"/>
      <c r="BU885" s="100"/>
    </row>
    <row r="886" x14ac:dyDescent="0.25">
      <c r="P886" s="93"/>
      <c r="Q886" s="111">
        <f>$R$809</f>
        <v>0</v>
      </c>
      <c r="R886" t="str">
        <f>$Q$792</f>
        <v>L5</v>
      </c>
      <c r="S886">
        <f>$E$24</f>
        <v>0</v>
      </c>
      <c r="T886" cm="1">
        <f t="array" ref="T886">IFERROR(IF(S886=0,0,(INDEX($C$33:$C$38,MATCH($W$809,$B$33:$B$38,0),0)*(S887+$X$809)+$T$809*COUNTIF(S886:S886,"&gt;0")*$C$32+$V$809*$C$31)*$R$809),0)</f>
        <v>0</v>
      </c>
      <c r="U886">
        <f>IF(S886=0,0,-(COUNTIF(S886:S886,"&gt;0")*$T$809*$C$32+$V$809*$C$31)*$H$27*$R$809)</f>
        <v>0</v>
      </c>
      <c r="V886">
        <f>IF(S886=0,0,$V$809*$H$26*$R$809)</f>
        <v>0</v>
      </c>
      <c r="W886">
        <f>(0.6*T886+0.7*U886)*$R$809/2</f>
        <v>0</v>
      </c>
      <c r="X886">
        <f>T886*$R$809/2</f>
        <v>0</v>
      </c>
      <c r="Z886">
        <f>IF(S886=0,0,$AD$809*$AP$792)</f>
        <v>0</v>
      </c>
      <c r="AA886">
        <f>IFERROR(Z886/$R$809,0)</f>
        <v>0</v>
      </c>
      <c r="AB886">
        <f>Z886*($F$24+IF($F$24=0,0,($C$14+$C$15+IF($C$13="single",1.5,3)+3)/12))</f>
        <v>0</v>
      </c>
      <c r="AC886">
        <f>AB886-W886</f>
        <v>0</v>
      </c>
      <c r="AD886" cm="1">
        <f t="array" ref="AD886">IFERROR(IF(AC886&lt;0,0,AC886/($R$809-INDEX(hd_off,MATCH(AQ886,hd_mark,0),0)/12)),0)</f>
        <v>0</v>
      </c>
      <c r="AE886">
        <f>IF(S886=0,0,$AD$809*$AM$792)</f>
        <v>0</v>
      </c>
      <c r="AF886">
        <f>IFERROR(AE886/$R$809,0)</f>
        <v>0</v>
      </c>
      <c r="AG886">
        <f>AE886*($F$24+IF($F$24=0,0,($C$14+$C$15+IF($C$13="single",1.5,3)+3)/12))</f>
        <v>0</v>
      </c>
      <c r="AH886">
        <f>AG886-X886</f>
        <v>0</v>
      </c>
      <c r="AI886" cm="1">
        <f t="array" ref="AI886">IFERROR(IF(AH886&lt;0,0,AH886/($R$809-INDEX(hd_off,MATCH(AQ886,hd_mark,0),0)/12)),0)</f>
        <v>0</v>
      </c>
      <c r="AJ886">
        <f>MAX($F$24,$AB$809)/$Q$820</f>
        <v>0</v>
      </c>
      <c r="AK886">
        <f t="shared" si="542"/>
        <v>0</v>
      </c>
      <c r="AL886" cm="1">
        <f t="array" ref="AL886">IFERROR(INDEX(sheath_ecap_asd,MATCH(AP886,sheath_mark,0),0)*AK886,0)</f>
        <v>0</v>
      </c>
      <c r="AM886" cm="1">
        <f t="array" ref="AM886">IFERROR(INDEX(sheath_wcap_asd,MATCH(AP886,sheath_mark,0),0)*AK886,0)</f>
        <v>0</v>
      </c>
      <c r="AN886" cm="1">
        <f t="array" ref="AN886">IFERROR(INDEX(hd_cap,MATCH(AQ886,hd_mark,0),0),0)</f>
        <v>0</v>
      </c>
      <c r="AP886" s="19"/>
      <c r="AQ886" s="19"/>
      <c r="AR886" s="100"/>
      <c r="AS886" s="93"/>
      <c r="AT886" s="111">
        <f>$R$809</f>
        <v>0</v>
      </c>
      <c r="AU886" t="str">
        <f>$Q$792</f>
        <v>L5</v>
      </c>
      <c r="AV886">
        <f>$E$24</f>
        <v>0</v>
      </c>
      <c r="AW886" cm="1">
        <f t="array" ref="AW886">IFERROR(IF(AV886=0,0,(INDEX($C$33:$C$38,MATCH($AZ$809,$B$33:$B$38,0),0)*(AV887+$BA$809)+$AW$809*COUNTIF(AV886:AV886,"&gt;0")*$C$32+$AY$809*$C$31)*$AU$809),0)</f>
        <v>0</v>
      </c>
      <c r="AX886">
        <f>IF(AV886=0,0,-(COUNTIF(AV886:AV886,"&gt;0")*$AW$809*$C$32+$AY$809*$C$31)*$H$27*$AU$809)</f>
        <v>0</v>
      </c>
      <c r="AY886">
        <f>IF(AV886=0,0,$AY$809*$H$26*$AU$809)</f>
        <v>0</v>
      </c>
      <c r="AZ886">
        <f>(0.6*AW886+0.7*AX886)*$AU$809/2</f>
        <v>0</v>
      </c>
      <c r="BA886">
        <f>AW886*$AU$809/2</f>
        <v>0</v>
      </c>
      <c r="BC886">
        <f>IF(AV886=0,0,$BG$809*$AP$792)</f>
        <v>0</v>
      </c>
      <c r="BD886">
        <f>IFERROR(BC886/$AU$809,0)</f>
        <v>0</v>
      </c>
      <c r="BE886">
        <f>BC886*($F$24+IF($F$24=0,0,($C$14+$C$15+IF($C$13="single",1.5,3)+3)/12))</f>
        <v>0</v>
      </c>
      <c r="BF886">
        <f>BE886-AZ886</f>
        <v>0</v>
      </c>
      <c r="BG886" cm="1">
        <f t="array" ref="BG886">IFERROR(IF(BF886&lt;0,0,BF886/($AU$809-INDEX(hd_off,MATCH(BT886,hd_mark,0),0)/12)),0)</f>
        <v>0</v>
      </c>
      <c r="BH886">
        <f>IF(AV886=0,0,$BG$809*$AM$792)</f>
        <v>0</v>
      </c>
      <c r="BI886">
        <f>IFERROR(BH886/$AU$809,0)</f>
        <v>0</v>
      </c>
      <c r="BJ886">
        <f>BH886*($F$24+IF($F$24=0,0,($C$14+$C$15+IF($C$13="single",1.5,3)+3)/12))</f>
        <v>0</v>
      </c>
      <c r="BK886">
        <f>BJ886-BA886</f>
        <v>0</v>
      </c>
      <c r="BL886" cm="1">
        <f t="array" ref="BL886">IFERROR(IF(BK886&lt;0,0,BK886/($AU$809-INDEX(hd_off,MATCH(BT886,hd_mark,0),0)/12)),0)</f>
        <v>0</v>
      </c>
      <c r="BM886">
        <f>MAX($F$24,$BE$809)/$Q$820</f>
        <v>0</v>
      </c>
      <c r="BN886">
        <f t="shared" si="543"/>
        <v>0</v>
      </c>
      <c r="BO886" cm="1">
        <f t="array" ref="BO886">IFERROR(INDEX(sheath_ecap_asd,MATCH(BS886,sheath_mark,0),0)*BN886,0)</f>
        <v>0</v>
      </c>
      <c r="BP886" cm="1">
        <f t="array" ref="BP886">IFERROR(INDEX(sheath_wcap_asd,MATCH(BS886,sheath_mark,0),0)*BN886,0)</f>
        <v>0</v>
      </c>
      <c r="BQ886" cm="1">
        <f t="array" ref="BQ886">IFERROR(INDEX(hd_cap,MATCH(BT886,hd_mark,0),0),0)</f>
        <v>0</v>
      </c>
      <c r="BS886" s="19"/>
      <c r="BT886" s="19"/>
      <c r="BU886" s="100"/>
    </row>
    <row r="887" x14ac:dyDescent="0.25">
      <c r="P887" s="93"/>
      <c r="Q887" s="109"/>
      <c r="R887" t="str">
        <f>$Q$793</f>
        <v>Roof</v>
      </c>
      <c r="S887">
        <f>$E$25</f>
        <v>33.171875</v>
      </c>
      <c r="T887" cm="1">
        <f t="array" ref="T887">IFERROR(IF(S887=0,0,(INDEX($C$33:$C$38,MATCH($W$809,$B$33:$B$38,0),0)*(S887+$X$809)+$V$809*$C$31)*$R$809),0)</f>
        <v>0</v>
      </c>
      <c r="U887">
        <f>IF(S887=0,0,-$V$809*$C$31*$H$27*$R$809)</f>
        <v>0</v>
      </c>
      <c r="V887">
        <f>IF(S887=0,0,$V$809*$H$26*$R$809)</f>
        <v>0</v>
      </c>
      <c r="W887">
        <f>(0.6*T887+0.7*U887)*$R$809/2</f>
        <v>0</v>
      </c>
      <c r="X887">
        <f>T887*$R$809/2</f>
        <v>0</v>
      </c>
      <c r="Z887">
        <f>IF(S887=0,0,$AD$809*$AP$793)</f>
        <v>0</v>
      </c>
      <c r="AA887">
        <f>IFERROR(Z887/$R$809,0)</f>
        <v>0</v>
      </c>
      <c r="AB887">
        <f>Z887*($F$25+($C$16+$C$17+IF($C$13="single",1.5,3)+3)/12)</f>
        <v>0</v>
      </c>
      <c r="AC887">
        <f>AB887-W887</f>
        <v>0</v>
      </c>
      <c r="AD887" cm="1">
        <f t="array" ref="AD887">IFERROR(IF(AC887&lt;0,0,AC887/($R$809-INDEX(hd_off,MATCH(AQ887,hd_mark,0),0)/12)),0)</f>
        <v>0</v>
      </c>
      <c r="AE887">
        <f>IF(S887=0,0,$AD$809*$AM$793)</f>
        <v>0</v>
      </c>
      <c r="AF887">
        <f>IFERROR(AE887/$R$809,0)</f>
        <v>0</v>
      </c>
      <c r="AG887">
        <f>AE887*($F$25+($C$16+$C$17+IF($C$13="single",1.5,3)+3)/12)</f>
        <v>0</v>
      </c>
      <c r="AH887">
        <f>AG887-X887</f>
        <v>0</v>
      </c>
      <c r="AI887" cm="1">
        <f t="array" ref="AI887">IFERROR(IF(AH887&lt;0,0,AH887/($R$809-INDEX(hd_off,MATCH(AQ887,hd_mark,0),0)/12)),0)</f>
        <v>0</v>
      </c>
      <c r="AJ887">
        <f>MAX($F$25,$AC$809)/$Q$820</f>
        <v>0.29920977011494249</v>
      </c>
      <c r="AK887">
        <f t="shared" si="542"/>
        <v>1</v>
      </c>
      <c r="AL887" cm="1">
        <f t="array" ref="AL887">IFERROR(INDEX(sheath_ecap_asd,MATCH(AP887,sheath_mark,0),0)*AK887,0)</f>
        <v>0</v>
      </c>
      <c r="AM887" cm="1">
        <f t="array" ref="AM887">IFERROR(INDEX(sheath_wcap_asd,MATCH(AP887,sheath_mark,0),0)*AK887,0)</f>
        <v>0</v>
      </c>
      <c r="AN887" cm="1">
        <f t="array" ref="AN887">IFERROR(INDEX(hd_cap,MATCH(AQ887,hd_mark,0),0),0)</f>
        <v>0</v>
      </c>
      <c r="AP887" s="19"/>
      <c r="AQ887" s="19"/>
      <c r="AR887" s="100"/>
      <c r="AS887" s="93"/>
      <c r="AT887" s="109"/>
      <c r="AU887" t="str">
        <f>$Q$793</f>
        <v>Roof</v>
      </c>
      <c r="AV887">
        <f>$E$25</f>
        <v>33.171875</v>
      </c>
      <c r="AW887" cm="1">
        <f t="array" ref="AW887">IFERROR(IF(AV887=0,0,(INDEX($C$33:$C$38,MATCH($AZ$809,$B$33:$B$38,0),0)*(AV887+$BA$809)+$AY$809*$C$31)*$AU$809),0)</f>
        <v>0</v>
      </c>
      <c r="AX887">
        <f>IF(AV887=0,0,-$AY$809*$C$31*$H$27*$AU$809)</f>
        <v>0</v>
      </c>
      <c r="AY887">
        <f>IF(AV887=0,0,$AY$809*$H$26*$AU$809)</f>
        <v>0</v>
      </c>
      <c r="AZ887">
        <f>(0.6*AW887+0.7*AX887)*$AU$809/2</f>
        <v>0</v>
      </c>
      <c r="BA887">
        <f>AW887*$AU$809/2</f>
        <v>0</v>
      </c>
      <c r="BC887">
        <f>IF(AV887=0,0,$BG$809*$AP$793)</f>
        <v>0</v>
      </c>
      <c r="BD887">
        <f>IFERROR(BC887/$AU$809,0)</f>
        <v>0</v>
      </c>
      <c r="BE887">
        <f>BC887*($F$25+($C$16+$C$17+IF($C$13="single",1.5,3)+3)/12)</f>
        <v>0</v>
      </c>
      <c r="BF887">
        <f>BE887-AZ887</f>
        <v>0</v>
      </c>
      <c r="BG887" cm="1">
        <f t="array" ref="BG887">IFERROR(IF(BF887&lt;0,0,BF887/($AU$809-INDEX(hd_off,MATCH(BT887,hd_mark,0),0)/12)),0)</f>
        <v>0</v>
      </c>
      <c r="BH887">
        <f>IF(AV887=0,0,$BG$809*$AM$793)</f>
        <v>0</v>
      </c>
      <c r="BI887">
        <f>IFERROR(BH887/$AU$809,0)</f>
        <v>0</v>
      </c>
      <c r="BJ887">
        <f>BH887*($F$25+($C$16+$C$17+IF($C$13="single",1.5,3)+3)/12)</f>
        <v>0</v>
      </c>
      <c r="BK887">
        <f>BJ887-BA887</f>
        <v>0</v>
      </c>
      <c r="BL887" cm="1">
        <f t="array" ref="BL887">IFERROR(IF(BK887&lt;0,0,BK887/($AU$809-INDEX(hd_off,MATCH(BT887,hd_mark,0),0)/12)),0)</f>
        <v>0</v>
      </c>
      <c r="BM887">
        <f>MAX($F$25,$BF$809)/$Q$820</f>
        <v>0.29920977011494249</v>
      </c>
      <c r="BN887">
        <f t="shared" si="543"/>
        <v>1</v>
      </c>
      <c r="BO887" cm="1">
        <f t="array" ref="BO887">IFERROR(INDEX(sheath_ecap_asd,MATCH(BS887,sheath_mark,0),0)*BN887,0)</f>
        <v>0</v>
      </c>
      <c r="BP887" cm="1">
        <f t="array" ref="BP887">IFERROR(INDEX(sheath_wcap_asd,MATCH(BS887,sheath_mark,0),0)*BN887,0)</f>
        <v>0</v>
      </c>
      <c r="BQ887" cm="1">
        <f t="array" ref="BQ887">IFERROR(INDEX(hd_cap,MATCH(BT887,hd_mark,0),0),0)</f>
        <v>0</v>
      </c>
      <c r="BS887" s="19"/>
      <c r="BT887" s="19"/>
      <c r="BU887" s="100"/>
    </row>
    <row r="888" x14ac:dyDescent="0.25">
      <c r="P888" s="93"/>
      <c r="AR888" s="100"/>
      <c r="AS888" s="93"/>
      <c r="BU888" s="100"/>
    </row>
    <row r="889" x14ac:dyDescent="0.25">
      <c r="P889" s="93"/>
      <c r="Q889" s="110" t="str">
        <f>$Q$810</f>
        <v>A.13</v>
      </c>
      <c r="R889" t="str">
        <f>$Q$789</f>
        <v>L2</v>
      </c>
      <c r="S889">
        <f>$E$21</f>
        <v>10.6875</v>
      </c>
      <c r="T889" cm="1">
        <f t="array" ref="T889">IFERROR(IF(S889=0,0,(INDEX($C$33:$C$38,MATCH($W$810,$B$33:$B$38,0),0)*(S893+$X$810)+$T$810*COUNTIF(S889:S892,"&gt;0")*$C$32+$V$810*$C$31)*$R$810),0)</f>
        <v>0</v>
      </c>
      <c r="U889">
        <f>IF(S889=0,0,-(COUNTIF(S889:S892,"&gt;0")*$T$810*$C$32+$V$810*$C$31)*$H$27*$R$810)</f>
        <v>0</v>
      </c>
      <c r="V889">
        <f>IF(S889=0,0,$V$810*$H$26*$R$810)</f>
        <v>0</v>
      </c>
      <c r="W889">
        <f>(0.6*T889+0.7*U889)*$R$810/2</f>
        <v>0</v>
      </c>
      <c r="X889">
        <f>(0.6*T889+0.6*V889)*$R$810/2</f>
        <v>0</v>
      </c>
      <c r="Z889">
        <f>IF(S889=0,0,$AD$810*$AP$789)</f>
        <v>0</v>
      </c>
      <c r="AA889">
        <f>IFERROR(Z889/$R$810,0)</f>
        <v>0</v>
      </c>
      <c r="AB889">
        <f>Z889*($F$21+IF($F$21=0,0,($C$14+$C$15+IF($C$13="single",1.5,3)+3)/12))</f>
        <v>0</v>
      </c>
      <c r="AC889">
        <f>AB889-W889</f>
        <v>0</v>
      </c>
      <c r="AD889" cm="1">
        <f t="array" ref="AD889">IFERROR(IF(AC889&lt;0,0,AC889/($R$810-INDEX(hd_off,MATCH(AQ889,hd_mark,0),0)/12)),0)</f>
        <v>0</v>
      </c>
      <c r="AE889">
        <f>IF(S889=0,0,$AD$810*$AM$789)</f>
        <v>0</v>
      </c>
      <c r="AF889">
        <f>IFERROR(AE889/$R$810,0)</f>
        <v>0</v>
      </c>
      <c r="AG889">
        <f>AE889*($F$21+IF($F$21=0,0,($C$14+$C$15+IF($C$13="single",1.5,3)+3)/12))</f>
        <v>0</v>
      </c>
      <c r="AH889">
        <f>AG889-X889</f>
        <v>0</v>
      </c>
      <c r="AI889" cm="1">
        <f t="array" ref="AI889">IFERROR(IF(AH889&lt;0,0,AH889/($R$810-INDEX(hd_off,MATCH(AQ889,hd_mark,0),0)/12)),0)</f>
        <v>0</v>
      </c>
      <c r="AJ889">
        <f>MAX($F$21,$Y$810)/$Q$820</f>
        <v>0.30172413793103448</v>
      </c>
      <c r="AK889">
        <f>IF(AJ889=0,0,IF(AJ889&gt;2,1.25-0.125*AJ889,1))</f>
        <v>1</v>
      </c>
      <c r="AL889" cm="1">
        <f t="array" ref="AL889">IFERROR(INDEX(sheath_ecap_asd,MATCH(AP889,sheath_mark,0),0)*AK889,0)</f>
        <v>0</v>
      </c>
      <c r="AM889" cm="1">
        <f t="array" ref="AM889">IFERROR(INDEX(sheath_wcap_asd,MATCH(AP889,sheath_mark,0),0)*AK889,0)</f>
        <v>0</v>
      </c>
      <c r="AN889" cm="1">
        <f t="array" ref="AN889">IFERROR(INDEX(hd_cap,MATCH(AQ889,hd_mark,0),0),0)</f>
        <v>0</v>
      </c>
      <c r="AP889" s="19"/>
      <c r="AQ889" s="19"/>
      <c r="AR889" s="100"/>
      <c r="AS889" s="93"/>
      <c r="AT889" s="110" t="str">
        <f>$AT$810</f>
        <v>1.13</v>
      </c>
      <c r="AU889" t="str">
        <f>$Q$789</f>
        <v>L2</v>
      </c>
      <c r="AV889">
        <f>$E$21</f>
        <v>10.6875</v>
      </c>
      <c r="AW889" cm="1">
        <f t="array" ref="AW889">IFERROR(IF(AV889=0,0,(INDEX($C$33:$C$38,MATCH($AZ$810,$B$33:$B$38,0),0)*(AV893+$BA$810)+$AW$810*COUNTIF(AV889:AV892,"&gt;0")*$C$32+$AY$810*$C$31)*$AU$810),0)</f>
        <v>0</v>
      </c>
      <c r="AX889">
        <f>IF(AV889=0,0,-(COUNTIF(AV889:AV892,"&gt;0")*$AW$810*$C$32+$AY$810*$C$31)*$H$27*$AU$810)</f>
        <v>0</v>
      </c>
      <c r="AY889">
        <f>IF(AV889=0,0,$AY$810*$H$26*$AU$810)</f>
        <v>0</v>
      </c>
      <c r="AZ889">
        <f>(0.6*AW889+0.7*AX889)*$AU$810/2</f>
        <v>0</v>
      </c>
      <c r="BA889">
        <f>(0.6*AW889+0.6*AY889)*$AU$810/2</f>
        <v>0</v>
      </c>
      <c r="BC889">
        <f>IF(AV889=0,0,$BG$810*$AP$789)</f>
        <v>0</v>
      </c>
      <c r="BD889">
        <f>IFERROR(BC889/$AU$810,0)</f>
        <v>0</v>
      </c>
      <c r="BE889">
        <f>BC889*($F$21+IF($F$21=0,0,($C$14+$C$15+IF($C$13="single",1.5,3)+3)/12))</f>
        <v>0</v>
      </c>
      <c r="BF889">
        <f>BE889-AZ889</f>
        <v>0</v>
      </c>
      <c r="BG889" cm="1">
        <f t="array" ref="BG889">IFERROR(IF(BF889&lt;0,0,BF889/($AU$810-INDEX(hd_off,MATCH(BT889,hd_mark,0),0)/12)),0)</f>
        <v>0</v>
      </c>
      <c r="BH889">
        <f>IF(AV889=0,0,$BG$810*$AM$789)</f>
        <v>0</v>
      </c>
      <c r="BI889">
        <f>IFERROR(BH889/$AU$810,0)</f>
        <v>0</v>
      </c>
      <c r="BJ889">
        <f>BH889*($F$21+IF($F$21=0,0,($C$14+$C$15+IF($C$13="single",1.5,3)+3)/12))</f>
        <v>0</v>
      </c>
      <c r="BK889">
        <f>BJ889-BA889</f>
        <v>0</v>
      </c>
      <c r="BL889" cm="1">
        <f t="array" ref="BL889">IFERROR(IF(BK889&lt;0,0,BK889/($AU$810-INDEX(hd_off,MATCH(BT889,hd_mark,0),0)/12)),0)</f>
        <v>0</v>
      </c>
      <c r="BM889">
        <f>MAX($F$21,$BB$810)/$Q$820</f>
        <v>0.30172413793103448</v>
      </c>
      <c r="BN889">
        <f>IF(BM889=0,0,IF(BM889&gt;2,1.25-0.125*BM889,1))</f>
        <v>1</v>
      </c>
      <c r="BO889" cm="1">
        <f t="array" ref="BO889">IFERROR(INDEX(sheath_ecap_asd,MATCH(BS889,sheath_mark,0),0)*BN889,0)</f>
        <v>0</v>
      </c>
      <c r="BP889" cm="1">
        <f t="array" ref="BP889">IFERROR(INDEX(sheath_wcap_asd,MATCH(BS889,sheath_mark,0),0)*BN889,0)</f>
        <v>0</v>
      </c>
      <c r="BQ889" cm="1">
        <f t="array" ref="BQ889">IFERROR(INDEX(hd_cap,MATCH(BT889,hd_mark,0),0),0)</f>
        <v>0</v>
      </c>
      <c r="BS889" s="19"/>
      <c r="BT889" s="19"/>
      <c r="BU889" s="100"/>
    </row>
    <row r="890" x14ac:dyDescent="0.25">
      <c r="P890" s="93"/>
      <c r="Q890" s="109"/>
      <c r="R890" t="str">
        <f>$Q$790</f>
        <v>L3</v>
      </c>
      <c r="S890">
        <f>$E$22</f>
        <v>21.375</v>
      </c>
      <c r="T890" cm="1">
        <f t="array" ref="T890">IFERROR(IF(S890=0,0,(INDEX($C$33:$C$38,MATCH($W$810,$B$33:$B$38,0),0)*(S893+$X$810)+$T$810*COUNTIF(S890:S892,"&gt;0")*$C$32+$V$810*$C$31)*$R$810),0)</f>
        <v>0</v>
      </c>
      <c r="U890">
        <f>IF(S890=0,0,-(COUNTIF(S890:S892,"&gt;0")*$T$810*$C$32+$V$810*$C$31)*$H$27*$R$810)</f>
        <v>0</v>
      </c>
      <c r="V890">
        <f>IF(S890=0,0,$V$810*$H$26*$R$810)</f>
        <v>0</v>
      </c>
      <c r="W890">
        <f>(0.6*T890+0.7*U890)*$R$810/2</f>
        <v>0</v>
      </c>
      <c r="X890">
        <f>T890*$R$810/2</f>
        <v>0</v>
      </c>
      <c r="Z890">
        <f>IF(S890=0,0,$AD$810*$AP$790)</f>
        <v>0</v>
      </c>
      <c r="AA890">
        <f>IFERROR(Z890/$R$810,0)</f>
        <v>0</v>
      </c>
      <c r="AB890">
        <f>Z890*($F$22+IF($F$22=0,0,($C$14+$C$15+IF($C$13="single",1.5,3)+3)/12))</f>
        <v>0</v>
      </c>
      <c r="AC890">
        <f>AB890-W890</f>
        <v>0</v>
      </c>
      <c r="AD890" cm="1">
        <f t="array" ref="AD890">IFERROR(IF(AC890&lt;0,0,AC890/($R$810-INDEX(hd_off,MATCH(AQ890,hd_mark,0),0)/12)),0)</f>
        <v>0</v>
      </c>
      <c r="AE890">
        <f>IF(S890=0,0,$AD$810*$AM$790)</f>
        <v>0</v>
      </c>
      <c r="AF890">
        <f>IFERROR(AE890/$R$810,0)</f>
        <v>0</v>
      </c>
      <c r="AG890">
        <f>AE890*($F$22+IF($F$22=0,0,($C$14+$C$15+IF($C$13="single",1.5,3)+3)/12))</f>
        <v>0</v>
      </c>
      <c r="AH890">
        <f>AG890-X890</f>
        <v>0</v>
      </c>
      <c r="AI890" cm="1">
        <f t="array" ref="AI890">IFERROR(IF(AH890&lt;0,0,AH890/($R$810-INDEX(hd_off,MATCH(AQ890,hd_mark,0),0)/12)),0)</f>
        <v>0</v>
      </c>
      <c r="AJ890">
        <f>MAX($F$22,$Z$810)/$Q$820</f>
        <v>0.30172413793103448</v>
      </c>
      <c r="AK890">
        <f t="shared" ref="AK890:AK893" si="544">IF(AJ890=0,0,IF(AJ890&gt;2,1.25-0.125*AJ890,1))</f>
        <v>1</v>
      </c>
      <c r="AL890" cm="1">
        <f t="array" ref="AL890">IFERROR(INDEX(sheath_ecap_asd,MATCH(AP890,sheath_mark,0),0)*AK890,0)</f>
        <v>0</v>
      </c>
      <c r="AM890" cm="1">
        <f t="array" ref="AM890">IFERROR(INDEX(sheath_wcap_asd,MATCH(AP890,sheath_mark,0),0)*AK890,0)</f>
        <v>0</v>
      </c>
      <c r="AN890" cm="1">
        <f t="array" ref="AN890">IFERROR(INDEX(hd_cap,MATCH(AQ890,hd_mark,0),0),0)</f>
        <v>0</v>
      </c>
      <c r="AP890" s="19"/>
      <c r="AQ890" s="19"/>
      <c r="AR890" s="100"/>
      <c r="AS890" s="93"/>
      <c r="AT890" s="109"/>
      <c r="AU890" t="str">
        <f>$Q$790</f>
        <v>L3</v>
      </c>
      <c r="AV890">
        <f>$E$22</f>
        <v>21.375</v>
      </c>
      <c r="AW890" cm="1">
        <f t="array" ref="AW890">IFERROR(IF(AV890=0,0,(INDEX($C$33:$C$38,MATCH($AZ$810,$B$33:$B$38,0),0)*(AV893+$BA$810)+$AW$810*COUNTIF(AV890:AV892,"&gt;0")*$C$32+$AY$810*$C$31)*$AU$810),0)</f>
        <v>0</v>
      </c>
      <c r="AX890">
        <f>IF(AV890=0,0,-(COUNTIF(AV890:AV892,"&gt;0")*$AW$810*$C$32+$AY$810*$C$31)*$H$27*$AU$810)</f>
        <v>0</v>
      </c>
      <c r="AY890">
        <f>IF(AV890=0,0,$AY$810*$H$26*$AU$810)</f>
        <v>0</v>
      </c>
      <c r="AZ890">
        <f>(0.6*AW890+0.7*AX890)*$AU$810/2</f>
        <v>0</v>
      </c>
      <c r="BA890">
        <f>AW890*$AU$810/2</f>
        <v>0</v>
      </c>
      <c r="BC890">
        <f>IF(AV890=0,0,$BG$810*$AP$790)</f>
        <v>0</v>
      </c>
      <c r="BD890">
        <f>IFERROR(BC890/$AU$810,0)</f>
        <v>0</v>
      </c>
      <c r="BE890">
        <f>BC890*($F$22+IF($F$22=0,0,($C$14+$C$15+IF($C$13="single",1.5,3)+3)/12))</f>
        <v>0</v>
      </c>
      <c r="BF890">
        <f>BE890-AZ890</f>
        <v>0</v>
      </c>
      <c r="BG890" cm="1">
        <f t="array" ref="BG890">IFERROR(IF(BF890&lt;0,0,BF890/($AU$810-INDEX(hd_off,MATCH(BT890,hd_mark,0),0)/12)),0)</f>
        <v>0</v>
      </c>
      <c r="BH890">
        <f>IF(AV890=0,0,$BG$810*$AM$790)</f>
        <v>0</v>
      </c>
      <c r="BI890">
        <f>IFERROR(BH890/$AU$810,0)</f>
        <v>0</v>
      </c>
      <c r="BJ890">
        <f>BH890*($F$22+IF($F$22=0,0,($C$14+$C$15+IF($C$13="single",1.5,3)+3)/12))</f>
        <v>0</v>
      </c>
      <c r="BK890">
        <f>BJ890-BA890</f>
        <v>0</v>
      </c>
      <c r="BL890" cm="1">
        <f t="array" ref="BL890">IFERROR(IF(BK890&lt;0,0,BK890/($AU$810-INDEX(hd_off,MATCH(BT890,hd_mark,0),0)/12)),0)</f>
        <v>0</v>
      </c>
      <c r="BM890">
        <f>MAX($F$22,$BC$810)/$Q$820</f>
        <v>0.30172413793103448</v>
      </c>
      <c r="BN890">
        <f t="shared" ref="BN890:BN893" si="545">IF(BM890=0,0,IF(BM890&gt;2,1.25-0.125*BM890,1))</f>
        <v>1</v>
      </c>
      <c r="BO890" cm="1">
        <f t="array" ref="BO890">IFERROR(INDEX(sheath_ecap_asd,MATCH(BS890,sheath_mark,0),0)*BN890,0)</f>
        <v>0</v>
      </c>
      <c r="BP890" cm="1">
        <f t="array" ref="BP890">IFERROR(INDEX(sheath_wcap_asd,MATCH(BS890,sheath_mark,0),0)*BN890,0)</f>
        <v>0</v>
      </c>
      <c r="BQ890" cm="1">
        <f t="array" ref="BQ890">IFERROR(INDEX(hd_cap,MATCH(BT890,hd_mark,0),0),0)</f>
        <v>0</v>
      </c>
      <c r="BS890" s="19"/>
      <c r="BT890" s="19"/>
      <c r="BU890" s="100"/>
    </row>
    <row r="891" x14ac:dyDescent="0.25">
      <c r="P891" s="93"/>
      <c r="Q891" s="109" t="s">
        <v>491</v>
      </c>
      <c r="R891" t="str">
        <f>$Q$791</f>
        <v>L4</v>
      </c>
      <c r="S891">
        <f>$E$23</f>
        <v>0</v>
      </c>
      <c r="T891" cm="1">
        <f t="array" ref="T891">IFERROR(IF(S891=0,0,(INDEX($C$33:$C$38,MATCH($W$810,$B$33:$B$38,0),0)*(S893+$X$810)+$T$810*COUNTIF(S891:S892,"&gt;0")*$C$32+$V$810*$C$31)*$R$810),0)</f>
        <v>0</v>
      </c>
      <c r="U891">
        <f>IF(S891=0,0,-(COUNTIF(S891:S892,"&gt;0")*$T$810*$C$32+$V$810*$C$31)*$H$27*$R$810)</f>
        <v>0</v>
      </c>
      <c r="V891">
        <f>IF(S891=0,0,$V$810*$H$26*$R$810)</f>
        <v>0</v>
      </c>
      <c r="W891">
        <f>(0.6*T891+0.7*U891)*$R$810/2</f>
        <v>0</v>
      </c>
      <c r="X891">
        <f>T891*$R$810/2</f>
        <v>0</v>
      </c>
      <c r="Z891">
        <f>IF(S891=0,0,$AD$810*$AP$791)</f>
        <v>0</v>
      </c>
      <c r="AA891">
        <f>IFERROR(Z891/$R$810,0)</f>
        <v>0</v>
      </c>
      <c r="AB891">
        <f>Z891*($F$23+IF($F$23=0,0,($C$14+$C$15+IF($C$13="single",1.5,3)+3)/12))</f>
        <v>0</v>
      </c>
      <c r="AC891">
        <f>AB891-W891</f>
        <v>0</v>
      </c>
      <c r="AD891" cm="1">
        <f t="array" ref="AD891">IFERROR(IF(AC891&lt;0,0,AC891/($R$810-INDEX(hd_off,MATCH(AQ891,hd_mark,0),0)/12)),0)</f>
        <v>0</v>
      </c>
      <c r="AE891">
        <f>IF(S891=0,0,$AD$810*$AM$791)</f>
        <v>0</v>
      </c>
      <c r="AF891">
        <f>IFERROR(AE891/$R$810,0)</f>
        <v>0</v>
      </c>
      <c r="AG891">
        <f>AE891*($F$23+IF($F$23=0,0,($C$14+$C$15+IF($C$13="single",1.5,3)+3)/12))</f>
        <v>0</v>
      </c>
      <c r="AH891">
        <f>AG891-X891</f>
        <v>0</v>
      </c>
      <c r="AI891" cm="1">
        <f t="array" ref="AI891">IFERROR(IF(AH891&lt;0,0,AH891/($R$810-INDEX(hd_off,MATCH(AQ891,hd_mark,0),0)/12)),0)</f>
        <v>0</v>
      </c>
      <c r="AJ891">
        <f>MAX($F$23,$AA$810)/$Q$820</f>
        <v>0</v>
      </c>
      <c r="AK891">
        <f t="shared" si="544"/>
        <v>0</v>
      </c>
      <c r="AL891" cm="1">
        <f t="array" ref="AL891">IFERROR(INDEX(sheath_ecap_asd,MATCH(AP891,sheath_mark,0),0)*AK891,0)</f>
        <v>0</v>
      </c>
      <c r="AM891" cm="1">
        <f t="array" ref="AM891">IFERROR(INDEX(sheath_wcap_asd,MATCH(AP891,sheath_mark,0),0)*AK891,0)</f>
        <v>0</v>
      </c>
      <c r="AN891" cm="1">
        <f t="array" ref="AN891">IFERROR(INDEX(hd_cap,MATCH(AQ891,hd_mark,0),0),0)</f>
        <v>0</v>
      </c>
      <c r="AP891" s="19"/>
      <c r="AQ891" s="19"/>
      <c r="AR891" s="100"/>
      <c r="AS891" s="93"/>
      <c r="AT891" s="109" t="s">
        <v>491</v>
      </c>
      <c r="AU891" t="str">
        <f>$Q$791</f>
        <v>L4</v>
      </c>
      <c r="AV891">
        <f>$E$23</f>
        <v>0</v>
      </c>
      <c r="AW891" cm="1">
        <f t="array" ref="AW891">IFERROR(IF(AV891=0,0,(INDEX($C$33:$C$38,MATCH($AZ$810,$B$33:$B$38,0),0)*(AV893+$BA$810)+$AW$810*COUNTIF(AV891:AV892,"&gt;0")*$C$32+$AY$810*$C$31)*$AU$810),0)</f>
        <v>0</v>
      </c>
      <c r="AX891">
        <f>IF(AV891=0,0,-(COUNTIF(AV891:AV892,"&gt;0")*$AW$810*$C$32+$AY$810*$C$31)*$H$27*$AU$810)</f>
        <v>0</v>
      </c>
      <c r="AY891">
        <f>IF(AV891=0,0,$AY$810*$H$26*$AU$810)</f>
        <v>0</v>
      </c>
      <c r="AZ891">
        <f>(0.6*AW891+0.7*AX891)*$AU$810/2</f>
        <v>0</v>
      </c>
      <c r="BA891">
        <f>AW891*$AU$810/2</f>
        <v>0</v>
      </c>
      <c r="BC891">
        <f>IF(AV891=0,0,$BG$810*$AP$791)</f>
        <v>0</v>
      </c>
      <c r="BD891">
        <f>IFERROR(BC891/$AU$810,0)</f>
        <v>0</v>
      </c>
      <c r="BE891">
        <f>BC891*($F$23+IF($F$23=0,0,($C$14+$C$15+IF($C$13="single",1.5,3)+3)/12))</f>
        <v>0</v>
      </c>
      <c r="BF891">
        <f>BE891-AZ891</f>
        <v>0</v>
      </c>
      <c r="BG891" cm="1">
        <f t="array" ref="BG891">IFERROR(IF(BF891&lt;0,0,BF891/($AU$810-INDEX(hd_off,MATCH(BT891,hd_mark,0),0)/12)),0)</f>
        <v>0</v>
      </c>
      <c r="BH891">
        <f>IF(AV891=0,0,$BG$810*$AM$791)</f>
        <v>0</v>
      </c>
      <c r="BI891">
        <f>IFERROR(BH891/$AU$810,0)</f>
        <v>0</v>
      </c>
      <c r="BJ891">
        <f>BH891*($F$23+IF($F$23=0,0,($C$14+$C$15+IF($C$13="single",1.5,3)+3)/12))</f>
        <v>0</v>
      </c>
      <c r="BK891">
        <f>BJ891-BA891</f>
        <v>0</v>
      </c>
      <c r="BL891" cm="1">
        <f t="array" ref="BL891">IFERROR(IF(BK891&lt;0,0,BK891/($AU$810-INDEX(hd_off,MATCH(BT891,hd_mark,0),0)/12)),0)</f>
        <v>0</v>
      </c>
      <c r="BM891">
        <f>MAX($F$23,$BD$810)/$Q$820</f>
        <v>0</v>
      </c>
      <c r="BN891">
        <f t="shared" si="545"/>
        <v>0</v>
      </c>
      <c r="BO891" cm="1">
        <f t="array" ref="BO891">IFERROR(INDEX(sheath_ecap_asd,MATCH(BS891,sheath_mark,0),0)*BN891,0)</f>
        <v>0</v>
      </c>
      <c r="BP891" cm="1">
        <f t="array" ref="BP891">IFERROR(INDEX(sheath_wcap_asd,MATCH(BS891,sheath_mark,0),0)*BN891,0)</f>
        <v>0</v>
      </c>
      <c r="BQ891" cm="1">
        <f t="array" ref="BQ891">IFERROR(INDEX(hd_cap,MATCH(BT891,hd_mark,0),0),0)</f>
        <v>0</v>
      </c>
      <c r="BS891" s="19"/>
      <c r="BT891" s="19"/>
      <c r="BU891" s="100"/>
    </row>
    <row r="892" x14ac:dyDescent="0.25">
      <c r="P892" s="93"/>
      <c r="Q892" s="111">
        <f>$R$810</f>
        <v>0</v>
      </c>
      <c r="R892" t="str">
        <f>$Q$792</f>
        <v>L5</v>
      </c>
      <c r="S892">
        <f>$E$24</f>
        <v>0</v>
      </c>
      <c r="T892" cm="1">
        <f t="array" ref="T892">IFERROR(IF(S892=0,0,(INDEX($C$33:$C$38,MATCH($W$810,$B$33:$B$38,0),0)*(S893+$X$810)+$T$810*COUNTIF(S892:S892,"&gt;0")*$C$32+$V$810*$C$31)*$R$810),0)</f>
        <v>0</v>
      </c>
      <c r="U892">
        <f>IF(S892=0,0,-(COUNTIF(S892:S892,"&gt;0")*$T$810*$C$32+$V$810*$C$31)*$H$27*$R$810)</f>
        <v>0</v>
      </c>
      <c r="V892">
        <f>IF(S892=0,0,$V$810*$H$26*$R$810)</f>
        <v>0</v>
      </c>
      <c r="W892">
        <f>(0.6*T892+0.7*U892)*$R$810/2</f>
        <v>0</v>
      </c>
      <c r="X892">
        <f>T892*$R$810/2</f>
        <v>0</v>
      </c>
      <c r="Z892">
        <f>IF(S892=0,0,$AD$810*$AP$792)</f>
        <v>0</v>
      </c>
      <c r="AA892">
        <f>IFERROR(Z892/$R$810,0)</f>
        <v>0</v>
      </c>
      <c r="AB892">
        <f>Z892*($F$24+IF($F$24=0,0,($C$14+$C$15+IF($C$13="single",1.5,3)+3)/12))</f>
        <v>0</v>
      </c>
      <c r="AC892">
        <f>AB892-W892</f>
        <v>0</v>
      </c>
      <c r="AD892" cm="1">
        <f t="array" ref="AD892">IFERROR(IF(AC892&lt;0,0,AC892/($R$810-INDEX(hd_off,MATCH(AQ892,hd_mark,0),0)/12)),0)</f>
        <v>0</v>
      </c>
      <c r="AE892">
        <f>IF(S892=0,0,$AD$810*$AM$792)</f>
        <v>0</v>
      </c>
      <c r="AF892">
        <f>IFERROR(AE892/$R$810,0)</f>
        <v>0</v>
      </c>
      <c r="AG892">
        <f>AE892*($F$24+IF($F$24=0,0,($C$14+$C$15+IF($C$13="single",1.5,3)+3)/12))</f>
        <v>0</v>
      </c>
      <c r="AH892">
        <f>AG892-X892</f>
        <v>0</v>
      </c>
      <c r="AI892" cm="1">
        <f t="array" ref="AI892">IFERROR(IF(AH892&lt;0,0,AH892/($R$810-INDEX(hd_off,MATCH(AQ892,hd_mark,0),0)/12)),0)</f>
        <v>0</v>
      </c>
      <c r="AJ892">
        <f>MAX($F$24,$AB$810)/$Q$820</f>
        <v>0</v>
      </c>
      <c r="AK892">
        <f t="shared" si="544"/>
        <v>0</v>
      </c>
      <c r="AL892" cm="1">
        <f t="array" ref="AL892">IFERROR(INDEX(sheath_ecap_asd,MATCH(AP892,sheath_mark,0),0)*AK892,0)</f>
        <v>0</v>
      </c>
      <c r="AM892" cm="1">
        <f t="array" ref="AM892">IFERROR(INDEX(sheath_wcap_asd,MATCH(AP892,sheath_mark,0),0)*AK892,0)</f>
        <v>0</v>
      </c>
      <c r="AN892" cm="1">
        <f t="array" ref="AN892">IFERROR(INDEX(hd_cap,MATCH(AQ892,hd_mark,0),0),0)</f>
        <v>0</v>
      </c>
      <c r="AP892" s="19"/>
      <c r="AQ892" s="19"/>
      <c r="AR892" s="100"/>
      <c r="AS892" s="93"/>
      <c r="AT892" s="111">
        <f>$R$810</f>
        <v>0</v>
      </c>
      <c r="AU892" t="str">
        <f>$Q$792</f>
        <v>L5</v>
      </c>
      <c r="AV892">
        <f>$E$24</f>
        <v>0</v>
      </c>
      <c r="AW892" cm="1">
        <f t="array" ref="AW892">IFERROR(IF(AV892=0,0,(INDEX($C$33:$C$38,MATCH($AZ$810,$B$33:$B$38,0),0)*(AV893+$BA$810)+$AW$810*COUNTIF(AV892:AV892,"&gt;0")*$C$32+$AY$810*$C$31)*$AU$810),0)</f>
        <v>0</v>
      </c>
      <c r="AX892">
        <f>IF(AV892=0,0,-(COUNTIF(AV892:AV892,"&gt;0")*$AW$810*$C$32+$AY$810*$C$31)*$H$27*$AU$810)</f>
        <v>0</v>
      </c>
      <c r="AY892">
        <f>IF(AV892=0,0,$AY$810*$H$26*$AU$810)</f>
        <v>0</v>
      </c>
      <c r="AZ892">
        <f>(0.6*AW892+0.7*AX892)*$AU$810/2</f>
        <v>0</v>
      </c>
      <c r="BA892">
        <f>AW892*$AU$810/2</f>
        <v>0</v>
      </c>
      <c r="BC892">
        <f>IF(AV892=0,0,$BG$810*$AP$792)</f>
        <v>0</v>
      </c>
      <c r="BD892">
        <f>IFERROR(BC892/$AU$810,0)</f>
        <v>0</v>
      </c>
      <c r="BE892">
        <f>BC892*($F$24+IF($F$24=0,0,($C$14+$C$15+IF($C$13="single",1.5,3)+3)/12))</f>
        <v>0</v>
      </c>
      <c r="BF892">
        <f>BE892-AZ892</f>
        <v>0</v>
      </c>
      <c r="BG892" cm="1">
        <f t="array" ref="BG892">IFERROR(IF(BF892&lt;0,0,BF892/($AU$810-INDEX(hd_off,MATCH(BT892,hd_mark,0),0)/12)),0)</f>
        <v>0</v>
      </c>
      <c r="BH892">
        <f>IF(AV892=0,0,$BG$810*$AM$792)</f>
        <v>0</v>
      </c>
      <c r="BI892">
        <f>IFERROR(BH892/$AU$810,0)</f>
        <v>0</v>
      </c>
      <c r="BJ892">
        <f>BH892*($F$24+IF($F$24=0,0,($C$14+$C$15+IF($C$13="single",1.5,3)+3)/12))</f>
        <v>0</v>
      </c>
      <c r="BK892">
        <f>BJ892-BA892</f>
        <v>0</v>
      </c>
      <c r="BL892" cm="1">
        <f t="array" ref="BL892">IFERROR(IF(BK892&lt;0,0,BK892/($AU$810-INDEX(hd_off,MATCH(BT892,hd_mark,0),0)/12)),0)</f>
        <v>0</v>
      </c>
      <c r="BM892">
        <f>MAX($F$24,$BE$810)/$Q$820</f>
        <v>0</v>
      </c>
      <c r="BN892">
        <f t="shared" si="545"/>
        <v>0</v>
      </c>
      <c r="BO892" cm="1">
        <f t="array" ref="BO892">IFERROR(INDEX(sheath_ecap_asd,MATCH(BS892,sheath_mark,0),0)*BN892,0)</f>
        <v>0</v>
      </c>
      <c r="BP892" cm="1">
        <f t="array" ref="BP892">IFERROR(INDEX(sheath_wcap_asd,MATCH(BS892,sheath_mark,0),0)*BN892,0)</f>
        <v>0</v>
      </c>
      <c r="BQ892" cm="1">
        <f t="array" ref="BQ892">IFERROR(INDEX(hd_cap,MATCH(BT892,hd_mark,0),0),0)</f>
        <v>0</v>
      </c>
      <c r="BS892" s="19"/>
      <c r="BT892" s="19"/>
      <c r="BU892" s="100"/>
    </row>
    <row r="893" x14ac:dyDescent="0.25">
      <c r="P893" s="93"/>
      <c r="Q893" s="109"/>
      <c r="R893" t="str">
        <f>$Q$793</f>
        <v>Roof</v>
      </c>
      <c r="S893">
        <f>$E$25</f>
        <v>33.171875</v>
      </c>
      <c r="T893" cm="1">
        <f t="array" ref="T893">IFERROR(IF(S893=0,0,(INDEX($C$33:$C$38,MATCH($W$810,$B$33:$B$38,0),0)*(S893+$X$810)+$V$810*$C$31)*$R$810),0)</f>
        <v>0</v>
      </c>
      <c r="U893">
        <f>IF(S893=0,0,-$V$810*$C$31*$H$27*$R$810)</f>
        <v>0</v>
      </c>
      <c r="V893">
        <f>IF(S893=0,0,$V$810*$H$26*$R$810)</f>
        <v>0</v>
      </c>
      <c r="W893">
        <f>(0.6*T893+0.7*U893)*$R$810/2</f>
        <v>0</v>
      </c>
      <c r="X893">
        <f>T893*$R$810/2</f>
        <v>0</v>
      </c>
      <c r="Z893">
        <f>IF(S893=0,0,$AD$810*$AP$793)</f>
        <v>0</v>
      </c>
      <c r="AA893">
        <f>IFERROR(Z893/$R$810,0)</f>
        <v>0</v>
      </c>
      <c r="AB893">
        <f>Z893*($F$25+($C$16+$C$17+IF($C$13="single",1.5,3)+3)/12)</f>
        <v>0</v>
      </c>
      <c r="AC893">
        <f>AB893-W893</f>
        <v>0</v>
      </c>
      <c r="AD893" cm="1">
        <f t="array" ref="AD893">IFERROR(IF(AC893&lt;0,0,AC893/($R$810-INDEX(hd_off,MATCH(AQ893,hd_mark,0),0)/12)),0)</f>
        <v>0</v>
      </c>
      <c r="AE893">
        <f>IF(S893=0,0,$AD$810*$AM$793)</f>
        <v>0</v>
      </c>
      <c r="AF893">
        <f>IFERROR(AE893/$R$810,0)</f>
        <v>0</v>
      </c>
      <c r="AG893">
        <f>AE893*($F$25+($C$16+$C$17+IF($C$13="single",1.5,3)+3)/12)</f>
        <v>0</v>
      </c>
      <c r="AH893">
        <f>AG893-X893</f>
        <v>0</v>
      </c>
      <c r="AI893" cm="1">
        <f t="array" ref="AI893">IFERROR(IF(AH893&lt;0,0,AH893/($R$810-INDEX(hd_off,MATCH(AQ893,hd_mark,0),0)/12)),0)</f>
        <v>0</v>
      </c>
      <c r="AJ893">
        <f>MAX($F$25,$AC$810)/$Q$820</f>
        <v>0.29920977011494249</v>
      </c>
      <c r="AK893">
        <f t="shared" si="544"/>
        <v>1</v>
      </c>
      <c r="AL893" cm="1">
        <f t="array" ref="AL893">IFERROR(INDEX(sheath_ecap_asd,MATCH(AP893,sheath_mark,0),0)*AK893,0)</f>
        <v>0</v>
      </c>
      <c r="AM893" cm="1">
        <f t="array" ref="AM893">IFERROR(INDEX(sheath_wcap_asd,MATCH(AP893,sheath_mark,0),0)*AK893,0)</f>
        <v>0</v>
      </c>
      <c r="AN893" cm="1">
        <f t="array" ref="AN893">IFERROR(INDEX(hd_cap,MATCH(AQ893,hd_mark,0),0),0)</f>
        <v>0</v>
      </c>
      <c r="AP893" s="19"/>
      <c r="AQ893" s="19"/>
      <c r="AR893" s="100"/>
      <c r="AS893" s="93"/>
      <c r="AT893" s="109"/>
      <c r="AU893" t="str">
        <f>$Q$793</f>
        <v>Roof</v>
      </c>
      <c r="AV893">
        <f>$E$25</f>
        <v>33.171875</v>
      </c>
      <c r="AW893" cm="1">
        <f t="array" ref="AW893">IFERROR(IF(AV893=0,0,(INDEX($C$33:$C$38,MATCH($AZ$810,$B$33:$B$38,0),0)*(AV893+$BA$810)+$AY$810*$C$31)*$AU$810),0)</f>
        <v>0</v>
      </c>
      <c r="AX893">
        <f>IF(AV893=0,0,-$AY$810*$C$31*$H$27*$AU$810)</f>
        <v>0</v>
      </c>
      <c r="AY893">
        <f>IF(AV893=0,0,$AY$810*$H$26*$AU$810)</f>
        <v>0</v>
      </c>
      <c r="AZ893">
        <f>(0.6*AW893+0.7*AX893)*$AU$810/2</f>
        <v>0</v>
      </c>
      <c r="BA893">
        <f>AW893*$AU$810/2</f>
        <v>0</v>
      </c>
      <c r="BC893">
        <f>IF(AV893=0,0,$BG$810*$AP$793)</f>
        <v>0</v>
      </c>
      <c r="BD893">
        <f>IFERROR(BC893/$AU$810,0)</f>
        <v>0</v>
      </c>
      <c r="BE893">
        <f>BC893*($F$25+($C$16+$C$17+IF($C$13="single",1.5,3)+3)/12)</f>
        <v>0</v>
      </c>
      <c r="BF893">
        <f>BE893-AZ893</f>
        <v>0</v>
      </c>
      <c r="BG893" cm="1">
        <f t="array" ref="BG893">IFERROR(IF(BF893&lt;0,0,BF893/($AU$810-INDEX(hd_off,MATCH(BT893,hd_mark,0),0)/12)),0)</f>
        <v>0</v>
      </c>
      <c r="BH893">
        <f>IF(AV893=0,0,$BG$810*$AM$793)</f>
        <v>0</v>
      </c>
      <c r="BI893">
        <f>IFERROR(BH893/$AU$810,0)</f>
        <v>0</v>
      </c>
      <c r="BJ893">
        <f>BH893*($F$25+($C$16+$C$17+IF($C$13="single",1.5,3)+3)/12)</f>
        <v>0</v>
      </c>
      <c r="BK893">
        <f>BJ893-BA893</f>
        <v>0</v>
      </c>
      <c r="BL893" cm="1">
        <f t="array" ref="BL893">IFERROR(IF(BK893&lt;0,0,BK893/($AU$810-INDEX(hd_off,MATCH(BT893,hd_mark,0),0)/12)),0)</f>
        <v>0</v>
      </c>
      <c r="BM893">
        <f>MAX($F$25,$BF$810)/$Q$820</f>
        <v>0.29920977011494249</v>
      </c>
      <c r="BN893">
        <f t="shared" si="545"/>
        <v>1</v>
      </c>
      <c r="BO893" cm="1">
        <f t="array" ref="BO893">IFERROR(INDEX(sheath_ecap_asd,MATCH(BS893,sheath_mark,0),0)*BN893,0)</f>
        <v>0</v>
      </c>
      <c r="BP893" cm="1">
        <f t="array" ref="BP893">IFERROR(INDEX(sheath_wcap_asd,MATCH(BS893,sheath_mark,0),0)*BN893,0)</f>
        <v>0</v>
      </c>
      <c r="BQ893" cm="1">
        <f t="array" ref="BQ893">IFERROR(INDEX(hd_cap,MATCH(BT893,hd_mark,0),0),0)</f>
        <v>0</v>
      </c>
      <c r="BS893" s="19"/>
      <c r="BT893" s="19"/>
      <c r="BU893" s="100"/>
    </row>
    <row r="894" x14ac:dyDescent="0.25">
      <c r="P894" s="93"/>
      <c r="AR894" s="100"/>
      <c r="AS894" s="93"/>
      <c r="BU894" s="100"/>
    </row>
    <row r="895" x14ac:dyDescent="0.25">
      <c r="P895" s="93"/>
      <c r="Q895" s="110" t="str">
        <f>$Q$811</f>
        <v>A.14</v>
      </c>
      <c r="R895" t="str">
        <f>$Q$789</f>
        <v>L2</v>
      </c>
      <c r="S895">
        <f>$E$21</f>
        <v>10.6875</v>
      </c>
      <c r="T895" cm="1">
        <f t="array" ref="T895">IFERROR(IF(S895=0,0,(INDEX($C$33:$C$38,MATCH($W$811,$B$33:$B$38,0),0)*(S899+$X$811)+$T$811*COUNTIF(S895:S911,"&gt;0")*$C$32+$V$811*$C$31)*$R$811),0)</f>
        <v>0</v>
      </c>
      <c r="U895">
        <f>IF(S895=0,0,-(COUNTIF(S895:S911,"&gt;0")*$T$811*$C$32+$V$811*$C$31)*$H$27*$R$811)</f>
        <v>0</v>
      </c>
      <c r="V895">
        <f>IF(S895=0,0,$V$811*$H$26*$R$811)</f>
        <v>0</v>
      </c>
      <c r="W895">
        <f>(0.6*T895+0.7*U895)*$R$811/2</f>
        <v>0</v>
      </c>
      <c r="X895">
        <f>(0.6*T895+0.6*V895)*$R$811/2</f>
        <v>0</v>
      </c>
      <c r="Z895">
        <f>IF(S895=0,0,$AD$811*$AP$789)</f>
        <v>0</v>
      </c>
      <c r="AA895">
        <f>IFERROR(Z895/$R$811,0)</f>
        <v>0</v>
      </c>
      <c r="AB895">
        <f>Z895*($F$21+IF($F$21=0,0,($C$14+$C$15+IF($C$13="single",1.5,3)+3)/12))</f>
        <v>0</v>
      </c>
      <c r="AC895">
        <f>AB895-W895</f>
        <v>0</v>
      </c>
      <c r="AD895" cm="1">
        <f t="array" ref="AD895">IFERROR(IF(AC895&lt;0,0,AC895/($R$811-INDEX(hd_off,MATCH(AQ895,hd_mark,0),0)/12)),0)</f>
        <v>0</v>
      </c>
      <c r="AE895">
        <f>IF(S895=0,0,$AD$811*$AM$789)</f>
        <v>0</v>
      </c>
      <c r="AF895">
        <f>IFERROR(AE895/$R$811,0)</f>
        <v>0</v>
      </c>
      <c r="AG895">
        <f>AE895*($F$21+IF($F$21=0,0,($C$14+$C$15+IF($C$13="single",1.5,3)+3)/12))</f>
        <v>0</v>
      </c>
      <c r="AH895">
        <f>AG895-X895</f>
        <v>0</v>
      </c>
      <c r="AI895" cm="1">
        <f t="array" ref="AI895">IFERROR(IF(AH895&lt;0,0,AH895/($R$811-INDEX(hd_off,MATCH(AQ895,hd_mark,0),0)/12)),0)</f>
        <v>0</v>
      </c>
      <c r="AJ895">
        <f>MAX($F$21,$Y$811)/$Q$820</f>
        <v>0.30172413793103448</v>
      </c>
      <c r="AK895">
        <f>IF(AJ895=0,0,IF(AJ895&gt;2,1.25-0.125*AJ895,1))</f>
        <v>1</v>
      </c>
      <c r="AL895" cm="1">
        <f t="array" ref="AL895">IFERROR(INDEX(sheath_ecap_asd,MATCH(AP895,sheath_mark,0),0)*AK895,0)</f>
        <v>0</v>
      </c>
      <c r="AM895" cm="1">
        <f t="array" ref="AM895">IFERROR(INDEX(sheath_wcap_asd,MATCH(AP895,sheath_mark,0),0)*AK895,0)</f>
        <v>0</v>
      </c>
      <c r="AN895" cm="1">
        <f t="array" ref="AN895">IFERROR(INDEX(hd_cap,MATCH(AQ895,hd_mark,0),0),0)</f>
        <v>0</v>
      </c>
      <c r="AP895" s="19"/>
      <c r="AQ895" s="19"/>
      <c r="AR895" s="100"/>
      <c r="AS895" s="93"/>
      <c r="AT895" s="110" t="str">
        <f>$AT$811</f>
        <v>1.14</v>
      </c>
      <c r="AU895" t="str">
        <f>$Q$789</f>
        <v>L2</v>
      </c>
      <c r="AV895">
        <f>$E$21</f>
        <v>10.6875</v>
      </c>
      <c r="AW895" cm="1">
        <f t="array" ref="AW895">IFERROR(IF(AV895=0,0,(INDEX($C$33:$C$38,MATCH($AZ$811,$B$33:$B$38,0),0)*(AV899+$BA$811)+$AW$811*COUNTIF(AV895:AV911,"&gt;0")*$C$32+$AY$811*$C$31)*$AU$811),0)</f>
        <v>0</v>
      </c>
      <c r="AX895">
        <f>IF(AV895=0,0,-(COUNTIF(AV895:AV911,"&gt;0")*$AW$811*$C$32+$AY$811*$C$31)*$H$27*$AU$811)</f>
        <v>0</v>
      </c>
      <c r="AY895">
        <f>IF(AV895=0,0,$AY$811*$H$26*$AU$811)</f>
        <v>0</v>
      </c>
      <c r="AZ895">
        <f>(0.6*AW895+0.7*AX895)*$AU$811/2</f>
        <v>0</v>
      </c>
      <c r="BA895">
        <f>(0.6*AW895+0.6*AY895)*$AU$811/2</f>
        <v>0</v>
      </c>
      <c r="BC895">
        <f>IF(AV895=0,0,$BG$811*$AP$789)</f>
        <v>0</v>
      </c>
      <c r="BD895">
        <f>IFERROR(BC895/$AU$811,0)</f>
        <v>0</v>
      </c>
      <c r="BE895">
        <f>BC895*($F$21+IF($F$21=0,0,($C$14+$C$15+IF($C$13="single",1.5,3)+3)/12))</f>
        <v>0</v>
      </c>
      <c r="BF895">
        <f>BE895-AZ895</f>
        <v>0</v>
      </c>
      <c r="BG895" cm="1">
        <f t="array" ref="BG895">IFERROR(IF(BF895&lt;0,0,BF895/($AU$811-INDEX(hd_off,MATCH(BT895,hd_mark,0),0)/12)),0)</f>
        <v>0</v>
      </c>
      <c r="BH895">
        <f>IF(AV895=0,0,$BG$811*$AM$789)</f>
        <v>0</v>
      </c>
      <c r="BI895">
        <f>IFERROR(BH895/$AU$811,0)</f>
        <v>0</v>
      </c>
      <c r="BJ895">
        <f>BH895*($F$21+IF($F$21=0,0,($C$14+$C$15+IF($C$13="single",1.5,3)+3)/12))</f>
        <v>0</v>
      </c>
      <c r="BK895">
        <f>BJ895-BA895</f>
        <v>0</v>
      </c>
      <c r="BL895" cm="1">
        <f t="array" ref="BL895">IFERROR(IF(BK895&lt;0,0,BK895/($AU$811-INDEX(hd_off,MATCH(BT895,hd_mark,0),0)/12)),0)</f>
        <v>0</v>
      </c>
      <c r="BM895">
        <f>MAX($F$21,$BB$811)/$Q$820</f>
        <v>0.30172413793103448</v>
      </c>
      <c r="BN895">
        <f>IF(BM895=0,0,IF(BM895&gt;2,1.25-0.125*BM895,1))</f>
        <v>1</v>
      </c>
      <c r="BO895" cm="1">
        <f t="array" ref="BO895">IFERROR(INDEX(sheath_ecap_asd,MATCH(BS895,sheath_mark,0),0)*BN895,0)</f>
        <v>0</v>
      </c>
      <c r="BP895" cm="1">
        <f t="array" ref="BP895">IFERROR(INDEX(sheath_wcap_asd,MATCH(BS895,sheath_mark,0),0)*BN895,0)</f>
        <v>0</v>
      </c>
      <c r="BQ895" cm="1">
        <f t="array" ref="BQ895">IFERROR(INDEX(hd_cap,MATCH(BT895,hd_mark,0),0),0)</f>
        <v>0</v>
      </c>
      <c r="BS895" s="19"/>
      <c r="BT895" s="19"/>
      <c r="BU895" s="100"/>
    </row>
    <row r="896" x14ac:dyDescent="0.25">
      <c r="P896" s="93"/>
      <c r="Q896" s="109"/>
      <c r="R896" t="str">
        <f>$Q$790</f>
        <v>L3</v>
      </c>
      <c r="S896">
        <f>$E$22</f>
        <v>21.375</v>
      </c>
      <c r="T896" cm="1">
        <f t="array" ref="T896">IFERROR(IF(S896=0,0,(INDEX($C$33:$C$38,MATCH($W$811,$B$33:$B$38,0),0)*(S899+$X$811)+$T$811*COUNTIF(S896:S911,"&gt;0")*$C$32+$V$811*$C$31)*$R$811),0)</f>
        <v>0</v>
      </c>
      <c r="U896">
        <f>IF(S896=0,0,-(COUNTIF(S896:S911,"&gt;0")*$T$811*$C$32+$V$811*$C$31)*$H$27*$R$811)</f>
        <v>0</v>
      </c>
      <c r="V896">
        <f>IF(S896=0,0,$V$811*$H$26*$R$811)</f>
        <v>0</v>
      </c>
      <c r="W896">
        <f>(0.6*T896+0.7*U896)*$R$811/2</f>
        <v>0</v>
      </c>
      <c r="X896">
        <f>T896*$R$811/2</f>
        <v>0</v>
      </c>
      <c r="Z896">
        <f>IF(S896=0,0,$AD$811*$AP$790)</f>
        <v>0</v>
      </c>
      <c r="AA896">
        <f>IFERROR(Z896/$R$811,0)</f>
        <v>0</v>
      </c>
      <c r="AB896">
        <f>Z896*($F$22+IF($F$22=0,0,($C$14+$C$15+IF($C$13="single",1.5,3)+3)/12))</f>
        <v>0</v>
      </c>
      <c r="AC896">
        <f>AB896-W896</f>
        <v>0</v>
      </c>
      <c r="AD896" cm="1">
        <f t="array" ref="AD896">IFERROR(IF(AC896&lt;0,0,AC896/($R$811-INDEX(hd_off,MATCH(AQ896,hd_mark,0),0)/12)),0)</f>
        <v>0</v>
      </c>
      <c r="AE896">
        <f>IF(S896=0,0,$AD$811*$AM$790)</f>
        <v>0</v>
      </c>
      <c r="AF896">
        <f>IFERROR(AE896/$R$811,0)</f>
        <v>0</v>
      </c>
      <c r="AG896">
        <f>AE896*($F$22+IF($F$22=0,0,($C$14+$C$15+IF($C$13="single",1.5,3)+3)/12))</f>
        <v>0</v>
      </c>
      <c r="AH896">
        <f>AG896-X896</f>
        <v>0</v>
      </c>
      <c r="AI896" cm="1">
        <f t="array" ref="AI896">IFERROR(IF(AH896&lt;0,0,AH896/($R$811-INDEX(hd_off,MATCH(AQ896,hd_mark,0),0)/12)),0)</f>
        <v>0</v>
      </c>
      <c r="AJ896">
        <f>MAX($F$22,$Z$811)/$Q$820</f>
        <v>0.30172413793103448</v>
      </c>
      <c r="AK896">
        <f t="shared" ref="AK896:AK899" si="546">IF(AJ896=0,0,IF(AJ896&gt;2,1.25-0.125*AJ896,1))</f>
        <v>1</v>
      </c>
      <c r="AL896" cm="1">
        <f t="array" ref="AL896">IFERROR(INDEX(sheath_ecap_asd,MATCH(AP896,sheath_mark,0),0)*AK896,0)</f>
        <v>0</v>
      </c>
      <c r="AM896" cm="1">
        <f t="array" ref="AM896">IFERROR(INDEX(sheath_wcap_asd,MATCH(AP896,sheath_mark,0),0)*AK896,0)</f>
        <v>0</v>
      </c>
      <c r="AN896" cm="1">
        <f t="array" ref="AN896">IFERROR(INDEX(hd_cap,MATCH(AQ896,hd_mark,0),0),0)</f>
        <v>0</v>
      </c>
      <c r="AP896" s="19"/>
      <c r="AQ896" s="19"/>
      <c r="AR896" s="100"/>
      <c r="AS896" s="93"/>
      <c r="AT896" s="109"/>
      <c r="AU896" t="str">
        <f>$Q$790</f>
        <v>L3</v>
      </c>
      <c r="AV896">
        <f>$E$22</f>
        <v>21.375</v>
      </c>
      <c r="AW896" cm="1">
        <f t="array" ref="AW896">IFERROR(IF(AV896=0,0,(INDEX($C$33:$C$38,MATCH($AZ$811,$B$33:$B$38,0),0)*(AV899+$BA$811)+$AW$811*COUNTIF(AV896:AV911,"&gt;0")*$C$32+$AY$811*$C$31)*$AU$811),0)</f>
        <v>0</v>
      </c>
      <c r="AX896">
        <f>IF(AV896=0,0,-(COUNTIF(AV896:AV911,"&gt;0")*$AW$811*$C$32+$AY$811*$C$31)*$H$27*$AU$811)</f>
        <v>0</v>
      </c>
      <c r="AY896">
        <f>IF(AV896=0,0,$AY$811*$H$26*$AU$811)</f>
        <v>0</v>
      </c>
      <c r="AZ896">
        <f>(0.6*AW896+0.7*AX896)*$AU$811/2</f>
        <v>0</v>
      </c>
      <c r="BA896">
        <f>AW896*$AU$811/2</f>
        <v>0</v>
      </c>
      <c r="BC896">
        <f>IF(AV896=0,0,$BG$811*$AP$790)</f>
        <v>0</v>
      </c>
      <c r="BD896">
        <f>IFERROR(BC896/$AU$811,0)</f>
        <v>0</v>
      </c>
      <c r="BE896">
        <f>BC896*($F$22+IF($F$22=0,0,($C$14+$C$15+IF($C$13="single",1.5,3)+3)/12))</f>
        <v>0</v>
      </c>
      <c r="BF896">
        <f>BE896-AZ896</f>
        <v>0</v>
      </c>
      <c r="BG896" cm="1">
        <f t="array" ref="BG896">IFERROR(IF(BF896&lt;0,0,BF896/($AU$811-INDEX(hd_off,MATCH(BT896,hd_mark,0),0)/12)),0)</f>
        <v>0</v>
      </c>
      <c r="BH896">
        <f>IF(AV896=0,0,$BG$811*$AM$790)</f>
        <v>0</v>
      </c>
      <c r="BI896">
        <f>IFERROR(BH896/$AU$811,0)</f>
        <v>0</v>
      </c>
      <c r="BJ896">
        <f>BH896*($F$22+IF($F$22=0,0,($C$14+$C$15+IF($C$13="single",1.5,3)+3)/12))</f>
        <v>0</v>
      </c>
      <c r="BK896">
        <f>BJ896-BA896</f>
        <v>0</v>
      </c>
      <c r="BL896" cm="1">
        <f t="array" ref="BL896">IFERROR(IF(BK896&lt;0,0,BK896/($AU$811-INDEX(hd_off,MATCH(BT896,hd_mark,0),0)/12)),0)</f>
        <v>0</v>
      </c>
      <c r="BM896">
        <f>MAX($F$22,$BC$811)/$Q$820</f>
        <v>0.30172413793103448</v>
      </c>
      <c r="BN896">
        <f t="shared" ref="BN896:BN897" si="547">IF(BM896=0,0,IF(BM896&gt;2,1.25-0.125*BM896,1))</f>
        <v>1</v>
      </c>
      <c r="BO896" cm="1">
        <f t="array" ref="BO896">IFERROR(INDEX(sheath_ecap_asd,MATCH(BS896,sheath_mark,0),0)*BN896,0)</f>
        <v>0</v>
      </c>
      <c r="BP896" cm="1">
        <f t="array" ref="BP896">IFERROR(INDEX(sheath_wcap_asd,MATCH(BS896,sheath_mark,0),0)*BN896,0)</f>
        <v>0</v>
      </c>
      <c r="BQ896" cm="1">
        <f t="array" ref="BQ896">IFERROR(INDEX(hd_cap,MATCH(BT896,hd_mark,0),0),0)</f>
        <v>0</v>
      </c>
      <c r="BS896" s="19"/>
      <c r="BT896" s="19"/>
      <c r="BU896" s="100"/>
    </row>
    <row r="897" x14ac:dyDescent="0.25">
      <c r="P897" s="93"/>
      <c r="Q897" s="109" t="s">
        <v>491</v>
      </c>
      <c r="R897" t="str">
        <f>$Q$791</f>
        <v>L4</v>
      </c>
      <c r="S897">
        <f>$E$23</f>
        <v>0</v>
      </c>
      <c r="T897" cm="1">
        <f t="array" ref="T897">IFERROR(IF(S897=0,0,(INDEX($C$33:$C$38,MATCH($W$811,$B$33:$B$38,0),0)*(S899+$X$811)+$T$811*COUNTIF(S897:S911,"&gt;0")*$C$32+$V$811*$C$31)*$R$811),0)</f>
        <v>0</v>
      </c>
      <c r="U897">
        <f>IF(S897=0,0,-(COUNTIF(S897:S911,"&gt;0")*$T$811*$C$32+$V$811*$C$31)*$H$27*$R$811)</f>
        <v>0</v>
      </c>
      <c r="V897">
        <f>IF(S897=0,0,$V$811*$H$26*$R$811)</f>
        <v>0</v>
      </c>
      <c r="W897">
        <f>(0.6*T897+0.7*U897)*$R$811/2</f>
        <v>0</v>
      </c>
      <c r="X897">
        <f>T897*$R$811/2</f>
        <v>0</v>
      </c>
      <c r="Z897">
        <f>IF(S897=0,0,$AD$811*$AP$791)</f>
        <v>0</v>
      </c>
      <c r="AA897">
        <f>IFERROR(Z897/$R$811,0)</f>
        <v>0</v>
      </c>
      <c r="AB897">
        <f>Z897*($F$23+IF($F$23=0,0,($C$14+$C$15+IF($C$13="single",1.5,3)+3)/12))</f>
        <v>0</v>
      </c>
      <c r="AC897">
        <f>AB897-W897</f>
        <v>0</v>
      </c>
      <c r="AD897" cm="1">
        <f t="array" ref="AD897">IFERROR(IF(AC897&lt;0,0,AC897/($R$811-INDEX(hd_off,MATCH(AQ897,hd_mark,0),0)/12)),0)</f>
        <v>0</v>
      </c>
      <c r="AE897">
        <f>IF(S897=0,0,$AD$811*$AM$791)</f>
        <v>0</v>
      </c>
      <c r="AF897">
        <f>IFERROR(AE897/$R$811,0)</f>
        <v>0</v>
      </c>
      <c r="AG897">
        <f>AE897*($F$23+IF($F$23=0,0,($C$14+$C$15+IF($C$13="single",1.5,3)+3)/12))</f>
        <v>0</v>
      </c>
      <c r="AH897">
        <f>AG897-X897</f>
        <v>0</v>
      </c>
      <c r="AI897" cm="1">
        <f t="array" ref="AI897">IFERROR(IF(AH897&lt;0,0,AH897/($R$811-INDEX(hd_off,MATCH(AQ897,hd_mark,0),0)/12)),0)</f>
        <v>0</v>
      </c>
      <c r="AJ897">
        <f>MAX($F$23,$AA$811)/$Q$820</f>
        <v>0</v>
      </c>
      <c r="AK897">
        <f t="shared" si="546"/>
        <v>0</v>
      </c>
      <c r="AL897" cm="1">
        <f t="array" ref="AL897">IFERROR(INDEX(sheath_ecap_asd,MATCH(AP897,sheath_mark,0),0)*AK897,0)</f>
        <v>0</v>
      </c>
      <c r="AM897" cm="1">
        <f t="array" ref="AM897">IFERROR(INDEX(sheath_wcap_asd,MATCH(AP897,sheath_mark,0),0)*AK897,0)</f>
        <v>0</v>
      </c>
      <c r="AN897" cm="1">
        <f t="array" ref="AN897">IFERROR(INDEX(hd_cap,MATCH(AQ897,hd_mark,0),0),0)</f>
        <v>0</v>
      </c>
      <c r="AP897" s="19"/>
      <c r="AQ897" s="19"/>
      <c r="AR897" s="100"/>
      <c r="AS897" s="93"/>
      <c r="AT897" s="109" t="s">
        <v>491</v>
      </c>
      <c r="AU897" t="str">
        <f>$Q$791</f>
        <v>L4</v>
      </c>
      <c r="AV897">
        <f>$E$23</f>
        <v>0</v>
      </c>
      <c r="AW897" cm="1">
        <f t="array" ref="AW897">IFERROR(IF(AV897=0,0,(INDEX($C$33:$C$38,MATCH($AZ$811,$B$33:$B$38,0),0)*(AV899+$BA$811)+$AW$811*COUNTIF(AV897:AV911,"&gt;0")*$C$32+$AY$811*$C$31)*$AU$811),0)</f>
        <v>0</v>
      </c>
      <c r="AX897">
        <f>IF(AV897=0,0,-(COUNTIF(AV897:AV911,"&gt;0")*$AW$811*$C$32+$AY$811*$C$31)*$H$27*$AU$811)</f>
        <v>0</v>
      </c>
      <c r="AY897">
        <f>IF(AV897=0,0,$AY$811*$H$26*$AU$811)</f>
        <v>0</v>
      </c>
      <c r="AZ897">
        <f>(0.6*AW897+0.7*AX897)*$AU$811/2</f>
        <v>0</v>
      </c>
      <c r="BA897">
        <f>AW897*$AU$811/2</f>
        <v>0</v>
      </c>
      <c r="BC897">
        <f>IF(AV897=0,0,$BG$811*$AP$791)</f>
        <v>0</v>
      </c>
      <c r="BD897">
        <f>IFERROR(BC897/$AU$811,0)</f>
        <v>0</v>
      </c>
      <c r="BE897">
        <f>BC897*($F$23+IF($F$23=0,0,($C$14+$C$15+IF($C$13="single",1.5,3)+3)/12))</f>
        <v>0</v>
      </c>
      <c r="BF897">
        <f>BE897-AZ897</f>
        <v>0</v>
      </c>
      <c r="BG897" cm="1">
        <f t="array" ref="BG897">IFERROR(IF(BF897&lt;0,0,BF897/($AU$811-INDEX(hd_off,MATCH(BT897,hd_mark,0),0)/12)),0)</f>
        <v>0</v>
      </c>
      <c r="BH897">
        <f>IF(AV897=0,0,$BG$811*$AM$791)</f>
        <v>0</v>
      </c>
      <c r="BI897">
        <f>IFERROR(BH897/$AU$811,0)</f>
        <v>0</v>
      </c>
      <c r="BJ897">
        <f>BH897*($F$23+IF($F$23=0,0,($C$14+$C$15+IF($C$13="single",1.5,3)+3)/12))</f>
        <v>0</v>
      </c>
      <c r="BK897">
        <f>BJ897-BA897</f>
        <v>0</v>
      </c>
      <c r="BL897" cm="1">
        <f t="array" ref="BL897">IFERROR(IF(BK897&lt;0,0,BK897/($AU$811-INDEX(hd_off,MATCH(BT897,hd_mark,0),0)/12)),0)</f>
        <v>0</v>
      </c>
      <c r="BM897">
        <f>MAX($F$23,$BD$811)/$Q$820</f>
        <v>0</v>
      </c>
      <c r="BN897">
        <f t="shared" si="547"/>
        <v>0</v>
      </c>
      <c r="BO897" cm="1">
        <f t="array" ref="BO897">IFERROR(INDEX(sheath_ecap_asd,MATCH(BS897,sheath_mark,0),0)*BN897,0)</f>
        <v>0</v>
      </c>
      <c r="BP897" cm="1">
        <f t="array" ref="BP897">IFERROR(INDEX(sheath_wcap_asd,MATCH(BS897,sheath_mark,0),0)*BN897,0)</f>
        <v>0</v>
      </c>
      <c r="BQ897" cm="1">
        <f t="array" ref="BQ897">IFERROR(INDEX(hd_cap,MATCH(BT897,hd_mark,0),0),0)</f>
        <v>0</v>
      </c>
      <c r="BS897" s="19"/>
      <c r="BT897" s="19"/>
      <c r="BU897" s="100"/>
    </row>
    <row r="898" x14ac:dyDescent="0.25">
      <c r="P898" s="93"/>
      <c r="Q898" s="111">
        <f>$R$811</f>
        <v>0</v>
      </c>
      <c r="R898" t="str">
        <f>$Q$792</f>
        <v>L5</v>
      </c>
      <c r="S898">
        <f>$E$24</f>
        <v>0</v>
      </c>
      <c r="T898" cm="1">
        <f t="array" ref="T898">IFERROR(IF(S911=0,0,(INDEX($C$33:$C$38,MATCH($W$811,$B$33:$B$38,0),0)*(S899+$X$811)+$T$811*COUNTIF(S911:S911,"&gt;0")*$C$32+$V$811*$C$31)*$R$811),0)</f>
        <v>0</v>
      </c>
      <c r="U898">
        <f>IF(S911=0,0,-(COUNTIF(S911:S911,"&gt;0")*$T$811*$C$32+$V$811*$C$31)*$H$27*$R$811)</f>
        <v>0</v>
      </c>
      <c r="V898">
        <f>IF(S911=0,0,$V$811*$H$26*$R$811)</f>
        <v>0</v>
      </c>
      <c r="W898">
        <f>(0.6*T911+0.7*U911)*$R$811/2</f>
        <v>0</v>
      </c>
      <c r="X898">
        <f>T911*$R$811/2</f>
        <v>0</v>
      </c>
      <c r="Z898">
        <f>IF(S911=0,0,$AD$811*$AP$792)</f>
        <v>0</v>
      </c>
      <c r="AA898">
        <f>IFERROR(Z911/$R$811,0)</f>
        <v>0</v>
      </c>
      <c r="AB898">
        <f>Z911*($F$24+IF($F$24=0,0,($C$14+$C$15+IF($C$13="single",1.5,3)+3)/12))</f>
        <v>0</v>
      </c>
      <c r="AC898">
        <f>AB911-W911</f>
        <v>0</v>
      </c>
      <c r="AD898" cm="1">
        <f t="array" ref="AD898">IFERROR(IF(AC911&lt;0,0,AC911/($R$811-INDEX(hd_off,MATCH(AQ911,hd_mark,0),0)/12)),0)</f>
        <v>0</v>
      </c>
      <c r="AE898">
        <f>IF(S911=0,0,$AD$811*$AM$792)</f>
        <v>0</v>
      </c>
      <c r="AF898">
        <f>IFERROR(AE911/$R$811,0)</f>
        <v>0</v>
      </c>
      <c r="AG898">
        <f>AE911*($F$24+IF($F$24=0,0,($C$14+$C$15+IF($C$13="single",1.5,3)+3)/12))</f>
        <v>0</v>
      </c>
      <c r="AH898">
        <f>AG911-X911</f>
        <v>0</v>
      </c>
      <c r="AI898" cm="1">
        <f t="array" ref="AI898">IFERROR(IF(AH911&lt;0,0,AH911/($R$811-INDEX(hd_off,MATCH(AQ911,hd_mark,0),0)/12)),0)</f>
        <v>0</v>
      </c>
      <c r="AJ898">
        <f>MAX($F$24,$AB$811)/$Q$820</f>
        <v>0</v>
      </c>
      <c r="AK898">
        <f>IF(AJ911=0,0,IF(AJ911&gt;2,1.25-0.125*AJ911,1))</f>
        <v>1</v>
      </c>
      <c r="AL898" cm="1">
        <f t="array" ref="AL898">IFERROR(INDEX(sheath_ecap_asd,MATCH(AP911,sheath_mark,0),0)*AK911,0)</f>
        <v>0</v>
      </c>
      <c r="AM898" cm="1">
        <f t="array" ref="AM898">IFERROR(INDEX(sheath_wcap_asd,MATCH(AP911,sheath_mark,0),0)*AK911,0)</f>
        <v>0</v>
      </c>
      <c r="AN898" cm="1">
        <f t="array" ref="AN898">IFERROR(INDEX(hd_cap,MATCH(AQ911,hd_mark,0),0),0)</f>
        <v>0</v>
      </c>
      <c r="AP898" s="19"/>
      <c r="AQ898" s="19"/>
      <c r="AR898" s="100"/>
      <c r="AS898" s="93"/>
      <c r="AT898" s="111">
        <f>$R$811</f>
        <v>0</v>
      </c>
      <c r="AU898" t="str">
        <f>$Q$792</f>
        <v>L5</v>
      </c>
      <c r="AV898">
        <f>$E$24</f>
        <v>0</v>
      </c>
      <c r="AW898" cm="1">
        <f t="array" ref="AW898">IFERROR(IF(AV911=0,0,(INDEX($C$33:$C$38,MATCH($AZ$811,$B$33:$B$38,0),0)*(AV899+$BA$811)+$AW$811*COUNTIF(AV911:AV911,"&gt;0")*$C$32+$AY$811*$C$31)*$AU$811),0)</f>
        <v>0</v>
      </c>
      <c r="AX898">
        <f>IF(AV911=0,0,-(COUNTIF(AV911:AV911,"&gt;0")*$AW$811*$C$32+$AY$811*$C$31)*$H$27*$AU$811)</f>
        <v>0</v>
      </c>
      <c r="AY898">
        <f>IF(AV911=0,0,$AY$811*$H$26*$AU$811)</f>
        <v>0</v>
      </c>
      <c r="AZ898">
        <f>(0.6*AW911+0.7*AX911)*$AU$811/2</f>
        <v>0</v>
      </c>
      <c r="BA898">
        <f>AW911*$AU$811/2</f>
        <v>0</v>
      </c>
      <c r="BC898">
        <f>IF(AV911=0,0,$BG$811*$AP$792)</f>
        <v>0</v>
      </c>
      <c r="BD898">
        <f>IFERROR(BC911/$AU$811,0)</f>
        <v>0</v>
      </c>
      <c r="BE898">
        <f>BC911*($F$24+IF($F$24=0,0,($C$14+$C$15+IF($C$13="single",1.5,3)+3)/12))</f>
        <v>0</v>
      </c>
      <c r="BF898">
        <f>BE911-AZ911</f>
        <v>0</v>
      </c>
      <c r="BG898" cm="1">
        <f t="array" ref="BG898">IFERROR(IF(BF911&lt;0,0,BF911/($AU$811-INDEX(hd_off,MATCH(BT911,hd_mark,0),0)/12)),0)</f>
        <v>0</v>
      </c>
      <c r="BH898">
        <f>IF(AV911=0,0,$BG$811*$AM$792)</f>
        <v>0</v>
      </c>
      <c r="BI898">
        <f>IFERROR(BH911/$AU$811,0)</f>
        <v>0</v>
      </c>
      <c r="BJ898">
        <f>BH911*($F$24+IF($F$24=0,0,($C$14+$C$15+IF($C$13="single",1.5,3)+3)/12))</f>
        <v>0</v>
      </c>
      <c r="BK898">
        <f>BJ911-BA911</f>
        <v>0</v>
      </c>
      <c r="BL898" cm="1">
        <f t="array" ref="BL898">IFERROR(IF(BK911&lt;0,0,BK911/($AU$811-INDEX(hd_off,MATCH(BT911,hd_mark,0),0)/12)),0)</f>
        <v>0</v>
      </c>
      <c r="BM898">
        <f>MAX($F$24,$BE$811)/$Q$820</f>
        <v>0</v>
      </c>
      <c r="BN898">
        <f>IF(BM911=0,0,IF(BM911&gt;2,1.25-0.125*BM911,1))</f>
        <v>0</v>
      </c>
      <c r="BO898" cm="1">
        <f t="array" ref="BO898">IFERROR(INDEX(sheath_ecap_asd,MATCH(BS911,sheath_mark,0),0)*BN911,0)</f>
        <v>0</v>
      </c>
      <c r="BP898" cm="1">
        <f t="array" ref="BP898">IFERROR(INDEX(sheath_wcap_asd,MATCH(BS911,sheath_mark,0),0)*BN911,0)</f>
        <v>0</v>
      </c>
      <c r="BQ898" cm="1">
        <f t="array" ref="BQ898">IFERROR(INDEX(hd_cap,MATCH(BT911,hd_mark,0),0),0)</f>
        <v>0</v>
      </c>
      <c r="BS898" s="19"/>
      <c r="BT898" s="19"/>
      <c r="BU898" s="100"/>
    </row>
    <row r="899" x14ac:dyDescent="0.25">
      <c r="P899" s="93"/>
      <c r="Q899" s="109"/>
      <c r="R899" t="str">
        <f>$Q$793</f>
        <v>Roof</v>
      </c>
      <c r="S899">
        <f>$E$25</f>
        <v>33.171875</v>
      </c>
      <c r="T899" cm="1">
        <f t="array" ref="T899">IFERROR(IF(S899=0,0,(INDEX($C$33:$C$38,MATCH($W$811,$B$33:$B$38,0),0)*(S899+$X$811)+$V$811*$C$31)*$R$811),0)</f>
        <v>0</v>
      </c>
      <c r="U899">
        <f>IF(S899=0,0,-$V$811*$C$31*$H$27*$R$811)</f>
        <v>0</v>
      </c>
      <c r="V899">
        <f>IF(S899=0,0,$V$811*$H$26*$R$811)</f>
        <v>0</v>
      </c>
      <c r="W899">
        <f>(0.6*T899+0.7*U899)*$R$811/2</f>
        <v>0</v>
      </c>
      <c r="X899">
        <f>T899*$R$811/2</f>
        <v>0</v>
      </c>
      <c r="Z899">
        <f>IF(S899=0,0,$AD$811*$AP$793)</f>
        <v>0</v>
      </c>
      <c r="AA899">
        <f>IFERROR(Z899/$R$811,0)</f>
        <v>0</v>
      </c>
      <c r="AB899">
        <f>Z899*($F$25+($C$16+$C$17+IF($C$13="single",1.5,3)+3)/12)</f>
        <v>0</v>
      </c>
      <c r="AC899">
        <f>AB899-W899</f>
        <v>0</v>
      </c>
      <c r="AD899" cm="1">
        <f t="array" ref="AD899">IFERROR(IF(AC899&lt;0,0,AC899/($R$811-INDEX(hd_off,MATCH(AQ899,hd_mark,0),0)/12)),0)</f>
        <v>0</v>
      </c>
      <c r="AE899">
        <f>IF(S899=0,0,$AD$811*$AM$793)</f>
        <v>0</v>
      </c>
      <c r="AF899">
        <f>IFERROR(AE899/$R$811,0)</f>
        <v>0</v>
      </c>
      <c r="AG899">
        <f>AE899*($F$25+($C$16+$C$17+IF($C$13="single",1.5,3)+3)/12)</f>
        <v>0</v>
      </c>
      <c r="AH899">
        <f>AG899-X899</f>
        <v>0</v>
      </c>
      <c r="AI899" cm="1">
        <f t="array" ref="AI899">IFERROR(IF(AH899&lt;0,0,AH899/($R$811-INDEX(hd_off,MATCH(AQ899,hd_mark,0),0)/12)),0)</f>
        <v>0</v>
      </c>
      <c r="AJ899">
        <f>MAX($F$25,$AC$811)/$Q$820</f>
        <v>0.29920977011494249</v>
      </c>
      <c r="AK899">
        <f t="shared" si="546"/>
        <v>1</v>
      </c>
      <c r="AL899" cm="1">
        <f t="array" ref="AL899">IFERROR(INDEX(sheath_ecap_asd,MATCH(AP899,sheath_mark,0),0)*AK899,0)</f>
        <v>0</v>
      </c>
      <c r="AM899" cm="1">
        <f t="array" ref="AM899">IFERROR(INDEX(sheath_wcap_asd,MATCH(AP899,sheath_mark,0),0)*AK899,0)</f>
        <v>0</v>
      </c>
      <c r="AN899" cm="1">
        <f t="array" ref="AN899">IFERROR(INDEX(hd_cap,MATCH(AQ899,hd_mark,0),0),0)</f>
        <v>0</v>
      </c>
      <c r="AP899" s="19"/>
      <c r="AQ899" s="19"/>
      <c r="AR899" s="100"/>
      <c r="AS899" s="93"/>
      <c r="AT899" s="109"/>
      <c r="AU899" t="str">
        <f>$Q$793</f>
        <v>Roof</v>
      </c>
      <c r="AV899">
        <f>$E$25</f>
        <v>33.171875</v>
      </c>
      <c r="AW899" cm="1">
        <f t="array" ref="AW899">IFERROR(IF(AV899=0,0,(INDEX($C$33:$C$38,MATCH($AZ$811,$B$33:$B$38,0),0)*(AV899+$BA$811)+$AY$811*$C$31)*$AU$811),0)</f>
        <v>0</v>
      </c>
      <c r="AX899">
        <f>IF(AV899=0,0,-$AY$811*$C$31*$H$27*$AU$811)</f>
        <v>0</v>
      </c>
      <c r="AY899">
        <f>IF(AV899=0,0,$AY$811*$H$26*$AU$811)</f>
        <v>0</v>
      </c>
      <c r="AZ899">
        <f>(0.6*AW899+0.7*AX899)*$AU$811/2</f>
        <v>0</v>
      </c>
      <c r="BA899">
        <f>AW899*$AU$811/2</f>
        <v>0</v>
      </c>
      <c r="BC899">
        <f>IF(AV899=0,0,$BG$811*$AP$793)</f>
        <v>0</v>
      </c>
      <c r="BD899">
        <f>IFERROR(BC899/$AU$811,0)</f>
        <v>0</v>
      </c>
      <c r="BE899">
        <f>BC899*($F$25+($C$16+$C$17+IF($C$13="single",1.5,3)+3)/12)</f>
        <v>0</v>
      </c>
      <c r="BF899">
        <f>BE899-AZ899</f>
        <v>0</v>
      </c>
      <c r="BG899" cm="1">
        <f t="array" ref="BG899">IFERROR(IF(BF899&lt;0,0,BF899/($AU$811-INDEX(hd_off,MATCH(BT899,hd_mark,0),0)/12)),0)</f>
        <v>0</v>
      </c>
      <c r="BH899">
        <f>IF(AV899=0,0,$BG$811*$AM$793)</f>
        <v>0</v>
      </c>
      <c r="BI899">
        <f>IFERROR(BH899/$AU$811,0)</f>
        <v>0</v>
      </c>
      <c r="BJ899">
        <f>BH899*($F$25+($C$16+$C$17+IF($C$13="single",1.5,3)+3)/12)</f>
        <v>0</v>
      </c>
      <c r="BK899">
        <f>BJ899-BA899</f>
        <v>0</v>
      </c>
      <c r="BL899" cm="1">
        <f t="array" ref="BL899">IFERROR(IF(BK899&lt;0,0,BK899/($AU$811-INDEX(hd_off,MATCH(BT899,hd_mark,0),0)/12)),0)</f>
        <v>0</v>
      </c>
      <c r="BM899">
        <f>MAX($F$25,$BF$811)/$Q$820</f>
        <v>0.29920977011494249</v>
      </c>
      <c r="BN899">
        <f t="shared" ref="BN899" si="548">IF(BM899=0,0,IF(BM899&gt;2,1.25-0.125*BM899,1))</f>
        <v>1</v>
      </c>
      <c r="BO899" cm="1">
        <f t="array" ref="BO899">IFERROR(INDEX(sheath_ecap_asd,MATCH(BS899,sheath_mark,0),0)*BN899,0)</f>
        <v>0</v>
      </c>
      <c r="BP899" cm="1">
        <f t="array" ref="BP899">IFERROR(INDEX(sheath_wcap_asd,MATCH(BS899,sheath_mark,0),0)*BN899,0)</f>
        <v>0</v>
      </c>
      <c r="BQ899" cm="1">
        <f t="array" ref="BQ899">IFERROR(INDEX(hd_cap,MATCH(BT899,hd_mark,0),0),0)</f>
        <v>0</v>
      </c>
      <c r="BS899" s="19"/>
      <c r="BT899" s="19"/>
      <c r="BU899" s="100"/>
    </row>
    <row r="900" x14ac:dyDescent="0.25">
      <c r="P900" s="93"/>
      <c r="AR900" s="100"/>
      <c r="AS900" s="93"/>
      <c r="BU900" s="100"/>
    </row>
    <row r="901" x14ac:dyDescent="0.25">
      <c r="P901" s="93"/>
      <c r="Q901" s="110" t="str">
        <f>$Q$812</f>
        <v>A.15</v>
      </c>
      <c r="R901" t="str">
        <f>$Q$789</f>
        <v>L2</v>
      </c>
      <c r="S901">
        <f>$E$21</f>
        <v>10.6875</v>
      </c>
      <c r="T901" cm="1">
        <f t="array" ref="T901">IFERROR(IF(S901=0,0,(INDEX($C$33:$C$38,MATCH($W$812,$B$33:$B$38,0),0)*(S905+$X$812)+$T$812*COUNTIF(S901:S904,"&gt;0")*$C$32+$V$812*$C$31)*$R$812),0)</f>
        <v>0</v>
      </c>
      <c r="U901">
        <f>IF(S901=0,0,-(COUNTIF(S901:S904,"&gt;0")*$T$812*$C$32+$V$812*$C$31)*$H$27*$R$812)</f>
        <v>0</v>
      </c>
      <c r="V901">
        <f>IF(S901=0,0,$V$812*$H$26*$R$812)</f>
        <v>0</v>
      </c>
      <c r="W901">
        <f>(0.6*T901+0.7*U901)*$R$812/2</f>
        <v>0</v>
      </c>
      <c r="X901">
        <f>(0.6*T901+0.6*V901)*$R$812/2</f>
        <v>0</v>
      </c>
      <c r="Z901">
        <f>IF(S901=0,0,$AD$812*$AP$789)</f>
        <v>0</v>
      </c>
      <c r="AA901">
        <f>IFERROR(Z901/$R$812,0)</f>
        <v>0</v>
      </c>
      <c r="AB901">
        <f>Z901*($F$21+IF($F$21=0,0,($C$14+$C$15+IF($C$13="single",1.5,3)+3)/12))</f>
        <v>0</v>
      </c>
      <c r="AC901">
        <f>AB901-W901</f>
        <v>0</v>
      </c>
      <c r="AD901" cm="1">
        <f t="array" ref="AD901">IFERROR(IF(AC901&lt;0,0,AC901/($R$812-INDEX(hd_off,MATCH(AQ901,hd_mark,0),0)/12)),0)</f>
        <v>0</v>
      </c>
      <c r="AE901">
        <f>IF(S901=0,0,$AD$812*$AM$789)</f>
        <v>0</v>
      </c>
      <c r="AF901">
        <f>IFERROR(AE901/$R$812,0)</f>
        <v>0</v>
      </c>
      <c r="AG901">
        <f>AE901*($F$21+IF($F$21=0,0,($C$14+$C$15+IF($C$13="single",1.5,3)+3)/12))</f>
        <v>0</v>
      </c>
      <c r="AH901">
        <f>AG901-X901</f>
        <v>0</v>
      </c>
      <c r="AI901" cm="1">
        <f t="array" ref="AI901">IFERROR(IF(AH901&lt;0,0,AH901/($R$812-INDEX(hd_off,MATCH(AQ901,hd_mark,0),0)/12)),0)</f>
        <v>0</v>
      </c>
      <c r="AJ901">
        <f>MAX($F$21,$Y$812)/$Q$820</f>
        <v>0.30172413793103448</v>
      </c>
      <c r="AK901">
        <f>IF(AJ901=0,0,IF(AJ901&gt;2,1.25-0.125*AJ901,1))</f>
        <v>1</v>
      </c>
      <c r="AL901" cm="1">
        <f t="array" ref="AL901">IFERROR(INDEX(sheath_ecap_asd,MATCH(AP901,sheath_mark,0),0)*AK901,0)</f>
        <v>0</v>
      </c>
      <c r="AM901" cm="1">
        <f t="array" ref="AM901">IFERROR(INDEX(sheath_wcap_asd,MATCH(AP901,sheath_mark,0),0)*AK901,0)</f>
        <v>0</v>
      </c>
      <c r="AN901" cm="1">
        <f t="array" ref="AN901">IFERROR(INDEX(hd_cap,MATCH(AQ901,hd_mark,0),0),0)</f>
        <v>0</v>
      </c>
      <c r="AP901" s="19"/>
      <c r="AQ901" s="19"/>
      <c r="AR901" s="100"/>
      <c r="AS901" s="93"/>
      <c r="AT901" s="110" t="str">
        <f>$AT$812</f>
        <v>1.15</v>
      </c>
      <c r="AU901" t="str">
        <f>$Q$789</f>
        <v>L2</v>
      </c>
      <c r="AV901">
        <f>$E$21</f>
        <v>10.6875</v>
      </c>
      <c r="AW901" cm="1">
        <f t="array" ref="AW901">IFERROR(IF(AV901=0,0,(INDEX($C$33:$C$38,MATCH($AZ$812,$B$33:$B$38,0),0)*(AV905+$BA$812)+$AW$812*COUNTIF(AV901:AV904,"&gt;0")*$C$32+$AY$812*$C$31)*$AU$812),0)</f>
        <v>0</v>
      </c>
      <c r="AX901">
        <f>IF(AV901=0,0,-(COUNTIF(AV901:AV904,"&gt;0")*$AW$812*$C$32+$AY$812*$C$31)*$H$27*$AU$812)</f>
        <v>0</v>
      </c>
      <c r="AY901">
        <f>IF(AV901=0,0,$AY$812*$H$26*$AU$812)</f>
        <v>0</v>
      </c>
      <c r="AZ901">
        <f>(0.6*AW901+0.7*AX901)*$AU$812/2</f>
        <v>0</v>
      </c>
      <c r="BA901">
        <f>(0.6*AW901+0.6*AY901)*$AU$812/2</f>
        <v>0</v>
      </c>
      <c r="BC901">
        <f>IF(AV901=0,0,$BG$812*$AP$789)</f>
        <v>0</v>
      </c>
      <c r="BD901">
        <f>IFERROR(BC901/$AU$812,0)</f>
        <v>0</v>
      </c>
      <c r="BE901">
        <f>BC901*($F$21+IF($F$21=0,0,($C$14+$C$15+IF($C$13="single",1.5,3)+3)/12))</f>
        <v>0</v>
      </c>
      <c r="BF901">
        <f>BE901-AZ901</f>
        <v>0</v>
      </c>
      <c r="BG901" cm="1">
        <f t="array" ref="BG901">IFERROR(IF(BF901&lt;0,0,BF901/($AU$812-INDEX(hd_off,MATCH(BT901,hd_mark,0),0)/12)),0)</f>
        <v>0</v>
      </c>
      <c r="BH901">
        <f>IF(AV901=0,0,$BG$812*$AM$789)</f>
        <v>0</v>
      </c>
      <c r="BI901">
        <f>IFERROR(BH901/$AU$812,0)</f>
        <v>0</v>
      </c>
      <c r="BJ901">
        <f>BH901*($F$21+IF($F$21=0,0,($C$14+$C$15+IF($C$13="single",1.5,3)+3)/12))</f>
        <v>0</v>
      </c>
      <c r="BK901">
        <f>BJ901-BA901</f>
        <v>0</v>
      </c>
      <c r="BL901" cm="1">
        <f t="array" ref="BL901">IFERROR(IF(BK901&lt;0,0,BK901/($AU$812-INDEX(hd_off,MATCH(BT901,hd_mark,0),0)/12)),0)</f>
        <v>0</v>
      </c>
      <c r="BM901">
        <f>MAX($F$21,$BB$812)/$Q$820</f>
        <v>0.30172413793103448</v>
      </c>
      <c r="BN901">
        <f>IF(BM901=0,0,IF(BM901&gt;2,1.25-0.125*BM901,1))</f>
        <v>1</v>
      </c>
      <c r="BO901" cm="1">
        <f t="array" ref="BO901">IFERROR(INDEX(sheath_ecap_asd,MATCH(BS901,sheath_mark,0),0)*BN901,0)</f>
        <v>0</v>
      </c>
      <c r="BP901" cm="1">
        <f t="array" ref="BP901">IFERROR(INDEX(sheath_wcap_asd,MATCH(BS901,sheath_mark,0),0)*BN901,0)</f>
        <v>0</v>
      </c>
      <c r="BQ901" cm="1">
        <f t="array" ref="BQ901">IFERROR(INDEX(hd_cap,MATCH(BT901,hd_mark,0),0),0)</f>
        <v>0</v>
      </c>
      <c r="BS901" s="19"/>
      <c r="BT901" s="19"/>
      <c r="BU901" s="100"/>
    </row>
    <row r="902" x14ac:dyDescent="0.25">
      <c r="P902" s="93"/>
      <c r="Q902" s="109"/>
      <c r="R902" t="str">
        <f>$Q$790</f>
        <v>L3</v>
      </c>
      <c r="S902">
        <f>$E$22</f>
        <v>21.375</v>
      </c>
      <c r="T902" cm="1">
        <f t="array" ref="T902">IFERROR(IF(S902=0,0,(INDEX($C$33:$C$38,MATCH($W$812,$B$33:$B$38,0),0)*(S905+$X$812)+$T$812*COUNTIF(S902:S904,"&gt;0")*$C$32+$V$812*$C$31)*$R$812),0)</f>
        <v>0</v>
      </c>
      <c r="U902">
        <f>IF(S902=0,0,-(COUNTIF(S902:S904,"&gt;0")*$T$812*$C$32+$V$812*$C$31)*$H$27*$R$812)</f>
        <v>0</v>
      </c>
      <c r="V902">
        <f>IF(S902=0,0,$V$812*$H$26*$R$812)</f>
        <v>0</v>
      </c>
      <c r="W902">
        <f>(0.6*T902+0.7*U902)*$R$812/2</f>
        <v>0</v>
      </c>
      <c r="X902">
        <f>T902*$R$812/2</f>
        <v>0</v>
      </c>
      <c r="Z902">
        <f>IF(S902=0,0,$AD$812*$AP$790)</f>
        <v>0</v>
      </c>
      <c r="AA902">
        <f>IFERROR(Z902/$R$812,0)</f>
        <v>0</v>
      </c>
      <c r="AB902">
        <f>Z902*($F$22+IF($F$22=0,0,($C$14+$C$15+IF($C$13="single",1.5,3)+3)/12))</f>
        <v>0</v>
      </c>
      <c r="AC902">
        <f>AB902-W902</f>
        <v>0</v>
      </c>
      <c r="AD902" cm="1">
        <f t="array" ref="AD902">IFERROR(IF(AC902&lt;0,0,AC902/($R$812-INDEX(hd_off,MATCH(AQ902,hd_mark,0),0)/12)),0)</f>
        <v>0</v>
      </c>
      <c r="AE902">
        <f>IF(S902=0,0,$AD$812*$AM$790)</f>
        <v>0</v>
      </c>
      <c r="AF902">
        <f>IFERROR(AE902/$R$812,0)</f>
        <v>0</v>
      </c>
      <c r="AG902">
        <f>AE902*($F$22+IF($F$22=0,0,($C$14+$C$15+IF($C$13="single",1.5,3)+3)/12))</f>
        <v>0</v>
      </c>
      <c r="AH902">
        <f>AG902-X902</f>
        <v>0</v>
      </c>
      <c r="AI902" cm="1">
        <f t="array" ref="AI902">IFERROR(IF(AH902&lt;0,0,AH902/($R$812-INDEX(hd_off,MATCH(AQ902,hd_mark,0),0)/12)),0)</f>
        <v>0</v>
      </c>
      <c r="AJ902">
        <f>MAX($F$22,$Z$812)/$Q$820</f>
        <v>0.30172413793103448</v>
      </c>
      <c r="AK902">
        <f t="shared" ref="AK902:AK905" si="549">IF(AJ902=0,0,IF(AJ902&gt;2,1.25-0.125*AJ902,1))</f>
        <v>1</v>
      </c>
      <c r="AL902" cm="1">
        <f t="array" ref="AL902">IFERROR(INDEX(sheath_ecap_asd,MATCH(AP902,sheath_mark,0),0)*AK902,0)</f>
        <v>0</v>
      </c>
      <c r="AM902" cm="1">
        <f t="array" ref="AM902">IFERROR(INDEX(sheath_wcap_asd,MATCH(AP902,sheath_mark,0),0)*AK902,0)</f>
        <v>0</v>
      </c>
      <c r="AN902" cm="1">
        <f t="array" ref="AN902">IFERROR(INDEX(hd_cap,MATCH(AQ902,hd_mark,0),0),0)</f>
        <v>0</v>
      </c>
      <c r="AP902" s="19"/>
      <c r="AQ902" s="19"/>
      <c r="AR902" s="100"/>
      <c r="AS902" s="93"/>
      <c r="AT902" s="109"/>
      <c r="AU902" t="str">
        <f>$Q$790</f>
        <v>L3</v>
      </c>
      <c r="AV902">
        <f>$E$22</f>
        <v>21.375</v>
      </c>
      <c r="AW902" cm="1">
        <f t="array" ref="AW902">IFERROR(IF(AV902=0,0,(INDEX($C$33:$C$38,MATCH($AZ$812,$B$33:$B$38,0),0)*(AV905+$BA$812)+$AW$812*COUNTIF(AV902:AV904,"&gt;0")*$C$32+$AY$812*$C$31)*$AU$812),0)</f>
        <v>0</v>
      </c>
      <c r="AX902">
        <f>IF(AV902=0,0,-(COUNTIF(AV902:AV904,"&gt;0")*$AW$812*$C$32+$AY$812*$C$31)*$H$27*$AU$812)</f>
        <v>0</v>
      </c>
      <c r="AY902">
        <f>IF(AV902=0,0,$AY$812*$H$26*$AU$812)</f>
        <v>0</v>
      </c>
      <c r="AZ902">
        <f>(0.6*AW902+0.7*AX902)*$AU$812/2</f>
        <v>0</v>
      </c>
      <c r="BA902">
        <f>AW902*$AU$812/2</f>
        <v>0</v>
      </c>
      <c r="BC902">
        <f>IF(AV902=0,0,$BG$812*$AP$790)</f>
        <v>0</v>
      </c>
      <c r="BD902">
        <f>IFERROR(BC902/$AU$812,0)</f>
        <v>0</v>
      </c>
      <c r="BE902">
        <f>BC902*($F$22+IF($F$22=0,0,($C$14+$C$15+IF($C$13="single",1.5,3)+3)/12))</f>
        <v>0</v>
      </c>
      <c r="BF902">
        <f>BE902-AZ902</f>
        <v>0</v>
      </c>
      <c r="BG902" cm="1">
        <f t="array" ref="BG902">IFERROR(IF(BF902&lt;0,0,BF902/($AU$812-INDEX(hd_off,MATCH(BT902,hd_mark,0),0)/12)),0)</f>
        <v>0</v>
      </c>
      <c r="BH902">
        <f>IF(AV902=0,0,$BG$812*$AM$790)</f>
        <v>0</v>
      </c>
      <c r="BI902">
        <f>IFERROR(BH902/$AU$812,0)</f>
        <v>0</v>
      </c>
      <c r="BJ902">
        <f>BH902*($F$22+IF($F$22=0,0,($C$14+$C$15+IF($C$13="single",1.5,3)+3)/12))</f>
        <v>0</v>
      </c>
      <c r="BK902">
        <f>BJ902-BA902</f>
        <v>0</v>
      </c>
      <c r="BL902" cm="1">
        <f t="array" ref="BL902">IFERROR(IF(BK902&lt;0,0,BK902/($AU$812-INDEX(hd_off,MATCH(BT902,hd_mark,0),0)/12)),0)</f>
        <v>0</v>
      </c>
      <c r="BM902">
        <f>MAX($F$22,$BC$812)/$Q$820</f>
        <v>0.30172413793103448</v>
      </c>
      <c r="BN902">
        <f t="shared" ref="BN902:BN905" si="550">IF(BM902=0,0,IF(BM902&gt;2,1.25-0.125*BM902,1))</f>
        <v>1</v>
      </c>
      <c r="BO902" cm="1">
        <f t="array" ref="BO902">IFERROR(INDEX(sheath_ecap_asd,MATCH(BS902,sheath_mark,0),0)*BN902,0)</f>
        <v>0</v>
      </c>
      <c r="BP902" cm="1">
        <f t="array" ref="BP902">IFERROR(INDEX(sheath_wcap_asd,MATCH(BS902,sheath_mark,0),0)*BN902,0)</f>
        <v>0</v>
      </c>
      <c r="BQ902" cm="1">
        <f t="array" ref="BQ902">IFERROR(INDEX(hd_cap,MATCH(BT902,hd_mark,0),0),0)</f>
        <v>0</v>
      </c>
      <c r="BS902" s="19"/>
      <c r="BT902" s="19"/>
      <c r="BU902" s="100"/>
    </row>
    <row r="903" x14ac:dyDescent="0.25">
      <c r="P903" s="93"/>
      <c r="Q903" s="109" t="s">
        <v>491</v>
      </c>
      <c r="R903" t="str">
        <f>$Q$791</f>
        <v>L4</v>
      </c>
      <c r="S903">
        <f>$E$23</f>
        <v>0</v>
      </c>
      <c r="T903" cm="1">
        <f t="array" ref="T903">IFERROR(IF(S903=0,0,(INDEX($C$33:$C$38,MATCH($W$812,$B$33:$B$38,0),0)*(S905+$X$812)+$T$812*COUNTIF(S903:S904,"&gt;0")*$C$32+$V$812*$C$31)*$R$812),0)</f>
        <v>0</v>
      </c>
      <c r="U903">
        <f>IF(S903=0,0,-(COUNTIF(S903:S904,"&gt;0")*$T$812*$C$32+$V$812*$C$31)*$H$27*$R$812)</f>
        <v>0</v>
      </c>
      <c r="V903">
        <f>IF(S903=0,0,$V$812*$H$26*$R$812)</f>
        <v>0</v>
      </c>
      <c r="W903">
        <f>(0.6*T903+0.7*U903)*$R$812/2</f>
        <v>0</v>
      </c>
      <c r="X903">
        <f>T903*$R$812/2</f>
        <v>0</v>
      </c>
      <c r="Z903">
        <f>IF(S903=0,0,$AD$812*$AP$791)</f>
        <v>0</v>
      </c>
      <c r="AA903">
        <f>IFERROR(Z903/$R$812,0)</f>
        <v>0</v>
      </c>
      <c r="AB903">
        <f>Z903*($F$23+IF($F$23=0,0,($C$14+$C$15+IF($C$13="single",1.5,3)+3)/12))</f>
        <v>0</v>
      </c>
      <c r="AC903">
        <f>AB903-W903</f>
        <v>0</v>
      </c>
      <c r="AD903" cm="1">
        <f t="array" ref="AD903">IFERROR(IF(AC903&lt;0,0,AC903/($R$812-INDEX(hd_off,MATCH(AQ903,hd_mark,0),0)/12)),0)</f>
        <v>0</v>
      </c>
      <c r="AE903">
        <f>IF(S903=0,0,$AD$812*$AM$791)</f>
        <v>0</v>
      </c>
      <c r="AF903">
        <f>IFERROR(AE903/$R$812,0)</f>
        <v>0</v>
      </c>
      <c r="AG903">
        <f>AE903*($F$23+IF($F$23=0,0,($C$14+$C$15+IF($C$13="single",1.5,3)+3)/12))</f>
        <v>0</v>
      </c>
      <c r="AH903">
        <f>AG903-X903</f>
        <v>0</v>
      </c>
      <c r="AI903" cm="1">
        <f t="array" ref="AI903">IFERROR(IF(AH903&lt;0,0,AH903/($R$812-INDEX(hd_off,MATCH(AQ903,hd_mark,0),0)/12)),0)</f>
        <v>0</v>
      </c>
      <c r="AJ903">
        <f>MAX($F$23,$AA$812)/$Q$820</f>
        <v>0</v>
      </c>
      <c r="AK903">
        <f t="shared" si="549"/>
        <v>0</v>
      </c>
      <c r="AL903" cm="1">
        <f t="array" ref="AL903">IFERROR(INDEX(sheath_ecap_asd,MATCH(AP903,sheath_mark,0),0)*AK903,0)</f>
        <v>0</v>
      </c>
      <c r="AM903" cm="1">
        <f t="array" ref="AM903">IFERROR(INDEX(sheath_wcap_asd,MATCH(AP903,sheath_mark,0),0)*AK903,0)</f>
        <v>0</v>
      </c>
      <c r="AN903" cm="1">
        <f t="array" ref="AN903">IFERROR(INDEX(hd_cap,MATCH(AQ903,hd_mark,0),0),0)</f>
        <v>0</v>
      </c>
      <c r="AP903" s="19"/>
      <c r="AQ903" s="19"/>
      <c r="AR903" s="100"/>
      <c r="AS903" s="93"/>
      <c r="AT903" s="109" t="s">
        <v>491</v>
      </c>
      <c r="AU903" t="str">
        <f>$Q$791</f>
        <v>L4</v>
      </c>
      <c r="AV903">
        <f>$E$23</f>
        <v>0</v>
      </c>
      <c r="AW903" cm="1">
        <f t="array" ref="AW903">IFERROR(IF(AV903=0,0,(INDEX($C$33:$C$38,MATCH($AZ$812,$B$33:$B$38,0),0)*(AV905+$BA$812)+$AW$812*COUNTIF(AV903:AV904,"&gt;0")*$C$32+$AY$812*$C$31)*$AU$812),0)</f>
        <v>0</v>
      </c>
      <c r="AX903">
        <f>IF(AV903=0,0,-(COUNTIF(AV903:AV904,"&gt;0")*$AW$812*$C$32+$AY$812*$C$31)*$H$27*$AU$812)</f>
        <v>0</v>
      </c>
      <c r="AY903">
        <f>IF(AV903=0,0,$AY$812*$H$26*$AU$812)</f>
        <v>0</v>
      </c>
      <c r="AZ903">
        <f>(0.6*AW903+0.7*AX903)*$AU$812/2</f>
        <v>0</v>
      </c>
      <c r="BA903">
        <f>AW903*$AU$812/2</f>
        <v>0</v>
      </c>
      <c r="BC903">
        <f>IF(AV903=0,0,$BG$812*$AP$791)</f>
        <v>0</v>
      </c>
      <c r="BD903">
        <f>IFERROR(BC903/$AU$812,0)</f>
        <v>0</v>
      </c>
      <c r="BE903">
        <f>BC903*($F$23+IF($F$23=0,0,($C$14+$C$15+IF($C$13="single",1.5,3)+3)/12))</f>
        <v>0</v>
      </c>
      <c r="BF903">
        <f>BE903-AZ903</f>
        <v>0</v>
      </c>
      <c r="BG903" cm="1">
        <f t="array" ref="BG903">IFERROR(IF(BF903&lt;0,0,BF903/($AU$812-INDEX(hd_off,MATCH(BT903,hd_mark,0),0)/12)),0)</f>
        <v>0</v>
      </c>
      <c r="BH903">
        <f>IF(AV903=0,0,$BG$812*$AM$791)</f>
        <v>0</v>
      </c>
      <c r="BI903">
        <f>IFERROR(BH903/$AU$812,0)</f>
        <v>0</v>
      </c>
      <c r="BJ903">
        <f>BH903*($F$23+IF($F$23=0,0,($C$14+$C$15+IF($C$13="single",1.5,3)+3)/12))</f>
        <v>0</v>
      </c>
      <c r="BK903">
        <f>BJ903-BA903</f>
        <v>0</v>
      </c>
      <c r="BL903" cm="1">
        <f t="array" ref="BL903">IFERROR(IF(BK903&lt;0,0,BK903/($AU$812-INDEX(hd_off,MATCH(BT903,hd_mark,0),0)/12)),0)</f>
        <v>0</v>
      </c>
      <c r="BM903">
        <f>MAX($F$23,$BD$812)/$Q$820</f>
        <v>0</v>
      </c>
      <c r="BN903">
        <f t="shared" si="550"/>
        <v>0</v>
      </c>
      <c r="BO903" cm="1">
        <f t="array" ref="BO903">IFERROR(INDEX(sheath_ecap_asd,MATCH(BS903,sheath_mark,0),0)*BN903,0)</f>
        <v>0</v>
      </c>
      <c r="BP903" cm="1">
        <f t="array" ref="BP903">IFERROR(INDEX(sheath_wcap_asd,MATCH(BS903,sheath_mark,0),0)*BN903,0)</f>
        <v>0</v>
      </c>
      <c r="BQ903" cm="1">
        <f t="array" ref="BQ903">IFERROR(INDEX(hd_cap,MATCH(BT903,hd_mark,0),0),0)</f>
        <v>0</v>
      </c>
      <c r="BS903" s="19"/>
      <c r="BT903" s="19"/>
      <c r="BU903" s="100"/>
    </row>
    <row r="904" x14ac:dyDescent="0.25">
      <c r="P904" s="93"/>
      <c r="Q904" s="111">
        <f>$R$812</f>
        <v>0</v>
      </c>
      <c r="R904" t="str">
        <f>$Q$792</f>
        <v>L5</v>
      </c>
      <c r="S904">
        <f>$E$24</f>
        <v>0</v>
      </c>
      <c r="T904" cm="1">
        <f t="array" ref="T904">IFERROR(IF(S904=0,0,(INDEX($C$33:$C$38,MATCH($W$812,$B$33:$B$38,0),0)*(S905+$X$812)+$T$812*COUNTIF(S904:S904,"&gt;0")*$C$32+$V$812*$C$31)*$R$812),0)</f>
        <v>0</v>
      </c>
      <c r="U904">
        <f>IF(S904=0,0,-(COUNTIF(S904:S904,"&gt;0")*$T$812*$C$32+$V$812*$C$31)*$H$27*$R$812)</f>
        <v>0</v>
      </c>
      <c r="V904">
        <f>IF(S904=0,0,$V$812*$H$26*$R$812)</f>
        <v>0</v>
      </c>
      <c r="W904">
        <f>(0.6*T904+0.7*U904)*$R$812/2</f>
        <v>0</v>
      </c>
      <c r="X904">
        <f>T904*$R$812/2</f>
        <v>0</v>
      </c>
      <c r="Z904">
        <f>IF(S904=0,0,$AD$812*$AP$792)</f>
        <v>0</v>
      </c>
      <c r="AA904">
        <f>IFERROR(Z904/$R$812,0)</f>
        <v>0</v>
      </c>
      <c r="AB904">
        <f>Z904*($F$24+IF($F$24=0,0,($C$14+$C$15+IF($C$13="single",1.5,3)+3)/12))</f>
        <v>0</v>
      </c>
      <c r="AC904">
        <f>AB904-W904</f>
        <v>0</v>
      </c>
      <c r="AD904" cm="1">
        <f t="array" ref="AD904">IFERROR(IF(AC904&lt;0,0,AC904/($R$812-INDEX(hd_off,MATCH(AQ904,hd_mark,0),0)/12)),0)</f>
        <v>0</v>
      </c>
      <c r="AE904">
        <f>IF(S904=0,0,$AD$812*$AM$792)</f>
        <v>0</v>
      </c>
      <c r="AF904">
        <f>IFERROR(AE904/$R$812,0)</f>
        <v>0</v>
      </c>
      <c r="AG904">
        <f>AE904*($F$24+IF($F$24=0,0,($C$14+$C$15+IF($C$13="single",1.5,3)+3)/12))</f>
        <v>0</v>
      </c>
      <c r="AH904">
        <f>AG904-X904</f>
        <v>0</v>
      </c>
      <c r="AI904" cm="1">
        <f t="array" ref="AI904">IFERROR(IF(AH904&lt;0,0,AH904/($R$812-INDEX(hd_off,MATCH(AQ904,hd_mark,0),0)/12)),0)</f>
        <v>0</v>
      </c>
      <c r="AJ904">
        <f>MAX($F$24,$AB$812)/$Q$820</f>
        <v>0</v>
      </c>
      <c r="AK904">
        <f t="shared" si="549"/>
        <v>0</v>
      </c>
      <c r="AL904" cm="1">
        <f t="array" ref="AL904">IFERROR(INDEX(sheath_ecap_asd,MATCH(AP904,sheath_mark,0),0)*AK904,0)</f>
        <v>0</v>
      </c>
      <c r="AM904" cm="1">
        <f t="array" ref="AM904">IFERROR(INDEX(sheath_wcap_asd,MATCH(AP904,sheath_mark,0),0)*AK904,0)</f>
        <v>0</v>
      </c>
      <c r="AN904" cm="1">
        <f t="array" ref="AN904">IFERROR(INDEX(hd_cap,MATCH(AQ904,hd_mark,0),0),0)</f>
        <v>0</v>
      </c>
      <c r="AP904" s="19"/>
      <c r="AQ904" s="19"/>
      <c r="AR904" s="100"/>
      <c r="AS904" s="93"/>
      <c r="AT904" s="111">
        <f>$R$812</f>
        <v>0</v>
      </c>
      <c r="AU904" t="str">
        <f>$Q$792</f>
        <v>L5</v>
      </c>
      <c r="AV904">
        <f>$E$24</f>
        <v>0</v>
      </c>
      <c r="AW904" cm="1">
        <f t="array" ref="AW904">IFERROR(IF(AV904=0,0,(INDEX($C$33:$C$38,MATCH($AZ$812,$B$33:$B$38,0),0)*(AV905+$BA$812)+$AW$812*COUNTIF(AV904:AV904,"&gt;0")*$C$32+$AY$812*$C$31)*$AU$812),0)</f>
        <v>0</v>
      </c>
      <c r="AX904">
        <f>IF(AV904=0,0,-(COUNTIF(AV904:AV904,"&gt;0")*$AW$812*$C$32+$AY$812*$C$31)*$H$27*$AU$812)</f>
        <v>0</v>
      </c>
      <c r="AY904">
        <f>IF(AV904=0,0,$AY$812*$H$26*$AU$812)</f>
        <v>0</v>
      </c>
      <c r="AZ904">
        <f>(0.6*AW904+0.7*AX904)*$AU$812/2</f>
        <v>0</v>
      </c>
      <c r="BA904">
        <f>AW904*$AU$812/2</f>
        <v>0</v>
      </c>
      <c r="BC904">
        <f>IF(AV904=0,0,$BG$812*$AP$792)</f>
        <v>0</v>
      </c>
      <c r="BD904">
        <f>IFERROR(BC904/$AU$812,0)</f>
        <v>0</v>
      </c>
      <c r="BE904">
        <f>BC904*($F$24+IF($F$24=0,0,($C$14+$C$15+IF($C$13="single",1.5,3)+3)/12))</f>
        <v>0</v>
      </c>
      <c r="BF904">
        <f>BE904-AZ904</f>
        <v>0</v>
      </c>
      <c r="BG904" cm="1">
        <f t="array" ref="BG904">IFERROR(IF(BF904&lt;0,0,BF904/($AU$812-INDEX(hd_off,MATCH(BT904,hd_mark,0),0)/12)),0)</f>
        <v>0</v>
      </c>
      <c r="BH904">
        <f>IF(AV904=0,0,$BG$812*$AM$792)</f>
        <v>0</v>
      </c>
      <c r="BI904">
        <f>IFERROR(BH904/$AU$812,0)</f>
        <v>0</v>
      </c>
      <c r="BJ904">
        <f>BH904*($F$24+IF($F$24=0,0,($C$14+$C$15+IF($C$13="single",1.5,3)+3)/12))</f>
        <v>0</v>
      </c>
      <c r="BK904">
        <f>BJ904-BA904</f>
        <v>0</v>
      </c>
      <c r="BL904" cm="1">
        <f t="array" ref="BL904">IFERROR(IF(BK904&lt;0,0,BK904/($AU$812-INDEX(hd_off,MATCH(BT904,hd_mark,0),0)/12)),0)</f>
        <v>0</v>
      </c>
      <c r="BM904">
        <f>MAX($F$24,$BE$812)/$Q$820</f>
        <v>0</v>
      </c>
      <c r="BN904">
        <f t="shared" si="550"/>
        <v>0</v>
      </c>
      <c r="BO904" cm="1">
        <f t="array" ref="BO904">IFERROR(INDEX(sheath_ecap_asd,MATCH(BS904,sheath_mark,0),0)*BN904,0)</f>
        <v>0</v>
      </c>
      <c r="BP904" cm="1">
        <f t="array" ref="BP904">IFERROR(INDEX(sheath_wcap_asd,MATCH(BS904,sheath_mark,0),0)*BN904,0)</f>
        <v>0</v>
      </c>
      <c r="BQ904" cm="1">
        <f t="array" ref="BQ904">IFERROR(INDEX(hd_cap,MATCH(BT904,hd_mark,0),0),0)</f>
        <v>0</v>
      </c>
      <c r="BS904" s="19"/>
      <c r="BT904" s="19"/>
      <c r="BU904" s="100"/>
    </row>
    <row r="905" x14ac:dyDescent="0.25">
      <c r="P905" s="93"/>
      <c r="Q905" s="109"/>
      <c r="R905" t="str">
        <f>$Q$793</f>
        <v>Roof</v>
      </c>
      <c r="S905">
        <f>$E$25</f>
        <v>33.171875</v>
      </c>
      <c r="T905" cm="1">
        <f t="array" ref="T905">IFERROR(IF(S905=0,0,(INDEX($C$33:$C$38,MATCH($W$812,$B$33:$B$38,0),0)*(S905+$X$812)+$V$812*$C$31)*$R$812),0)</f>
        <v>0</v>
      </c>
      <c r="U905">
        <f>IF(S905=0,0,-$V$812*$C$31*$H$27*$R$812)</f>
        <v>0</v>
      </c>
      <c r="V905">
        <f>IF(S905=0,0,$V$812*$H$26*$R$812)</f>
        <v>0</v>
      </c>
      <c r="W905">
        <f>(0.6*T905+0.7*U905)*$R$812/2</f>
        <v>0</v>
      </c>
      <c r="X905">
        <f>T905*$R$812/2</f>
        <v>0</v>
      </c>
      <c r="Z905">
        <f>IF(S905=0,0,$AD$812*$AP$793)</f>
        <v>0</v>
      </c>
      <c r="AA905">
        <f>IFERROR(Z905/$R$812,0)</f>
        <v>0</v>
      </c>
      <c r="AB905">
        <f>Z905*($F$25+($C$16+$C$17+IF($C$13="single",1.5,3)+3)/12)</f>
        <v>0</v>
      </c>
      <c r="AC905">
        <f>AB905-W905</f>
        <v>0</v>
      </c>
      <c r="AD905" cm="1">
        <f t="array" ref="AD905">IFERROR(IF(AC905&lt;0,0,AC905/($R$812-INDEX(hd_off,MATCH(AQ905,hd_mark,0),0)/12)),0)</f>
        <v>0</v>
      </c>
      <c r="AE905">
        <f>IF(S905=0,0,$AD$812*$AM$793)</f>
        <v>0</v>
      </c>
      <c r="AF905">
        <f>IFERROR(AE905/$R$812,0)</f>
        <v>0</v>
      </c>
      <c r="AG905">
        <f>AE905*($F$25+($C$16+$C$17+IF($C$13="single",1.5,3)+3)/12)</f>
        <v>0</v>
      </c>
      <c r="AH905">
        <f>AG905-X905</f>
        <v>0</v>
      </c>
      <c r="AI905" cm="1">
        <f t="array" ref="AI905">IFERROR(IF(AH905&lt;0,0,AH905/($R$812-INDEX(hd_off,MATCH(AQ905,hd_mark,0),0)/12)),0)</f>
        <v>0</v>
      </c>
      <c r="AJ905">
        <f>MAX($F$25,$AC$812)/$Q$820</f>
        <v>0.29920977011494249</v>
      </c>
      <c r="AK905">
        <f t="shared" si="549"/>
        <v>1</v>
      </c>
      <c r="AL905" cm="1">
        <f t="array" ref="AL905">IFERROR(INDEX(sheath_ecap_asd,MATCH(AP905,sheath_mark,0),0)*AK905,0)</f>
        <v>0</v>
      </c>
      <c r="AM905" cm="1">
        <f t="array" ref="AM905">IFERROR(INDEX(sheath_wcap_asd,MATCH(AP905,sheath_mark,0),0)*AK905,0)</f>
        <v>0</v>
      </c>
      <c r="AN905" cm="1">
        <f t="array" ref="AN905">IFERROR(INDEX(hd_cap,MATCH(AQ905,hd_mark,0),0),0)</f>
        <v>0</v>
      </c>
      <c r="AP905" s="19"/>
      <c r="AQ905" s="19"/>
      <c r="AR905" s="100"/>
      <c r="AS905" s="93"/>
      <c r="AT905" s="109"/>
      <c r="AU905" t="str">
        <f>$Q$793</f>
        <v>Roof</v>
      </c>
      <c r="AV905">
        <f>$E$25</f>
        <v>33.171875</v>
      </c>
      <c r="AW905" cm="1">
        <f t="array" ref="AW905">IFERROR(IF(AV905=0,0,(INDEX($C$33:$C$38,MATCH($AZ$812,$B$33:$B$38,0),0)*(AV905+$BA$812)+$AY$812*$C$31)*$AU$812),0)</f>
        <v>0</v>
      </c>
      <c r="AX905">
        <f>IF(AV905=0,0,-$AY$812*$C$31*$H$27*$AU$812)</f>
        <v>0</v>
      </c>
      <c r="AY905">
        <f>IF(AV905=0,0,$AY$812*$H$26*$AU$812)</f>
        <v>0</v>
      </c>
      <c r="AZ905">
        <f>(0.6*AW905+0.7*AX905)*$AU$812/2</f>
        <v>0</v>
      </c>
      <c r="BA905">
        <f>AW905*$AU$812/2</f>
        <v>0</v>
      </c>
      <c r="BC905">
        <f>IF(AV905=0,0,$BG$812*$AP$793)</f>
        <v>0</v>
      </c>
      <c r="BD905">
        <f>IFERROR(BC905/$AU$812,0)</f>
        <v>0</v>
      </c>
      <c r="BE905">
        <f>BC905*($F$25+($C$16+$C$17+IF($C$13="single",1.5,3)+3)/12)</f>
        <v>0</v>
      </c>
      <c r="BF905">
        <f>BE905-AZ905</f>
        <v>0</v>
      </c>
      <c r="BG905" cm="1">
        <f t="array" ref="BG905">IFERROR(IF(BF905&lt;0,0,BF905/($AU$812-INDEX(hd_off,MATCH(BT905,hd_mark,0),0)/12)),0)</f>
        <v>0</v>
      </c>
      <c r="BH905">
        <f>IF(AV905=0,0,$BG$812*$AM$793)</f>
        <v>0</v>
      </c>
      <c r="BI905">
        <f>IFERROR(BH905/$AU$812,0)</f>
        <v>0</v>
      </c>
      <c r="BJ905">
        <f>BH905*($F$25+($C$16+$C$17+IF($C$13="single",1.5,3)+3)/12)</f>
        <v>0</v>
      </c>
      <c r="BK905">
        <f>BJ905-BA905</f>
        <v>0</v>
      </c>
      <c r="BL905" cm="1">
        <f t="array" ref="BL905">IFERROR(IF(BK905&lt;0,0,BK905/($AU$812-INDEX(hd_off,MATCH(BT905,hd_mark,0),0)/12)),0)</f>
        <v>0</v>
      </c>
      <c r="BM905">
        <f>MAX($F$25,$BF$812)/$Q$820</f>
        <v>0.29920977011494249</v>
      </c>
      <c r="BN905">
        <f t="shared" si="550"/>
        <v>1</v>
      </c>
      <c r="BO905" cm="1">
        <f t="array" ref="BO905">IFERROR(INDEX(sheath_ecap_asd,MATCH(BS905,sheath_mark,0),0)*BN905,0)</f>
        <v>0</v>
      </c>
      <c r="BP905" cm="1">
        <f t="array" ref="BP905">IFERROR(INDEX(sheath_wcap_asd,MATCH(BS905,sheath_mark,0),0)*BN905,0)</f>
        <v>0</v>
      </c>
      <c r="BQ905" cm="1">
        <f t="array" ref="BQ905">IFERROR(INDEX(hd_cap,MATCH(BT905,hd_mark,0),0),0)</f>
        <v>0</v>
      </c>
      <c r="BS905" s="19"/>
      <c r="BT905" s="19"/>
      <c r="BU905" s="100"/>
    </row>
    <row r="906" x14ac:dyDescent="0.25">
      <c r="P906" s="93"/>
      <c r="AR906" s="100"/>
      <c r="AS906" s="93"/>
      <c r="BU906" s="100"/>
    </row>
    <row r="907" x14ac:dyDescent="0.25">
      <c r="P907" s="93"/>
      <c r="Q907" s="110" t="str">
        <f>$Q$813</f>
        <v>A.16</v>
      </c>
      <c r="R907" t="str">
        <f>$Q$789</f>
        <v>L2</v>
      </c>
      <c r="S907">
        <f>$E$21</f>
        <v>10.6875</v>
      </c>
      <c r="T907" cm="1">
        <f t="array" ref="T907">IFERROR(IF(S907=0,0,(INDEX($C$33:$C$38,MATCH($W$813,$B$33:$B$38,0),0)*(S911+$X$813)+$T$813*COUNTIF(S907:S910,"&gt;0")*$C$32+$V$813*$C$31)*$R$813),0)</f>
        <v>0</v>
      </c>
      <c r="U907">
        <f>IF(S907=0,0,-(COUNTIF(S907:S910,"&gt;0")*$T$813*$C$32+$V$813*$C$31)*$H$27*$R$813)</f>
        <v>0</v>
      </c>
      <c r="V907">
        <f>IF(S907=0,0,$V$813*$H$26*$R$813)</f>
        <v>0</v>
      </c>
      <c r="W907">
        <f>(0.6*T907+0.7*U907)*$R$813/2</f>
        <v>0</v>
      </c>
      <c r="X907">
        <f>(0.6*T907+0.6*V907)*$R$813/2</f>
        <v>0</v>
      </c>
      <c r="Z907">
        <f>IF(S907=0,0,$AD$813*$AP$789)</f>
        <v>0</v>
      </c>
      <c r="AA907">
        <f>IFERROR(Z907/$R$813,0)</f>
        <v>0</v>
      </c>
      <c r="AB907">
        <f>Z907*($F$21+IF($F$21=0,0,($C$14+$C$15+IF($C$13="single",1.5,3)+3)/12))</f>
        <v>0</v>
      </c>
      <c r="AC907">
        <f>AB907-W907</f>
        <v>0</v>
      </c>
      <c r="AD907" cm="1">
        <f t="array" ref="AD907">IFERROR(IF(AC907&lt;0,0,AC907/($R$813-INDEX(hd_off,MATCH(AQ907,hd_mark,0),0)/12)),0)</f>
        <v>0</v>
      </c>
      <c r="AE907">
        <f>IF(S907=0,0,$AD$813*$AM$789)</f>
        <v>0</v>
      </c>
      <c r="AF907">
        <f>IFERROR(AE907/$R$813,0)</f>
        <v>0</v>
      </c>
      <c r="AG907">
        <f>AE907*($F$21+IF($F$21=0,0,($C$14+$C$15+IF($C$13="single",1.5,3)+3)/12))</f>
        <v>0</v>
      </c>
      <c r="AH907">
        <f>AG907-X907</f>
        <v>0</v>
      </c>
      <c r="AI907" cm="1">
        <f t="array" ref="AI907">IFERROR(IF(AH907&lt;0,0,AH907/($R$813-INDEX(hd_off,MATCH(AQ907,hd_mark,0),0)/12)),0)</f>
        <v>0</v>
      </c>
      <c r="AJ907">
        <f>MAX($F$21,$Y$813)/$Q$820</f>
        <v>0.30172413793103448</v>
      </c>
      <c r="AK907">
        <f>IF(AJ907=0,0,IF(AJ907&gt;2,1.25-0.125*AJ907,1))</f>
        <v>1</v>
      </c>
      <c r="AL907" cm="1">
        <f t="array" ref="AL907">IFERROR(INDEX(sheath_ecap_asd,MATCH(AP907,sheath_mark,0),0)*AK907,0)</f>
        <v>0</v>
      </c>
      <c r="AM907" cm="1">
        <f t="array" ref="AM907">IFERROR(INDEX(sheath_wcap_asd,MATCH(AP907,sheath_mark,0),0)*AK907,0)</f>
        <v>0</v>
      </c>
      <c r="AN907" cm="1">
        <f t="array" ref="AN907">IFERROR(INDEX(hd_cap,MATCH(AQ907,hd_mark,0),0),0)</f>
        <v>0</v>
      </c>
      <c r="AP907" s="19"/>
      <c r="AQ907" s="19"/>
      <c r="AR907" s="100"/>
      <c r="AS907" s="93"/>
      <c r="AT907" s="110" t="str">
        <f>$AT$813</f>
        <v>1.16</v>
      </c>
      <c r="AU907" t="str">
        <f>$Q$789</f>
        <v>L2</v>
      </c>
      <c r="AV907">
        <f>$E$21</f>
        <v>10.6875</v>
      </c>
      <c r="AW907" cm="1">
        <f t="array" ref="AW907">IFERROR(IF(AV907=0,0,(INDEX($C$33:$C$38,MATCH($AZ$813,$B$33:$B$38,0),0)*(AV911+$BA$813)+$AW$813*COUNTIF(AV907:AV910,"&gt;0")*$C$32+$AY$813*$C$31)*$AU$813),0)</f>
        <v>0</v>
      </c>
      <c r="AX907">
        <f>IF(AV907=0,0,-(COUNTIF(AV907:AV910,"&gt;0")*$AW$813*$C$32+$AY$813*$C$31)*$H$27*$AU$813)</f>
        <v>0</v>
      </c>
      <c r="AY907">
        <f>IF(AV907=0,0,$AY$813*$H$26*$AU$813)</f>
        <v>0</v>
      </c>
      <c r="AZ907">
        <f>(0.6*AW907+0.7*AX907)*$AU$813/2</f>
        <v>0</v>
      </c>
      <c r="BA907">
        <f>(0.6*AW907+0.6*AY907)*$AU$813/2</f>
        <v>0</v>
      </c>
      <c r="BC907">
        <f>IF(AV907=0,0,$BG$813*$AP$789)</f>
        <v>0</v>
      </c>
      <c r="BD907">
        <f>IFERROR(BC907/$AU$813,0)</f>
        <v>0</v>
      </c>
      <c r="BE907">
        <f>BC907*($F$21+IF($F$21=0,0,($C$14+$C$15+IF($C$13="single",1.5,3)+3)/12))</f>
        <v>0</v>
      </c>
      <c r="BF907">
        <f>BE907-AZ907</f>
        <v>0</v>
      </c>
      <c r="BG907" cm="1">
        <f t="array" ref="BG907">IFERROR(IF(BF907&lt;0,0,BF907/($AU$813-INDEX(hd_off,MATCH(BT907,hd_mark,0),0)/12)),0)</f>
        <v>0</v>
      </c>
      <c r="BH907">
        <f>IF(AV907=0,0,$BG$813*$AM$789)</f>
        <v>0</v>
      </c>
      <c r="BI907">
        <f>IFERROR(BH907/$AU$813,0)</f>
        <v>0</v>
      </c>
      <c r="BJ907">
        <f>BH907*($F$21+IF($F$21=0,0,($C$14+$C$15+IF($C$13="single",1.5,3)+3)/12))</f>
        <v>0</v>
      </c>
      <c r="BK907">
        <f>BJ907-BA907</f>
        <v>0</v>
      </c>
      <c r="BL907" cm="1">
        <f t="array" ref="BL907">IFERROR(IF(BK907&lt;0,0,BK907/($AU$813-INDEX(hd_off,MATCH(BT907,hd_mark,0),0)/12)),0)</f>
        <v>0</v>
      </c>
      <c r="BM907">
        <f>MAX($F$21,$BB$813)/$Q$820</f>
        <v>0.30172413793103448</v>
      </c>
      <c r="BN907">
        <f>IF(BM907=0,0,IF(BM907&gt;2,1.25-0.125*BM907,1))</f>
        <v>1</v>
      </c>
      <c r="BO907" cm="1">
        <f t="array" ref="BO907">IFERROR(INDEX(sheath_ecap_asd,MATCH(BS907,sheath_mark,0),0)*BN907,0)</f>
        <v>0</v>
      </c>
      <c r="BP907" cm="1">
        <f t="array" ref="BP907">IFERROR(INDEX(sheath_wcap_asd,MATCH(BS907,sheath_mark,0),0)*BN907,0)</f>
        <v>0</v>
      </c>
      <c r="BQ907" cm="1">
        <f t="array" ref="BQ907">IFERROR(INDEX(hd_cap,MATCH(BT907,hd_mark,0),0),0)</f>
        <v>0</v>
      </c>
      <c r="BS907" s="19"/>
      <c r="BT907" s="19"/>
      <c r="BU907" s="100"/>
    </row>
    <row r="908" x14ac:dyDescent="0.25">
      <c r="P908" s="93"/>
      <c r="Q908" s="109"/>
      <c r="R908" t="str">
        <f>$Q$790</f>
        <v>L3</v>
      </c>
      <c r="S908">
        <f>$E$22</f>
        <v>21.375</v>
      </c>
      <c r="T908" cm="1">
        <f t="array" ref="T908">IFERROR(IF(S908=0,0,(INDEX($C$33:$C$38,MATCH($W$813,$B$33:$B$38,0),0)*(S911+$X$813)+$T$813*COUNTIF(S908:S910,"&gt;0")*$C$32+$V$813*$C$31)*$R$813),0)</f>
        <v>0</v>
      </c>
      <c r="U908">
        <f>IF(S908=0,0,-(COUNTIF(S908:S910,"&gt;0")*$T$813*$C$32+$V$813*$C$31)*$H$27*$R$813)</f>
        <v>0</v>
      </c>
      <c r="V908">
        <f>IF(S908=0,0,$V$813*$H$26*$R$813)</f>
        <v>0</v>
      </c>
      <c r="W908">
        <f>(0.6*T908+0.7*U908)*$R$813/2</f>
        <v>0</v>
      </c>
      <c r="X908">
        <f>T908*$R$813/2</f>
        <v>0</v>
      </c>
      <c r="Z908">
        <f>IF(S908=0,0,$AD$813*$AP$790)</f>
        <v>0</v>
      </c>
      <c r="AA908">
        <f>IFERROR(Z908/$R$813,0)</f>
        <v>0</v>
      </c>
      <c r="AB908">
        <f>Z908*($F$22+IF($F$22=0,0,($C$14+$C$15+IF($C$13="single",1.5,3)+3)/12))</f>
        <v>0</v>
      </c>
      <c r="AC908">
        <f>AB908-W908</f>
        <v>0</v>
      </c>
      <c r="AD908" cm="1">
        <f t="array" ref="AD908">IFERROR(IF(AC908&lt;0,0,AC908/($R$813-INDEX(hd_off,MATCH(AQ908,hd_mark,0),0)/12)),0)</f>
        <v>0</v>
      </c>
      <c r="AE908">
        <f>IF(S908=0,0,$AD$813*$AM$790)</f>
        <v>0</v>
      </c>
      <c r="AF908">
        <f>IFERROR(AE908/$R$813,0)</f>
        <v>0</v>
      </c>
      <c r="AG908">
        <f>AE908*($F$22+IF($F$22=0,0,($C$14+$C$15+IF($C$13="single",1.5,3)+3)/12))</f>
        <v>0</v>
      </c>
      <c r="AH908">
        <f>AG908-X908</f>
        <v>0</v>
      </c>
      <c r="AI908" cm="1">
        <f t="array" ref="AI908">IFERROR(IF(AH908&lt;0,0,AH908/($R$813-INDEX(hd_off,MATCH(AQ908,hd_mark,0),0)/12)),0)</f>
        <v>0</v>
      </c>
      <c r="AJ908">
        <f>MAX($F$22,$Z$813)/$Q$820</f>
        <v>0.30172413793103448</v>
      </c>
      <c r="AK908">
        <f t="shared" ref="AK908:AK911" si="551">IF(AJ908=0,0,IF(AJ908&gt;2,1.25-0.125*AJ908,1))</f>
        <v>1</v>
      </c>
      <c r="AL908" cm="1">
        <f t="array" ref="AL908">IFERROR(INDEX(sheath_ecap_asd,MATCH(AP908,sheath_mark,0),0)*AK908,0)</f>
        <v>0</v>
      </c>
      <c r="AM908" cm="1">
        <f t="array" ref="AM908">IFERROR(INDEX(sheath_wcap_asd,MATCH(AP908,sheath_mark,0),0)*AK908,0)</f>
        <v>0</v>
      </c>
      <c r="AN908" cm="1">
        <f t="array" ref="AN908">IFERROR(INDEX(hd_cap,MATCH(AQ908,hd_mark,0),0),0)</f>
        <v>0</v>
      </c>
      <c r="AP908" s="19"/>
      <c r="AQ908" s="19"/>
      <c r="AR908" s="100"/>
      <c r="AS908" s="93"/>
      <c r="AT908" s="109"/>
      <c r="AU908" t="str">
        <f>$Q$790</f>
        <v>L3</v>
      </c>
      <c r="AV908">
        <f>$E$22</f>
        <v>21.375</v>
      </c>
      <c r="AW908" cm="1">
        <f t="array" ref="AW908">IFERROR(IF(AV908=0,0,(INDEX($C$33:$C$38,MATCH($AZ$813,$B$33:$B$38,0),0)*(AV911+$BA$813)+$AW$813*COUNTIF(AV908:AV910,"&gt;0")*$C$32+$AY$813*$C$31)*$AU$813),0)</f>
        <v>0</v>
      </c>
      <c r="AX908">
        <f>IF(AV908=0,0,-(COUNTIF(AV908:AV910,"&gt;0")*$AW$813*$C$32+$AY$813*$C$31)*$H$27*$AU$813)</f>
        <v>0</v>
      </c>
      <c r="AY908">
        <f>IF(AV908=0,0,$AY$813*$H$26*$AU$813)</f>
        <v>0</v>
      </c>
      <c r="AZ908">
        <f>(0.6*AW908+0.7*AX908)*$AU$813/2</f>
        <v>0</v>
      </c>
      <c r="BA908">
        <f>AW908*$AU$813/2</f>
        <v>0</v>
      </c>
      <c r="BC908">
        <f>IF(AV908=0,0,$BG$813*$AP$790)</f>
        <v>0</v>
      </c>
      <c r="BD908">
        <f>IFERROR(BC908/$AU$813,0)</f>
        <v>0</v>
      </c>
      <c r="BE908">
        <f>BC908*($F$22+IF($F$22=0,0,($C$14+$C$15+IF($C$13="single",1.5,3)+3)/12))</f>
        <v>0</v>
      </c>
      <c r="BF908">
        <f>BE908-AZ908</f>
        <v>0</v>
      </c>
      <c r="BG908" cm="1">
        <f t="array" ref="BG908">IFERROR(IF(BF908&lt;0,0,BF908/($AU$813-INDEX(hd_off,MATCH(BT908,hd_mark,0),0)/12)),0)</f>
        <v>0</v>
      </c>
      <c r="BH908">
        <f>IF(AV908=0,0,$BG$813*$AM$790)</f>
        <v>0</v>
      </c>
      <c r="BI908">
        <f>IFERROR(BH908/$AU$813,0)</f>
        <v>0</v>
      </c>
      <c r="BJ908">
        <f>BH908*($F$22+IF($F$22=0,0,($C$14+$C$15+IF($C$13="single",1.5,3)+3)/12))</f>
        <v>0</v>
      </c>
      <c r="BK908">
        <f>BJ908-BA908</f>
        <v>0</v>
      </c>
      <c r="BL908" cm="1">
        <f t="array" ref="BL908">IFERROR(IF(BK908&lt;0,0,BK908/($AU$813-INDEX(hd_off,MATCH(BT908,hd_mark,0),0)/12)),0)</f>
        <v>0</v>
      </c>
      <c r="BM908">
        <f>MAX($F$22,$BC$813)/$Q$820</f>
        <v>0.30172413793103448</v>
      </c>
      <c r="BN908">
        <f t="shared" ref="BN908:BN910" si="552">IF(BM908=0,0,IF(BM908&gt;2,1.25-0.125*BM908,1))</f>
        <v>1</v>
      </c>
      <c r="BO908" cm="1">
        <f t="array" ref="BO908">IFERROR(INDEX(sheath_ecap_asd,MATCH(BS908,sheath_mark,0),0)*BN908,0)</f>
        <v>0</v>
      </c>
      <c r="BP908" cm="1">
        <f t="array" ref="BP908">IFERROR(INDEX(sheath_wcap_asd,MATCH(BS908,sheath_mark,0),0)*BN908,0)</f>
        <v>0</v>
      </c>
      <c r="BQ908" cm="1">
        <f t="array" ref="BQ908">IFERROR(INDEX(hd_cap,MATCH(BT908,hd_mark,0),0),0)</f>
        <v>0</v>
      </c>
      <c r="BS908" s="19"/>
      <c r="BT908" s="19"/>
      <c r="BU908" s="100"/>
    </row>
    <row r="909" x14ac:dyDescent="0.25">
      <c r="P909" s="93"/>
      <c r="Q909" s="109" t="s">
        <v>491</v>
      </c>
      <c r="R909" t="str">
        <f>$Q$791</f>
        <v>L4</v>
      </c>
      <c r="S909">
        <f>$E$23</f>
        <v>0</v>
      </c>
      <c r="T909" cm="1">
        <f t="array" ref="T909">IFERROR(IF(S909=0,0,(INDEX($C$33:$C$38,MATCH($W$813,$B$33:$B$38,0),0)*(S911+$X$813)+$T$813*COUNTIF(S909:S910,"&gt;0")*$C$32+$V$813*$C$31)*$R$813),0)</f>
        <v>0</v>
      </c>
      <c r="U909">
        <f>IF(S909=0,0,-(COUNTIF(S909:S910,"&gt;0")*$T$813*$C$32+$V$813*$C$31)*$H$27*$R$813)</f>
        <v>0</v>
      </c>
      <c r="V909">
        <f>IF(S909=0,0,$V$813*$H$26*$R$813)</f>
        <v>0</v>
      </c>
      <c r="W909">
        <f>(0.6*T909+0.7*U909)*$R$813/2</f>
        <v>0</v>
      </c>
      <c r="X909">
        <f>T909*$R$813/2</f>
        <v>0</v>
      </c>
      <c r="Z909">
        <f>IF(S909=0,0,$AD$813*$AP$791)</f>
        <v>0</v>
      </c>
      <c r="AA909">
        <f>IFERROR(Z909/$R$813,0)</f>
        <v>0</v>
      </c>
      <c r="AB909">
        <f>Z909*($F$23+IF($F$23=0,0,($C$14+$C$15+IF($C$13="single",1.5,3)+3)/12))</f>
        <v>0</v>
      </c>
      <c r="AC909">
        <f>AB909-W909</f>
        <v>0</v>
      </c>
      <c r="AD909" cm="1">
        <f t="array" ref="AD909">IFERROR(IF(AC909&lt;0,0,AC909/($R$813-INDEX(hd_off,MATCH(AQ909,hd_mark,0),0)/12)),0)</f>
        <v>0</v>
      </c>
      <c r="AE909">
        <f>IF(S909=0,0,$AD$813*$AM$791)</f>
        <v>0</v>
      </c>
      <c r="AF909">
        <f>IFERROR(AE909/$R$813,0)</f>
        <v>0</v>
      </c>
      <c r="AG909">
        <f>AE909*($F$23+IF($F$23=0,0,($C$14+$C$15+IF($C$13="single",1.5,3)+3)/12))</f>
        <v>0</v>
      </c>
      <c r="AH909">
        <f>AG909-X909</f>
        <v>0</v>
      </c>
      <c r="AI909" cm="1">
        <f t="array" ref="AI909">IFERROR(IF(AH909&lt;0,0,AH909/($R$813-INDEX(hd_off,MATCH(AQ909,hd_mark,0),0)/12)),0)</f>
        <v>0</v>
      </c>
      <c r="AJ909">
        <f>MAX($F$23,$AA$813)/$Q$820</f>
        <v>0</v>
      </c>
      <c r="AK909">
        <f t="shared" si="551"/>
        <v>0</v>
      </c>
      <c r="AL909" cm="1">
        <f t="array" ref="AL909">IFERROR(INDEX(sheath_ecap_asd,MATCH(AP909,sheath_mark,0),0)*AK909,0)</f>
        <v>0</v>
      </c>
      <c r="AM909" cm="1">
        <f t="array" ref="AM909">IFERROR(INDEX(sheath_wcap_asd,MATCH(AP909,sheath_mark,0),0)*AK909,0)</f>
        <v>0</v>
      </c>
      <c r="AN909" cm="1">
        <f t="array" ref="AN909">IFERROR(INDEX(hd_cap,MATCH(AQ909,hd_mark,0),0),0)</f>
        <v>0</v>
      </c>
      <c r="AP909" s="19"/>
      <c r="AQ909" s="19"/>
      <c r="AR909" s="100"/>
      <c r="AS909" s="93"/>
      <c r="AT909" s="109" t="s">
        <v>491</v>
      </c>
      <c r="AU909" t="str">
        <f>$Q$791</f>
        <v>L4</v>
      </c>
      <c r="AV909">
        <f>$E$23</f>
        <v>0</v>
      </c>
      <c r="AW909" cm="1">
        <f t="array" ref="AW909">IFERROR(IF(AV909=0,0,(INDEX($C$33:$C$38,MATCH($AZ$813,$B$33:$B$38,0),0)*(AV911+$BA$813)+$AW$813*COUNTIF(AV909:AV910,"&gt;0")*$C$32+$AY$813*$C$31)*$AU$813),0)</f>
        <v>0</v>
      </c>
      <c r="AX909">
        <f>IF(AV909=0,0,-(COUNTIF(AV909:AV910,"&gt;0")*$AW$813*$C$32+$AY$813*$C$31)*$H$27*$AU$813)</f>
        <v>0</v>
      </c>
      <c r="AY909">
        <f>IF(AV909=0,0,$AY$813*$H$26*$AU$813)</f>
        <v>0</v>
      </c>
      <c r="AZ909">
        <f>(0.6*AW909+0.7*AX909)*$AU$813/2</f>
        <v>0</v>
      </c>
      <c r="BA909">
        <f>AW909*$AU$813/2</f>
        <v>0</v>
      </c>
      <c r="BC909">
        <f>IF(AV909=0,0,$BG$813*$AP$791)</f>
        <v>0</v>
      </c>
      <c r="BD909">
        <f>IFERROR(BC909/$AU$813,0)</f>
        <v>0</v>
      </c>
      <c r="BE909">
        <f>BC909*($F$23+IF($F$23=0,0,($C$14+$C$15+IF($C$13="single",1.5,3)+3)/12))</f>
        <v>0</v>
      </c>
      <c r="BF909">
        <f>BE909-AZ909</f>
        <v>0</v>
      </c>
      <c r="BG909" cm="1">
        <f t="array" ref="BG909">IFERROR(IF(BF909&lt;0,0,BF909/($AU$813-INDEX(hd_off,MATCH(BT909,hd_mark,0),0)/12)),0)</f>
        <v>0</v>
      </c>
      <c r="BH909">
        <f>IF(AV909=0,0,$BG$813*$AM$791)</f>
        <v>0</v>
      </c>
      <c r="BI909">
        <f>IFERROR(BH909/$AU$813,0)</f>
        <v>0</v>
      </c>
      <c r="BJ909">
        <f>BH909*($F$23+IF($F$23=0,0,($C$14+$C$15+IF($C$13="single",1.5,3)+3)/12))</f>
        <v>0</v>
      </c>
      <c r="BK909">
        <f>BJ909-BA909</f>
        <v>0</v>
      </c>
      <c r="BL909" cm="1">
        <f t="array" ref="BL909">IFERROR(IF(BK909&lt;0,0,BK909/($AU$813-INDEX(hd_off,MATCH(BT909,hd_mark,0),0)/12)),0)</f>
        <v>0</v>
      </c>
      <c r="BM909">
        <f>MAX($F$23,$BD$813)/$Q$820</f>
        <v>0</v>
      </c>
      <c r="BN909">
        <f t="shared" si="552"/>
        <v>0</v>
      </c>
      <c r="BO909" cm="1">
        <f t="array" ref="BO909">IFERROR(INDEX(sheath_ecap_asd,MATCH(BS909,sheath_mark,0),0)*BN909,0)</f>
        <v>0</v>
      </c>
      <c r="BP909" cm="1">
        <f t="array" ref="BP909">IFERROR(INDEX(sheath_wcap_asd,MATCH(BS909,sheath_mark,0),0)*BN909,0)</f>
        <v>0</v>
      </c>
      <c r="BQ909" cm="1">
        <f t="array" ref="BQ909">IFERROR(INDEX(hd_cap,MATCH(BT909,hd_mark,0),0),0)</f>
        <v>0</v>
      </c>
      <c r="BS909" s="19"/>
      <c r="BT909" s="19"/>
      <c r="BU909" s="100"/>
    </row>
    <row r="910" x14ac:dyDescent="0.25">
      <c r="P910" s="93"/>
      <c r="Q910" s="111">
        <f>$R$813</f>
        <v>0</v>
      </c>
      <c r="R910" t="str">
        <f>$Q$792</f>
        <v>L5</v>
      </c>
      <c r="S910">
        <f>$E$24</f>
        <v>0</v>
      </c>
      <c r="T910" cm="1">
        <f t="array" ref="T910">IFERROR(IF(S910=0,0,(INDEX($C$33:$C$38,MATCH($W$813,$B$33:$B$38,0),0)*(S911+$X$813)+$T$813*COUNTIF(S910:S910,"&gt;0")*$C$32+$V$813*$C$31)*$R$813),0)</f>
        <v>0</v>
      </c>
      <c r="U910">
        <f>IF(S910=0,0,-(COUNTIF(S910:S910,"&gt;0")*$T$813*$C$32+$V$813*$C$31)*$H$27*$R$813)</f>
        <v>0</v>
      </c>
      <c r="V910">
        <f>IF(S910=0,0,$V$813*$H$26*$R$813)</f>
        <v>0</v>
      </c>
      <c r="W910">
        <f>(0.6*T910+0.7*U910)*$R$813/2</f>
        <v>0</v>
      </c>
      <c r="X910">
        <f>T910*$R$813/2</f>
        <v>0</v>
      </c>
      <c r="Z910">
        <f>IF(S910=0,0,$AD$813*$AP$792)</f>
        <v>0</v>
      </c>
      <c r="AA910">
        <f>IFERROR(Z910/$R$813,0)</f>
        <v>0</v>
      </c>
      <c r="AB910">
        <f>Z910*($F$24+IF($F$24=0,0,($C$14+$C$15+IF($C$13="single",1.5,3)+3)/12))</f>
        <v>0</v>
      </c>
      <c r="AC910">
        <f>AB910-W910</f>
        <v>0</v>
      </c>
      <c r="AD910" cm="1">
        <f t="array" ref="AD910">IFERROR(IF(AC910&lt;0,0,AC910/($R$813-INDEX(hd_off,MATCH(AQ910,hd_mark,0),0)/12)),0)</f>
        <v>0</v>
      </c>
      <c r="AE910">
        <f>IF(S910=0,0,$AD$813*$AM$792)</f>
        <v>0</v>
      </c>
      <c r="AF910">
        <f>IFERROR(AE910/$R$813,0)</f>
        <v>0</v>
      </c>
      <c r="AG910">
        <f>AE910*($F$24+IF($F$24=0,0,($C$14+$C$15+IF($C$13="single",1.5,3)+3)/12))</f>
        <v>0</v>
      </c>
      <c r="AH910">
        <f>AG910-X910</f>
        <v>0</v>
      </c>
      <c r="AI910" cm="1">
        <f t="array" ref="AI910">IFERROR(IF(AH910&lt;0,0,AH910/($R$813-INDEX(hd_off,MATCH(AQ910,hd_mark,0),0)/12)),0)</f>
        <v>0</v>
      </c>
      <c r="AJ910">
        <f>MAX($F$24,$AB$813)/$Q$820</f>
        <v>0</v>
      </c>
      <c r="AK910">
        <f t="shared" si="551"/>
        <v>0</v>
      </c>
      <c r="AL910" cm="1">
        <f t="array" ref="AL910">IFERROR(INDEX(sheath_ecap_asd,MATCH(AP910,sheath_mark,0),0)*AK910,0)</f>
        <v>0</v>
      </c>
      <c r="AM910" cm="1">
        <f t="array" ref="AM910">IFERROR(INDEX(sheath_wcap_asd,MATCH(AP910,sheath_mark,0),0)*AK910,0)</f>
        <v>0</v>
      </c>
      <c r="AN910" cm="1">
        <f t="array" ref="AN910">IFERROR(INDEX(hd_cap,MATCH(AQ910,hd_mark,0),0),0)</f>
        <v>0</v>
      </c>
      <c r="AP910" s="19"/>
      <c r="AQ910" s="19"/>
      <c r="AR910" s="100"/>
      <c r="AS910" s="93"/>
      <c r="AT910" s="111">
        <f>$R$813</f>
        <v>0</v>
      </c>
      <c r="AU910" t="str">
        <f>$Q$792</f>
        <v>L5</v>
      </c>
      <c r="AV910">
        <f>$E$24</f>
        <v>0</v>
      </c>
      <c r="AW910" cm="1">
        <f t="array" ref="AW910">IFERROR(IF(AV910=0,0,(INDEX($C$33:$C$38,MATCH($AZ$813,$B$33:$B$38,0),0)*(AV911+$BA$813)+$AW$813*COUNTIF(AV910:AV910,"&gt;0")*$C$32+$AY$813*$C$31)*$AU$813),0)</f>
        <v>0</v>
      </c>
      <c r="AX910">
        <f>IF(AV910=0,0,-(COUNTIF(AV910:AV910,"&gt;0")*$AW$813*$C$32+$AY$813*$C$31)*$H$27*$AU$813)</f>
        <v>0</v>
      </c>
      <c r="AY910">
        <f>IF(AV910=0,0,$AY$813*$H$26*$AU$813)</f>
        <v>0</v>
      </c>
      <c r="AZ910">
        <f>(0.6*AW910+0.7*AX910)*$AU$813/2</f>
        <v>0</v>
      </c>
      <c r="BA910">
        <f>AW910*$AU$813/2</f>
        <v>0</v>
      </c>
      <c r="BC910">
        <f>IF(AV910=0,0,$BG$813*$AP$792)</f>
        <v>0</v>
      </c>
      <c r="BD910">
        <f>IFERROR(BC910/$AU$813,0)</f>
        <v>0</v>
      </c>
      <c r="BE910">
        <f>BC910*($F$24+IF($F$24=0,0,($C$14+$C$15+IF($C$13="single",1.5,3)+3)/12))</f>
        <v>0</v>
      </c>
      <c r="BF910">
        <f>BE910-AZ910</f>
        <v>0</v>
      </c>
      <c r="BG910" cm="1">
        <f t="array" ref="BG910">IFERROR(IF(BF910&lt;0,0,BF910/($AU$813-INDEX(hd_off,MATCH(BT910,hd_mark,0),0)/12)),0)</f>
        <v>0</v>
      </c>
      <c r="BH910">
        <f>IF(AV910=0,0,$BG$813*$AM$792)</f>
        <v>0</v>
      </c>
      <c r="BI910">
        <f>IFERROR(BH910/$AU$813,0)</f>
        <v>0</v>
      </c>
      <c r="BJ910">
        <f>BH910*($F$24+IF($F$24=0,0,($C$14+$C$15+IF($C$13="single",1.5,3)+3)/12))</f>
        <v>0</v>
      </c>
      <c r="BK910">
        <f>BJ910-BA910</f>
        <v>0</v>
      </c>
      <c r="BL910" cm="1">
        <f t="array" ref="BL910">IFERROR(IF(BK910&lt;0,0,BK910/($AU$813-INDEX(hd_off,MATCH(BT910,hd_mark,0),0)/12)),0)</f>
        <v>0</v>
      </c>
      <c r="BM910">
        <f>MAX($F$24,$BE$813)/$Q$820</f>
        <v>0</v>
      </c>
      <c r="BN910">
        <f t="shared" si="552"/>
        <v>0</v>
      </c>
      <c r="BO910" cm="1">
        <f t="array" ref="BO910">IFERROR(INDEX(sheath_ecap_asd,MATCH(BS910,sheath_mark,0),0)*BN910,0)</f>
        <v>0</v>
      </c>
      <c r="BP910" cm="1">
        <f t="array" ref="BP910">IFERROR(INDEX(sheath_wcap_asd,MATCH(BS910,sheath_mark,0),0)*BN910,0)</f>
        <v>0</v>
      </c>
      <c r="BQ910" cm="1">
        <f t="array" ref="BQ910">IFERROR(INDEX(hd_cap,MATCH(BT910,hd_mark,0),0),0)</f>
        <v>0</v>
      </c>
      <c r="BS910" s="19"/>
      <c r="BT910" s="19"/>
      <c r="BU910" s="100"/>
    </row>
    <row r="911" x14ac:dyDescent="0.25">
      <c r="P911" s="93"/>
      <c r="Q911" s="109"/>
      <c r="R911" t="str">
        <f>$Q$793</f>
        <v>Roof</v>
      </c>
      <c r="S911">
        <f>$E$25</f>
        <v>33.171875</v>
      </c>
      <c r="T911" cm="1">
        <f t="array" ref="T911">IFERROR(IF(S911=0,0,(INDEX($C$33:$C$38,MATCH($W$813,$B$33:$B$38,0),0)*(S911+$X$813)+$V$813*$C$31)*$R$813),0)</f>
        <v>0</v>
      </c>
      <c r="U911">
        <f>IF(S911=0,0,-$V$813*$C$31*$H$27*$R$813)</f>
        <v>0</v>
      </c>
      <c r="V911">
        <f>IF(S911=0,0,$V$813*$H$26*$R$813)</f>
        <v>0</v>
      </c>
      <c r="W911">
        <f>(0.6*T911+0.7*U911)*$R$813/2</f>
        <v>0</v>
      </c>
      <c r="X911">
        <f>T911*$R$813/2</f>
        <v>0</v>
      </c>
      <c r="Z911">
        <f>IF(S911=0,0,$AD$813*$AP$793)</f>
        <v>0</v>
      </c>
      <c r="AA911">
        <f>IFERROR(Z911/$R$813,0)</f>
        <v>0</v>
      </c>
      <c r="AB911">
        <f>Z911*($F$25+($C$16+$C$17+IF($C$13="single",1.5,3)+3)/12)</f>
        <v>0</v>
      </c>
      <c r="AC911">
        <f>AB911-W911</f>
        <v>0</v>
      </c>
      <c r="AD911" cm="1">
        <f t="array" ref="AD911">IFERROR(IF(AC911&lt;0,0,AC911/($R$813-INDEX(hd_off,MATCH(AQ911,hd_mark,0),0)/12)),0)</f>
        <v>0</v>
      </c>
      <c r="AE911">
        <f>IF(S911=0,0,$AD$813*$AM$793)</f>
        <v>0</v>
      </c>
      <c r="AF911">
        <f>IFERROR(AE911/$R$813,0)</f>
        <v>0</v>
      </c>
      <c r="AG911">
        <f>AE911*($F$25+($C$16+$C$17+IF($C$13="single",1.5,3)+3)/12)</f>
        <v>0</v>
      </c>
      <c r="AH911">
        <f>AG911-X911</f>
        <v>0</v>
      </c>
      <c r="AI911" cm="1">
        <f t="array" ref="AI911">IFERROR(IF(AH911&lt;0,0,AH911/($R$813-INDEX(hd_off,MATCH(AQ911,hd_mark,0),0)/12)),0)</f>
        <v>0</v>
      </c>
      <c r="AJ911">
        <f>MAX($F$25,$AC$813)/$Q$820</f>
        <v>0.29920977011494249</v>
      </c>
      <c r="AK911">
        <f t="shared" si="551"/>
        <v>1</v>
      </c>
      <c r="AL911" cm="1">
        <f t="array" ref="AL911">IFERROR(INDEX(sheath_ecap_asd,MATCH(AP911,sheath_mark,0),0)*AK911,0)</f>
        <v>0</v>
      </c>
      <c r="AM911" cm="1">
        <f t="array" ref="AM911">IFERROR(INDEX(sheath_wcap_asd,MATCH(AP911,sheath_mark,0),0)*AK911,0)</f>
        <v>0</v>
      </c>
      <c r="AN911" cm="1">
        <f t="array" ref="AN911">IFERROR(INDEX(hd_cap,MATCH(AQ911,hd_mark,0),0),0)</f>
        <v>0</v>
      </c>
      <c r="AP911" s="19"/>
      <c r="AQ911" s="19"/>
      <c r="AR911" s="100"/>
      <c r="AS911" s="93"/>
      <c r="BU911" s="100"/>
    </row>
    <row r="912" x14ac:dyDescent="0.25">
      <c r="B912" s="1" t="s">
        <v>569</v>
      </c>
      <c r="C912">
        <f>E16+H16*12</f>
        <v>32.4375</v>
      </c>
      <c r="E912" s="19">
        <v>24</v>
      </c>
      <c r="F912" s="19">
        <f>32+5.625/12</f>
        <v>32.46875</v>
      </c>
      <c r="G912" s="19">
        <f>33+10.5/12</f>
        <v>33.875</v>
      </c>
      <c r="H912">
        <f>(G16-F16)/2</f>
        <v>0.703125</v>
      </c>
      <c r="P912" s="93"/>
      <c r="Q912" t="s">
        <v>524</v>
      </c>
      <c r="R912" s="2" t="str">
        <f>$B$49</f>
        <v>A</v>
      </c>
      <c r="AR912" s="100"/>
      <c r="AS912" s="93"/>
      <c r="AT912" t="s">
        <v>524</v>
      </c>
      <c r="AU912" s="2">
        <f>H49</f>
        <v>1</v>
      </c>
      <c r="BU912" s="100"/>
    </row>
    <row r="913" x14ac:dyDescent="0.25">
      <c r="B913" s="1" t="s">
        <v>500</v>
      </c>
      <c r="C913" s="19">
        <v>0.5</v>
      </c>
      <c r="P913" s="93"/>
      <c r="AR913" s="100"/>
      <c r="AS913" s="93"/>
      <c r="BU913" s="100"/>
    </row>
    <row r="914" x14ac:dyDescent="0.25">
      <c r="P914" s="93"/>
      <c r="R914" t="s">
        <v>482</v>
      </c>
      <c r="Z914" t="s">
        <v>483</v>
      </c>
      <c r="AH914" t="s">
        <v>502</v>
      </c>
      <c r="AJ914" t="s">
        <v>454</v>
      </c>
      <c r="AR914" s="100"/>
      <c r="AS914" s="93"/>
      <c r="AU914" t="s">
        <v>482</v>
      </c>
      <c r="BC914" t="s">
        <v>483</v>
      </c>
      <c r="BK914" t="s">
        <v>502</v>
      </c>
      <c r="BM914" t="s">
        <v>454</v>
      </c>
      <c r="BU914" s="100"/>
    </row>
    <row r="915" x14ac:dyDescent="0.25">
      <c r="B915" t="s">
        <v>448</v>
      </c>
      <c r="C915" t="s">
        <v>272</v>
      </c>
      <c r="D915" t="s">
        <v>193</v>
      </c>
      <c r="E915" s="70" t="s">
        <v>454</v>
      </c>
      <c r="F915" s="71" t="s">
        <v>501</v>
      </c>
      <c r="H915" t="s">
        <v>475</v>
      </c>
      <c r="J915" t="s">
        <v>476</v>
      </c>
      <c r="P915" s="93"/>
      <c r="R915" t="s">
        <v>480</v>
      </c>
      <c r="S915" t="s">
        <v>481</v>
      </c>
      <c r="T915" t="s">
        <v>486</v>
      </c>
      <c r="U915" t="s">
        <v>487</v>
      </c>
      <c r="V915" t="s">
        <v>484</v>
      </c>
      <c r="W915" t="s">
        <v>485</v>
      </c>
      <c r="X915" t="s">
        <v>488</v>
      </c>
      <c r="Y915" t="s">
        <v>489</v>
      </c>
      <c r="Z915" t="s">
        <v>480</v>
      </c>
      <c r="AA915" t="s">
        <v>481</v>
      </c>
      <c r="AB915" t="s">
        <v>486</v>
      </c>
      <c r="AC915" t="s">
        <v>487</v>
      </c>
      <c r="AD915" t="s">
        <v>484</v>
      </c>
      <c r="AE915" t="s">
        <v>485</v>
      </c>
      <c r="AF915" t="s">
        <v>488</v>
      </c>
      <c r="AG915" t="s">
        <v>489</v>
      </c>
      <c r="AH915" t="s">
        <v>312</v>
      </c>
      <c r="AI915" t="s">
        <v>258</v>
      </c>
      <c r="AJ915" t="s">
        <v>486</v>
      </c>
      <c r="AK915" t="s">
        <v>490</v>
      </c>
      <c r="AL915" t="s">
        <v>487</v>
      </c>
      <c r="AM915" t="s">
        <v>490</v>
      </c>
      <c r="AN915" t="s">
        <v>488</v>
      </c>
      <c r="AO915" t="s">
        <v>490</v>
      </c>
      <c r="AP915" t="s">
        <v>489</v>
      </c>
      <c r="AQ915" t="s">
        <v>490</v>
      </c>
      <c r="AR915" s="100"/>
      <c r="AS915" s="93"/>
      <c r="AU915" t="s">
        <v>480</v>
      </c>
      <c r="AV915" t="s">
        <v>481</v>
      </c>
      <c r="AW915" t="s">
        <v>486</v>
      </c>
      <c r="AX915" t="s">
        <v>487</v>
      </c>
      <c r="AY915" t="s">
        <v>484</v>
      </c>
      <c r="AZ915" t="s">
        <v>485</v>
      </c>
      <c r="BA915" t="s">
        <v>488</v>
      </c>
      <c r="BB915" t="s">
        <v>489</v>
      </c>
      <c r="BC915" t="s">
        <v>480</v>
      </c>
      <c r="BD915" t="s">
        <v>481</v>
      </c>
      <c r="BE915" t="s">
        <v>486</v>
      </c>
      <c r="BF915" t="s">
        <v>487</v>
      </c>
      <c r="BG915" t="s">
        <v>484</v>
      </c>
      <c r="BH915" t="s">
        <v>485</v>
      </c>
      <c r="BI915" t="s">
        <v>488</v>
      </c>
      <c r="BJ915" t="s">
        <v>489</v>
      </c>
      <c r="BK915" t="s">
        <v>312</v>
      </c>
      <c r="BL915" t="s">
        <v>258</v>
      </c>
      <c r="BM915" t="s">
        <v>486</v>
      </c>
      <c r="BN915" t="s">
        <v>490</v>
      </c>
      <c r="BO915" t="s">
        <v>487</v>
      </c>
      <c r="BP915" t="s">
        <v>490</v>
      </c>
      <c r="BQ915" t="s">
        <v>488</v>
      </c>
      <c r="BR915" t="s">
        <v>490</v>
      </c>
      <c r="BS915" t="s">
        <v>489</v>
      </c>
      <c r="BT915" t="s">
        <v>490</v>
      </c>
      <c r="BU915" s="100"/>
    </row>
    <row r="916" x14ac:dyDescent="0.25">
      <c r="B916" t="s">
        <v>449</v>
      </c>
      <c r="C916" s="19">
        <v>0</v>
      </c>
      <c r="D916" s="19">
        <v>0</v>
      </c>
      <c r="E916" s="66">
        <f>C20+D20/12</f>
        <v>0</v>
      </c>
      <c r="F916" s="67">
        <v>0</v>
      </c>
      <c r="H916" s="19">
        <v>0</v>
      </c>
      <c r="I916" s="64" t="s">
        <v>196</v>
      </c>
      <c r="J916" s="19">
        <v>0</v>
      </c>
      <c r="K916" s="19">
        <v>0</v>
      </c>
      <c r="L916" s="19">
        <v>0</v>
      </c>
      <c r="M916" s="19">
        <v>0</v>
      </c>
      <c r="P916" s="93"/>
      <c r="Q916" t="s">
        <v>449</v>
      </c>
      <c r="R916" s="19">
        <f>$H$20</f>
        <v>0</v>
      </c>
      <c r="S916">
        <f>R916*0.6</f>
        <v>0</v>
      </c>
      <c r="T916">
        <f>$C$49/2*R916</f>
        <v>0</v>
      </c>
      <c r="U916">
        <f>T916*0.6</f>
        <v>0</v>
      </c>
      <c r="V916" s="19">
        <v>0</v>
      </c>
      <c r="W916">
        <f>V916*0.7</f>
        <v>0</v>
      </c>
      <c r="X916">
        <f>$C$49/2*V916</f>
        <v>0</v>
      </c>
      <c r="Y916">
        <f>X916*0.7</f>
        <v>0</v>
      </c>
      <c r="Z916" s="19">
        <f>$H$20</f>
        <v>0</v>
      </c>
      <c r="AA916">
        <f>Z916*0.6</f>
        <v>0</v>
      </c>
      <c r="AB916">
        <f>$D$49/2*Z916</f>
        <v>0</v>
      </c>
      <c r="AC916">
        <f t="shared" ref="AC916:AC922" si="553">0.6*AB916</f>
        <v>0</v>
      </c>
      <c r="AD916" s="19">
        <v>0</v>
      </c>
      <c r="AE916">
        <f>AD916*0.7</f>
        <v>0</v>
      </c>
      <c r="AF916">
        <f>$D$49/2*AD916</f>
        <v>0</v>
      </c>
      <c r="AG916">
        <f>AF916*0.7</f>
        <v>0</v>
      </c>
      <c r="AH916" s="19">
        <v>0</v>
      </c>
      <c r="AI916" s="19">
        <v>0</v>
      </c>
      <c r="AJ916" s="17">
        <f>T916+AB916+AH916</f>
        <v>0</v>
      </c>
      <c r="AK916" s="17">
        <f>AK917+AJ916</f>
        <v>13166</v>
      </c>
      <c r="AL916" s="17">
        <f>AJ916*0.6</f>
        <v>0</v>
      </c>
      <c r="AM916" s="17">
        <f>AM917+AL916</f>
        <v>7899.5999999999995</v>
      </c>
      <c r="AN916" s="17">
        <f>X916+AF916+AI916</f>
        <v>0</v>
      </c>
      <c r="AO916" s="17">
        <f t="shared" ref="AO916:AQ919" si="554">AN916+AO917</f>
        <v>1302.0999999999999</v>
      </c>
      <c r="AP916" s="17">
        <f>AN916*0.7</f>
        <v>0</v>
      </c>
      <c r="AQ916" s="17">
        <f>AP916+AQ917</f>
        <v>911.46999999999991</v>
      </c>
      <c r="AR916" s="100"/>
      <c r="AS916" s="93"/>
      <c r="AT916" t="s">
        <v>449</v>
      </c>
      <c r="AU916" s="19">
        <f>$H$20</f>
        <v>0</v>
      </c>
      <c r="AV916">
        <f>AU916*0.6</f>
        <v>0</v>
      </c>
      <c r="AW916">
        <f t="shared" ref="AW916:AW922" si="555">$I$49/2*AU916</f>
        <v>0</v>
      </c>
      <c r="AX916">
        <f>AW916*0.6</f>
        <v>0</v>
      </c>
      <c r="AY916" s="19">
        <v>0</v>
      </c>
      <c r="AZ916">
        <f>AY916*0.7</f>
        <v>0</v>
      </c>
      <c r="BA916">
        <f t="shared" ref="BA916:BA921" si="556">$I$49/2*AY916</f>
        <v>0</v>
      </c>
      <c r="BB916">
        <f>BA916*0.7</f>
        <v>0</v>
      </c>
      <c r="BC916" s="19">
        <f>$H$20</f>
        <v>0</v>
      </c>
      <c r="BD916">
        <f>BC916*0.6</f>
        <v>0</v>
      </c>
      <c r="BE916">
        <f t="shared" ref="BE916:BE922" si="557">$J$49/2*BC916</f>
        <v>0</v>
      </c>
      <c r="BF916">
        <f t="shared" ref="BF916:BF922" si="558">0.6*BE916</f>
        <v>0</v>
      </c>
      <c r="BG916" s="19">
        <v>0</v>
      </c>
      <c r="BH916">
        <f>BG916*0.7</f>
        <v>0</v>
      </c>
      <c r="BI916">
        <f t="shared" ref="BI916:BI921" si="559">$J$49/2*BG916</f>
        <v>0</v>
      </c>
      <c r="BJ916">
        <f>BI916*0.7</f>
        <v>0</v>
      </c>
      <c r="BK916" s="19">
        <v>0</v>
      </c>
      <c r="BL916" s="19">
        <v>0</v>
      </c>
      <c r="BM916" s="17">
        <f>AW916+BE916+BK916</f>
        <v>0</v>
      </c>
      <c r="BN916" s="17">
        <f>BN917+BM916</f>
        <v>12258</v>
      </c>
      <c r="BO916" s="17">
        <f>BM916*0.6</f>
        <v>0</v>
      </c>
      <c r="BP916" s="17">
        <f>BP917+BO916</f>
        <v>7354.7999999999993</v>
      </c>
      <c r="BQ916" s="17">
        <f>BA916+BI916+BL916</f>
        <v>0</v>
      </c>
      <c r="BR916" s="17">
        <f t="shared" ref="BR916:BR919" si="560">BQ916+BR917</f>
        <v>1212.3</v>
      </c>
      <c r="BS916" s="17">
        <f>BQ916*0.7</f>
        <v>0</v>
      </c>
      <c r="BT916" s="17">
        <f>BS916+BT917</f>
        <v>848.6099999999999</v>
      </c>
      <c r="BU916" s="100"/>
    </row>
    <row r="917" x14ac:dyDescent="0.25">
      <c r="B917" t="s">
        <v>450</v>
      </c>
      <c r="C917" s="19">
        <v>10</v>
      </c>
      <c r="D917" s="19">
        <v>8.25</v>
      </c>
      <c r="E917" s="66">
        <f>C21+D21/12</f>
        <v>10.6875</v>
      </c>
      <c r="F917" s="67">
        <f>IF(E21&gt;0,E21-(C15+C14+2*1.5+IF(C13="single",1.5,3))/12-_xlfn.XLOOKUP(E21,E20,E20,,-1),0)</f>
        <v>8.75</v>
      </c>
      <c r="H917" s="19">
        <v>236</v>
      </c>
      <c r="I917" s="64" t="s">
        <v>196</v>
      </c>
      <c r="J917" s="19">
        <v>33.799999999999997</v>
      </c>
      <c r="K917" s="19">
        <v>65.599999999999994</v>
      </c>
      <c r="L917" s="19">
        <v>19.3</v>
      </c>
      <c r="M917" s="19">
        <v>119.6</v>
      </c>
      <c r="P917" s="93"/>
      <c r="Q917" t="s">
        <v>450</v>
      </c>
      <c r="R917" s="19">
        <f>$H$21</f>
        <v>236</v>
      </c>
      <c r="S917">
        <f t="shared" ref="S917:S922" si="561">R917*0.6</f>
        <v>141.6</v>
      </c>
      <c r="T917">
        <f t="shared" ref="T917:T921" si="562">$C$49/2*R917</f>
        <v>0</v>
      </c>
      <c r="U917">
        <f>T917*0.6</f>
        <v>0</v>
      </c>
      <c r="V917" s="19">
        <v>33.799999999999997</v>
      </c>
      <c r="W917">
        <f t="shared" ref="W917:W921" si="563">V917*0.7</f>
        <v>23.659999999999997</v>
      </c>
      <c r="X917">
        <f t="shared" ref="X917:X921" si="564">$C$49/2*V917</f>
        <v>0</v>
      </c>
      <c r="Y917">
        <f t="shared" ref="Y917:Y921" si="565">X917*0.7</f>
        <v>0</v>
      </c>
      <c r="Z917" s="19">
        <f>$H$21</f>
        <v>236</v>
      </c>
      <c r="AA917">
        <f t="shared" ref="AA917:AA921" si="566">Z917*0.6</f>
        <v>141.6</v>
      </c>
      <c r="AB917">
        <f t="shared" ref="AB917:AB921" si="567">$D$49/2*Z917</f>
        <v>3422</v>
      </c>
      <c r="AC917">
        <f t="shared" si="553"/>
        <v>2053.1999999999998</v>
      </c>
      <c r="AD917" s="19">
        <v>33.799999999999997</v>
      </c>
      <c r="AE917">
        <f t="shared" ref="AE917:AE921" si="568">AD917*0.7</f>
        <v>23.659999999999997</v>
      </c>
      <c r="AF917">
        <f t="shared" ref="AF917:AF921" si="569">$D$49/2*AD917</f>
        <v>490.09999999999997</v>
      </c>
      <c r="AG917">
        <f t="shared" ref="AG917:AG921" si="570">AF917*0.7</f>
        <v>343.06999999999994</v>
      </c>
      <c r="AH917" s="19">
        <v>0</v>
      </c>
      <c r="AI917" s="19">
        <v>0</v>
      </c>
      <c r="AJ917" s="17">
        <f>T917+AB917+AH917</f>
        <v>3422</v>
      </c>
      <c r="AK917" s="17">
        <f>AK918+AJ917</f>
        <v>13166</v>
      </c>
      <c r="AL917" s="17">
        <f t="shared" ref="AL917:AL921" si="571">AJ917*0.6</f>
        <v>2053.1999999999998</v>
      </c>
      <c r="AM917" s="17">
        <f t="shared" ref="AM917:AM919" si="572">AM918+AL917</f>
        <v>7899.5999999999995</v>
      </c>
      <c r="AN917" s="17">
        <f t="shared" ref="AN917:AN920" si="573">X917+AF917+AI917</f>
        <v>490.09999999999997</v>
      </c>
      <c r="AO917" s="17">
        <f t="shared" si="554"/>
        <v>1302.0999999999999</v>
      </c>
      <c r="AP917" s="17">
        <f t="shared" ref="AP917:AP920" si="574">AN917*0.7</f>
        <v>343.06999999999994</v>
      </c>
      <c r="AQ917" s="17">
        <f t="shared" si="554"/>
        <v>911.46999999999991</v>
      </c>
      <c r="AR917" s="100"/>
      <c r="AS917" s="93"/>
      <c r="AT917" t="s">
        <v>450</v>
      </c>
      <c r="AU917" s="19">
        <f>$H$21</f>
        <v>236</v>
      </c>
      <c r="AV917">
        <f t="shared" ref="AV917:AV922" si="575">AU917*0.6</f>
        <v>141.6</v>
      </c>
      <c r="AW917">
        <f t="shared" si="555"/>
        <v>0</v>
      </c>
      <c r="AX917">
        <f>AW917*0.6</f>
        <v>0</v>
      </c>
      <c r="AY917" s="19">
        <v>33.799999999999997</v>
      </c>
      <c r="AZ917">
        <f t="shared" ref="AZ917:AZ921" si="576">AY917*0.7</f>
        <v>23.659999999999997</v>
      </c>
      <c r="BA917">
        <f t="shared" si="556"/>
        <v>0</v>
      </c>
      <c r="BB917">
        <f t="shared" ref="BB917:BB921" si="577">BA917*0.7</f>
        <v>0</v>
      </c>
      <c r="BC917" s="19">
        <f>$H$21</f>
        <v>236</v>
      </c>
      <c r="BD917">
        <f t="shared" ref="BD917:BD921" si="578">BC917*0.6</f>
        <v>141.6</v>
      </c>
      <c r="BE917">
        <f t="shared" si="557"/>
        <v>3186</v>
      </c>
      <c r="BF917">
        <f t="shared" si="558"/>
        <v>1911.6</v>
      </c>
      <c r="BG917" s="19">
        <v>33.799999999999997</v>
      </c>
      <c r="BH917">
        <f t="shared" ref="BH917:BH921" si="579">BG917*0.7</f>
        <v>23.659999999999997</v>
      </c>
      <c r="BI917">
        <f t="shared" si="559"/>
        <v>456.29999999999995</v>
      </c>
      <c r="BJ917">
        <f t="shared" ref="BJ917:BJ921" si="580">BI917*0.7</f>
        <v>319.40999999999997</v>
      </c>
      <c r="BK917" s="19">
        <v>0</v>
      </c>
      <c r="BL917" s="19">
        <v>0</v>
      </c>
      <c r="BM917" s="17">
        <f>AW917+BE917+BK917</f>
        <v>3186</v>
      </c>
      <c r="BN917" s="17">
        <f>BN918+BM917</f>
        <v>12258</v>
      </c>
      <c r="BO917" s="17">
        <f t="shared" ref="BO917" si="581">BM917*0.6</f>
        <v>1911.6</v>
      </c>
      <c r="BP917" s="17">
        <f t="shared" ref="BP917:BP919" si="582">BP918+BO917</f>
        <v>7354.7999999999993</v>
      </c>
      <c r="BQ917" s="17">
        <f t="shared" ref="BQ917:BQ920" si="583">BA917+BI917+BL917</f>
        <v>456.29999999999995</v>
      </c>
      <c r="BR917" s="17">
        <f t="shared" si="560"/>
        <v>1212.3</v>
      </c>
      <c r="BS917" s="17">
        <f t="shared" ref="BS917:BS920" si="584">BQ917*0.7</f>
        <v>319.40999999999997</v>
      </c>
      <c r="BT917" s="17">
        <f t="shared" ref="BT917:BT919" si="585">BS917+BT918</f>
        <v>848.6099999999999</v>
      </c>
      <c r="BU917" s="100"/>
    </row>
    <row r="918" x14ac:dyDescent="0.25">
      <c r="B918" t="s">
        <v>451</v>
      </c>
      <c r="C918" s="19">
        <v>21</v>
      </c>
      <c r="D918" s="19">
        <v>4.5</v>
      </c>
      <c r="E918" s="66">
        <f t="shared" ref="E22:E25" si="586">C22+D22/12</f>
        <v>21.375</v>
      </c>
      <c r="F918" s="67">
        <f>IF(E22&gt;0,E22-(C15+C14+2*1.5+IF(C13="single",1.5,3))/12-_xlfn.XLOOKUP(E22,E20:E21,E20:E21,,-1),0)</f>
        <v>8.75</v>
      </c>
      <c r="H918" s="19">
        <v>229</v>
      </c>
      <c r="I918" s="64" t="s">
        <v>196</v>
      </c>
      <c r="J918" s="19">
        <v>37.1</v>
      </c>
      <c r="K918" s="19">
        <v>71.8</v>
      </c>
      <c r="L918" s="19">
        <v>21.1</v>
      </c>
      <c r="M918" s="19">
        <v>131.1</v>
      </c>
      <c r="P918" s="93"/>
      <c r="Q918" t="s">
        <v>451</v>
      </c>
      <c r="R918" s="19">
        <f>$H$22</f>
        <v>229</v>
      </c>
      <c r="S918">
        <f t="shared" si="561"/>
        <v>137.4</v>
      </c>
      <c r="T918">
        <f t="shared" si="562"/>
        <v>0</v>
      </c>
      <c r="U918">
        <f t="shared" ref="U918:U922" si="587">T918*0.6</f>
        <v>0</v>
      </c>
      <c r="V918" s="19">
        <v>37.1</v>
      </c>
      <c r="W918">
        <f t="shared" si="563"/>
        <v>25.97</v>
      </c>
      <c r="X918">
        <f>$C$49/2*V918</f>
        <v>0</v>
      </c>
      <c r="Y918">
        <f t="shared" si="565"/>
        <v>0</v>
      </c>
      <c r="Z918" s="19">
        <f>$H$22</f>
        <v>229</v>
      </c>
      <c r="AA918">
        <f t="shared" si="566"/>
        <v>137.4</v>
      </c>
      <c r="AB918">
        <f t="shared" si="567"/>
        <v>3320.5</v>
      </c>
      <c r="AC918">
        <f t="shared" si="553"/>
        <v>1992.3</v>
      </c>
      <c r="AD918" s="19">
        <v>37.1</v>
      </c>
      <c r="AE918">
        <f t="shared" si="568"/>
        <v>25.97</v>
      </c>
      <c r="AF918">
        <f t="shared" si="569"/>
        <v>537.95000000000005</v>
      </c>
      <c r="AG918">
        <f t="shared" si="570"/>
        <v>376.565</v>
      </c>
      <c r="AH918" s="19">
        <v>0</v>
      </c>
      <c r="AI918" s="19">
        <v>0</v>
      </c>
      <c r="AJ918" s="17">
        <f t="shared" ref="AJ918:AJ920" si="588">T918+AB918+AH918</f>
        <v>3320.5</v>
      </c>
      <c r="AK918" s="17">
        <f>AK919+AJ918</f>
        <v>9744</v>
      </c>
      <c r="AL918" s="17">
        <f>AJ918*0.6</f>
        <v>1992.3</v>
      </c>
      <c r="AM918" s="17">
        <f t="shared" si="572"/>
        <v>5846.4</v>
      </c>
      <c r="AN918" s="17">
        <f t="shared" si="573"/>
        <v>537.95000000000005</v>
      </c>
      <c r="AO918" s="17">
        <f t="shared" si="554"/>
        <v>812</v>
      </c>
      <c r="AP918" s="17">
        <f t="shared" si="574"/>
        <v>376.565</v>
      </c>
      <c r="AQ918" s="17">
        <f t="shared" si="554"/>
        <v>568.4</v>
      </c>
      <c r="AR918" s="100"/>
      <c r="AS918" s="93"/>
      <c r="AT918" t="s">
        <v>451</v>
      </c>
      <c r="AU918" s="19">
        <f>$H$22</f>
        <v>229</v>
      </c>
      <c r="AV918">
        <f t="shared" si="575"/>
        <v>137.4</v>
      </c>
      <c r="AW918">
        <f t="shared" si="555"/>
        <v>0</v>
      </c>
      <c r="AX918">
        <f t="shared" ref="AX918:AX922" si="589">AW918*0.6</f>
        <v>0</v>
      </c>
      <c r="AY918" s="19">
        <v>37.1</v>
      </c>
      <c r="AZ918">
        <f t="shared" si="576"/>
        <v>25.97</v>
      </c>
      <c r="BA918">
        <f t="shared" si="556"/>
        <v>0</v>
      </c>
      <c r="BB918">
        <f t="shared" si="577"/>
        <v>0</v>
      </c>
      <c r="BC918" s="19">
        <f>$H$22</f>
        <v>229</v>
      </c>
      <c r="BD918">
        <f t="shared" si="578"/>
        <v>137.4</v>
      </c>
      <c r="BE918">
        <f t="shared" si="557"/>
        <v>3091.5</v>
      </c>
      <c r="BF918">
        <f t="shared" si="558"/>
        <v>1854.8999999999999</v>
      </c>
      <c r="BG918" s="19">
        <v>37.1</v>
      </c>
      <c r="BH918">
        <f t="shared" si="579"/>
        <v>25.97</v>
      </c>
      <c r="BI918">
        <f t="shared" si="559"/>
        <v>500.85</v>
      </c>
      <c r="BJ918">
        <f t="shared" si="580"/>
        <v>350.59499999999997</v>
      </c>
      <c r="BK918" s="19">
        <v>0</v>
      </c>
      <c r="BL918" s="19">
        <v>0</v>
      </c>
      <c r="BM918" s="17">
        <f t="shared" ref="BM918:BM920" si="590">AW918+BE918+BK918</f>
        <v>3091.5</v>
      </c>
      <c r="BN918" s="17">
        <f>BN919+BM918</f>
        <v>9072</v>
      </c>
      <c r="BO918" s="17">
        <f>BM918*0.6</f>
        <v>1854.8999999999999</v>
      </c>
      <c r="BP918" s="17">
        <f t="shared" si="582"/>
        <v>5443.2</v>
      </c>
      <c r="BQ918" s="17">
        <f t="shared" si="583"/>
        <v>500.85</v>
      </c>
      <c r="BR918" s="17">
        <f t="shared" si="560"/>
        <v>756</v>
      </c>
      <c r="BS918" s="17">
        <f t="shared" si="584"/>
        <v>350.59499999999997</v>
      </c>
      <c r="BT918" s="17">
        <f t="shared" si="585"/>
        <v>529.19999999999993</v>
      </c>
      <c r="BU918" s="100"/>
    </row>
    <row r="919" x14ac:dyDescent="0.25">
      <c r="B919" t="s">
        <v>452</v>
      </c>
      <c r="C919" s="19">
        <v>0</v>
      </c>
      <c r="D919" s="19">
        <v>0</v>
      </c>
      <c r="E919" s="66">
        <f t="shared" si="586"/>
        <v>0</v>
      </c>
      <c r="F919" s="67">
        <f>IF(E23&gt;0,E23-(C15+C14+2*1.5+IF(C13="single",1.5,3))/12-_xlfn.XLOOKUP(E23,E20:E22,E20:E22,,-1),0)</f>
        <v>0</v>
      </c>
      <c r="H919" s="19">
        <v>0</v>
      </c>
      <c r="I919" s="64" t="s">
        <v>196</v>
      </c>
      <c r="J919" s="19">
        <v>0</v>
      </c>
      <c r="K919" s="19">
        <v>0</v>
      </c>
      <c r="L919" s="19">
        <v>0</v>
      </c>
      <c r="M919" s="19">
        <v>0</v>
      </c>
      <c r="P919" s="93"/>
      <c r="Q919" t="s">
        <v>452</v>
      </c>
      <c r="R919" s="19">
        <f>$H$23</f>
        <v>0</v>
      </c>
      <c r="S919">
        <f t="shared" si="561"/>
        <v>0</v>
      </c>
      <c r="T919">
        <f t="shared" si="562"/>
        <v>0</v>
      </c>
      <c r="U919">
        <f t="shared" si="587"/>
        <v>0</v>
      </c>
      <c r="V919" s="19">
        <v>0</v>
      </c>
      <c r="W919">
        <f t="shared" si="563"/>
        <v>0</v>
      </c>
      <c r="X919">
        <f t="shared" si="564"/>
        <v>0</v>
      </c>
      <c r="Y919">
        <f t="shared" si="565"/>
        <v>0</v>
      </c>
      <c r="Z919" s="19">
        <f>$H$23</f>
        <v>0</v>
      </c>
      <c r="AA919">
        <f t="shared" si="566"/>
        <v>0</v>
      </c>
      <c r="AB919">
        <f t="shared" si="567"/>
        <v>0</v>
      </c>
      <c r="AC919">
        <f t="shared" si="553"/>
        <v>0</v>
      </c>
      <c r="AD919" s="19">
        <v>0</v>
      </c>
      <c r="AE919">
        <f t="shared" si="568"/>
        <v>0</v>
      </c>
      <c r="AF919">
        <f t="shared" si="569"/>
        <v>0</v>
      </c>
      <c r="AG919">
        <f t="shared" si="570"/>
        <v>0</v>
      </c>
      <c r="AH919" s="19">
        <v>0</v>
      </c>
      <c r="AI919" s="19">
        <v>0</v>
      </c>
      <c r="AJ919" s="17">
        <f t="shared" si="588"/>
        <v>0</v>
      </c>
      <c r="AK919" s="17">
        <f>AK920+AJ919</f>
        <v>6423.5</v>
      </c>
      <c r="AL919" s="17">
        <f>AJ919*0.6</f>
        <v>0</v>
      </c>
      <c r="AM919" s="17">
        <f t="shared" si="572"/>
        <v>3854.1</v>
      </c>
      <c r="AN919" s="17">
        <f t="shared" si="573"/>
        <v>0</v>
      </c>
      <c r="AO919" s="17">
        <f t="shared" si="554"/>
        <v>274.04999999999995</v>
      </c>
      <c r="AP919" s="17">
        <f t="shared" si="574"/>
        <v>0</v>
      </c>
      <c r="AQ919" s="17">
        <f t="shared" si="554"/>
        <v>191.83499999999995</v>
      </c>
      <c r="AR919" s="100"/>
      <c r="AS919" s="93"/>
      <c r="AT919" t="s">
        <v>452</v>
      </c>
      <c r="AU919" s="19">
        <f>$H$23</f>
        <v>0</v>
      </c>
      <c r="AV919">
        <f t="shared" si="575"/>
        <v>0</v>
      </c>
      <c r="AW919">
        <f t="shared" si="555"/>
        <v>0</v>
      </c>
      <c r="AX919">
        <f t="shared" si="589"/>
        <v>0</v>
      </c>
      <c r="AY919" s="19">
        <v>0</v>
      </c>
      <c r="AZ919">
        <f t="shared" si="576"/>
        <v>0</v>
      </c>
      <c r="BA919">
        <f t="shared" si="556"/>
        <v>0</v>
      </c>
      <c r="BB919">
        <f t="shared" si="577"/>
        <v>0</v>
      </c>
      <c r="BC919" s="19">
        <f>$H$23</f>
        <v>0</v>
      </c>
      <c r="BD919">
        <f t="shared" si="578"/>
        <v>0</v>
      </c>
      <c r="BE919">
        <f t="shared" si="557"/>
        <v>0</v>
      </c>
      <c r="BF919">
        <f t="shared" si="558"/>
        <v>0</v>
      </c>
      <c r="BG919" s="19">
        <v>0</v>
      </c>
      <c r="BH919">
        <f t="shared" si="579"/>
        <v>0</v>
      </c>
      <c r="BI919">
        <f t="shared" si="559"/>
        <v>0</v>
      </c>
      <c r="BJ919">
        <f t="shared" si="580"/>
        <v>0</v>
      </c>
      <c r="BK919" s="19">
        <v>0</v>
      </c>
      <c r="BL919" s="19">
        <v>0</v>
      </c>
      <c r="BM919" s="17">
        <f t="shared" si="590"/>
        <v>0</v>
      </c>
      <c r="BN919" s="17">
        <f>BN920+BM919</f>
        <v>5980.5</v>
      </c>
      <c r="BO919" s="17">
        <f>BM919*0.6</f>
        <v>0</v>
      </c>
      <c r="BP919" s="17">
        <f t="shared" si="582"/>
        <v>3588.2999999999997</v>
      </c>
      <c r="BQ919" s="17">
        <f t="shared" si="583"/>
        <v>0</v>
      </c>
      <c r="BR919" s="17">
        <f t="shared" si="560"/>
        <v>255.14999999999998</v>
      </c>
      <c r="BS919" s="17">
        <f t="shared" si="584"/>
        <v>0</v>
      </c>
      <c r="BT919" s="17">
        <f t="shared" si="585"/>
        <v>178.60499999999996</v>
      </c>
      <c r="BU919" s="100"/>
    </row>
    <row r="920" x14ac:dyDescent="0.25">
      <c r="B920" t="s">
        <v>453</v>
      </c>
      <c r="C920" s="19">
        <v>0</v>
      </c>
      <c r="D920" s="19">
        <v>0</v>
      </c>
      <c r="E920" s="66">
        <f t="shared" si="586"/>
        <v>0</v>
      </c>
      <c r="F920" s="67">
        <f>IF(E24&gt;0,E24-(C15+C14+2*1.5+IF(C13="single",1.5,3))/12-_xlfn.XLOOKUP(E24,E20:E23,E20:E23,,-1),0)</f>
        <v>0</v>
      </c>
      <c r="H920" s="19">
        <v>0</v>
      </c>
      <c r="I920" s="64" t="s">
        <v>196</v>
      </c>
      <c r="J920" s="19">
        <v>0</v>
      </c>
      <c r="K920" s="19">
        <v>0</v>
      </c>
      <c r="L920" s="19">
        <v>0</v>
      </c>
      <c r="M920" s="19">
        <v>0</v>
      </c>
      <c r="P920" s="93"/>
      <c r="Q920" t="s">
        <v>453</v>
      </c>
      <c r="R920" s="19">
        <f>$H$24</f>
        <v>0</v>
      </c>
      <c r="S920">
        <f t="shared" si="561"/>
        <v>0</v>
      </c>
      <c r="T920">
        <f t="shared" si="562"/>
        <v>0</v>
      </c>
      <c r="U920">
        <f t="shared" si="587"/>
        <v>0</v>
      </c>
      <c r="V920" s="19">
        <v>0</v>
      </c>
      <c r="W920">
        <f t="shared" si="563"/>
        <v>0</v>
      </c>
      <c r="X920">
        <f t="shared" si="564"/>
        <v>0</v>
      </c>
      <c r="Y920">
        <f t="shared" si="565"/>
        <v>0</v>
      </c>
      <c r="Z920" s="19">
        <f>$H$24</f>
        <v>0</v>
      </c>
      <c r="AA920">
        <f t="shared" si="566"/>
        <v>0</v>
      </c>
      <c r="AB920">
        <f t="shared" si="567"/>
        <v>0</v>
      </c>
      <c r="AC920">
        <f t="shared" si="553"/>
        <v>0</v>
      </c>
      <c r="AD920" s="19">
        <v>0</v>
      </c>
      <c r="AE920">
        <f t="shared" si="568"/>
        <v>0</v>
      </c>
      <c r="AF920">
        <f t="shared" si="569"/>
        <v>0</v>
      </c>
      <c r="AG920">
        <f t="shared" si="570"/>
        <v>0</v>
      </c>
      <c r="AH920" s="19">
        <v>0</v>
      </c>
      <c r="AI920" s="19">
        <v>0</v>
      </c>
      <c r="AJ920" s="17">
        <f t="shared" si="588"/>
        <v>0</v>
      </c>
      <c r="AK920" s="17">
        <f>AK921+IF(AJ920=0,0,AJ920)</f>
        <v>6423.5</v>
      </c>
      <c r="AL920" s="17">
        <f t="shared" si="571"/>
        <v>0</v>
      </c>
      <c r="AM920" s="17">
        <f>AM921+AL920</f>
        <v>3854.1</v>
      </c>
      <c r="AN920" s="17">
        <f t="shared" si="573"/>
        <v>0</v>
      </c>
      <c r="AO920" s="17">
        <f>AN920+AO921</f>
        <v>274.04999999999995</v>
      </c>
      <c r="AP920" s="17">
        <f t="shared" si="574"/>
        <v>0</v>
      </c>
      <c r="AQ920" s="17">
        <f>AP920+AQ921</f>
        <v>191.83499999999995</v>
      </c>
      <c r="AR920" s="100"/>
      <c r="AS920" s="93"/>
      <c r="AT920" t="s">
        <v>453</v>
      </c>
      <c r="AU920" s="19">
        <f>$H$24</f>
        <v>0</v>
      </c>
      <c r="AV920">
        <f t="shared" si="575"/>
        <v>0</v>
      </c>
      <c r="AW920">
        <f t="shared" si="555"/>
        <v>0</v>
      </c>
      <c r="AX920">
        <f t="shared" si="589"/>
        <v>0</v>
      </c>
      <c r="AY920" s="19">
        <v>0</v>
      </c>
      <c r="AZ920">
        <f t="shared" si="576"/>
        <v>0</v>
      </c>
      <c r="BA920">
        <f t="shared" si="556"/>
        <v>0</v>
      </c>
      <c r="BB920">
        <f t="shared" si="577"/>
        <v>0</v>
      </c>
      <c r="BC920" s="19">
        <f>$H$24</f>
        <v>0</v>
      </c>
      <c r="BD920">
        <f t="shared" si="578"/>
        <v>0</v>
      </c>
      <c r="BE920">
        <f t="shared" si="557"/>
        <v>0</v>
      </c>
      <c r="BF920">
        <f t="shared" si="558"/>
        <v>0</v>
      </c>
      <c r="BG920" s="19">
        <v>0</v>
      </c>
      <c r="BH920">
        <f t="shared" si="579"/>
        <v>0</v>
      </c>
      <c r="BI920">
        <f t="shared" si="559"/>
        <v>0</v>
      </c>
      <c r="BJ920">
        <f t="shared" si="580"/>
        <v>0</v>
      </c>
      <c r="BK920" s="19">
        <v>0</v>
      </c>
      <c r="BL920" s="19">
        <v>0</v>
      </c>
      <c r="BM920" s="17">
        <f t="shared" si="590"/>
        <v>0</v>
      </c>
      <c r="BN920" s="17">
        <f>BN921+IF(BM920=0,0,BM920)</f>
        <v>5980.5</v>
      </c>
      <c r="BO920" s="17">
        <f t="shared" ref="BO920:BO921" si="591">BM920*0.6</f>
        <v>0</v>
      </c>
      <c r="BP920" s="17">
        <f>BP921+BO920</f>
        <v>3588.2999999999997</v>
      </c>
      <c r="BQ920" s="17">
        <f t="shared" si="583"/>
        <v>0</v>
      </c>
      <c r="BR920" s="17">
        <f>BQ920+BR921</f>
        <v>255.14999999999998</v>
      </c>
      <c r="BS920" s="17">
        <f t="shared" si="584"/>
        <v>0</v>
      </c>
      <c r="BT920" s="17">
        <f>BS920+BT921</f>
        <v>178.60499999999996</v>
      </c>
      <c r="BU920" s="100"/>
    </row>
    <row r="921" x14ac:dyDescent="0.25">
      <c r="B921" t="s">
        <v>275</v>
      </c>
      <c r="C921" s="19">
        <f>(33+32)/2</f>
        <v>32.5</v>
      </c>
      <c r="D921" s="19">
        <f>(10.5+5.625)/2</f>
        <v>8.0625</v>
      </c>
      <c r="E921" s="68">
        <f t="shared" si="586"/>
        <v>33.171875</v>
      </c>
      <c r="F921" s="69">
        <f>E25-(C17+C16+2*1.5+IF(C13="single",1.5,3))/12-_xlfn.XLOOKUP(E25,E20:E24,E20:E24,,-1)</f>
        <v>8.6770833333333321</v>
      </c>
      <c r="H921" s="19">
        <v>443</v>
      </c>
      <c r="I921" s="64" t="s">
        <v>196</v>
      </c>
      <c r="J921" s="19">
        <v>18.899999999999999</v>
      </c>
      <c r="K921" s="19">
        <v>36.6</v>
      </c>
      <c r="L921" s="19">
        <v>10.8</v>
      </c>
      <c r="M921" s="19">
        <v>66.7</v>
      </c>
      <c r="P921" s="93"/>
      <c r="Q921" t="s">
        <v>275</v>
      </c>
      <c r="R921" s="19">
        <f>$H$25</f>
        <v>443</v>
      </c>
      <c r="S921">
        <f t="shared" si="561"/>
        <v>265.8</v>
      </c>
      <c r="T921">
        <f t="shared" si="562"/>
        <v>0</v>
      </c>
      <c r="U921">
        <f t="shared" si="587"/>
        <v>0</v>
      </c>
      <c r="V921" s="19">
        <v>18.899999999999999</v>
      </c>
      <c r="W921">
        <f t="shared" si="563"/>
        <v>13.229999999999999</v>
      </c>
      <c r="X921">
        <f t="shared" si="564"/>
        <v>0</v>
      </c>
      <c r="Y921">
        <f t="shared" si="565"/>
        <v>0</v>
      </c>
      <c r="Z921" s="19">
        <f>$H$25</f>
        <v>443</v>
      </c>
      <c r="AA921">
        <f t="shared" si="566"/>
        <v>265.8</v>
      </c>
      <c r="AB921">
        <f t="shared" si="567"/>
        <v>6423.5</v>
      </c>
      <c r="AC921">
        <f t="shared" si="553"/>
        <v>3854.1</v>
      </c>
      <c r="AD921" s="19">
        <v>18.899999999999999</v>
      </c>
      <c r="AE921">
        <f t="shared" si="568"/>
        <v>13.229999999999999</v>
      </c>
      <c r="AF921">
        <f t="shared" si="569"/>
        <v>274.04999999999995</v>
      </c>
      <c r="AG921">
        <f t="shared" si="570"/>
        <v>191.83499999999995</v>
      </c>
      <c r="AH921" s="19">
        <v>0</v>
      </c>
      <c r="AI921" s="19">
        <v>0</v>
      </c>
      <c r="AJ921" s="17">
        <f>T921+AB921+AH921</f>
        <v>6423.5</v>
      </c>
      <c r="AK921" s="17">
        <f>AJ921</f>
        <v>6423.5</v>
      </c>
      <c r="AL921" s="17">
        <f t="shared" si="571"/>
        <v>3854.1</v>
      </c>
      <c r="AM921" s="17">
        <f>AL921</f>
        <v>3854.1</v>
      </c>
      <c r="AN921" s="17">
        <f>X921+AF921+AI921</f>
        <v>274.04999999999995</v>
      </c>
      <c r="AO921" s="17">
        <f>AN921</f>
        <v>274.04999999999995</v>
      </c>
      <c r="AP921" s="17">
        <f>AN921*0.7</f>
        <v>191.83499999999995</v>
      </c>
      <c r="AQ921" s="17">
        <f>AP921</f>
        <v>191.83499999999995</v>
      </c>
      <c r="AR921" s="100"/>
      <c r="AS921" s="93"/>
      <c r="AT921" t="s">
        <v>275</v>
      </c>
      <c r="AU921" s="19">
        <f>$H$25</f>
        <v>443</v>
      </c>
      <c r="AV921">
        <f t="shared" si="575"/>
        <v>265.8</v>
      </c>
      <c r="AW921">
        <f t="shared" si="555"/>
        <v>0</v>
      </c>
      <c r="AX921">
        <f t="shared" si="589"/>
        <v>0</v>
      </c>
      <c r="AY921" s="19">
        <v>18.899999999999999</v>
      </c>
      <c r="AZ921">
        <f t="shared" si="576"/>
        <v>13.229999999999999</v>
      </c>
      <c r="BA921">
        <f t="shared" si="556"/>
        <v>0</v>
      </c>
      <c r="BB921">
        <f t="shared" si="577"/>
        <v>0</v>
      </c>
      <c r="BC921" s="19">
        <f>$H$25</f>
        <v>443</v>
      </c>
      <c r="BD921">
        <f t="shared" si="578"/>
        <v>265.8</v>
      </c>
      <c r="BE921">
        <f t="shared" si="557"/>
        <v>5980.5</v>
      </c>
      <c r="BF921">
        <f t="shared" si="558"/>
        <v>3588.2999999999997</v>
      </c>
      <c r="BG921" s="19">
        <v>18.899999999999999</v>
      </c>
      <c r="BH921">
        <f t="shared" si="579"/>
        <v>13.229999999999999</v>
      </c>
      <c r="BI921">
        <f t="shared" si="559"/>
        <v>255.14999999999998</v>
      </c>
      <c r="BJ921">
        <f t="shared" si="580"/>
        <v>178.60499999999996</v>
      </c>
      <c r="BK921" s="19">
        <v>0</v>
      </c>
      <c r="BL921" s="19">
        <v>0</v>
      </c>
      <c r="BM921" s="17">
        <f>AW921+BE921+BK921</f>
        <v>5980.5</v>
      </c>
      <c r="BN921" s="17">
        <f>BM921</f>
        <v>5980.5</v>
      </c>
      <c r="BO921" s="17">
        <f t="shared" si="591"/>
        <v>3588.2999999999997</v>
      </c>
      <c r="BP921" s="17">
        <f>BO921</f>
        <v>3588.2999999999997</v>
      </c>
      <c r="BQ921" s="17">
        <f>BA921+BI921+BL921</f>
        <v>255.14999999999998</v>
      </c>
      <c r="BR921" s="17">
        <f>BQ921</f>
        <v>255.14999999999998</v>
      </c>
      <c r="BS921" s="17">
        <f>BQ921*0.7</f>
        <v>178.60499999999996</v>
      </c>
      <c r="BT921" s="17">
        <f>BS921</f>
        <v>178.60499999999996</v>
      </c>
      <c r="BU921" s="100"/>
    </row>
    <row r="922" x14ac:dyDescent="0.25">
      <c r="B922" t="s">
        <v>530</v>
      </c>
      <c r="E922" s="73"/>
      <c r="F922" s="73"/>
      <c r="H922" s="19">
        <v>-22.9</v>
      </c>
      <c r="I922" s="64" t="s">
        <v>270</v>
      </c>
      <c r="P922" s="93"/>
      <c r="R922" s="19">
        <f>$H$26</f>
        <v>-22.9</v>
      </c>
      <c r="S922">
        <f t="shared" si="561"/>
        <v>-13.739999999999998</v>
      </c>
      <c r="T922">
        <f>$I$49/2*R922</f>
        <v>0</v>
      </c>
      <c r="U922">
        <f t="shared" si="587"/>
        <v>0</v>
      </c>
      <c r="Z922" s="19">
        <f>$H$26</f>
        <v>-22.9</v>
      </c>
      <c r="AA922">
        <f>Z922*0.6</f>
        <v>-13.739999999999998</v>
      </c>
      <c r="AB922">
        <f>$J$49/2*Z922</f>
        <v>-309.14999999999998</v>
      </c>
      <c r="AC922">
        <f t="shared" si="553"/>
        <v>-185.48999999999998</v>
      </c>
      <c r="AR922" s="100"/>
      <c r="AS922" s="93"/>
      <c r="AU922" s="19">
        <f>$H$26</f>
        <v>-22.9</v>
      </c>
      <c r="AV922">
        <f t="shared" si="575"/>
        <v>-13.739999999999998</v>
      </c>
      <c r="AW922">
        <f t="shared" si="555"/>
        <v>0</v>
      </c>
      <c r="AX922">
        <f t="shared" si="589"/>
        <v>0</v>
      </c>
      <c r="BC922" s="19">
        <f>$H$26</f>
        <v>-22.9</v>
      </c>
      <c r="BD922">
        <f>BC922*0.6</f>
        <v>-13.739999999999998</v>
      </c>
      <c r="BE922">
        <f t="shared" si="557"/>
        <v>-309.14999999999998</v>
      </c>
      <c r="BF922">
        <f t="shared" si="558"/>
        <v>-185.48999999999998</v>
      </c>
      <c r="BU922" s="100"/>
    </row>
    <row r="923" x14ac:dyDescent="0.25">
      <c r="B923" t="s">
        <v>531</v>
      </c>
      <c r="C923" s="1" t="s">
        <v>533</v>
      </c>
      <c r="D923" s="19">
        <v>0.18</v>
      </c>
      <c r="E923" s="73"/>
      <c r="F923" s="73"/>
      <c r="H923">
        <f>0.2*D27</f>
        <v>3.5999999999999997E-2</v>
      </c>
      <c r="I923" s="64" t="s">
        <v>534</v>
      </c>
      <c r="P923" s="93"/>
      <c r="Q923" s="1"/>
      <c r="AR923" s="100"/>
      <c r="AS923" s="93"/>
      <c r="AT923" s="1"/>
      <c r="BU923" s="100"/>
    </row>
    <row r="924" x14ac:dyDescent="0.25">
      <c r="P924" s="93"/>
      <c r="Y924" s="112" t="s">
        <v>752</v>
      </c>
      <c r="Z924" s="112"/>
      <c r="AA924" s="112"/>
      <c r="AB924" s="112"/>
      <c r="AC924" s="112"/>
      <c r="AR924" s="100"/>
      <c r="AS924" s="93"/>
      <c r="BB924" s="112" t="s">
        <v>752</v>
      </c>
      <c r="BC924" s="112"/>
      <c r="BD924" s="112"/>
      <c r="BE924" s="112"/>
      <c r="BF924" s="112"/>
      <c r="BU924" s="100"/>
    </row>
    <row r="925" x14ac:dyDescent="0.25">
      <c r="B925" t="s">
        <v>513</v>
      </c>
      <c r="P925" s="93"/>
      <c r="Q925" t="s">
        <v>479</v>
      </c>
      <c r="R925" t="s">
        <v>491</v>
      </c>
      <c r="S925" t="s">
        <v>508</v>
      </c>
      <c r="T925" t="s">
        <v>507</v>
      </c>
      <c r="U925" t="s">
        <v>535</v>
      </c>
      <c r="V925" t="s">
        <v>536</v>
      </c>
      <c r="W925" t="s">
        <v>479</v>
      </c>
      <c r="X925" t="s">
        <v>537</v>
      </c>
      <c r="Y925" t="s">
        <v>450</v>
      </c>
      <c r="Z925" t="s">
        <v>451</v>
      </c>
      <c r="AA925" t="s">
        <v>452</v>
      </c>
      <c r="AB925" t="s">
        <v>453</v>
      </c>
      <c r="AC925" t="s">
        <v>753</v>
      </c>
      <c r="AD925" t="s">
        <v>519</v>
      </c>
      <c r="AR925" s="100"/>
      <c r="AS925" s="93"/>
      <c r="AT925" t="s">
        <v>479</v>
      </c>
      <c r="AU925" t="s">
        <v>491</v>
      </c>
      <c r="AV925" t="s">
        <v>508</v>
      </c>
      <c r="AW925" t="s">
        <v>507</v>
      </c>
      <c r="AX925" t="s">
        <v>535</v>
      </c>
      <c r="AY925" t="s">
        <v>536</v>
      </c>
      <c r="AZ925" t="s">
        <v>479</v>
      </c>
      <c r="BA925" t="s">
        <v>537</v>
      </c>
      <c r="BB925" t="s">
        <v>450</v>
      </c>
      <c r="BC925" t="s">
        <v>451</v>
      </c>
      <c r="BD925" t="s">
        <v>452</v>
      </c>
      <c r="BE925" t="s">
        <v>453</v>
      </c>
      <c r="BF925" t="s">
        <v>753</v>
      </c>
      <c r="BG925" t="s">
        <v>519</v>
      </c>
      <c r="BU925" s="100"/>
    </row>
    <row r="926" x14ac:dyDescent="0.25">
      <c r="B926" s="1" t="s">
        <v>275</v>
      </c>
      <c r="C926" s="19">
        <v>20</v>
      </c>
      <c r="D926" t="s">
        <v>567</v>
      </c>
      <c r="P926" s="93"/>
      <c r="Q926" s="109" t="str">
        <f>R912&amp;".01"</f>
        <v>A.01</v>
      </c>
      <c r="R926" s="19">
        <v>29</v>
      </c>
      <c r="S926" s="19">
        <v>12</v>
      </c>
      <c r="T926">
        <f>S926/2</f>
        <v>6</v>
      </c>
      <c r="U926" s="19">
        <v>4</v>
      </c>
      <c r="V926">
        <f>U926/2</f>
        <v>2</v>
      </c>
      <c r="W926" s="19" t="s">
        <v>515</v>
      </c>
      <c r="X926" s="19">
        <v>6</v>
      </c>
      <c r="Y926" s="19"/>
      <c r="Z926" s="19"/>
      <c r="AA926" s="19"/>
      <c r="AB926" s="19"/>
      <c r="AC926" s="19"/>
      <c r="AD926" s="108">
        <f>R926/R942</f>
        <v>1</v>
      </c>
      <c r="AR926" s="100"/>
      <c r="AS926" s="93"/>
      <c r="AT926" s="109" t="str">
        <f>AU$912&amp;".01"</f>
        <v>1.01</v>
      </c>
      <c r="AU926" s="19">
        <v>29</v>
      </c>
      <c r="AV926" s="19">
        <v>12</v>
      </c>
      <c r="AW926">
        <f>AV926/2</f>
        <v>6</v>
      </c>
      <c r="AX926" s="19">
        <v>4</v>
      </c>
      <c r="AY926">
        <f>AX926/2</f>
        <v>2</v>
      </c>
      <c r="AZ926" s="19" t="s">
        <v>515</v>
      </c>
      <c r="BA926" s="19">
        <v>6</v>
      </c>
      <c r="BB926" s="19"/>
      <c r="BC926" s="19"/>
      <c r="BD926" s="19"/>
      <c r="BE926" s="19"/>
      <c r="BF926" s="19"/>
      <c r="BG926" s="108">
        <f>AU926/AU942</f>
        <v>1</v>
      </c>
      <c r="BU926" s="100"/>
    </row>
    <row r="927" x14ac:dyDescent="0.25">
      <c r="B927" s="1"/>
      <c r="C927">
        <f>0.9*C30</f>
        <v>18</v>
      </c>
      <c r="D927" t="s">
        <v>532</v>
      </c>
      <c r="P927" s="93"/>
      <c r="Q927" s="109" t="str">
        <f>R912&amp;".02"</f>
        <v>A.02</v>
      </c>
      <c r="R927" s="19"/>
      <c r="S927" s="19"/>
      <c r="T927">
        <f t="shared" ref="T927:T941" si="592">S927/2</f>
        <v>0</v>
      </c>
      <c r="U927" s="19"/>
      <c r="V927">
        <f t="shared" ref="V927:V941" si="593">U927/2</f>
        <v>0</v>
      </c>
      <c r="W927" s="19"/>
      <c r="X927" s="19"/>
      <c r="Y927" s="19"/>
      <c r="Z927" s="19"/>
      <c r="AA927" s="19"/>
      <c r="AB927" s="19"/>
      <c r="AC927" s="19"/>
      <c r="AR927" s="100"/>
      <c r="AS927" s="93"/>
      <c r="AT927" s="109" t="str">
        <f>AU$912&amp;".02"</f>
        <v>1.02</v>
      </c>
      <c r="AU927" s="19"/>
      <c r="AV927" s="19"/>
      <c r="AW927">
        <f t="shared" ref="AW927:AW941" si="594">AV927/2</f>
        <v>0</v>
      </c>
      <c r="AX927" s="19"/>
      <c r="AY927">
        <f t="shared" ref="AY927:AY941" si="595">AX927/2</f>
        <v>0</v>
      </c>
      <c r="AZ927" s="19"/>
      <c r="BA927" s="19"/>
      <c r="BB927" s="19"/>
      <c r="BC927" s="19"/>
      <c r="BD927" s="19"/>
      <c r="BE927" s="19"/>
      <c r="BF927" s="19"/>
      <c r="BU927" s="100"/>
    </row>
    <row r="928" x14ac:dyDescent="0.25">
      <c r="B928" s="1" t="s">
        <v>514</v>
      </c>
      <c r="C928" s="19">
        <v>26</v>
      </c>
      <c r="D928" t="s">
        <v>512</v>
      </c>
      <c r="P928" s="93"/>
      <c r="Q928" s="109" t="str">
        <f>R912&amp;".03"</f>
        <v>A.03</v>
      </c>
      <c r="R928" s="19"/>
      <c r="S928" s="19"/>
      <c r="T928">
        <f t="shared" si="592"/>
        <v>0</v>
      </c>
      <c r="U928" s="19"/>
      <c r="V928">
        <f t="shared" si="593"/>
        <v>0</v>
      </c>
      <c r="W928" s="19"/>
      <c r="X928" s="19"/>
      <c r="Y928" s="19"/>
      <c r="Z928" s="19"/>
      <c r="AA928" s="19"/>
      <c r="AB928" s="19"/>
      <c r="AC928" s="19"/>
      <c r="AR928" s="100"/>
      <c r="AS928" s="93"/>
      <c r="AT928" s="109" t="str">
        <f>AU$912&amp;".03"</f>
        <v>1.03</v>
      </c>
      <c r="AU928" s="19"/>
      <c r="AV928" s="19"/>
      <c r="AW928">
        <f t="shared" si="594"/>
        <v>0</v>
      </c>
      <c r="AX928" s="19"/>
      <c r="AY928">
        <f t="shared" si="595"/>
        <v>0</v>
      </c>
      <c r="AZ928" s="19"/>
      <c r="BA928" s="19"/>
      <c r="BB928" s="19"/>
      <c r="BC928" s="19"/>
      <c r="BD928" s="19"/>
      <c r="BE928" s="19"/>
      <c r="BF928" s="19"/>
      <c r="BU928" s="100"/>
    </row>
    <row r="929" x14ac:dyDescent="0.25">
      <c r="B929" s="1" t="s">
        <v>477</v>
      </c>
      <c r="C929" s="19">
        <v>11</v>
      </c>
      <c r="D929" t="s">
        <v>509</v>
      </c>
      <c r="P929" s="93"/>
      <c r="Q929" s="109" t="str">
        <f>R912&amp;".04"</f>
        <v>A.04</v>
      </c>
      <c r="R929" s="19"/>
      <c r="S929" s="19"/>
      <c r="T929">
        <f t="shared" si="592"/>
        <v>0</v>
      </c>
      <c r="U929" s="19"/>
      <c r="V929">
        <f t="shared" si="593"/>
        <v>0</v>
      </c>
      <c r="W929" s="19"/>
      <c r="X929" s="19"/>
      <c r="Y929" s="19"/>
      <c r="Z929" s="19"/>
      <c r="AA929" s="19"/>
      <c r="AB929" s="19"/>
      <c r="AC929" s="19"/>
      <c r="AR929" s="100"/>
      <c r="AS929" s="93"/>
      <c r="AT929" s="109" t="str">
        <f>AU$912&amp;".04"</f>
        <v>1.04</v>
      </c>
      <c r="AU929" s="19"/>
      <c r="AV929" s="19"/>
      <c r="AW929">
        <f t="shared" si="594"/>
        <v>0</v>
      </c>
      <c r="AX929" s="19"/>
      <c r="AY929">
        <f t="shared" si="595"/>
        <v>0</v>
      </c>
      <c r="AZ929" s="19"/>
      <c r="BA929" s="19"/>
      <c r="BB929" s="19"/>
      <c r="BC929" s="19"/>
      <c r="BD929" s="19"/>
      <c r="BE929" s="19"/>
      <c r="BF929" s="19"/>
      <c r="BU929" s="100"/>
    </row>
    <row r="930" x14ac:dyDescent="0.25">
      <c r="B930" s="1" t="s">
        <v>478</v>
      </c>
      <c r="C930" s="19">
        <v>13</v>
      </c>
      <c r="D930" t="s">
        <v>510</v>
      </c>
      <c r="P930" s="93"/>
      <c r="Q930" s="109" t="str">
        <f>R912&amp;".05"</f>
        <v>A.05</v>
      </c>
      <c r="R930" s="19"/>
      <c r="S930" s="19"/>
      <c r="T930">
        <f t="shared" si="592"/>
        <v>0</v>
      </c>
      <c r="U930" s="19"/>
      <c r="V930">
        <f t="shared" si="593"/>
        <v>0</v>
      </c>
      <c r="W930" s="19"/>
      <c r="X930" s="19"/>
      <c r="Y930" s="19"/>
      <c r="Z930" s="19"/>
      <c r="AA930" s="19"/>
      <c r="AB930" s="19"/>
      <c r="AC930" s="19"/>
      <c r="AR930" s="100"/>
      <c r="AS930" s="93"/>
      <c r="AT930" s="109" t="str">
        <f>AU$912&amp;".05"</f>
        <v>1.05</v>
      </c>
      <c r="AU930" s="19"/>
      <c r="AV930" s="19"/>
      <c r="AW930">
        <f t="shared" si="594"/>
        <v>0</v>
      </c>
      <c r="AX930" s="19"/>
      <c r="AY930">
        <f t="shared" si="595"/>
        <v>0</v>
      </c>
      <c r="AZ930" s="19"/>
      <c r="BA930" s="19"/>
      <c r="BB930" s="19"/>
      <c r="BC930" s="19"/>
      <c r="BD930" s="19"/>
      <c r="BE930" s="19"/>
      <c r="BF930" s="19"/>
      <c r="BU930" s="100"/>
    </row>
    <row r="931" x14ac:dyDescent="0.25">
      <c r="B931" s="1" t="s">
        <v>515</v>
      </c>
      <c r="C931" s="19">
        <v>18</v>
      </c>
      <c r="D931" t="s">
        <v>511</v>
      </c>
      <c r="P931" s="93"/>
      <c r="Q931" s="109" t="str">
        <f>R912&amp;".06"</f>
        <v>A.06</v>
      </c>
      <c r="R931" s="19"/>
      <c r="S931" s="19"/>
      <c r="T931">
        <f t="shared" si="592"/>
        <v>0</v>
      </c>
      <c r="U931" s="19"/>
      <c r="V931">
        <f t="shared" si="593"/>
        <v>0</v>
      </c>
      <c r="W931" s="19"/>
      <c r="X931" s="19"/>
      <c r="Y931" s="19"/>
      <c r="Z931" s="19"/>
      <c r="AA931" s="19"/>
      <c r="AB931" s="19"/>
      <c r="AC931" s="19"/>
      <c r="AR931" s="100"/>
      <c r="AS931" s="93"/>
      <c r="AT931" s="109" t="str">
        <f>AU$912&amp;".06"</f>
        <v>1.06</v>
      </c>
      <c r="AU931" s="19"/>
      <c r="AV931" s="19"/>
      <c r="AW931">
        <f t="shared" si="594"/>
        <v>0</v>
      </c>
      <c r="AX931" s="19"/>
      <c r="AY931">
        <f t="shared" si="595"/>
        <v>0</v>
      </c>
      <c r="AZ931" s="19"/>
      <c r="BA931" s="19"/>
      <c r="BB931" s="19"/>
      <c r="BC931" s="19"/>
      <c r="BD931" s="19"/>
      <c r="BE931" s="19"/>
      <c r="BF931" s="19"/>
      <c r="BU931" s="100"/>
    </row>
    <row r="932" x14ac:dyDescent="0.25">
      <c r="B932" s="1" t="s">
        <v>516</v>
      </c>
      <c r="P932" s="93"/>
      <c r="Q932" s="109" t="str">
        <f>R912&amp;".07"</f>
        <v>A.07</v>
      </c>
      <c r="R932" s="19"/>
      <c r="S932" s="19"/>
      <c r="T932">
        <f t="shared" si="592"/>
        <v>0</v>
      </c>
      <c r="U932" s="19"/>
      <c r="V932">
        <f t="shared" si="593"/>
        <v>0</v>
      </c>
      <c r="W932" s="19"/>
      <c r="X932" s="19"/>
      <c r="Y932" s="19"/>
      <c r="Z932" s="19"/>
      <c r="AA932" s="19"/>
      <c r="AB932" s="19"/>
      <c r="AC932" s="19"/>
      <c r="AF932" s="109"/>
      <c r="AR932" s="100"/>
      <c r="AS932" s="93"/>
      <c r="AT932" s="109" t="str">
        <f>AU$912&amp;".07"</f>
        <v>1.07</v>
      </c>
      <c r="AU932" s="19"/>
      <c r="AV932" s="19"/>
      <c r="AW932">
        <f t="shared" si="594"/>
        <v>0</v>
      </c>
      <c r="AX932" s="19"/>
      <c r="AY932">
        <f t="shared" si="595"/>
        <v>0</v>
      </c>
      <c r="AZ932" s="19"/>
      <c r="BA932" s="19"/>
      <c r="BB932" s="19"/>
      <c r="BC932" s="19"/>
      <c r="BD932" s="19"/>
      <c r="BE932" s="19"/>
      <c r="BF932" s="19"/>
      <c r="BI932" s="109"/>
      <c r="BU932" s="100"/>
    </row>
    <row r="933" x14ac:dyDescent="0.25">
      <c r="B933" s="1" t="s">
        <v>517</v>
      </c>
      <c r="P933" s="93"/>
      <c r="Q933" s="109" t="str">
        <f>R912&amp;".08"</f>
        <v>A.08</v>
      </c>
      <c r="R933" s="19"/>
      <c r="S933" s="19"/>
      <c r="T933">
        <f t="shared" si="592"/>
        <v>0</v>
      </c>
      <c r="U933" s="19"/>
      <c r="V933">
        <f t="shared" si="593"/>
        <v>0</v>
      </c>
      <c r="W933" s="19"/>
      <c r="X933" s="19"/>
      <c r="Y933" s="19"/>
      <c r="Z933" s="19"/>
      <c r="AA933" s="19"/>
      <c r="AB933" s="19"/>
      <c r="AC933" s="19"/>
      <c r="AF933" s="109"/>
      <c r="AR933" s="100"/>
      <c r="AS933" s="93"/>
      <c r="AT933" s="109" t="str">
        <f>AU$912&amp;".08"</f>
        <v>1.08</v>
      </c>
      <c r="AU933" s="19"/>
      <c r="AV933" s="19"/>
      <c r="AW933">
        <f t="shared" si="594"/>
        <v>0</v>
      </c>
      <c r="AX933" s="19"/>
      <c r="AY933">
        <f t="shared" si="595"/>
        <v>0</v>
      </c>
      <c r="AZ933" s="19"/>
      <c r="BA933" s="19"/>
      <c r="BB933" s="19"/>
      <c r="BC933" s="19"/>
      <c r="BD933" s="19"/>
      <c r="BE933" s="19"/>
      <c r="BF933" s="19"/>
      <c r="BI933" s="109"/>
      <c r="BU933" s="100"/>
    </row>
    <row r="934" x14ac:dyDescent="0.25">
      <c r="B934" s="1" t="s">
        <v>518</v>
      </c>
      <c r="P934" s="93"/>
      <c r="Q934" s="109" t="str">
        <f>R912&amp;".09"</f>
        <v>A.09</v>
      </c>
      <c r="R934" s="19"/>
      <c r="S934" s="19"/>
      <c r="T934">
        <f t="shared" si="592"/>
        <v>0</v>
      </c>
      <c r="U934" s="19"/>
      <c r="V934">
        <f t="shared" si="593"/>
        <v>0</v>
      </c>
      <c r="W934" s="19"/>
      <c r="X934" s="19"/>
      <c r="Y934" s="19"/>
      <c r="Z934" s="19"/>
      <c r="AA934" s="19"/>
      <c r="AB934" s="19"/>
      <c r="AC934" s="19"/>
      <c r="AF934" s="109"/>
      <c r="AR934" s="100"/>
      <c r="AS934" s="93"/>
      <c r="AT934" s="109" t="str">
        <f>AU$912&amp;".09"</f>
        <v>1.09</v>
      </c>
      <c r="AU934" s="19"/>
      <c r="AV934" s="19"/>
      <c r="AW934">
        <f t="shared" si="594"/>
        <v>0</v>
      </c>
      <c r="AX934" s="19"/>
      <c r="AY934">
        <f t="shared" si="595"/>
        <v>0</v>
      </c>
      <c r="AZ934" s="19"/>
      <c r="BA934" s="19"/>
      <c r="BB934" s="19"/>
      <c r="BC934" s="19"/>
      <c r="BD934" s="19"/>
      <c r="BE934" s="19"/>
      <c r="BF934" s="19"/>
      <c r="BI934" s="109"/>
      <c r="BU934" s="100"/>
    </row>
    <row r="935" x14ac:dyDescent="0.25">
      <c r="P935" s="93"/>
      <c r="Q935" s="109" t="str">
        <f>R912&amp;".10"</f>
        <v>A.10</v>
      </c>
      <c r="R935" s="19"/>
      <c r="S935" s="19"/>
      <c r="T935">
        <f t="shared" si="592"/>
        <v>0</v>
      </c>
      <c r="U935" s="19"/>
      <c r="V935">
        <f t="shared" si="593"/>
        <v>0</v>
      </c>
      <c r="W935" s="19"/>
      <c r="X935" s="19"/>
      <c r="Y935" s="19"/>
      <c r="Z935" s="19"/>
      <c r="AA935" s="19"/>
      <c r="AB935" s="19"/>
      <c r="AC935" s="19"/>
      <c r="AF935" s="109"/>
      <c r="AR935" s="100"/>
      <c r="AS935" s="93"/>
      <c r="AT935" s="109" t="str">
        <f>AU$912&amp;".10"</f>
        <v>1.10</v>
      </c>
      <c r="AU935" s="19"/>
      <c r="AV935" s="19"/>
      <c r="AW935">
        <f t="shared" si="594"/>
        <v>0</v>
      </c>
      <c r="AX935" s="19"/>
      <c r="AY935">
        <f t="shared" si="595"/>
        <v>0</v>
      </c>
      <c r="AZ935" s="19"/>
      <c r="BA935" s="19"/>
      <c r="BB935" s="19"/>
      <c r="BC935" s="19"/>
      <c r="BD935" s="19"/>
      <c r="BE935" s="19"/>
      <c r="BF935" s="19"/>
      <c r="BI935" s="109"/>
      <c r="BU935" s="100"/>
    </row>
    <row r="936" x14ac:dyDescent="0.25">
      <c r="C936" s="112" t="s">
        <v>495</v>
      </c>
      <c r="D936" s="112"/>
      <c r="E936" s="112"/>
      <c r="I936" s="112" t="s">
        <v>495</v>
      </c>
      <c r="J936" s="112"/>
      <c r="K936" s="112"/>
      <c r="P936" s="93"/>
      <c r="Q936" s="109" t="str">
        <f>R912&amp;".11"</f>
        <v>A.11</v>
      </c>
      <c r="R936" s="19"/>
      <c r="S936" s="19"/>
      <c r="T936">
        <f t="shared" si="592"/>
        <v>0</v>
      </c>
      <c r="U936" s="19"/>
      <c r="V936">
        <f t="shared" si="593"/>
        <v>0</v>
      </c>
      <c r="W936" s="19"/>
      <c r="X936" s="19"/>
      <c r="Y936" s="19"/>
      <c r="Z936" s="19"/>
      <c r="AA936" s="19"/>
      <c r="AB936" s="19"/>
      <c r="AC936" s="19"/>
      <c r="AF936" s="109"/>
      <c r="AR936" s="100"/>
      <c r="AS936" s="93"/>
      <c r="AT936" s="109" t="str">
        <f>AU$912&amp;".11"</f>
        <v>1.11</v>
      </c>
      <c r="AU936" s="19"/>
      <c r="AV936" s="19"/>
      <c r="AW936">
        <f t="shared" si="594"/>
        <v>0</v>
      </c>
      <c r="AX936" s="19"/>
      <c r="AY936">
        <f t="shared" si="595"/>
        <v>0</v>
      </c>
      <c r="AZ936" s="19"/>
      <c r="BA936" s="19"/>
      <c r="BB936" s="19"/>
      <c r="BC936" s="19"/>
      <c r="BD936" s="19"/>
      <c r="BE936" s="19"/>
      <c r="BF936" s="19"/>
      <c r="BI936" s="109"/>
      <c r="BU936" s="100"/>
    </row>
    <row r="937" x14ac:dyDescent="0.25">
      <c r="B937" t="s">
        <v>474</v>
      </c>
      <c r="C937" t="s">
        <v>492</v>
      </c>
      <c r="D937" t="s">
        <v>493</v>
      </c>
      <c r="E937" t="s">
        <v>494</v>
      </c>
      <c r="H937" t="s">
        <v>455</v>
      </c>
      <c r="I937" t="s">
        <v>492</v>
      </c>
      <c r="J937" t="s">
        <v>493</v>
      </c>
      <c r="K937" t="s">
        <v>494</v>
      </c>
      <c r="P937" s="93"/>
      <c r="Q937" s="109" t="str">
        <f>R912&amp;".12"</f>
        <v>A.12</v>
      </c>
      <c r="R937" s="19"/>
      <c r="S937" s="19"/>
      <c r="T937">
        <f t="shared" si="592"/>
        <v>0</v>
      </c>
      <c r="U937" s="19"/>
      <c r="V937">
        <f t="shared" si="593"/>
        <v>0</v>
      </c>
      <c r="W937" s="19"/>
      <c r="X937" s="19"/>
      <c r="Y937" s="19"/>
      <c r="Z937" s="19"/>
      <c r="AA937" s="19"/>
      <c r="AB937" s="19"/>
      <c r="AC937" s="19"/>
      <c r="AF937" s="109"/>
      <c r="AR937" s="100"/>
      <c r="AS937" s="93"/>
      <c r="AT937" s="109" t="str">
        <f>AU$912&amp;".12"</f>
        <v>1.12</v>
      </c>
      <c r="AU937" s="19"/>
      <c r="AV937" s="19"/>
      <c r="AW937">
        <f t="shared" si="594"/>
        <v>0</v>
      </c>
      <c r="AX937" s="19"/>
      <c r="AY937">
        <f t="shared" si="595"/>
        <v>0</v>
      </c>
      <c r="AZ937" s="19"/>
      <c r="BA937" s="19"/>
      <c r="BB937" s="19"/>
      <c r="BC937" s="19"/>
      <c r="BD937" s="19"/>
      <c r="BE937" s="19"/>
      <c r="BF937" s="19"/>
      <c r="BI937" s="109"/>
      <c r="BU937" s="100"/>
    </row>
    <row r="938" x14ac:dyDescent="0.25">
      <c r="B938" t="s">
        <v>274</v>
      </c>
      <c r="C938" s="19">
        <v>0</v>
      </c>
      <c r="D938" s="19">
        <v>29</v>
      </c>
      <c r="E938">
        <f>C49+D49</f>
        <v>29</v>
      </c>
      <c r="H938">
        <v>1</v>
      </c>
      <c r="I938" s="19">
        <v>0</v>
      </c>
      <c r="J938" s="19">
        <v>27</v>
      </c>
      <c r="K938">
        <f>I49+J49</f>
        <v>27</v>
      </c>
      <c r="P938" s="93"/>
      <c r="Q938" s="109" t="str">
        <f>R912&amp;".13"</f>
        <v>A.13</v>
      </c>
      <c r="R938" s="19"/>
      <c r="S938" s="19"/>
      <c r="T938">
        <f t="shared" si="592"/>
        <v>0</v>
      </c>
      <c r="U938" s="19"/>
      <c r="V938">
        <f t="shared" si="593"/>
        <v>0</v>
      </c>
      <c r="W938" s="19"/>
      <c r="X938" s="19"/>
      <c r="Y938" s="19"/>
      <c r="Z938" s="19"/>
      <c r="AA938" s="19"/>
      <c r="AB938" s="19"/>
      <c r="AC938" s="19"/>
      <c r="AF938" s="109"/>
      <c r="AR938" s="100"/>
      <c r="AS938" s="93"/>
      <c r="AT938" s="109" t="str">
        <f>AU$912&amp;".13"</f>
        <v>1.13</v>
      </c>
      <c r="AU938" s="19"/>
      <c r="AV938" s="19"/>
      <c r="AW938">
        <f t="shared" si="594"/>
        <v>0</v>
      </c>
      <c r="AX938" s="19"/>
      <c r="AY938">
        <f t="shared" si="595"/>
        <v>0</v>
      </c>
      <c r="AZ938" s="19"/>
      <c r="BA938" s="19"/>
      <c r="BB938" s="19"/>
      <c r="BC938" s="19"/>
      <c r="BD938" s="19"/>
      <c r="BE938" s="19"/>
      <c r="BF938" s="19"/>
      <c r="BI938" s="109"/>
      <c r="BU938" s="100"/>
    </row>
    <row r="939" x14ac:dyDescent="0.25">
      <c r="B939" t="s">
        <v>279</v>
      </c>
      <c r="C939" s="19">
        <v>29</v>
      </c>
      <c r="D939" s="19">
        <v>6</v>
      </c>
      <c r="E939">
        <f t="shared" ref="E43:E67" si="596">C43+D43</f>
        <v>35</v>
      </c>
      <c r="H939">
        <v>2</v>
      </c>
      <c r="I939" s="19">
        <v>27</v>
      </c>
      <c r="J939" s="19">
        <v>14</v>
      </c>
      <c r="K939">
        <f t="shared" ref="K43:K67" si="597">I43+J43</f>
        <v>41</v>
      </c>
      <c r="P939" s="93"/>
      <c r="Q939" s="109" t="str">
        <f>R912&amp;".14"</f>
        <v>A.14</v>
      </c>
      <c r="R939" s="19"/>
      <c r="S939" s="19"/>
      <c r="T939">
        <f t="shared" si="592"/>
        <v>0</v>
      </c>
      <c r="U939" s="19"/>
      <c r="V939">
        <f t="shared" si="593"/>
        <v>0</v>
      </c>
      <c r="W939" s="19"/>
      <c r="X939" s="19"/>
      <c r="Y939" s="19"/>
      <c r="Z939" s="19"/>
      <c r="AA939" s="19"/>
      <c r="AB939" s="19"/>
      <c r="AC939" s="19"/>
      <c r="AF939" s="109"/>
      <c r="AR939" s="100"/>
      <c r="AS939" s="93"/>
      <c r="AT939" s="109" t="str">
        <f>AU$912&amp;".14"</f>
        <v>1.14</v>
      </c>
      <c r="AU939" s="19"/>
      <c r="AV939" s="19"/>
      <c r="AW939">
        <f t="shared" si="594"/>
        <v>0</v>
      </c>
      <c r="AX939" s="19"/>
      <c r="AY939">
        <f t="shared" si="595"/>
        <v>0</v>
      </c>
      <c r="AZ939" s="19"/>
      <c r="BA939" s="19"/>
      <c r="BB939" s="19"/>
      <c r="BC939" s="19"/>
      <c r="BD939" s="19"/>
      <c r="BE939" s="19"/>
      <c r="BF939" s="19"/>
      <c r="BI939" s="109"/>
      <c r="BU939" s="100"/>
    </row>
    <row r="940" x14ac:dyDescent="0.25">
      <c r="B940" t="s">
        <v>283</v>
      </c>
      <c r="C940" s="19">
        <v>6</v>
      </c>
      <c r="D940" s="19">
        <v>29</v>
      </c>
      <c r="E940">
        <f t="shared" si="596"/>
        <v>35</v>
      </c>
      <c r="H940">
        <v>3</v>
      </c>
      <c r="I940" s="19">
        <v>14</v>
      </c>
      <c r="J940" s="19">
        <v>13</v>
      </c>
      <c r="K940">
        <f t="shared" si="597"/>
        <v>27</v>
      </c>
      <c r="P940" s="93"/>
      <c r="Q940" s="109" t="str">
        <f>R912&amp;".15"</f>
        <v>A.15</v>
      </c>
      <c r="R940" s="19"/>
      <c r="S940" s="19"/>
      <c r="T940">
        <f t="shared" si="592"/>
        <v>0</v>
      </c>
      <c r="U940" s="19"/>
      <c r="V940">
        <f t="shared" si="593"/>
        <v>0</v>
      </c>
      <c r="W940" s="19"/>
      <c r="X940" s="19"/>
      <c r="Y940" s="19"/>
      <c r="Z940" s="19"/>
      <c r="AA940" s="19"/>
      <c r="AB940" s="19"/>
      <c r="AC940" s="19"/>
      <c r="AF940" s="109"/>
      <c r="AR940" s="100"/>
      <c r="AS940" s="93"/>
      <c r="AT940" s="109" t="str">
        <f>AU$912&amp;".15"</f>
        <v>1.15</v>
      </c>
      <c r="AU940" s="19"/>
      <c r="AV940" s="19"/>
      <c r="AW940">
        <f t="shared" si="594"/>
        <v>0</v>
      </c>
      <c r="AX940" s="19"/>
      <c r="AY940">
        <f t="shared" si="595"/>
        <v>0</v>
      </c>
      <c r="AZ940" s="19"/>
      <c r="BA940" s="19"/>
      <c r="BB940" s="19"/>
      <c r="BC940" s="19"/>
      <c r="BD940" s="19"/>
      <c r="BE940" s="19"/>
      <c r="BF940" s="19"/>
      <c r="BI940" s="109"/>
      <c r="BU940" s="100"/>
    </row>
    <row r="941" x14ac:dyDescent="0.25">
      <c r="B941" t="s">
        <v>287</v>
      </c>
      <c r="C941" s="19">
        <v>26</v>
      </c>
      <c r="D941" s="19">
        <v>26</v>
      </c>
      <c r="E941">
        <f t="shared" si="596"/>
        <v>52</v>
      </c>
      <c r="F941" t="s">
        <v>506</v>
      </c>
      <c r="H941">
        <v>4</v>
      </c>
      <c r="I941" s="19">
        <v>13</v>
      </c>
      <c r="J941" s="19">
        <v>27</v>
      </c>
      <c r="K941">
        <f t="shared" si="597"/>
        <v>40</v>
      </c>
      <c r="P941" s="93"/>
      <c r="Q941" s="109" t="str">
        <f>R912&amp;".16"</f>
        <v>A.16</v>
      </c>
      <c r="R941" s="19"/>
      <c r="S941" s="19"/>
      <c r="T941">
        <f t="shared" si="592"/>
        <v>0</v>
      </c>
      <c r="U941" s="19"/>
      <c r="V941">
        <f t="shared" si="593"/>
        <v>0</v>
      </c>
      <c r="W941" s="19"/>
      <c r="X941" s="19"/>
      <c r="Y941" s="19"/>
      <c r="Z941" s="19"/>
      <c r="AA941" s="19"/>
      <c r="AB941" s="19"/>
      <c r="AC941" s="19"/>
      <c r="AF941" s="109"/>
      <c r="AR941" s="100"/>
      <c r="AS941" s="93"/>
      <c r="AT941" s="109" t="str">
        <f>AU$912&amp;".16"</f>
        <v>1.16</v>
      </c>
      <c r="AU941" s="19"/>
      <c r="AV941" s="19"/>
      <c r="AW941">
        <f t="shared" si="594"/>
        <v>0</v>
      </c>
      <c r="AX941" s="19"/>
      <c r="AY941">
        <f t="shared" si="595"/>
        <v>0</v>
      </c>
      <c r="AZ941" s="19"/>
      <c r="BA941" s="19"/>
      <c r="BB941" s="19"/>
      <c r="BC941" s="19"/>
      <c r="BD941" s="19"/>
      <c r="BE941" s="19"/>
      <c r="BF941" s="19"/>
      <c r="BI941" s="109"/>
      <c r="BU941" s="100"/>
    </row>
    <row r="942" x14ac:dyDescent="0.25">
      <c r="B942" t="s">
        <v>288</v>
      </c>
      <c r="C942" s="19">
        <v>29</v>
      </c>
      <c r="D942" s="19">
        <v>0</v>
      </c>
      <c r="E942">
        <f t="shared" si="596"/>
        <v>29</v>
      </c>
      <c r="H942">
        <v>5</v>
      </c>
      <c r="I942" s="19">
        <v>27</v>
      </c>
      <c r="J942" s="19">
        <v>11</v>
      </c>
      <c r="K942">
        <f t="shared" si="597"/>
        <v>38</v>
      </c>
      <c r="P942" s="93"/>
      <c r="R942">
        <f>SUM(R926:R941)</f>
        <v>29</v>
      </c>
      <c r="AR942" s="100"/>
      <c r="AS942" s="93"/>
      <c r="AU942">
        <f>SUM(AU926:AU941)</f>
        <v>29</v>
      </c>
      <c r="BU942" s="100"/>
    </row>
    <row r="943" x14ac:dyDescent="0.25">
      <c r="B943" t="s">
        <v>293</v>
      </c>
      <c r="C943" s="19">
        <v>17</v>
      </c>
      <c r="D943" s="19">
        <v>27</v>
      </c>
      <c r="E943">
        <f t="shared" si="596"/>
        <v>44</v>
      </c>
      <c r="H943">
        <v>6</v>
      </c>
      <c r="I943" s="19">
        <v>11</v>
      </c>
      <c r="J943" s="19">
        <v>6</v>
      </c>
      <c r="K943">
        <f t="shared" si="597"/>
        <v>17</v>
      </c>
      <c r="P943" s="93"/>
      <c r="AP943" t="s">
        <v>746</v>
      </c>
      <c r="AR943" s="100"/>
      <c r="AS943" s="93"/>
      <c r="BS943" t="s">
        <v>746</v>
      </c>
      <c r="BU943" s="100"/>
    </row>
    <row r="944" x14ac:dyDescent="0.25">
      <c r="B944" t="s">
        <v>456</v>
      </c>
      <c r="C944" s="19">
        <v>27</v>
      </c>
      <c r="D944" s="19">
        <v>27</v>
      </c>
      <c r="E944">
        <f t="shared" si="596"/>
        <v>54</v>
      </c>
      <c r="H944">
        <v>7</v>
      </c>
      <c r="I944" s="19">
        <v>6</v>
      </c>
      <c r="J944" s="19">
        <v>11</v>
      </c>
      <c r="K944">
        <f t="shared" si="597"/>
        <v>17</v>
      </c>
      <c r="P944" s="93"/>
      <c r="Q944" t="s">
        <v>525</v>
      </c>
      <c r="R944" t="s">
        <v>263</v>
      </c>
      <c r="S944" t="s">
        <v>526</v>
      </c>
      <c r="T944" t="s">
        <v>570</v>
      </c>
      <c r="U944" t="s">
        <v>571</v>
      </c>
      <c r="V944" t="s">
        <v>572</v>
      </c>
      <c r="W944" t="s">
        <v>539</v>
      </c>
      <c r="X944" t="s">
        <v>538</v>
      </c>
      <c r="Z944" t="s">
        <v>522</v>
      </c>
      <c r="AA944" t="s">
        <v>523</v>
      </c>
      <c r="AB944" t="s">
        <v>541</v>
      </c>
      <c r="AC944" t="s">
        <v>540</v>
      </c>
      <c r="AD944" t="s">
        <v>542</v>
      </c>
      <c r="AE944" t="s">
        <v>520</v>
      </c>
      <c r="AF944" t="s">
        <v>521</v>
      </c>
      <c r="AG944" t="s">
        <v>527</v>
      </c>
      <c r="AH944" t="s">
        <v>528</v>
      </c>
      <c r="AI944" t="s">
        <v>543</v>
      </c>
      <c r="AJ944" t="s">
        <v>744</v>
      </c>
      <c r="AK944" t="s">
        <v>745</v>
      </c>
      <c r="AL944" t="s">
        <v>749</v>
      </c>
      <c r="AM944" t="s">
        <v>750</v>
      </c>
      <c r="AN944" t="s">
        <v>751</v>
      </c>
      <c r="AP944" t="s">
        <v>747</v>
      </c>
      <c r="AQ944" t="s">
        <v>748</v>
      </c>
      <c r="AR944" s="100"/>
      <c r="AS944" s="93"/>
      <c r="AT944" t="s">
        <v>525</v>
      </c>
      <c r="AU944" t="s">
        <v>263</v>
      </c>
      <c r="AV944" t="s">
        <v>526</v>
      </c>
      <c r="AW944" t="s">
        <v>570</v>
      </c>
      <c r="AX944" t="s">
        <v>571</v>
      </c>
      <c r="AY944" t="s">
        <v>572</v>
      </c>
      <c r="AZ944" t="s">
        <v>539</v>
      </c>
      <c r="BA944" t="s">
        <v>538</v>
      </c>
      <c r="BC944" t="s">
        <v>522</v>
      </c>
      <c r="BD944" t="s">
        <v>523</v>
      </c>
      <c r="BE944" t="s">
        <v>541</v>
      </c>
      <c r="BF944" t="s">
        <v>540</v>
      </c>
      <c r="BG944" t="s">
        <v>542</v>
      </c>
      <c r="BH944" t="s">
        <v>520</v>
      </c>
      <c r="BI944" t="s">
        <v>521</v>
      </c>
      <c r="BJ944" t="s">
        <v>527</v>
      </c>
      <c r="BK944" t="s">
        <v>528</v>
      </c>
      <c r="BL944" t="s">
        <v>543</v>
      </c>
      <c r="BM944" t="s">
        <v>744</v>
      </c>
      <c r="BN944" t="s">
        <v>745</v>
      </c>
      <c r="BO944" t="s">
        <v>749</v>
      </c>
      <c r="BP944" t="s">
        <v>750</v>
      </c>
      <c r="BQ944" t="s">
        <v>751</v>
      </c>
      <c r="BS944" t="s">
        <v>747</v>
      </c>
      <c r="BT944" t="s">
        <v>748</v>
      </c>
      <c r="BU944" s="100"/>
    </row>
    <row r="945" x14ac:dyDescent="0.25">
      <c r="B945" t="s">
        <v>457</v>
      </c>
      <c r="C945" s="19">
        <v>27</v>
      </c>
      <c r="D945" s="19">
        <v>27</v>
      </c>
      <c r="E945">
        <f t="shared" si="596"/>
        <v>54</v>
      </c>
      <c r="H945">
        <v>8</v>
      </c>
      <c r="I945" s="19">
        <v>20</v>
      </c>
      <c r="J945" s="19">
        <v>0</v>
      </c>
      <c r="K945">
        <f t="shared" si="597"/>
        <v>20</v>
      </c>
      <c r="L945" t="s">
        <v>506</v>
      </c>
      <c r="P945" s="93"/>
      <c r="Q945" s="110" t="str">
        <f>$Q$926</f>
        <v>A.01</v>
      </c>
      <c r="R945" t="str">
        <f>$Q$917</f>
        <v>L2</v>
      </c>
      <c r="S945">
        <f>$E$21</f>
        <v>10.6875</v>
      </c>
      <c r="T945" cm="1">
        <f t="array" ref="T945">IFERROR(IF(S945=0,0,(INDEX($C$33:$C$38,MATCH($W$926,$B$33:$B$38,0),0)*(S949+$X$926)+$T$926*COUNTIF(S945:S948,"&gt;0")*$C$32+$V$926*$C$31)*$R$926),0)</f>
        <v>30539.71875</v>
      </c>
      <c r="U945">
        <f>IF(S945=0,0,-(COUNTIF(S945:S948,"&gt;0")*$T$926*$C$32+$V$926*$C$31)*$H$27*$R$926)</f>
        <v>-363.31199999999995</v>
      </c>
      <c r="V945">
        <f>IF(S945=0,0,$V$926*$H$26*$R$926)</f>
        <v>-1328.1999999999998</v>
      </c>
      <c r="W945">
        <f>(0.6*T945+0.7*U945)*$R$926/2</f>
        <v>262007.93632499999</v>
      </c>
      <c r="X945">
        <f>(0.6*T945+0.6*V945)*$R$926/2</f>
        <v>254140.21312500001</v>
      </c>
      <c r="Z945">
        <f>IF(S945=0,0,$AD$926*$AP$917)</f>
        <v>343.06999999999994</v>
      </c>
      <c r="AA945">
        <f>IFERROR(Z945/$R$926,0)</f>
        <v>11.829999999999998</v>
      </c>
      <c r="AB945">
        <f>Z945*($F$21+IF($F$21=0,0,($C$14+$C$15+IF($C$13="single",1.5,3)+3)/12))</f>
        <v>3666.5606249999992</v>
      </c>
      <c r="AC945">
        <f>AB945-W945</f>
        <v>-258341.37569999998</v>
      </c>
      <c r="AD945" cm="1">
        <f t="array" ref="AD945">IFERROR(IF(AC945&lt;0,0,AC945/($R$926-INDEX(hd_off,MATCH(AQ945,hd_mark,0),0)/12)),0)</f>
        <v>0</v>
      </c>
      <c r="AE945">
        <f>IF(S945=0,0,$AD$926*$AM$917)</f>
        <v>7899.5999999999995</v>
      </c>
      <c r="AF945">
        <f>IFERROR(AE945/$R$926,0)</f>
        <v>272.39999999999998</v>
      </c>
      <c r="AG945">
        <f>AE945*($F$21+IF($F$21=0,0,($C$14+$C$15+IF($C$13="single",1.5,3)+3)/12))</f>
        <v>84426.974999999991</v>
      </c>
      <c r="AH945">
        <f>AG945-X945</f>
        <v>-169713.23812500003</v>
      </c>
      <c r="AI945" cm="1">
        <f t="array" ref="AI945">IFERROR(IF(AH945&lt;0,0,AH945/($R$926-INDEX(hd_off,MATCH(AQ945,hd_mark,0),0)/12)),0)</f>
        <v>0</v>
      </c>
      <c r="AJ945">
        <f>MAX($F$21,$Y$926)/$Q$948</f>
        <v>0.30172413793103448</v>
      </c>
      <c r="AK945">
        <f>IF(AJ945=0,0,IF(AJ945&gt;2,1.25-0.125*AJ945,1))</f>
        <v>1</v>
      </c>
      <c r="AL945" cm="1">
        <f t="array" ref="AL945">IFERROR(INDEX(sheath_ecap_asd,MATCH(AP945,sheath_mark,0),0)*AK945,0)</f>
        <v>239.85714285714286</v>
      </c>
      <c r="AM945" cm="1">
        <f t="array" ref="AM945">IFERROR(INDEX(sheath_wcap_asd,MATCH(AP945,sheath_mark,0),0)*AK945,0)</f>
        <v>335.8</v>
      </c>
      <c r="AN945" cm="1">
        <f t="array" ref="AN945">IFERROR(INDEX(hd_cap,MATCH(AQ945,hd_mark,0),0),0)</f>
        <v>0</v>
      </c>
      <c r="AP945" s="19">
        <v>21</v>
      </c>
      <c r="AQ945" s="19"/>
      <c r="AR945" s="100"/>
      <c r="AS945" s="93"/>
      <c r="AT945" s="110" t="str">
        <f>$AT$926</f>
        <v>1.01</v>
      </c>
      <c r="AU945" t="str">
        <f>$Q$917</f>
        <v>L2</v>
      </c>
      <c r="AV945">
        <f>$E$21</f>
        <v>10.6875</v>
      </c>
      <c r="AW945" cm="1">
        <f t="array" ref="AW945">IFERROR(IF(AV945=0,0,(INDEX($C$33:$C$38,MATCH($AZ$926,$B$33:$B$38,0),0)*(AV949+$BA$926)+$AW$926*COUNTIF(AV945:AV948,"&gt;0")*$C$32+$AY$926*$C$31)*$AU$926),0)</f>
        <v>30539.71875</v>
      </c>
      <c r="AX945">
        <f>IF(AV945=0,0,-(COUNTIF(AV945:AV948,"&gt;0")*$AW$926*$C$32+$AY$926*$C$31)*$H$27*$AU$926)</f>
        <v>-363.31199999999995</v>
      </c>
      <c r="AY945">
        <f>IF(AV945=0,0,$AY$926*$H$26*$AU$926)</f>
        <v>-1328.1999999999998</v>
      </c>
      <c r="AZ945">
        <f>(0.6*AW945+0.7*AX945)*$AU$926/2</f>
        <v>262007.93632499999</v>
      </c>
      <c r="BA945">
        <f>(0.6*AW945+0.6*AY945)*$AU$926/2</f>
        <v>254140.21312500001</v>
      </c>
      <c r="BC945">
        <f>IF(AV945=0,0,$BG$926*$AP$917)</f>
        <v>343.06999999999994</v>
      </c>
      <c r="BD945">
        <f>IFERROR(BC945/$AU$926,0)</f>
        <v>11.829999999999998</v>
      </c>
      <c r="BE945">
        <f>BC945*($F$21+IF($F$21=0,0,($C$14+$C$15+IF($C$13="single",1.5,3)+3)/12))</f>
        <v>3666.5606249999992</v>
      </c>
      <c r="BF945">
        <f>BE945-AZ945</f>
        <v>-258341.37569999998</v>
      </c>
      <c r="BG945" cm="1">
        <f t="array" ref="BG945">IFERROR(IF(BF945&lt;0,0,BF945/($AU$926-INDEX(hd_off,MATCH(BT945,hd_mark,0),0)/12)),0)</f>
        <v>0</v>
      </c>
      <c r="BH945">
        <f>IF(AV945=0,0,$BG$926*$AM$917)</f>
        <v>7899.5999999999995</v>
      </c>
      <c r="BI945">
        <f>IFERROR(BH945/$AU$926,0)</f>
        <v>272.39999999999998</v>
      </c>
      <c r="BJ945">
        <f>BH945*($F$21+IF($F$21=0,0,($C$14+$C$15+IF($C$13="single",1.5,3)+3)/12))</f>
        <v>84426.974999999991</v>
      </c>
      <c r="BK945">
        <f>BJ945-BA945</f>
        <v>-169713.23812500003</v>
      </c>
      <c r="BL945" cm="1">
        <f t="array" ref="BL945">IFERROR(IF(BK945&lt;0,0,BK945/($AU$926-INDEX(hd_off,MATCH(BT945,hd_mark,0),0)/12)),0)</f>
        <v>0</v>
      </c>
      <c r="BM945">
        <f>MAX($F$21,$BB$926)/$Q$948</f>
        <v>0.30172413793103448</v>
      </c>
      <c r="BN945">
        <f>IF(BM945=0,0,IF(BM945&gt;2,1.25-0.125*BM945,1))</f>
        <v>1</v>
      </c>
      <c r="BO945" cm="1">
        <f t="array" ref="BO945">IFERROR(INDEX(sheath_ecap_asd,MATCH(BS945,sheath_mark,0),0)*BN945,0)</f>
        <v>239.85714285714286</v>
      </c>
      <c r="BP945" cm="1">
        <f t="array" ref="BP945">IFERROR(INDEX(sheath_wcap_asd,MATCH(BS945,sheath_mark,0),0)*BN945,0)</f>
        <v>335.8</v>
      </c>
      <c r="BQ945" cm="1">
        <f t="array" ref="BQ945">IFERROR(INDEX(hd_cap,MATCH(BT945,hd_mark,0),0),0)</f>
        <v>0</v>
      </c>
      <c r="BS945" s="19">
        <v>21</v>
      </c>
      <c r="BT945" s="19"/>
      <c r="BU945" s="100"/>
    </row>
    <row r="946" x14ac:dyDescent="0.25">
      <c r="B946" t="s">
        <v>458</v>
      </c>
      <c r="C946" s="19">
        <v>27</v>
      </c>
      <c r="D946" s="19">
        <v>27</v>
      </c>
      <c r="E946">
        <f t="shared" si="596"/>
        <v>54</v>
      </c>
      <c r="H946">
        <v>9</v>
      </c>
      <c r="I946" s="19">
        <v>30</v>
      </c>
      <c r="J946" s="19">
        <v>0</v>
      </c>
      <c r="K946">
        <f t="shared" si="597"/>
        <v>30</v>
      </c>
      <c r="P946" s="93"/>
      <c r="Q946" s="109"/>
      <c r="R946" t="str">
        <f>$Q$918</f>
        <v>L3</v>
      </c>
      <c r="S946">
        <f>$E$22</f>
        <v>21.375</v>
      </c>
      <c r="T946" cm="1">
        <f t="array" ref="T946">IFERROR(IF(S946=0,0,(INDEX($C$33:$C$38,MATCH($W$926,$B$33:$B$38,0),0)*(S949+$X$926)+$T$926*COUNTIF(S946:S948,"&gt;0")*$C$32+$V$926*$C$31)*$R$926),0)</f>
        <v>26015.71875</v>
      </c>
      <c r="U946">
        <f>IF(S946=0,0,-(COUNTIF(S946:S948,"&gt;0")*$T$926*$C$32+$V$926*$C$31)*$H$27*$R$926)</f>
        <v>-200.44799999999998</v>
      </c>
      <c r="V946">
        <f>IF(S946=0,0,$V$926*$H$26*$R$926)</f>
        <v>-1328.1999999999998</v>
      </c>
      <c r="W946">
        <f t="shared" ref="W946:W948" si="598">(0.6*T946+0.7*U946)*$R$926/2</f>
        <v>224302.20592500002</v>
      </c>
      <c r="X946">
        <f>T946*$R$926/2</f>
        <v>377227.921875</v>
      </c>
      <c r="Z946">
        <f>IF(S946=0,0,$AD$926*$AP$918)</f>
        <v>376.565</v>
      </c>
      <c r="AA946">
        <f>IFERROR(Z946/$R$926,0)</f>
        <v>12.984999999999999</v>
      </c>
      <c r="AB946">
        <f>Z946*($F$22+IF($F$22=0,0,($C$14+$C$15+IF($C$13="single",1.5,3)+3)/12))</f>
        <v>4024.5384374999999</v>
      </c>
      <c r="AC946">
        <f>AB946-W946</f>
        <v>-220277.6674875</v>
      </c>
      <c r="AD946" cm="1">
        <f t="array" ref="AD946">IFERROR(IF(AC946&lt;0,0,AC946/($R$926-INDEX(hd_off,MATCH(AQ946,hd_mark,0),0)/12)),0)</f>
        <v>0</v>
      </c>
      <c r="AE946">
        <f>IF(S946=0,0,$AD$926*$AM$918)</f>
        <v>5846.4</v>
      </c>
      <c r="AF946">
        <f>IFERROR(AE946/$R$926,0)</f>
        <v>201.6</v>
      </c>
      <c r="AG946">
        <f>AE946*($F$22+IF($F$22=0,0,($C$14+$C$15+IF($C$13="single",1.5,3)+3)/12))</f>
        <v>62483.399999999994</v>
      </c>
      <c r="AH946">
        <f>AG946-X946</f>
        <v>-314744.52187499998</v>
      </c>
      <c r="AI946" cm="1">
        <f t="array" ref="AI946">IFERROR(IF(AH946&lt;0,0,AH946/($R$926-INDEX(hd_off,MATCH(AQ946,hd_mark,0),0)/12)),0)</f>
        <v>0</v>
      </c>
      <c r="AJ946">
        <f>MAX($F$22,$Z$926)/$Q$948</f>
        <v>0.30172413793103448</v>
      </c>
      <c r="AK946">
        <f t="shared" ref="AK946:AK949" si="599">IF(AJ946=0,0,IF(AJ946&gt;2,1.25-0.125*AJ946,1))</f>
        <v>1</v>
      </c>
      <c r="AL946" cm="1">
        <f t="array" ref="AL946">IFERROR(INDEX(sheath_ecap_asd,MATCH(AP946,sheath_mark,0),0)*AK946,0)</f>
        <v>239.85714285714286</v>
      </c>
      <c r="AM946" cm="1">
        <f t="array" ref="AM946">IFERROR(INDEX(sheath_wcap_asd,MATCH(AP946,sheath_mark,0),0)*AK946,0)</f>
        <v>335.8</v>
      </c>
      <c r="AN946" cm="1">
        <f t="array" ref="AN946">IFERROR(INDEX(hd_cap,MATCH(AQ946,hd_mark,0),0),0)</f>
        <v>0</v>
      </c>
      <c r="AP946" s="19">
        <v>21</v>
      </c>
      <c r="AQ946" s="19"/>
      <c r="AR946" s="100"/>
      <c r="AS946" s="93"/>
      <c r="AT946" s="109"/>
      <c r="AU946" t="str">
        <f>$Q$918</f>
        <v>L3</v>
      </c>
      <c r="AV946">
        <f>$E$22</f>
        <v>21.375</v>
      </c>
      <c r="AW946" cm="1">
        <f t="array" ref="AW946">IFERROR(IF(AV946=0,0,(INDEX($C$33:$C$38,MATCH($AZ$926,$B$33:$B$38,0),0)*(AV949+$BA$926)+$AW$926*COUNTIF(AV946:AV948,"&gt;0")*$C$32+$AY$926*$C$31)*$AU$926),0)</f>
        <v>26015.71875</v>
      </c>
      <c r="AX946">
        <f>IF(AV946=0,0,-(COUNTIF(AV946:AV948,"&gt;0")*$AW$926*$C$32+$AY$926*$C$31)*$H$27*$AU$926)</f>
        <v>-200.44799999999998</v>
      </c>
      <c r="AY946">
        <f>IF(AV946=0,0,$AY$926*$H$26*$AU$926)</f>
        <v>-1328.1999999999998</v>
      </c>
      <c r="AZ946">
        <f>(0.6*AW946+0.7*AX946)*$AU$926/2</f>
        <v>224302.20592500002</v>
      </c>
      <c r="BA946">
        <f>AW946*$AU$926/2</f>
        <v>377227.921875</v>
      </c>
      <c r="BC946">
        <f>IF(AV946=0,0,$BG$926*$AP$918)</f>
        <v>376.565</v>
      </c>
      <c r="BD946">
        <f>IFERROR(BC946/$AU$926,0)</f>
        <v>12.984999999999999</v>
      </c>
      <c r="BE946">
        <f>BC946*($F$22+IF($F$22=0,0,($C$14+$C$15+IF($C$13="single",1.5,3)+3)/12))</f>
        <v>4024.5384374999999</v>
      </c>
      <c r="BF946">
        <f>BE946-AZ946</f>
        <v>-220277.6674875</v>
      </c>
      <c r="BG946" cm="1">
        <f t="array" ref="BG946">IFERROR(IF(BF946&lt;0,0,BF946/($AU$926-INDEX(hd_off,MATCH(BT946,hd_mark,0),0)/12)),0)</f>
        <v>0</v>
      </c>
      <c r="BH946">
        <f>IF(AV946=0,0,$BG$926*$AM$918)</f>
        <v>5846.4</v>
      </c>
      <c r="BI946">
        <f>IFERROR(BH946/$AU$926,0)</f>
        <v>201.6</v>
      </c>
      <c r="BJ946">
        <f>BH946*($F$22+IF($F$22=0,0,($C$14+$C$15+IF($C$13="single",1.5,3)+3)/12))</f>
        <v>62483.399999999994</v>
      </c>
      <c r="BK946">
        <f>BJ946-BA946</f>
        <v>-314744.52187499998</v>
      </c>
      <c r="BL946" cm="1">
        <f t="array" ref="BL946">IFERROR(IF(BK946&lt;0,0,BK946/($AU$926-INDEX(hd_off,MATCH(BT946,hd_mark,0),0)/12)),0)</f>
        <v>0</v>
      </c>
      <c r="BM946">
        <f>MAX($F$22,$BC$926)/$Q$948</f>
        <v>0.30172413793103448</v>
      </c>
      <c r="BN946">
        <f t="shared" ref="BN946:BN949" si="600">IF(BM946=0,0,IF(BM946&gt;2,1.25-0.125*BM946,1))</f>
        <v>1</v>
      </c>
      <c r="BO946" cm="1">
        <f t="array" ref="BO946">IFERROR(INDEX(sheath_ecap_asd,MATCH(BS946,sheath_mark,0),0)*BN946,0)</f>
        <v>239.85714285714286</v>
      </c>
      <c r="BP946" cm="1">
        <f t="array" ref="BP946">IFERROR(INDEX(sheath_wcap_asd,MATCH(BS946,sheath_mark,0),0)*BN946,0)</f>
        <v>335.8</v>
      </c>
      <c r="BQ946" cm="1">
        <f t="array" ref="BQ946">IFERROR(INDEX(hd_cap,MATCH(BT946,hd_mark,0),0),0)</f>
        <v>0</v>
      </c>
      <c r="BS946" s="19">
        <v>21</v>
      </c>
      <c r="BT946" s="19"/>
      <c r="BU946" s="100"/>
    </row>
    <row r="947" x14ac:dyDescent="0.25">
      <c r="B947" t="s">
        <v>459</v>
      </c>
      <c r="C947" s="19">
        <v>27</v>
      </c>
      <c r="D947" s="19">
        <v>41</v>
      </c>
      <c r="E947">
        <f t="shared" si="596"/>
        <v>68</v>
      </c>
      <c r="F947" t="s">
        <v>506</v>
      </c>
      <c r="H947">
        <v>10</v>
      </c>
      <c r="I947" s="19">
        <v>30</v>
      </c>
      <c r="J947" s="19">
        <v>0</v>
      </c>
      <c r="K947">
        <f t="shared" si="597"/>
        <v>30</v>
      </c>
      <c r="P947" s="93"/>
      <c r="Q947" s="109" t="s">
        <v>491</v>
      </c>
      <c r="R947" t="str">
        <f>$Q$919</f>
        <v>L4</v>
      </c>
      <c r="S947">
        <f>$E$23</f>
        <v>0</v>
      </c>
      <c r="T947" cm="1">
        <f t="array" ref="T947">IFERROR(IF(S947=0,0,(INDEX($C$33:$C$38,MATCH($W$926,$B$33:$B$38,0),0)*(S949+$X$926)+$T$926*COUNTIF(S947:S948,"&gt;0")*$C$32+$V$926*$C$31)*$R$926),0)</f>
        <v>0</v>
      </c>
      <c r="U947">
        <f>IF(S947=0,0,-(COUNTIF(S947:S948,"&gt;0")*$T$926*$C$32+$V$926*$C$31)*$H$27*$R$926)</f>
        <v>0</v>
      </c>
      <c r="V947">
        <f>IF(S947=0,0,$V$926*$H$26*$R$926)</f>
        <v>0</v>
      </c>
      <c r="W947">
        <f t="shared" si="598"/>
        <v>0</v>
      </c>
      <c r="X947">
        <f>T947*$R$926/2</f>
        <v>0</v>
      </c>
      <c r="Z947">
        <f>IF(S947=0,0,$AD$926*$AP$919)</f>
        <v>0</v>
      </c>
      <c r="AA947">
        <f>IFERROR(Z947/$R$926,0)</f>
        <v>0</v>
      </c>
      <c r="AB947">
        <f>Z947*($F$23+IF($F$23=0,0,($C$14+$C$15+IF($C$13="single",1.5,3)+3)/12))</f>
        <v>0</v>
      </c>
      <c r="AC947">
        <f>AB947-W947</f>
        <v>0</v>
      </c>
      <c r="AD947" cm="1">
        <f t="array" ref="AD947">IFERROR(IF(AC947&lt;0,0,AC947/($R$926-INDEX(hd_off,MATCH(AQ947,hd_mark,0),0)/12)),0)</f>
        <v>0</v>
      </c>
      <c r="AE947">
        <f>IF(S947=0,0,$AD$926*$AM$919)</f>
        <v>0</v>
      </c>
      <c r="AF947">
        <f>IFERROR(AE947/$R$926,0)</f>
        <v>0</v>
      </c>
      <c r="AG947">
        <f>AE947*($F$23+IF($F$23=0,0,($C$14+$C$15+IF($C$13="single",1.5,3)+3)/12))</f>
        <v>0</v>
      </c>
      <c r="AH947">
        <f>AG947-X947</f>
        <v>0</v>
      </c>
      <c r="AI947" cm="1">
        <f t="array" ref="AI947">IFERROR(IF(AH947&lt;0,0,AH947/($R$926-INDEX(hd_off,MATCH(AQ947,hd_mark,0),0)/12)),0)</f>
        <v>0</v>
      </c>
      <c r="AJ947">
        <f>MAX($F$23,$AA$926)/$Q$948</f>
        <v>0</v>
      </c>
      <c r="AK947">
        <f t="shared" si="599"/>
        <v>0</v>
      </c>
      <c r="AL947" cm="1">
        <f t="array" ref="AL947">IFERROR(INDEX(sheath_ecap_asd,MATCH(AP947,sheath_mark,0),0)*AK947,0)</f>
        <v>0</v>
      </c>
      <c r="AM947" cm="1">
        <f t="array" ref="AM947">IFERROR(INDEX(sheath_wcap_asd,MATCH(AP947,sheath_mark,0),0)*AK947,0)</f>
        <v>0</v>
      </c>
      <c r="AN947" cm="1">
        <f t="array" ref="AN947">IFERROR(INDEX(hd_cap,MATCH(AQ947,hd_mark,0),0),0)</f>
        <v>0</v>
      </c>
      <c r="AP947" s="19"/>
      <c r="AQ947" s="19"/>
      <c r="AR947" s="100"/>
      <c r="AS947" s="93"/>
      <c r="AT947" s="109" t="s">
        <v>491</v>
      </c>
      <c r="AU947" t="str">
        <f>$Q$919</f>
        <v>L4</v>
      </c>
      <c r="AV947">
        <f>$E$23</f>
        <v>0</v>
      </c>
      <c r="AW947" cm="1">
        <f t="array" ref="AW947">IFERROR(IF(AV947=0,0,(INDEX($C$33:$C$38,MATCH($AZ$926,$B$33:$B$38,0),0)*(AV949+$BA$926)+$AW$926*COUNTIF(AV947:AV948,"&gt;0")*$C$32+$AY$926*$C$31)*$AU$926),0)</f>
        <v>0</v>
      </c>
      <c r="AX947">
        <f>IF(AV947=0,0,-(COUNTIF(AV947:AV948,"&gt;0")*$AW$926*$C$32+$AY$926*$C$31)*$H$27*$AU$926)</f>
        <v>0</v>
      </c>
      <c r="AY947">
        <f>IF(AV947=0,0,$AY$926*$H$26*$AU$926)</f>
        <v>0</v>
      </c>
      <c r="AZ947">
        <f>(0.6*AW947+0.7*AX947)*$AU$926/2</f>
        <v>0</v>
      </c>
      <c r="BA947">
        <f>AW947*$AU$926/2</f>
        <v>0</v>
      </c>
      <c r="BC947">
        <f>IF(AV947=0,0,$BG$926*$AP$919)</f>
        <v>0</v>
      </c>
      <c r="BD947">
        <f>IFERROR(BC947/$AU$926,0)</f>
        <v>0</v>
      </c>
      <c r="BE947">
        <f>BC947*($F$23+IF($F$23=0,0,($C$14+$C$15+IF($C$13="single",1.5,3)+3)/12))</f>
        <v>0</v>
      </c>
      <c r="BF947">
        <f>BE947-AZ947</f>
        <v>0</v>
      </c>
      <c r="BG947" cm="1">
        <f t="array" ref="BG947">IFERROR(IF(BF947&lt;0,0,BF947/($AU$926-INDEX(hd_off,MATCH(BT947,hd_mark,0),0)/12)),0)</f>
        <v>0</v>
      </c>
      <c r="BH947">
        <f>IF(AV947=0,0,$BG$926*$AM$919)</f>
        <v>0</v>
      </c>
      <c r="BI947">
        <f>IFERROR(BH947/$AU$926,0)</f>
        <v>0</v>
      </c>
      <c r="BJ947">
        <f>BH947*($F$23+IF($F$23=0,0,($C$14+$C$15+IF($C$13="single",1.5,3)+3)/12))</f>
        <v>0</v>
      </c>
      <c r="BK947">
        <f>BJ947-BA947</f>
        <v>0</v>
      </c>
      <c r="BL947" cm="1">
        <f t="array" ref="BL947">IFERROR(IF(BK947&lt;0,0,BK947/($AU$926-INDEX(hd_off,MATCH(BT947,hd_mark,0),0)/12)),0)</f>
        <v>0</v>
      </c>
      <c r="BM947">
        <f>MAX($F$23,$BD$926)/$Q$948</f>
        <v>0</v>
      </c>
      <c r="BN947">
        <f t="shared" si="600"/>
        <v>0</v>
      </c>
      <c r="BO947" cm="1">
        <f t="array" ref="BO947">IFERROR(INDEX(sheath_ecap_asd,MATCH(BS947,sheath_mark,0),0)*BN947,0)</f>
        <v>0</v>
      </c>
      <c r="BP947" cm="1">
        <f t="array" ref="BP947">IFERROR(INDEX(sheath_wcap_asd,MATCH(BS947,sheath_mark,0),0)*BN947,0)</f>
        <v>0</v>
      </c>
      <c r="BQ947" cm="1">
        <f t="array" ref="BQ947">IFERROR(INDEX(hd_cap,MATCH(BT947,hd_mark,0),0),0)</f>
        <v>0</v>
      </c>
      <c r="BS947" s="19"/>
      <c r="BT947" s="19"/>
      <c r="BU947" s="100"/>
    </row>
    <row r="948" x14ac:dyDescent="0.25">
      <c r="B948" t="s">
        <v>171</v>
      </c>
      <c r="C948" s="19">
        <v>0</v>
      </c>
      <c r="D948" s="19">
        <v>29</v>
      </c>
      <c r="E948">
        <f t="shared" si="596"/>
        <v>29</v>
      </c>
      <c r="H948">
        <v>11</v>
      </c>
      <c r="I948" s="19">
        <v>0</v>
      </c>
      <c r="J948" s="19">
        <v>27</v>
      </c>
      <c r="K948">
        <f t="shared" si="597"/>
        <v>27</v>
      </c>
      <c r="P948" s="93"/>
      <c r="Q948" s="111">
        <f>$R$926</f>
        <v>29</v>
      </c>
      <c r="R948" t="str">
        <f>$Q$920</f>
        <v>L5</v>
      </c>
      <c r="S948">
        <f>$E$24</f>
        <v>0</v>
      </c>
      <c r="T948" cm="1">
        <f t="array" ref="T948">IFERROR(IF(S948=0,0,(INDEX($C$33:$C$38,MATCH($W$926,$B$33:$B$38,0),0)*(S949+$X$926)+$T$926*COUNTIF(S948:S948,"&gt;0")*$C$32+$V$926*$C$31)*$R$926),0)</f>
        <v>0</v>
      </c>
      <c r="U948">
        <f>IF(S948=0,0,-(COUNTIF(S948:S948,"&gt;0")*$T$926*$C$32+$V$926*$C$31)*$H$27*$R$926)</f>
        <v>0</v>
      </c>
      <c r="V948">
        <f>IF(S948=0,0,$V$926*$H$26*$R$926)</f>
        <v>0</v>
      </c>
      <c r="W948">
        <f t="shared" si="598"/>
        <v>0</v>
      </c>
      <c r="X948">
        <f>T948*$R$926/2</f>
        <v>0</v>
      </c>
      <c r="Z948">
        <f>IF(S948=0,0,$AD$926*$AP$920)</f>
        <v>0</v>
      </c>
      <c r="AA948">
        <f>IFERROR(Z948/$R$926,0)</f>
        <v>0</v>
      </c>
      <c r="AB948">
        <f>Z948*($F$24+IF($F$24=0,0,($C$14+$C$15+IF($C$13="single",1.5,3)+3)/12))</f>
        <v>0</v>
      </c>
      <c r="AC948">
        <f>AB948-W948</f>
        <v>0</v>
      </c>
      <c r="AD948" cm="1">
        <f t="array" ref="AD948">IFERROR(IF(AC948&lt;0,0,AC948/($R$926-INDEX(hd_off,MATCH(AQ948,hd_mark,0),0)/12)),0)</f>
        <v>0</v>
      </c>
      <c r="AE948">
        <f>IF(S948=0,0,$AD$926*$AM$920)</f>
        <v>0</v>
      </c>
      <c r="AF948">
        <f>IFERROR(AE948/$R$926,0)</f>
        <v>0</v>
      </c>
      <c r="AG948">
        <f>AE948*($F$24+IF($F$24=0,0,($C$14+$C$15+IF($C$13="single",1.5,3)+3)/12))</f>
        <v>0</v>
      </c>
      <c r="AH948">
        <f>AG948-X948</f>
        <v>0</v>
      </c>
      <c r="AI948" cm="1">
        <f t="array" ref="AI948">IFERROR(IF(AH948&lt;0,0,AH948/($R$926-INDEX(hd_off,MATCH(AQ948,hd_mark,0),0)/12)),0)</f>
        <v>0</v>
      </c>
      <c r="AJ948">
        <f>MAX($F$24,$AB$926)/$Q$948</f>
        <v>0</v>
      </c>
      <c r="AK948">
        <f t="shared" si="599"/>
        <v>0</v>
      </c>
      <c r="AL948" cm="1">
        <f t="array" ref="AL948">IFERROR(INDEX(sheath_ecap_asd,MATCH(AP948,sheath_mark,0),0)*AK948,0)</f>
        <v>0</v>
      </c>
      <c r="AM948" cm="1">
        <f t="array" ref="AM948">IFERROR(INDEX(sheath_wcap_asd,MATCH(AP948,sheath_mark,0),0)*AK948,0)</f>
        <v>0</v>
      </c>
      <c r="AN948" cm="1">
        <f t="array" ref="AN948">IFERROR(INDEX(hd_cap,MATCH(AQ948,hd_mark,0),0),0)</f>
        <v>0</v>
      </c>
      <c r="AP948" s="19"/>
      <c r="AQ948" s="19"/>
      <c r="AR948" s="100"/>
      <c r="AS948" s="93"/>
      <c r="AT948" s="111">
        <f>$R$926</f>
        <v>29</v>
      </c>
      <c r="AU948" t="str">
        <f>$Q$920</f>
        <v>L5</v>
      </c>
      <c r="AV948">
        <f>$E$24</f>
        <v>0</v>
      </c>
      <c r="AW948" cm="1">
        <f t="array" ref="AW948">IFERROR(IF(AV948=0,0,(INDEX($C$33:$C$38,MATCH($AZ$926,$B$33:$B$38,0),0)*(AV949+$BA$926)+$AW$926*COUNTIF(AV948:AV948,"&gt;0")*$C$32+$AY$926*$C$31)*$AU$926),0)</f>
        <v>0</v>
      </c>
      <c r="AX948">
        <f>IF(AV948=0,0,-(COUNTIF(AV948:AV948,"&gt;0")*$AW$926*$C$32+$AY$926*$C$31)*$H$27*$AU$926)</f>
        <v>0</v>
      </c>
      <c r="AY948">
        <f>IF(AV948=0,0,$AY$926*$H$26*$AU$926)</f>
        <v>0</v>
      </c>
      <c r="AZ948">
        <f>(0.6*AW948+0.7*AX948)*$AU$926/2</f>
        <v>0</v>
      </c>
      <c r="BA948">
        <f>AW948*$AU$926/2</f>
        <v>0</v>
      </c>
      <c r="BC948">
        <f>IF(AV948=0,0,$BG$926*$AP$920)</f>
        <v>0</v>
      </c>
      <c r="BD948">
        <f>IFERROR(BC948/$AU$926,0)</f>
        <v>0</v>
      </c>
      <c r="BE948">
        <f>BC948*($F$24+IF($F$24=0,0,($C$14+$C$15+IF($C$13="single",1.5,3)+3)/12))</f>
        <v>0</v>
      </c>
      <c r="BF948">
        <f>BE948-AZ948</f>
        <v>0</v>
      </c>
      <c r="BG948" cm="1">
        <f t="array" ref="BG948">IFERROR(IF(BF948&lt;0,0,BF948/($AU$926-INDEX(hd_off,MATCH(BT948,hd_mark,0),0)/12)),0)</f>
        <v>0</v>
      </c>
      <c r="BH948">
        <f>IF(AV948=0,0,$BG$926*$AM$920)</f>
        <v>0</v>
      </c>
      <c r="BI948">
        <f>IFERROR(BH948/$AU$926,0)</f>
        <v>0</v>
      </c>
      <c r="BJ948">
        <f>BH948*($F$24+IF($F$24=0,0,($C$14+$C$15+IF($C$13="single",1.5,3)+3)/12))</f>
        <v>0</v>
      </c>
      <c r="BK948">
        <f>BJ948-BA948</f>
        <v>0</v>
      </c>
      <c r="BL948" cm="1">
        <f t="array" ref="BL948">IFERROR(IF(BK948&lt;0,0,BK948/($AU$926-INDEX(hd_off,MATCH(BT948,hd_mark,0),0)/12)),0)</f>
        <v>0</v>
      </c>
      <c r="BM948">
        <f>MAX($F$24,$BE$926)/$Q$948</f>
        <v>0</v>
      </c>
      <c r="BN948">
        <f t="shared" si="600"/>
        <v>0</v>
      </c>
      <c r="BO948" cm="1">
        <f t="array" ref="BO948">IFERROR(INDEX(sheath_ecap_asd,MATCH(BS948,sheath_mark,0),0)*BN948,0)</f>
        <v>0</v>
      </c>
      <c r="BP948" cm="1">
        <f t="array" ref="BP948">IFERROR(INDEX(sheath_wcap_asd,MATCH(BS948,sheath_mark,0),0)*BN948,0)</f>
        <v>0</v>
      </c>
      <c r="BQ948" cm="1">
        <f t="array" ref="BQ948">IFERROR(INDEX(hd_cap,MATCH(BT948,hd_mark,0),0),0)</f>
        <v>0</v>
      </c>
      <c r="BS948" s="19"/>
      <c r="BT948" s="19"/>
      <c r="BU948" s="100"/>
    </row>
    <row r="949" x14ac:dyDescent="0.25">
      <c r="B949" t="s">
        <v>460</v>
      </c>
      <c r="C949" s="19">
        <v>29</v>
      </c>
      <c r="D949" s="19">
        <v>6</v>
      </c>
      <c r="E949">
        <f t="shared" si="596"/>
        <v>35</v>
      </c>
      <c r="H949">
        <v>12</v>
      </c>
      <c r="I949" s="19">
        <v>27</v>
      </c>
      <c r="J949" s="19">
        <v>14</v>
      </c>
      <c r="K949">
        <f t="shared" si="597"/>
        <v>41</v>
      </c>
      <c r="P949" s="93"/>
      <c r="Q949" s="109"/>
      <c r="R949" t="str">
        <f>$Q$921</f>
        <v>Roof</v>
      </c>
      <c r="S949">
        <f>$E$25</f>
        <v>33.171875</v>
      </c>
      <c r="T949" cm="1">
        <f t="array" ref="T949">IFERROR(IF(S949=0,0,(INDEX($C$33:$C$38,MATCH($W$926,$B$33:$B$38,0),0)*(S949+$X$926)+$V$926*$C$31)*$R$926),0)</f>
        <v>21491.71875</v>
      </c>
      <c r="U949">
        <f>IF(S949=0,0,-$V$926*$C$31*$H$27*$R$926)</f>
        <v>-37.583999999999996</v>
      </c>
      <c r="V949">
        <f>IF(S949=0,0,$V$926*$H$26*$R$926)</f>
        <v>-1328.1999999999998</v>
      </c>
      <c r="W949">
        <f>(0.6*T949+0.7*U949)*$R$926/2</f>
        <v>186596.47552499999</v>
      </c>
      <c r="X949">
        <f>T949*$R$926/2</f>
        <v>311629.921875</v>
      </c>
      <c r="Z949">
        <f>IF(S949=0,0,$AD$926*$AP$921)</f>
        <v>191.83499999999995</v>
      </c>
      <c r="AA949">
        <f>IFERROR(Z949/$R$926,0)</f>
        <v>6.6149999999999984</v>
      </c>
      <c r="AB949">
        <f>Z949*($F$25+($C$16+$C$17+IF($C$13="single",1.5,3)+3)/12)</f>
        <v>2263.0535156249989</v>
      </c>
      <c r="AC949">
        <f>AB949-W949</f>
        <v>-184333.42200937498</v>
      </c>
      <c r="AD949" cm="1">
        <f t="array" ref="AD949">IFERROR(IF(AC949&lt;0,0,AC949/($R$926-INDEX(hd_off,MATCH(AQ949,hd_mark,0),0)/12)),0)</f>
        <v>0</v>
      </c>
      <c r="AE949">
        <f>IF(S949=0,0,$AD$926*$AM$921)</f>
        <v>3854.1</v>
      </c>
      <c r="AF949">
        <f>IFERROR(AE949/$R$926,0)</f>
        <v>132.9</v>
      </c>
      <c r="AG949">
        <f>AE949*($F$25+($C$16+$C$17+IF($C$13="single",1.5,3)+3)/12)</f>
        <v>45466.335937499993</v>
      </c>
      <c r="AH949">
        <f>AG949-X949</f>
        <v>-266163.5859375</v>
      </c>
      <c r="AI949" cm="1">
        <f t="array" ref="AI949">IFERROR(IF(AH949&lt;0,0,AH949/($R$926-INDEX(hd_off,MATCH(AQ949,hd_mark,0),0)/12)),0)</f>
        <v>0</v>
      </c>
      <c r="AJ949">
        <f>MAX($F$25,$AC$926)/$Q$948</f>
        <v>0.29920977011494249</v>
      </c>
      <c r="AK949">
        <f t="shared" si="599"/>
        <v>1</v>
      </c>
      <c r="AL949" cm="1">
        <f t="array" ref="AL949">IFERROR(INDEX(sheath_ecap_asd,MATCH(AP949,sheath_mark,0),0)*AK949,0)</f>
        <v>95.285714285714306</v>
      </c>
      <c r="AM949" cm="1">
        <f t="array" ref="AM949">IFERROR(INDEX(sheath_wcap_asd,MATCH(AP949,sheath_mark,0),0)*AK949,0)</f>
        <v>133.4</v>
      </c>
      <c r="AN949" cm="1">
        <f t="array" ref="AN949">IFERROR(INDEX(hd_cap,MATCH(AQ949,hd_mark,0),0),0)</f>
        <v>0</v>
      </c>
      <c r="AP949" s="19">
        <v>11</v>
      </c>
      <c r="AQ949" s="19"/>
      <c r="AR949" s="100"/>
      <c r="AS949" s="93"/>
      <c r="AT949" s="109"/>
      <c r="AU949" t="str">
        <f>$Q$921</f>
        <v>Roof</v>
      </c>
      <c r="AV949">
        <f>$E$25</f>
        <v>33.171875</v>
      </c>
      <c r="AW949" cm="1">
        <f t="array" ref="AW949">IFERROR(IF(AV949=0,0,(INDEX($C$33:$C$38,MATCH($AZ$926,$B$33:$B$38,0),0)*(AV949+$BA$926)+$AY$926*$C$31)*$AU$926),0)</f>
        <v>21491.71875</v>
      </c>
      <c r="AX949">
        <f>IF(AV949=0,0,-$AY$926*$C$31*$H$27*$AU$926)</f>
        <v>-37.583999999999996</v>
      </c>
      <c r="AY949">
        <f>IF(AV949=0,0,$AY$926*$H$26*$AU$926)</f>
        <v>-1328.1999999999998</v>
      </c>
      <c r="AZ949">
        <f>(0.6*AW949+0.7*AX949)*$AU$926/2</f>
        <v>186596.47552499999</v>
      </c>
      <c r="BA949">
        <f>AW949*$AU$926/2</f>
        <v>311629.921875</v>
      </c>
      <c r="BC949">
        <f>IF(AV949=0,0,$BG$926*$AP$921)</f>
        <v>191.83499999999995</v>
      </c>
      <c r="BD949">
        <f>IFERROR(BC949/$AU$926,0)</f>
        <v>6.6149999999999984</v>
      </c>
      <c r="BE949">
        <f>BC949*($F$25+($C$16+$C$17+IF($C$13="single",1.5,3)+3)/12)</f>
        <v>2263.0535156249989</v>
      </c>
      <c r="BF949">
        <f>BE949-AZ949</f>
        <v>-184333.42200937498</v>
      </c>
      <c r="BG949" cm="1">
        <f t="array" ref="BG949">IFERROR(IF(BF949&lt;0,0,BF949/($AU$926-INDEX(hd_off,MATCH(BT949,hd_mark,0),0)/12)),0)</f>
        <v>0</v>
      </c>
      <c r="BH949">
        <f>IF(AV949=0,0,$BG$926*$AM$921)</f>
        <v>3854.1</v>
      </c>
      <c r="BI949">
        <f>IFERROR(BH949/$AU$926,0)</f>
        <v>132.9</v>
      </c>
      <c r="BJ949">
        <f>BH949*($F$25+($C$16+$C$17+IF($C$13="single",1.5,3)+3)/12)</f>
        <v>45466.335937499993</v>
      </c>
      <c r="BK949">
        <f>BJ949-BA949</f>
        <v>-266163.5859375</v>
      </c>
      <c r="BL949" cm="1">
        <f t="array" ref="BL949">IFERROR(IF(BK949&lt;0,0,BK949/($AU$926-INDEX(hd_off,MATCH(BT949,hd_mark,0),0)/12)),0)</f>
        <v>0</v>
      </c>
      <c r="BM949">
        <f>MAX($F$25,$BF$926)/$Q$948</f>
        <v>0.29920977011494249</v>
      </c>
      <c r="BN949">
        <f t="shared" si="600"/>
        <v>1</v>
      </c>
      <c r="BO949" cm="1">
        <f t="array" ref="BO949">IFERROR(INDEX(sheath_ecap_asd,MATCH(BS949,sheath_mark,0),0)*BN949,0)</f>
        <v>95.285714285714306</v>
      </c>
      <c r="BP949" cm="1">
        <f t="array" ref="BP949">IFERROR(INDEX(sheath_wcap_asd,MATCH(BS949,sheath_mark,0),0)*BN949,0)</f>
        <v>133.4</v>
      </c>
      <c r="BQ949" cm="1">
        <f t="array" ref="BQ949">IFERROR(INDEX(hd_cap,MATCH(BT949,hd_mark,0),0),0)</f>
        <v>0</v>
      </c>
      <c r="BS949" s="19">
        <v>11</v>
      </c>
      <c r="BT949" s="19"/>
      <c r="BU949" s="100"/>
    </row>
    <row r="950" x14ac:dyDescent="0.25">
      <c r="B950" t="s">
        <v>461</v>
      </c>
      <c r="C950" s="19">
        <v>6</v>
      </c>
      <c r="D950" s="19">
        <v>29</v>
      </c>
      <c r="E950">
        <f t="shared" si="596"/>
        <v>35</v>
      </c>
      <c r="H950">
        <v>13</v>
      </c>
      <c r="I950" s="19">
        <v>14</v>
      </c>
      <c r="J950" s="19">
        <v>12</v>
      </c>
      <c r="K950">
        <f t="shared" si="597"/>
        <v>26</v>
      </c>
      <c r="P950" s="93"/>
      <c r="Q950" s="109"/>
      <c r="AR950" s="100"/>
      <c r="AS950" s="93"/>
      <c r="AT950" s="109"/>
      <c r="BU950" s="100"/>
    </row>
    <row r="951" x14ac:dyDescent="0.25">
      <c r="B951" t="s">
        <v>462</v>
      </c>
      <c r="C951" s="19">
        <v>29</v>
      </c>
      <c r="D951" s="19">
        <v>0</v>
      </c>
      <c r="E951">
        <f t="shared" si="596"/>
        <v>29</v>
      </c>
      <c r="H951">
        <v>14</v>
      </c>
      <c r="I951" s="19">
        <v>12</v>
      </c>
      <c r="J951" s="19">
        <v>27</v>
      </c>
      <c r="K951">
        <f t="shared" si="597"/>
        <v>39</v>
      </c>
      <c r="P951" s="93"/>
      <c r="Q951" s="110" t="str">
        <f>$Q$927</f>
        <v>A.02</v>
      </c>
      <c r="R951" t="str">
        <f>$Q$917</f>
        <v>L2</v>
      </c>
      <c r="S951">
        <f>$E$21</f>
        <v>10.6875</v>
      </c>
      <c r="T951" cm="1">
        <f t="array" ref="T951">IFERROR(IF(S951=0,0,(INDEX($C$33:$C$38,MATCH($W$927,$B$33:$B$38,0),0)*(S955+$X$927)+$T$927*COUNTIF(S951:S954,"&gt;0")*$C$32+$V$927*$C$31)*$R$927),0)</f>
        <v>0</v>
      </c>
      <c r="U951">
        <f>IF(S951=0,0,-(COUNTIF(S951:S954,"&gt;0")*$T$927*$C$32+$V$927*$C$31)*$H$27*$R$927)</f>
        <v>0</v>
      </c>
      <c r="V951">
        <f>IF(S951=0,0,$V$927*$H$26*$R$927)</f>
        <v>0</v>
      </c>
      <c r="W951">
        <f>(0.6*T951+0.7*U951)*$R$927/2</f>
        <v>0</v>
      </c>
      <c r="X951">
        <f>(0.6*T951+0.6*V951)*$R$927/2</f>
        <v>0</v>
      </c>
      <c r="Z951">
        <f>IF(S951=0,0,$AD$927*$AP$917)</f>
        <v>0</v>
      </c>
      <c r="AA951">
        <f>IFERROR(Z951/$R$927,0)</f>
        <v>0</v>
      </c>
      <c r="AB951">
        <f>Z951*($F$21+IF($F$21=0,0,($C$14+$C$15+IF($C$13="single",1.5,3)+3)/12))</f>
        <v>0</v>
      </c>
      <c r="AC951">
        <f>AB951-W951</f>
        <v>0</v>
      </c>
      <c r="AD951" cm="1">
        <f t="array" ref="AD951">IFERROR(IF(AC951&lt;0,0,AC951/($R$927-INDEX(hd_off,MATCH(AQ951,hd_mark,0),0)/12)),0)</f>
        <v>0</v>
      </c>
      <c r="AE951">
        <f>IF(S951=0,0,$AD$927*$AM$917)</f>
        <v>0</v>
      </c>
      <c r="AF951">
        <f>IFERROR(AE951/$R$927,0)</f>
        <v>0</v>
      </c>
      <c r="AG951">
        <f>AE951*($F$21+IF($F$21=0,0,($C$14+$C$15+IF($C$13="single",1.5,3)+3)/12))</f>
        <v>0</v>
      </c>
      <c r="AH951">
        <f>AG951-X951</f>
        <v>0</v>
      </c>
      <c r="AI951" cm="1">
        <f t="array" ref="AI951">IFERROR(IF(AH951&lt;0,0,AH951/($R$927-INDEX(hd_off,MATCH(AQ951,hd_mark,0),0)/12)),0)</f>
        <v>0</v>
      </c>
      <c r="AJ951">
        <f>MAX($F$21,$Y$927)/$Q$948</f>
        <v>0.30172413793103448</v>
      </c>
      <c r="AK951">
        <f>IF(AJ951=0,0,IF(AJ951&gt;2,1.25-0.125*AJ951,1))</f>
        <v>1</v>
      </c>
      <c r="AL951" cm="1">
        <f t="array" ref="AL951">IFERROR(INDEX(sheath_ecap_asd,MATCH(AP951,sheath_mark,0),0)*AK951,0)</f>
        <v>0</v>
      </c>
      <c r="AM951" cm="1">
        <f t="array" ref="AM951">IFERROR(INDEX(sheath_wcap_asd,MATCH(AP951,sheath_mark,0),0)*AK951,0)</f>
        <v>0</v>
      </c>
      <c r="AN951" cm="1">
        <f t="array" ref="AN951">IFERROR(INDEX(hd_cap,MATCH(AQ951,hd_mark,0),0),0)</f>
        <v>0</v>
      </c>
      <c r="AP951" s="19"/>
      <c r="AQ951" s="19"/>
      <c r="AR951" s="100"/>
      <c r="AS951" s="93"/>
      <c r="AT951" s="110" t="str">
        <f>$AT$927</f>
        <v>1.02</v>
      </c>
      <c r="AU951" t="str">
        <f>$Q$917</f>
        <v>L2</v>
      </c>
      <c r="AV951">
        <f>$E$21</f>
        <v>10.6875</v>
      </c>
      <c r="AW951" cm="1">
        <f t="array" ref="AW951">IFERROR(IF(AV951=0,0,(INDEX($C$33:$C$38,MATCH($AZ$927,$B$33:$B$38,0),0)*(AV955+$BA$927)+$AW$927*COUNTIF(AV951:AV954,"&gt;0")*$C$32+$AY$927*$C$31)*$AU$927),0)</f>
        <v>0</v>
      </c>
      <c r="AX951">
        <f>IF(AV951=0,0,-(COUNTIF(AV951:AV954,"&gt;0")*$AW$927*$C$32+$AY$927*$C$31)*$H$27*$AU$927)</f>
        <v>0</v>
      </c>
      <c r="AY951">
        <f>IF(AV951=0,0,$AY$927*$H$26*$AU$927)</f>
        <v>0</v>
      </c>
      <c r="AZ951">
        <f>(0.6*AW951+0.7*AX951)*$AU$927/2</f>
        <v>0</v>
      </c>
      <c r="BA951">
        <f>(0.6*AW951+0.6*AY951)*$AU$927/2</f>
        <v>0</v>
      </c>
      <c r="BC951">
        <f>IF(AV951=0,0,$BG$927*$AP$917)</f>
        <v>0</v>
      </c>
      <c r="BD951">
        <f>IFERROR(BC951/$AU$927,0)</f>
        <v>0</v>
      </c>
      <c r="BE951">
        <f>BC951*($F$21+IF($F$21=0,0,($C$14+$C$15+IF($C$13="single",1.5,3)+3)/12))</f>
        <v>0</v>
      </c>
      <c r="BF951">
        <f>BE951-AZ951</f>
        <v>0</v>
      </c>
      <c r="BG951" cm="1">
        <f t="array" ref="BG951">IFERROR(IF(BF951&lt;0,0,BF951/($AU$927-INDEX(hd_off,MATCH(BT951,hd_mark,0),0)/12)),0)</f>
        <v>0</v>
      </c>
      <c r="BH951">
        <f>IF(AV951=0,0,$BG$927*$AM$917)</f>
        <v>0</v>
      </c>
      <c r="BI951">
        <f>IFERROR(BH951/$AU$927,0)</f>
        <v>0</v>
      </c>
      <c r="BJ951">
        <f>BH951*($F$21+IF($F$21=0,0,($C$14+$C$15+IF($C$13="single",1.5,3)+3)/12))</f>
        <v>0</v>
      </c>
      <c r="BK951">
        <f>BJ951-BA951</f>
        <v>0</v>
      </c>
      <c r="BL951" cm="1">
        <f t="array" ref="BL951">IFERROR(IF(BK951&lt;0,0,BK951/($AU$927-INDEX(hd_off,MATCH(BT951,hd_mark,0),0)/12)),0)</f>
        <v>0</v>
      </c>
      <c r="BM951">
        <f>MAX($F$21,$BB$927)/$Q$948</f>
        <v>0.30172413793103448</v>
      </c>
      <c r="BN951">
        <f>IF(BM951=0,0,IF(BM951&gt;2,1.25-0.125*BM951,1))</f>
        <v>1</v>
      </c>
      <c r="BO951" cm="1">
        <f t="array" ref="BO951">IFERROR(INDEX(sheath_ecap_asd,MATCH(BS951,sheath_mark,0),0)*BN951,0)</f>
        <v>0</v>
      </c>
      <c r="BP951" cm="1">
        <f t="array" ref="BP951">IFERROR(INDEX(sheath_wcap_asd,MATCH(BS951,sheath_mark,0),0)*BN951,0)</f>
        <v>0</v>
      </c>
      <c r="BQ951" cm="1">
        <f t="array" ref="BQ951">IFERROR(INDEX(hd_cap,MATCH(BT951,hd_mark,0),0),0)</f>
        <v>0</v>
      </c>
      <c r="BS951" s="19"/>
      <c r="BT951" s="19"/>
      <c r="BU951" s="100"/>
    </row>
    <row r="952" x14ac:dyDescent="0.25">
      <c r="B952" t="s">
        <v>463</v>
      </c>
      <c r="C952" s="19"/>
      <c r="D952" s="19"/>
      <c r="E952">
        <f t="shared" si="596"/>
        <v>0</v>
      </c>
      <c r="H952">
        <v>15</v>
      </c>
      <c r="I952" s="19">
        <v>27</v>
      </c>
      <c r="J952" s="19">
        <v>18</v>
      </c>
      <c r="K952">
        <f t="shared" si="597"/>
        <v>45</v>
      </c>
      <c r="P952" s="93"/>
      <c r="Q952" s="109"/>
      <c r="R952" t="str">
        <f>$Q$918</f>
        <v>L3</v>
      </c>
      <c r="S952">
        <f>$E$22</f>
        <v>21.375</v>
      </c>
      <c r="T952" cm="1">
        <f t="array" ref="T952">IFERROR(IF(S952=0,0,(INDEX($C$33:$C$38,MATCH($W$927,$B$33:$B$38,0),0)*(S955+$X$927)+$T$927*COUNTIF(S952:S954,"&gt;0")*$C$32+$V$927*$C$31)*$R$927),0)</f>
        <v>0</v>
      </c>
      <c r="U952">
        <f>IF(S952=0,0,-(COUNTIF(S952:S954,"&gt;0")*$T$927*$C$32+$V$927*$C$31)*$H$27*$R$927)</f>
        <v>0</v>
      </c>
      <c r="V952">
        <f>IF(S952=0,0,$V$927*$H$26*$R$927)</f>
        <v>0</v>
      </c>
      <c r="W952">
        <f>(0.6*T952+0.7*U952)*$R$927/2</f>
        <v>0</v>
      </c>
      <c r="X952">
        <f>T952*$R$927/2</f>
        <v>0</v>
      </c>
      <c r="Z952">
        <f>IF(S952=0,0,$AD$927*$AP$918)</f>
        <v>0</v>
      </c>
      <c r="AA952">
        <f>IFERROR(Z952/$R$927,0)</f>
        <v>0</v>
      </c>
      <c r="AB952">
        <f>Z952*($F$22+IF($F$22=0,0,($C$14+$C$15+IF($C$13="single",1.5,3)+3)/12))</f>
        <v>0</v>
      </c>
      <c r="AC952">
        <f>AB952-W952</f>
        <v>0</v>
      </c>
      <c r="AD952" cm="1">
        <f t="array" ref="AD952">IFERROR(IF(AC952&lt;0,0,AC952/($R$927-INDEX(hd_off,MATCH(AQ952,hd_mark,0),0)/12)),0)</f>
        <v>0</v>
      </c>
      <c r="AE952">
        <f>IF(S952=0,0,$AD$927*$AM$918)</f>
        <v>0</v>
      </c>
      <c r="AF952">
        <f>IFERROR(AE952/$R$927,0)</f>
        <v>0</v>
      </c>
      <c r="AG952">
        <f>AE952*($F$22+IF($F$22=0,0,($C$14+$C$15+IF($C$13="single",1.5,3)+3)/12))</f>
        <v>0</v>
      </c>
      <c r="AH952">
        <f>AG952-X952</f>
        <v>0</v>
      </c>
      <c r="AI952" cm="1">
        <f t="array" ref="AI952">IFERROR(IF(AH952&lt;0,0,AH952/($R$927-INDEX(hd_off,MATCH(AQ952,hd_mark,0),0)/12)),0)</f>
        <v>0</v>
      </c>
      <c r="AJ952">
        <f>MAX($F$22,$Z$927)/$Q$948</f>
        <v>0.30172413793103448</v>
      </c>
      <c r="AK952">
        <f t="shared" ref="AK952:AK955" si="601">IF(AJ952=0,0,IF(AJ952&gt;2,1.25-0.125*AJ952,1))</f>
        <v>1</v>
      </c>
      <c r="AL952" cm="1">
        <f t="array" ref="AL952">IFERROR(INDEX(sheath_ecap_asd,MATCH(AP952,sheath_mark,0),0)*AK952,0)</f>
        <v>0</v>
      </c>
      <c r="AM952" cm="1">
        <f t="array" ref="AM952">IFERROR(INDEX(sheath_wcap_asd,MATCH(AP952,sheath_mark,0),0)*AK952,0)</f>
        <v>0</v>
      </c>
      <c r="AN952" cm="1">
        <f t="array" ref="AN952">IFERROR(INDEX(hd_cap,MATCH(AQ952,hd_mark,0),0),0)</f>
        <v>0</v>
      </c>
      <c r="AP952" s="19"/>
      <c r="AQ952" s="19"/>
      <c r="AR952" s="100"/>
      <c r="AS952" s="93"/>
      <c r="AT952" s="109"/>
      <c r="AU952" t="str">
        <f>$Q$918</f>
        <v>L3</v>
      </c>
      <c r="AV952">
        <f>$E$22</f>
        <v>21.375</v>
      </c>
      <c r="AW952" cm="1">
        <f t="array" ref="AW952">IFERROR(IF(AV952=0,0,(INDEX($C$33:$C$38,MATCH($AZ$927,$B$33:$B$38,0),0)*(AV955+$BA$927)+$AW$927*COUNTIF(AV952:AV954,"&gt;0")*$C$32+$AY$927*$C$31)*$AU$927),0)</f>
        <v>0</v>
      </c>
      <c r="AX952">
        <f>IF(AV952=0,0,-(COUNTIF(AV952:AV954,"&gt;0")*$AW$927*$C$32+$AY$927*$C$31)*$H$27*$AU$927)</f>
        <v>0</v>
      </c>
      <c r="AY952">
        <f>IF(AV952=0,0,$AY$927*$H$26*$AU$927)</f>
        <v>0</v>
      </c>
      <c r="AZ952">
        <f>(0.6*AW952+0.7*AX952)*$AU$927/2</f>
        <v>0</v>
      </c>
      <c r="BA952">
        <f>AW952*$AU$927/2</f>
        <v>0</v>
      </c>
      <c r="BC952">
        <f>IF(AV952=0,0,$BG$927*$AP$918)</f>
        <v>0</v>
      </c>
      <c r="BD952">
        <f>IFERROR(BC952/$AU$927,0)</f>
        <v>0</v>
      </c>
      <c r="BE952">
        <f>BC952*($F$22+IF($F$22=0,0,($C$14+$C$15+IF($C$13="single",1.5,3)+3)/12))</f>
        <v>0</v>
      </c>
      <c r="BF952">
        <f>BE952-AZ952</f>
        <v>0</v>
      </c>
      <c r="BG952" cm="1">
        <f t="array" ref="BG952">IFERROR(IF(BF952&lt;0,0,BF952/($AU$927-INDEX(hd_off,MATCH(BT952,hd_mark,0),0)/12)),0)</f>
        <v>0</v>
      </c>
      <c r="BH952">
        <f>IF(AV952=0,0,$BG$927*$AM$918)</f>
        <v>0</v>
      </c>
      <c r="BI952">
        <f>IFERROR(BH952/$AU$927,0)</f>
        <v>0</v>
      </c>
      <c r="BJ952">
        <f>BH952*($F$22+IF($F$22=0,0,($C$14+$C$15+IF($C$13="single",1.5,3)+3)/12))</f>
        <v>0</v>
      </c>
      <c r="BK952">
        <f>BJ952-BA952</f>
        <v>0</v>
      </c>
      <c r="BL952" cm="1">
        <f t="array" ref="BL952">IFERROR(IF(BK952&lt;0,0,BK952/($AU$927-INDEX(hd_off,MATCH(BT952,hd_mark,0),0)/12)),0)</f>
        <v>0</v>
      </c>
      <c r="BM952">
        <f>MAX($F$22,$BC$927)/$Q$948</f>
        <v>0.30172413793103448</v>
      </c>
      <c r="BN952">
        <f t="shared" ref="BN952:BN955" si="602">IF(BM952=0,0,IF(BM952&gt;2,1.25-0.125*BM952,1))</f>
        <v>1</v>
      </c>
      <c r="BO952" cm="1">
        <f t="array" ref="BO952">IFERROR(INDEX(sheath_ecap_asd,MATCH(BS952,sheath_mark,0),0)*BN952,0)</f>
        <v>0</v>
      </c>
      <c r="BP952" cm="1">
        <f t="array" ref="BP952">IFERROR(INDEX(sheath_wcap_asd,MATCH(BS952,sheath_mark,0),0)*BN952,0)</f>
        <v>0</v>
      </c>
      <c r="BQ952" cm="1">
        <f t="array" ref="BQ952">IFERROR(INDEX(hd_cap,MATCH(BT952,hd_mark,0),0),0)</f>
        <v>0</v>
      </c>
      <c r="BS952" s="19"/>
      <c r="BT952" s="19"/>
      <c r="BU952" s="100"/>
    </row>
    <row r="953" x14ac:dyDescent="0.25">
      <c r="B953" t="s">
        <v>464</v>
      </c>
      <c r="C953" s="19"/>
      <c r="D953" s="19"/>
      <c r="E953">
        <f t="shared" si="596"/>
        <v>0</v>
      </c>
      <c r="H953">
        <v>16</v>
      </c>
      <c r="I953" s="19"/>
      <c r="J953" s="19"/>
      <c r="K953">
        <f t="shared" si="597"/>
        <v>0</v>
      </c>
      <c r="P953" s="93"/>
      <c r="Q953" s="109" t="s">
        <v>491</v>
      </c>
      <c r="R953" t="str">
        <f>$Q$919</f>
        <v>L4</v>
      </c>
      <c r="S953">
        <f>$E$23</f>
        <v>0</v>
      </c>
      <c r="T953" cm="1">
        <f t="array" ref="T953">IFERROR(IF(S953=0,0,(INDEX($C$33:$C$38,MATCH($W$927,$B$33:$B$38,0),0)*(S955+$X$927)+$T$927*COUNTIF(S953:S954,"&gt;0")*$C$32+$V$927*$C$31)*$R$927),0)</f>
        <v>0</v>
      </c>
      <c r="U953">
        <f>IF(S953=0,0,-(COUNTIF(S953:S954,"&gt;0")*$T$927*$C$32+$V$927*$C$31)*$H$27*$R$927)</f>
        <v>0</v>
      </c>
      <c r="V953">
        <f>IF(S953=0,0,$V$927*$H$26*$R$927)</f>
        <v>0</v>
      </c>
      <c r="W953">
        <f>(0.6*T953+0.7*U953)*$R$927/2</f>
        <v>0</v>
      </c>
      <c r="X953">
        <f>T953*$R$927/2</f>
        <v>0</v>
      </c>
      <c r="Z953">
        <f>IF(S953=0,0,$AD$927*$AP$919)</f>
        <v>0</v>
      </c>
      <c r="AA953">
        <f>IFERROR(Z953/$R$927,0)</f>
        <v>0</v>
      </c>
      <c r="AB953">
        <f>Z953*($F$23+IF($F$23=0,0,($C$14+$C$15+IF($C$13="single",1.5,3)+3)/12))</f>
        <v>0</v>
      </c>
      <c r="AC953">
        <f>AB953-W953</f>
        <v>0</v>
      </c>
      <c r="AD953" cm="1">
        <f t="array" ref="AD953">IFERROR(IF(AC953&lt;0,0,AC953/($R$927-INDEX(hd_off,MATCH(AQ953,hd_mark,0),0)/12)),0)</f>
        <v>0</v>
      </c>
      <c r="AE953">
        <f>IF(S953=0,0,$AD$927*$AM$919)</f>
        <v>0</v>
      </c>
      <c r="AF953">
        <f>IFERROR(AE953/$R$927,0)</f>
        <v>0</v>
      </c>
      <c r="AG953">
        <f>AE953*($F$23+IF($F$23=0,0,($C$14+$C$15+IF($C$13="single",1.5,3)+3)/12))</f>
        <v>0</v>
      </c>
      <c r="AH953">
        <f>AG953-X953</f>
        <v>0</v>
      </c>
      <c r="AI953" cm="1">
        <f t="array" ref="AI953">IFERROR(IF(AH953&lt;0,0,AH953/($R$927-INDEX(hd_off,MATCH(AQ953,hd_mark,0),0)/12)),0)</f>
        <v>0</v>
      </c>
      <c r="AJ953">
        <f>MAX($F$23,$AA$927)/$Q$948</f>
        <v>0</v>
      </c>
      <c r="AK953">
        <f t="shared" si="601"/>
        <v>0</v>
      </c>
      <c r="AL953" cm="1">
        <f t="array" ref="AL953">IFERROR(INDEX(sheath_ecap_asd,MATCH(AP953,sheath_mark,0),0)*AK953,0)</f>
        <v>0</v>
      </c>
      <c r="AM953" cm="1">
        <f t="array" ref="AM953">IFERROR(INDEX(sheath_wcap_asd,MATCH(AP953,sheath_mark,0),0)*AK953,0)</f>
        <v>0</v>
      </c>
      <c r="AN953" cm="1">
        <f t="array" ref="AN953">IFERROR(INDEX(hd_cap,MATCH(AQ953,hd_mark,0),0),0)</f>
        <v>0</v>
      </c>
      <c r="AP953" s="19"/>
      <c r="AQ953" s="19"/>
      <c r="AR953" s="100"/>
      <c r="AS953" s="93"/>
      <c r="AT953" s="109" t="s">
        <v>491</v>
      </c>
      <c r="AU953" t="str">
        <f>$Q$919</f>
        <v>L4</v>
      </c>
      <c r="AV953">
        <f>$E$23</f>
        <v>0</v>
      </c>
      <c r="AW953" cm="1">
        <f t="array" ref="AW953">IFERROR(IF(AV953=0,0,(INDEX($C$33:$C$38,MATCH($AZ$927,$B$33:$B$38,0),0)*(AV955+$BA$927)+$AW$927*COUNTIF(AV953:AV954,"&gt;0")*$C$32+$AY$927*$C$31)*$AU$927),0)</f>
        <v>0</v>
      </c>
      <c r="AX953">
        <f>IF(AV953=0,0,-(COUNTIF(AV953:AV954,"&gt;0")*$AW$927*$C$32+$AY$927*$C$31)*$H$27*$AU$927)</f>
        <v>0</v>
      </c>
      <c r="AY953">
        <f>IF(AV953=0,0,$AY$927*$H$26*$AU$927)</f>
        <v>0</v>
      </c>
      <c r="AZ953">
        <f>(0.6*AW953+0.7*AX953)*$AU$927/2</f>
        <v>0</v>
      </c>
      <c r="BA953">
        <f>AW953*$AU$927/2</f>
        <v>0</v>
      </c>
      <c r="BC953">
        <f>IF(AV953=0,0,$BG$927*$AP$919)</f>
        <v>0</v>
      </c>
      <c r="BD953">
        <f>IFERROR(BC953/$AU$927,0)</f>
        <v>0</v>
      </c>
      <c r="BE953">
        <f>BC953*($F$23+IF($F$23=0,0,($C$14+$C$15+IF($C$13="single",1.5,3)+3)/12))</f>
        <v>0</v>
      </c>
      <c r="BF953">
        <f>BE953-AZ953</f>
        <v>0</v>
      </c>
      <c r="BG953" cm="1">
        <f t="array" ref="BG953">IFERROR(IF(BF953&lt;0,0,BF953/($AU$927-INDEX(hd_off,MATCH(BT953,hd_mark,0),0)/12)),0)</f>
        <v>0</v>
      </c>
      <c r="BH953">
        <f>IF(AV953=0,0,$BG$927*$AM$919)</f>
        <v>0</v>
      </c>
      <c r="BI953">
        <f>IFERROR(BH953/$AU$927,0)</f>
        <v>0</v>
      </c>
      <c r="BJ953">
        <f>BH953*($F$23+IF($F$23=0,0,($C$14+$C$15+IF($C$13="single",1.5,3)+3)/12))</f>
        <v>0</v>
      </c>
      <c r="BK953">
        <f>BJ953-BA953</f>
        <v>0</v>
      </c>
      <c r="BL953" cm="1">
        <f t="array" ref="BL953">IFERROR(IF(BK953&lt;0,0,BK953/($AU$927-INDEX(hd_off,MATCH(BT953,hd_mark,0),0)/12)),0)</f>
        <v>0</v>
      </c>
      <c r="BM953">
        <f>MAX($F$23,$BD$927)/$Q$948</f>
        <v>0</v>
      </c>
      <c r="BN953">
        <f t="shared" si="602"/>
        <v>0</v>
      </c>
      <c r="BO953" cm="1">
        <f t="array" ref="BO953">IFERROR(INDEX(sheath_ecap_asd,MATCH(BS953,sheath_mark,0),0)*BN953,0)</f>
        <v>0</v>
      </c>
      <c r="BP953" cm="1">
        <f t="array" ref="BP953">IFERROR(INDEX(sheath_wcap_asd,MATCH(BS953,sheath_mark,0),0)*BN953,0)</f>
        <v>0</v>
      </c>
      <c r="BQ953" cm="1">
        <f t="array" ref="BQ953">IFERROR(INDEX(hd_cap,MATCH(BT953,hd_mark,0),0),0)</f>
        <v>0</v>
      </c>
      <c r="BS953" s="19"/>
      <c r="BT953" s="19"/>
      <c r="BU953" s="100"/>
    </row>
    <row r="954" x14ac:dyDescent="0.25">
      <c r="B954" t="s">
        <v>465</v>
      </c>
      <c r="C954" s="19"/>
      <c r="D954" s="19"/>
      <c r="E954">
        <f t="shared" si="596"/>
        <v>0</v>
      </c>
      <c r="H954">
        <v>17</v>
      </c>
      <c r="I954" s="19"/>
      <c r="J954" s="19"/>
      <c r="K954">
        <f t="shared" si="597"/>
        <v>0</v>
      </c>
      <c r="P954" s="93"/>
      <c r="Q954" s="111">
        <f>$R$927</f>
        <v>0</v>
      </c>
      <c r="R954" t="str">
        <f>$Q$920</f>
        <v>L5</v>
      </c>
      <c r="S954">
        <f>$E$24</f>
        <v>0</v>
      </c>
      <c r="T954" cm="1">
        <f t="array" ref="T954">IFERROR(IF(S954=0,0,(INDEX($C$33:$C$38,MATCH($W$927,$B$33:$B$38,0),0)*(S955+$X$927)+$T$927*COUNTIF(S954:S954,"&gt;0")*$C$32+$V$927*$C$31)*$R$927),0)</f>
        <v>0</v>
      </c>
      <c r="U954">
        <f>IF(S954=0,0,-(COUNTIF(S954:S954,"&gt;0")*$T$927*$C$32+$V$927*$C$31)*$H$27*$R$927)</f>
        <v>0</v>
      </c>
      <c r="V954">
        <f>IF(S954=0,0,$V$927*$H$26*$R$927)</f>
        <v>0</v>
      </c>
      <c r="W954">
        <f>(0.6*T954+0.7*U954)*$R$927/2</f>
        <v>0</v>
      </c>
      <c r="X954">
        <f>T954*$R$927/2</f>
        <v>0</v>
      </c>
      <c r="Z954">
        <f>IF(S954=0,0,$AD$927*$AP$920)</f>
        <v>0</v>
      </c>
      <c r="AA954">
        <f>IFERROR(Z954/$R$927,0)</f>
        <v>0</v>
      </c>
      <c r="AB954">
        <f>Z954*($F$24+IF($F$24=0,0,($C$14+$C$15+IF($C$13="single",1.5,3)+3)/12))</f>
        <v>0</v>
      </c>
      <c r="AC954">
        <f>AB954-W954</f>
        <v>0</v>
      </c>
      <c r="AD954" cm="1">
        <f t="array" ref="AD954">IFERROR(IF(AC954&lt;0,0,AC954/($R$927-INDEX(hd_off,MATCH(AQ954,hd_mark,0),0)/12)),0)</f>
        <v>0</v>
      </c>
      <c r="AE954">
        <f>IF(S954=0,0,$AD$927*$AM$920)</f>
        <v>0</v>
      </c>
      <c r="AF954">
        <f>IFERROR(AE954/$R$927,0)</f>
        <v>0</v>
      </c>
      <c r="AG954">
        <f>AE954*($F$24+IF($F$24=0,0,($C$14+$C$15+IF($C$13="single",1.5,3)+3)/12))</f>
        <v>0</v>
      </c>
      <c r="AH954">
        <f>AG954-X954</f>
        <v>0</v>
      </c>
      <c r="AI954" cm="1">
        <f t="array" ref="AI954">IFERROR(IF(AH954&lt;0,0,AH954/($R$927-INDEX(hd_off,MATCH(AQ954,hd_mark,0),0)/12)),0)</f>
        <v>0</v>
      </c>
      <c r="AJ954">
        <f>MAX($F$24,$AB$927)/$Q$948</f>
        <v>0</v>
      </c>
      <c r="AK954">
        <f t="shared" si="601"/>
        <v>0</v>
      </c>
      <c r="AL954" cm="1">
        <f t="array" ref="AL954">IFERROR(INDEX(sheath_ecap_asd,MATCH(AP954,sheath_mark,0),0)*AK954,0)</f>
        <v>0</v>
      </c>
      <c r="AM954" cm="1">
        <f t="array" ref="AM954">IFERROR(INDEX(sheath_wcap_asd,MATCH(AP954,sheath_mark,0),0)*AK954,0)</f>
        <v>0</v>
      </c>
      <c r="AN954" cm="1">
        <f t="array" ref="AN954">IFERROR(INDEX(hd_cap,MATCH(AQ954,hd_mark,0),0),0)</f>
        <v>0</v>
      </c>
      <c r="AP954" s="19"/>
      <c r="AQ954" s="19"/>
      <c r="AR954" s="100"/>
      <c r="AS954" s="93"/>
      <c r="AT954" s="111">
        <f>$R$927</f>
        <v>0</v>
      </c>
      <c r="AU954" t="str">
        <f>$Q$920</f>
        <v>L5</v>
      </c>
      <c r="AV954">
        <f>$E$24</f>
        <v>0</v>
      </c>
      <c r="AW954" cm="1">
        <f t="array" ref="AW954">IFERROR(IF(AV954=0,0,(INDEX($C$33:$C$38,MATCH($AZ$927,$B$33:$B$38,0),0)*(AV955+$BA$927)+$AW$927*COUNTIF(AV954:AV954,"&gt;0")*$C$32+$AY$927*$C$31)*$AU$927),0)</f>
        <v>0</v>
      </c>
      <c r="AX954">
        <f>IF(AV954=0,0,-(COUNTIF(AV954:AV954,"&gt;0")*$AW$927*$C$32+$AY$927*$C$31)*$H$27*$AU$927)</f>
        <v>0</v>
      </c>
      <c r="AY954">
        <f>IF(AV954=0,0,$AY$927*$H$26*$AU$927)</f>
        <v>0</v>
      </c>
      <c r="AZ954">
        <f>(0.6*AW954+0.7*AX954)*$AU$927/2</f>
        <v>0</v>
      </c>
      <c r="BA954">
        <f>AW954*$AU$927/2</f>
        <v>0</v>
      </c>
      <c r="BC954">
        <f>IF(AV954=0,0,$BG$927*$AP$920)</f>
        <v>0</v>
      </c>
      <c r="BD954">
        <f>IFERROR(BC954/$AU$927,0)</f>
        <v>0</v>
      </c>
      <c r="BE954">
        <f>BC954*($F$24+IF($F$24=0,0,($C$14+$C$15+IF($C$13="single",1.5,3)+3)/12))</f>
        <v>0</v>
      </c>
      <c r="BF954">
        <f>BE954-AZ954</f>
        <v>0</v>
      </c>
      <c r="BG954" cm="1">
        <f t="array" ref="BG954">IFERROR(IF(BF954&lt;0,0,BF954/($AU$927-INDEX(hd_off,MATCH(BT954,hd_mark,0),0)/12)),0)</f>
        <v>0</v>
      </c>
      <c r="BH954">
        <f>IF(AV954=0,0,$BG$927*$AM$920)</f>
        <v>0</v>
      </c>
      <c r="BI954">
        <f>IFERROR(BH954/$AU$927,0)</f>
        <v>0</v>
      </c>
      <c r="BJ954">
        <f>BH954*($F$24+IF($F$24=0,0,($C$14+$C$15+IF($C$13="single",1.5,3)+3)/12))</f>
        <v>0</v>
      </c>
      <c r="BK954">
        <f>BJ954-BA954</f>
        <v>0</v>
      </c>
      <c r="BL954" cm="1">
        <f t="array" ref="BL954">IFERROR(IF(BK954&lt;0,0,BK954/($AU$927-INDEX(hd_off,MATCH(BT954,hd_mark,0),0)/12)),0)</f>
        <v>0</v>
      </c>
      <c r="BM954">
        <f>MAX($F$24,$BE$927)/$Q$948</f>
        <v>0</v>
      </c>
      <c r="BN954">
        <f t="shared" si="602"/>
        <v>0</v>
      </c>
      <c r="BO954" cm="1">
        <f t="array" ref="BO954">IFERROR(INDEX(sheath_ecap_asd,MATCH(BS954,sheath_mark,0),0)*BN954,0)</f>
        <v>0</v>
      </c>
      <c r="BP954" cm="1">
        <f t="array" ref="BP954">IFERROR(INDEX(sheath_wcap_asd,MATCH(BS954,sheath_mark,0),0)*BN954,0)</f>
        <v>0</v>
      </c>
      <c r="BQ954" cm="1">
        <f t="array" ref="BQ954">IFERROR(INDEX(hd_cap,MATCH(BT954,hd_mark,0),0),0)</f>
        <v>0</v>
      </c>
      <c r="BS954" s="19"/>
      <c r="BT954" s="19"/>
      <c r="BU954" s="100"/>
    </row>
    <row r="955" x14ac:dyDescent="0.25">
      <c r="B955" t="s">
        <v>466</v>
      </c>
      <c r="C955" s="19"/>
      <c r="D955" s="19"/>
      <c r="E955">
        <f t="shared" si="596"/>
        <v>0</v>
      </c>
      <c r="H955">
        <v>18</v>
      </c>
      <c r="I955" s="19"/>
      <c r="J955" s="19"/>
      <c r="K955">
        <f t="shared" si="597"/>
        <v>0</v>
      </c>
      <c r="P955" s="93"/>
      <c r="Q955" s="109"/>
      <c r="R955" t="str">
        <f>$Q$921</f>
        <v>Roof</v>
      </c>
      <c r="S955">
        <f>$E$25</f>
        <v>33.171875</v>
      </c>
      <c r="T955" cm="1">
        <f t="array" ref="T955">IFERROR(IF(S955=0,0,(INDEX($C$33:$C$38,MATCH($W$927,$B$33:$B$38,0),0)*(S955+$X$927)+$V$927*$C$31)*$R$927),0)</f>
        <v>0</v>
      </c>
      <c r="U955">
        <f>IF(S955=0,0,-$V$927*$C$31*$H$27*$R$927)</f>
        <v>0</v>
      </c>
      <c r="V955">
        <f>IF(S955=0,0,$V$927*$H$26*$R$927)</f>
        <v>0</v>
      </c>
      <c r="W955">
        <f>(0.6*T955+0.7*U955)*$R$927/2</f>
        <v>0</v>
      </c>
      <c r="X955">
        <f>T955*$R$927/2</f>
        <v>0</v>
      </c>
      <c r="Z955">
        <f>IF(S955=0,0,$AD$927*$AP$921)</f>
        <v>0</v>
      </c>
      <c r="AA955">
        <f>IFERROR(Z955/$R$927,0)</f>
        <v>0</v>
      </c>
      <c r="AB955">
        <f>Z955*($F$25+($C$16+$C$17+IF($C$13="single",1.5,3)+3)/12)</f>
        <v>0</v>
      </c>
      <c r="AC955">
        <f>AB955-W955</f>
        <v>0</v>
      </c>
      <c r="AD955" cm="1">
        <f t="array" ref="AD955">IFERROR(IF(AC955&lt;0,0,AC955/($R$927-INDEX(hd_off,MATCH(AQ955,hd_mark,0),0)/12)),0)</f>
        <v>0</v>
      </c>
      <c r="AE955">
        <f>IF(S955=0,0,$AD$927*$AM$921)</f>
        <v>0</v>
      </c>
      <c r="AF955">
        <f>IFERROR(AE955/$R$927,0)</f>
        <v>0</v>
      </c>
      <c r="AG955">
        <f>AE955*($F$25+($C$16+$C$17+IF($C$13="single",1.5,3)+3)/12)</f>
        <v>0</v>
      </c>
      <c r="AH955">
        <f>AG955-X955</f>
        <v>0</v>
      </c>
      <c r="AI955" cm="1">
        <f t="array" ref="AI955">IFERROR(IF(AH955&lt;0,0,AH955/($R$927-INDEX(hd_off,MATCH(AQ955,hd_mark,0),0)/12)),0)</f>
        <v>0</v>
      </c>
      <c r="AJ955">
        <f>MAX($F$25,$AC$927)/$Q$948</f>
        <v>0.29920977011494249</v>
      </c>
      <c r="AK955">
        <f t="shared" si="601"/>
        <v>1</v>
      </c>
      <c r="AL955" cm="1">
        <f t="array" ref="AL955">IFERROR(INDEX(sheath_ecap_asd,MATCH(AP955,sheath_mark,0),0)*AK955,0)</f>
        <v>0</v>
      </c>
      <c r="AM955" cm="1">
        <f t="array" ref="AM955">IFERROR(INDEX(sheath_wcap_asd,MATCH(AP955,sheath_mark,0),0)*AK955,0)</f>
        <v>0</v>
      </c>
      <c r="AN955" cm="1">
        <f t="array" ref="AN955">IFERROR(INDEX(hd_cap,MATCH(AQ955,hd_mark,0),0),0)</f>
        <v>0</v>
      </c>
      <c r="AP955" s="19"/>
      <c r="AQ955" s="19"/>
      <c r="AR955" s="100"/>
      <c r="AS955" s="93"/>
      <c r="AT955" s="109"/>
      <c r="AU955" t="str">
        <f>$Q$921</f>
        <v>Roof</v>
      </c>
      <c r="AV955">
        <f>$E$25</f>
        <v>33.171875</v>
      </c>
      <c r="AW955" cm="1">
        <f t="array" ref="AW955">IFERROR(IF(AV955=0,0,(INDEX($C$33:$C$38,MATCH($AZ$927,$B$33:$B$38,0),0)*(AV955+$BA$927)+$AY$927*$C$31)*$AU$927),0)</f>
        <v>0</v>
      </c>
      <c r="AX955">
        <f>IF(AV955=0,0,-$AY$927*$C$31*$H$27*$AU$927)</f>
        <v>0</v>
      </c>
      <c r="AY955">
        <f>IF(AV955=0,0,$AY$927*$H$26*$AU$927)</f>
        <v>0</v>
      </c>
      <c r="AZ955">
        <f>(0.6*AW955+0.7*AX955)*$AU$927/2</f>
        <v>0</v>
      </c>
      <c r="BA955">
        <f>AW955*$AU$927/2</f>
        <v>0</v>
      </c>
      <c r="BC955">
        <f>IF(AV955=0,0,$BG$927*$AP$921)</f>
        <v>0</v>
      </c>
      <c r="BD955">
        <f>IFERROR(BC955/$AU$927,0)</f>
        <v>0</v>
      </c>
      <c r="BE955">
        <f>BC955*($F$25+($C$16+$C$17+IF($C$13="single",1.5,3)+3)/12)</f>
        <v>0</v>
      </c>
      <c r="BF955">
        <f>BE955-AZ955</f>
        <v>0</v>
      </c>
      <c r="BG955" cm="1">
        <f t="array" ref="BG955">IFERROR(IF(BF955&lt;0,0,BF955/($AU$927-INDEX(hd_off,MATCH(BT955,hd_mark,0),0)/12)),0)</f>
        <v>0</v>
      </c>
      <c r="BH955">
        <f>IF(AV955=0,0,$BG$927*$AM$921)</f>
        <v>0</v>
      </c>
      <c r="BI955">
        <f>IFERROR(BH955/$AU$927,0)</f>
        <v>0</v>
      </c>
      <c r="BJ955">
        <f>BH955*($F$25+($C$16+$C$17+IF($C$13="single",1.5,3)+3)/12)</f>
        <v>0</v>
      </c>
      <c r="BK955">
        <f>BJ955-BA955</f>
        <v>0</v>
      </c>
      <c r="BL955" cm="1">
        <f t="array" ref="BL955">IFERROR(IF(BK955&lt;0,0,BK955/($AU$927-INDEX(hd_off,MATCH(BT955,hd_mark,0),0)/12)),0)</f>
        <v>0</v>
      </c>
      <c r="BM955">
        <f>MAX($F$25,$BF$927)/$Q$948</f>
        <v>0.29920977011494249</v>
      </c>
      <c r="BN955">
        <f t="shared" si="602"/>
        <v>1</v>
      </c>
      <c r="BO955" cm="1">
        <f t="array" ref="BO955">IFERROR(INDEX(sheath_ecap_asd,MATCH(BS955,sheath_mark,0),0)*BN955,0)</f>
        <v>0</v>
      </c>
      <c r="BP955" cm="1">
        <f t="array" ref="BP955">IFERROR(INDEX(sheath_wcap_asd,MATCH(BS955,sheath_mark,0),0)*BN955,0)</f>
        <v>0</v>
      </c>
      <c r="BQ955" cm="1">
        <f t="array" ref="BQ955">IFERROR(INDEX(hd_cap,MATCH(BT955,hd_mark,0),0),0)</f>
        <v>0</v>
      </c>
      <c r="BS955" s="19"/>
      <c r="BT955" s="19"/>
      <c r="BU955" s="100"/>
    </row>
    <row r="956" x14ac:dyDescent="0.25">
      <c r="B956" t="s">
        <v>467</v>
      </c>
      <c r="C956" s="19"/>
      <c r="D956" s="19"/>
      <c r="E956">
        <f t="shared" si="596"/>
        <v>0</v>
      </c>
      <c r="H956">
        <v>19</v>
      </c>
      <c r="I956" s="19"/>
      <c r="J956" s="19"/>
      <c r="K956">
        <f t="shared" si="597"/>
        <v>0</v>
      </c>
      <c r="P956" s="93"/>
      <c r="AR956" s="100"/>
      <c r="AS956" s="93"/>
      <c r="BU956" s="100"/>
    </row>
    <row r="957" x14ac:dyDescent="0.25">
      <c r="B957" t="s">
        <v>468</v>
      </c>
      <c r="C957" s="19"/>
      <c r="D957" s="19"/>
      <c r="E957">
        <f t="shared" si="596"/>
        <v>0</v>
      </c>
      <c r="H957">
        <v>20</v>
      </c>
      <c r="I957" s="19"/>
      <c r="J957" s="19"/>
      <c r="K957">
        <f t="shared" si="597"/>
        <v>0</v>
      </c>
      <c r="P957" s="93"/>
      <c r="Q957" s="110" t="str">
        <f>$Q$928</f>
        <v>A.03</v>
      </c>
      <c r="R957" t="str">
        <f>$Q$917</f>
        <v>L2</v>
      </c>
      <c r="S957">
        <f>$E$21</f>
        <v>10.6875</v>
      </c>
      <c r="T957" cm="1">
        <f t="array" ref="T957">IFERROR(IF(S957=0,0,(INDEX($C$33:$C$38,MATCH($W$928,$B$33:$B$38,0),0)*(S961+$X$928)+$T$928*COUNTIF(S957:S960,"&gt;0")*$C$32+$V$928*$C$31)*$R$928),0)</f>
        <v>0</v>
      </c>
      <c r="U957">
        <f>IF(S957=0,0,-(COUNTIF(S957:S960,"&gt;0")*$T$928*$C$32+$V$928*$C$31)*$H$27*$R$928)</f>
        <v>0</v>
      </c>
      <c r="V957">
        <f>IF(S957=0,0,$V$928*$H$26*$R$928)</f>
        <v>0</v>
      </c>
      <c r="W957">
        <f>(0.6*T957+0.7*U957)*$R$928/2</f>
        <v>0</v>
      </c>
      <c r="X957">
        <f>(0.6*T957+0.6*V957)*$R$928/2</f>
        <v>0</v>
      </c>
      <c r="Z957">
        <f>IF(S957=0,0,$AD$928*$AP$917)</f>
        <v>0</v>
      </c>
      <c r="AA957">
        <f>IFERROR(Z957/$R$928,0)</f>
        <v>0</v>
      </c>
      <c r="AB957">
        <f>Z957*($F$21+IF($F$21=0,0,($C$14+$C$15+IF($C$13="single",1.5,3)+3)/12))</f>
        <v>0</v>
      </c>
      <c r="AC957">
        <f>AB957-W957</f>
        <v>0</v>
      </c>
      <c r="AD957" cm="1">
        <f t="array" ref="AD957">IFERROR(IF(AC957&lt;0,0,AC957/($R$928-INDEX(hd_off,MATCH(AQ957,hd_mark,0),0)/12)),0)</f>
        <v>0</v>
      </c>
      <c r="AE957">
        <f>IF(S957=0,0,$AD$928*$AM$917)</f>
        <v>0</v>
      </c>
      <c r="AF957">
        <f>IFERROR(AE957/$R$928,0)</f>
        <v>0</v>
      </c>
      <c r="AG957">
        <f>AE957*($F$21+IF($F$21=0,0,($C$14+$C$15+IF($C$13="single",1.5,3)+3)/12))</f>
        <v>0</v>
      </c>
      <c r="AH957">
        <f>AG957-X957</f>
        <v>0</v>
      </c>
      <c r="AI957" cm="1">
        <f t="array" ref="AI957">IFERROR(IF(AH957&lt;0,0,AH957/($R$928-INDEX(hd_off,MATCH(AQ957,hd_mark,0),0)/12)),0)</f>
        <v>0</v>
      </c>
      <c r="AJ957">
        <f>MAX($F$21,$Y$928)/$Q$948</f>
        <v>0.30172413793103448</v>
      </c>
      <c r="AK957">
        <f>IF(AJ957=0,0,IF(AJ957&gt;2,1.25-0.125*AJ957,1))</f>
        <v>1</v>
      </c>
      <c r="AL957" cm="1">
        <f t="array" ref="AL957">IFERROR(INDEX(sheath_ecap_asd,MATCH(AP957,sheath_mark,0),0)*AK957,0)</f>
        <v>0</v>
      </c>
      <c r="AM957" cm="1">
        <f t="array" ref="AM957">IFERROR(INDEX(sheath_wcap_asd,MATCH(AP957,sheath_mark,0),0)*AK957,0)</f>
        <v>0</v>
      </c>
      <c r="AN957" cm="1">
        <f t="array" ref="AN957">IFERROR(INDEX(hd_cap,MATCH(AQ957,hd_mark,0),0),0)</f>
        <v>0</v>
      </c>
      <c r="AP957" s="19"/>
      <c r="AQ957" s="19"/>
      <c r="AR957" s="100"/>
      <c r="AS957" s="93"/>
      <c r="AT957" s="110" t="str">
        <f>$AT$928</f>
        <v>1.03</v>
      </c>
      <c r="AU957" t="str">
        <f>$Q$917</f>
        <v>L2</v>
      </c>
      <c r="AV957">
        <f>$E$21</f>
        <v>10.6875</v>
      </c>
      <c r="AW957" cm="1">
        <f t="array" ref="AW957">IFERROR(IF(AV957=0,0,(INDEX($C$33:$C$38,MATCH($AZ$928,$B$33:$B$38,0),0)*(AV961+$BA$928)+$AW$928*COUNTIF(AV957:AV960,"&gt;0")*$C$32+$AY$928*$C$31)*$AU$928),0)</f>
        <v>0</v>
      </c>
      <c r="AX957">
        <f>IF(AV957=0,0,-(COUNTIF(AV957:AV960,"&gt;0")*$AW$928*$C$32+$AY$928*$C$31)*$H$27*$AU$928)</f>
        <v>0</v>
      </c>
      <c r="AY957">
        <f>IF(AV957=0,0,$AY$928*$H$26*$AU$928)</f>
        <v>0</v>
      </c>
      <c r="AZ957">
        <f>(0.6*AW957+0.7*AX957)*$AU$928/2</f>
        <v>0</v>
      </c>
      <c r="BA957">
        <f>(0.6*AW957+0.6*AY957)*$AU$928/2</f>
        <v>0</v>
      </c>
      <c r="BC957">
        <f>IF(AV957=0,0,$BG$928*$AP$917)</f>
        <v>0</v>
      </c>
      <c r="BD957">
        <f>IFERROR(BC957/$AU$928,0)</f>
        <v>0</v>
      </c>
      <c r="BE957">
        <f>BC957*($F$21+IF($F$21=0,0,($C$14+$C$15+IF($C$13="single",1.5,3)+3)/12))</f>
        <v>0</v>
      </c>
      <c r="BF957">
        <f>BE957-AZ957</f>
        <v>0</v>
      </c>
      <c r="BG957" cm="1">
        <f t="array" ref="BG957">IFERROR(IF(BF957&lt;0,0,BF957/($AU$928-INDEX(hd_off,MATCH(BT957,hd_mark,0),0)/12)),0)</f>
        <v>0</v>
      </c>
      <c r="BH957">
        <f>IF(AV957=0,0,$BG$928*$AM$917)</f>
        <v>0</v>
      </c>
      <c r="BI957">
        <f>IFERROR(BH957/$AU$928,0)</f>
        <v>0</v>
      </c>
      <c r="BJ957">
        <f>BH957*($F$21+IF($F$21=0,0,($C$14+$C$15+IF($C$13="single",1.5,3)+3)/12))</f>
        <v>0</v>
      </c>
      <c r="BK957">
        <f>BJ957-BA957</f>
        <v>0</v>
      </c>
      <c r="BL957" cm="1">
        <f t="array" ref="BL957">IFERROR(IF(BK957&lt;0,0,BK957/($AU$928-INDEX(hd_off,MATCH(BT957,hd_mark,0),0)/12)),0)</f>
        <v>0</v>
      </c>
      <c r="BM957">
        <f>MAX($F$21,$BB$928)/$Q$948</f>
        <v>0.30172413793103448</v>
      </c>
      <c r="BN957">
        <f>IF(BM957=0,0,IF(BM957&gt;2,1.25-0.125*BM957,1))</f>
        <v>1</v>
      </c>
      <c r="BO957" cm="1">
        <f t="array" ref="BO957">IFERROR(INDEX(sheath_ecap_asd,MATCH(BS957,sheath_mark,0),0)*BN957,0)</f>
        <v>0</v>
      </c>
      <c r="BP957" cm="1">
        <f t="array" ref="BP957">IFERROR(INDEX(sheath_wcap_asd,MATCH(BS957,sheath_mark,0),0)*BN957,0)</f>
        <v>0</v>
      </c>
      <c r="BQ957" cm="1">
        <f t="array" ref="BQ957">IFERROR(INDEX(hd_cap,MATCH(BT957,hd_mark,0),0),0)</f>
        <v>0</v>
      </c>
      <c r="BS957" s="19"/>
      <c r="BT957" s="19"/>
      <c r="BU957" s="100"/>
    </row>
    <row r="958" x14ac:dyDescent="0.25">
      <c r="B958" t="s">
        <v>469</v>
      </c>
      <c r="C958" s="19"/>
      <c r="D958" s="19"/>
      <c r="E958">
        <f t="shared" si="596"/>
        <v>0</v>
      </c>
      <c r="H958">
        <v>21</v>
      </c>
      <c r="I958" s="19"/>
      <c r="J958" s="19"/>
      <c r="K958">
        <f t="shared" si="597"/>
        <v>0</v>
      </c>
      <c r="P958" s="93"/>
      <c r="Q958" s="109"/>
      <c r="R958" t="str">
        <f>$Q$918</f>
        <v>L3</v>
      </c>
      <c r="S958">
        <f>$E$22</f>
        <v>21.375</v>
      </c>
      <c r="T958" cm="1">
        <f t="array" ref="T958">IFERROR(IF(S958=0,0,(INDEX($C$33:$C$38,MATCH($W$928,$B$33:$B$38,0),0)*(S961+$X$928)+$T$928*COUNTIF(S958:S960,"&gt;0")*$C$32+$V$928*$C$31)*$R$928),0)</f>
        <v>0</v>
      </c>
      <c r="U958">
        <f>IF(S958=0,0,-(COUNTIF(S958:S960,"&gt;0")*$T$928*$C$32+$V$928*$C$31)*$H$27*$R$928)</f>
        <v>0</v>
      </c>
      <c r="V958">
        <f>IF(S958=0,0,$V$928*$H$26*$R$928)</f>
        <v>0</v>
      </c>
      <c r="W958">
        <f>(0.6*T958+0.7*U958)*$R$928/2</f>
        <v>0</v>
      </c>
      <c r="X958">
        <f>T958*$R$928/2</f>
        <v>0</v>
      </c>
      <c r="Z958">
        <f>IF(S958=0,0,$AD$928*$AP$918)</f>
        <v>0</v>
      </c>
      <c r="AA958">
        <f>IFERROR(Z958/$R$928,0)</f>
        <v>0</v>
      </c>
      <c r="AB958">
        <f>Z958*($F$22+IF($F$22=0,0,($C$14+$C$15+IF($C$13="single",1.5,3)+3)/12))</f>
        <v>0</v>
      </c>
      <c r="AC958">
        <f>AB958-W958</f>
        <v>0</v>
      </c>
      <c r="AD958" cm="1">
        <f t="array" ref="AD958">IFERROR(IF(AC958&lt;0,0,AC958/($R$928-INDEX(hd_off,MATCH(AQ958,hd_mark,0),0)/12)),0)</f>
        <v>0</v>
      </c>
      <c r="AE958">
        <f>IF(S958=0,0,$AD$928*$AM$918)</f>
        <v>0</v>
      </c>
      <c r="AF958">
        <f>IFERROR(AE958/$R$928,0)</f>
        <v>0</v>
      </c>
      <c r="AG958">
        <f>AE958*($F$22+IF($F$22=0,0,($C$14+$C$15+IF($C$13="single",1.5,3)+3)/12))</f>
        <v>0</v>
      </c>
      <c r="AH958">
        <f>AG958-X958</f>
        <v>0</v>
      </c>
      <c r="AI958" cm="1">
        <f t="array" ref="AI958">IFERROR(IF(AH958&lt;0,0,AH958/($R$928-INDEX(hd_off,MATCH(AQ958,hd_mark,0),0)/12)),0)</f>
        <v>0</v>
      </c>
      <c r="AJ958">
        <f>MAX($F$22,$Z$928)/$Q$948</f>
        <v>0.30172413793103448</v>
      </c>
      <c r="AK958">
        <f t="shared" ref="AK958:AK961" si="603">IF(AJ958=0,0,IF(AJ958&gt;2,1.25-0.125*AJ958,1))</f>
        <v>1</v>
      </c>
      <c r="AL958" cm="1">
        <f t="array" ref="AL958">IFERROR(INDEX(sheath_ecap_asd,MATCH(AP958,sheath_mark,0),0)*AK958,0)</f>
        <v>0</v>
      </c>
      <c r="AM958" cm="1">
        <f t="array" ref="AM958">IFERROR(INDEX(sheath_wcap_asd,MATCH(AP958,sheath_mark,0),0)*AK958,0)</f>
        <v>0</v>
      </c>
      <c r="AN958" cm="1">
        <f t="array" ref="AN958">IFERROR(INDEX(hd_cap,MATCH(AQ958,hd_mark,0),0),0)</f>
        <v>0</v>
      </c>
      <c r="AP958" s="19"/>
      <c r="AQ958" s="19"/>
      <c r="AR958" s="100"/>
      <c r="AS958" s="93"/>
      <c r="AT958" s="109"/>
      <c r="AU958" t="str">
        <f>$Q$918</f>
        <v>L3</v>
      </c>
      <c r="AV958">
        <f>$E$22</f>
        <v>21.375</v>
      </c>
      <c r="AW958" cm="1">
        <f t="array" ref="AW958">IFERROR(IF(AV958=0,0,(INDEX($C$33:$C$38,MATCH($AZ$928,$B$33:$B$38,0),0)*(AV961+$BA$928)+$AW$928*COUNTIF(AV958:AV960,"&gt;0")*$C$32+$AY$928*$C$31)*$AU$928),0)</f>
        <v>0</v>
      </c>
      <c r="AX958">
        <f>IF(AV958=0,0,-(COUNTIF(AV958:AV960,"&gt;0")*$AW$928*$C$32+$AY$928*$C$31)*$H$27*$AU$928)</f>
        <v>0</v>
      </c>
      <c r="AY958">
        <f>IF(AV958=0,0,$AY$928*$H$26*$AU$928)</f>
        <v>0</v>
      </c>
      <c r="AZ958">
        <f>(0.6*AW958+0.7*AX958)*$AU$928/2</f>
        <v>0</v>
      </c>
      <c r="BA958">
        <f>AW958*$AU$928/2</f>
        <v>0</v>
      </c>
      <c r="BC958">
        <f>IF(AV958=0,0,$BG$928*$AP$918)</f>
        <v>0</v>
      </c>
      <c r="BD958">
        <f>IFERROR(BC958/$AU$928,0)</f>
        <v>0</v>
      </c>
      <c r="BE958">
        <f>BC958*($F$22+IF($F$22=0,0,($C$14+$C$15+IF($C$13="single",1.5,3)+3)/12))</f>
        <v>0</v>
      </c>
      <c r="BF958">
        <f>BE958-AZ958</f>
        <v>0</v>
      </c>
      <c r="BG958" cm="1">
        <f t="array" ref="BG958">IFERROR(IF(BF958&lt;0,0,BF958/($AU$928-INDEX(hd_off,MATCH(BT958,hd_mark,0),0)/12)),0)</f>
        <v>0</v>
      </c>
      <c r="BH958">
        <f>IF(AV958=0,0,$BG$928*$AM$918)</f>
        <v>0</v>
      </c>
      <c r="BI958">
        <f>IFERROR(BH958/$AU$928,0)</f>
        <v>0</v>
      </c>
      <c r="BJ958">
        <f>BH958*($F$22+IF($F$22=0,0,($C$14+$C$15+IF($C$13="single",1.5,3)+3)/12))</f>
        <v>0</v>
      </c>
      <c r="BK958">
        <f>BJ958-BA958</f>
        <v>0</v>
      </c>
      <c r="BL958" cm="1">
        <f t="array" ref="BL958">IFERROR(IF(BK958&lt;0,0,BK958/($AU$928-INDEX(hd_off,MATCH(BT958,hd_mark,0),0)/12)),0)</f>
        <v>0</v>
      </c>
      <c r="BM958">
        <f>MAX($F$22,$BC$928)/$Q$948</f>
        <v>0.30172413793103448</v>
      </c>
      <c r="BN958">
        <f t="shared" ref="BN958:BN961" si="604">IF(BM958=0,0,IF(BM958&gt;2,1.25-0.125*BM958,1))</f>
        <v>1</v>
      </c>
      <c r="BO958" cm="1">
        <f t="array" ref="BO958">IFERROR(INDEX(sheath_ecap_asd,MATCH(BS958,sheath_mark,0),0)*BN958,0)</f>
        <v>0</v>
      </c>
      <c r="BP958" cm="1">
        <f t="array" ref="BP958">IFERROR(INDEX(sheath_wcap_asd,MATCH(BS958,sheath_mark,0),0)*BN958,0)</f>
        <v>0</v>
      </c>
      <c r="BQ958" cm="1">
        <f t="array" ref="BQ958">IFERROR(INDEX(hd_cap,MATCH(BT958,hd_mark,0),0),0)</f>
        <v>0</v>
      </c>
      <c r="BS958" s="19"/>
      <c r="BT958" s="19"/>
      <c r="BU958" s="100"/>
    </row>
    <row r="959" x14ac:dyDescent="0.25">
      <c r="B959" t="s">
        <v>285</v>
      </c>
      <c r="C959" s="19"/>
      <c r="D959" s="19"/>
      <c r="E959">
        <f t="shared" si="596"/>
        <v>0</v>
      </c>
      <c r="H959">
        <v>22</v>
      </c>
      <c r="I959" s="19"/>
      <c r="J959" s="19"/>
      <c r="K959">
        <f t="shared" si="597"/>
        <v>0</v>
      </c>
      <c r="P959" s="93"/>
      <c r="Q959" s="109" t="s">
        <v>491</v>
      </c>
      <c r="R959" t="str">
        <f>$Q$919</f>
        <v>L4</v>
      </c>
      <c r="S959">
        <f>$E$23</f>
        <v>0</v>
      </c>
      <c r="T959" cm="1">
        <f t="array" ref="T959">IFERROR(IF(S959=0,0,(INDEX($C$33:$C$38,MATCH($W$928,$B$33:$B$38,0),0)*(S961+$X$928)+$T$928*COUNTIF(S959:S960,"&gt;0")*$C$32+$V$928*$C$31)*$R$928),0)</f>
        <v>0</v>
      </c>
      <c r="U959">
        <f>IF(S959=0,0,-(COUNTIF(S959:S960,"&gt;0")*$T$928*$C$32+$V$928*$C$31)*$H$27*$R$928)</f>
        <v>0</v>
      </c>
      <c r="V959">
        <f>IF(S959=0,0,$V$928*$H$26*$R$928)</f>
        <v>0</v>
      </c>
      <c r="W959">
        <f>(0.6*T959+0.7*U959)*$R$928/2</f>
        <v>0</v>
      </c>
      <c r="X959">
        <f>T959*$R$928/2</f>
        <v>0</v>
      </c>
      <c r="Z959">
        <f>IF(S959=0,0,$AD$928*$AP$919)</f>
        <v>0</v>
      </c>
      <c r="AA959">
        <f>IFERROR(Z959/$R$928,0)</f>
        <v>0</v>
      </c>
      <c r="AB959">
        <f>Z959*($F$23+IF($F$23=0,0,($C$14+$C$15+IF($C$13="single",1.5,3)+3)/12))</f>
        <v>0</v>
      </c>
      <c r="AC959">
        <f>AB959-W959</f>
        <v>0</v>
      </c>
      <c r="AD959" cm="1">
        <f t="array" ref="AD959">IFERROR(IF(AC959&lt;0,0,AC959/($R$928-INDEX(hd_off,MATCH(AQ959,hd_mark,0),0)/12)),0)</f>
        <v>0</v>
      </c>
      <c r="AE959">
        <f>IF(S959=0,0,$AD$928*$AM$919)</f>
        <v>0</v>
      </c>
      <c r="AF959">
        <f>IFERROR(AE959/$R$928,0)</f>
        <v>0</v>
      </c>
      <c r="AG959">
        <f>AE959*($F$23+IF($F$23=0,0,($C$14+$C$15+IF($C$13="single",1.5,3)+3)/12))</f>
        <v>0</v>
      </c>
      <c r="AH959">
        <f>AG959-X959</f>
        <v>0</v>
      </c>
      <c r="AI959" cm="1">
        <f t="array" ref="AI959">IFERROR(IF(AH959&lt;0,0,AH959/($R$928-INDEX(hd_off,MATCH(AQ959,hd_mark,0),0)/12)),0)</f>
        <v>0</v>
      </c>
      <c r="AJ959">
        <f>MAX($F$23,$AA$928)/$Q$948</f>
        <v>0</v>
      </c>
      <c r="AK959">
        <f t="shared" si="603"/>
        <v>0</v>
      </c>
      <c r="AL959" cm="1">
        <f t="array" ref="AL959">IFERROR(INDEX(sheath_ecap_asd,MATCH(AP959,sheath_mark,0),0)*AK959,0)</f>
        <v>0</v>
      </c>
      <c r="AM959" cm="1">
        <f t="array" ref="AM959">IFERROR(INDEX(sheath_wcap_asd,MATCH(AP959,sheath_mark,0),0)*AK959,0)</f>
        <v>0</v>
      </c>
      <c r="AN959" cm="1">
        <f t="array" ref="AN959">IFERROR(INDEX(hd_cap,MATCH(AQ959,hd_mark,0),0),0)</f>
        <v>0</v>
      </c>
      <c r="AP959" s="19"/>
      <c r="AQ959" s="19"/>
      <c r="AR959" s="100"/>
      <c r="AS959" s="93"/>
      <c r="AT959" s="109" t="s">
        <v>491</v>
      </c>
      <c r="AU959" t="str">
        <f>$Q$919</f>
        <v>L4</v>
      </c>
      <c r="AV959">
        <f>$E$23</f>
        <v>0</v>
      </c>
      <c r="AW959" cm="1">
        <f t="array" ref="AW959">IFERROR(IF(AV959=0,0,(INDEX($C$33:$C$38,MATCH($AZ$928,$B$33:$B$38,0),0)*(AV961+$BA$928)+$AW$928*COUNTIF(AV959:AV960,"&gt;0")*$C$32+$AY$928*$C$31)*$AU$928),0)</f>
        <v>0</v>
      </c>
      <c r="AX959">
        <f>IF(AV959=0,0,-(COUNTIF(AV959:AV960,"&gt;0")*$AW$928*$C$32+$AY$928*$C$31)*$H$27*$AU$928)</f>
        <v>0</v>
      </c>
      <c r="AY959">
        <f>IF(AV959=0,0,$AY$928*$H$26*$AU$928)</f>
        <v>0</v>
      </c>
      <c r="AZ959">
        <f>(0.6*AW959+0.7*AX959)*$AU$928/2</f>
        <v>0</v>
      </c>
      <c r="BA959">
        <f>AW959*$AU$928/2</f>
        <v>0</v>
      </c>
      <c r="BC959">
        <f>IF(AV959=0,0,$BG$928*$AP$919)</f>
        <v>0</v>
      </c>
      <c r="BD959">
        <f>IFERROR(BC959/$AU$928,0)</f>
        <v>0</v>
      </c>
      <c r="BE959">
        <f>BC959*($F$23+IF($F$23=0,0,($C$14+$C$15+IF($C$13="single",1.5,3)+3)/12))</f>
        <v>0</v>
      </c>
      <c r="BF959">
        <f>BE959-AZ959</f>
        <v>0</v>
      </c>
      <c r="BG959" cm="1">
        <f t="array" ref="BG959">IFERROR(IF(BF959&lt;0,0,BF959/($AU$928-INDEX(hd_off,MATCH(BT959,hd_mark,0),0)/12)),0)</f>
        <v>0</v>
      </c>
      <c r="BH959">
        <f>IF(AV959=0,0,$BG$928*$AM$919)</f>
        <v>0</v>
      </c>
      <c r="BI959">
        <f>IFERROR(BH959/$AU$928,0)</f>
        <v>0</v>
      </c>
      <c r="BJ959">
        <f>BH959*($F$23+IF($F$23=0,0,($C$14+$C$15+IF($C$13="single",1.5,3)+3)/12))</f>
        <v>0</v>
      </c>
      <c r="BK959">
        <f>BJ959-BA959</f>
        <v>0</v>
      </c>
      <c r="BL959" cm="1">
        <f t="array" ref="BL959">IFERROR(IF(BK959&lt;0,0,BK959/($AU$928-INDEX(hd_off,MATCH(BT959,hd_mark,0),0)/12)),0)</f>
        <v>0</v>
      </c>
      <c r="BM959">
        <f>MAX($F$23,$BD$928)/$Q$948</f>
        <v>0</v>
      </c>
      <c r="BN959">
        <f t="shared" si="604"/>
        <v>0</v>
      </c>
      <c r="BO959" cm="1">
        <f t="array" ref="BO959">IFERROR(INDEX(sheath_ecap_asd,MATCH(BS959,sheath_mark,0),0)*BN959,0)</f>
        <v>0</v>
      </c>
      <c r="BP959" cm="1">
        <f t="array" ref="BP959">IFERROR(INDEX(sheath_wcap_asd,MATCH(BS959,sheath_mark,0),0)*BN959,0)</f>
        <v>0</v>
      </c>
      <c r="BQ959" cm="1">
        <f t="array" ref="BQ959">IFERROR(INDEX(hd_cap,MATCH(BT959,hd_mark,0),0),0)</f>
        <v>0</v>
      </c>
      <c r="BS959" s="19"/>
      <c r="BT959" s="19"/>
      <c r="BU959" s="100"/>
    </row>
    <row r="960" x14ac:dyDescent="0.25">
      <c r="B960" t="s">
        <v>470</v>
      </c>
      <c r="C960" s="19"/>
      <c r="D960" s="19"/>
      <c r="E960">
        <f t="shared" si="596"/>
        <v>0</v>
      </c>
      <c r="H960">
        <v>23</v>
      </c>
      <c r="I960" s="19"/>
      <c r="J960" s="19"/>
      <c r="K960">
        <f t="shared" si="597"/>
        <v>0</v>
      </c>
      <c r="P960" s="93"/>
      <c r="Q960" s="111">
        <f>$R$928</f>
        <v>0</v>
      </c>
      <c r="R960" t="str">
        <f>$Q$920</f>
        <v>L5</v>
      </c>
      <c r="S960">
        <f>$E$24</f>
        <v>0</v>
      </c>
      <c r="T960" cm="1">
        <f t="array" ref="T960">IFERROR(IF(S960=0,0,(INDEX($C$33:$C$38,MATCH($W$928,$B$33:$B$38,0),0)*(S961+$X$928)+$T$928*COUNTIF(S960:S960,"&gt;0")*$C$32+$V$928*$C$31)*$R$928),0)</f>
        <v>0</v>
      </c>
      <c r="U960">
        <f>IF(S960=0,0,-(COUNTIF(S960:S960,"&gt;0")*$T$928*$C$32+$V$928*$C$31)*$H$27*$R$928)</f>
        <v>0</v>
      </c>
      <c r="V960">
        <f>IF(S960=0,0,$V$928*$H$26*$R$928)</f>
        <v>0</v>
      </c>
      <c r="W960">
        <f>(0.6*T960+0.7*U960)*$R$928/2</f>
        <v>0</v>
      </c>
      <c r="X960">
        <f>T960*$R$928/2</f>
        <v>0</v>
      </c>
      <c r="Z960">
        <f>IF(S960=0,0,$AD$928*$AP$920)</f>
        <v>0</v>
      </c>
      <c r="AA960">
        <f>IFERROR(Z960/$R$928,0)</f>
        <v>0</v>
      </c>
      <c r="AB960">
        <f>Z960*($F$24+IF($F$24=0,0,($C$14+$C$15+IF($C$13="single",1.5,3)+3)/12))</f>
        <v>0</v>
      </c>
      <c r="AC960">
        <f>AB960-W960</f>
        <v>0</v>
      </c>
      <c r="AD960" cm="1">
        <f t="array" ref="AD960">IFERROR(IF(AC960&lt;0,0,AC960/($R$928-INDEX(hd_off,MATCH(AQ960,hd_mark,0),0)/12)),0)</f>
        <v>0</v>
      </c>
      <c r="AE960">
        <f>IF(S960=0,0,$AD$928*$AM$920)</f>
        <v>0</v>
      </c>
      <c r="AF960">
        <f>IFERROR(AE960/$R$928,0)</f>
        <v>0</v>
      </c>
      <c r="AG960">
        <f>AE960*($F$24+IF($F$24=0,0,($C$14+$C$15+IF($C$13="single",1.5,3)+3)/12))</f>
        <v>0</v>
      </c>
      <c r="AH960">
        <f>AG960-X960</f>
        <v>0</v>
      </c>
      <c r="AI960" cm="1">
        <f t="array" ref="AI960">IFERROR(IF(AH960&lt;0,0,AH960/($R$928-INDEX(hd_off,MATCH(AQ960,hd_mark,0),0)/12)),0)</f>
        <v>0</v>
      </c>
      <c r="AJ960">
        <f>MAX($F$24,$AB$928)/$Q$948</f>
        <v>0</v>
      </c>
      <c r="AK960">
        <f t="shared" si="603"/>
        <v>0</v>
      </c>
      <c r="AL960" cm="1">
        <f t="array" ref="AL960">IFERROR(INDEX(sheath_ecap_asd,MATCH(AP960,sheath_mark,0),0)*AK960,0)</f>
        <v>0</v>
      </c>
      <c r="AM960" cm="1">
        <f t="array" ref="AM960">IFERROR(INDEX(sheath_wcap_asd,MATCH(AP960,sheath_mark,0),0)*AK960,0)</f>
        <v>0</v>
      </c>
      <c r="AN960" cm="1">
        <f t="array" ref="AN960">IFERROR(INDEX(hd_cap,MATCH(AQ960,hd_mark,0),0),0)</f>
        <v>0</v>
      </c>
      <c r="AP960" s="19"/>
      <c r="AQ960" s="19"/>
      <c r="AR960" s="100"/>
      <c r="AS960" s="93"/>
      <c r="AT960" s="111">
        <f>$R$928</f>
        <v>0</v>
      </c>
      <c r="AU960" t="str">
        <f>$Q$920</f>
        <v>L5</v>
      </c>
      <c r="AV960">
        <f>$E$24</f>
        <v>0</v>
      </c>
      <c r="AW960" cm="1">
        <f t="array" ref="AW960">IFERROR(IF(AV960=0,0,(INDEX($C$33:$C$38,MATCH($AZ$928,$B$33:$B$38,0),0)*(AV961+$BA$928)+$AW$928*COUNTIF(AV960:AV960,"&gt;0")*$C$32+$AY$928*$C$31)*$AU$928),0)</f>
        <v>0</v>
      </c>
      <c r="AX960">
        <f>IF(AV960=0,0,-(COUNTIF(AV960:AV960,"&gt;0")*$AW$928*$C$32+$AY$928*$C$31)*$H$27*$AU$928)</f>
        <v>0</v>
      </c>
      <c r="AY960">
        <f>IF(AV960=0,0,$AY$928*$H$26*$AU$928)</f>
        <v>0</v>
      </c>
      <c r="AZ960">
        <f>(0.6*AW960+0.7*AX960)*$AU$928/2</f>
        <v>0</v>
      </c>
      <c r="BA960">
        <f>AW960*$AU$928/2</f>
        <v>0</v>
      </c>
      <c r="BC960">
        <f>IF(AV960=0,0,$BG$928*$AP$920)</f>
        <v>0</v>
      </c>
      <c r="BD960">
        <f>IFERROR(BC960/$AU$928,0)</f>
        <v>0</v>
      </c>
      <c r="BE960">
        <f>BC960*($F$24+IF($F$24=0,0,($C$14+$C$15+IF($C$13="single",1.5,3)+3)/12))</f>
        <v>0</v>
      </c>
      <c r="BF960">
        <f>BE960-AZ960</f>
        <v>0</v>
      </c>
      <c r="BG960" cm="1">
        <f t="array" ref="BG960">IFERROR(IF(BF960&lt;0,0,BF960/($AU$928-INDEX(hd_off,MATCH(BT960,hd_mark,0),0)/12)),0)</f>
        <v>0</v>
      </c>
      <c r="BH960">
        <f>IF(AV960=0,0,$BG$928*$AM$920)</f>
        <v>0</v>
      </c>
      <c r="BI960">
        <f>IFERROR(BH960/$AU$928,0)</f>
        <v>0</v>
      </c>
      <c r="BJ960">
        <f>BH960*($F$24+IF($F$24=0,0,($C$14+$C$15+IF($C$13="single",1.5,3)+3)/12))</f>
        <v>0</v>
      </c>
      <c r="BK960">
        <f>BJ960-BA960</f>
        <v>0</v>
      </c>
      <c r="BL960" cm="1">
        <f t="array" ref="BL960">IFERROR(IF(BK960&lt;0,0,BK960/($AU$928-INDEX(hd_off,MATCH(BT960,hd_mark,0),0)/12)),0)</f>
        <v>0</v>
      </c>
      <c r="BM960">
        <f>MAX($F$24,$BE$928)/$Q$948</f>
        <v>0</v>
      </c>
      <c r="BN960">
        <f t="shared" si="604"/>
        <v>0</v>
      </c>
      <c r="BO960" cm="1">
        <f t="array" ref="BO960">IFERROR(INDEX(sheath_ecap_asd,MATCH(BS960,sheath_mark,0),0)*BN960,0)</f>
        <v>0</v>
      </c>
      <c r="BP960" cm="1">
        <f t="array" ref="BP960">IFERROR(INDEX(sheath_wcap_asd,MATCH(BS960,sheath_mark,0),0)*BN960,0)</f>
        <v>0</v>
      </c>
      <c r="BQ960" cm="1">
        <f t="array" ref="BQ960">IFERROR(INDEX(hd_cap,MATCH(BT960,hd_mark,0),0),0)</f>
        <v>0</v>
      </c>
      <c r="BS960" s="19"/>
      <c r="BT960" s="19"/>
      <c r="BU960" s="100"/>
    </row>
    <row r="961" x14ac:dyDescent="0.25">
      <c r="B961" t="s">
        <v>471</v>
      </c>
      <c r="C961" s="19"/>
      <c r="D961" s="19"/>
      <c r="E961">
        <f t="shared" si="596"/>
        <v>0</v>
      </c>
      <c r="H961">
        <v>24</v>
      </c>
      <c r="I961" s="19"/>
      <c r="J961" s="19"/>
      <c r="K961">
        <f t="shared" si="597"/>
        <v>0</v>
      </c>
      <c r="P961" s="93"/>
      <c r="Q961" s="109"/>
      <c r="R961" t="str">
        <f>$Q$921</f>
        <v>Roof</v>
      </c>
      <c r="S961">
        <f>$E$25</f>
        <v>33.171875</v>
      </c>
      <c r="T961" cm="1">
        <f t="array" ref="T961">IFERROR(IF(S961=0,0,(INDEX($C$33:$C$38,MATCH($W$928,$B$33:$B$38,0),0)*(S961+$X$928)+$V$928*$C$31)*$R$928),0)</f>
        <v>0</v>
      </c>
      <c r="U961">
        <f>IF(S961=0,0,-$V$928*$C$31*$H$27*$R$928)</f>
        <v>0</v>
      </c>
      <c r="V961">
        <f>IF(S961=0,0,$V$928*$H$26*$R$928)</f>
        <v>0</v>
      </c>
      <c r="W961">
        <f>(0.6*T961+0.7*U961)*$R$928/2</f>
        <v>0</v>
      </c>
      <c r="X961">
        <f>T961*$R$928/2</f>
        <v>0</v>
      </c>
      <c r="Z961">
        <f>IF(S961=0,0,$AD$928*$AP$921)</f>
        <v>0</v>
      </c>
      <c r="AA961">
        <f>IFERROR(Z961/$R$928,0)</f>
        <v>0</v>
      </c>
      <c r="AB961">
        <f>Z961*($F$25+($C$16+$C$17+IF($C$13="single",1.5,3)+3)/12)</f>
        <v>0</v>
      </c>
      <c r="AC961">
        <f>AB961-W961</f>
        <v>0</v>
      </c>
      <c r="AD961" cm="1">
        <f t="array" ref="AD961">IFERROR(IF(AC961&lt;0,0,AC961/($R$928-INDEX(hd_off,MATCH(AQ961,hd_mark,0),0)/12)),0)</f>
        <v>0</v>
      </c>
      <c r="AE961">
        <f>IF(S961=0,0,$AD$928*$AM$921)</f>
        <v>0</v>
      </c>
      <c r="AF961">
        <f>IFERROR(AE961/$R$928,0)</f>
        <v>0</v>
      </c>
      <c r="AG961">
        <f>AE961*($F$25+($C$16+$C$17+IF($C$13="single",1.5,3)+3)/12)</f>
        <v>0</v>
      </c>
      <c r="AH961">
        <f>AG961-X961</f>
        <v>0</v>
      </c>
      <c r="AI961" cm="1">
        <f t="array" ref="AI961">IFERROR(IF(AH961&lt;0,0,AH961/($R$928-INDEX(hd_off,MATCH(AQ961,hd_mark,0),0)/12)),0)</f>
        <v>0</v>
      </c>
      <c r="AJ961">
        <f>MAX($F$25,$AC$928)/$Q$948</f>
        <v>0.29920977011494249</v>
      </c>
      <c r="AK961">
        <f t="shared" si="603"/>
        <v>1</v>
      </c>
      <c r="AL961" cm="1">
        <f t="array" ref="AL961">IFERROR(INDEX(sheath_ecap_asd,MATCH(AP961,sheath_mark,0),0)*AK961,0)</f>
        <v>0</v>
      </c>
      <c r="AM961" cm="1">
        <f t="array" ref="AM961">IFERROR(INDEX(sheath_wcap_asd,MATCH(AP961,sheath_mark,0),0)*AK961,0)</f>
        <v>0</v>
      </c>
      <c r="AN961" cm="1">
        <f t="array" ref="AN961">IFERROR(INDEX(hd_cap,MATCH(AQ961,hd_mark,0),0),0)</f>
        <v>0</v>
      </c>
      <c r="AP961" s="19"/>
      <c r="AQ961" s="19"/>
      <c r="AR961" s="100"/>
      <c r="AS961" s="93"/>
      <c r="AT961" s="109"/>
      <c r="AU961" t="str">
        <f>$Q$921</f>
        <v>Roof</v>
      </c>
      <c r="AV961">
        <f>$E$25</f>
        <v>33.171875</v>
      </c>
      <c r="AW961" cm="1">
        <f t="array" ref="AW961">IFERROR(IF(AV961=0,0,(INDEX($C$33:$C$38,MATCH($AZ$928,$B$33:$B$38,0),0)*(AV961+$BA$928)+$AY$928*$C$31)*$AU$928),0)</f>
        <v>0</v>
      </c>
      <c r="AX961">
        <f>IF(AV961=0,0,-$AY$928*$C$31*$H$27*$AU$928)</f>
        <v>0</v>
      </c>
      <c r="AY961">
        <f>IF(AV961=0,0,$AY$928*$H$26*$AU$928)</f>
        <v>0</v>
      </c>
      <c r="AZ961">
        <f>(0.6*AW961+0.7*AX961)*$AU$928/2</f>
        <v>0</v>
      </c>
      <c r="BA961">
        <f>AW961*$AU$928/2</f>
        <v>0</v>
      </c>
      <c r="BC961">
        <f>IF(AV961=0,0,$BG$928*$AP$921)</f>
        <v>0</v>
      </c>
      <c r="BD961">
        <f>IFERROR(BC961/$AU$928,0)</f>
        <v>0</v>
      </c>
      <c r="BE961">
        <f>BC961*($F$25+($C$16+$C$17+IF($C$13="single",1.5,3)+3)/12)</f>
        <v>0</v>
      </c>
      <c r="BF961">
        <f>BE961-AZ961</f>
        <v>0</v>
      </c>
      <c r="BG961" cm="1">
        <f t="array" ref="BG961">IFERROR(IF(BF961&lt;0,0,BF961/($AU$928-INDEX(hd_off,MATCH(BT961,hd_mark,0),0)/12)),0)</f>
        <v>0</v>
      </c>
      <c r="BH961">
        <f>IF(AV961=0,0,$BG$928*$AM$921)</f>
        <v>0</v>
      </c>
      <c r="BI961">
        <f>IFERROR(BH961/$AU$928,0)</f>
        <v>0</v>
      </c>
      <c r="BJ961">
        <f>BH961*($F$25+($C$16+$C$17+IF($C$13="single",1.5,3)+3)/12)</f>
        <v>0</v>
      </c>
      <c r="BK961">
        <f>BJ961-BA961</f>
        <v>0</v>
      </c>
      <c r="BL961" cm="1">
        <f t="array" ref="BL961">IFERROR(IF(BK961&lt;0,0,BK961/($AU$928-INDEX(hd_off,MATCH(BT961,hd_mark,0),0)/12)),0)</f>
        <v>0</v>
      </c>
      <c r="BM961">
        <f>MAX($F$25,$BF$928)/$Q$948</f>
        <v>0.29920977011494249</v>
      </c>
      <c r="BN961">
        <f t="shared" si="604"/>
        <v>1</v>
      </c>
      <c r="BO961" cm="1">
        <f t="array" ref="BO961">IFERROR(INDEX(sheath_ecap_asd,MATCH(BS961,sheath_mark,0),0)*BN961,0)</f>
        <v>0</v>
      </c>
      <c r="BP961" cm="1">
        <f t="array" ref="BP961">IFERROR(INDEX(sheath_wcap_asd,MATCH(BS961,sheath_mark,0),0)*BN961,0)</f>
        <v>0</v>
      </c>
      <c r="BQ961" cm="1">
        <f t="array" ref="BQ961">IFERROR(INDEX(hd_cap,MATCH(BT961,hd_mark,0),0),0)</f>
        <v>0</v>
      </c>
      <c r="BS961" s="19"/>
      <c r="BT961" s="19"/>
      <c r="BU961" s="100"/>
    </row>
    <row r="962" x14ac:dyDescent="0.25">
      <c r="B962" t="s">
        <v>472</v>
      </c>
      <c r="C962" s="19"/>
      <c r="D962" s="19"/>
      <c r="E962">
        <f t="shared" si="596"/>
        <v>0</v>
      </c>
      <c r="H962">
        <v>25</v>
      </c>
      <c r="I962" s="19"/>
      <c r="J962" s="19"/>
      <c r="K962">
        <f t="shared" si="597"/>
        <v>0</v>
      </c>
      <c r="P962" s="93"/>
      <c r="AR962" s="100"/>
      <c r="AS962" s="93"/>
      <c r="BU962" s="100"/>
    </row>
    <row r="963" x14ac:dyDescent="0.25">
      <c r="B963" t="s">
        <v>473</v>
      </c>
      <c r="C963" s="19"/>
      <c r="D963" s="19"/>
      <c r="E963">
        <f t="shared" si="596"/>
        <v>0</v>
      </c>
      <c r="H963">
        <v>26</v>
      </c>
      <c r="I963" s="19"/>
      <c r="J963" s="19"/>
      <c r="K963">
        <f t="shared" si="597"/>
        <v>0</v>
      </c>
      <c r="P963" s="93"/>
      <c r="Q963" s="110" t="str">
        <f>$Q$929</f>
        <v>A.04</v>
      </c>
      <c r="R963" t="str">
        <f>$Q$917</f>
        <v>L2</v>
      </c>
      <c r="S963">
        <f>$E$21</f>
        <v>10.6875</v>
      </c>
      <c r="T963" cm="1">
        <f t="array" ref="T963">IFERROR(IF(S963=0,0,(INDEX($C$33:$C$38,MATCH($W$929,$B$33:$B$38,0),0)*(S967+$X$929)+$T$929*COUNTIF(S963:S966,"&gt;0")*$C$32+$V$929*$C$31)*$R$929),0)</f>
        <v>0</v>
      </c>
      <c r="U963">
        <f>IF(S963=0,0,-(COUNTIF(S963:S966,"&gt;0")*$T$929*$C$32+$V$929*$C$31)*$H$27*$R$929)</f>
        <v>0</v>
      </c>
      <c r="V963">
        <f>IF(S963=0,0,$V$929*$H$26*$R$929)</f>
        <v>0</v>
      </c>
      <c r="W963">
        <f>(0.6*T963+0.7*U963)*$R$929/2</f>
        <v>0</v>
      </c>
      <c r="X963">
        <f>(0.6*T963+0.6*V963)*$R$929/2</f>
        <v>0</v>
      </c>
      <c r="Z963">
        <f>IF(S963=0,0,$AD$929*$AP$917)</f>
        <v>0</v>
      </c>
      <c r="AA963">
        <f>IFERROR(Z963/$R$929,0)</f>
        <v>0</v>
      </c>
      <c r="AB963">
        <f>Z963*($F$21+IF($F$21=0,0,($C$14+$C$15+IF($C$13="single",1.5,3)+3)/12))</f>
        <v>0</v>
      </c>
      <c r="AC963">
        <f>AB963-W963</f>
        <v>0</v>
      </c>
      <c r="AD963" cm="1">
        <f t="array" ref="AD963">IFERROR(IF(AC963&lt;0,0,AC963/($R$929-INDEX(hd_off,MATCH(AQ963,hd_mark,0),0)/12)),0)</f>
        <v>0</v>
      </c>
      <c r="AE963">
        <f>IF(S963=0,0,$AD$929*$AM$917)</f>
        <v>0</v>
      </c>
      <c r="AF963">
        <f>IFERROR(AE963/$R$929,0)</f>
        <v>0</v>
      </c>
      <c r="AG963">
        <f>AE963*($F$21+IF($F$21=0,0,($C$14+$C$15+IF($C$13="single",1.5,3)+3)/12))</f>
        <v>0</v>
      </c>
      <c r="AH963">
        <f>AG963-X963</f>
        <v>0</v>
      </c>
      <c r="AI963" cm="1">
        <f t="array" ref="AI963">IFERROR(IF(AH963&lt;0,0,AH963/($R$929-INDEX(hd_off,MATCH(AQ963,hd_mark,0),0)/12)),0)</f>
        <v>0</v>
      </c>
      <c r="AJ963">
        <f>MAX($F$21,$Y$929)/$Q$948</f>
        <v>0.30172413793103448</v>
      </c>
      <c r="AK963">
        <f>IF(AJ963=0,0,IF(AJ963&gt;2,1.25-0.125*AJ963,1))</f>
        <v>1</v>
      </c>
      <c r="AL963" cm="1">
        <f t="array" ref="AL963">IFERROR(INDEX(sheath_ecap_asd,MATCH(AP963,sheath_mark,0),0)*AK963,0)</f>
        <v>0</v>
      </c>
      <c r="AM963" cm="1">
        <f t="array" ref="AM963">IFERROR(INDEX(sheath_wcap_asd,MATCH(AP963,sheath_mark,0),0)*AK963,0)</f>
        <v>0</v>
      </c>
      <c r="AN963" cm="1">
        <f t="array" ref="AN963">IFERROR(INDEX(hd_cap,MATCH(AQ963,hd_mark,0),0),0)</f>
        <v>0</v>
      </c>
      <c r="AP963" s="19"/>
      <c r="AQ963" s="19"/>
      <c r="AR963" s="100"/>
      <c r="AS963" s="93"/>
      <c r="AT963" s="110" t="str">
        <f>$AT$929</f>
        <v>1.04</v>
      </c>
      <c r="AU963" t="str">
        <f>$Q$917</f>
        <v>L2</v>
      </c>
      <c r="AV963">
        <f>$E$21</f>
        <v>10.6875</v>
      </c>
      <c r="AW963" cm="1">
        <f t="array" ref="AW963">IFERROR(IF(AV963=0,0,(INDEX($C$33:$C$38,MATCH($AZ$929,$B$33:$B$38,0),0)*(AV967+$BA$929)+$AW$929*COUNTIF(AV963:AV966,"&gt;0")*$C$32+$AY$929*$C$31)*$AU$929),0)</f>
        <v>0</v>
      </c>
      <c r="AX963">
        <f>IF(AV963=0,0,-(COUNTIF(AV963:AV966,"&gt;0")*$AW$929*$C$32+$AY$929*$C$31)*$H$27*$AU$929)</f>
        <v>0</v>
      </c>
      <c r="AY963">
        <f>IF(AV963=0,0,$AY$929*$H$26*$AU$929)</f>
        <v>0</v>
      </c>
      <c r="AZ963">
        <f>(0.6*AW963+0.7*AX963)*$AU$929/2</f>
        <v>0</v>
      </c>
      <c r="BA963">
        <f>(0.6*AW963+0.6*AY963)*$AU$929/2</f>
        <v>0</v>
      </c>
      <c r="BC963">
        <f>IF(AV963=0,0,$BG$929*$AP$917)</f>
        <v>0</v>
      </c>
      <c r="BD963">
        <f>IFERROR(BC963/$AU$929,0)</f>
        <v>0</v>
      </c>
      <c r="BE963">
        <f>BC963*($F$21+IF($F$21=0,0,($C$14+$C$15+IF($C$13="single",1.5,3)+3)/12))</f>
        <v>0</v>
      </c>
      <c r="BF963">
        <f>BE963-AZ963</f>
        <v>0</v>
      </c>
      <c r="BG963" cm="1">
        <f t="array" ref="BG963">IFERROR(IF(BF963&lt;0,0,BF963/($AU$929-INDEX(hd_off,MATCH(BT963,hd_mark,0),0)/12)),0)</f>
        <v>0</v>
      </c>
      <c r="BH963">
        <f>IF(AV963=0,0,$BG$929*$AM$917)</f>
        <v>0</v>
      </c>
      <c r="BI963">
        <f>IFERROR(BH963/$AU$929,0)</f>
        <v>0</v>
      </c>
      <c r="BJ963">
        <f>BH963*($F$21+IF($F$21=0,0,($C$14+$C$15+IF($C$13="single",1.5,3)+3)/12))</f>
        <v>0</v>
      </c>
      <c r="BK963">
        <f>BJ963-BA963</f>
        <v>0</v>
      </c>
      <c r="BL963" cm="1">
        <f t="array" ref="BL963">IFERROR(IF(BK963&lt;0,0,BK963/($AU$929-INDEX(hd_off,MATCH(BT963,hd_mark,0),0)/12)),0)</f>
        <v>0</v>
      </c>
      <c r="BM963">
        <f>MAX($F$21,$BB$929)/$Q$948</f>
        <v>0.30172413793103448</v>
      </c>
      <c r="BN963">
        <f>IF(BM963=0,0,IF(BM963&gt;2,1.25-0.125*BM963,1))</f>
        <v>1</v>
      </c>
      <c r="BO963" cm="1">
        <f t="array" ref="BO963">IFERROR(INDEX(sheath_ecap_asd,MATCH(BS963,sheath_mark,0),0)*BN963,0)</f>
        <v>0</v>
      </c>
      <c r="BP963" cm="1">
        <f t="array" ref="BP963">IFERROR(INDEX(sheath_wcap_asd,MATCH(BS963,sheath_mark,0),0)*BN963,0)</f>
        <v>0</v>
      </c>
      <c r="BQ963" cm="1">
        <f t="array" ref="BQ963">IFERROR(INDEX(hd_cap,MATCH(BT963,hd_mark,0),0),0)</f>
        <v>0</v>
      </c>
      <c r="BS963" s="19"/>
      <c r="BT963" s="19"/>
      <c r="BU963" s="100"/>
    </row>
    <row r="964" x14ac:dyDescent="0.25">
      <c r="P964" s="93"/>
      <c r="Q964" s="109"/>
      <c r="R964" t="str">
        <f>$Q$918</f>
        <v>L3</v>
      </c>
      <c r="S964">
        <f>$E$22</f>
        <v>21.375</v>
      </c>
      <c r="T964" cm="1">
        <f t="array" ref="T964">IFERROR(IF(S964=0,0,(INDEX($C$33:$C$38,MATCH($W$929,$B$33:$B$38,0),0)*(S967+$X$929)+$T$929*COUNTIF(S964:S966,"&gt;0")*$C$32+$V$929*$C$31)*$R$929),0)</f>
        <v>0</v>
      </c>
      <c r="U964">
        <f>IF(S964=0,0,-(COUNTIF(S964:S966,"&gt;0")*$T$929*$C$32+$V$929*$C$31)*$H$27*$R$929)</f>
        <v>0</v>
      </c>
      <c r="V964">
        <f>IF(S964=0,0,$V$929*$H$26*$R$929)</f>
        <v>0</v>
      </c>
      <c r="W964">
        <f>(0.6*T964+0.7*U964)*$R$929/2</f>
        <v>0</v>
      </c>
      <c r="X964">
        <f>T964*$R$929/2</f>
        <v>0</v>
      </c>
      <c r="Z964">
        <f>IF(S964=0,0,$AD$929*$AP$918)</f>
        <v>0</v>
      </c>
      <c r="AA964">
        <f>IFERROR(Z964/$R$929,0)</f>
        <v>0</v>
      </c>
      <c r="AB964">
        <f>Z964*($F$22+IF($F$22=0,0,($C$14+$C$15+IF($C$13="single",1.5,3)+3)/12))</f>
        <v>0</v>
      </c>
      <c r="AC964">
        <f>AB964-W964</f>
        <v>0</v>
      </c>
      <c r="AD964" cm="1">
        <f t="array" ref="AD964">IFERROR(IF(AC964&lt;0,0,AC964/($R$929-INDEX(hd_off,MATCH(AQ964,hd_mark,0),0)/12)),0)</f>
        <v>0</v>
      </c>
      <c r="AE964">
        <f>IF(S964=0,0,$AD$929*$AM$918)</f>
        <v>0</v>
      </c>
      <c r="AF964">
        <f>IFERROR(AE964/$R$929,0)</f>
        <v>0</v>
      </c>
      <c r="AG964">
        <f>AE964*($F$22+IF($F$22=0,0,($C$14+$C$15+IF($C$13="single",1.5,3)+3)/12))</f>
        <v>0</v>
      </c>
      <c r="AH964">
        <f>AG964-X964</f>
        <v>0</v>
      </c>
      <c r="AI964" cm="1">
        <f t="array" ref="AI964">IFERROR(IF(AH964&lt;0,0,AH964/($R$929-INDEX(hd_off,MATCH(AQ964,hd_mark,0),0)/12)),0)</f>
        <v>0</v>
      </c>
      <c r="AJ964">
        <f>MAX($F$22,$Z$929)/$Q$948</f>
        <v>0.30172413793103448</v>
      </c>
      <c r="AK964">
        <f t="shared" ref="AK964:AK967" si="605">IF(AJ964=0,0,IF(AJ964&gt;2,1.25-0.125*AJ964,1))</f>
        <v>1</v>
      </c>
      <c r="AL964" cm="1">
        <f t="array" ref="AL964">IFERROR(INDEX(sheath_ecap_asd,MATCH(AP964,sheath_mark,0),0)*AK964,0)</f>
        <v>0</v>
      </c>
      <c r="AM964" cm="1">
        <f t="array" ref="AM964">IFERROR(INDEX(sheath_wcap_asd,MATCH(AP964,sheath_mark,0),0)*AK964,0)</f>
        <v>0</v>
      </c>
      <c r="AN964" cm="1">
        <f t="array" ref="AN964">IFERROR(INDEX(hd_cap,MATCH(AQ964,hd_mark,0),0),0)</f>
        <v>0</v>
      </c>
      <c r="AP964" s="19"/>
      <c r="AQ964" s="19"/>
      <c r="AR964" s="100"/>
      <c r="AS964" s="93"/>
      <c r="AT964" s="109"/>
      <c r="AU964" t="str">
        <f>$Q$918</f>
        <v>L3</v>
      </c>
      <c r="AV964">
        <f>$E$22</f>
        <v>21.375</v>
      </c>
      <c r="AW964" cm="1">
        <f t="array" ref="AW964">IFERROR(IF(AV964=0,0,(INDEX($C$33:$C$38,MATCH($AZ$929,$B$33:$B$38,0),0)*(AV967+$BA$929)+$AW$929*COUNTIF(AV964:AV966,"&gt;0")*$C$32+$AY$929*$C$31)*$AU$929),0)</f>
        <v>0</v>
      </c>
      <c r="AX964">
        <f>IF(AV964=0,0,-(COUNTIF(AV964:AV966,"&gt;0")*$AW$929*$C$32+$AY$929*$C$31)*$H$27*$AU$929)</f>
        <v>0</v>
      </c>
      <c r="AY964">
        <f>IF(AV964=0,0,$AY$929*$H$26*$AU$929)</f>
        <v>0</v>
      </c>
      <c r="AZ964">
        <f>(0.6*AW964+0.7*AX964)*$AU$929/2</f>
        <v>0</v>
      </c>
      <c r="BA964">
        <f>AW964*$AU$929/2</f>
        <v>0</v>
      </c>
      <c r="BC964">
        <f>IF(AV964=0,0,$BG$929*$AP$918)</f>
        <v>0</v>
      </c>
      <c r="BD964">
        <f>IFERROR(BC964/$AU$929,0)</f>
        <v>0</v>
      </c>
      <c r="BE964">
        <f>BC964*($F$22+IF($F$22=0,0,($C$14+$C$15+IF($C$13="single",1.5,3)+3)/12))</f>
        <v>0</v>
      </c>
      <c r="BF964">
        <f>BE964-AZ964</f>
        <v>0</v>
      </c>
      <c r="BG964" cm="1">
        <f t="array" ref="BG964">IFERROR(IF(BF964&lt;0,0,BF964/($AU$929-INDEX(hd_off,MATCH(BT964,hd_mark,0),0)/12)),0)</f>
        <v>0</v>
      </c>
      <c r="BH964">
        <f>IF(AV964=0,0,$BG$929*$AM$918)</f>
        <v>0</v>
      </c>
      <c r="BI964">
        <f>IFERROR(BH964/$AU$929,0)</f>
        <v>0</v>
      </c>
      <c r="BJ964">
        <f>BH964*($F$22+IF($F$22=0,0,($C$14+$C$15+IF($C$13="single",1.5,3)+3)/12))</f>
        <v>0</v>
      </c>
      <c r="BK964">
        <f>BJ964-BA964</f>
        <v>0</v>
      </c>
      <c r="BL964" cm="1">
        <f t="array" ref="BL964">IFERROR(IF(BK964&lt;0,0,BK964/($AU$929-INDEX(hd_off,MATCH(BT964,hd_mark,0),0)/12)),0)</f>
        <v>0</v>
      </c>
      <c r="BM964">
        <f>MAX($F$22,$BC$929)/$Q$948</f>
        <v>0.30172413793103448</v>
      </c>
      <c r="BN964">
        <f t="shared" ref="BN964:BN967" si="606">IF(BM964=0,0,IF(BM964&gt;2,1.25-0.125*BM964,1))</f>
        <v>1</v>
      </c>
      <c r="BO964" cm="1">
        <f t="array" ref="BO964">IFERROR(INDEX(sheath_ecap_asd,MATCH(BS964,sheath_mark,0),0)*BN964,0)</f>
        <v>0</v>
      </c>
      <c r="BP964" cm="1">
        <f t="array" ref="BP964">IFERROR(INDEX(sheath_wcap_asd,MATCH(BS964,sheath_mark,0),0)*BN964,0)</f>
        <v>0</v>
      </c>
      <c r="BQ964" cm="1">
        <f t="array" ref="BQ964">IFERROR(INDEX(hd_cap,MATCH(BT964,hd_mark,0),0),0)</f>
        <v>0</v>
      </c>
      <c r="BS964" s="19"/>
      <c r="BT964" s="19"/>
      <c r="BU964" s="100"/>
    </row>
    <row r="965" x14ac:dyDescent="0.25">
      <c r="B965" s="1"/>
      <c r="P965" s="93"/>
      <c r="Q965" s="109" t="s">
        <v>491</v>
      </c>
      <c r="R965" t="str">
        <f>$Q$919</f>
        <v>L4</v>
      </c>
      <c r="S965">
        <f>$E$23</f>
        <v>0</v>
      </c>
      <c r="T965" cm="1">
        <f t="array" ref="T965">IFERROR(IF(S965=0,0,(INDEX($C$33:$C$38,MATCH($W$929,$B$33:$B$38,0),0)*(S967+$X$929)+$T$929*COUNTIF(S965:S966,"&gt;0")*$C$32+$V$929*$C$31)*$R$929),0)</f>
        <v>0</v>
      </c>
      <c r="U965">
        <f>IF(S965=0,0,-(COUNTIF(S965:S966,"&gt;0")*$T$929*$C$32+$V$929*$C$31)*$H$27*$R$929)</f>
        <v>0</v>
      </c>
      <c r="V965">
        <f>IF(S965=0,0,$V$929*$H$26*$R$929)</f>
        <v>0</v>
      </c>
      <c r="W965">
        <f>(0.6*T965+0.7*U965)*$R$929/2</f>
        <v>0</v>
      </c>
      <c r="X965">
        <f>T965*$R$929/2</f>
        <v>0</v>
      </c>
      <c r="Z965">
        <f>IF(S965=0,0,$AD$929*$AP$919)</f>
        <v>0</v>
      </c>
      <c r="AA965">
        <f>IFERROR(Z965/$R$929,0)</f>
        <v>0</v>
      </c>
      <c r="AB965">
        <f>Z965*($F$23+IF($F$23=0,0,($C$14+$C$15+IF($C$13="single",1.5,3)+3)/12))</f>
        <v>0</v>
      </c>
      <c r="AC965">
        <f>AB965-W965</f>
        <v>0</v>
      </c>
      <c r="AD965" cm="1">
        <f t="array" ref="AD965">IFERROR(IF(AC965&lt;0,0,AC965/($R$929-INDEX(hd_off,MATCH(AQ965,hd_mark,0),0)/12)),0)</f>
        <v>0</v>
      </c>
      <c r="AE965">
        <f>IF(S965=0,0,$AD$929*$AM$919)</f>
        <v>0</v>
      </c>
      <c r="AF965">
        <f>IFERROR(AE965/$R$929,0)</f>
        <v>0</v>
      </c>
      <c r="AG965">
        <f>AE965*($F$23+IF($F$23=0,0,($C$14+$C$15+IF($C$13="single",1.5,3)+3)/12))</f>
        <v>0</v>
      </c>
      <c r="AH965">
        <f>AG965-X965</f>
        <v>0</v>
      </c>
      <c r="AI965" cm="1">
        <f t="array" ref="AI965">IFERROR(IF(AH965&lt;0,0,AH965/($R$929-INDEX(hd_off,MATCH(AQ965,hd_mark,0),0)/12)),0)</f>
        <v>0</v>
      </c>
      <c r="AJ965">
        <f>MAX($F$23,$AA$929)/$Q$948</f>
        <v>0</v>
      </c>
      <c r="AK965">
        <f t="shared" si="605"/>
        <v>0</v>
      </c>
      <c r="AL965" cm="1">
        <f t="array" ref="AL965">IFERROR(INDEX(sheath_ecap_asd,MATCH(AP965,sheath_mark,0),0)*AK965,0)</f>
        <v>0</v>
      </c>
      <c r="AM965" cm="1">
        <f t="array" ref="AM965">IFERROR(INDEX(sheath_wcap_asd,MATCH(AP965,sheath_mark,0),0)*AK965,0)</f>
        <v>0</v>
      </c>
      <c r="AN965" cm="1">
        <f t="array" ref="AN965">IFERROR(INDEX(hd_cap,MATCH(AQ965,hd_mark,0),0),0)</f>
        <v>0</v>
      </c>
      <c r="AP965" s="19"/>
      <c r="AQ965" s="19"/>
      <c r="AR965" s="100"/>
      <c r="AS965" s="93"/>
      <c r="AT965" s="109" t="s">
        <v>491</v>
      </c>
      <c r="AU965" t="str">
        <f>$Q$919</f>
        <v>L4</v>
      </c>
      <c r="AV965">
        <f>$E$23</f>
        <v>0</v>
      </c>
      <c r="AW965" cm="1">
        <f t="array" ref="AW965">IFERROR(IF(AV965=0,0,(INDEX($C$33:$C$38,MATCH($AZ$929,$B$33:$B$38,0),0)*(AV967+$BA$929)+$AW$929*COUNTIF(AV965:AV966,"&gt;0")*$C$32+$AY$929*$C$31)*$AU$929),0)</f>
        <v>0</v>
      </c>
      <c r="AX965">
        <f>IF(AV965=0,0,-(COUNTIF(AV965:AV966,"&gt;0")*$AW$929*$C$32+$AY$929*$C$31)*$H$27*$AU$929)</f>
        <v>0</v>
      </c>
      <c r="AY965">
        <f>IF(AV965=0,0,$AY$929*$H$26*$AU$929)</f>
        <v>0</v>
      </c>
      <c r="AZ965">
        <f>(0.6*AW965+0.7*AX965)*$AU$929/2</f>
        <v>0</v>
      </c>
      <c r="BA965">
        <f>AW965*$AU$929/2</f>
        <v>0</v>
      </c>
      <c r="BC965">
        <f>IF(AV965=0,0,$BG$929*$AP$919)</f>
        <v>0</v>
      </c>
      <c r="BD965">
        <f>IFERROR(BC965/$AU$929,0)</f>
        <v>0</v>
      </c>
      <c r="BE965">
        <f>BC965*($F$23+IF($F$23=0,0,($C$14+$C$15+IF($C$13="single",1.5,3)+3)/12))</f>
        <v>0</v>
      </c>
      <c r="BF965">
        <f>BE965-AZ965</f>
        <v>0</v>
      </c>
      <c r="BG965" cm="1">
        <f t="array" ref="BG965">IFERROR(IF(BF965&lt;0,0,BF965/($AU$929-INDEX(hd_off,MATCH(BT965,hd_mark,0),0)/12)),0)</f>
        <v>0</v>
      </c>
      <c r="BH965">
        <f>IF(AV965=0,0,$BG$929*$AM$919)</f>
        <v>0</v>
      </c>
      <c r="BI965">
        <f>IFERROR(BH965/$AU$929,0)</f>
        <v>0</v>
      </c>
      <c r="BJ965">
        <f>BH965*($F$23+IF($F$23=0,0,($C$14+$C$15+IF($C$13="single",1.5,3)+3)/12))</f>
        <v>0</v>
      </c>
      <c r="BK965">
        <f>BJ965-BA965</f>
        <v>0</v>
      </c>
      <c r="BL965" cm="1">
        <f t="array" ref="BL965">IFERROR(IF(BK965&lt;0,0,BK965/($AU$929-INDEX(hd_off,MATCH(BT965,hd_mark,0),0)/12)),0)</f>
        <v>0</v>
      </c>
      <c r="BM965">
        <f>MAX($F$23,$BD$929)/$Q$948</f>
        <v>0</v>
      </c>
      <c r="BN965">
        <f t="shared" si="606"/>
        <v>0</v>
      </c>
      <c r="BO965" cm="1">
        <f t="array" ref="BO965">IFERROR(INDEX(sheath_ecap_asd,MATCH(BS965,sheath_mark,0),0)*BN965,0)</f>
        <v>0</v>
      </c>
      <c r="BP965" cm="1">
        <f t="array" ref="BP965">IFERROR(INDEX(sheath_wcap_asd,MATCH(BS965,sheath_mark,0),0)*BN965,0)</f>
        <v>0</v>
      </c>
      <c r="BQ965" cm="1">
        <f t="array" ref="BQ965">IFERROR(INDEX(hd_cap,MATCH(BT965,hd_mark,0),0),0)</f>
        <v>0</v>
      </c>
      <c r="BS965" s="19"/>
      <c r="BT965" s="19"/>
      <c r="BU965" s="100"/>
    </row>
    <row r="966" x14ac:dyDescent="0.25">
      <c r="P966" s="93"/>
      <c r="Q966" s="111">
        <f>$R$929</f>
        <v>0</v>
      </c>
      <c r="R966" t="str">
        <f>$Q$920</f>
        <v>L5</v>
      </c>
      <c r="S966">
        <f>$E$24</f>
        <v>0</v>
      </c>
      <c r="T966" cm="1">
        <f t="array" ref="T966">IFERROR(IF(S966=0,0,(INDEX($C$33:$C$38,MATCH($W$929,$B$33:$B$38,0),0)*(S967+$X$929)+$T$929*COUNTIF(S966:S966,"&gt;0")*$C$32+$V$929*$C$31)*$R$929),0)</f>
        <v>0</v>
      </c>
      <c r="U966">
        <f>IF(S966=0,0,-(COUNTIF(S966:S966,"&gt;0")*$T$929*$C$32+$V$929*$C$31)*$H$27*$R$929)</f>
        <v>0</v>
      </c>
      <c r="V966">
        <f>IF(S966=0,0,$V$929*$H$26*$R$929)</f>
        <v>0</v>
      </c>
      <c r="W966">
        <f>(0.6*T966+0.7*U966)*$R$929/2</f>
        <v>0</v>
      </c>
      <c r="X966">
        <f>T966*$R$929/2</f>
        <v>0</v>
      </c>
      <c r="Z966">
        <f>IF(S966=0,0,$AD$929*$AP$920)</f>
        <v>0</v>
      </c>
      <c r="AA966">
        <f>IFERROR(Z966/$R$929,0)</f>
        <v>0</v>
      </c>
      <c r="AB966">
        <f>Z966*($F$24+IF($F$24=0,0,($C$14+$C$15+IF($C$13="single",1.5,3)+3)/12))</f>
        <v>0</v>
      </c>
      <c r="AC966">
        <f>AB966-W966</f>
        <v>0</v>
      </c>
      <c r="AD966" cm="1">
        <f t="array" ref="AD966">IFERROR(IF(AC966&lt;0,0,AC966/($R$929-INDEX(hd_off,MATCH(AQ966,hd_mark,0),0)/12)),0)</f>
        <v>0</v>
      </c>
      <c r="AE966">
        <f>IF(S966=0,0,$AD$929*$AM$920)</f>
        <v>0</v>
      </c>
      <c r="AF966">
        <f>IFERROR(AE966/$R$929,0)</f>
        <v>0</v>
      </c>
      <c r="AG966">
        <f>AE966*($F$24+IF($F$24=0,0,($C$14+$C$15+IF($C$13="single",1.5,3)+3)/12))</f>
        <v>0</v>
      </c>
      <c r="AH966">
        <f>AG966-X966</f>
        <v>0</v>
      </c>
      <c r="AI966" cm="1">
        <f t="array" ref="AI966">IFERROR(IF(AH966&lt;0,0,AH966/($R$929-INDEX(hd_off,MATCH(AQ966,hd_mark,0),0)/12)),0)</f>
        <v>0</v>
      </c>
      <c r="AJ966">
        <f>MAX($F$24,$AB$929)/$Q$948</f>
        <v>0</v>
      </c>
      <c r="AK966">
        <f t="shared" si="605"/>
        <v>0</v>
      </c>
      <c r="AL966" cm="1">
        <f t="array" ref="AL966">IFERROR(INDEX(sheath_ecap_asd,MATCH(AP966,sheath_mark,0),0)*AK966,0)</f>
        <v>0</v>
      </c>
      <c r="AM966" cm="1">
        <f t="array" ref="AM966">IFERROR(INDEX(sheath_wcap_asd,MATCH(AP966,sheath_mark,0),0)*AK966,0)</f>
        <v>0</v>
      </c>
      <c r="AN966" cm="1">
        <f t="array" ref="AN966">IFERROR(INDEX(hd_cap,MATCH(AQ966,hd_mark,0),0),0)</f>
        <v>0</v>
      </c>
      <c r="AP966" s="19"/>
      <c r="AQ966" s="19"/>
      <c r="AR966" s="100"/>
      <c r="AS966" s="93"/>
      <c r="AT966" s="111">
        <f>$R$929</f>
        <v>0</v>
      </c>
      <c r="AU966" t="str">
        <f>$Q$920</f>
        <v>L5</v>
      </c>
      <c r="AV966">
        <f>$E$24</f>
        <v>0</v>
      </c>
      <c r="AW966" cm="1">
        <f t="array" ref="AW966">IFERROR(IF(AV966=0,0,(INDEX($C$33:$C$38,MATCH($AZ$929,$B$33:$B$38,0),0)*(AV967+$BA$929)+$AW$929*COUNTIF(AV966:AV966,"&gt;0")*$C$32+$AY$929*$C$31)*$AU$929),0)</f>
        <v>0</v>
      </c>
      <c r="AX966">
        <f>IF(AV966=0,0,-(COUNTIF(AV966:AV966,"&gt;0")*$AW$929*$C$32+$AY$929*$C$31)*$H$27*$AU$929)</f>
        <v>0</v>
      </c>
      <c r="AY966">
        <f>IF(AV966=0,0,$AY$929*$H$26*$AU$929)</f>
        <v>0</v>
      </c>
      <c r="AZ966">
        <f>(0.6*AW966+0.7*AX966)*$AU$929/2</f>
        <v>0</v>
      </c>
      <c r="BA966">
        <f>AW966*$AU$929/2</f>
        <v>0</v>
      </c>
      <c r="BC966">
        <f>IF(AV966=0,0,$BG$929*$AP$920)</f>
        <v>0</v>
      </c>
      <c r="BD966">
        <f>IFERROR(BC966/$AU$929,0)</f>
        <v>0</v>
      </c>
      <c r="BE966">
        <f>BC966*($F$24+IF($F$24=0,0,($C$14+$C$15+IF($C$13="single",1.5,3)+3)/12))</f>
        <v>0</v>
      </c>
      <c r="BF966">
        <f>BE966-AZ966</f>
        <v>0</v>
      </c>
      <c r="BG966" cm="1">
        <f t="array" ref="BG966">IFERROR(IF(BF966&lt;0,0,BF966/($AU$929-INDEX(hd_off,MATCH(BT966,hd_mark,0),0)/12)),0)</f>
        <v>0</v>
      </c>
      <c r="BH966">
        <f>IF(AV966=0,0,$BG$929*$AM$920)</f>
        <v>0</v>
      </c>
      <c r="BI966">
        <f>IFERROR(BH966/$AU$929,0)</f>
        <v>0</v>
      </c>
      <c r="BJ966">
        <f>BH966*($F$24+IF($F$24=0,0,($C$14+$C$15+IF($C$13="single",1.5,3)+3)/12))</f>
        <v>0</v>
      </c>
      <c r="BK966">
        <f>BJ966-BA966</f>
        <v>0</v>
      </c>
      <c r="BL966" cm="1">
        <f t="array" ref="BL966">IFERROR(IF(BK966&lt;0,0,BK966/($AU$929-INDEX(hd_off,MATCH(BT966,hd_mark,0),0)/12)),0)</f>
        <v>0</v>
      </c>
      <c r="BM966">
        <f>MAX($F$24,$BE$929)/$Q$948</f>
        <v>0</v>
      </c>
      <c r="BN966">
        <f t="shared" si="606"/>
        <v>0</v>
      </c>
      <c r="BO966" cm="1">
        <f t="array" ref="BO966">IFERROR(INDEX(sheath_ecap_asd,MATCH(BS966,sheath_mark,0),0)*BN966,0)</f>
        <v>0</v>
      </c>
      <c r="BP966" cm="1">
        <f t="array" ref="BP966">IFERROR(INDEX(sheath_wcap_asd,MATCH(BS966,sheath_mark,0),0)*BN966,0)</f>
        <v>0</v>
      </c>
      <c r="BQ966" cm="1">
        <f t="array" ref="BQ966">IFERROR(INDEX(hd_cap,MATCH(BT966,hd_mark,0),0),0)</f>
        <v>0</v>
      </c>
      <c r="BS966" s="19"/>
      <c r="BT966" s="19"/>
      <c r="BU966" s="100"/>
    </row>
    <row r="967" x14ac:dyDescent="0.25">
      <c r="P967" s="93"/>
      <c r="Q967" s="109"/>
      <c r="R967" t="str">
        <f>$Q$921</f>
        <v>Roof</v>
      </c>
      <c r="S967">
        <f>$E$25</f>
        <v>33.171875</v>
      </c>
      <c r="T967" cm="1">
        <f t="array" ref="T967">IFERROR(IF(S967=0,0,(INDEX($C$33:$C$38,MATCH($W$929,$B$33:$B$38,0),0)*(S967+$X$929)+$V$929*$C$31)*$R$929),0)</f>
        <v>0</v>
      </c>
      <c r="U967">
        <f>IF(S967=0,0,-$V$929*$C$31*$H$27*$R$929)</f>
        <v>0</v>
      </c>
      <c r="V967">
        <f>IF(S967=0,0,$V$929*$H$26*$R$929)</f>
        <v>0</v>
      </c>
      <c r="W967">
        <f>(0.6*T967+0.7*U967)*$R$929/2</f>
        <v>0</v>
      </c>
      <c r="X967">
        <f>T967*$R$929/2</f>
        <v>0</v>
      </c>
      <c r="Z967">
        <f>IF(S967=0,0,$AD$929*$AP$921)</f>
        <v>0</v>
      </c>
      <c r="AA967">
        <f>IFERROR(Z967/$R$929,0)</f>
        <v>0</v>
      </c>
      <c r="AB967">
        <f>Z967*($F$25+($C$16+$C$17+IF($C$13="single",1.5,3)+3)/12)</f>
        <v>0</v>
      </c>
      <c r="AC967">
        <f>AB967-W967</f>
        <v>0</v>
      </c>
      <c r="AD967" cm="1">
        <f t="array" ref="AD967">IFERROR(IF(AC967&lt;0,0,AC967/($R$929-INDEX(hd_off,MATCH(AQ967,hd_mark,0),0)/12)),0)</f>
        <v>0</v>
      </c>
      <c r="AE967">
        <f>IF(S967=0,0,$AD$929*$AM$921)</f>
        <v>0</v>
      </c>
      <c r="AF967">
        <f>IFERROR(AE967/$R$929,0)</f>
        <v>0</v>
      </c>
      <c r="AG967">
        <f>AE967*($F$25+($C$16+$C$17+IF($C$13="single",1.5,3)+3)/12)</f>
        <v>0</v>
      </c>
      <c r="AH967">
        <f>AG967-X967</f>
        <v>0</v>
      </c>
      <c r="AI967" cm="1">
        <f t="array" ref="AI967">IFERROR(IF(AH967&lt;0,0,AH967/($R$929-INDEX(hd_off,MATCH(AQ967,hd_mark,0),0)/12)),0)</f>
        <v>0</v>
      </c>
      <c r="AJ967">
        <f>MAX($F$25,$AC$929)/$Q$948</f>
        <v>0.29920977011494249</v>
      </c>
      <c r="AK967">
        <f t="shared" si="605"/>
        <v>1</v>
      </c>
      <c r="AL967" cm="1">
        <f t="array" ref="AL967">IFERROR(INDEX(sheath_ecap_asd,MATCH(AP967,sheath_mark,0),0)*AK967,0)</f>
        <v>0</v>
      </c>
      <c r="AM967" cm="1">
        <f t="array" ref="AM967">IFERROR(INDEX(sheath_wcap_asd,MATCH(AP967,sheath_mark,0),0)*AK967,0)</f>
        <v>0</v>
      </c>
      <c r="AN967" cm="1">
        <f t="array" ref="AN967">IFERROR(INDEX(hd_cap,MATCH(AQ967,hd_mark,0),0),0)</f>
        <v>0</v>
      </c>
      <c r="AP967" s="19"/>
      <c r="AQ967" s="19"/>
      <c r="AR967" s="100"/>
      <c r="AS967" s="93"/>
      <c r="AT967" s="109"/>
      <c r="AU967" t="str">
        <f>$Q$921</f>
        <v>Roof</v>
      </c>
      <c r="AV967">
        <f>$E$25</f>
        <v>33.171875</v>
      </c>
      <c r="AW967" cm="1">
        <f t="array" ref="AW967">IFERROR(IF(AV967=0,0,(INDEX($C$33:$C$38,MATCH($AZ$929,$B$33:$B$38,0),0)*(AV967+$BA$929)+$AY$929*$C$31)*$AU$929),0)</f>
        <v>0</v>
      </c>
      <c r="AX967">
        <f>IF(AV967=0,0,-$AY$929*$C$31*$H$27*$AU$929)</f>
        <v>0</v>
      </c>
      <c r="AY967">
        <f>IF(AV967=0,0,$AY$929*$H$26*$AU$929)</f>
        <v>0</v>
      </c>
      <c r="AZ967">
        <f>(0.6*AW967+0.7*AX967)*$AU$929/2</f>
        <v>0</v>
      </c>
      <c r="BA967">
        <f>AW967*$AU$929/2</f>
        <v>0</v>
      </c>
      <c r="BC967">
        <f>IF(AV967=0,0,$BG$929*$AP$921)</f>
        <v>0</v>
      </c>
      <c r="BD967">
        <f>IFERROR(BC967/$AU$929,0)</f>
        <v>0</v>
      </c>
      <c r="BE967">
        <f>BC967*($F$25+($C$16+$C$17+IF($C$13="single",1.5,3)+3)/12)</f>
        <v>0</v>
      </c>
      <c r="BF967">
        <f>BE967-AZ967</f>
        <v>0</v>
      </c>
      <c r="BG967" cm="1">
        <f t="array" ref="BG967">IFERROR(IF(BF967&lt;0,0,BF967/($AU$929-INDEX(hd_off,MATCH(BT967,hd_mark,0),0)/12)),0)</f>
        <v>0</v>
      </c>
      <c r="BH967">
        <f>IF(AV967=0,0,$BG$929*$AM$921)</f>
        <v>0</v>
      </c>
      <c r="BI967">
        <f>IFERROR(BH967/$AU$929,0)</f>
        <v>0</v>
      </c>
      <c r="BJ967">
        <f>BH967*($F$25+($C$16+$C$17+IF($C$13="single",1.5,3)+3)/12)</f>
        <v>0</v>
      </c>
      <c r="BK967">
        <f>BJ967-BA967</f>
        <v>0</v>
      </c>
      <c r="BL967" cm="1">
        <f t="array" ref="BL967">IFERROR(IF(BK967&lt;0,0,BK967/($AU$929-INDEX(hd_off,MATCH(BT967,hd_mark,0),0)/12)),0)</f>
        <v>0</v>
      </c>
      <c r="BM967">
        <f>MAX($F$25,$BF$929)/$Q$948</f>
        <v>0.29920977011494249</v>
      </c>
      <c r="BN967">
        <f t="shared" si="606"/>
        <v>1</v>
      </c>
      <c r="BO967" cm="1">
        <f t="array" ref="BO967">IFERROR(INDEX(sheath_ecap_asd,MATCH(BS967,sheath_mark,0),0)*BN967,0)</f>
        <v>0</v>
      </c>
      <c r="BP967" cm="1">
        <f t="array" ref="BP967">IFERROR(INDEX(sheath_wcap_asd,MATCH(BS967,sheath_mark,0),0)*BN967,0)</f>
        <v>0</v>
      </c>
      <c r="BQ967" cm="1">
        <f t="array" ref="BQ967">IFERROR(INDEX(hd_cap,MATCH(BT967,hd_mark,0),0),0)</f>
        <v>0</v>
      </c>
      <c r="BS967" s="19"/>
      <c r="BT967" s="19"/>
      <c r="BU967" s="100"/>
    </row>
    <row r="968" x14ac:dyDescent="0.25">
      <c r="P968" s="93"/>
      <c r="AR968" s="100"/>
      <c r="AS968" s="93"/>
      <c r="BU968" s="100"/>
    </row>
    <row r="969" x14ac:dyDescent="0.25">
      <c r="P969" s="93"/>
      <c r="Q969" s="110" t="str">
        <f>$Q$930</f>
        <v>A.05</v>
      </c>
      <c r="R969" t="str">
        <f>$Q$917</f>
        <v>L2</v>
      </c>
      <c r="S969">
        <f>$E$21</f>
        <v>10.6875</v>
      </c>
      <c r="T969" cm="1">
        <f t="array" ref="T969">IFERROR(IF(S969=0,0,(INDEX($C$33:$C$38,MATCH($W$930,$B$33:$B$38,0),0)*(S973+$X$930)+$T$930*COUNTIF(S969:S972,"&gt;0")*$C$32+$V$930*$C$31)*$R$930),0)</f>
        <v>0</v>
      </c>
      <c r="U969">
        <f>IF(S969=0,0,-(COUNTIF(S969:S972,"&gt;0")*$T$930*$C$32+$V$930*$C$31)*$H$27*$R$930)</f>
        <v>0</v>
      </c>
      <c r="V969">
        <f>IF(S969=0,0,$V$930*$H$26*$R$930)</f>
        <v>0</v>
      </c>
      <c r="W969">
        <f>(0.6*T969+0.7*U969)*$R$930/2</f>
        <v>0</v>
      </c>
      <c r="X969">
        <f>(0.6*T969+0.6*V969)*$R$930/2</f>
        <v>0</v>
      </c>
      <c r="Z969">
        <f>IF(S969=0,0,$AD$930*$AP$917)</f>
        <v>0</v>
      </c>
      <c r="AA969">
        <f>IFERROR(Z969/$R$930,0)</f>
        <v>0</v>
      </c>
      <c r="AB969">
        <f>Z969*($F$21+IF($F$21=0,0,($C$14+$C$15+IF($C$13="single",1.5,3)+3)/12))</f>
        <v>0</v>
      </c>
      <c r="AC969">
        <f>AB969-W969</f>
        <v>0</v>
      </c>
      <c r="AD969" cm="1">
        <f t="array" ref="AD969">IFERROR(IF(AC969&lt;0,0,AC969/($R$930-INDEX(hd_off,MATCH(AQ969,hd_mark,0),0)/12)),0)</f>
        <v>0</v>
      </c>
      <c r="AE969">
        <f>IF(S969=0,0,$AD$930*$AM$917)</f>
        <v>0</v>
      </c>
      <c r="AF969">
        <f>IFERROR(AE969/$R$930,0)</f>
        <v>0</v>
      </c>
      <c r="AG969">
        <f>AE969*($F$21+IF($F$21=0,0,($C$14+$C$15+IF($C$13="single",1.5,3)+3)/12))</f>
        <v>0</v>
      </c>
      <c r="AH969">
        <f>AG969-X969</f>
        <v>0</v>
      </c>
      <c r="AI969" cm="1">
        <f t="array" ref="AI969">IFERROR(IF(AH969&lt;0,0,AH969/($R$930-INDEX(hd_off,MATCH(AQ969,hd_mark,0),0)/12)),0)</f>
        <v>0</v>
      </c>
      <c r="AJ969">
        <f>MAX($F$21,$Y$930)/$Q$948</f>
        <v>0.30172413793103448</v>
      </c>
      <c r="AK969">
        <f>IF(AJ969=0,0,IF(AJ969&gt;2,1.25-0.125*AJ969,1))</f>
        <v>1</v>
      </c>
      <c r="AL969" cm="1">
        <f t="array" ref="AL969">IFERROR(INDEX(sheath_ecap_asd,MATCH(AP969,sheath_mark,0),0)*AK969,0)</f>
        <v>0</v>
      </c>
      <c r="AM969" cm="1">
        <f t="array" ref="AM969">IFERROR(INDEX(sheath_wcap_asd,MATCH(AP969,sheath_mark,0),0)*AK969,0)</f>
        <v>0</v>
      </c>
      <c r="AN969" cm="1">
        <f t="array" ref="AN969">IFERROR(INDEX(hd_cap,MATCH(AQ969,hd_mark,0),0),0)</f>
        <v>0</v>
      </c>
      <c r="AP969" s="19"/>
      <c r="AQ969" s="19"/>
      <c r="AR969" s="100"/>
      <c r="AS969" s="93"/>
      <c r="AT969" s="110" t="str">
        <f>$AT$930</f>
        <v>1.05</v>
      </c>
      <c r="AU969" t="str">
        <f>$Q$917</f>
        <v>L2</v>
      </c>
      <c r="AV969">
        <f>$E$21</f>
        <v>10.6875</v>
      </c>
      <c r="AW969" cm="1">
        <f t="array" ref="AW969">IFERROR(IF(AV969=0,0,(INDEX($C$33:$C$38,MATCH($AZ$930,$B$33:$B$38,0),0)*(AV973+$BA$930)+$AW$930*COUNTIF(AV969:AV972,"&gt;0")*$C$32+$AY$930*$C$31)*$AU$930),0)</f>
        <v>0</v>
      </c>
      <c r="AX969">
        <f>IF(AV969=0,0,-(COUNTIF(AV969:AV972,"&gt;0")*$AW$930*$C$32+$AY$930*$C$31)*$H$27*$AU$930)</f>
        <v>0</v>
      </c>
      <c r="AY969">
        <f>IF(AV969=0,0,$AY$930*$H$26*$AU$930)</f>
        <v>0</v>
      </c>
      <c r="AZ969">
        <f>(0.6*AW969+0.7*AX969)*$AU$930/2</f>
        <v>0</v>
      </c>
      <c r="BA969">
        <f>(0.6*AW969+0.6*AY969)*$AU$930/2</f>
        <v>0</v>
      </c>
      <c r="BC969">
        <f>IF(AV969=0,0,$BG$930*$AP$917)</f>
        <v>0</v>
      </c>
      <c r="BD969">
        <f>IFERROR(BC969/$AU$930,0)</f>
        <v>0</v>
      </c>
      <c r="BE969">
        <f>BC969*($F$21+IF($F$21=0,0,($C$14+$C$15+IF($C$13="single",1.5,3)+3)/12))</f>
        <v>0</v>
      </c>
      <c r="BF969">
        <f>BE969-AZ969</f>
        <v>0</v>
      </c>
      <c r="BG969" cm="1">
        <f t="array" ref="BG969">IFERROR(IF(BF969&lt;0,0,BF969/($AU$930-INDEX(hd_off,MATCH(BT969,hd_mark,0),0)/12)),0)</f>
        <v>0</v>
      </c>
      <c r="BH969">
        <f>IF(AV969=0,0,$BG$930*$AM$917)</f>
        <v>0</v>
      </c>
      <c r="BI969">
        <f>IFERROR(BH969/$AU$930,0)</f>
        <v>0</v>
      </c>
      <c r="BJ969">
        <f>BH969*($F$21+IF($F$21=0,0,($C$14+$C$15+IF($C$13="single",1.5,3)+3)/12))</f>
        <v>0</v>
      </c>
      <c r="BK969">
        <f>BJ969-BA969</f>
        <v>0</v>
      </c>
      <c r="BL969" cm="1">
        <f t="array" ref="BL969">IFERROR(IF(BK969&lt;0,0,BK969/($AU$930-INDEX(hd_off,MATCH(BT969,hd_mark,0),0)/12)),0)</f>
        <v>0</v>
      </c>
      <c r="BM969">
        <f>MAX($F$21,$BB$930)/$Q$948</f>
        <v>0.30172413793103448</v>
      </c>
      <c r="BN969">
        <f>IF(BM969=0,0,IF(BM969&gt;2,1.25-0.125*BM969,1))</f>
        <v>1</v>
      </c>
      <c r="BO969" cm="1">
        <f t="array" ref="BO969">IFERROR(INDEX(sheath_ecap_asd,MATCH(BS969,sheath_mark,0),0)*BN969,0)</f>
        <v>0</v>
      </c>
      <c r="BP969" cm="1">
        <f t="array" ref="BP969">IFERROR(INDEX(sheath_wcap_asd,MATCH(BS969,sheath_mark,0),0)*BN969,0)</f>
        <v>0</v>
      </c>
      <c r="BQ969" cm="1">
        <f t="array" ref="BQ969">IFERROR(INDEX(hd_cap,MATCH(BT969,hd_mark,0),0),0)</f>
        <v>0</v>
      </c>
      <c r="BS969" s="19"/>
      <c r="BT969" s="19"/>
      <c r="BU969" s="100"/>
    </row>
    <row r="970" x14ac:dyDescent="0.25">
      <c r="B970" s="1"/>
      <c r="P970" s="93"/>
      <c r="Q970" s="109"/>
      <c r="R970" t="str">
        <f>$Q$918</f>
        <v>L3</v>
      </c>
      <c r="S970">
        <f>$E$22</f>
        <v>21.375</v>
      </c>
      <c r="T970" cm="1">
        <f t="array" ref="T970">IFERROR(IF(S970=0,0,(INDEX($C$33:$C$38,MATCH($W$930,$B$33:$B$38,0),0)*(S973+$X$930)+$T$930*COUNTIF(S970:S972,"&gt;0")*$C$32+$V$930*$C$31)*$R$930),0)</f>
        <v>0</v>
      </c>
      <c r="U970">
        <f>IF(S970=0,0,-(COUNTIF(S970:S972,"&gt;0")*$T$930*$C$32+$V$930*$C$31)*$H$27*$R$930)</f>
        <v>0</v>
      </c>
      <c r="V970">
        <f>IF(S970=0,0,$V$930*$H$26*$R$930)</f>
        <v>0</v>
      </c>
      <c r="W970">
        <f>(0.6*T970+0.7*U970)*$R$930/2</f>
        <v>0</v>
      </c>
      <c r="X970">
        <f>T970*$R$930/2</f>
        <v>0</v>
      </c>
      <c r="Z970">
        <f>IF(S970=0,0,$AD$930*$AP$918)</f>
        <v>0</v>
      </c>
      <c r="AA970">
        <f>IFERROR(Z970/$R$930,0)</f>
        <v>0</v>
      </c>
      <c r="AB970">
        <f>Z970*($F$22+IF($F$22=0,0,($C$14+$C$15+IF($C$13="single",1.5,3)+3)/12))</f>
        <v>0</v>
      </c>
      <c r="AC970">
        <f>AB970-W970</f>
        <v>0</v>
      </c>
      <c r="AD970" cm="1">
        <f t="array" ref="AD970">IFERROR(IF(AC970&lt;0,0,AC970/($R$930-INDEX(hd_off,MATCH(AQ970,hd_mark,0),0)/12)),0)</f>
        <v>0</v>
      </c>
      <c r="AE970">
        <f>IF(S970=0,0,$AD$930*$AM$918)</f>
        <v>0</v>
      </c>
      <c r="AF970">
        <f>IFERROR(AE970/$R$930,0)</f>
        <v>0</v>
      </c>
      <c r="AG970">
        <f>AE970*($F$22+IF($F$22=0,0,($C$14+$C$15+IF($C$13="single",1.5,3)+3)/12))</f>
        <v>0</v>
      </c>
      <c r="AH970">
        <f>AG970-X970</f>
        <v>0</v>
      </c>
      <c r="AI970" cm="1">
        <f t="array" ref="AI970">IFERROR(IF(AH970&lt;0,0,AH970/($R$930-INDEX(hd_off,MATCH(AQ970,hd_mark,0),0)/12)),0)</f>
        <v>0</v>
      </c>
      <c r="AJ970">
        <f>MAX($F$22,$Z$930)/$Q$948</f>
        <v>0.30172413793103448</v>
      </c>
      <c r="AK970">
        <f t="shared" ref="AK970:AK973" si="607">IF(AJ970=0,0,IF(AJ970&gt;2,1.25-0.125*AJ970,1))</f>
        <v>1</v>
      </c>
      <c r="AL970" cm="1">
        <f t="array" ref="AL970">IFERROR(INDEX(sheath_ecap_asd,MATCH(AP970,sheath_mark,0),0)*AK970,0)</f>
        <v>0</v>
      </c>
      <c r="AM970" cm="1">
        <f t="array" ref="AM970">IFERROR(INDEX(sheath_wcap_asd,MATCH(AP970,sheath_mark,0),0)*AK970,0)</f>
        <v>0</v>
      </c>
      <c r="AN970" cm="1">
        <f t="array" ref="AN970">IFERROR(INDEX(hd_cap,MATCH(AQ970,hd_mark,0),0),0)</f>
        <v>0</v>
      </c>
      <c r="AP970" s="19"/>
      <c r="AQ970" s="19"/>
      <c r="AR970" s="100"/>
      <c r="AS970" s="93"/>
      <c r="AT970" s="109"/>
      <c r="AU970" t="str">
        <f>$Q$918</f>
        <v>L3</v>
      </c>
      <c r="AV970">
        <f>$E$22</f>
        <v>21.375</v>
      </c>
      <c r="AW970" cm="1">
        <f t="array" ref="AW970">IFERROR(IF(AV970=0,0,(INDEX($C$33:$C$38,MATCH($AZ$930,$B$33:$B$38,0),0)*(AV973+$BA$930)+$AW$930*COUNTIF(AV970:AV972,"&gt;0")*$C$32+$AY$930*$C$31)*$AU$930),0)</f>
        <v>0</v>
      </c>
      <c r="AX970">
        <f>IF(AV970=0,0,-(COUNTIF(AV970:AV972,"&gt;0")*$AW$930*$C$32+$AY$930*$C$31)*$H$27*$AU$930)</f>
        <v>0</v>
      </c>
      <c r="AY970">
        <f>IF(AV970=0,0,$AY$930*$H$26*$AU$930)</f>
        <v>0</v>
      </c>
      <c r="AZ970">
        <f>(0.6*AW970+0.7*AX970)*$AU$930/2</f>
        <v>0</v>
      </c>
      <c r="BA970">
        <f>AW970*$AU$930/2</f>
        <v>0</v>
      </c>
      <c r="BC970">
        <f>IF(AV970=0,0,$BG$930*$AP$918)</f>
        <v>0</v>
      </c>
      <c r="BD970">
        <f>IFERROR(BC970/$AU$930,0)</f>
        <v>0</v>
      </c>
      <c r="BE970">
        <f>BC970*($F$22+IF($F$22=0,0,($C$14+$C$15+IF($C$13="single",1.5,3)+3)/12))</f>
        <v>0</v>
      </c>
      <c r="BF970">
        <f>BE970-AZ970</f>
        <v>0</v>
      </c>
      <c r="BG970" cm="1">
        <f t="array" ref="BG970">IFERROR(IF(BF970&lt;0,0,BF970/($AU$930-INDEX(hd_off,MATCH(BT970,hd_mark,0),0)/12)),0)</f>
        <v>0</v>
      </c>
      <c r="BH970">
        <f>IF(AV970=0,0,$BG$930*$AM$918)</f>
        <v>0</v>
      </c>
      <c r="BI970">
        <f>IFERROR(BH970/$AU$930,0)</f>
        <v>0</v>
      </c>
      <c r="BJ970">
        <f>BH970*($F$22+IF($F$22=0,0,($C$14+$C$15+IF($C$13="single",1.5,3)+3)/12))</f>
        <v>0</v>
      </c>
      <c r="BK970">
        <f>BJ970-BA970</f>
        <v>0</v>
      </c>
      <c r="BL970" cm="1">
        <f t="array" ref="BL970">IFERROR(IF(BK970&lt;0,0,BK970/($AU$930-INDEX(hd_off,MATCH(BT970,hd_mark,0),0)/12)),0)</f>
        <v>0</v>
      </c>
      <c r="BM970">
        <f>MAX($F$22,$BC$930)/$Q$948</f>
        <v>0.30172413793103448</v>
      </c>
      <c r="BN970">
        <f t="shared" ref="BN970:BN973" si="608">IF(BM970=0,0,IF(BM970&gt;2,1.25-0.125*BM970,1))</f>
        <v>1</v>
      </c>
      <c r="BO970" cm="1">
        <f t="array" ref="BO970">IFERROR(INDEX(sheath_ecap_asd,MATCH(BS970,sheath_mark,0),0)*BN970,0)</f>
        <v>0</v>
      </c>
      <c r="BP970" cm="1">
        <f t="array" ref="BP970">IFERROR(INDEX(sheath_wcap_asd,MATCH(BS970,sheath_mark,0),0)*BN970,0)</f>
        <v>0</v>
      </c>
      <c r="BQ970" cm="1">
        <f t="array" ref="BQ970">IFERROR(INDEX(hd_cap,MATCH(BT970,hd_mark,0),0),0)</f>
        <v>0</v>
      </c>
      <c r="BS970" s="19"/>
      <c r="BT970" s="19"/>
      <c r="BU970" s="100"/>
    </row>
    <row r="971" x14ac:dyDescent="0.25">
      <c r="P971" s="93"/>
      <c r="Q971" s="109" t="s">
        <v>491</v>
      </c>
      <c r="R971" t="str">
        <f>$Q$919</f>
        <v>L4</v>
      </c>
      <c r="S971">
        <f>$E$23</f>
        <v>0</v>
      </c>
      <c r="T971" cm="1">
        <f t="array" ref="T971">IFERROR(IF(S971=0,0,(INDEX($C$33:$C$38,MATCH($W$930,$B$33:$B$38,0),0)*(S973+$X$930)+$T$930*COUNTIF(S971:S972,"&gt;0")*$C$32+$V$930*$C$31)*$R$930),0)</f>
        <v>0</v>
      </c>
      <c r="U971">
        <f>IF(S971=0,0,-(COUNTIF(S971:S972,"&gt;0")*$T$930*$C$32+$V$930*$C$31)*$H$27*$R$930)</f>
        <v>0</v>
      </c>
      <c r="V971">
        <f>IF(S971=0,0,$V$930*$H$26*$R$930)</f>
        <v>0</v>
      </c>
      <c r="W971">
        <f>(0.6*T971+0.7*U971)*$R$930/2</f>
        <v>0</v>
      </c>
      <c r="X971">
        <f>T971*$R$930/2</f>
        <v>0</v>
      </c>
      <c r="Z971">
        <f>IF(S971=0,0,$AD$930*$AP$919)</f>
        <v>0</v>
      </c>
      <c r="AA971">
        <f>IFERROR(Z971/$R$930,0)</f>
        <v>0</v>
      </c>
      <c r="AB971">
        <f>Z971*($F$23+IF($F$23=0,0,($C$14+$C$15+IF($C$13="single",1.5,3)+3)/12))</f>
        <v>0</v>
      </c>
      <c r="AC971">
        <f>AB971-W971</f>
        <v>0</v>
      </c>
      <c r="AD971" cm="1">
        <f t="array" ref="AD971">IFERROR(IF(AC971&lt;0,0,AC971/($R$930-INDEX(hd_off,MATCH(AQ971,hd_mark,0),0)/12)),0)</f>
        <v>0</v>
      </c>
      <c r="AE971">
        <f>IF(S971=0,0,$AD$930*$AM$919)</f>
        <v>0</v>
      </c>
      <c r="AF971">
        <f>IFERROR(AE971/$R$930,0)</f>
        <v>0</v>
      </c>
      <c r="AG971">
        <f>AE971*($F$23+IF($F$23=0,0,($C$14+$C$15+IF($C$13="single",1.5,3)+3)/12))</f>
        <v>0</v>
      </c>
      <c r="AH971">
        <f>AG971-X971</f>
        <v>0</v>
      </c>
      <c r="AI971" cm="1">
        <f t="array" ref="AI971">IFERROR(IF(AH971&lt;0,0,AH971/($R$930-INDEX(hd_off,MATCH(AQ971,hd_mark,0),0)/12)),0)</f>
        <v>0</v>
      </c>
      <c r="AJ971">
        <f>MAX($F$23,$AA$930)/$Q$948</f>
        <v>0</v>
      </c>
      <c r="AK971">
        <f t="shared" si="607"/>
        <v>0</v>
      </c>
      <c r="AL971" cm="1">
        <f t="array" ref="AL971">IFERROR(INDEX(sheath_ecap_asd,MATCH(AP971,sheath_mark,0),0)*AK971,0)</f>
        <v>0</v>
      </c>
      <c r="AM971" cm="1">
        <f t="array" ref="AM971">IFERROR(INDEX(sheath_wcap_asd,MATCH(AP971,sheath_mark,0),0)*AK971,0)</f>
        <v>0</v>
      </c>
      <c r="AN971" cm="1">
        <f t="array" ref="AN971">IFERROR(INDEX(hd_cap,MATCH(AQ971,hd_mark,0),0),0)</f>
        <v>0</v>
      </c>
      <c r="AP971" s="19"/>
      <c r="AQ971" s="19"/>
      <c r="AR971" s="100"/>
      <c r="AS971" s="93"/>
      <c r="AT971" s="109" t="s">
        <v>491</v>
      </c>
      <c r="AU971" t="str">
        <f>$Q$919</f>
        <v>L4</v>
      </c>
      <c r="AV971">
        <f>$E$23</f>
        <v>0</v>
      </c>
      <c r="AW971" cm="1">
        <f t="array" ref="AW971">IFERROR(IF(AV971=0,0,(INDEX($C$33:$C$38,MATCH($AZ$930,$B$33:$B$38,0),0)*(AV973+$BA$930)+$AW$930*COUNTIF(AV971:AV972,"&gt;0")*$C$32+$AY$930*$C$31)*$AU$930),0)</f>
        <v>0</v>
      </c>
      <c r="AX971">
        <f>IF(AV971=0,0,-(COUNTIF(AV971:AV972,"&gt;0")*$AW$930*$C$32+$AY$930*$C$31)*$H$27*$AU$930)</f>
        <v>0</v>
      </c>
      <c r="AY971">
        <f>IF(AV971=0,0,$AY$930*$H$26*$AU$930)</f>
        <v>0</v>
      </c>
      <c r="AZ971">
        <f>(0.6*AW971+0.7*AX971)*$AU$930/2</f>
        <v>0</v>
      </c>
      <c r="BA971">
        <f>AW971*$AU$930/2</f>
        <v>0</v>
      </c>
      <c r="BC971">
        <f>IF(AV971=0,0,$BG$930*$AP$919)</f>
        <v>0</v>
      </c>
      <c r="BD971">
        <f>IFERROR(BC971/$AU$930,0)</f>
        <v>0</v>
      </c>
      <c r="BE971">
        <f>BC971*($F$23+IF($F$23=0,0,($C$14+$C$15+IF($C$13="single",1.5,3)+3)/12))</f>
        <v>0</v>
      </c>
      <c r="BF971">
        <f>BE971-AZ971</f>
        <v>0</v>
      </c>
      <c r="BG971" cm="1">
        <f t="array" ref="BG971">IFERROR(IF(BF971&lt;0,0,BF971/($AU$930-INDEX(hd_off,MATCH(BT971,hd_mark,0),0)/12)),0)</f>
        <v>0</v>
      </c>
      <c r="BH971">
        <f>IF(AV971=0,0,$BG$930*$AM$919)</f>
        <v>0</v>
      </c>
      <c r="BI971">
        <f>IFERROR(BH971/$AU$930,0)</f>
        <v>0</v>
      </c>
      <c r="BJ971">
        <f>BH971*($F$23+IF($F$23=0,0,($C$14+$C$15+IF($C$13="single",1.5,3)+3)/12))</f>
        <v>0</v>
      </c>
      <c r="BK971">
        <f>BJ971-BA971</f>
        <v>0</v>
      </c>
      <c r="BL971" cm="1">
        <f t="array" ref="BL971">IFERROR(IF(BK971&lt;0,0,BK971/($AU$930-INDEX(hd_off,MATCH(BT971,hd_mark,0),0)/12)),0)</f>
        <v>0</v>
      </c>
      <c r="BM971">
        <f>MAX($F$23,$BD$930)/$Q$948</f>
        <v>0</v>
      </c>
      <c r="BN971">
        <f t="shared" si="608"/>
        <v>0</v>
      </c>
      <c r="BO971" cm="1">
        <f t="array" ref="BO971">IFERROR(INDEX(sheath_ecap_asd,MATCH(BS971,sheath_mark,0),0)*BN971,0)</f>
        <v>0</v>
      </c>
      <c r="BP971" cm="1">
        <f t="array" ref="BP971">IFERROR(INDEX(sheath_wcap_asd,MATCH(BS971,sheath_mark,0),0)*BN971,0)</f>
        <v>0</v>
      </c>
      <c r="BQ971" cm="1">
        <f t="array" ref="BQ971">IFERROR(INDEX(hd_cap,MATCH(BT971,hd_mark,0),0),0)</f>
        <v>0</v>
      </c>
      <c r="BS971" s="19"/>
      <c r="BT971" s="19"/>
      <c r="BU971" s="100"/>
    </row>
    <row r="972" x14ac:dyDescent="0.25">
      <c r="P972" s="93"/>
      <c r="Q972" s="111">
        <f>$R$930</f>
        <v>0</v>
      </c>
      <c r="R972" t="str">
        <f>$Q$920</f>
        <v>L5</v>
      </c>
      <c r="S972">
        <f>$E$24</f>
        <v>0</v>
      </c>
      <c r="T972" cm="1">
        <f t="array" ref="T972">IFERROR(IF(S972=0,0,(INDEX($C$33:$C$38,MATCH($W$930,$B$33:$B$38,0),0)*(S973+$X$930)+$T$930*COUNTIF(S972:S972,"&gt;0")*$C$32+$V$930*$C$31)*$R$930),0)</f>
        <v>0</v>
      </c>
      <c r="U972">
        <f>IF(S972=0,0,-(COUNTIF(S972:S972,"&gt;0")*$T$930*$C$32+$V$930*$C$31)*$H$27*$R$930)</f>
        <v>0</v>
      </c>
      <c r="V972">
        <f>IF(S972=0,0,$V$930*$H$26*$R$930)</f>
        <v>0</v>
      </c>
      <c r="W972">
        <f>(0.6*T972+0.7*U972)*$R$930/2</f>
        <v>0</v>
      </c>
      <c r="X972">
        <f>T972*$R$930/2</f>
        <v>0</v>
      </c>
      <c r="Z972">
        <f>IF(S972=0,0,$AD$930*$AP$920)</f>
        <v>0</v>
      </c>
      <c r="AA972">
        <f>IFERROR(Z972/$R$930,0)</f>
        <v>0</v>
      </c>
      <c r="AB972">
        <f>Z972*($F$24+IF($F$24=0,0,($C$14+$C$15+IF($C$13="single",1.5,3)+3)/12))</f>
        <v>0</v>
      </c>
      <c r="AC972">
        <f>AB972-W972</f>
        <v>0</v>
      </c>
      <c r="AD972" cm="1">
        <f t="array" ref="AD972">IFERROR(IF(AC972&lt;0,0,AC972/($R$930-INDEX(hd_off,MATCH(AQ972,hd_mark,0),0)/12)),0)</f>
        <v>0</v>
      </c>
      <c r="AE972">
        <f>IF(S972=0,0,$AD$930*$AM$920)</f>
        <v>0</v>
      </c>
      <c r="AF972">
        <f>IFERROR(AE972/$R$930,0)</f>
        <v>0</v>
      </c>
      <c r="AG972">
        <f>AE972*($F$24+IF($F$24=0,0,($C$14+$C$15+IF($C$13="single",1.5,3)+3)/12))</f>
        <v>0</v>
      </c>
      <c r="AH972">
        <f>AG972-X972</f>
        <v>0</v>
      </c>
      <c r="AI972" cm="1">
        <f t="array" ref="AI972">IFERROR(IF(AH972&lt;0,0,AH972/($R$930-INDEX(hd_off,MATCH(AQ972,hd_mark,0),0)/12)),0)</f>
        <v>0</v>
      </c>
      <c r="AJ972">
        <f>MAX($F$24,$AB$930)/$Q$948</f>
        <v>0</v>
      </c>
      <c r="AK972">
        <f t="shared" si="607"/>
        <v>0</v>
      </c>
      <c r="AL972" cm="1">
        <f t="array" ref="AL972">IFERROR(INDEX(sheath_ecap_asd,MATCH(AP972,sheath_mark,0),0)*AK972,0)</f>
        <v>0</v>
      </c>
      <c r="AM972" cm="1">
        <f t="array" ref="AM972">IFERROR(INDEX(sheath_wcap_asd,MATCH(AP972,sheath_mark,0),0)*AK972,0)</f>
        <v>0</v>
      </c>
      <c r="AN972" cm="1">
        <f t="array" ref="AN972">IFERROR(INDEX(hd_cap,MATCH(AQ972,hd_mark,0),0),0)</f>
        <v>0</v>
      </c>
      <c r="AP972" s="19"/>
      <c r="AQ972" s="19"/>
      <c r="AR972" s="100"/>
      <c r="AS972" s="93"/>
      <c r="AT972" s="111">
        <f>$R$930</f>
        <v>0</v>
      </c>
      <c r="AU972" t="str">
        <f>$Q$920</f>
        <v>L5</v>
      </c>
      <c r="AV972">
        <f>$E$24</f>
        <v>0</v>
      </c>
      <c r="AW972" cm="1">
        <f t="array" ref="AW972">IFERROR(IF(AV972=0,0,(INDEX($C$33:$C$38,MATCH($AZ$930,$B$33:$B$38,0),0)*(AV973+$BA$930)+$AW$930*COUNTIF(AV972:AV972,"&gt;0")*$C$32+$AY$930*$C$31)*$AU$930),0)</f>
        <v>0</v>
      </c>
      <c r="AX972">
        <f>IF(AV972=0,0,-(COUNTIF(AV972:AV972,"&gt;0")*$AW$930*$C$32+$AY$930*$C$31)*$H$27*$AU$930)</f>
        <v>0</v>
      </c>
      <c r="AY972">
        <f>IF(AV972=0,0,$AY$930*$H$26*$AU$930)</f>
        <v>0</v>
      </c>
      <c r="AZ972">
        <f>(0.6*AW972+0.7*AX972)*$AU$930/2</f>
        <v>0</v>
      </c>
      <c r="BA972">
        <f>AW972*$AU$930/2</f>
        <v>0</v>
      </c>
      <c r="BC972">
        <f>IF(AV972=0,0,$BG$930*$AP$920)</f>
        <v>0</v>
      </c>
      <c r="BD972">
        <f>IFERROR(BC972/$AU$930,0)</f>
        <v>0</v>
      </c>
      <c r="BE972">
        <f>BC972*($F$24+IF($F$24=0,0,($C$14+$C$15+IF($C$13="single",1.5,3)+3)/12))</f>
        <v>0</v>
      </c>
      <c r="BF972">
        <f>BE972-AZ972</f>
        <v>0</v>
      </c>
      <c r="BG972" cm="1">
        <f t="array" ref="BG972">IFERROR(IF(BF972&lt;0,0,BF972/($AU$930-INDEX(hd_off,MATCH(BT972,hd_mark,0),0)/12)),0)</f>
        <v>0</v>
      </c>
      <c r="BH972">
        <f>IF(AV972=0,0,$BG$930*$AM$920)</f>
        <v>0</v>
      </c>
      <c r="BI972">
        <f>IFERROR(BH972/$AU$930,0)</f>
        <v>0</v>
      </c>
      <c r="BJ972">
        <f>BH972*($F$24+IF($F$24=0,0,($C$14+$C$15+IF($C$13="single",1.5,3)+3)/12))</f>
        <v>0</v>
      </c>
      <c r="BK972">
        <f>BJ972-BA972</f>
        <v>0</v>
      </c>
      <c r="BL972" cm="1">
        <f t="array" ref="BL972">IFERROR(IF(BK972&lt;0,0,BK972/($AU$930-INDEX(hd_off,MATCH(BT972,hd_mark,0),0)/12)),0)</f>
        <v>0</v>
      </c>
      <c r="BM972">
        <f>MAX($F$24,$BE$930)/$Q$948</f>
        <v>0</v>
      </c>
      <c r="BN972">
        <f t="shared" si="608"/>
        <v>0</v>
      </c>
      <c r="BO972" cm="1">
        <f t="array" ref="BO972">IFERROR(INDEX(sheath_ecap_asd,MATCH(BS972,sheath_mark,0),0)*BN972,0)</f>
        <v>0</v>
      </c>
      <c r="BP972" cm="1">
        <f t="array" ref="BP972">IFERROR(INDEX(sheath_wcap_asd,MATCH(BS972,sheath_mark,0),0)*BN972,0)</f>
        <v>0</v>
      </c>
      <c r="BQ972" cm="1">
        <f t="array" ref="BQ972">IFERROR(INDEX(hd_cap,MATCH(BT972,hd_mark,0),0),0)</f>
        <v>0</v>
      </c>
      <c r="BS972" s="19"/>
      <c r="BT972" s="19"/>
      <c r="BU972" s="100"/>
    </row>
    <row r="973" x14ac:dyDescent="0.25">
      <c r="P973" s="93"/>
      <c r="Q973" s="109"/>
      <c r="R973" t="str">
        <f>$Q$921</f>
        <v>Roof</v>
      </c>
      <c r="S973">
        <f>$E$25</f>
        <v>33.171875</v>
      </c>
      <c r="T973" cm="1">
        <f t="array" ref="T973">IFERROR(IF(S973=0,0,(INDEX($C$33:$C$38,MATCH($W$930,$B$33:$B$38,0),0)*(S973+$X$930)+$V$930*$C$31)*$R$930),0)</f>
        <v>0</v>
      </c>
      <c r="U973">
        <f>IF(S973=0,0,-$V$930*$C$31*$H$27*$R$930)</f>
        <v>0</v>
      </c>
      <c r="V973">
        <f>IF(S973=0,0,$V$930*$H$26*$R$930)</f>
        <v>0</v>
      </c>
      <c r="W973">
        <f>(0.6*T973+0.7*U973)*$R$930/2</f>
        <v>0</v>
      </c>
      <c r="X973">
        <f>T973*$R$930/2</f>
        <v>0</v>
      </c>
      <c r="Z973">
        <f>IF(S973=0,0,$AD$930*$AP$921)</f>
        <v>0</v>
      </c>
      <c r="AA973">
        <f>IFERROR(Z973/$R$930,0)</f>
        <v>0</v>
      </c>
      <c r="AB973">
        <f>Z973*($F$25+($C$16+$C$17+IF($C$13="single",1.5,3)+3)/12)</f>
        <v>0</v>
      </c>
      <c r="AC973">
        <f>AB973-W973</f>
        <v>0</v>
      </c>
      <c r="AD973" cm="1">
        <f t="array" ref="AD973">IFERROR(IF(AC973&lt;0,0,AC973/($R$930-INDEX(hd_off,MATCH(AQ973,hd_mark,0),0)/12)),0)</f>
        <v>0</v>
      </c>
      <c r="AE973">
        <f>IF(S973=0,0,$AD$930*$AM$921)</f>
        <v>0</v>
      </c>
      <c r="AF973">
        <f>IFERROR(AE973/$R$930,0)</f>
        <v>0</v>
      </c>
      <c r="AG973">
        <f>AE973*($F$25+($C$16+$C$17+IF($C$13="single",1.5,3)+3)/12)</f>
        <v>0</v>
      </c>
      <c r="AH973">
        <f>AG973-X973</f>
        <v>0</v>
      </c>
      <c r="AI973" cm="1">
        <f t="array" ref="AI973">IFERROR(IF(AH973&lt;0,0,AH973/($R$930-INDEX(hd_off,MATCH(AQ973,hd_mark,0),0)/12)),0)</f>
        <v>0</v>
      </c>
      <c r="AJ973">
        <f>MAX($F$25,$AC$930)/$Q$948</f>
        <v>0.29920977011494249</v>
      </c>
      <c r="AK973">
        <f t="shared" si="607"/>
        <v>1</v>
      </c>
      <c r="AL973" cm="1">
        <f t="array" ref="AL973">IFERROR(INDEX(sheath_ecap_asd,MATCH(AP973,sheath_mark,0),0)*AK973,0)</f>
        <v>0</v>
      </c>
      <c r="AM973" cm="1">
        <f t="array" ref="AM973">IFERROR(INDEX(sheath_wcap_asd,MATCH(AP973,sheath_mark,0),0)*AK973,0)</f>
        <v>0</v>
      </c>
      <c r="AN973" cm="1">
        <f t="array" ref="AN973">IFERROR(INDEX(hd_cap,MATCH(AQ973,hd_mark,0),0),0)</f>
        <v>0</v>
      </c>
      <c r="AP973" s="19"/>
      <c r="AQ973" s="19"/>
      <c r="AR973" s="100"/>
      <c r="AS973" s="93"/>
      <c r="AT973" s="109"/>
      <c r="AU973" t="str">
        <f>$Q$921</f>
        <v>Roof</v>
      </c>
      <c r="AV973">
        <f>$E$25</f>
        <v>33.171875</v>
      </c>
      <c r="AW973" cm="1">
        <f t="array" ref="AW973">IFERROR(IF(AV973=0,0,(INDEX($C$33:$C$38,MATCH($AZ$930,$B$33:$B$38,0),0)*(AV973+$BA$930)+$AY$930*$C$31)*$AU$930),0)</f>
        <v>0</v>
      </c>
      <c r="AX973">
        <f>IF(AV973=0,0,-$AY$930*$C$31*$H$27*$AU$930)</f>
        <v>0</v>
      </c>
      <c r="AY973">
        <f>IF(AV973=0,0,$AY$930*$H$26*$AU$930)</f>
        <v>0</v>
      </c>
      <c r="AZ973">
        <f>(0.6*AW973+0.7*AX973)*$AU$930/2</f>
        <v>0</v>
      </c>
      <c r="BA973">
        <f>AW973*$AU$930/2</f>
        <v>0</v>
      </c>
      <c r="BC973">
        <f>IF(AV973=0,0,$BG$930*$AP$921)</f>
        <v>0</v>
      </c>
      <c r="BD973">
        <f>IFERROR(BC973/$AU$930,0)</f>
        <v>0</v>
      </c>
      <c r="BE973">
        <f>BC973*($F$25+($C$16+$C$17+IF($C$13="single",1.5,3)+3)/12)</f>
        <v>0</v>
      </c>
      <c r="BF973">
        <f>BE973-AZ973</f>
        <v>0</v>
      </c>
      <c r="BG973" cm="1">
        <f t="array" ref="BG973">IFERROR(IF(BF973&lt;0,0,BF973/($AU$930-INDEX(hd_off,MATCH(BT973,hd_mark,0),0)/12)),0)</f>
        <v>0</v>
      </c>
      <c r="BH973">
        <f>IF(AV973=0,0,$BG$930*$AM$921)</f>
        <v>0</v>
      </c>
      <c r="BI973">
        <f>IFERROR(BH973/$AU$930,0)</f>
        <v>0</v>
      </c>
      <c r="BJ973">
        <f>BH973*($F$25+($C$16+$C$17+IF($C$13="single",1.5,3)+3)/12)</f>
        <v>0</v>
      </c>
      <c r="BK973">
        <f>BJ973-BA973</f>
        <v>0</v>
      </c>
      <c r="BL973" cm="1">
        <f t="array" ref="BL973">IFERROR(IF(BK973&lt;0,0,BK973/($AU$930-INDEX(hd_off,MATCH(BT973,hd_mark,0),0)/12)),0)</f>
        <v>0</v>
      </c>
      <c r="BM973">
        <f>MAX($F$25,$BF$930)/$Q$948</f>
        <v>0.29920977011494249</v>
      </c>
      <c r="BN973">
        <f t="shared" si="608"/>
        <v>1</v>
      </c>
      <c r="BO973" cm="1">
        <f t="array" ref="BO973">IFERROR(INDEX(sheath_ecap_asd,MATCH(BS973,sheath_mark,0),0)*BN973,0)</f>
        <v>0</v>
      </c>
      <c r="BP973" cm="1">
        <f t="array" ref="BP973">IFERROR(INDEX(sheath_wcap_asd,MATCH(BS973,sheath_mark,0),0)*BN973,0)</f>
        <v>0</v>
      </c>
      <c r="BQ973" cm="1">
        <f t="array" ref="BQ973">IFERROR(INDEX(hd_cap,MATCH(BT973,hd_mark,0),0),0)</f>
        <v>0</v>
      </c>
      <c r="BS973" s="19"/>
      <c r="BT973" s="19"/>
      <c r="BU973" s="100"/>
    </row>
    <row r="974" x14ac:dyDescent="0.25">
      <c r="P974" s="93"/>
      <c r="AR974" s="100"/>
      <c r="AS974" s="93"/>
      <c r="BU974" s="100"/>
    </row>
    <row r="975" x14ac:dyDescent="0.25">
      <c r="P975" s="93"/>
      <c r="Q975" s="110" t="str">
        <f>$Q$931</f>
        <v>A.06</v>
      </c>
      <c r="R975" t="str">
        <f>$Q$917</f>
        <v>L2</v>
      </c>
      <c r="S975">
        <f>$E$21</f>
        <v>10.6875</v>
      </c>
      <c r="T975" cm="1">
        <f t="array" ref="T975">IFERROR(IF(S975=0,0,(INDEX($C$33:$C$38,MATCH($W$931,$B$33:$B$38,0),0)*(S979+$X$931)+$T$931*COUNTIF(S975:S978,"&gt;0")*$C$32+$V$931*$C$31)*$R$931),0)</f>
        <v>0</v>
      </c>
      <c r="U975">
        <f>IF(S975=0,0,-(COUNTIF(S975:S978,"&gt;0")*$T$931*$C$32+$V$931*$C$31)*$H$27*$R$931)</f>
        <v>0</v>
      </c>
      <c r="V975">
        <f>IF(S975=0,0,$V$931*$H$26*$R$931)</f>
        <v>0</v>
      </c>
      <c r="W975">
        <f>(0.6*T975+0.7*U975)*$R$931/2</f>
        <v>0</v>
      </c>
      <c r="X975">
        <f>(0.6*T975+0.6*V975)*$R$931/2</f>
        <v>0</v>
      </c>
      <c r="Z975">
        <f>IF(S975=0,0,$AD$931*$AP$917)</f>
        <v>0</v>
      </c>
      <c r="AA975">
        <f>IFERROR(Z975/$R$931,0)</f>
        <v>0</v>
      </c>
      <c r="AB975">
        <f>Z975*($F$21+IF($F$21=0,0,($C$14+$C$15+IF($C$13="single",1.5,3)+3)/12))</f>
        <v>0</v>
      </c>
      <c r="AC975">
        <f>AB975-W975</f>
        <v>0</v>
      </c>
      <c r="AD975" cm="1">
        <f t="array" ref="AD975">IFERROR(IF(AC975&lt;0,0,AC975/($R$931-INDEX(hd_off,MATCH(AQ975,hd_mark,0),0)/12)),0)</f>
        <v>0</v>
      </c>
      <c r="AE975">
        <f>IF(S975=0,0,$AD$931*$AM$917)</f>
        <v>0</v>
      </c>
      <c r="AF975">
        <f>IFERROR(AE975/$R$931,0)</f>
        <v>0</v>
      </c>
      <c r="AG975">
        <f>AE975*($F$21+IF($F$21=0,0,($C$14+$C$15+IF($C$13="single",1.5,3)+3)/12))</f>
        <v>0</v>
      </c>
      <c r="AH975">
        <f>AG975-X975</f>
        <v>0</v>
      </c>
      <c r="AI975" cm="1">
        <f t="array" ref="AI975">IFERROR(IF(AH975&lt;0,0,AH975/($R$931-INDEX(hd_off,MATCH(AQ975,hd_mark,0),0)/12)),0)</f>
        <v>0</v>
      </c>
      <c r="AJ975">
        <f>MAX($F$21,$Y$931)/$Q$948</f>
        <v>0.30172413793103448</v>
      </c>
      <c r="AK975">
        <f>IF(AJ975=0,0,IF(AJ975&gt;2,1.25-0.125*AJ975,1))</f>
        <v>1</v>
      </c>
      <c r="AL975" cm="1">
        <f t="array" ref="AL975">IFERROR(INDEX(sheath_ecap_asd,MATCH(AP975,sheath_mark,0),0)*AK975,0)</f>
        <v>0</v>
      </c>
      <c r="AM975" cm="1">
        <f t="array" ref="AM975">IFERROR(INDEX(sheath_wcap_asd,MATCH(AP975,sheath_mark,0),0)*AK975,0)</f>
        <v>0</v>
      </c>
      <c r="AN975" cm="1">
        <f t="array" ref="AN975">IFERROR(INDEX(hd_cap,MATCH(AQ975,hd_mark,0),0),0)</f>
        <v>0</v>
      </c>
      <c r="AP975" s="19"/>
      <c r="AQ975" s="19"/>
      <c r="AR975" s="100"/>
      <c r="AS975" s="93"/>
      <c r="AT975" s="110" t="str">
        <f>$AT$931</f>
        <v>1.06</v>
      </c>
      <c r="AU975" t="str">
        <f>$Q$917</f>
        <v>L2</v>
      </c>
      <c r="AV975">
        <f>$E$21</f>
        <v>10.6875</v>
      </c>
      <c r="AW975" cm="1">
        <f t="array" ref="AW975">IFERROR(IF(AV975=0,0,(INDEX($C$33:$C$38,MATCH($AZ$931,$B$33:$B$38,0),0)*(AV979+$BA$931)+$AW$931*COUNTIF(AV975:AV978,"&gt;0")*$C$32+$AY$931*$C$31)*$AU$931),0)</f>
        <v>0</v>
      </c>
      <c r="AX975">
        <f>IF(AV975=0,0,-(COUNTIF(AV975:AV978,"&gt;0")*$AW$931*$C$32+$AY$931*$C$31)*$H$27*$AU$931)</f>
        <v>0</v>
      </c>
      <c r="AY975">
        <f>IF(AV975=0,0,$AY$931*$H$26*$AU$931)</f>
        <v>0</v>
      </c>
      <c r="AZ975">
        <f>(0.6*AW975+0.7*AX975)*$AU$931/2</f>
        <v>0</v>
      </c>
      <c r="BA975">
        <f>(0.6*AW975+0.6*AY975)*$AU$931/2</f>
        <v>0</v>
      </c>
      <c r="BC975">
        <f>IF(AV975=0,0,$BG$931*$AP$917)</f>
        <v>0</v>
      </c>
      <c r="BD975">
        <f>IFERROR(BC975/$AU$931,0)</f>
        <v>0</v>
      </c>
      <c r="BE975">
        <f>BC975*($F$21+IF($F$21=0,0,($C$14+$C$15+IF($C$13="single",1.5,3)+3)/12))</f>
        <v>0</v>
      </c>
      <c r="BF975">
        <f>BE975-AZ975</f>
        <v>0</v>
      </c>
      <c r="BG975" cm="1">
        <f t="array" ref="BG975">IFERROR(IF(BF975&lt;0,0,BF975/($AU$931-INDEX(hd_off,MATCH(BT975,hd_mark,0),0)/12)),0)</f>
        <v>0</v>
      </c>
      <c r="BH975">
        <f>IF(AV975=0,0,$BG$931*$AM$917)</f>
        <v>0</v>
      </c>
      <c r="BI975">
        <f>IFERROR(BH975/$AU$931,0)</f>
        <v>0</v>
      </c>
      <c r="BJ975">
        <f>BH975*($F$21+IF($F$21=0,0,($C$14+$C$15+IF($C$13="single",1.5,3)+3)/12))</f>
        <v>0</v>
      </c>
      <c r="BK975">
        <f>BJ975-BA975</f>
        <v>0</v>
      </c>
      <c r="BL975" cm="1">
        <f t="array" ref="BL975">IFERROR(IF(BK975&lt;0,0,BK975/($AU$931-INDEX(hd_off,MATCH(BT975,hd_mark,0),0)/12)),0)</f>
        <v>0</v>
      </c>
      <c r="BM975">
        <f>MAX($F$21,$BB$931)/$Q$948</f>
        <v>0.30172413793103448</v>
      </c>
      <c r="BN975">
        <f>IF(BM975=0,0,IF(BM975&gt;2,1.25-0.125*BM975,1))</f>
        <v>1</v>
      </c>
      <c r="BO975" cm="1">
        <f t="array" ref="BO975">IFERROR(INDEX(sheath_ecap_asd,MATCH(BS975,sheath_mark,0),0)*BN975,0)</f>
        <v>0</v>
      </c>
      <c r="BP975" cm="1">
        <f t="array" ref="BP975">IFERROR(INDEX(sheath_wcap_asd,MATCH(BS975,sheath_mark,0),0)*BN975,0)</f>
        <v>0</v>
      </c>
      <c r="BQ975" cm="1">
        <f t="array" ref="BQ975">IFERROR(INDEX(hd_cap,MATCH(BT975,hd_mark,0),0),0)</f>
        <v>0</v>
      </c>
      <c r="BS975" s="19"/>
      <c r="BT975" s="19"/>
      <c r="BU975" s="100"/>
    </row>
    <row r="976" x14ac:dyDescent="0.25">
      <c r="P976" s="93"/>
      <c r="Q976" s="109"/>
      <c r="R976" t="str">
        <f>$Q$918</f>
        <v>L3</v>
      </c>
      <c r="S976">
        <f>$E$22</f>
        <v>21.375</v>
      </c>
      <c r="T976" cm="1">
        <f t="array" ref="T976">IFERROR(IF(S976=0,0,(INDEX($C$33:$C$38,MATCH($W$931,$B$33:$B$38,0),0)*(S979+$X$931)+$T$931*COUNTIF(S976:S978,"&gt;0")*$C$32+$V$931*$C$31)*$R$931),0)</f>
        <v>0</v>
      </c>
      <c r="U976">
        <f>IF(S976=0,0,-(COUNTIF(S976:S978,"&gt;0")*$T$931*$C$32+$V$931*$C$31)*$H$27*$R$931)</f>
        <v>0</v>
      </c>
      <c r="V976">
        <f>IF(S976=0,0,$V$931*$H$26*$R$931)</f>
        <v>0</v>
      </c>
      <c r="W976">
        <f>(0.6*T976+0.7*U976)*$R$931/2</f>
        <v>0</v>
      </c>
      <c r="X976">
        <f>T976*$R$931/2</f>
        <v>0</v>
      </c>
      <c r="Z976">
        <f>IF(S976=0,0,$AD$931*$AP$918)</f>
        <v>0</v>
      </c>
      <c r="AA976">
        <f>IFERROR(Z976/$R$931,0)</f>
        <v>0</v>
      </c>
      <c r="AB976">
        <f>Z976*($F$22+IF($F$22=0,0,($C$14+$C$15+IF($C$13="single",1.5,3)+3)/12))</f>
        <v>0</v>
      </c>
      <c r="AC976">
        <f>AB976-W976</f>
        <v>0</v>
      </c>
      <c r="AD976" cm="1">
        <f t="array" ref="AD976">IFERROR(IF(AC976&lt;0,0,AC976/($R$931-INDEX(hd_off,MATCH(AQ976,hd_mark,0),0)/12)),0)</f>
        <v>0</v>
      </c>
      <c r="AE976">
        <f>IF(S976=0,0,$AD$931*$AM$918)</f>
        <v>0</v>
      </c>
      <c r="AF976">
        <f>IFERROR(AE976/$R$931,0)</f>
        <v>0</v>
      </c>
      <c r="AG976">
        <f>AE976*($F$22+IF($F$22=0,0,($C$14+$C$15+IF($C$13="single",1.5,3)+3)/12))</f>
        <v>0</v>
      </c>
      <c r="AH976">
        <f>AG976-X976</f>
        <v>0</v>
      </c>
      <c r="AI976" cm="1">
        <f t="array" ref="AI976">IFERROR(IF(AH976&lt;0,0,AH976/($R$931-INDEX(hd_off,MATCH(AQ976,hd_mark,0),0)/12)),0)</f>
        <v>0</v>
      </c>
      <c r="AJ976">
        <f>MAX($F$22,$Z$931)/$Q$948</f>
        <v>0.30172413793103448</v>
      </c>
      <c r="AK976">
        <f t="shared" ref="AK976:AK979" si="609">IF(AJ976=0,0,IF(AJ976&gt;2,1.25-0.125*AJ976,1))</f>
        <v>1</v>
      </c>
      <c r="AL976" cm="1">
        <f t="array" ref="AL976">IFERROR(INDEX(sheath_ecap_asd,MATCH(AP976,sheath_mark,0),0)*AK976,0)</f>
        <v>0</v>
      </c>
      <c r="AM976" cm="1">
        <f t="array" ref="AM976">IFERROR(INDEX(sheath_wcap_asd,MATCH(AP976,sheath_mark,0),0)*AK976,0)</f>
        <v>0</v>
      </c>
      <c r="AN976" cm="1">
        <f t="array" ref="AN976">IFERROR(INDEX(hd_cap,MATCH(AQ976,hd_mark,0),0),0)</f>
        <v>0</v>
      </c>
      <c r="AP976" s="19"/>
      <c r="AQ976" s="19"/>
      <c r="AR976" s="100"/>
      <c r="AS976" s="93"/>
      <c r="AT976" s="109"/>
      <c r="AU976" t="str">
        <f>$Q$918</f>
        <v>L3</v>
      </c>
      <c r="AV976">
        <f>$E$22</f>
        <v>21.375</v>
      </c>
      <c r="AW976" cm="1">
        <f t="array" ref="AW976">IFERROR(IF(AV976=0,0,(INDEX($C$33:$C$38,MATCH($AZ$931,$B$33:$B$38,0),0)*(AV979+$BA$931)+$AW$931*COUNTIF(AV976:AV978,"&gt;0")*$C$32+$AY$931*$C$31)*$AU$931),0)</f>
        <v>0</v>
      </c>
      <c r="AX976">
        <f>IF(AV976=0,0,-(COUNTIF(AV976:AV978,"&gt;0")*$AW$931*$C$32+$AY$931*$C$31)*$H$27*$AU$931)</f>
        <v>0</v>
      </c>
      <c r="AY976">
        <f>IF(AV976=0,0,$AY$931*$H$26*$AU$931)</f>
        <v>0</v>
      </c>
      <c r="AZ976">
        <f>(0.6*AW976+0.7*AX976)*$AU$931/2</f>
        <v>0</v>
      </c>
      <c r="BA976">
        <f>AW976*$AU$931/2</f>
        <v>0</v>
      </c>
      <c r="BC976">
        <f>IF(AV976=0,0,$BG$931*$AP$918)</f>
        <v>0</v>
      </c>
      <c r="BD976">
        <f>IFERROR(BC976/$AU$931,0)</f>
        <v>0</v>
      </c>
      <c r="BE976">
        <f>BC976*($F$22+IF($F$22=0,0,($C$14+$C$15+IF($C$13="single",1.5,3)+3)/12))</f>
        <v>0</v>
      </c>
      <c r="BF976">
        <f>BE976-AZ976</f>
        <v>0</v>
      </c>
      <c r="BG976" cm="1">
        <f t="array" ref="BG976">IFERROR(IF(BF976&lt;0,0,BF976/($AU$931-INDEX(hd_off,MATCH(BT976,hd_mark,0),0)/12)),0)</f>
        <v>0</v>
      </c>
      <c r="BH976">
        <f>IF(AV976=0,0,$BG$931*$AM$918)</f>
        <v>0</v>
      </c>
      <c r="BI976">
        <f>IFERROR(BH976/$AU$931,0)</f>
        <v>0</v>
      </c>
      <c r="BJ976">
        <f>BH976*($F$22+IF($F$22=0,0,($C$14+$C$15+IF($C$13="single",1.5,3)+3)/12))</f>
        <v>0</v>
      </c>
      <c r="BK976">
        <f>BJ976-BA976</f>
        <v>0</v>
      </c>
      <c r="BL976" cm="1">
        <f t="array" ref="BL976">IFERROR(IF(BK976&lt;0,0,BK976/($AU$931-INDEX(hd_off,MATCH(BT976,hd_mark,0),0)/12)),0)</f>
        <v>0</v>
      </c>
      <c r="BM976">
        <f>MAX($F$22,$BC$931)/$Q$948</f>
        <v>0.30172413793103448</v>
      </c>
      <c r="BN976">
        <f t="shared" ref="BN976:BN979" si="610">IF(BM976=0,0,IF(BM976&gt;2,1.25-0.125*BM976,1))</f>
        <v>1</v>
      </c>
      <c r="BO976" cm="1">
        <f t="array" ref="BO976">IFERROR(INDEX(sheath_ecap_asd,MATCH(BS976,sheath_mark,0),0)*BN976,0)</f>
        <v>0</v>
      </c>
      <c r="BP976" cm="1">
        <f t="array" ref="BP976">IFERROR(INDEX(sheath_wcap_asd,MATCH(BS976,sheath_mark,0),0)*BN976,0)</f>
        <v>0</v>
      </c>
      <c r="BQ976" cm="1">
        <f t="array" ref="BQ976">IFERROR(INDEX(hd_cap,MATCH(BT976,hd_mark,0),0),0)</f>
        <v>0</v>
      </c>
      <c r="BS976" s="19"/>
      <c r="BT976" s="19"/>
      <c r="BU976" s="100"/>
    </row>
    <row r="977" x14ac:dyDescent="0.25">
      <c r="P977" s="93"/>
      <c r="Q977" s="109" t="s">
        <v>491</v>
      </c>
      <c r="R977" t="str">
        <f>$Q$919</f>
        <v>L4</v>
      </c>
      <c r="S977">
        <f>$E$23</f>
        <v>0</v>
      </c>
      <c r="T977" cm="1">
        <f t="array" ref="T977">IFERROR(IF(S977=0,0,(INDEX($C$33:$C$38,MATCH($W$931,$B$33:$B$38,0),0)*(S979+$X$931)+$T$931*COUNTIF(S977:S978,"&gt;0")*$C$32+$V$931*$C$31)*$R$931),0)</f>
        <v>0</v>
      </c>
      <c r="U977">
        <f>IF(S977=0,0,-(COUNTIF(S977:S978,"&gt;0")*$T$931*$C$32+$V$931*$C$31)*$H$27*$R$931)</f>
        <v>0</v>
      </c>
      <c r="V977">
        <f>IF(S977=0,0,$V$931*$H$26*$R$931)</f>
        <v>0</v>
      </c>
      <c r="W977">
        <f>(0.6*T977+0.7*U977)*$R$931/2</f>
        <v>0</v>
      </c>
      <c r="X977">
        <f>T977*$R$931/2</f>
        <v>0</v>
      </c>
      <c r="Z977">
        <f>IF(S977=0,0,$AD$931*$AP$919)</f>
        <v>0</v>
      </c>
      <c r="AA977">
        <f>IFERROR(Z977/$R$931,0)</f>
        <v>0</v>
      </c>
      <c r="AB977">
        <f>Z977*($F$23+IF($F$23=0,0,($C$14+$C$15+IF($C$13="single",1.5,3)+3)/12))</f>
        <v>0</v>
      </c>
      <c r="AC977">
        <f>AB977-W977</f>
        <v>0</v>
      </c>
      <c r="AD977" cm="1">
        <f t="array" ref="AD977">IFERROR(IF(AC977&lt;0,0,AC977/($R$931-INDEX(hd_off,MATCH(AQ977,hd_mark,0),0)/12)),0)</f>
        <v>0</v>
      </c>
      <c r="AE977">
        <f>IF(S977=0,0,$AD$931*$AM$919)</f>
        <v>0</v>
      </c>
      <c r="AF977">
        <f>IFERROR(AE977/$R$931,0)</f>
        <v>0</v>
      </c>
      <c r="AG977">
        <f>AE977*($F$23+IF($F$23=0,0,($C$14+$C$15+IF($C$13="single",1.5,3)+3)/12))</f>
        <v>0</v>
      </c>
      <c r="AH977">
        <f>AG977-X977</f>
        <v>0</v>
      </c>
      <c r="AI977" cm="1">
        <f t="array" ref="AI977">IFERROR(IF(AH977&lt;0,0,AH977/($R$931-INDEX(hd_off,MATCH(AQ977,hd_mark,0),0)/12)),0)</f>
        <v>0</v>
      </c>
      <c r="AJ977">
        <f>MAX($F$23,$AA$931)/$Q$948</f>
        <v>0</v>
      </c>
      <c r="AK977">
        <f t="shared" si="609"/>
        <v>0</v>
      </c>
      <c r="AL977" cm="1">
        <f t="array" ref="AL977">IFERROR(INDEX(sheath_ecap_asd,MATCH(AP977,sheath_mark,0),0)*AK977,0)</f>
        <v>0</v>
      </c>
      <c r="AM977" cm="1">
        <f t="array" ref="AM977">IFERROR(INDEX(sheath_wcap_asd,MATCH(AP977,sheath_mark,0),0)*AK977,0)</f>
        <v>0</v>
      </c>
      <c r="AN977" cm="1">
        <f t="array" ref="AN977">IFERROR(INDEX(hd_cap,MATCH(AQ977,hd_mark,0),0),0)</f>
        <v>0</v>
      </c>
      <c r="AP977" s="19"/>
      <c r="AQ977" s="19"/>
      <c r="AR977" s="100"/>
      <c r="AS977" s="93"/>
      <c r="AT977" s="109" t="s">
        <v>491</v>
      </c>
      <c r="AU977" t="str">
        <f>$Q$919</f>
        <v>L4</v>
      </c>
      <c r="AV977">
        <f>$E$23</f>
        <v>0</v>
      </c>
      <c r="AW977" cm="1">
        <f t="array" ref="AW977">IFERROR(IF(AV977=0,0,(INDEX($C$33:$C$38,MATCH($AZ$931,$B$33:$B$38,0),0)*(AV979+$BA$931)+$AW$931*COUNTIF(AV977:AV978,"&gt;0")*$C$32+$AY$931*$C$31)*$AU$931),0)</f>
        <v>0</v>
      </c>
      <c r="AX977">
        <f>IF(AV977=0,0,-(COUNTIF(AV977:AV978,"&gt;0")*$AW$931*$C$32+$AY$931*$C$31)*$H$27*$AU$931)</f>
        <v>0</v>
      </c>
      <c r="AY977">
        <f>IF(AV977=0,0,$AY$931*$H$26*$AU$931)</f>
        <v>0</v>
      </c>
      <c r="AZ977">
        <f>(0.6*AW977+0.7*AX977)*$AU$931/2</f>
        <v>0</v>
      </c>
      <c r="BA977">
        <f>AW977*$AU$931/2</f>
        <v>0</v>
      </c>
      <c r="BC977">
        <f>IF(AV977=0,0,$BG$931*$AP$919)</f>
        <v>0</v>
      </c>
      <c r="BD977">
        <f>IFERROR(BC977/$AU$931,0)</f>
        <v>0</v>
      </c>
      <c r="BE977">
        <f>BC977*($F$23+IF($F$23=0,0,($C$14+$C$15+IF($C$13="single",1.5,3)+3)/12))</f>
        <v>0</v>
      </c>
      <c r="BF977">
        <f>BE977-AZ977</f>
        <v>0</v>
      </c>
      <c r="BG977" cm="1">
        <f t="array" ref="BG977">IFERROR(IF(BF977&lt;0,0,BF977/($AU$931-INDEX(hd_off,MATCH(BT977,hd_mark,0),0)/12)),0)</f>
        <v>0</v>
      </c>
      <c r="BH977">
        <f>IF(AV977=0,0,$BG$931*$AM$919)</f>
        <v>0</v>
      </c>
      <c r="BI977">
        <f>IFERROR(BH977/$AU$931,0)</f>
        <v>0</v>
      </c>
      <c r="BJ977">
        <f>BH977*($F$23+IF($F$23=0,0,($C$14+$C$15+IF($C$13="single",1.5,3)+3)/12))</f>
        <v>0</v>
      </c>
      <c r="BK977">
        <f>BJ977-BA977</f>
        <v>0</v>
      </c>
      <c r="BL977" cm="1">
        <f t="array" ref="BL977">IFERROR(IF(BK977&lt;0,0,BK977/($AU$931-INDEX(hd_off,MATCH(BT977,hd_mark,0),0)/12)),0)</f>
        <v>0</v>
      </c>
      <c r="BM977">
        <f>MAX($F$23,$BD$931)/$Q$948</f>
        <v>0</v>
      </c>
      <c r="BN977">
        <f t="shared" si="610"/>
        <v>0</v>
      </c>
      <c r="BO977" cm="1">
        <f t="array" ref="BO977">IFERROR(INDEX(sheath_ecap_asd,MATCH(BS977,sheath_mark,0),0)*BN977,0)</f>
        <v>0</v>
      </c>
      <c r="BP977" cm="1">
        <f t="array" ref="BP977">IFERROR(INDEX(sheath_wcap_asd,MATCH(BS977,sheath_mark,0),0)*BN977,0)</f>
        <v>0</v>
      </c>
      <c r="BQ977" cm="1">
        <f t="array" ref="BQ977">IFERROR(INDEX(hd_cap,MATCH(BT977,hd_mark,0),0),0)</f>
        <v>0</v>
      </c>
      <c r="BS977" s="19"/>
      <c r="BT977" s="19"/>
      <c r="BU977" s="100"/>
    </row>
    <row r="978" x14ac:dyDescent="0.25">
      <c r="P978" s="93"/>
      <c r="Q978" s="111">
        <f>$R$931</f>
        <v>0</v>
      </c>
      <c r="R978" t="str">
        <f>$Q$920</f>
        <v>L5</v>
      </c>
      <c r="S978">
        <f>$E$24</f>
        <v>0</v>
      </c>
      <c r="T978" cm="1">
        <f t="array" ref="T978">IFERROR(IF(S978=0,0,(INDEX($C$33:$C$38,MATCH($W$931,$B$33:$B$38,0),0)*(S979+$X$931)+$T$931*COUNTIF(S978:S978,"&gt;0")*$C$32+$V$931*$C$31)*$R$931),0)</f>
        <v>0</v>
      </c>
      <c r="U978">
        <f>IF(S978=0,0,-(COUNTIF(S978:S978,"&gt;0")*$T$931*$C$32+$V$931*$C$31)*$H$27*$R$931)</f>
        <v>0</v>
      </c>
      <c r="V978">
        <f>IF(S978=0,0,$V$931*$H$26*$R$931)</f>
        <v>0</v>
      </c>
      <c r="W978">
        <f>(0.6*T978+0.7*U978)*$R$931/2</f>
        <v>0</v>
      </c>
      <c r="X978">
        <f>T978*$R$931/2</f>
        <v>0</v>
      </c>
      <c r="Z978">
        <f>IF(S978=0,0,$AD$931*$AP$920)</f>
        <v>0</v>
      </c>
      <c r="AA978">
        <f>IFERROR(Z978/$R$931,0)</f>
        <v>0</v>
      </c>
      <c r="AB978">
        <f>Z978*($F$24+IF($F$24=0,0,($C$14+$C$15+IF($C$13="single",1.5,3)+3)/12))</f>
        <v>0</v>
      </c>
      <c r="AC978">
        <f>AB978-W978</f>
        <v>0</v>
      </c>
      <c r="AD978" cm="1">
        <f t="array" ref="AD978">IFERROR(IF(AC978&lt;0,0,AC978/($R$931-INDEX(hd_off,MATCH(AQ978,hd_mark,0),0)/12)),0)</f>
        <v>0</v>
      </c>
      <c r="AE978">
        <f>IF(S978=0,0,$AD$931*$AM$920)</f>
        <v>0</v>
      </c>
      <c r="AF978">
        <f>IFERROR(AE978/$R$931,0)</f>
        <v>0</v>
      </c>
      <c r="AG978">
        <f>AE978*($F$24+IF($F$24=0,0,($C$14+$C$15+IF($C$13="single",1.5,3)+3)/12))</f>
        <v>0</v>
      </c>
      <c r="AH978">
        <f>AG978-X978</f>
        <v>0</v>
      </c>
      <c r="AI978" cm="1">
        <f t="array" ref="AI978">IFERROR(IF(AH978&lt;0,0,AH978/($R$931-INDEX(hd_off,MATCH(AQ978,hd_mark,0),0)/12)),0)</f>
        <v>0</v>
      </c>
      <c r="AJ978">
        <f>MAX($F$24,$AB$931)/$Q$948</f>
        <v>0</v>
      </c>
      <c r="AK978">
        <f t="shared" si="609"/>
        <v>0</v>
      </c>
      <c r="AL978" cm="1">
        <f t="array" ref="AL978">IFERROR(INDEX(sheath_ecap_asd,MATCH(AP978,sheath_mark,0),0)*AK978,0)</f>
        <v>0</v>
      </c>
      <c r="AM978" cm="1">
        <f t="array" ref="AM978">IFERROR(INDEX(sheath_wcap_asd,MATCH(AP978,sheath_mark,0),0)*AK978,0)</f>
        <v>0</v>
      </c>
      <c r="AN978" cm="1">
        <f t="array" ref="AN978">IFERROR(INDEX(hd_cap,MATCH(AQ978,hd_mark,0),0),0)</f>
        <v>0</v>
      </c>
      <c r="AP978" s="19"/>
      <c r="AQ978" s="19"/>
      <c r="AR978" s="100"/>
      <c r="AS978" s="93"/>
      <c r="AT978" s="111">
        <f>$R$931</f>
        <v>0</v>
      </c>
      <c r="AU978" t="str">
        <f>$Q$920</f>
        <v>L5</v>
      </c>
      <c r="AV978">
        <f>$E$24</f>
        <v>0</v>
      </c>
      <c r="AW978" cm="1">
        <f t="array" ref="AW978">IFERROR(IF(AV978=0,0,(INDEX($C$33:$C$38,MATCH($AZ$931,$B$33:$B$38,0),0)*(AV979+$BA$931)+$AW$931*COUNTIF(AV978:AV978,"&gt;0")*$C$32+$AY$931*$C$31)*$AU$931),0)</f>
        <v>0</v>
      </c>
      <c r="AX978">
        <f>IF(AV978=0,0,-(COUNTIF(AV978:AV978,"&gt;0")*$AW$931*$C$32+$AY$931*$C$31)*$H$27*$AU$931)</f>
        <v>0</v>
      </c>
      <c r="AY978">
        <f>IF(AV978=0,0,$AY$931*$H$26*$AU$931)</f>
        <v>0</v>
      </c>
      <c r="AZ978">
        <f>(0.6*AW978+0.7*AX978)*$AU$931/2</f>
        <v>0</v>
      </c>
      <c r="BA978">
        <f>AW978*$AU$931/2</f>
        <v>0</v>
      </c>
      <c r="BC978">
        <f>IF(AV978=0,0,$BG$931*$AP$920)</f>
        <v>0</v>
      </c>
      <c r="BD978">
        <f>IFERROR(BC978/$AU$931,0)</f>
        <v>0</v>
      </c>
      <c r="BE978">
        <f>BC978*($F$24+IF($F$24=0,0,($C$14+$C$15+IF($C$13="single",1.5,3)+3)/12))</f>
        <v>0</v>
      </c>
      <c r="BF978">
        <f>BE978-AZ978</f>
        <v>0</v>
      </c>
      <c r="BG978" cm="1">
        <f t="array" ref="BG978">IFERROR(IF(BF978&lt;0,0,BF978/($AU$931-INDEX(hd_off,MATCH(BT978,hd_mark,0),0)/12)),0)</f>
        <v>0</v>
      </c>
      <c r="BH978">
        <f>IF(AV978=0,0,$BG$931*$AM$920)</f>
        <v>0</v>
      </c>
      <c r="BI978">
        <f>IFERROR(BH978/$AU$931,0)</f>
        <v>0</v>
      </c>
      <c r="BJ978">
        <f>BH978*($F$24+IF($F$24=0,0,($C$14+$C$15+IF($C$13="single",1.5,3)+3)/12))</f>
        <v>0</v>
      </c>
      <c r="BK978">
        <f>BJ978-BA978</f>
        <v>0</v>
      </c>
      <c r="BL978" cm="1">
        <f t="array" ref="BL978">IFERROR(IF(BK978&lt;0,0,BK978/($AU$931-INDEX(hd_off,MATCH(BT978,hd_mark,0),0)/12)),0)</f>
        <v>0</v>
      </c>
      <c r="BM978">
        <f>MAX($F$24,$BE$931)/$Q$948</f>
        <v>0</v>
      </c>
      <c r="BN978">
        <f t="shared" si="610"/>
        <v>0</v>
      </c>
      <c r="BO978" cm="1">
        <f t="array" ref="BO978">IFERROR(INDEX(sheath_ecap_asd,MATCH(BS978,sheath_mark,0),0)*BN978,0)</f>
        <v>0</v>
      </c>
      <c r="BP978" cm="1">
        <f t="array" ref="BP978">IFERROR(INDEX(sheath_wcap_asd,MATCH(BS978,sheath_mark,0),0)*BN978,0)</f>
        <v>0</v>
      </c>
      <c r="BQ978" cm="1">
        <f t="array" ref="BQ978">IFERROR(INDEX(hd_cap,MATCH(BT978,hd_mark,0),0),0)</f>
        <v>0</v>
      </c>
      <c r="BS978" s="19"/>
      <c r="BT978" s="19"/>
      <c r="BU978" s="100"/>
    </row>
    <row r="979" x14ac:dyDescent="0.25">
      <c r="P979" s="93"/>
      <c r="Q979" s="109"/>
      <c r="R979" t="str">
        <f>$Q$921</f>
        <v>Roof</v>
      </c>
      <c r="S979">
        <f>$E$25</f>
        <v>33.171875</v>
      </c>
      <c r="T979" cm="1">
        <f t="array" ref="T979">IFERROR(IF(S979=0,0,(INDEX($C$33:$C$38,MATCH($W$931,$B$33:$B$38,0),0)*(S979+$X$931)+$V$931*$C$31)*$R$931),0)</f>
        <v>0</v>
      </c>
      <c r="U979">
        <f>IF(S979=0,0,-$V$931*$C$31*$H$27*$R$931)</f>
        <v>0</v>
      </c>
      <c r="V979">
        <f>IF(S979=0,0,$V$931*$H$26*$R$931)</f>
        <v>0</v>
      </c>
      <c r="W979">
        <f>(0.6*T979+0.7*U979)*$R$931/2</f>
        <v>0</v>
      </c>
      <c r="X979">
        <f>T979*$R$931/2</f>
        <v>0</v>
      </c>
      <c r="Z979">
        <f>IF(S979=0,0,$AD$931*$AP$921)</f>
        <v>0</v>
      </c>
      <c r="AA979">
        <f>IFERROR(Z979/$R$931,0)</f>
        <v>0</v>
      </c>
      <c r="AB979">
        <f>Z979*($F$25+($C$16+$C$17+IF($C$13="single",1.5,3)+3)/12)</f>
        <v>0</v>
      </c>
      <c r="AC979">
        <f>AB979-W979</f>
        <v>0</v>
      </c>
      <c r="AD979" cm="1">
        <f t="array" ref="AD979">IFERROR(IF(AC979&lt;0,0,AC979/($R$931-INDEX(hd_off,MATCH(AQ979,hd_mark,0),0)/12)),0)</f>
        <v>0</v>
      </c>
      <c r="AE979">
        <f>IF(S979=0,0,$AD$931*$AM$921)</f>
        <v>0</v>
      </c>
      <c r="AF979">
        <f>IFERROR(AE979/$R$931,0)</f>
        <v>0</v>
      </c>
      <c r="AG979">
        <f>AE979*($F$25+($C$16+$C$17+IF($C$13="single",1.5,3)+3)/12)</f>
        <v>0</v>
      </c>
      <c r="AH979">
        <f>AG979-X979</f>
        <v>0</v>
      </c>
      <c r="AI979" cm="1">
        <f t="array" ref="AI979">IFERROR(IF(AH979&lt;0,0,AH979/($R$931-INDEX(hd_off,MATCH(AQ979,hd_mark,0),0)/12)),0)</f>
        <v>0</v>
      </c>
      <c r="AJ979">
        <f>MAX($F$25,$AC$931)/$Q$948</f>
        <v>0.29920977011494249</v>
      </c>
      <c r="AK979">
        <f t="shared" si="609"/>
        <v>1</v>
      </c>
      <c r="AL979" cm="1">
        <f t="array" ref="AL979">IFERROR(INDEX(sheath_ecap_asd,MATCH(AP979,sheath_mark,0),0)*AK979,0)</f>
        <v>0</v>
      </c>
      <c r="AM979" cm="1">
        <f t="array" ref="AM979">IFERROR(INDEX(sheath_wcap_asd,MATCH(AP979,sheath_mark,0),0)*AK979,0)</f>
        <v>0</v>
      </c>
      <c r="AN979" cm="1">
        <f t="array" ref="AN979">IFERROR(INDEX(hd_cap,MATCH(AQ979,hd_mark,0),0),0)</f>
        <v>0</v>
      </c>
      <c r="AP979" s="19"/>
      <c r="AQ979" s="19"/>
      <c r="AR979" s="100"/>
      <c r="AS979" s="93"/>
      <c r="AT979" s="109"/>
      <c r="AU979" t="str">
        <f>$Q$921</f>
        <v>Roof</v>
      </c>
      <c r="AV979">
        <f>$E$25</f>
        <v>33.171875</v>
      </c>
      <c r="AW979" cm="1">
        <f t="array" ref="AW979">IFERROR(IF(AV979=0,0,(INDEX($C$33:$C$38,MATCH($AZ$931,$B$33:$B$38,0),0)*(AV979+$BA$931)+$AY$931*$C$31)*$AU$931),0)</f>
        <v>0</v>
      </c>
      <c r="AX979">
        <f>IF(AV979=0,0,-$AY$931*$C$31*$H$27*$AU$931)</f>
        <v>0</v>
      </c>
      <c r="AY979">
        <f>IF(AV979=0,0,$AY$931*$H$26*$AU$931)</f>
        <v>0</v>
      </c>
      <c r="AZ979">
        <f>(0.6*AW979+0.7*AX979)*$AU$931/2</f>
        <v>0</v>
      </c>
      <c r="BA979">
        <f>AW979*$AU$931/2</f>
        <v>0</v>
      </c>
      <c r="BC979">
        <f>IF(AV979=0,0,$BG$931*$AP$921)</f>
        <v>0</v>
      </c>
      <c r="BD979">
        <f>IFERROR(BC979/$AU$931,0)</f>
        <v>0</v>
      </c>
      <c r="BE979">
        <f>BC979*($F$25+($C$16+$C$17+IF($C$13="single",1.5,3)+3)/12)</f>
        <v>0</v>
      </c>
      <c r="BF979">
        <f>BE979-AZ979</f>
        <v>0</v>
      </c>
      <c r="BG979" cm="1">
        <f t="array" ref="BG979">IFERROR(IF(BF979&lt;0,0,BF979/($AU$931-INDEX(hd_off,MATCH(BT979,hd_mark,0),0)/12)),0)</f>
        <v>0</v>
      </c>
      <c r="BH979">
        <f>IF(AV979=0,0,$BG$931*$AM$921)</f>
        <v>0</v>
      </c>
      <c r="BI979">
        <f>IFERROR(BH979/$AU$931,0)</f>
        <v>0</v>
      </c>
      <c r="BJ979">
        <f>BH979*($F$25+($C$16+$C$17+IF($C$13="single",1.5,3)+3)/12)</f>
        <v>0</v>
      </c>
      <c r="BK979">
        <f>BJ979-BA979</f>
        <v>0</v>
      </c>
      <c r="BL979" cm="1">
        <f t="array" ref="BL979">IFERROR(IF(BK979&lt;0,0,BK979/($AU$931-INDEX(hd_off,MATCH(BT979,hd_mark,0),0)/12)),0)</f>
        <v>0</v>
      </c>
      <c r="BM979">
        <f>MAX($F$25,$BF$931)/$Q$948</f>
        <v>0.29920977011494249</v>
      </c>
      <c r="BN979">
        <f t="shared" si="610"/>
        <v>1</v>
      </c>
      <c r="BO979" cm="1">
        <f t="array" ref="BO979">IFERROR(INDEX(sheath_ecap_asd,MATCH(BS979,sheath_mark,0),0)*BN979,0)</f>
        <v>0</v>
      </c>
      <c r="BP979" cm="1">
        <f t="array" ref="BP979">IFERROR(INDEX(sheath_wcap_asd,MATCH(BS979,sheath_mark,0),0)*BN979,0)</f>
        <v>0</v>
      </c>
      <c r="BQ979" cm="1">
        <f t="array" ref="BQ979">IFERROR(INDEX(hd_cap,MATCH(BT979,hd_mark,0),0),0)</f>
        <v>0</v>
      </c>
      <c r="BS979" s="19"/>
      <c r="BT979" s="19"/>
      <c r="BU979" s="100"/>
    </row>
    <row r="980" x14ac:dyDescent="0.25">
      <c r="P980" s="93"/>
      <c r="AR980" s="100"/>
      <c r="AS980" s="93"/>
      <c r="BU980" s="100"/>
    </row>
    <row r="981" x14ac:dyDescent="0.25">
      <c r="P981" s="93"/>
      <c r="Q981" s="110" t="str">
        <f>$Q$932</f>
        <v>A.07</v>
      </c>
      <c r="R981" t="str">
        <f>$Q$917</f>
        <v>L2</v>
      </c>
      <c r="S981">
        <f>$E$21</f>
        <v>10.6875</v>
      </c>
      <c r="T981" cm="1">
        <f t="array" ref="T981">IFERROR(IF(S981=0,0,(INDEX($C$33:$C$38,MATCH($W$932,$B$33:$B$38,0),0)*(S985+$X$932)+$T$932*COUNTIF(S981:S984,"&gt;0")*$C$32+$V$932*$C$31)*$R$932),0)</f>
        <v>0</v>
      </c>
      <c r="U981">
        <f>IF(S981=0,0,-(COUNTIF(S981:S984,"&gt;0")*$T$932*$C$32+$V$932*$C$31)*$H$27*$R$932)</f>
        <v>0</v>
      </c>
      <c r="V981">
        <f>IF(S981=0,0,$V$932*$H$26*$R$932)</f>
        <v>0</v>
      </c>
      <c r="W981">
        <f>(0.6*T981+0.7*U981)*$R$932/2</f>
        <v>0</v>
      </c>
      <c r="X981">
        <f>(0.6*T981+0.6*V981)*$R$932/2</f>
        <v>0</v>
      </c>
      <c r="Z981">
        <f>IF(S981=0,0,$AD$932*$AP$917)</f>
        <v>0</v>
      </c>
      <c r="AA981">
        <f>IFERROR(Z981/$R$932,0)</f>
        <v>0</v>
      </c>
      <c r="AB981">
        <f>Z981*($F$21+IF($F$21=0,0,($C$14+$C$15+IF($C$13="single",1.5,3)+3)/12))</f>
        <v>0</v>
      </c>
      <c r="AC981">
        <f>AB981-W981</f>
        <v>0</v>
      </c>
      <c r="AD981" cm="1">
        <f t="array" ref="AD981">IFERROR(IF(AC981&lt;0,0,AC981/($R$932-INDEX(hd_off,MATCH(AQ981,hd_mark,0),0)/12)),0)</f>
        <v>0</v>
      </c>
      <c r="AE981">
        <f>IF(S981=0,0,$AD$932*$AM$917)</f>
        <v>0</v>
      </c>
      <c r="AF981">
        <f>IFERROR(AE981/$R$932,0)</f>
        <v>0</v>
      </c>
      <c r="AG981">
        <f>AE981*($F$21+IF($F$21=0,0,($C$14+$C$15+IF($C$13="single",1.5,3)+3)/12))</f>
        <v>0</v>
      </c>
      <c r="AH981">
        <f>AG981-X981</f>
        <v>0</v>
      </c>
      <c r="AI981" cm="1">
        <f t="array" ref="AI981">IFERROR(IF(AH981&lt;0,0,AH981/($R$932-INDEX(hd_off,MATCH(AQ981,hd_mark,0),0)/12)),0)</f>
        <v>0</v>
      </c>
      <c r="AJ981">
        <f>MAX($F$21,$Y$932)/$Q$948</f>
        <v>0.30172413793103448</v>
      </c>
      <c r="AK981">
        <f>IF(AJ981=0,0,IF(AJ981&gt;2,1.25-0.125*AJ981,1))</f>
        <v>1</v>
      </c>
      <c r="AL981" cm="1">
        <f t="array" ref="AL981">IFERROR(INDEX(sheath_ecap_asd,MATCH(AP981,sheath_mark,0),0)*AK981,0)</f>
        <v>0</v>
      </c>
      <c r="AM981" cm="1">
        <f t="array" ref="AM981">IFERROR(INDEX(sheath_wcap_asd,MATCH(AP981,sheath_mark,0),0)*AK981,0)</f>
        <v>0</v>
      </c>
      <c r="AN981" cm="1">
        <f t="array" ref="AN981">IFERROR(INDEX(hd_cap,MATCH(AQ981,hd_mark,0),0),0)</f>
        <v>0</v>
      </c>
      <c r="AP981" s="19"/>
      <c r="AQ981" s="19"/>
      <c r="AR981" s="100"/>
      <c r="AS981" s="93"/>
      <c r="AT981" s="110" t="str">
        <f>$AT$932</f>
        <v>1.07</v>
      </c>
      <c r="AU981" t="str">
        <f>$Q$917</f>
        <v>L2</v>
      </c>
      <c r="AV981">
        <f>$E$21</f>
        <v>10.6875</v>
      </c>
      <c r="AW981" cm="1">
        <f t="array" ref="AW981">IFERROR(IF(AV981=0,0,(INDEX($C$33:$C$38,MATCH($AZ$932,$B$33:$B$38,0),0)*(AV985+$BA$932)+$AW$932*COUNTIF(AV981:AV984,"&gt;0")*$C$32+$AY$932*$C$31)*$AU$932),0)</f>
        <v>0</v>
      </c>
      <c r="AX981">
        <f>IF(AV981=0,0,-(COUNTIF(AV981:AV984,"&gt;0")*$AW$932*$C$32+$AY$932*$C$31)*$H$27*$AU$932)</f>
        <v>0</v>
      </c>
      <c r="AY981">
        <f>IF(AV981=0,0,$AY$932*$H$26*$AU$932)</f>
        <v>0</v>
      </c>
      <c r="AZ981">
        <f>(0.6*AW981+0.7*AX981)*$AU$932/2</f>
        <v>0</v>
      </c>
      <c r="BA981">
        <f>(0.6*AW981+0.6*AY981)*$AU$932/2</f>
        <v>0</v>
      </c>
      <c r="BC981">
        <f>IF(AV981=0,0,$BG$932*$AP$917)</f>
        <v>0</v>
      </c>
      <c r="BD981">
        <f>IFERROR(BC981/$AU$932,0)</f>
        <v>0</v>
      </c>
      <c r="BE981">
        <f>BC981*($F$21+IF($F$21=0,0,($C$14+$C$15+IF($C$13="single",1.5,3)+3)/12))</f>
        <v>0</v>
      </c>
      <c r="BF981">
        <f>BE981-AZ981</f>
        <v>0</v>
      </c>
      <c r="BG981" cm="1">
        <f t="array" ref="BG981">IFERROR(IF(BF981&lt;0,0,BF981/($AU$932-INDEX(hd_off,MATCH(BT981,hd_mark,0),0)/12)),0)</f>
        <v>0</v>
      </c>
      <c r="BH981">
        <f>IF(AV981=0,0,$BG$932*$AM$917)</f>
        <v>0</v>
      </c>
      <c r="BI981">
        <f>IFERROR(BH981/$AU$932,0)</f>
        <v>0</v>
      </c>
      <c r="BJ981">
        <f>BH981*($F$21+IF($F$21=0,0,($C$14+$C$15+IF($C$13="single",1.5,3)+3)/12))</f>
        <v>0</v>
      </c>
      <c r="BK981">
        <f>BJ981-BA981</f>
        <v>0</v>
      </c>
      <c r="BL981" cm="1">
        <f t="array" ref="BL981">IFERROR(IF(BK981&lt;0,0,BK981/($AU$932-INDEX(hd_off,MATCH(BT981,hd_mark,0),0)/12)),0)</f>
        <v>0</v>
      </c>
      <c r="BM981">
        <f>MAX($F$21,$BB$932)/$Q$948</f>
        <v>0.30172413793103448</v>
      </c>
      <c r="BN981">
        <f>IF(BM981=0,0,IF(BM981&gt;2,1.25-0.125*BM981,1))</f>
        <v>1</v>
      </c>
      <c r="BO981" cm="1">
        <f t="array" ref="BO981">IFERROR(INDEX(sheath_ecap_asd,MATCH(BS981,sheath_mark,0),0)*BN981,0)</f>
        <v>0</v>
      </c>
      <c r="BP981" cm="1">
        <f t="array" ref="BP981">IFERROR(INDEX(sheath_wcap_asd,MATCH(BS981,sheath_mark,0),0)*BN981,0)</f>
        <v>0</v>
      </c>
      <c r="BQ981" cm="1">
        <f t="array" ref="BQ981">IFERROR(INDEX(hd_cap,MATCH(BT981,hd_mark,0),0),0)</f>
        <v>0</v>
      </c>
      <c r="BS981" s="19"/>
      <c r="BT981" s="19"/>
      <c r="BU981" s="100"/>
    </row>
    <row r="982" x14ac:dyDescent="0.25">
      <c r="P982" s="93"/>
      <c r="Q982" s="109"/>
      <c r="R982" t="str">
        <f>$Q$918</f>
        <v>L3</v>
      </c>
      <c r="S982">
        <f>$E$22</f>
        <v>21.375</v>
      </c>
      <c r="T982" cm="1">
        <f t="array" ref="T982">IFERROR(IF(S982=0,0,(INDEX($C$33:$C$38,MATCH($W$932,$B$33:$B$38,0),0)*(S985+$X$932)+$T$932*COUNTIF(S982:S984,"&gt;0")*$C$32+$V$932*$C$31)*$R$932),0)</f>
        <v>0</v>
      </c>
      <c r="U982">
        <f>IF(S982=0,0,-(COUNTIF(S982:S984,"&gt;0")*$T$932*$C$32+$V$932*$C$31)*$H$27*$R$932)</f>
        <v>0</v>
      </c>
      <c r="V982">
        <f>IF(S982=0,0,$V$932*$H$26*$R$932)</f>
        <v>0</v>
      </c>
      <c r="W982">
        <f>(0.6*T982+0.7*U982)*$R$932/2</f>
        <v>0</v>
      </c>
      <c r="X982">
        <f>T982*$R$932/2</f>
        <v>0</v>
      </c>
      <c r="Z982">
        <f>IF(S982=0,0,$AD$932*$AP$918)</f>
        <v>0</v>
      </c>
      <c r="AA982">
        <f>IFERROR(Z982/$R$932,0)</f>
        <v>0</v>
      </c>
      <c r="AB982">
        <f>Z982*($F$22+IF($F$22=0,0,($C$14+$C$15+IF($C$13="single",1.5,3)+3)/12))</f>
        <v>0</v>
      </c>
      <c r="AC982">
        <f>AB982-W982</f>
        <v>0</v>
      </c>
      <c r="AD982" cm="1">
        <f t="array" ref="AD982">IFERROR(IF(AC982&lt;0,0,AC982/($R$932-INDEX(hd_off,MATCH(AQ982,hd_mark,0),0)/12)),0)</f>
        <v>0</v>
      </c>
      <c r="AE982">
        <f>IF(S982=0,0,$AD$932*$AM$918)</f>
        <v>0</v>
      </c>
      <c r="AF982">
        <f>IFERROR(AE982/$R$932,0)</f>
        <v>0</v>
      </c>
      <c r="AG982">
        <f>AE982*($F$22+IF($F$22=0,0,($C$14+$C$15+IF($C$13="single",1.5,3)+3)/12))</f>
        <v>0</v>
      </c>
      <c r="AH982">
        <f>AG982-X982</f>
        <v>0</v>
      </c>
      <c r="AI982" cm="1">
        <f t="array" ref="AI982">IFERROR(IF(AH982&lt;0,0,AH982/($R$932-INDEX(hd_off,MATCH(AQ982,hd_mark,0),0)/12)),0)</f>
        <v>0</v>
      </c>
      <c r="AJ982">
        <f>MAX($F$22,$Z$932)/$Q$948</f>
        <v>0.30172413793103448</v>
      </c>
      <c r="AK982">
        <f t="shared" ref="AK982:AK985" si="611">IF(AJ982=0,0,IF(AJ982&gt;2,1.25-0.125*AJ982,1))</f>
        <v>1</v>
      </c>
      <c r="AL982" cm="1">
        <f t="array" ref="AL982">IFERROR(INDEX(sheath_ecap_asd,MATCH(AP982,sheath_mark,0),0)*AK982,0)</f>
        <v>0</v>
      </c>
      <c r="AM982" cm="1">
        <f t="array" ref="AM982">IFERROR(INDEX(sheath_wcap_asd,MATCH(AP982,sheath_mark,0),0)*AK982,0)</f>
        <v>0</v>
      </c>
      <c r="AN982" cm="1">
        <f t="array" ref="AN982">IFERROR(INDEX(hd_cap,MATCH(AQ982,hd_mark,0),0),0)</f>
        <v>0</v>
      </c>
      <c r="AP982" s="19"/>
      <c r="AQ982" s="19"/>
      <c r="AR982" s="100"/>
      <c r="AS982" s="93"/>
      <c r="AT982" s="109"/>
      <c r="AU982" t="str">
        <f>$Q$918</f>
        <v>L3</v>
      </c>
      <c r="AV982">
        <f>$E$22</f>
        <v>21.375</v>
      </c>
      <c r="AW982" cm="1">
        <f t="array" ref="AW982">IFERROR(IF(AV982=0,0,(INDEX($C$33:$C$38,MATCH($AZ$932,$B$33:$B$38,0),0)*(AV985+$BA$932)+$AW$932*COUNTIF(AV982:AV984,"&gt;0")*$C$32+$AY$932*$C$31)*$AU$932),0)</f>
        <v>0</v>
      </c>
      <c r="AX982">
        <f>IF(AV982=0,0,-(COUNTIF(AV982:AV984,"&gt;0")*$AW$932*$C$32+$AY$932*$C$31)*$H$27*$AU$932)</f>
        <v>0</v>
      </c>
      <c r="AY982">
        <f>IF(AV982=0,0,$AY$932*$H$26*$AU$932)</f>
        <v>0</v>
      </c>
      <c r="AZ982">
        <f>(0.6*AW982+0.7*AX982)*$AU$932/2</f>
        <v>0</v>
      </c>
      <c r="BA982">
        <f>AW982*$AU$932/2</f>
        <v>0</v>
      </c>
      <c r="BC982">
        <f>IF(AV982=0,0,$BG$932*$AP$918)</f>
        <v>0</v>
      </c>
      <c r="BD982">
        <f>IFERROR(BC982/$AU$932,0)</f>
        <v>0</v>
      </c>
      <c r="BE982">
        <f>BC982*($F$22+IF($F$22=0,0,($C$14+$C$15+IF($C$13="single",1.5,3)+3)/12))</f>
        <v>0</v>
      </c>
      <c r="BF982">
        <f>BE982-AZ982</f>
        <v>0</v>
      </c>
      <c r="BG982" cm="1">
        <f t="array" ref="BG982">IFERROR(IF(BF982&lt;0,0,BF982/($AU$932-INDEX(hd_off,MATCH(BT982,hd_mark,0),0)/12)),0)</f>
        <v>0</v>
      </c>
      <c r="BH982">
        <f>IF(AV982=0,0,$BG$932*$AM$918)</f>
        <v>0</v>
      </c>
      <c r="BI982">
        <f>IFERROR(BH982/$AU$932,0)</f>
        <v>0</v>
      </c>
      <c r="BJ982">
        <f>BH982*($F$22+IF($F$22=0,0,($C$14+$C$15+IF($C$13="single",1.5,3)+3)/12))</f>
        <v>0</v>
      </c>
      <c r="BK982">
        <f>BJ982-BA982</f>
        <v>0</v>
      </c>
      <c r="BL982" cm="1">
        <f t="array" ref="BL982">IFERROR(IF(BK982&lt;0,0,BK982/($AU$932-INDEX(hd_off,MATCH(BT982,hd_mark,0),0)/12)),0)</f>
        <v>0</v>
      </c>
      <c r="BM982">
        <f>MAX($F$22,$BC$932)/$Q$948</f>
        <v>0.30172413793103448</v>
      </c>
      <c r="BN982">
        <f t="shared" ref="BN982:BN985" si="612">IF(BM982=0,0,IF(BM982&gt;2,1.25-0.125*BM982,1))</f>
        <v>1</v>
      </c>
      <c r="BO982" cm="1">
        <f t="array" ref="BO982">IFERROR(INDEX(sheath_ecap_asd,MATCH(BS982,sheath_mark,0),0)*BN982,0)</f>
        <v>0</v>
      </c>
      <c r="BP982" cm="1">
        <f t="array" ref="BP982">IFERROR(INDEX(sheath_wcap_asd,MATCH(BS982,sheath_mark,0),0)*BN982,0)</f>
        <v>0</v>
      </c>
      <c r="BQ982" cm="1">
        <f t="array" ref="BQ982">IFERROR(INDEX(hd_cap,MATCH(BT982,hd_mark,0),0),0)</f>
        <v>0</v>
      </c>
      <c r="BS982" s="19"/>
      <c r="BT982" s="19"/>
      <c r="BU982" s="100"/>
    </row>
    <row r="983" x14ac:dyDescent="0.25">
      <c r="P983" s="93"/>
      <c r="Q983" s="109" t="s">
        <v>491</v>
      </c>
      <c r="R983" t="str">
        <f>$Q$919</f>
        <v>L4</v>
      </c>
      <c r="S983">
        <f>$E$23</f>
        <v>0</v>
      </c>
      <c r="T983" cm="1">
        <f t="array" ref="T983">IFERROR(IF(S983=0,0,(INDEX($C$33:$C$38,MATCH($W$932,$B$33:$B$38,0),0)*(S985+$X$932)+$T$932*COUNTIF(S983:S984,"&gt;0")*$C$32+$V$932*$C$31)*$R$932),0)</f>
        <v>0</v>
      </c>
      <c r="U983">
        <f>IF(S983=0,0,-(COUNTIF(S983:S984,"&gt;0")*$T$932*$C$32+$V$932*$C$31)*$H$27*$R$932)</f>
        <v>0</v>
      </c>
      <c r="V983">
        <f>IF(S983=0,0,$V$932*$H$26*$R$932)</f>
        <v>0</v>
      </c>
      <c r="W983">
        <f>(0.6*T983+0.7*U983)*$R$932/2</f>
        <v>0</v>
      </c>
      <c r="X983">
        <f>T983*$R$932/2</f>
        <v>0</v>
      </c>
      <c r="Z983">
        <f>IF(S983=0,0,$AD$932*$AP$919)</f>
        <v>0</v>
      </c>
      <c r="AA983">
        <f>IFERROR(Z983/$R$932,0)</f>
        <v>0</v>
      </c>
      <c r="AB983">
        <f>Z983*($F$23+IF($F$23=0,0,($C$14+$C$15+IF($C$13="single",1.5,3)+3)/12))</f>
        <v>0</v>
      </c>
      <c r="AC983">
        <f>AB983-W983</f>
        <v>0</v>
      </c>
      <c r="AD983" cm="1">
        <f t="array" ref="AD983">IFERROR(IF(AC983&lt;0,0,AC983/($R$932-INDEX(hd_off,MATCH(AQ983,hd_mark,0),0)/12)),0)</f>
        <v>0</v>
      </c>
      <c r="AE983">
        <f>IF(S983=0,0,$AD$932*$AM$919)</f>
        <v>0</v>
      </c>
      <c r="AF983">
        <f>IFERROR(AE983/$R$932,0)</f>
        <v>0</v>
      </c>
      <c r="AG983">
        <f>AE983*($F$23+IF($F$23=0,0,($C$14+$C$15+IF($C$13="single",1.5,3)+3)/12))</f>
        <v>0</v>
      </c>
      <c r="AH983">
        <f>AG983-X983</f>
        <v>0</v>
      </c>
      <c r="AI983" cm="1">
        <f t="array" ref="AI983">IFERROR(IF(AH983&lt;0,0,AH983/($R$932-INDEX(hd_off,MATCH(AQ983,hd_mark,0),0)/12)),0)</f>
        <v>0</v>
      </c>
      <c r="AJ983">
        <f>MAX($F$23,$AA$932)/$Q$948</f>
        <v>0</v>
      </c>
      <c r="AK983">
        <f t="shared" si="611"/>
        <v>0</v>
      </c>
      <c r="AL983" cm="1">
        <f t="array" ref="AL983">IFERROR(INDEX(sheath_ecap_asd,MATCH(AP983,sheath_mark,0),0)*AK983,0)</f>
        <v>0</v>
      </c>
      <c r="AM983" cm="1">
        <f t="array" ref="AM983">IFERROR(INDEX(sheath_wcap_asd,MATCH(AP983,sheath_mark,0),0)*AK983,0)</f>
        <v>0</v>
      </c>
      <c r="AN983" cm="1">
        <f t="array" ref="AN983">IFERROR(INDEX(hd_cap,MATCH(AQ983,hd_mark,0),0),0)</f>
        <v>0</v>
      </c>
      <c r="AP983" s="19"/>
      <c r="AQ983" s="19"/>
      <c r="AR983" s="100"/>
      <c r="AS983" s="93"/>
      <c r="AT983" s="109" t="s">
        <v>491</v>
      </c>
      <c r="AU983" t="str">
        <f>$Q$919</f>
        <v>L4</v>
      </c>
      <c r="AV983">
        <f>$E$23</f>
        <v>0</v>
      </c>
      <c r="AW983" cm="1">
        <f t="array" ref="AW983">IFERROR(IF(AV983=0,0,(INDEX($C$33:$C$38,MATCH($AZ$932,$B$33:$B$38,0),0)*(AV985+$BA$932)+$AW$932*COUNTIF(AV983:AV984,"&gt;0")*$C$32+$AY$932*$C$31)*$AU$932),0)</f>
        <v>0</v>
      </c>
      <c r="AX983">
        <f>IF(AV983=0,0,-(COUNTIF(AV983:AV984,"&gt;0")*$AW$932*$C$32+$AY$932*$C$31)*$H$27*$AU$932)</f>
        <v>0</v>
      </c>
      <c r="AY983">
        <f>IF(AV983=0,0,$AY$932*$H$26*$AU$932)</f>
        <v>0</v>
      </c>
      <c r="AZ983">
        <f>(0.6*AW983+0.7*AX983)*$AU$932/2</f>
        <v>0</v>
      </c>
      <c r="BA983">
        <f>AW983*$AU$932/2</f>
        <v>0</v>
      </c>
      <c r="BC983">
        <f>IF(AV983=0,0,$BG$932*$AP$919)</f>
        <v>0</v>
      </c>
      <c r="BD983">
        <f>IFERROR(BC983/$AU$932,0)</f>
        <v>0</v>
      </c>
      <c r="BE983">
        <f>BC983*($F$23+IF($F$23=0,0,($C$14+$C$15+IF($C$13="single",1.5,3)+3)/12))</f>
        <v>0</v>
      </c>
      <c r="BF983">
        <f>BE983-AZ983</f>
        <v>0</v>
      </c>
      <c r="BG983" cm="1">
        <f t="array" ref="BG983">IFERROR(IF(BF983&lt;0,0,BF983/($AU$932-INDEX(hd_off,MATCH(BT983,hd_mark,0),0)/12)),0)</f>
        <v>0</v>
      </c>
      <c r="BH983">
        <f>IF(AV983=0,0,$BG$932*$AM$919)</f>
        <v>0</v>
      </c>
      <c r="BI983">
        <f>IFERROR(BH983/$AU$932,0)</f>
        <v>0</v>
      </c>
      <c r="BJ983">
        <f>BH983*($F$23+IF($F$23=0,0,($C$14+$C$15+IF($C$13="single",1.5,3)+3)/12))</f>
        <v>0</v>
      </c>
      <c r="BK983">
        <f>BJ983-BA983</f>
        <v>0</v>
      </c>
      <c r="BL983" cm="1">
        <f t="array" ref="BL983">IFERROR(IF(BK983&lt;0,0,BK983/($AU$932-INDEX(hd_off,MATCH(BT983,hd_mark,0),0)/12)),0)</f>
        <v>0</v>
      </c>
      <c r="BM983">
        <f>MAX($F$23,$BD$932)/$Q$948</f>
        <v>0</v>
      </c>
      <c r="BN983">
        <f t="shared" si="612"/>
        <v>0</v>
      </c>
      <c r="BO983" cm="1">
        <f t="array" ref="BO983">IFERROR(INDEX(sheath_ecap_asd,MATCH(BS983,sheath_mark,0),0)*BN983,0)</f>
        <v>0</v>
      </c>
      <c r="BP983" cm="1">
        <f t="array" ref="BP983">IFERROR(INDEX(sheath_wcap_asd,MATCH(BS983,sheath_mark,0),0)*BN983,0)</f>
        <v>0</v>
      </c>
      <c r="BQ983" cm="1">
        <f t="array" ref="BQ983">IFERROR(INDEX(hd_cap,MATCH(BT983,hd_mark,0),0),0)</f>
        <v>0</v>
      </c>
      <c r="BS983" s="19"/>
      <c r="BT983" s="19"/>
      <c r="BU983" s="100"/>
    </row>
    <row r="984" x14ac:dyDescent="0.25">
      <c r="P984" s="93"/>
      <c r="Q984" s="111">
        <f>$R$932</f>
        <v>0</v>
      </c>
      <c r="R984" t="str">
        <f>$Q$920</f>
        <v>L5</v>
      </c>
      <c r="S984">
        <f>$E$24</f>
        <v>0</v>
      </c>
      <c r="T984" cm="1">
        <f t="array" ref="T984">IFERROR(IF(S984=0,0,(INDEX($C$33:$C$38,MATCH($W$932,$B$33:$B$38,0),0)*(S985+$X$932)+$T$932*COUNTIF(S984:S984,"&gt;0")*$C$32+$V$932*$C$31)*$R$932),0)</f>
        <v>0</v>
      </c>
      <c r="U984">
        <f>IF(S984=0,0,-(COUNTIF(S984:S984,"&gt;0")*$T$932*$C$32+$V$932*$C$31)*$H$27*$R$932)</f>
        <v>0</v>
      </c>
      <c r="V984">
        <f>IF(S984=0,0,$V$932*$H$26*$R$932)</f>
        <v>0</v>
      </c>
      <c r="W984">
        <f>(0.6*T984+0.7*U984)*$R$932/2</f>
        <v>0</v>
      </c>
      <c r="X984">
        <f>T984*$R$932/2</f>
        <v>0</v>
      </c>
      <c r="Z984">
        <f>IF(S984=0,0,$AD$932*$AP$920)</f>
        <v>0</v>
      </c>
      <c r="AA984">
        <f>IFERROR(Z984/$R$932,0)</f>
        <v>0</v>
      </c>
      <c r="AB984">
        <f>Z984*($F$24+IF($F$24=0,0,($C$14+$C$15+IF($C$13="single",1.5,3)+3)/12))</f>
        <v>0</v>
      </c>
      <c r="AC984">
        <f>AB984-W984</f>
        <v>0</v>
      </c>
      <c r="AD984" cm="1">
        <f t="array" ref="AD984">IFERROR(IF(AC984&lt;0,0,AC984/($R$932-INDEX(hd_off,MATCH(AQ984,hd_mark,0),0)/12)),0)</f>
        <v>0</v>
      </c>
      <c r="AE984">
        <f>IF(S984=0,0,$AD$932*$AM$920)</f>
        <v>0</v>
      </c>
      <c r="AF984">
        <f>IFERROR(AE984/$R$932,0)</f>
        <v>0</v>
      </c>
      <c r="AG984">
        <f>AE984*($F$24+IF($F$24=0,0,($C$14+$C$15+IF($C$13="single",1.5,3)+3)/12))</f>
        <v>0</v>
      </c>
      <c r="AH984">
        <f>AG984-X984</f>
        <v>0</v>
      </c>
      <c r="AI984" cm="1">
        <f t="array" ref="AI984">IFERROR(IF(AH984&lt;0,0,AH984/($R$932-INDEX(hd_off,MATCH(AQ984,hd_mark,0),0)/12)),0)</f>
        <v>0</v>
      </c>
      <c r="AJ984">
        <f>MAX($F$24,$AB$932)/$Q$948</f>
        <v>0</v>
      </c>
      <c r="AK984">
        <f t="shared" si="611"/>
        <v>0</v>
      </c>
      <c r="AL984" cm="1">
        <f t="array" ref="AL984">IFERROR(INDEX(sheath_ecap_asd,MATCH(AP984,sheath_mark,0),0)*AK984,0)</f>
        <v>0</v>
      </c>
      <c r="AM984" cm="1">
        <f t="array" ref="AM984">IFERROR(INDEX(sheath_wcap_asd,MATCH(AP984,sheath_mark,0),0)*AK984,0)</f>
        <v>0</v>
      </c>
      <c r="AN984" cm="1">
        <f t="array" ref="AN984">IFERROR(INDEX(hd_cap,MATCH(AQ984,hd_mark,0),0),0)</f>
        <v>0</v>
      </c>
      <c r="AP984" s="19"/>
      <c r="AQ984" s="19"/>
      <c r="AR984" s="100"/>
      <c r="AS984" s="93"/>
      <c r="AT984" s="111">
        <f>$R$932</f>
        <v>0</v>
      </c>
      <c r="AU984" t="str">
        <f>$Q$920</f>
        <v>L5</v>
      </c>
      <c r="AV984">
        <f>$E$24</f>
        <v>0</v>
      </c>
      <c r="AW984" cm="1">
        <f t="array" ref="AW984">IFERROR(IF(AV984=0,0,(INDEX($C$33:$C$38,MATCH($AZ$932,$B$33:$B$38,0),0)*(AV985+$BA$932)+$AW$932*COUNTIF(AV984:AV984,"&gt;0")*$C$32+$AY$932*$C$31)*$AU$932),0)</f>
        <v>0</v>
      </c>
      <c r="AX984">
        <f>IF(AV984=0,0,-(COUNTIF(AV984:AV984,"&gt;0")*$AW$932*$C$32+$AY$932*$C$31)*$H$27*$AU$932)</f>
        <v>0</v>
      </c>
      <c r="AY984">
        <f>IF(AV984=0,0,$AY$932*$H$26*$AU$932)</f>
        <v>0</v>
      </c>
      <c r="AZ984">
        <f>(0.6*AW984+0.7*AX984)*$AU$932/2</f>
        <v>0</v>
      </c>
      <c r="BA984">
        <f>AW984*$AU$932/2</f>
        <v>0</v>
      </c>
      <c r="BC984">
        <f>IF(AV984=0,0,$BG$932*$AP$920)</f>
        <v>0</v>
      </c>
      <c r="BD984">
        <f>IFERROR(BC984/$AU$932,0)</f>
        <v>0</v>
      </c>
      <c r="BE984">
        <f>BC984*($F$24+IF($F$24=0,0,($C$14+$C$15+IF($C$13="single",1.5,3)+3)/12))</f>
        <v>0</v>
      </c>
      <c r="BF984">
        <f>BE984-AZ984</f>
        <v>0</v>
      </c>
      <c r="BG984" cm="1">
        <f t="array" ref="BG984">IFERROR(IF(BF984&lt;0,0,BF984/($AU$932-INDEX(hd_off,MATCH(BT984,hd_mark,0),0)/12)),0)</f>
        <v>0</v>
      </c>
      <c r="BH984">
        <f>IF(AV984=0,0,$BG$932*$AM$920)</f>
        <v>0</v>
      </c>
      <c r="BI984">
        <f>IFERROR(BH984/$AU$932,0)</f>
        <v>0</v>
      </c>
      <c r="BJ984">
        <f>BH984*($F$24+IF($F$24=0,0,($C$14+$C$15+IF($C$13="single",1.5,3)+3)/12))</f>
        <v>0</v>
      </c>
      <c r="BK984">
        <f>BJ984-BA984</f>
        <v>0</v>
      </c>
      <c r="BL984" cm="1">
        <f t="array" ref="BL984">IFERROR(IF(BK984&lt;0,0,BK984/($AU$932-INDEX(hd_off,MATCH(BT984,hd_mark,0),0)/12)),0)</f>
        <v>0</v>
      </c>
      <c r="BM984">
        <f>MAX($F$24,$BE$932)/$Q$948</f>
        <v>0</v>
      </c>
      <c r="BN984">
        <f t="shared" si="612"/>
        <v>0</v>
      </c>
      <c r="BO984" cm="1">
        <f t="array" ref="BO984">IFERROR(INDEX(sheath_ecap_asd,MATCH(BS984,sheath_mark,0),0)*BN984,0)</f>
        <v>0</v>
      </c>
      <c r="BP984" cm="1">
        <f t="array" ref="BP984">IFERROR(INDEX(sheath_wcap_asd,MATCH(BS984,sheath_mark,0),0)*BN984,0)</f>
        <v>0</v>
      </c>
      <c r="BQ984" cm="1">
        <f t="array" ref="BQ984">IFERROR(INDEX(hd_cap,MATCH(BT984,hd_mark,0),0),0)</f>
        <v>0</v>
      </c>
      <c r="BS984" s="19"/>
      <c r="BT984" s="19"/>
      <c r="BU984" s="100"/>
    </row>
    <row r="985" x14ac:dyDescent="0.25">
      <c r="P985" s="93"/>
      <c r="Q985" s="109"/>
      <c r="R985" t="str">
        <f>$Q$921</f>
        <v>Roof</v>
      </c>
      <c r="S985">
        <f>$E$25</f>
        <v>33.171875</v>
      </c>
      <c r="T985" cm="1">
        <f t="array" ref="T985">IFERROR(IF(S985=0,0,(INDEX($C$33:$C$38,MATCH($W$932,$B$33:$B$38,0),0)*(S985+$X$932)+$V$932*$C$31)*$R$932),0)</f>
        <v>0</v>
      </c>
      <c r="U985">
        <f>IF(S985=0,0,-$V$932*$C$31*$H$27*$R$932)</f>
        <v>0</v>
      </c>
      <c r="V985">
        <f>IF(S985=0,0,$V$932*$H$26*$R$932)</f>
        <v>0</v>
      </c>
      <c r="W985">
        <f>(0.6*T985+0.7*U985)*$R$932/2</f>
        <v>0</v>
      </c>
      <c r="X985">
        <f>T985*$R$932/2</f>
        <v>0</v>
      </c>
      <c r="Z985">
        <f>IF(S985=0,0,$AD$932*$AP$921)</f>
        <v>0</v>
      </c>
      <c r="AA985">
        <f>IFERROR(Z985/$R$932,0)</f>
        <v>0</v>
      </c>
      <c r="AB985">
        <f>Z985*($F$25+($C$16+$C$17+IF($C$13="single",1.5,3)+3)/12)</f>
        <v>0</v>
      </c>
      <c r="AC985">
        <f>AB985-W985</f>
        <v>0</v>
      </c>
      <c r="AD985" cm="1">
        <f t="array" ref="AD985">IFERROR(IF(AC985&lt;0,0,AC985/($R$932-INDEX(hd_off,MATCH(AQ985,hd_mark,0),0)/12)),0)</f>
        <v>0</v>
      </c>
      <c r="AE985">
        <f>IF(S985=0,0,$AD$932*$AM$921)</f>
        <v>0</v>
      </c>
      <c r="AF985">
        <f>IFERROR(AE985/$R$932,0)</f>
        <v>0</v>
      </c>
      <c r="AG985">
        <f>AE985*($F$25+($C$16+$C$17+IF($C$13="single",1.5,3)+3)/12)</f>
        <v>0</v>
      </c>
      <c r="AH985">
        <f>AG985-X985</f>
        <v>0</v>
      </c>
      <c r="AI985" cm="1">
        <f t="array" ref="AI985">IFERROR(IF(AH985&lt;0,0,AH985/($R$932-INDEX(hd_off,MATCH(AQ985,hd_mark,0),0)/12)),0)</f>
        <v>0</v>
      </c>
      <c r="AJ985">
        <f>MAX($F$25,$AC$932)/$Q$948</f>
        <v>0.29920977011494249</v>
      </c>
      <c r="AK985">
        <f t="shared" si="611"/>
        <v>1</v>
      </c>
      <c r="AL985" cm="1">
        <f t="array" ref="AL985">IFERROR(INDEX(sheath_ecap_asd,MATCH(AP985,sheath_mark,0),0)*AK985,0)</f>
        <v>0</v>
      </c>
      <c r="AM985" cm="1">
        <f t="array" ref="AM985">IFERROR(INDEX(sheath_wcap_asd,MATCH(AP985,sheath_mark,0),0)*AK985,0)</f>
        <v>0</v>
      </c>
      <c r="AN985" cm="1">
        <f t="array" ref="AN985">IFERROR(INDEX(hd_cap,MATCH(AQ985,hd_mark,0),0),0)</f>
        <v>0</v>
      </c>
      <c r="AP985" s="19"/>
      <c r="AQ985" s="19"/>
      <c r="AR985" s="100"/>
      <c r="AS985" s="93"/>
      <c r="AT985" s="109"/>
      <c r="AU985" t="str">
        <f>$Q$921</f>
        <v>Roof</v>
      </c>
      <c r="AV985">
        <f>$E$25</f>
        <v>33.171875</v>
      </c>
      <c r="AW985" cm="1">
        <f t="array" ref="AW985">IFERROR(IF(AV985=0,0,(INDEX($C$33:$C$38,MATCH($AZ$932,$B$33:$B$38,0),0)*(AV985+$BA$932)+$AY$932*$C$31)*$AU$932),0)</f>
        <v>0</v>
      </c>
      <c r="AX985">
        <f>IF(AV985=0,0,-$AY$932*$C$31*$H$27*$AU$932)</f>
        <v>0</v>
      </c>
      <c r="AY985">
        <f>IF(AV985=0,0,$AY$932*$H$26*$AU$932)</f>
        <v>0</v>
      </c>
      <c r="AZ985">
        <f>(0.6*AW985+0.7*AX985)*$AU$932/2</f>
        <v>0</v>
      </c>
      <c r="BA985">
        <f>AW985*$AU$932/2</f>
        <v>0</v>
      </c>
      <c r="BC985">
        <f>IF(AV985=0,0,$BG$932*$AP$921)</f>
        <v>0</v>
      </c>
      <c r="BD985">
        <f>IFERROR(BC985/$AU$932,0)</f>
        <v>0</v>
      </c>
      <c r="BE985">
        <f>BC985*($F$25+($C$16+$C$17+IF($C$13="single",1.5,3)+3)/12)</f>
        <v>0</v>
      </c>
      <c r="BF985">
        <f>BE985-AZ985</f>
        <v>0</v>
      </c>
      <c r="BG985" cm="1">
        <f t="array" ref="BG985">IFERROR(IF(BF985&lt;0,0,BF985/($AU$932-INDEX(hd_off,MATCH(BT985,hd_mark,0),0)/12)),0)</f>
        <v>0</v>
      </c>
      <c r="BH985">
        <f>IF(AV985=0,0,$BG$932*$AM$921)</f>
        <v>0</v>
      </c>
      <c r="BI985">
        <f>IFERROR(BH985/$AU$932,0)</f>
        <v>0</v>
      </c>
      <c r="BJ985">
        <f>BH985*($F$25+($C$16+$C$17+IF($C$13="single",1.5,3)+3)/12)</f>
        <v>0</v>
      </c>
      <c r="BK985">
        <f>BJ985-BA985</f>
        <v>0</v>
      </c>
      <c r="BL985" cm="1">
        <f t="array" ref="BL985">IFERROR(IF(BK985&lt;0,0,BK985/($AU$932-INDEX(hd_off,MATCH(BT985,hd_mark,0),0)/12)),0)</f>
        <v>0</v>
      </c>
      <c r="BM985">
        <f>MAX($F$25,$BF$932)/$Q$948</f>
        <v>0.29920977011494249</v>
      </c>
      <c r="BN985">
        <f t="shared" si="612"/>
        <v>1</v>
      </c>
      <c r="BO985" cm="1">
        <f t="array" ref="BO985">IFERROR(INDEX(sheath_ecap_asd,MATCH(BS985,sheath_mark,0),0)*BN985,0)</f>
        <v>0</v>
      </c>
      <c r="BP985" cm="1">
        <f t="array" ref="BP985">IFERROR(INDEX(sheath_wcap_asd,MATCH(BS985,sheath_mark,0),0)*BN985,0)</f>
        <v>0</v>
      </c>
      <c r="BQ985" cm="1">
        <f t="array" ref="BQ985">IFERROR(INDEX(hd_cap,MATCH(BT985,hd_mark,0),0),0)</f>
        <v>0</v>
      </c>
      <c r="BS985" s="19"/>
      <c r="BT985" s="19"/>
      <c r="BU985" s="100"/>
    </row>
    <row r="986" x14ac:dyDescent="0.25">
      <c r="P986" s="93"/>
      <c r="AR986" s="100"/>
      <c r="AS986" s="93"/>
      <c r="BU986" s="100"/>
    </row>
    <row r="987" x14ac:dyDescent="0.25">
      <c r="P987" s="93"/>
      <c r="Q987" s="110" t="str">
        <f>$Q$933</f>
        <v>A.08</v>
      </c>
      <c r="R987" t="str">
        <f>$Q$917</f>
        <v>L2</v>
      </c>
      <c r="S987">
        <f>$E$21</f>
        <v>10.6875</v>
      </c>
      <c r="T987" cm="1">
        <f t="array" ref="T987">IFERROR(IF(S987=0,0,(INDEX($C$33:$C$38,MATCH($W$933,$B$33:$B$38,0),0)*(S991+$X$933)+$T$933*COUNTIF(S987:S990,"&gt;0")*$C$32+$V$933*$C$31)*$R$933),0)</f>
        <v>0</v>
      </c>
      <c r="U987">
        <f>IF(S987=0,0,-(COUNTIF(S987:S990,"&gt;0")*$T$933*$C$32+$V$933*$C$31)*$H$27*$R$933)</f>
        <v>0</v>
      </c>
      <c r="V987">
        <f>IF(S987=0,0,$V$933*$H$26*$R$933)</f>
        <v>0</v>
      </c>
      <c r="W987">
        <f>(0.6*T987+0.7*U987)*$R$933/2</f>
        <v>0</v>
      </c>
      <c r="X987">
        <f>(0.6*T987+0.6*V987)*$R$933/2</f>
        <v>0</v>
      </c>
      <c r="Z987">
        <f>IF(S987=0,0,$AD$933*$AP$917)</f>
        <v>0</v>
      </c>
      <c r="AA987">
        <f>IFERROR(Z987/$R$933,0)</f>
        <v>0</v>
      </c>
      <c r="AB987">
        <f>Z987*($F$21+IF($F$21=0,0,($C$14+$C$15+IF($C$13="single",1.5,3)+3)/12))</f>
        <v>0</v>
      </c>
      <c r="AC987">
        <f>AB987-W987</f>
        <v>0</v>
      </c>
      <c r="AD987" cm="1">
        <f t="array" ref="AD987">IFERROR(IF(AC987&lt;0,0,AC987/($R$933-INDEX(hd_off,MATCH(AQ987,hd_mark,0),0)/12)),0)</f>
        <v>0</v>
      </c>
      <c r="AE987">
        <f>IF(S987=0,0,$AD$933*$AM$917)</f>
        <v>0</v>
      </c>
      <c r="AF987">
        <f>IFERROR(AE987/$R$933,0)</f>
        <v>0</v>
      </c>
      <c r="AG987">
        <f>AE987*($F$21+IF($F$21=0,0,($C$14+$C$15+IF($C$13="single",1.5,3)+3)/12))</f>
        <v>0</v>
      </c>
      <c r="AH987">
        <f>AG987-X987</f>
        <v>0</v>
      </c>
      <c r="AI987" cm="1">
        <f t="array" ref="AI987">IFERROR(IF(AH987&lt;0,0,AH987/($R$933-INDEX(hd_off,MATCH(AQ987,hd_mark,0),0)/12)),0)</f>
        <v>0</v>
      </c>
      <c r="AJ987">
        <f>MAX($F$21,$Y$933)/$Q$948</f>
        <v>0.30172413793103448</v>
      </c>
      <c r="AK987">
        <f>IF(AJ987=0,0,IF(AJ987&gt;2,1.25-0.125*AJ987,1))</f>
        <v>1</v>
      </c>
      <c r="AL987" cm="1">
        <f t="array" ref="AL987">IFERROR(INDEX(sheath_ecap_asd,MATCH(AP987,sheath_mark,0),0)*AK987,0)</f>
        <v>0</v>
      </c>
      <c r="AM987" cm="1">
        <f t="array" ref="AM987">IFERROR(INDEX(sheath_wcap_asd,MATCH(AP987,sheath_mark,0),0)*AK987,0)</f>
        <v>0</v>
      </c>
      <c r="AN987" cm="1">
        <f t="array" ref="AN987">IFERROR(INDEX(hd_cap,MATCH(AQ987,hd_mark,0),0),0)</f>
        <v>0</v>
      </c>
      <c r="AP987" s="19"/>
      <c r="AQ987" s="19"/>
      <c r="AR987" s="100"/>
      <c r="AS987" s="93"/>
      <c r="AT987" s="110" t="str">
        <f>$AT$933</f>
        <v>1.08</v>
      </c>
      <c r="AU987" t="str">
        <f>$Q$917</f>
        <v>L2</v>
      </c>
      <c r="AV987">
        <f>$E$21</f>
        <v>10.6875</v>
      </c>
      <c r="AW987" cm="1">
        <f t="array" ref="AW987">IFERROR(IF(AV987=0,0,(INDEX($C$33:$C$38,MATCH($AZ$933,$B$33:$B$38,0),0)*(AV991+$BA$933)+$AW$933*COUNTIF(AV987:AV990,"&gt;0")*$C$32+$AY$933*$C$31)*$AU$933),0)</f>
        <v>0</v>
      </c>
      <c r="AX987">
        <f>IF(AV987=0,0,-(COUNTIF(AV987:AV990,"&gt;0")*$AW$933*$C$32+$AY$933*$C$31)*$H$27*$AU$933)</f>
        <v>0</v>
      </c>
      <c r="AY987">
        <f>IF(AV987=0,0,$AY$933*$H$26*$AU$933)</f>
        <v>0</v>
      </c>
      <c r="AZ987">
        <f>(0.6*AW987+0.7*AX987)*$AU$933/2</f>
        <v>0</v>
      </c>
      <c r="BA987">
        <f>(0.6*AW987+0.6*AY987)*$AU$933/2</f>
        <v>0</v>
      </c>
      <c r="BC987">
        <f>IF(AV987=0,0,$BG$933*$AP$917)</f>
        <v>0</v>
      </c>
      <c r="BD987">
        <f>IFERROR(BC987/$AU$933,0)</f>
        <v>0</v>
      </c>
      <c r="BE987">
        <f>BC987*($F$21+IF($F$21=0,0,($C$14+$C$15+IF($C$13="single",1.5,3)+3)/12))</f>
        <v>0</v>
      </c>
      <c r="BF987">
        <f>BE987-AZ987</f>
        <v>0</v>
      </c>
      <c r="BG987" cm="1">
        <f t="array" ref="BG987">IFERROR(IF(BF987&lt;0,0,BF987/($AU$933-INDEX(hd_off,MATCH(BT987,hd_mark,0),0)/12)),0)</f>
        <v>0</v>
      </c>
      <c r="BH987">
        <f>IF(AV987=0,0,$BG$933*$AM$917)</f>
        <v>0</v>
      </c>
      <c r="BI987">
        <f>IFERROR(BH987/$AU$933,0)</f>
        <v>0</v>
      </c>
      <c r="BJ987">
        <f>BH987*($F$21+IF($F$21=0,0,($C$14+$C$15+IF($C$13="single",1.5,3)+3)/12))</f>
        <v>0</v>
      </c>
      <c r="BK987">
        <f>BJ987-BA987</f>
        <v>0</v>
      </c>
      <c r="BL987" cm="1">
        <f t="array" ref="BL987">IFERROR(IF(BK987&lt;0,0,BK987/($AU$933-INDEX(hd_off,MATCH(BT987,hd_mark,0),0)/12)),0)</f>
        <v>0</v>
      </c>
      <c r="BM987">
        <f>MAX($F$21,$BB$933)/$Q$948</f>
        <v>0.30172413793103448</v>
      </c>
      <c r="BN987">
        <f>IF(BM987=0,0,IF(BM987&gt;2,1.25-0.125*BM987,1))</f>
        <v>1</v>
      </c>
      <c r="BO987" cm="1">
        <f t="array" ref="BO987">IFERROR(INDEX(sheath_ecap_asd,MATCH(BS987,sheath_mark,0),0)*BN987,0)</f>
        <v>0</v>
      </c>
      <c r="BP987" cm="1">
        <f t="array" ref="BP987">IFERROR(INDEX(sheath_wcap_asd,MATCH(BS987,sheath_mark,0),0)*BN987,0)</f>
        <v>0</v>
      </c>
      <c r="BQ987" cm="1">
        <f t="array" ref="BQ987">IFERROR(INDEX(hd_cap,MATCH(BT987,hd_mark,0),0),0)</f>
        <v>0</v>
      </c>
      <c r="BS987" s="19"/>
      <c r="BT987" s="19"/>
      <c r="BU987" s="100"/>
    </row>
    <row r="988" x14ac:dyDescent="0.25">
      <c r="P988" s="93"/>
      <c r="Q988" s="109"/>
      <c r="R988" t="str">
        <f>$Q$918</f>
        <v>L3</v>
      </c>
      <c r="S988">
        <f>$E$22</f>
        <v>21.375</v>
      </c>
      <c r="T988" cm="1">
        <f t="array" ref="T988">IFERROR(IF(S988=0,0,(INDEX($C$33:$C$38,MATCH($W$933,$B$33:$B$38,0),0)*(S991+$X$933)+$T$933*COUNTIF(S988:S990,"&gt;0")*$C$32+$V$933*$C$31)*$R$933),0)</f>
        <v>0</v>
      </c>
      <c r="U988">
        <f>IF(S988=0,0,-(COUNTIF(S988:S990,"&gt;0")*$T$933*$C$32+$V$933*$C$31)*$H$27*$R$933)</f>
        <v>0</v>
      </c>
      <c r="V988">
        <f>IF(S988=0,0,$V$933*$H$26*$R$933)</f>
        <v>0</v>
      </c>
      <c r="W988">
        <f>(0.6*T988+0.7*U988)*$R$933/2</f>
        <v>0</v>
      </c>
      <c r="X988">
        <f>T988*$R$933/2</f>
        <v>0</v>
      </c>
      <c r="Z988">
        <f>IF(S988=0,0,$AD$933*$AP$918)</f>
        <v>0</v>
      </c>
      <c r="AA988">
        <f>IFERROR(Z988/$R$933,0)</f>
        <v>0</v>
      </c>
      <c r="AB988">
        <f>Z988*($F$22+IF($F$22=0,0,($C$14+$C$15+IF($C$13="single",1.5,3)+3)/12))</f>
        <v>0</v>
      </c>
      <c r="AC988">
        <f>AB988-W988</f>
        <v>0</v>
      </c>
      <c r="AD988" cm="1">
        <f t="array" ref="AD988">IFERROR(IF(AC988&lt;0,0,AC988/($R$933-INDEX(hd_off,MATCH(AQ988,hd_mark,0),0)/12)),0)</f>
        <v>0</v>
      </c>
      <c r="AE988">
        <f>IF(S988=0,0,$AD$933*$AM$918)</f>
        <v>0</v>
      </c>
      <c r="AF988">
        <f>IFERROR(AE988/$R$933,0)</f>
        <v>0</v>
      </c>
      <c r="AG988">
        <f>AE988*($F$22+IF($F$22=0,0,($C$14+$C$15+IF($C$13="single",1.5,3)+3)/12))</f>
        <v>0</v>
      </c>
      <c r="AH988">
        <f>AG988-X988</f>
        <v>0</v>
      </c>
      <c r="AI988" cm="1">
        <f t="array" ref="AI988">IFERROR(IF(AH988&lt;0,0,AH988/($R$933-INDEX(hd_off,MATCH(AQ988,hd_mark,0),0)/12)),0)</f>
        <v>0</v>
      </c>
      <c r="AJ988">
        <f>MAX($F$22,$Z$933)/$Q$948</f>
        <v>0.30172413793103448</v>
      </c>
      <c r="AK988">
        <f t="shared" ref="AK988:AK991" si="613">IF(AJ988=0,0,IF(AJ988&gt;2,1.25-0.125*AJ988,1))</f>
        <v>1</v>
      </c>
      <c r="AL988" cm="1">
        <f t="array" ref="AL988">IFERROR(INDEX(sheath_ecap_asd,MATCH(AP988,sheath_mark,0),0)*AK988,0)</f>
        <v>0</v>
      </c>
      <c r="AM988" cm="1">
        <f t="array" ref="AM988">IFERROR(INDEX(sheath_wcap_asd,MATCH(AP988,sheath_mark,0),0)*AK988,0)</f>
        <v>0</v>
      </c>
      <c r="AN988" cm="1">
        <f t="array" ref="AN988">IFERROR(INDEX(hd_cap,MATCH(AQ988,hd_mark,0),0),0)</f>
        <v>0</v>
      </c>
      <c r="AP988" s="19"/>
      <c r="AQ988" s="19"/>
      <c r="AR988" s="100"/>
      <c r="AS988" s="93"/>
      <c r="AT988" s="109"/>
      <c r="AU988" t="str">
        <f>$Q$918</f>
        <v>L3</v>
      </c>
      <c r="AV988">
        <f>$E$22</f>
        <v>21.375</v>
      </c>
      <c r="AW988" cm="1">
        <f t="array" ref="AW988">IFERROR(IF(AV988=0,0,(INDEX($C$33:$C$38,MATCH($AZ$933,$B$33:$B$38,0),0)*(AV991+$BA$933)+$AW$933*COUNTIF(AV988:AV990,"&gt;0")*$C$32+$AY$933*$C$31)*$AU$933),0)</f>
        <v>0</v>
      </c>
      <c r="AX988">
        <f>IF(AV988=0,0,-(COUNTIF(AV988:AV990,"&gt;0")*$AW$933*$C$32+$AY$933*$C$31)*$H$27*$AU$933)</f>
        <v>0</v>
      </c>
      <c r="AY988">
        <f>IF(AV988=0,0,$AY$933*$H$26*$AU$933)</f>
        <v>0</v>
      </c>
      <c r="AZ988">
        <f>(0.6*AW988+0.7*AX988)*$AU$933/2</f>
        <v>0</v>
      </c>
      <c r="BA988">
        <f>AW988*$AU$933/2</f>
        <v>0</v>
      </c>
      <c r="BC988">
        <f>IF(AV988=0,0,$BG$933*$AP$918)</f>
        <v>0</v>
      </c>
      <c r="BD988">
        <f>IFERROR(BC988/$AU$933,0)</f>
        <v>0</v>
      </c>
      <c r="BE988">
        <f>BC988*($F$22+IF($F$22=0,0,($C$14+$C$15+IF($C$13="single",1.5,3)+3)/12))</f>
        <v>0</v>
      </c>
      <c r="BF988">
        <f>BE988-AZ988</f>
        <v>0</v>
      </c>
      <c r="BG988" cm="1">
        <f t="array" ref="BG988">IFERROR(IF(BF988&lt;0,0,BF988/($AU$933-INDEX(hd_off,MATCH(BT988,hd_mark,0),0)/12)),0)</f>
        <v>0</v>
      </c>
      <c r="BH988">
        <f>IF(AV988=0,0,$BG$933*$AM$918)</f>
        <v>0</v>
      </c>
      <c r="BI988">
        <f>IFERROR(BH988/$AU$933,0)</f>
        <v>0</v>
      </c>
      <c r="BJ988">
        <f>BH988*($F$22+IF($F$22=0,0,($C$14+$C$15+IF($C$13="single",1.5,3)+3)/12))</f>
        <v>0</v>
      </c>
      <c r="BK988">
        <f>BJ988-BA988</f>
        <v>0</v>
      </c>
      <c r="BL988" cm="1">
        <f t="array" ref="BL988">IFERROR(IF(BK988&lt;0,0,BK988/($AU$933-INDEX(hd_off,MATCH(BT988,hd_mark,0),0)/12)),0)</f>
        <v>0</v>
      </c>
      <c r="BM988">
        <f>MAX($F$22,$BC$933)/$Q$948</f>
        <v>0.30172413793103448</v>
      </c>
      <c r="BN988">
        <f t="shared" ref="BN988:BN991" si="614">IF(BM988=0,0,IF(BM988&gt;2,1.25-0.125*BM988,1))</f>
        <v>1</v>
      </c>
      <c r="BO988" cm="1">
        <f t="array" ref="BO988">IFERROR(INDEX(sheath_ecap_asd,MATCH(BS988,sheath_mark,0),0)*BN988,0)</f>
        <v>0</v>
      </c>
      <c r="BP988" cm="1">
        <f t="array" ref="BP988">IFERROR(INDEX(sheath_wcap_asd,MATCH(BS988,sheath_mark,0),0)*BN988,0)</f>
        <v>0</v>
      </c>
      <c r="BQ988" cm="1">
        <f t="array" ref="BQ988">IFERROR(INDEX(hd_cap,MATCH(BT988,hd_mark,0),0),0)</f>
        <v>0</v>
      </c>
      <c r="BS988" s="19"/>
      <c r="BT988" s="19"/>
      <c r="BU988" s="100"/>
    </row>
    <row r="989" x14ac:dyDescent="0.25">
      <c r="P989" s="93"/>
      <c r="Q989" s="109" t="s">
        <v>491</v>
      </c>
      <c r="R989" t="str">
        <f>$Q$919</f>
        <v>L4</v>
      </c>
      <c r="S989">
        <f>$E$23</f>
        <v>0</v>
      </c>
      <c r="T989" cm="1">
        <f t="array" ref="T989">IFERROR(IF(S989=0,0,(INDEX($C$33:$C$38,MATCH($W$933,$B$33:$B$38,0),0)*(S991+$X$933)+$T$933*COUNTIF(S989:S990,"&gt;0")*$C$32+$V$933*$C$31)*$R$933),0)</f>
        <v>0</v>
      </c>
      <c r="U989">
        <f>IF(S989=0,0,-(COUNTIF(S989:S990,"&gt;0")*$T$933*$C$32+$V$933*$C$31)*$H$27*$R$933)</f>
        <v>0</v>
      </c>
      <c r="V989">
        <f>IF(S989=0,0,$V$933*$H$26*$R$933)</f>
        <v>0</v>
      </c>
      <c r="W989">
        <f>(0.6*T989+0.7*U989)*$R$933/2</f>
        <v>0</v>
      </c>
      <c r="X989">
        <f>T989*$R$933/2</f>
        <v>0</v>
      </c>
      <c r="Z989">
        <f>IF(S989=0,0,$AD$933*$AP$919)</f>
        <v>0</v>
      </c>
      <c r="AA989">
        <f>IFERROR(Z989/$R$933,0)</f>
        <v>0</v>
      </c>
      <c r="AB989">
        <f>Z989*($F$23+IF($F$23=0,0,($C$14+$C$15+IF($C$13="single",1.5,3)+3)/12))</f>
        <v>0</v>
      </c>
      <c r="AC989">
        <f>AB989-W989</f>
        <v>0</v>
      </c>
      <c r="AD989" cm="1">
        <f t="array" ref="AD989">IFERROR(IF(AC989&lt;0,0,AC989/($R$933-INDEX(hd_off,MATCH(AQ989,hd_mark,0),0)/12)),0)</f>
        <v>0</v>
      </c>
      <c r="AE989">
        <f>IF(S989=0,0,$AD$933*$AM$919)</f>
        <v>0</v>
      </c>
      <c r="AF989">
        <f>IFERROR(AE989/$R$933,0)</f>
        <v>0</v>
      </c>
      <c r="AG989">
        <f>AE989*($F$23+IF($F$23=0,0,($C$14+$C$15+IF($C$13="single",1.5,3)+3)/12))</f>
        <v>0</v>
      </c>
      <c r="AH989">
        <f>AG989-X989</f>
        <v>0</v>
      </c>
      <c r="AI989" cm="1">
        <f t="array" ref="AI989">IFERROR(IF(AH989&lt;0,0,AH989/($R$933-INDEX(hd_off,MATCH(AQ989,hd_mark,0),0)/12)),0)</f>
        <v>0</v>
      </c>
      <c r="AJ989">
        <f>MAX($F$23,$AA$933)/$Q$948</f>
        <v>0</v>
      </c>
      <c r="AK989">
        <f t="shared" si="613"/>
        <v>0</v>
      </c>
      <c r="AL989" cm="1">
        <f t="array" ref="AL989">IFERROR(INDEX(sheath_ecap_asd,MATCH(AP989,sheath_mark,0),0)*AK989,0)</f>
        <v>0</v>
      </c>
      <c r="AM989" cm="1">
        <f t="array" ref="AM989">IFERROR(INDEX(sheath_wcap_asd,MATCH(AP989,sheath_mark,0),0)*AK989,0)</f>
        <v>0</v>
      </c>
      <c r="AN989" cm="1">
        <f t="array" ref="AN989">IFERROR(INDEX(hd_cap,MATCH(AQ989,hd_mark,0),0),0)</f>
        <v>0</v>
      </c>
      <c r="AP989" s="19"/>
      <c r="AQ989" s="19"/>
      <c r="AR989" s="100"/>
      <c r="AS989" s="93"/>
      <c r="AT989" s="109" t="s">
        <v>491</v>
      </c>
      <c r="AU989" t="str">
        <f>$Q$919</f>
        <v>L4</v>
      </c>
      <c r="AV989">
        <f>$E$23</f>
        <v>0</v>
      </c>
      <c r="AW989" cm="1">
        <f t="array" ref="AW989">IFERROR(IF(AV989=0,0,(INDEX($C$33:$C$38,MATCH($AZ$933,$B$33:$B$38,0),0)*(AV991+$BA$933)+$AW$933*COUNTIF(AV989:AV990,"&gt;0")*$C$32+$AY$933*$C$31)*$AU$933),0)</f>
        <v>0</v>
      </c>
      <c r="AX989">
        <f>IF(AV989=0,0,-(COUNTIF(AV989:AV990,"&gt;0")*$AW$933*$C$32+$AY$933*$C$31)*$H$27*$AU$933)</f>
        <v>0</v>
      </c>
      <c r="AY989">
        <f>IF(AV989=0,0,$AY$933*$H$26*$AU$933)</f>
        <v>0</v>
      </c>
      <c r="AZ989">
        <f>(0.6*AW989+0.7*AX989)*$AU$933/2</f>
        <v>0</v>
      </c>
      <c r="BA989">
        <f>AW989*$AU$933/2</f>
        <v>0</v>
      </c>
      <c r="BC989">
        <f>IF(AV989=0,0,$BG$933*$AP$919)</f>
        <v>0</v>
      </c>
      <c r="BD989">
        <f>IFERROR(BC989/$AU$933,0)</f>
        <v>0</v>
      </c>
      <c r="BE989">
        <f>BC989*($F$23+IF($F$23=0,0,($C$14+$C$15+IF($C$13="single",1.5,3)+3)/12))</f>
        <v>0</v>
      </c>
      <c r="BF989">
        <f>BE989-AZ989</f>
        <v>0</v>
      </c>
      <c r="BG989" cm="1">
        <f t="array" ref="BG989">IFERROR(IF(BF989&lt;0,0,BF989/($AU$933-INDEX(hd_off,MATCH(BT989,hd_mark,0),0)/12)),0)</f>
        <v>0</v>
      </c>
      <c r="BH989">
        <f>IF(AV989=0,0,$BG$933*$AM$919)</f>
        <v>0</v>
      </c>
      <c r="BI989">
        <f>IFERROR(BH989/$AU$933,0)</f>
        <v>0</v>
      </c>
      <c r="BJ989">
        <f>BH989*($F$23+IF($F$23=0,0,($C$14+$C$15+IF($C$13="single",1.5,3)+3)/12))</f>
        <v>0</v>
      </c>
      <c r="BK989">
        <f>BJ989-BA989</f>
        <v>0</v>
      </c>
      <c r="BL989" cm="1">
        <f t="array" ref="BL989">IFERROR(IF(BK989&lt;0,0,BK989/($AU$933-INDEX(hd_off,MATCH(BT989,hd_mark,0),0)/12)),0)</f>
        <v>0</v>
      </c>
      <c r="BM989">
        <f>MAX($F$23,$BD$933)/$Q$948</f>
        <v>0</v>
      </c>
      <c r="BN989">
        <f t="shared" si="614"/>
        <v>0</v>
      </c>
      <c r="BO989" cm="1">
        <f t="array" ref="BO989">IFERROR(INDEX(sheath_ecap_asd,MATCH(BS989,sheath_mark,0),0)*BN989,0)</f>
        <v>0</v>
      </c>
      <c r="BP989" cm="1">
        <f t="array" ref="BP989">IFERROR(INDEX(sheath_wcap_asd,MATCH(BS989,sheath_mark,0),0)*BN989,0)</f>
        <v>0</v>
      </c>
      <c r="BQ989" cm="1">
        <f t="array" ref="BQ989">IFERROR(INDEX(hd_cap,MATCH(BT989,hd_mark,0),0),0)</f>
        <v>0</v>
      </c>
      <c r="BS989" s="19"/>
      <c r="BT989" s="19"/>
      <c r="BU989" s="100"/>
    </row>
    <row r="990" x14ac:dyDescent="0.25">
      <c r="P990" s="93"/>
      <c r="Q990" s="111">
        <f>$R$933</f>
        <v>0</v>
      </c>
      <c r="R990" t="str">
        <f>$Q$920</f>
        <v>L5</v>
      </c>
      <c r="S990">
        <f>$E$24</f>
        <v>0</v>
      </c>
      <c r="T990" cm="1">
        <f t="array" ref="T990">IFERROR(IF(S990=0,0,(INDEX($C$33:$C$38,MATCH($W$933,$B$33:$B$38,0),0)*(S991+$X$933)+$T$933*COUNTIF(S990:S990,"&gt;0")*$C$32+$V$933*$C$31)*$R$933),0)</f>
        <v>0</v>
      </c>
      <c r="U990">
        <f>IF(S990=0,0,-(COUNTIF(S990:S990,"&gt;0")*$T$933*$C$32+$V$933*$C$31)*$H$27*$R$933)</f>
        <v>0</v>
      </c>
      <c r="V990">
        <f>IF(S990=0,0,$V$933*$H$26*$R$933)</f>
        <v>0</v>
      </c>
      <c r="W990">
        <f>(0.6*T990+0.7*U990)*$R$933/2</f>
        <v>0</v>
      </c>
      <c r="X990">
        <f>T990*$R$933/2</f>
        <v>0</v>
      </c>
      <c r="Z990">
        <f>IF(S990=0,0,$AD$933*$AP$920)</f>
        <v>0</v>
      </c>
      <c r="AA990">
        <f>IFERROR(Z990/$R$933,0)</f>
        <v>0</v>
      </c>
      <c r="AB990">
        <f>Z990*($F$24+IF($F$24=0,0,($C$14+$C$15+IF($C$13="single",1.5,3)+3)/12))</f>
        <v>0</v>
      </c>
      <c r="AC990">
        <f>AB990-W990</f>
        <v>0</v>
      </c>
      <c r="AD990" cm="1">
        <f t="array" ref="AD990">IFERROR(IF(AC990&lt;0,0,AC990/($R$933-INDEX(hd_off,MATCH(AQ990,hd_mark,0),0)/12)),0)</f>
        <v>0</v>
      </c>
      <c r="AE990">
        <f>IF(S990=0,0,$AD$933*$AM$920)</f>
        <v>0</v>
      </c>
      <c r="AF990">
        <f>IFERROR(AE990/$R$933,0)</f>
        <v>0</v>
      </c>
      <c r="AG990">
        <f>AE990*($F$24+IF($F$24=0,0,($C$14+$C$15+IF($C$13="single",1.5,3)+3)/12))</f>
        <v>0</v>
      </c>
      <c r="AH990">
        <f>AG990-X990</f>
        <v>0</v>
      </c>
      <c r="AI990" cm="1">
        <f t="array" ref="AI990">IFERROR(IF(AH990&lt;0,0,AH990/($R$933-INDEX(hd_off,MATCH(AQ990,hd_mark,0),0)/12)),0)</f>
        <v>0</v>
      </c>
      <c r="AJ990">
        <f>MAX($F$24,$AB$933)/$Q$948</f>
        <v>0</v>
      </c>
      <c r="AK990">
        <f t="shared" si="613"/>
        <v>0</v>
      </c>
      <c r="AL990" cm="1">
        <f t="array" ref="AL990">IFERROR(INDEX(sheath_ecap_asd,MATCH(AP990,sheath_mark,0),0)*AK990,0)</f>
        <v>0</v>
      </c>
      <c r="AM990" cm="1">
        <f t="array" ref="AM990">IFERROR(INDEX(sheath_wcap_asd,MATCH(AP990,sheath_mark,0),0)*AK990,0)</f>
        <v>0</v>
      </c>
      <c r="AN990" cm="1">
        <f t="array" ref="AN990">IFERROR(INDEX(hd_cap,MATCH(AQ990,hd_mark,0),0),0)</f>
        <v>0</v>
      </c>
      <c r="AP990" s="19"/>
      <c r="AQ990" s="19"/>
      <c r="AR990" s="100"/>
      <c r="AS990" s="93"/>
      <c r="AT990" s="111">
        <f>$R$933</f>
        <v>0</v>
      </c>
      <c r="AU990" t="str">
        <f>$Q$920</f>
        <v>L5</v>
      </c>
      <c r="AV990">
        <f>$E$24</f>
        <v>0</v>
      </c>
      <c r="AW990" cm="1">
        <f t="array" ref="AW990">IFERROR(IF(AV990=0,0,(INDEX($C$33:$C$38,MATCH($AZ$933,$B$33:$B$38,0),0)*(AV991+$BA$933)+$AW$933*COUNTIF(AV990:AV990,"&gt;0")*$C$32+$AY$933*$C$31)*$AU$933),0)</f>
        <v>0</v>
      </c>
      <c r="AX990">
        <f>IF(AV990=0,0,-(COUNTIF(AV990:AV990,"&gt;0")*$AW$933*$C$32+$AY$933*$C$31)*$H$27*$AU$933)</f>
        <v>0</v>
      </c>
      <c r="AY990">
        <f>IF(AV990=0,0,$AY$933*$H$26*$AU$933)</f>
        <v>0</v>
      </c>
      <c r="AZ990">
        <f>(0.6*AW990+0.7*AX990)*$AU$933/2</f>
        <v>0</v>
      </c>
      <c r="BA990">
        <f>AW990*$AU$933/2</f>
        <v>0</v>
      </c>
      <c r="BC990">
        <f>IF(AV990=0,0,$BG$933*$AP$920)</f>
        <v>0</v>
      </c>
      <c r="BD990">
        <f>IFERROR(BC990/$AU$933,0)</f>
        <v>0</v>
      </c>
      <c r="BE990">
        <f>BC990*($F$24+IF($F$24=0,0,($C$14+$C$15+IF($C$13="single",1.5,3)+3)/12))</f>
        <v>0</v>
      </c>
      <c r="BF990">
        <f>BE990-AZ990</f>
        <v>0</v>
      </c>
      <c r="BG990" cm="1">
        <f t="array" ref="BG990">IFERROR(IF(BF990&lt;0,0,BF990/($AU$933-INDEX(hd_off,MATCH(BT990,hd_mark,0),0)/12)),0)</f>
        <v>0</v>
      </c>
      <c r="BH990">
        <f>IF(AV990=0,0,$BG$933*$AM$920)</f>
        <v>0</v>
      </c>
      <c r="BI990">
        <f>IFERROR(BH990/$AU$933,0)</f>
        <v>0</v>
      </c>
      <c r="BJ990">
        <f>BH990*($F$24+IF($F$24=0,0,($C$14+$C$15+IF($C$13="single",1.5,3)+3)/12))</f>
        <v>0</v>
      </c>
      <c r="BK990">
        <f>BJ990-BA990</f>
        <v>0</v>
      </c>
      <c r="BL990" cm="1">
        <f t="array" ref="BL990">IFERROR(IF(BK990&lt;0,0,BK990/($AU$933-INDEX(hd_off,MATCH(BT990,hd_mark,0),0)/12)),0)</f>
        <v>0</v>
      </c>
      <c r="BM990">
        <f>MAX($F$24,$BE$933)/$Q$948</f>
        <v>0</v>
      </c>
      <c r="BN990">
        <f t="shared" si="614"/>
        <v>0</v>
      </c>
      <c r="BO990" cm="1">
        <f t="array" ref="BO990">IFERROR(INDEX(sheath_ecap_asd,MATCH(BS990,sheath_mark,0),0)*BN990,0)</f>
        <v>0</v>
      </c>
      <c r="BP990" cm="1">
        <f t="array" ref="BP990">IFERROR(INDEX(sheath_wcap_asd,MATCH(BS990,sheath_mark,0),0)*BN990,0)</f>
        <v>0</v>
      </c>
      <c r="BQ990" cm="1">
        <f t="array" ref="BQ990">IFERROR(INDEX(hd_cap,MATCH(BT990,hd_mark,0),0),0)</f>
        <v>0</v>
      </c>
      <c r="BS990" s="19"/>
      <c r="BT990" s="19"/>
      <c r="BU990" s="100"/>
    </row>
    <row r="991" x14ac:dyDescent="0.25">
      <c r="P991" s="93"/>
      <c r="Q991" s="109"/>
      <c r="R991" t="str">
        <f>$Q$921</f>
        <v>Roof</v>
      </c>
      <c r="S991">
        <f>$E$25</f>
        <v>33.171875</v>
      </c>
      <c r="T991" cm="1">
        <f t="array" ref="T991">IFERROR(IF(S991=0,0,(INDEX($C$33:$C$38,MATCH($W$933,$B$33:$B$38,0),0)*(S991+$X$933)+$V$933*$C$31)*$R$933),0)</f>
        <v>0</v>
      </c>
      <c r="U991">
        <f>IF(S991=0,0,-$V$933*$C$31*$H$27*$R$933)</f>
        <v>0</v>
      </c>
      <c r="V991">
        <f>IF(S991=0,0,$V$933*$H$26*$R$933)</f>
        <v>0</v>
      </c>
      <c r="W991">
        <f>(0.6*T991+0.7*U991)*$R$933/2</f>
        <v>0</v>
      </c>
      <c r="X991">
        <f>T991*$R$933/2</f>
        <v>0</v>
      </c>
      <c r="Z991">
        <f>IF(S991=0,0,$AD$933*$AP$921)</f>
        <v>0</v>
      </c>
      <c r="AA991">
        <f>IFERROR(Z991/$R$933,0)</f>
        <v>0</v>
      </c>
      <c r="AB991">
        <f>Z991*($F$25+($C$16+$C$17+IF($C$13="single",1.5,3)+3)/12)</f>
        <v>0</v>
      </c>
      <c r="AC991">
        <f>AB991-W991</f>
        <v>0</v>
      </c>
      <c r="AD991" cm="1">
        <f t="array" ref="AD991">IFERROR(IF(AC991&lt;0,0,AC991/($R$933-INDEX(hd_off,MATCH(AQ991,hd_mark,0),0)/12)),0)</f>
        <v>0</v>
      </c>
      <c r="AE991">
        <f>IF(S991=0,0,$AD$933*$AM$921)</f>
        <v>0</v>
      </c>
      <c r="AF991">
        <f>IFERROR(AE991/$R$933,0)</f>
        <v>0</v>
      </c>
      <c r="AG991">
        <f>AE991*($F$25+($C$16+$C$17+IF($C$13="single",1.5,3)+3)/12)</f>
        <v>0</v>
      </c>
      <c r="AH991">
        <f>AG991-X991</f>
        <v>0</v>
      </c>
      <c r="AI991" cm="1">
        <f t="array" ref="AI991">IFERROR(IF(AH991&lt;0,0,AH991/($R$933-INDEX(hd_off,MATCH(AQ991,hd_mark,0),0)/12)),0)</f>
        <v>0</v>
      </c>
      <c r="AJ991">
        <f>MAX($F$25,$AC$933)/$Q$948</f>
        <v>0.29920977011494249</v>
      </c>
      <c r="AK991">
        <f t="shared" si="613"/>
        <v>1</v>
      </c>
      <c r="AL991" cm="1">
        <f t="array" ref="AL991">IFERROR(INDEX(sheath_ecap_asd,MATCH(AP991,sheath_mark,0),0)*AK991,0)</f>
        <v>0</v>
      </c>
      <c r="AM991" cm="1">
        <f t="array" ref="AM991">IFERROR(INDEX(sheath_wcap_asd,MATCH(AP991,sheath_mark,0),0)*AK991,0)</f>
        <v>0</v>
      </c>
      <c r="AN991" cm="1">
        <f t="array" ref="AN991">IFERROR(INDEX(hd_cap,MATCH(AQ991,hd_mark,0),0),0)</f>
        <v>0</v>
      </c>
      <c r="AP991" s="19"/>
      <c r="AQ991" s="19"/>
      <c r="AR991" s="100"/>
      <c r="AS991" s="93"/>
      <c r="AT991" s="109"/>
      <c r="AU991" t="str">
        <f>$Q$921</f>
        <v>Roof</v>
      </c>
      <c r="AV991">
        <f>$E$25</f>
        <v>33.171875</v>
      </c>
      <c r="AW991" cm="1">
        <f t="array" ref="AW991">IFERROR(IF(AV991=0,0,(INDEX($C$33:$C$38,MATCH($AZ$933,$B$33:$B$38,0),0)*(AV991+$BA$933)+$AY$933*$C$31)*$AU$933),0)</f>
        <v>0</v>
      </c>
      <c r="AX991">
        <f>IF(AV991=0,0,-$AY$933*$C$31*$H$27*$AU$933)</f>
        <v>0</v>
      </c>
      <c r="AY991">
        <f>IF(AV991=0,0,$AY$933*$H$26*$AU$933)</f>
        <v>0</v>
      </c>
      <c r="AZ991">
        <f>(0.6*AW991+0.7*AX991)*$AU$933/2</f>
        <v>0</v>
      </c>
      <c r="BA991">
        <f>AW991*$AU$933/2</f>
        <v>0</v>
      </c>
      <c r="BC991">
        <f>IF(AV991=0,0,$BG$933*$AP$921)</f>
        <v>0</v>
      </c>
      <c r="BD991">
        <f>IFERROR(BC991/$AU$933,0)</f>
        <v>0</v>
      </c>
      <c r="BE991">
        <f>BC991*($F$25+($C$16+$C$17+IF($C$13="single",1.5,3)+3)/12)</f>
        <v>0</v>
      </c>
      <c r="BF991">
        <f>BE991-AZ991</f>
        <v>0</v>
      </c>
      <c r="BG991" cm="1">
        <f t="array" ref="BG991">IFERROR(IF(BF991&lt;0,0,BF991/($AU$933-INDEX(hd_off,MATCH(BT991,hd_mark,0),0)/12)),0)</f>
        <v>0</v>
      </c>
      <c r="BH991">
        <f>IF(AV991=0,0,$BG$933*$AM$921)</f>
        <v>0</v>
      </c>
      <c r="BI991">
        <f>IFERROR(BH991/$AU$933,0)</f>
        <v>0</v>
      </c>
      <c r="BJ991">
        <f>BH991*($F$25+($C$16+$C$17+IF($C$13="single",1.5,3)+3)/12)</f>
        <v>0</v>
      </c>
      <c r="BK991">
        <f>BJ991-BA991</f>
        <v>0</v>
      </c>
      <c r="BL991" cm="1">
        <f t="array" ref="BL991">IFERROR(IF(BK991&lt;0,0,BK991/($AU$933-INDEX(hd_off,MATCH(BT991,hd_mark,0),0)/12)),0)</f>
        <v>0</v>
      </c>
      <c r="BM991">
        <f>MAX($F$25,$BF$933)/$Q$948</f>
        <v>0.29920977011494249</v>
      </c>
      <c r="BN991">
        <f t="shared" si="614"/>
        <v>1</v>
      </c>
      <c r="BO991" cm="1">
        <f t="array" ref="BO991">IFERROR(INDEX(sheath_ecap_asd,MATCH(BS991,sheath_mark,0),0)*BN991,0)</f>
        <v>0</v>
      </c>
      <c r="BP991" cm="1">
        <f t="array" ref="BP991">IFERROR(INDEX(sheath_wcap_asd,MATCH(BS991,sheath_mark,0),0)*BN991,0)</f>
        <v>0</v>
      </c>
      <c r="BQ991" cm="1">
        <f t="array" ref="BQ991">IFERROR(INDEX(hd_cap,MATCH(BT991,hd_mark,0),0),0)</f>
        <v>0</v>
      </c>
      <c r="BS991" s="19"/>
      <c r="BT991" s="19"/>
      <c r="BU991" s="100"/>
    </row>
    <row r="992" x14ac:dyDescent="0.25">
      <c r="P992" s="93"/>
      <c r="AR992" s="100"/>
      <c r="AS992" s="93"/>
      <c r="BU992" s="100"/>
    </row>
    <row r="993" x14ac:dyDescent="0.25">
      <c r="P993" s="93"/>
      <c r="Q993" s="110" t="str">
        <f>$Q$934</f>
        <v>A.09</v>
      </c>
      <c r="R993" t="str">
        <f>$Q$917</f>
        <v>L2</v>
      </c>
      <c r="S993">
        <f>$E$21</f>
        <v>10.6875</v>
      </c>
      <c r="T993" cm="1">
        <f t="array" ref="T993">IFERROR(IF(S993=0,0,(INDEX($C$33:$C$38,MATCH($W$934,$B$33:$B$38,0),0)*(S997+$X$934)+$T$934*COUNTIF(S993:S996,"&gt;0")*$C$32+$V$934*$C$31)*$R$934),0)</f>
        <v>0</v>
      </c>
      <c r="U993">
        <f>IF(S993=0,0,-(COUNTIF(S993:S996,"&gt;0")*$T$934*$C$32+$V$934*$C$31)*$H$27*$R$934)</f>
        <v>0</v>
      </c>
      <c r="V993">
        <f>IF(S993=0,0,$V$934*$H$26*$R$934)</f>
        <v>0</v>
      </c>
      <c r="W993">
        <f>(0.6*T993+0.7*U993)*$R$934/2</f>
        <v>0</v>
      </c>
      <c r="X993">
        <f>(0.6*T993+0.6*V993)*$R$934/2</f>
        <v>0</v>
      </c>
      <c r="Z993">
        <f>IF(S993=0,0,$AD$934*$AP$917)</f>
        <v>0</v>
      </c>
      <c r="AA993">
        <f>IFERROR(Z993/$R$934,0)</f>
        <v>0</v>
      </c>
      <c r="AB993">
        <f>Z993*($F$21+IF($F$21=0,0,($C$14+$C$15+IF($C$13="single",1.5,3)+3)/12))</f>
        <v>0</v>
      </c>
      <c r="AC993">
        <f>AB993-W993</f>
        <v>0</v>
      </c>
      <c r="AD993" cm="1">
        <f t="array" ref="AD993">IFERROR(IF(AC993&lt;0,0,AC993/($R$934-INDEX(hd_off,MATCH(AQ993,hd_mark,0),0)/12)),0)</f>
        <v>0</v>
      </c>
      <c r="AE993">
        <f>IF(S993=0,0,$AD$934*$AM$917)</f>
        <v>0</v>
      </c>
      <c r="AF993">
        <f>IFERROR(AE993/$R$934,0)</f>
        <v>0</v>
      </c>
      <c r="AG993">
        <f>AE993*($F$21+IF($F$21=0,0,($C$14+$C$15+IF($C$13="single",1.5,3)+3)/12))</f>
        <v>0</v>
      </c>
      <c r="AH993">
        <f>AG993-X993</f>
        <v>0</v>
      </c>
      <c r="AI993" cm="1">
        <f t="array" ref="AI993">IFERROR(IF(AH993&lt;0,0,AH993/($R$934-INDEX(hd_off,MATCH(AQ993,hd_mark,0),0)/12)),0)</f>
        <v>0</v>
      </c>
      <c r="AJ993">
        <f>MAX($F$21,$Y$934)/$Q$948</f>
        <v>0.30172413793103448</v>
      </c>
      <c r="AK993">
        <f>IF(AJ993=0,0,IF(AJ993&gt;2,1.25-0.125*AJ993,1))</f>
        <v>1</v>
      </c>
      <c r="AL993" cm="1">
        <f t="array" ref="AL993">IFERROR(INDEX(sheath_ecap_asd,MATCH(AP993,sheath_mark,0),0)*AK993,0)</f>
        <v>0</v>
      </c>
      <c r="AM993" cm="1">
        <f t="array" ref="AM993">IFERROR(INDEX(sheath_wcap_asd,MATCH(AP993,sheath_mark,0),0)*AK993,0)</f>
        <v>0</v>
      </c>
      <c r="AN993" cm="1">
        <f t="array" ref="AN993">IFERROR(INDEX(hd_cap,MATCH(AQ993,hd_mark,0),0),0)</f>
        <v>0</v>
      </c>
      <c r="AP993" s="19"/>
      <c r="AQ993" s="19"/>
      <c r="AR993" s="100"/>
      <c r="AS993" s="93"/>
      <c r="AT993" s="110" t="str">
        <f>$AT$934</f>
        <v>1.09</v>
      </c>
      <c r="AU993" t="str">
        <f>$Q$917</f>
        <v>L2</v>
      </c>
      <c r="AV993">
        <f>$E$21</f>
        <v>10.6875</v>
      </c>
      <c r="AW993" cm="1">
        <f t="array" ref="AW993">IFERROR(IF(AV993=0,0,(INDEX($C$33:$C$38,MATCH($AZ$934,$B$33:$B$38,0),0)*(AV997+$BA$934)+$AW$934*COUNTIF(AV993:AV996,"&gt;0")*$C$32+$AY$934*$C$31)*$AU$934),0)</f>
        <v>0</v>
      </c>
      <c r="AX993">
        <f>IF(AV993=0,0,-(COUNTIF(AV993:AV996,"&gt;0")*$AW$934*$C$32+$AY$934*$C$31)*$H$27*$AU$934)</f>
        <v>0</v>
      </c>
      <c r="AY993">
        <f>IF(AV993=0,0,$AY$934*$H$26*$AU$934)</f>
        <v>0</v>
      </c>
      <c r="AZ993">
        <f>(0.6*AW993+0.7*AX993)*$AU$934/2</f>
        <v>0</v>
      </c>
      <c r="BA993">
        <f>(0.6*AW993+0.6*AY993)*$AU$934/2</f>
        <v>0</v>
      </c>
      <c r="BC993">
        <f>IF(AV993=0,0,$BG$934*$AP$917)</f>
        <v>0</v>
      </c>
      <c r="BD993">
        <f>IFERROR(BC993/$AU$934,0)</f>
        <v>0</v>
      </c>
      <c r="BE993">
        <f>BC993*($F$21+IF($F$21=0,0,($C$14+$C$15+IF($C$13="single",1.5,3)+3)/12))</f>
        <v>0</v>
      </c>
      <c r="BF993">
        <f>BE993-AZ993</f>
        <v>0</v>
      </c>
      <c r="BG993" cm="1">
        <f t="array" ref="BG993">IFERROR(IF(BF993&lt;0,0,BF993/($AU$934-INDEX(hd_off,MATCH(BT993,hd_mark,0),0)/12)),0)</f>
        <v>0</v>
      </c>
      <c r="BH993">
        <f>IF(AV993=0,0,$BG$934*$AM$917)</f>
        <v>0</v>
      </c>
      <c r="BI993">
        <f>IFERROR(BH993/$AU$934,0)</f>
        <v>0</v>
      </c>
      <c r="BJ993">
        <f>BH993*($F$21+IF($F$21=0,0,($C$14+$C$15+IF($C$13="single",1.5,3)+3)/12))</f>
        <v>0</v>
      </c>
      <c r="BK993">
        <f>BJ993-BA993</f>
        <v>0</v>
      </c>
      <c r="BL993" cm="1">
        <f t="array" ref="BL993">IFERROR(IF(BK993&lt;0,0,BK993/($AU$934-INDEX(hd_off,MATCH(BT993,hd_mark,0),0)/12)),0)</f>
        <v>0</v>
      </c>
      <c r="BM993">
        <f>MAX($F$21,$BB$934)/$Q$948</f>
        <v>0.30172413793103448</v>
      </c>
      <c r="BN993">
        <f>IF(BM993=0,0,IF(BM993&gt;2,1.25-0.125*BM993,1))</f>
        <v>1</v>
      </c>
      <c r="BO993" cm="1">
        <f t="array" ref="BO993">IFERROR(INDEX(sheath_ecap_asd,MATCH(BS993,sheath_mark,0),0)*BN993,0)</f>
        <v>0</v>
      </c>
      <c r="BP993" cm="1">
        <f t="array" ref="BP993">IFERROR(INDEX(sheath_wcap_asd,MATCH(BS993,sheath_mark,0),0)*BN993,0)</f>
        <v>0</v>
      </c>
      <c r="BQ993" cm="1">
        <f t="array" ref="BQ993">IFERROR(INDEX(hd_cap,MATCH(BT993,hd_mark,0),0),0)</f>
        <v>0</v>
      </c>
      <c r="BS993" s="19"/>
      <c r="BT993" s="19"/>
      <c r="BU993" s="100"/>
    </row>
    <row r="994" x14ac:dyDescent="0.25">
      <c r="P994" s="93"/>
      <c r="Q994" s="109"/>
      <c r="R994" t="str">
        <f>$Q$918</f>
        <v>L3</v>
      </c>
      <c r="S994">
        <f>$E$22</f>
        <v>21.375</v>
      </c>
      <c r="T994" cm="1">
        <f t="array" ref="T994">IFERROR(IF(S994=0,0,(INDEX($C$33:$C$38,MATCH($W$934,$B$33:$B$38,0),0)*(S997+$X$934)+$T$934*COUNTIF(S994:S996,"&gt;0")*$C$32+$V$934*$C$31)*$R$934),0)</f>
        <v>0</v>
      </c>
      <c r="U994">
        <f>IF(S994=0,0,-(COUNTIF(S994:S996,"&gt;0")*$T$934*$C$32+$V$934*$C$31)*$H$27*$R$934)</f>
        <v>0</v>
      </c>
      <c r="V994">
        <f>IF(S994=0,0,$V$934*$H$26*$R$934)</f>
        <v>0</v>
      </c>
      <c r="W994">
        <f>(0.6*T994+0.7*U994)*$R$934/2</f>
        <v>0</v>
      </c>
      <c r="X994">
        <f>T994*$R$934/2</f>
        <v>0</v>
      </c>
      <c r="Z994">
        <f>IF(S994=0,0,$AD$934*$AP$918)</f>
        <v>0</v>
      </c>
      <c r="AA994">
        <f>IFERROR(Z994/$R$934,0)</f>
        <v>0</v>
      </c>
      <c r="AB994">
        <f>Z994*($F$22+IF($F$22=0,0,($C$14+$C$15+IF($C$13="single",1.5,3)+3)/12))</f>
        <v>0</v>
      </c>
      <c r="AC994">
        <f>AB994-W994</f>
        <v>0</v>
      </c>
      <c r="AD994" cm="1">
        <f t="array" ref="AD994">IFERROR(IF(AC994&lt;0,0,AC994/($R$934-INDEX(hd_off,MATCH(AQ994,hd_mark,0),0)/12)),0)</f>
        <v>0</v>
      </c>
      <c r="AE994">
        <f>IF(S994=0,0,$AD$934*$AM$918)</f>
        <v>0</v>
      </c>
      <c r="AF994">
        <f>IFERROR(AE994/$R$934,0)</f>
        <v>0</v>
      </c>
      <c r="AG994">
        <f>AE994*($F$22+IF($F$22=0,0,($C$14+$C$15+IF($C$13="single",1.5,3)+3)/12))</f>
        <v>0</v>
      </c>
      <c r="AH994">
        <f>AG994-X994</f>
        <v>0</v>
      </c>
      <c r="AI994" cm="1">
        <f t="array" ref="AI994">IFERROR(IF(AH994&lt;0,0,AH994/($R$934-INDEX(hd_off,MATCH(AQ994,hd_mark,0),0)/12)),0)</f>
        <v>0</v>
      </c>
      <c r="AJ994">
        <f>MAX($F$22,$Z$934)/$Q$948</f>
        <v>0.30172413793103448</v>
      </c>
      <c r="AK994">
        <f t="shared" ref="AK994:AK997" si="615">IF(AJ994=0,0,IF(AJ994&gt;2,1.25-0.125*AJ994,1))</f>
        <v>1</v>
      </c>
      <c r="AL994" cm="1">
        <f t="array" ref="AL994">IFERROR(INDEX(sheath_ecap_asd,MATCH(AP994,sheath_mark,0),0)*AK994,0)</f>
        <v>0</v>
      </c>
      <c r="AM994" cm="1">
        <f t="array" ref="AM994">IFERROR(INDEX(sheath_wcap_asd,MATCH(AP994,sheath_mark,0),0)*AK994,0)</f>
        <v>0</v>
      </c>
      <c r="AN994" cm="1">
        <f t="array" ref="AN994">IFERROR(INDEX(hd_cap,MATCH(AQ994,hd_mark,0),0),0)</f>
        <v>0</v>
      </c>
      <c r="AP994" s="19"/>
      <c r="AQ994" s="19"/>
      <c r="AR994" s="100"/>
      <c r="AS994" s="93"/>
      <c r="AT994" s="109"/>
      <c r="AU994" t="str">
        <f>$Q$918</f>
        <v>L3</v>
      </c>
      <c r="AV994">
        <f>$E$22</f>
        <v>21.375</v>
      </c>
      <c r="AW994" cm="1">
        <f t="array" ref="AW994">IFERROR(IF(AV994=0,0,(INDEX($C$33:$C$38,MATCH($AZ$934,$B$33:$B$38,0),0)*(AV997+$BA$934)+$AW$934*COUNTIF(AV994:AV996,"&gt;0")*$C$32+$AY$934*$C$31)*$AU$934),0)</f>
        <v>0</v>
      </c>
      <c r="AX994">
        <f>IF(AV994=0,0,-(COUNTIF(AV994:AV996,"&gt;0")*$AW$934*$C$32+$AY$934*$C$31)*$H$27*$AU$934)</f>
        <v>0</v>
      </c>
      <c r="AY994">
        <f>IF(AV994=0,0,$AY$934*$H$26*$AU$934)</f>
        <v>0</v>
      </c>
      <c r="AZ994">
        <f>(0.6*AW994+0.7*AX994)*$AU$934/2</f>
        <v>0</v>
      </c>
      <c r="BA994">
        <f>AW994*$AU$934/2</f>
        <v>0</v>
      </c>
      <c r="BC994">
        <f>IF(AV994=0,0,$BG$934*$AP$918)</f>
        <v>0</v>
      </c>
      <c r="BD994">
        <f>IFERROR(BC994/$AU$934,0)</f>
        <v>0</v>
      </c>
      <c r="BE994">
        <f>BC994*($F$22+IF($F$22=0,0,($C$14+$C$15+IF($C$13="single",1.5,3)+3)/12))</f>
        <v>0</v>
      </c>
      <c r="BF994">
        <f>BE994-AZ994</f>
        <v>0</v>
      </c>
      <c r="BG994" cm="1">
        <f t="array" ref="BG994">IFERROR(IF(BF994&lt;0,0,BF994/($AU$934-INDEX(hd_off,MATCH(BT994,hd_mark,0),0)/12)),0)</f>
        <v>0</v>
      </c>
      <c r="BH994">
        <f>IF(AV994=0,0,$BG$934*$AM$918)</f>
        <v>0</v>
      </c>
      <c r="BI994">
        <f>IFERROR(BH994/$AU$934,0)</f>
        <v>0</v>
      </c>
      <c r="BJ994">
        <f>BH994*($F$22+IF($F$22=0,0,($C$14+$C$15+IF($C$13="single",1.5,3)+3)/12))</f>
        <v>0</v>
      </c>
      <c r="BK994">
        <f>BJ994-BA994</f>
        <v>0</v>
      </c>
      <c r="BL994" cm="1">
        <f t="array" ref="BL994">IFERROR(IF(BK994&lt;0,0,BK994/($AU$934-INDEX(hd_off,MATCH(BT994,hd_mark,0),0)/12)),0)</f>
        <v>0</v>
      </c>
      <c r="BM994">
        <f>MAX($F$22,$BC$934)/$Q$948</f>
        <v>0.30172413793103448</v>
      </c>
      <c r="BN994">
        <f t="shared" ref="BN994:BN997" si="616">IF(BM994=0,0,IF(BM994&gt;2,1.25-0.125*BM994,1))</f>
        <v>1</v>
      </c>
      <c r="BO994" cm="1">
        <f t="array" ref="BO994">IFERROR(INDEX(sheath_ecap_asd,MATCH(BS994,sheath_mark,0),0)*BN994,0)</f>
        <v>0</v>
      </c>
      <c r="BP994" cm="1">
        <f t="array" ref="BP994">IFERROR(INDEX(sheath_wcap_asd,MATCH(BS994,sheath_mark,0),0)*BN994,0)</f>
        <v>0</v>
      </c>
      <c r="BQ994" cm="1">
        <f t="array" ref="BQ994">IFERROR(INDEX(hd_cap,MATCH(BT994,hd_mark,0),0),0)</f>
        <v>0</v>
      </c>
      <c r="BS994" s="19"/>
      <c r="BT994" s="19"/>
      <c r="BU994" s="100"/>
    </row>
    <row r="995" x14ac:dyDescent="0.25">
      <c r="P995" s="93"/>
      <c r="Q995" s="109" t="s">
        <v>491</v>
      </c>
      <c r="R995" t="str">
        <f>$Q$919</f>
        <v>L4</v>
      </c>
      <c r="S995">
        <f>$E$23</f>
        <v>0</v>
      </c>
      <c r="T995" cm="1">
        <f t="array" ref="T995">IFERROR(IF(S995=0,0,(INDEX($C$33:$C$38,MATCH($W$934,$B$33:$B$38,0),0)*(S997+$X$934)+$T$934*COUNTIF(S995:S996,"&gt;0")*$C$32+$V$934*$C$31)*$R$934),0)</f>
        <v>0</v>
      </c>
      <c r="U995">
        <f>IF(S995=0,0,-(COUNTIF(S995:S996,"&gt;0")*$T$934*$C$32+$V$934*$C$31)*$H$27*$R$934)</f>
        <v>0</v>
      </c>
      <c r="V995">
        <f>IF(S995=0,0,$V$934*$H$26*$R$934)</f>
        <v>0</v>
      </c>
      <c r="W995">
        <f>(0.6*T995+0.7*U995)*$R$934/2</f>
        <v>0</v>
      </c>
      <c r="X995">
        <f>T995*$R$934/2</f>
        <v>0</v>
      </c>
      <c r="Z995">
        <f>IF(S995=0,0,$AD$934*$AP$919)</f>
        <v>0</v>
      </c>
      <c r="AA995">
        <f>IFERROR(Z995/$R$934,0)</f>
        <v>0</v>
      </c>
      <c r="AB995">
        <f>Z995*($F$23+IF($F$23=0,0,($C$14+$C$15+IF($C$13="single",1.5,3)+3)/12))</f>
        <v>0</v>
      </c>
      <c r="AC995">
        <f>AB995-W995</f>
        <v>0</v>
      </c>
      <c r="AD995" cm="1">
        <f t="array" ref="AD995">IFERROR(IF(AC995&lt;0,0,AC995/($R$934-INDEX(hd_off,MATCH(AQ995,hd_mark,0),0)/12)),0)</f>
        <v>0</v>
      </c>
      <c r="AE995">
        <f>IF(S995=0,0,$AD$934*$AM$919)</f>
        <v>0</v>
      </c>
      <c r="AF995">
        <f>IFERROR(AE995/$R$934,0)</f>
        <v>0</v>
      </c>
      <c r="AG995">
        <f>AE995*($F$23+IF($F$23=0,0,($C$14+$C$15+IF($C$13="single",1.5,3)+3)/12))</f>
        <v>0</v>
      </c>
      <c r="AH995">
        <f>AG995-X995</f>
        <v>0</v>
      </c>
      <c r="AI995" cm="1">
        <f t="array" ref="AI995">IFERROR(IF(AH995&lt;0,0,AH995/($R$934-INDEX(hd_off,MATCH(AQ995,hd_mark,0),0)/12)),0)</f>
        <v>0</v>
      </c>
      <c r="AJ995">
        <f>MAX($F$23,$AA$934)/$Q$948</f>
        <v>0</v>
      </c>
      <c r="AK995">
        <f t="shared" si="615"/>
        <v>0</v>
      </c>
      <c r="AL995" cm="1">
        <f t="array" ref="AL995">IFERROR(INDEX(sheath_ecap_asd,MATCH(AP995,sheath_mark,0),0)*AK995,0)</f>
        <v>0</v>
      </c>
      <c r="AM995" cm="1">
        <f t="array" ref="AM995">IFERROR(INDEX(sheath_wcap_asd,MATCH(AP995,sheath_mark,0),0)*AK995,0)</f>
        <v>0</v>
      </c>
      <c r="AN995" cm="1">
        <f t="array" ref="AN995">IFERROR(INDEX(hd_cap,MATCH(AQ995,hd_mark,0),0),0)</f>
        <v>0</v>
      </c>
      <c r="AP995" s="19"/>
      <c r="AQ995" s="19"/>
      <c r="AR995" s="100"/>
      <c r="AS995" s="93"/>
      <c r="AT995" s="109" t="s">
        <v>491</v>
      </c>
      <c r="AU995" t="str">
        <f>$Q$919</f>
        <v>L4</v>
      </c>
      <c r="AV995">
        <f>$E$23</f>
        <v>0</v>
      </c>
      <c r="AW995" cm="1">
        <f t="array" ref="AW995">IFERROR(IF(AV995=0,0,(INDEX($C$33:$C$38,MATCH($AZ$934,$B$33:$B$38,0),0)*(AV997+$BA$934)+$AW$934*COUNTIF(AV995:AV996,"&gt;0")*$C$32+$AY$934*$C$31)*$AU$934),0)</f>
        <v>0</v>
      </c>
      <c r="AX995">
        <f>IF(AV995=0,0,-(COUNTIF(AV995:AV996,"&gt;0")*$AW$934*$C$32+$AY$934*$C$31)*$H$27*$AU$934)</f>
        <v>0</v>
      </c>
      <c r="AY995">
        <f>IF(AV995=0,0,$AY$934*$H$26*$AU$934)</f>
        <v>0</v>
      </c>
      <c r="AZ995">
        <f>(0.6*AW995+0.7*AX995)*$AU$934/2</f>
        <v>0</v>
      </c>
      <c r="BA995">
        <f>AW995*$AU$934/2</f>
        <v>0</v>
      </c>
      <c r="BC995">
        <f>IF(AV995=0,0,$BG$934*$AP$919)</f>
        <v>0</v>
      </c>
      <c r="BD995">
        <f>IFERROR(BC995/$AU$934,0)</f>
        <v>0</v>
      </c>
      <c r="BE995">
        <f>BC995*($F$23+IF($F$23=0,0,($C$14+$C$15+IF($C$13="single",1.5,3)+3)/12))</f>
        <v>0</v>
      </c>
      <c r="BF995">
        <f>BE995-AZ995</f>
        <v>0</v>
      </c>
      <c r="BG995" cm="1">
        <f t="array" ref="BG995">IFERROR(IF(BF995&lt;0,0,BF995/($AU$934-INDEX(hd_off,MATCH(BT995,hd_mark,0),0)/12)),0)</f>
        <v>0</v>
      </c>
      <c r="BH995">
        <f>IF(AV995=0,0,$BG$934*$AM$919)</f>
        <v>0</v>
      </c>
      <c r="BI995">
        <f>IFERROR(BH995/$AU$934,0)</f>
        <v>0</v>
      </c>
      <c r="BJ995">
        <f>BH995*($F$23+IF($F$23=0,0,($C$14+$C$15+IF($C$13="single",1.5,3)+3)/12))</f>
        <v>0</v>
      </c>
      <c r="BK995">
        <f>BJ995-BA995</f>
        <v>0</v>
      </c>
      <c r="BL995" cm="1">
        <f t="array" ref="BL995">IFERROR(IF(BK995&lt;0,0,BK995/($AU$934-INDEX(hd_off,MATCH(BT995,hd_mark,0),0)/12)),0)</f>
        <v>0</v>
      </c>
      <c r="BM995">
        <f>MAX($F$23,$BD$934)/$Q$948</f>
        <v>0</v>
      </c>
      <c r="BN995">
        <f t="shared" si="616"/>
        <v>0</v>
      </c>
      <c r="BO995" cm="1">
        <f t="array" ref="BO995">IFERROR(INDEX(sheath_ecap_asd,MATCH(BS995,sheath_mark,0),0)*BN995,0)</f>
        <v>0</v>
      </c>
      <c r="BP995" cm="1">
        <f t="array" ref="BP995">IFERROR(INDEX(sheath_wcap_asd,MATCH(BS995,sheath_mark,0),0)*BN995,0)</f>
        <v>0</v>
      </c>
      <c r="BQ995" cm="1">
        <f t="array" ref="BQ995">IFERROR(INDEX(hd_cap,MATCH(BT995,hd_mark,0),0),0)</f>
        <v>0</v>
      </c>
      <c r="BS995" s="19"/>
      <c r="BT995" s="19"/>
      <c r="BU995" s="100"/>
    </row>
    <row r="996" x14ac:dyDescent="0.25">
      <c r="P996" s="93"/>
      <c r="Q996" s="111">
        <f>$R$934</f>
        <v>0</v>
      </c>
      <c r="R996" t="str">
        <f>$Q$920</f>
        <v>L5</v>
      </c>
      <c r="S996">
        <f>$E$24</f>
        <v>0</v>
      </c>
      <c r="T996" cm="1">
        <f t="array" ref="T996">IFERROR(IF(S996=0,0,(INDEX($C$33:$C$38,MATCH($W$934,$B$33:$B$38,0),0)*(S997+$X$934)+$T$934*COUNTIF(S996:S996,"&gt;0")*$C$32+$V$934*$C$31)*$R$934),0)</f>
        <v>0</v>
      </c>
      <c r="U996">
        <f>IF(S996=0,0,-(COUNTIF(S996:S996,"&gt;0")*$T$934*$C$32+$V$934*$C$31)*$H$27*$R$934)</f>
        <v>0</v>
      </c>
      <c r="V996">
        <f>IF(S996=0,0,$V$934*$H$26*$R$934)</f>
        <v>0</v>
      </c>
      <c r="W996">
        <f>(0.6*T996+0.7*U996)*$R$934/2</f>
        <v>0</v>
      </c>
      <c r="X996">
        <f>T996*$R$934/2</f>
        <v>0</v>
      </c>
      <c r="Z996">
        <f>IF(S996=0,0,$AD$934*$AP$920)</f>
        <v>0</v>
      </c>
      <c r="AA996">
        <f>IFERROR(Z996/$R$934,0)</f>
        <v>0</v>
      </c>
      <c r="AB996">
        <f>Z996*($F$24+IF($F$24=0,0,($C$14+$C$15+IF($C$13="single",1.5,3)+3)/12))</f>
        <v>0</v>
      </c>
      <c r="AC996">
        <f>AB996-W996</f>
        <v>0</v>
      </c>
      <c r="AD996" cm="1">
        <f t="array" ref="AD996">IFERROR(IF(AC996&lt;0,0,AC996/($R$934-INDEX(hd_off,MATCH(AQ996,hd_mark,0),0)/12)),0)</f>
        <v>0</v>
      </c>
      <c r="AE996">
        <f>IF(S996=0,0,$AD$934*$AM$920)</f>
        <v>0</v>
      </c>
      <c r="AF996">
        <f>IFERROR(AE996/$R$934,0)</f>
        <v>0</v>
      </c>
      <c r="AG996">
        <f>AE996*($F$24+IF($F$24=0,0,($C$14+$C$15+IF($C$13="single",1.5,3)+3)/12))</f>
        <v>0</v>
      </c>
      <c r="AH996">
        <f>AG996-X996</f>
        <v>0</v>
      </c>
      <c r="AI996" cm="1">
        <f t="array" ref="AI996">IFERROR(IF(AH996&lt;0,0,AH996/($R$934-INDEX(hd_off,MATCH(AQ996,hd_mark,0),0)/12)),0)</f>
        <v>0</v>
      </c>
      <c r="AJ996">
        <f>MAX($F$24,$AB$934)/$Q$948</f>
        <v>0</v>
      </c>
      <c r="AK996">
        <f t="shared" si="615"/>
        <v>0</v>
      </c>
      <c r="AL996" cm="1">
        <f t="array" ref="AL996">IFERROR(INDEX(sheath_ecap_asd,MATCH(AP996,sheath_mark,0),0)*AK996,0)</f>
        <v>0</v>
      </c>
      <c r="AM996" cm="1">
        <f t="array" ref="AM996">IFERROR(INDEX(sheath_wcap_asd,MATCH(AP996,sheath_mark,0),0)*AK996,0)</f>
        <v>0</v>
      </c>
      <c r="AN996" cm="1">
        <f t="array" ref="AN996">IFERROR(INDEX(hd_cap,MATCH(AQ996,hd_mark,0),0),0)</f>
        <v>0</v>
      </c>
      <c r="AP996" s="19"/>
      <c r="AQ996" s="19"/>
      <c r="AR996" s="100"/>
      <c r="AS996" s="93"/>
      <c r="AT996" s="111">
        <f>$R$934</f>
        <v>0</v>
      </c>
      <c r="AU996" t="str">
        <f>$Q$920</f>
        <v>L5</v>
      </c>
      <c r="AV996">
        <f>$E$24</f>
        <v>0</v>
      </c>
      <c r="AW996" cm="1">
        <f t="array" ref="AW996">IFERROR(IF(AV996=0,0,(INDEX($C$33:$C$38,MATCH($AZ$934,$B$33:$B$38,0),0)*(AV997+$BA$934)+$AW$934*COUNTIF(AV996:AV996,"&gt;0")*$C$32+$AY$934*$C$31)*$AU$934),0)</f>
        <v>0</v>
      </c>
      <c r="AX996">
        <f>IF(AV996=0,0,-(COUNTIF(AV996:AV996,"&gt;0")*$AW$934*$C$32+$AY$934*$C$31)*$H$27*$AU$934)</f>
        <v>0</v>
      </c>
      <c r="AY996">
        <f>IF(AV996=0,0,$AY$934*$H$26*$AU$934)</f>
        <v>0</v>
      </c>
      <c r="AZ996">
        <f>(0.6*AW996+0.7*AX996)*$AU$934/2</f>
        <v>0</v>
      </c>
      <c r="BA996">
        <f>AW996*$AU$934/2</f>
        <v>0</v>
      </c>
      <c r="BC996">
        <f>IF(AV996=0,0,$BG$934*$AP$920)</f>
        <v>0</v>
      </c>
      <c r="BD996">
        <f>IFERROR(BC996/$AU$934,0)</f>
        <v>0</v>
      </c>
      <c r="BE996">
        <f>BC996*($F$24+IF($F$24=0,0,($C$14+$C$15+IF($C$13="single",1.5,3)+3)/12))</f>
        <v>0</v>
      </c>
      <c r="BF996">
        <f>BE996-AZ996</f>
        <v>0</v>
      </c>
      <c r="BG996" cm="1">
        <f t="array" ref="BG996">IFERROR(IF(BF996&lt;0,0,BF996/($AU$934-INDEX(hd_off,MATCH(BT996,hd_mark,0),0)/12)),0)</f>
        <v>0</v>
      </c>
      <c r="BH996">
        <f>IF(AV996=0,0,$BG$934*$AM$920)</f>
        <v>0</v>
      </c>
      <c r="BI996">
        <f>IFERROR(BH996/$AU$934,0)</f>
        <v>0</v>
      </c>
      <c r="BJ996">
        <f>BH996*($F$24+IF($F$24=0,0,($C$14+$C$15+IF($C$13="single",1.5,3)+3)/12))</f>
        <v>0</v>
      </c>
      <c r="BK996">
        <f>BJ996-BA996</f>
        <v>0</v>
      </c>
      <c r="BL996" cm="1">
        <f t="array" ref="BL996">IFERROR(IF(BK996&lt;0,0,BK996/($AU$934-INDEX(hd_off,MATCH(BT996,hd_mark,0),0)/12)),0)</f>
        <v>0</v>
      </c>
      <c r="BM996">
        <f>MAX($F$24,$BE$934)/$Q$948</f>
        <v>0</v>
      </c>
      <c r="BN996">
        <f t="shared" si="616"/>
        <v>0</v>
      </c>
      <c r="BO996" cm="1">
        <f t="array" ref="BO996">IFERROR(INDEX(sheath_ecap_asd,MATCH(BS996,sheath_mark,0),0)*BN996,0)</f>
        <v>0</v>
      </c>
      <c r="BP996" cm="1">
        <f t="array" ref="BP996">IFERROR(INDEX(sheath_wcap_asd,MATCH(BS996,sheath_mark,0),0)*BN996,0)</f>
        <v>0</v>
      </c>
      <c r="BQ996" cm="1">
        <f t="array" ref="BQ996">IFERROR(INDEX(hd_cap,MATCH(BT996,hd_mark,0),0),0)</f>
        <v>0</v>
      </c>
      <c r="BS996" s="19"/>
      <c r="BT996" s="19"/>
      <c r="BU996" s="100"/>
    </row>
    <row r="997" x14ac:dyDescent="0.25">
      <c r="P997" s="93"/>
      <c r="Q997" s="109"/>
      <c r="R997" t="str">
        <f>$Q$921</f>
        <v>Roof</v>
      </c>
      <c r="S997">
        <f>$E$25</f>
        <v>33.171875</v>
      </c>
      <c r="T997" cm="1">
        <f t="array" ref="T997">IFERROR(IF(S997=0,0,(INDEX($C$33:$C$38,MATCH($W$934,$B$33:$B$38,0),0)*(S997+$X$934)+$V$934*$C$31)*$R$934),0)</f>
        <v>0</v>
      </c>
      <c r="U997">
        <f>IF(S997=0,0,-$V$934*$C$31*$H$27*$R$934)</f>
        <v>0</v>
      </c>
      <c r="V997">
        <f>IF(S997=0,0,$V$934*$H$26*$R$934)</f>
        <v>0</v>
      </c>
      <c r="W997">
        <f>(0.6*T997+0.7*U997)*$R$934/2</f>
        <v>0</v>
      </c>
      <c r="X997">
        <f>T997*$R$934/2</f>
        <v>0</v>
      </c>
      <c r="Z997">
        <f>IF(S997=0,0,$AD$934*$AP$921)</f>
        <v>0</v>
      </c>
      <c r="AA997">
        <f>IFERROR(Z997/$R$934,0)</f>
        <v>0</v>
      </c>
      <c r="AB997">
        <f>Z997*($F$25+($C$16+$C$17+IF($C$13="single",1.5,3)+3)/12)</f>
        <v>0</v>
      </c>
      <c r="AC997">
        <f>AB997-W997</f>
        <v>0</v>
      </c>
      <c r="AD997" cm="1">
        <f t="array" ref="AD997">IFERROR(IF(AC997&lt;0,0,AC997/($R$934-INDEX(hd_off,MATCH(AQ997,hd_mark,0),0)/12)),0)</f>
        <v>0</v>
      </c>
      <c r="AE997">
        <f>IF(S997=0,0,$AD$934*$AM$921)</f>
        <v>0</v>
      </c>
      <c r="AF997">
        <f>IFERROR(AE997/$R$934,0)</f>
        <v>0</v>
      </c>
      <c r="AG997">
        <f>AE997*($F$25+($C$16+$C$17+IF($C$13="single",1.5,3)+3)/12)</f>
        <v>0</v>
      </c>
      <c r="AH997">
        <f>AG997-X997</f>
        <v>0</v>
      </c>
      <c r="AI997" cm="1">
        <f t="array" ref="AI997">IFERROR(IF(AH997&lt;0,0,AH997/($R$934-INDEX(hd_off,MATCH(AQ997,hd_mark,0),0)/12)),0)</f>
        <v>0</v>
      </c>
      <c r="AJ997">
        <f>MAX($F$25,$AC$934)/$Q$948</f>
        <v>0.29920977011494249</v>
      </c>
      <c r="AK997">
        <f t="shared" si="615"/>
        <v>1</v>
      </c>
      <c r="AL997" cm="1">
        <f t="array" ref="AL997">IFERROR(INDEX(sheath_ecap_asd,MATCH(AP997,sheath_mark,0),0)*AK997,0)</f>
        <v>0</v>
      </c>
      <c r="AM997" cm="1">
        <f t="array" ref="AM997">IFERROR(INDEX(sheath_wcap_asd,MATCH(AP997,sheath_mark,0),0)*AK997,0)</f>
        <v>0</v>
      </c>
      <c r="AN997" cm="1">
        <f t="array" ref="AN997">IFERROR(INDEX(hd_cap,MATCH(AQ997,hd_mark,0),0),0)</f>
        <v>0</v>
      </c>
      <c r="AP997" s="19"/>
      <c r="AQ997" s="19"/>
      <c r="AR997" s="100"/>
      <c r="AS997" s="93"/>
      <c r="AT997" s="109"/>
      <c r="AU997" t="str">
        <f>$Q$921</f>
        <v>Roof</v>
      </c>
      <c r="AV997">
        <f>$E$25</f>
        <v>33.171875</v>
      </c>
      <c r="AW997" cm="1">
        <f t="array" ref="AW997">IFERROR(IF(AV997=0,0,(INDEX($C$33:$C$38,MATCH($AZ$934,$B$33:$B$38,0),0)*(AV997+$BA$934)+$AY$934*$C$31)*$AU$934),0)</f>
        <v>0</v>
      </c>
      <c r="AX997">
        <f>IF(AV997=0,0,-$AY$934*$C$31*$H$27*$AU$934)</f>
        <v>0</v>
      </c>
      <c r="AY997">
        <f>IF(AV997=0,0,$AY$934*$H$26*$AU$934)</f>
        <v>0</v>
      </c>
      <c r="AZ997">
        <f>(0.6*AW997+0.7*AX997)*$AU$934/2</f>
        <v>0</v>
      </c>
      <c r="BA997">
        <f>AW997*$AU$934/2</f>
        <v>0</v>
      </c>
      <c r="BC997">
        <f>IF(AV997=0,0,$BG$934*$AP$921)</f>
        <v>0</v>
      </c>
      <c r="BD997">
        <f>IFERROR(BC997/$AU$934,0)</f>
        <v>0</v>
      </c>
      <c r="BE997">
        <f>BC997*($F$25+($C$16+$C$17+IF($C$13="single",1.5,3)+3)/12)</f>
        <v>0</v>
      </c>
      <c r="BF997">
        <f>BE997-AZ997</f>
        <v>0</v>
      </c>
      <c r="BG997" cm="1">
        <f t="array" ref="BG997">IFERROR(IF(BF997&lt;0,0,BF997/($AU$934-INDEX(hd_off,MATCH(BT997,hd_mark,0),0)/12)),0)</f>
        <v>0</v>
      </c>
      <c r="BH997">
        <f>IF(AV997=0,0,$BG$934*$AM$921)</f>
        <v>0</v>
      </c>
      <c r="BI997">
        <f>IFERROR(BH997/$AU$934,0)</f>
        <v>0</v>
      </c>
      <c r="BJ997">
        <f>BH997*($F$25+($C$16+$C$17+IF($C$13="single",1.5,3)+3)/12)</f>
        <v>0</v>
      </c>
      <c r="BK997">
        <f>BJ997-BA997</f>
        <v>0</v>
      </c>
      <c r="BL997" cm="1">
        <f t="array" ref="BL997">IFERROR(IF(BK997&lt;0,0,BK997/($AU$934-INDEX(hd_off,MATCH(BT997,hd_mark,0),0)/12)),0)</f>
        <v>0</v>
      </c>
      <c r="BM997">
        <f>MAX($F$25,$BF$934)/$Q$948</f>
        <v>0.29920977011494249</v>
      </c>
      <c r="BN997">
        <f t="shared" si="616"/>
        <v>1</v>
      </c>
      <c r="BO997" cm="1">
        <f t="array" ref="BO997">IFERROR(INDEX(sheath_ecap_asd,MATCH(BS997,sheath_mark,0),0)*BN997,0)</f>
        <v>0</v>
      </c>
      <c r="BP997" cm="1">
        <f t="array" ref="BP997">IFERROR(INDEX(sheath_wcap_asd,MATCH(BS997,sheath_mark,0),0)*BN997,0)</f>
        <v>0</v>
      </c>
      <c r="BQ997" cm="1">
        <f t="array" ref="BQ997">IFERROR(INDEX(hd_cap,MATCH(BT997,hd_mark,0),0),0)</f>
        <v>0</v>
      </c>
      <c r="BS997" s="19"/>
      <c r="BT997" s="19"/>
      <c r="BU997" s="100"/>
    </row>
    <row r="998" x14ac:dyDescent="0.25">
      <c r="P998" s="93"/>
      <c r="AR998" s="100"/>
      <c r="AS998" s="93"/>
      <c r="BU998" s="100"/>
    </row>
    <row r="999" x14ac:dyDescent="0.25">
      <c r="P999" s="93"/>
      <c r="Q999" s="110" t="str">
        <f>$Q$935</f>
        <v>A.10</v>
      </c>
      <c r="R999" t="str">
        <f>$Q$917</f>
        <v>L2</v>
      </c>
      <c r="S999">
        <f>$E$21</f>
        <v>10.6875</v>
      </c>
      <c r="T999" cm="1">
        <f t="array" ref="T999">IFERROR(IF(S999=0,0,(INDEX($C$33:$C$38,MATCH($W$935,$B$33:$B$38,0),0)*(S1003+$X$935)+$T$935*COUNTIF(S999:S1002,"&gt;0")*$C$32+$V$935*$C$31)*$R$935),0)</f>
        <v>0</v>
      </c>
      <c r="U999">
        <f>IF(S999=0,0,-(COUNTIF(S999:S1002,"&gt;0")*$T$935*$C$32+$V$935*$C$31)*$H$27*$R$935)</f>
        <v>0</v>
      </c>
      <c r="V999">
        <f>IF(S999=0,0,$V$935*$H$26*$R$935)</f>
        <v>0</v>
      </c>
      <c r="W999">
        <f>(0.6*T999+0.7*U999)*$R$935/2</f>
        <v>0</v>
      </c>
      <c r="X999">
        <f>(0.6*T999+0.6*V999)*$R$935/2</f>
        <v>0</v>
      </c>
      <c r="Z999">
        <f>IF(S999=0,0,$AD$935*$AP$917)</f>
        <v>0</v>
      </c>
      <c r="AA999">
        <f>IFERROR(Z999/$R$935,0)</f>
        <v>0</v>
      </c>
      <c r="AB999">
        <f>Z999*($F$21+IF($F$21=0,0,($C$14+$C$15+IF($C$13="single",1.5,3)+3)/12))</f>
        <v>0</v>
      </c>
      <c r="AC999">
        <f>AB999-W999</f>
        <v>0</v>
      </c>
      <c r="AD999" cm="1">
        <f t="array" ref="AD999">IFERROR(IF(AC999&lt;0,0,AC999/($R$935-INDEX(hd_off,MATCH(AQ999,hd_mark,0),0)/12)),0)</f>
        <v>0</v>
      </c>
      <c r="AE999">
        <f>IF(S999=0,0,$AD$935*$AM$917)</f>
        <v>0</v>
      </c>
      <c r="AF999">
        <f>IFERROR(AE999/$R$935,0)</f>
        <v>0</v>
      </c>
      <c r="AG999">
        <f>AE999*($F$21+IF($F$21=0,0,($C$14+$C$15+IF($C$13="single",1.5,3)+3)/12))</f>
        <v>0</v>
      </c>
      <c r="AH999">
        <f>AG999-X999</f>
        <v>0</v>
      </c>
      <c r="AI999" cm="1">
        <f t="array" ref="AI999">IFERROR(IF(AH999&lt;0,0,AH999/($R$935-INDEX(hd_off,MATCH(AQ999,hd_mark,0),0)/12)),0)</f>
        <v>0</v>
      </c>
      <c r="AJ999">
        <f>MAX($F$21,$Y$935)/$Q$948</f>
        <v>0.30172413793103448</v>
      </c>
      <c r="AK999">
        <f>IF(AJ999=0,0,IF(AJ999&gt;2,1.25-0.125*AJ999,1))</f>
        <v>1</v>
      </c>
      <c r="AL999" cm="1">
        <f t="array" ref="AL999">IFERROR(INDEX(sheath_ecap_asd,MATCH(AP999,sheath_mark,0),0)*AK999,0)</f>
        <v>0</v>
      </c>
      <c r="AM999" cm="1">
        <f t="array" ref="AM999">IFERROR(INDEX(sheath_wcap_asd,MATCH(AP999,sheath_mark,0),0)*AK999,0)</f>
        <v>0</v>
      </c>
      <c r="AN999" cm="1">
        <f t="array" ref="AN999">IFERROR(INDEX(hd_cap,MATCH(AQ999,hd_mark,0),0),0)</f>
        <v>0</v>
      </c>
      <c r="AP999" s="19"/>
      <c r="AQ999" s="19"/>
      <c r="AR999" s="100"/>
      <c r="AS999" s="93"/>
      <c r="AT999" s="110" t="str">
        <f>$AT$935</f>
        <v>1.10</v>
      </c>
      <c r="AU999" t="str">
        <f>$Q$917</f>
        <v>L2</v>
      </c>
      <c r="AV999">
        <f>$E$21</f>
        <v>10.6875</v>
      </c>
      <c r="AW999" cm="1">
        <f t="array" ref="AW999">IFERROR(IF(AV999=0,0,(INDEX($C$33:$C$38,MATCH($AZ$935,$B$33:$B$38,0),0)*(AV1003+$BA$935)+$AW$935*COUNTIF(AV999:AV1002,"&gt;0")*$C$32+$AY$935*$C$31)*$AU$935),0)</f>
        <v>0</v>
      </c>
      <c r="AX999">
        <f>IF(AV999=0,0,-(COUNTIF(AV999:AV1002,"&gt;0")*$AW$935*$C$32+$AY$935*$C$31)*$H$27*$AU$935)</f>
        <v>0</v>
      </c>
      <c r="AY999">
        <f>IF(AV999=0,0,$AY$935*$H$26*$AU$935)</f>
        <v>0</v>
      </c>
      <c r="AZ999">
        <f>(0.6*AW999+0.7*AX999)*$AU$935/2</f>
        <v>0</v>
      </c>
      <c r="BA999">
        <f>(0.6*AW999+0.6*AY999)*$AU$935/2</f>
        <v>0</v>
      </c>
      <c r="BC999">
        <f>IF(AV999=0,0,$BG$935*$AP$917)</f>
        <v>0</v>
      </c>
      <c r="BD999">
        <f>IFERROR(BC999/$AU$935,0)</f>
        <v>0</v>
      </c>
      <c r="BE999">
        <f>BC999*($F$21+IF($F$21=0,0,($C$14+$C$15+IF($C$13="single",1.5,3)+3)/12))</f>
        <v>0</v>
      </c>
      <c r="BF999">
        <f>BE999-AZ999</f>
        <v>0</v>
      </c>
      <c r="BG999" cm="1">
        <f t="array" ref="BG999">IFERROR(IF(BF999&lt;0,0,BF999/($AU$935-INDEX(hd_off,MATCH(BT999,hd_mark,0),0)/12)),0)</f>
        <v>0</v>
      </c>
      <c r="BH999">
        <f>IF(AV999=0,0,$BG$935*$AM$917)</f>
        <v>0</v>
      </c>
      <c r="BI999">
        <f>IFERROR(BH999/$AU$935,0)</f>
        <v>0</v>
      </c>
      <c r="BJ999">
        <f>BH999*($F$21+IF($F$21=0,0,($C$14+$C$15+IF($C$13="single",1.5,3)+3)/12))</f>
        <v>0</v>
      </c>
      <c r="BK999">
        <f>BJ999-BA999</f>
        <v>0</v>
      </c>
      <c r="BL999" cm="1">
        <f t="array" ref="BL999">IFERROR(IF(BK999&lt;0,0,BK999/($AU$935-INDEX(hd_off,MATCH(BT999,hd_mark,0),0)/12)),0)</f>
        <v>0</v>
      </c>
      <c r="BM999">
        <f>MAX($F$21,$BB$935)/$Q$948</f>
        <v>0.30172413793103448</v>
      </c>
      <c r="BN999">
        <f>IF(BM999=0,0,IF(BM999&gt;2,1.25-0.125*BM999,1))</f>
        <v>1</v>
      </c>
      <c r="BO999" cm="1">
        <f t="array" ref="BO999">IFERROR(INDEX(sheath_ecap_asd,MATCH(BS999,sheath_mark,0),0)*BN999,0)</f>
        <v>0</v>
      </c>
      <c r="BP999" cm="1">
        <f t="array" ref="BP999">IFERROR(INDEX(sheath_wcap_asd,MATCH(BS999,sheath_mark,0),0)*BN999,0)</f>
        <v>0</v>
      </c>
      <c r="BQ999" cm="1">
        <f t="array" ref="BQ999">IFERROR(INDEX(hd_cap,MATCH(BT999,hd_mark,0),0),0)</f>
        <v>0</v>
      </c>
      <c r="BS999" s="19"/>
      <c r="BT999" s="19"/>
      <c r="BU999" s="100"/>
    </row>
    <row r="1000" x14ac:dyDescent="0.25">
      <c r="P1000" s="93"/>
      <c r="Q1000" s="109"/>
      <c r="R1000" t="str">
        <f>$Q$918</f>
        <v>L3</v>
      </c>
      <c r="S1000">
        <f>$E$22</f>
        <v>21.375</v>
      </c>
      <c r="T1000" cm="1">
        <f t="array" ref="T1000">IFERROR(IF(S1000=0,0,(INDEX($C$33:$C$38,MATCH($W$935,$B$33:$B$38,0),0)*(S1003+$X$935)+$T$935*COUNTIF(S1000:S1002,"&gt;0")*$C$32+$V$935*$C$31)*$R$935),0)</f>
        <v>0</v>
      </c>
      <c r="U1000">
        <f>IF(S1000=0,0,-(COUNTIF(S1000:S1002,"&gt;0")*$T$935*$C$32+$V$935*$C$31)*$H$27*$R$935)</f>
        <v>0</v>
      </c>
      <c r="V1000">
        <f>IF(S1000=0,0,$V$935*$H$26*$R$935)</f>
        <v>0</v>
      </c>
      <c r="W1000">
        <f>(0.6*T1000+0.7*U1000)*$R$935/2</f>
        <v>0</v>
      </c>
      <c r="X1000">
        <f>T1000*$R$935/2</f>
        <v>0</v>
      </c>
      <c r="Z1000">
        <f>IF(S1000=0,0,$AD$935*$AP$918)</f>
        <v>0</v>
      </c>
      <c r="AA1000">
        <f>IFERROR(Z1000/$R$935,0)</f>
        <v>0</v>
      </c>
      <c r="AB1000">
        <f>Z1000*($F$22+IF($F$22=0,0,($C$14+$C$15+IF($C$13="single",1.5,3)+3)/12))</f>
        <v>0</v>
      </c>
      <c r="AC1000">
        <f>AB1000-W1000</f>
        <v>0</v>
      </c>
      <c r="AD1000" cm="1">
        <f t="array" ref="AD1000">IFERROR(IF(AC1000&lt;0,0,AC1000/($R$935-INDEX(hd_off,MATCH(AQ1000,hd_mark,0),0)/12)),0)</f>
        <v>0</v>
      </c>
      <c r="AE1000">
        <f>IF(S1000=0,0,$AD$935*$AM$918)</f>
        <v>0</v>
      </c>
      <c r="AF1000">
        <f>IFERROR(AE1000/$R$935,0)</f>
        <v>0</v>
      </c>
      <c r="AG1000">
        <f>AE1000*($F$22+IF($F$22=0,0,($C$14+$C$15+IF($C$13="single",1.5,3)+3)/12))</f>
        <v>0</v>
      </c>
      <c r="AH1000">
        <f>AG1000-X1000</f>
        <v>0</v>
      </c>
      <c r="AI1000" cm="1">
        <f t="array" ref="AI1000">IFERROR(IF(AH1000&lt;0,0,AH1000/($R$935-INDEX(hd_off,MATCH(AQ1000,hd_mark,0),0)/12)),0)</f>
        <v>0</v>
      </c>
      <c r="AJ1000">
        <f>MAX($F$22,$Z$935)/$Q$948</f>
        <v>0.30172413793103448</v>
      </c>
      <c r="AK1000">
        <f t="shared" ref="AK1000:AK1003" si="617">IF(AJ1000=0,0,IF(AJ1000&gt;2,1.25-0.125*AJ1000,1))</f>
        <v>1</v>
      </c>
      <c r="AL1000" cm="1">
        <f t="array" ref="AL1000">IFERROR(INDEX(sheath_ecap_asd,MATCH(AP1000,sheath_mark,0),0)*AK1000,0)</f>
        <v>0</v>
      </c>
      <c r="AM1000" cm="1">
        <f t="array" ref="AM1000">IFERROR(INDEX(sheath_wcap_asd,MATCH(AP1000,sheath_mark,0),0)*AK1000,0)</f>
        <v>0</v>
      </c>
      <c r="AN1000" cm="1">
        <f t="array" ref="AN1000">IFERROR(INDEX(hd_cap,MATCH(AQ1000,hd_mark,0),0),0)</f>
        <v>0</v>
      </c>
      <c r="AP1000" s="19"/>
      <c r="AQ1000" s="19"/>
      <c r="AR1000" s="100"/>
      <c r="AS1000" s="93"/>
      <c r="AT1000" s="109"/>
      <c r="AU1000" t="str">
        <f>$Q$918</f>
        <v>L3</v>
      </c>
      <c r="AV1000">
        <f>$E$22</f>
        <v>21.375</v>
      </c>
      <c r="AW1000" cm="1">
        <f t="array" ref="AW1000">IFERROR(IF(AV1000=0,0,(INDEX($C$33:$C$38,MATCH($AZ$935,$B$33:$B$38,0),0)*(AV1003+$BA$935)+$AW$935*COUNTIF(AV1000:AV1002,"&gt;0")*$C$32+$AY$935*$C$31)*$AU$935),0)</f>
        <v>0</v>
      </c>
      <c r="AX1000">
        <f>IF(AV1000=0,0,-(COUNTIF(AV1000:AV1002,"&gt;0")*$AW$935*$C$32+$AY$935*$C$31)*$H$27*$AU$935)</f>
        <v>0</v>
      </c>
      <c r="AY1000">
        <f>IF(AV1000=0,0,$AY$935*$H$26*$AU$935)</f>
        <v>0</v>
      </c>
      <c r="AZ1000">
        <f>(0.6*AW1000+0.7*AX1000)*$AU$935/2</f>
        <v>0</v>
      </c>
      <c r="BA1000">
        <f>AW1000*$AU$935/2</f>
        <v>0</v>
      </c>
      <c r="BC1000">
        <f>IF(AV1000=0,0,$BG$935*$AP$918)</f>
        <v>0</v>
      </c>
      <c r="BD1000">
        <f>IFERROR(BC1000/$AU$935,0)</f>
        <v>0</v>
      </c>
      <c r="BE1000">
        <f>BC1000*($F$22+IF($F$22=0,0,($C$14+$C$15+IF($C$13="single",1.5,3)+3)/12))</f>
        <v>0</v>
      </c>
      <c r="BF1000">
        <f>BE1000-AZ1000</f>
        <v>0</v>
      </c>
      <c r="BG1000" cm="1">
        <f t="array" ref="BG1000">IFERROR(IF(BF1000&lt;0,0,BF1000/($AU$935-INDEX(hd_off,MATCH(BT1000,hd_mark,0),0)/12)),0)</f>
        <v>0</v>
      </c>
      <c r="BH1000">
        <f>IF(AV1000=0,0,$BG$935*$AM$918)</f>
        <v>0</v>
      </c>
      <c r="BI1000">
        <f>IFERROR(BH1000/$AU$935,0)</f>
        <v>0</v>
      </c>
      <c r="BJ1000">
        <f>BH1000*($F$22+IF($F$22=0,0,($C$14+$C$15+IF($C$13="single",1.5,3)+3)/12))</f>
        <v>0</v>
      </c>
      <c r="BK1000">
        <f>BJ1000-BA1000</f>
        <v>0</v>
      </c>
      <c r="BL1000" cm="1">
        <f t="array" ref="BL1000">IFERROR(IF(BK1000&lt;0,0,BK1000/($AU$935-INDEX(hd_off,MATCH(BT1000,hd_mark,0),0)/12)),0)</f>
        <v>0</v>
      </c>
      <c r="BM1000">
        <f>MAX($F$22,$BC$935)/$Q$948</f>
        <v>0.30172413793103448</v>
      </c>
      <c r="BN1000">
        <f t="shared" ref="BN1000:BN1003" si="618">IF(BM1000=0,0,IF(BM1000&gt;2,1.25-0.125*BM1000,1))</f>
        <v>1</v>
      </c>
      <c r="BO1000" cm="1">
        <f t="array" ref="BO1000">IFERROR(INDEX(sheath_ecap_asd,MATCH(BS1000,sheath_mark,0),0)*BN1000,0)</f>
        <v>0</v>
      </c>
      <c r="BP1000" cm="1">
        <f t="array" ref="BP1000">IFERROR(INDEX(sheath_wcap_asd,MATCH(BS1000,sheath_mark,0),0)*BN1000,0)</f>
        <v>0</v>
      </c>
      <c r="BQ1000" cm="1">
        <f t="array" ref="BQ1000">IFERROR(INDEX(hd_cap,MATCH(BT1000,hd_mark,0),0),0)</f>
        <v>0</v>
      </c>
      <c r="BS1000" s="19"/>
      <c r="BT1000" s="19"/>
      <c r="BU1000" s="100"/>
    </row>
    <row r="1001" x14ac:dyDescent="0.25">
      <c r="P1001" s="93"/>
      <c r="Q1001" s="109" t="s">
        <v>491</v>
      </c>
      <c r="R1001" t="str">
        <f>$Q$919</f>
        <v>L4</v>
      </c>
      <c r="S1001">
        <f>$E$23</f>
        <v>0</v>
      </c>
      <c r="T1001" cm="1">
        <f t="array" ref="T1001">IFERROR(IF(S1001=0,0,(INDEX($C$33:$C$38,MATCH($W$935,$B$33:$B$38,0),0)*(S1003+$X$935)+$T$935*COUNTIF(S1001:S1002,"&gt;0")*$C$32+$V$935*$C$31)*$R$935),0)</f>
        <v>0</v>
      </c>
      <c r="U1001">
        <f>IF(S1001=0,0,-(COUNTIF(S1001:S1002,"&gt;0")*$T$935*$C$32+$V$935*$C$31)*$H$27*$R$935)</f>
        <v>0</v>
      </c>
      <c r="V1001">
        <f>IF(S1001=0,0,$V$935*$H$26*$R$935)</f>
        <v>0</v>
      </c>
      <c r="W1001">
        <f>(0.6*T1001+0.7*U1001)*$R$935/2</f>
        <v>0</v>
      </c>
      <c r="X1001">
        <f>T1001*$R$935/2</f>
        <v>0</v>
      </c>
      <c r="Z1001">
        <f>IF(S1001=0,0,$AD$935*$AP$919)</f>
        <v>0</v>
      </c>
      <c r="AA1001">
        <f>IFERROR(Z1001/$R$935,0)</f>
        <v>0</v>
      </c>
      <c r="AB1001">
        <f>Z1001*($F$23+IF($F$23=0,0,($C$14+$C$15+IF($C$13="single",1.5,3)+3)/12))</f>
        <v>0</v>
      </c>
      <c r="AC1001">
        <f>AB1001-W1001</f>
        <v>0</v>
      </c>
      <c r="AD1001" cm="1">
        <f t="array" ref="AD1001">IFERROR(IF(AC1001&lt;0,0,AC1001/($R$935-INDEX(hd_off,MATCH(AQ1001,hd_mark,0),0)/12)),0)</f>
        <v>0</v>
      </c>
      <c r="AE1001">
        <f>IF(S1001=0,0,$AD$935*$AM$919)</f>
        <v>0</v>
      </c>
      <c r="AF1001">
        <f>IFERROR(AE1001/$R$935,0)</f>
        <v>0</v>
      </c>
      <c r="AG1001">
        <f>AE1001*($F$23+IF($F$23=0,0,($C$14+$C$15+IF($C$13="single",1.5,3)+3)/12))</f>
        <v>0</v>
      </c>
      <c r="AH1001">
        <f>AG1001-X1001</f>
        <v>0</v>
      </c>
      <c r="AI1001" cm="1">
        <f t="array" ref="AI1001">IFERROR(IF(AH1001&lt;0,0,AH1001/($R$935-INDEX(hd_off,MATCH(AQ1001,hd_mark,0),0)/12)),0)</f>
        <v>0</v>
      </c>
      <c r="AJ1001">
        <f>MAX($F$23,$AA$935)/$Q$948</f>
        <v>0</v>
      </c>
      <c r="AK1001">
        <f t="shared" si="617"/>
        <v>0</v>
      </c>
      <c r="AL1001" cm="1">
        <f t="array" ref="AL1001">IFERROR(INDEX(sheath_ecap_asd,MATCH(AP1001,sheath_mark,0),0)*AK1001,0)</f>
        <v>0</v>
      </c>
      <c r="AM1001" cm="1">
        <f t="array" ref="AM1001">IFERROR(INDEX(sheath_wcap_asd,MATCH(AP1001,sheath_mark,0),0)*AK1001,0)</f>
        <v>0</v>
      </c>
      <c r="AN1001" cm="1">
        <f t="array" ref="AN1001">IFERROR(INDEX(hd_cap,MATCH(AQ1001,hd_mark,0),0),0)</f>
        <v>0</v>
      </c>
      <c r="AP1001" s="19"/>
      <c r="AQ1001" s="19"/>
      <c r="AR1001" s="100"/>
      <c r="AS1001" s="93"/>
      <c r="AT1001" s="109" t="s">
        <v>491</v>
      </c>
      <c r="AU1001" t="str">
        <f>$Q$919</f>
        <v>L4</v>
      </c>
      <c r="AV1001">
        <f>$E$23</f>
        <v>0</v>
      </c>
      <c r="AW1001" cm="1">
        <f t="array" ref="AW1001">IFERROR(IF(AV1001=0,0,(INDEX($C$33:$C$38,MATCH($AZ$935,$B$33:$B$38,0),0)*(AV1003+$BA$935)+$AW$935*COUNTIF(AV1001:AV1002,"&gt;0")*$C$32+$AY$935*$C$31)*$AU$935),0)</f>
        <v>0</v>
      </c>
      <c r="AX1001">
        <f>IF(AV1001=0,0,-(COUNTIF(AV1001:AV1002,"&gt;0")*$AW$935*$C$32+$AY$935*$C$31)*$H$27*$AU$935)</f>
        <v>0</v>
      </c>
      <c r="AY1001">
        <f>IF(AV1001=0,0,$AY$935*$H$26*$AU$935)</f>
        <v>0</v>
      </c>
      <c r="AZ1001">
        <f>(0.6*AW1001+0.7*AX1001)*$AU$935/2</f>
        <v>0</v>
      </c>
      <c r="BA1001">
        <f>AW1001*$AU$935/2</f>
        <v>0</v>
      </c>
      <c r="BC1001">
        <f>IF(AV1001=0,0,$BG$935*$AP$919)</f>
        <v>0</v>
      </c>
      <c r="BD1001">
        <f>IFERROR(BC1001/$AU$935,0)</f>
        <v>0</v>
      </c>
      <c r="BE1001">
        <f>BC1001*($F$23+IF($F$23=0,0,($C$14+$C$15+IF($C$13="single",1.5,3)+3)/12))</f>
        <v>0</v>
      </c>
      <c r="BF1001">
        <f>BE1001-AZ1001</f>
        <v>0</v>
      </c>
      <c r="BG1001" cm="1">
        <f t="array" ref="BG1001">IFERROR(IF(BF1001&lt;0,0,BF1001/($AU$935-INDEX(hd_off,MATCH(BT1001,hd_mark,0),0)/12)),0)</f>
        <v>0</v>
      </c>
      <c r="BH1001">
        <f>IF(AV1001=0,0,$BG$935*$AM$919)</f>
        <v>0</v>
      </c>
      <c r="BI1001">
        <f>IFERROR(BH1001/$AU$935,0)</f>
        <v>0</v>
      </c>
      <c r="BJ1001">
        <f>BH1001*($F$23+IF($F$23=0,0,($C$14+$C$15+IF($C$13="single",1.5,3)+3)/12))</f>
        <v>0</v>
      </c>
      <c r="BK1001">
        <f>BJ1001-BA1001</f>
        <v>0</v>
      </c>
      <c r="BL1001" cm="1">
        <f t="array" ref="BL1001">IFERROR(IF(BK1001&lt;0,0,BK1001/($AU$935-INDEX(hd_off,MATCH(BT1001,hd_mark,0),0)/12)),0)</f>
        <v>0</v>
      </c>
      <c r="BM1001">
        <f>MAX($F$23,$BD$935)/$Q$948</f>
        <v>0</v>
      </c>
      <c r="BN1001">
        <f t="shared" si="618"/>
        <v>0</v>
      </c>
      <c r="BO1001" cm="1">
        <f t="array" ref="BO1001">IFERROR(INDEX(sheath_ecap_asd,MATCH(BS1001,sheath_mark,0),0)*BN1001,0)</f>
        <v>0</v>
      </c>
      <c r="BP1001" cm="1">
        <f t="array" ref="BP1001">IFERROR(INDEX(sheath_wcap_asd,MATCH(BS1001,sheath_mark,0),0)*BN1001,0)</f>
        <v>0</v>
      </c>
      <c r="BQ1001" cm="1">
        <f t="array" ref="BQ1001">IFERROR(INDEX(hd_cap,MATCH(BT1001,hd_mark,0),0),0)</f>
        <v>0</v>
      </c>
      <c r="BS1001" s="19"/>
      <c r="BT1001" s="19"/>
      <c r="BU1001" s="100"/>
    </row>
    <row r="1002" x14ac:dyDescent="0.25">
      <c r="P1002" s="93"/>
      <c r="Q1002" s="111">
        <f>$R$935</f>
        <v>0</v>
      </c>
      <c r="R1002" t="str">
        <f>$Q$920</f>
        <v>L5</v>
      </c>
      <c r="S1002">
        <f>$E$24</f>
        <v>0</v>
      </c>
      <c r="T1002" cm="1">
        <f t="array" ref="T1002">IFERROR(IF(S1002=0,0,(INDEX($C$33:$C$38,MATCH($W$935,$B$33:$B$38,0),0)*(S1003+$X$935)+$T$935*COUNTIF(S1002:S1002,"&gt;0")*$C$32+$V$935*$C$31)*$R$935),0)</f>
        <v>0</v>
      </c>
      <c r="U1002">
        <f>IF(S1002=0,0,-(COUNTIF(S1002:S1002,"&gt;0")*$T$935*$C$32+$V$935*$C$31)*$H$27*$R$935)</f>
        <v>0</v>
      </c>
      <c r="V1002">
        <f>IF(S1002=0,0,$V$935*$H$26*$R$935)</f>
        <v>0</v>
      </c>
      <c r="W1002">
        <f>(0.6*T1002+0.7*U1002)*$R$935/2</f>
        <v>0</v>
      </c>
      <c r="X1002">
        <f>T1002*$R$935/2</f>
        <v>0</v>
      </c>
      <c r="Z1002">
        <f>IF(S1002=0,0,$AD$935*$AP$920)</f>
        <v>0</v>
      </c>
      <c r="AA1002">
        <f>IFERROR(Z1002/$R$935,0)</f>
        <v>0</v>
      </c>
      <c r="AB1002">
        <f>Z1002*($F$24+IF($F$24=0,0,($C$14+$C$15+IF($C$13="single",1.5,3)+3)/12))</f>
        <v>0</v>
      </c>
      <c r="AC1002">
        <f>AB1002-W1002</f>
        <v>0</v>
      </c>
      <c r="AD1002" cm="1">
        <f t="array" ref="AD1002">IFERROR(IF(AC1002&lt;0,0,AC1002/($R$935-INDEX(hd_off,MATCH(AQ1002,hd_mark,0),0)/12)),0)</f>
        <v>0</v>
      </c>
      <c r="AE1002">
        <f>IF(S1002=0,0,$AD$935*$AM$920)</f>
        <v>0</v>
      </c>
      <c r="AF1002">
        <f>IFERROR(AE1002/$R$935,0)</f>
        <v>0</v>
      </c>
      <c r="AG1002">
        <f>AE1002*($F$24+IF($F$24=0,0,($C$14+$C$15+IF($C$13="single",1.5,3)+3)/12))</f>
        <v>0</v>
      </c>
      <c r="AH1002">
        <f>AG1002-X1002</f>
        <v>0</v>
      </c>
      <c r="AI1002" cm="1">
        <f t="array" ref="AI1002">IFERROR(IF(AH1002&lt;0,0,AH1002/($R$935-INDEX(hd_off,MATCH(AQ1002,hd_mark,0),0)/12)),0)</f>
        <v>0</v>
      </c>
      <c r="AJ1002">
        <f>MAX($F$24,$AB$935)/$Q$948</f>
        <v>0</v>
      </c>
      <c r="AK1002">
        <f t="shared" si="617"/>
        <v>0</v>
      </c>
      <c r="AL1002" cm="1">
        <f t="array" ref="AL1002">IFERROR(INDEX(sheath_ecap_asd,MATCH(AP1002,sheath_mark,0),0)*AK1002,0)</f>
        <v>0</v>
      </c>
      <c r="AM1002" cm="1">
        <f t="array" ref="AM1002">IFERROR(INDEX(sheath_wcap_asd,MATCH(AP1002,sheath_mark,0),0)*AK1002,0)</f>
        <v>0</v>
      </c>
      <c r="AN1002" cm="1">
        <f t="array" ref="AN1002">IFERROR(INDEX(hd_cap,MATCH(AQ1002,hd_mark,0),0),0)</f>
        <v>0</v>
      </c>
      <c r="AP1002" s="19"/>
      <c r="AQ1002" s="19"/>
      <c r="AR1002" s="100"/>
      <c r="AS1002" s="93"/>
      <c r="AT1002" s="111">
        <f>$R$935</f>
        <v>0</v>
      </c>
      <c r="AU1002" t="str">
        <f>$Q$920</f>
        <v>L5</v>
      </c>
      <c r="AV1002">
        <f>$E$24</f>
        <v>0</v>
      </c>
      <c r="AW1002" cm="1">
        <f t="array" ref="AW1002">IFERROR(IF(AV1002=0,0,(INDEX($C$33:$C$38,MATCH($AZ$935,$B$33:$B$38,0),0)*(AV1003+$BA$935)+$AW$935*COUNTIF(AV1002:AV1002,"&gt;0")*$C$32+$AY$935*$C$31)*$AU$935),0)</f>
        <v>0</v>
      </c>
      <c r="AX1002">
        <f>IF(AV1002=0,0,-(COUNTIF(AV1002:AV1002,"&gt;0")*$AW$935*$C$32+$AY$935*$C$31)*$H$27*$AU$935)</f>
        <v>0</v>
      </c>
      <c r="AY1002">
        <f>IF(AV1002=0,0,$AY$935*$H$26*$AU$935)</f>
        <v>0</v>
      </c>
      <c r="AZ1002">
        <f>(0.6*AW1002+0.7*AX1002)*$AU$935/2</f>
        <v>0</v>
      </c>
      <c r="BA1002">
        <f>AW1002*$AU$935/2</f>
        <v>0</v>
      </c>
      <c r="BC1002">
        <f>IF(AV1002=0,0,$BG$935*$AP$920)</f>
        <v>0</v>
      </c>
      <c r="BD1002">
        <f>IFERROR(BC1002/$AU$935,0)</f>
        <v>0</v>
      </c>
      <c r="BE1002">
        <f>BC1002*($F$24+IF($F$24=0,0,($C$14+$C$15+IF($C$13="single",1.5,3)+3)/12))</f>
        <v>0</v>
      </c>
      <c r="BF1002">
        <f>BE1002-AZ1002</f>
        <v>0</v>
      </c>
      <c r="BG1002" cm="1">
        <f t="array" ref="BG1002">IFERROR(IF(BF1002&lt;0,0,BF1002/($AU$935-INDEX(hd_off,MATCH(BT1002,hd_mark,0),0)/12)),0)</f>
        <v>0</v>
      </c>
      <c r="BH1002">
        <f>IF(AV1002=0,0,$BG$935*$AM$920)</f>
        <v>0</v>
      </c>
      <c r="BI1002">
        <f>IFERROR(BH1002/$AU$935,0)</f>
        <v>0</v>
      </c>
      <c r="BJ1002">
        <f>BH1002*($F$24+IF($F$24=0,0,($C$14+$C$15+IF($C$13="single",1.5,3)+3)/12))</f>
        <v>0</v>
      </c>
      <c r="BK1002">
        <f>BJ1002-BA1002</f>
        <v>0</v>
      </c>
      <c r="BL1002" cm="1">
        <f t="array" ref="BL1002">IFERROR(IF(BK1002&lt;0,0,BK1002/($AU$935-INDEX(hd_off,MATCH(BT1002,hd_mark,0),0)/12)),0)</f>
        <v>0</v>
      </c>
      <c r="BM1002">
        <f>MAX($F$24,$BE$935)/$Q$948</f>
        <v>0</v>
      </c>
      <c r="BN1002">
        <f t="shared" si="618"/>
        <v>0</v>
      </c>
      <c r="BO1002" cm="1">
        <f t="array" ref="BO1002">IFERROR(INDEX(sheath_ecap_asd,MATCH(BS1002,sheath_mark,0),0)*BN1002,0)</f>
        <v>0</v>
      </c>
      <c r="BP1002" cm="1">
        <f t="array" ref="BP1002">IFERROR(INDEX(sheath_wcap_asd,MATCH(BS1002,sheath_mark,0),0)*BN1002,0)</f>
        <v>0</v>
      </c>
      <c r="BQ1002" cm="1">
        <f t="array" ref="BQ1002">IFERROR(INDEX(hd_cap,MATCH(BT1002,hd_mark,0),0),0)</f>
        <v>0</v>
      </c>
      <c r="BS1002" s="19"/>
      <c r="BT1002" s="19"/>
      <c r="BU1002" s="100"/>
    </row>
    <row r="1003" x14ac:dyDescent="0.25">
      <c r="P1003" s="93"/>
      <c r="Q1003" s="109"/>
      <c r="R1003" t="str">
        <f>$Q$921</f>
        <v>Roof</v>
      </c>
      <c r="S1003">
        <f>$E$25</f>
        <v>33.171875</v>
      </c>
      <c r="T1003" cm="1">
        <f t="array" ref="T1003">IFERROR(IF(S1003=0,0,(INDEX($C$33:$C$38,MATCH($W$935,$B$33:$B$38,0),0)*(S1003+$X$935)+$V$935*$C$31)*$R$935),0)</f>
        <v>0</v>
      </c>
      <c r="U1003">
        <f>IF(S1003=0,0,-$V$935*$C$31*$H$27*$R$935)</f>
        <v>0</v>
      </c>
      <c r="V1003">
        <f>IF(S1003=0,0,$V$935*$H$26*$R$935)</f>
        <v>0</v>
      </c>
      <c r="W1003">
        <f>(0.6*T1003+0.7*U1003)*$R$935/2</f>
        <v>0</v>
      </c>
      <c r="X1003">
        <f>T1003*$R$935/2</f>
        <v>0</v>
      </c>
      <c r="Z1003">
        <f>IF(S1003=0,0,$AD$935*$AP$921)</f>
        <v>0</v>
      </c>
      <c r="AA1003">
        <f>IFERROR(Z1003/$R$935,0)</f>
        <v>0</v>
      </c>
      <c r="AB1003">
        <f>Z1003*($F$25+($C$16+$C$17+IF($C$13="single",1.5,3)+3)/12)</f>
        <v>0</v>
      </c>
      <c r="AC1003">
        <f>AB1003-W1003</f>
        <v>0</v>
      </c>
      <c r="AD1003" cm="1">
        <f t="array" ref="AD1003">IFERROR(IF(AC1003&lt;0,0,AC1003/($R$935-INDEX(hd_off,MATCH(AQ1003,hd_mark,0),0)/12)),0)</f>
        <v>0</v>
      </c>
      <c r="AE1003">
        <f>IF(S1003=0,0,$AD$935*$AM$921)</f>
        <v>0</v>
      </c>
      <c r="AF1003">
        <f>IFERROR(AE1003/$R$935,0)</f>
        <v>0</v>
      </c>
      <c r="AG1003">
        <f>AE1003*($F$25+($C$16+$C$17+IF($C$13="single",1.5,3)+3)/12)</f>
        <v>0</v>
      </c>
      <c r="AH1003">
        <f>AG1003-X1003</f>
        <v>0</v>
      </c>
      <c r="AI1003" cm="1">
        <f t="array" ref="AI1003">IFERROR(IF(AH1003&lt;0,0,AH1003/($R$935-INDEX(hd_off,MATCH(AQ1003,hd_mark,0),0)/12)),0)</f>
        <v>0</v>
      </c>
      <c r="AJ1003">
        <f>MAX($F$25,$AC$935)/$Q$948</f>
        <v>0.29920977011494249</v>
      </c>
      <c r="AK1003">
        <f t="shared" si="617"/>
        <v>1</v>
      </c>
      <c r="AL1003" cm="1">
        <f t="array" ref="AL1003">IFERROR(INDEX(sheath_ecap_asd,MATCH(AP1003,sheath_mark,0),0)*AK1003,0)</f>
        <v>0</v>
      </c>
      <c r="AM1003" cm="1">
        <f t="array" ref="AM1003">IFERROR(INDEX(sheath_wcap_asd,MATCH(AP1003,sheath_mark,0),0)*AK1003,0)</f>
        <v>0</v>
      </c>
      <c r="AN1003" cm="1">
        <f t="array" ref="AN1003">IFERROR(INDEX(hd_cap,MATCH(AQ1003,hd_mark,0),0),0)</f>
        <v>0</v>
      </c>
      <c r="AP1003" s="19"/>
      <c r="AQ1003" s="19"/>
      <c r="AR1003" s="100"/>
      <c r="AS1003" s="93"/>
      <c r="AT1003" s="109"/>
      <c r="AU1003" t="str">
        <f>$Q$921</f>
        <v>Roof</v>
      </c>
      <c r="AV1003">
        <f>$E$25</f>
        <v>33.171875</v>
      </c>
      <c r="AW1003" cm="1">
        <f t="array" ref="AW1003">IFERROR(IF(AV1003=0,0,(INDEX($C$33:$C$38,MATCH($AZ$935,$B$33:$B$38,0),0)*(AV1003+$BA$935)+$AY$935*$C$31)*$AU$935),0)</f>
        <v>0</v>
      </c>
      <c r="AX1003">
        <f>IF(AV1003=0,0,-$AY$935*$C$31*$H$27*$AU$935)</f>
        <v>0</v>
      </c>
      <c r="AY1003">
        <f>IF(AV1003=0,0,$AY$935*$H$26*$AU$935)</f>
        <v>0</v>
      </c>
      <c r="AZ1003">
        <f>(0.6*AW1003+0.7*AX1003)*$AU$935/2</f>
        <v>0</v>
      </c>
      <c r="BA1003">
        <f>AW1003*$AU$935/2</f>
        <v>0</v>
      </c>
      <c r="BC1003">
        <f>IF(AV1003=0,0,$BG$935*$AP$921)</f>
        <v>0</v>
      </c>
      <c r="BD1003">
        <f>IFERROR(BC1003/$AU$935,0)</f>
        <v>0</v>
      </c>
      <c r="BE1003">
        <f>BC1003*($F$25+($C$16+$C$17+IF($C$13="single",1.5,3)+3)/12)</f>
        <v>0</v>
      </c>
      <c r="BF1003">
        <f>BE1003-AZ1003</f>
        <v>0</v>
      </c>
      <c r="BG1003" cm="1">
        <f t="array" ref="BG1003">IFERROR(IF(BF1003&lt;0,0,BF1003/($AU$935-INDEX(hd_off,MATCH(BT1003,hd_mark,0),0)/12)),0)</f>
        <v>0</v>
      </c>
      <c r="BH1003">
        <f>IF(AV1003=0,0,$BG$935*$AM$921)</f>
        <v>0</v>
      </c>
      <c r="BI1003">
        <f>IFERROR(BH1003/$AU$935,0)</f>
        <v>0</v>
      </c>
      <c r="BJ1003">
        <f>BH1003*($F$25+($C$16+$C$17+IF($C$13="single",1.5,3)+3)/12)</f>
        <v>0</v>
      </c>
      <c r="BK1003">
        <f>BJ1003-BA1003</f>
        <v>0</v>
      </c>
      <c r="BL1003" cm="1">
        <f t="array" ref="BL1003">IFERROR(IF(BK1003&lt;0,0,BK1003/($AU$935-INDEX(hd_off,MATCH(BT1003,hd_mark,0),0)/12)),0)</f>
        <v>0</v>
      </c>
      <c r="BM1003">
        <f>MAX($F$25,$BF$935)/$Q$948</f>
        <v>0.29920977011494249</v>
      </c>
      <c r="BN1003">
        <f t="shared" si="618"/>
        <v>1</v>
      </c>
      <c r="BO1003" cm="1">
        <f t="array" ref="BO1003">IFERROR(INDEX(sheath_ecap_asd,MATCH(BS1003,sheath_mark,0),0)*BN1003,0)</f>
        <v>0</v>
      </c>
      <c r="BP1003" cm="1">
        <f t="array" ref="BP1003">IFERROR(INDEX(sheath_wcap_asd,MATCH(BS1003,sheath_mark,0),0)*BN1003,0)</f>
        <v>0</v>
      </c>
      <c r="BQ1003" cm="1">
        <f t="array" ref="BQ1003">IFERROR(INDEX(hd_cap,MATCH(BT1003,hd_mark,0),0),0)</f>
        <v>0</v>
      </c>
      <c r="BS1003" s="19"/>
      <c r="BT1003" s="19"/>
      <c r="BU1003" s="100"/>
    </row>
    <row r="1004" x14ac:dyDescent="0.25">
      <c r="P1004" s="93"/>
      <c r="AR1004" s="100"/>
      <c r="AS1004" s="93"/>
      <c r="BU1004" s="100"/>
    </row>
    <row r="1005" x14ac:dyDescent="0.25">
      <c r="P1005" s="93"/>
      <c r="Q1005" s="110" t="str">
        <f>$Q$936</f>
        <v>A.11</v>
      </c>
      <c r="R1005" t="str">
        <f>$Q$917</f>
        <v>L2</v>
      </c>
      <c r="S1005">
        <f>$E$21</f>
        <v>10.6875</v>
      </c>
      <c r="T1005" cm="1">
        <f t="array" ref="T1005">IFERROR(IF(S1005=0,0,(INDEX($C$33:$C$38,MATCH($W$936,$B$33:$B$38,0),0)*(S1009+$X$936)+$T$936*COUNTIF(S1005:S1008,"&gt;0")*$C$32+$V$936*$C$31)*$R$936),0)</f>
        <v>0</v>
      </c>
      <c r="U1005">
        <f>IF(S1005=0,0,-(COUNTIF(S1005:S1008,"&gt;0")*$T$936*$C$32+$V$936*$C$31)*$H$27*$R$936)</f>
        <v>0</v>
      </c>
      <c r="V1005">
        <f>IF(S1005=0,0,$V$936*$H$26*$R$936)</f>
        <v>0</v>
      </c>
      <c r="W1005">
        <f>(0.6*T1005+0.7*U1005)*$R$936/2</f>
        <v>0</v>
      </c>
      <c r="X1005">
        <f>(0.6*T1005+0.6*V1005)*$R$936/2</f>
        <v>0</v>
      </c>
      <c r="Z1005">
        <f>IF(S1005=0,0,$AD$936*$AP$917)</f>
        <v>0</v>
      </c>
      <c r="AA1005">
        <f>IFERROR(Z1005/$R$936,0)</f>
        <v>0</v>
      </c>
      <c r="AB1005">
        <f>Z1005*($F$21+IF($F$21=0,0,($C$14+$C$15+IF($C$13="single",1.5,3)+3)/12))</f>
        <v>0</v>
      </c>
      <c r="AC1005">
        <f>AB1005-W1005</f>
        <v>0</v>
      </c>
      <c r="AD1005" cm="1">
        <f t="array" ref="AD1005">IFERROR(IF(AC1005&lt;0,0,AC1005/($R$936-INDEX(hd_off,MATCH(AQ1005,hd_mark,0),0)/12)),0)</f>
        <v>0</v>
      </c>
      <c r="AE1005">
        <f>IF(S1005=0,0,$AD$936*$AM$917)</f>
        <v>0</v>
      </c>
      <c r="AF1005">
        <f>IFERROR(AE1005/$R$936,0)</f>
        <v>0</v>
      </c>
      <c r="AG1005">
        <f>AE1005*($F$21+IF($F$21=0,0,($C$14+$C$15+IF($C$13="single",1.5,3)+3)/12))</f>
        <v>0</v>
      </c>
      <c r="AH1005">
        <f>AG1005-X1005</f>
        <v>0</v>
      </c>
      <c r="AI1005" cm="1">
        <f t="array" ref="AI1005">IFERROR(IF(AH1005&lt;0,0,AH1005/($R$936-INDEX(hd_off,MATCH(AQ1005,hd_mark,0),0)/12)),0)</f>
        <v>0</v>
      </c>
      <c r="AJ1005">
        <f>MAX($F$21,$Y$936)/$Q$948</f>
        <v>0.30172413793103448</v>
      </c>
      <c r="AK1005">
        <f>IF(AJ1005=0,0,IF(AJ1005&gt;2,1.25-0.125*AJ1005,1))</f>
        <v>1</v>
      </c>
      <c r="AL1005" cm="1">
        <f t="array" ref="AL1005">IFERROR(INDEX(sheath_ecap_asd,MATCH(AP1005,sheath_mark,0),0)*AK1005,0)</f>
        <v>0</v>
      </c>
      <c r="AM1005" cm="1">
        <f t="array" ref="AM1005">IFERROR(INDEX(sheath_wcap_asd,MATCH(AP1005,sheath_mark,0),0)*AK1005,0)</f>
        <v>0</v>
      </c>
      <c r="AN1005" cm="1">
        <f t="array" ref="AN1005">IFERROR(INDEX(hd_cap,MATCH(AQ1005,hd_mark,0),0),0)</f>
        <v>0</v>
      </c>
      <c r="AP1005" s="19"/>
      <c r="AQ1005" s="19"/>
      <c r="AR1005" s="100"/>
      <c r="AS1005" s="93"/>
      <c r="AT1005" s="110" t="str">
        <f>$AT$936</f>
        <v>1.11</v>
      </c>
      <c r="AU1005" t="str">
        <f>$Q$917</f>
        <v>L2</v>
      </c>
      <c r="AV1005">
        <f>$E$21</f>
        <v>10.6875</v>
      </c>
      <c r="AW1005" cm="1">
        <f t="array" ref="AW1005">IFERROR(IF(AV1005=0,0,(INDEX($C$33:$C$38,MATCH($AZ$936,$B$33:$B$38,0),0)*(AV1009+$BA$936)+$AW$936*COUNTIF(AV1005:AV1008,"&gt;0")*$C$32+$AY$936*$C$31)*$AU$936),0)</f>
        <v>0</v>
      </c>
      <c r="AX1005">
        <f>IF(AV1005=0,0,-(COUNTIF(AV1005:AV1008,"&gt;0")*$AW$936*$C$32+$AY$936*$C$31)*$H$27*$AU$936)</f>
        <v>0</v>
      </c>
      <c r="AY1005">
        <f>IF(AV1005=0,0,$AY$936*$H$26*$AU$936)</f>
        <v>0</v>
      </c>
      <c r="AZ1005">
        <f>(0.6*AW1005+0.7*AX1005)*$AU$936/2</f>
        <v>0</v>
      </c>
      <c r="BA1005">
        <f>(0.6*AW1005+0.6*AY1005)*$AU$936/2</f>
        <v>0</v>
      </c>
      <c r="BC1005">
        <f>IF(AV1005=0,0,$BG$936*$AP$917)</f>
        <v>0</v>
      </c>
      <c r="BD1005">
        <f>IFERROR(BC1005/$AU$936,0)</f>
        <v>0</v>
      </c>
      <c r="BE1005">
        <f>BC1005*($F$21+IF($F$21=0,0,($C$14+$C$15+IF($C$13="single",1.5,3)+3)/12))</f>
        <v>0</v>
      </c>
      <c r="BF1005">
        <f>BE1005-AZ1005</f>
        <v>0</v>
      </c>
      <c r="BG1005" cm="1">
        <f t="array" ref="BG1005">IFERROR(IF(BF1005&lt;0,0,BF1005/($AU$936-INDEX(hd_off,MATCH(BT1005,hd_mark,0),0)/12)),0)</f>
        <v>0</v>
      </c>
      <c r="BH1005">
        <f>IF(AV1005=0,0,$BG$936*$AM$917)</f>
        <v>0</v>
      </c>
      <c r="BI1005">
        <f>IFERROR(BH1005/$AU$936,0)</f>
        <v>0</v>
      </c>
      <c r="BJ1005">
        <f>BH1005*($F$21+IF($F$21=0,0,($C$14+$C$15+IF($C$13="single",1.5,3)+3)/12))</f>
        <v>0</v>
      </c>
      <c r="BK1005">
        <f>BJ1005-BA1005</f>
        <v>0</v>
      </c>
      <c r="BL1005" cm="1">
        <f t="array" ref="BL1005">IFERROR(IF(BK1005&lt;0,0,BK1005/($AU$936-INDEX(hd_off,MATCH(BT1005,hd_mark,0),0)/12)),0)</f>
        <v>0</v>
      </c>
      <c r="BM1005">
        <f>MAX($F$21,$BB$936)/$Q$948</f>
        <v>0.30172413793103448</v>
      </c>
      <c r="BN1005">
        <f>IF(BM1005=0,0,IF(BM1005&gt;2,1.25-0.125*BM1005,1))</f>
        <v>1</v>
      </c>
      <c r="BO1005" cm="1">
        <f t="array" ref="BO1005">IFERROR(INDEX(sheath_ecap_asd,MATCH(BS1005,sheath_mark,0),0)*BN1005,0)</f>
        <v>0</v>
      </c>
      <c r="BP1005" cm="1">
        <f t="array" ref="BP1005">IFERROR(INDEX(sheath_wcap_asd,MATCH(BS1005,sheath_mark,0),0)*BN1005,0)</f>
        <v>0</v>
      </c>
      <c r="BQ1005" cm="1">
        <f t="array" ref="BQ1005">IFERROR(INDEX(hd_cap,MATCH(BT1005,hd_mark,0),0),0)</f>
        <v>0</v>
      </c>
      <c r="BS1005" s="19"/>
      <c r="BT1005" s="19"/>
      <c r="BU1005" s="100"/>
    </row>
    <row r="1006" x14ac:dyDescent="0.25">
      <c r="P1006" s="93"/>
      <c r="Q1006" s="109"/>
      <c r="R1006" t="str">
        <f>$Q$918</f>
        <v>L3</v>
      </c>
      <c r="S1006">
        <f>$E$22</f>
        <v>21.375</v>
      </c>
      <c r="T1006" cm="1">
        <f t="array" ref="T1006">IFERROR(IF(S1006=0,0,(INDEX($C$33:$C$38,MATCH($W$936,$B$33:$B$38,0),0)*(S1009+$X$936)+$T$936*COUNTIF(S1006:S1008,"&gt;0")*$C$32+$V$936*$C$31)*$R$936),0)</f>
        <v>0</v>
      </c>
      <c r="U1006">
        <f>IF(S1006=0,0,-(COUNTIF(S1006:S1008,"&gt;0")*$T$936*$C$32+$V$936*$C$31)*$H$27*$R$936)</f>
        <v>0</v>
      </c>
      <c r="V1006">
        <f>IF(S1006=0,0,$V$936*$H$26*$R$936)</f>
        <v>0</v>
      </c>
      <c r="W1006">
        <f>(0.6*T1006+0.7*U1006)*$R$936/2</f>
        <v>0</v>
      </c>
      <c r="X1006">
        <f>T1006*$R$936/2</f>
        <v>0</v>
      </c>
      <c r="Z1006">
        <f>IF(S1006=0,0,$AD$936*$AP$918)</f>
        <v>0</v>
      </c>
      <c r="AA1006">
        <f>IFERROR(Z1006/$R$936,0)</f>
        <v>0</v>
      </c>
      <c r="AB1006">
        <f>Z1006*($F$22+IF($F$22=0,0,($C$14+$C$15+IF($C$13="single",1.5,3)+3)/12))</f>
        <v>0</v>
      </c>
      <c r="AC1006">
        <f>AB1006-W1006</f>
        <v>0</v>
      </c>
      <c r="AD1006" cm="1">
        <f t="array" ref="AD1006">IFERROR(IF(AC1006&lt;0,0,AC1006/($R$936-INDEX(hd_off,MATCH(AQ1006,hd_mark,0),0)/12)),0)</f>
        <v>0</v>
      </c>
      <c r="AE1006">
        <f>IF(S1006=0,0,$AD$936*$AM$918)</f>
        <v>0</v>
      </c>
      <c r="AF1006">
        <f>IFERROR(AE1006/$R$936,0)</f>
        <v>0</v>
      </c>
      <c r="AG1006">
        <f>AE1006*($F$22+IF($F$22=0,0,($C$14+$C$15+IF($C$13="single",1.5,3)+3)/12))</f>
        <v>0</v>
      </c>
      <c r="AH1006">
        <f>AG1006-X1006</f>
        <v>0</v>
      </c>
      <c r="AI1006" cm="1">
        <f t="array" ref="AI1006">IFERROR(IF(AH1006&lt;0,0,AH1006/($R$936-INDEX(hd_off,MATCH(AQ1006,hd_mark,0),0)/12)),0)</f>
        <v>0</v>
      </c>
      <c r="AJ1006">
        <f>MAX($F$22,$Z$936)/$Q$948</f>
        <v>0.30172413793103448</v>
      </c>
      <c r="AK1006">
        <f t="shared" ref="AK1006:AK1009" si="619">IF(AJ1006=0,0,IF(AJ1006&gt;2,1.25-0.125*AJ1006,1))</f>
        <v>1</v>
      </c>
      <c r="AL1006" cm="1">
        <f t="array" ref="AL1006">IFERROR(INDEX(sheath_ecap_asd,MATCH(AP1006,sheath_mark,0),0)*AK1006,0)</f>
        <v>0</v>
      </c>
      <c r="AM1006" cm="1">
        <f t="array" ref="AM1006">IFERROR(INDEX(sheath_wcap_asd,MATCH(AP1006,sheath_mark,0),0)*AK1006,0)</f>
        <v>0</v>
      </c>
      <c r="AN1006" cm="1">
        <f t="array" ref="AN1006">IFERROR(INDEX(hd_cap,MATCH(AQ1006,hd_mark,0),0),0)</f>
        <v>0</v>
      </c>
      <c r="AP1006" s="19"/>
      <c r="AQ1006" s="19"/>
      <c r="AR1006" s="100"/>
      <c r="AS1006" s="93"/>
      <c r="AT1006" s="109"/>
      <c r="AU1006" t="str">
        <f>$Q$918</f>
        <v>L3</v>
      </c>
      <c r="AV1006">
        <f>$E$22</f>
        <v>21.375</v>
      </c>
      <c r="AW1006" cm="1">
        <f t="array" ref="AW1006">IFERROR(IF(AV1006=0,0,(INDEX($C$33:$C$38,MATCH($AZ$936,$B$33:$B$38,0),0)*(AV1009+$BA$936)+$AW$936*COUNTIF(AV1006:AV1008,"&gt;0")*$C$32+$AY$936*$C$31)*$AU$936),0)</f>
        <v>0</v>
      </c>
      <c r="AX1006">
        <f>IF(AV1006=0,0,-(COUNTIF(AV1006:AV1008,"&gt;0")*$AW$936*$C$32+$AY$936*$C$31)*$H$27*$AU$936)</f>
        <v>0</v>
      </c>
      <c r="AY1006">
        <f>IF(AV1006=0,0,$AY$936*$H$26*$AU$936)</f>
        <v>0</v>
      </c>
      <c r="AZ1006">
        <f>(0.6*AW1006+0.7*AX1006)*$AU$936/2</f>
        <v>0</v>
      </c>
      <c r="BA1006">
        <f>AW1006*$AU$936/2</f>
        <v>0</v>
      </c>
      <c r="BC1006">
        <f>IF(AV1006=0,0,$BG$936*$AP$918)</f>
        <v>0</v>
      </c>
      <c r="BD1006">
        <f>IFERROR(BC1006/$AU$936,0)</f>
        <v>0</v>
      </c>
      <c r="BE1006">
        <f>BC1006*($F$22+IF($F$22=0,0,($C$14+$C$15+IF($C$13="single",1.5,3)+3)/12))</f>
        <v>0</v>
      </c>
      <c r="BF1006">
        <f>BE1006-AZ1006</f>
        <v>0</v>
      </c>
      <c r="BG1006" cm="1">
        <f t="array" ref="BG1006">IFERROR(IF(BF1006&lt;0,0,BF1006/($AU$936-INDEX(hd_off,MATCH(BT1006,hd_mark,0),0)/12)),0)</f>
        <v>0</v>
      </c>
      <c r="BH1006">
        <f>IF(AV1006=0,0,$BG$936*$AM$918)</f>
        <v>0</v>
      </c>
      <c r="BI1006">
        <f>IFERROR(BH1006/$AU$936,0)</f>
        <v>0</v>
      </c>
      <c r="BJ1006">
        <f>BH1006*($F$22+IF($F$22=0,0,($C$14+$C$15+IF($C$13="single",1.5,3)+3)/12))</f>
        <v>0</v>
      </c>
      <c r="BK1006">
        <f>BJ1006-BA1006</f>
        <v>0</v>
      </c>
      <c r="BL1006" cm="1">
        <f t="array" ref="BL1006">IFERROR(IF(BK1006&lt;0,0,BK1006/($AU$936-INDEX(hd_off,MATCH(BT1006,hd_mark,0),0)/12)),0)</f>
        <v>0</v>
      </c>
      <c r="BM1006">
        <f>MAX($F$22,$BC$936)/$Q$948</f>
        <v>0.30172413793103448</v>
      </c>
      <c r="BN1006">
        <f t="shared" ref="BN1006:BN1009" si="620">IF(BM1006=0,0,IF(BM1006&gt;2,1.25-0.125*BM1006,1))</f>
        <v>1</v>
      </c>
      <c r="BO1006" cm="1">
        <f t="array" ref="BO1006">IFERROR(INDEX(sheath_ecap_asd,MATCH(BS1006,sheath_mark,0),0)*BN1006,0)</f>
        <v>0</v>
      </c>
      <c r="BP1006" cm="1">
        <f t="array" ref="BP1006">IFERROR(INDEX(sheath_wcap_asd,MATCH(BS1006,sheath_mark,0),0)*BN1006,0)</f>
        <v>0</v>
      </c>
      <c r="BQ1006" cm="1">
        <f t="array" ref="BQ1006">IFERROR(INDEX(hd_cap,MATCH(BT1006,hd_mark,0),0),0)</f>
        <v>0</v>
      </c>
      <c r="BS1006" s="19"/>
      <c r="BT1006" s="19"/>
      <c r="BU1006" s="100"/>
    </row>
    <row r="1007" x14ac:dyDescent="0.25">
      <c r="P1007" s="93"/>
      <c r="Q1007" s="109" t="s">
        <v>491</v>
      </c>
      <c r="R1007" t="str">
        <f>$Q$919</f>
        <v>L4</v>
      </c>
      <c r="S1007">
        <f>$E$23</f>
        <v>0</v>
      </c>
      <c r="T1007" cm="1">
        <f t="array" ref="T1007">IFERROR(IF(S1007=0,0,(INDEX($C$33:$C$38,MATCH($W$936,$B$33:$B$38,0),0)*(S1009+$X$936)+$T$936*COUNTIF(S1007:S1008,"&gt;0")*$C$32+$V$936*$C$31)*$R$936),0)</f>
        <v>0</v>
      </c>
      <c r="U1007">
        <f>IF(S1007=0,0,-(COUNTIF(S1007:S1008,"&gt;0")*$T$936*$C$32+$V$936*$C$31)*$H$27*$R$936)</f>
        <v>0</v>
      </c>
      <c r="V1007">
        <f>IF(S1007=0,0,$V$936*$H$26*$R$936)</f>
        <v>0</v>
      </c>
      <c r="W1007">
        <f>(0.6*T1007+0.7*U1007)*$R$936/2</f>
        <v>0</v>
      </c>
      <c r="X1007">
        <f>T1007*$R$936/2</f>
        <v>0</v>
      </c>
      <c r="Z1007">
        <f>IF(S1007=0,0,$AD$936*$AP$919)</f>
        <v>0</v>
      </c>
      <c r="AA1007">
        <f>IFERROR(Z1007/$R$936,0)</f>
        <v>0</v>
      </c>
      <c r="AB1007">
        <f>Z1007*($F$23+IF($F$23=0,0,($C$14+$C$15+IF($C$13="single",1.5,3)+3)/12))</f>
        <v>0</v>
      </c>
      <c r="AC1007">
        <f>AB1007-W1007</f>
        <v>0</v>
      </c>
      <c r="AD1007" cm="1">
        <f t="array" ref="AD1007">IFERROR(IF(AC1007&lt;0,0,AC1007/($R$936-INDEX(hd_off,MATCH(AQ1007,hd_mark,0),0)/12)),0)</f>
        <v>0</v>
      </c>
      <c r="AE1007">
        <f>IF(S1007=0,0,$AD$936*$AM$919)</f>
        <v>0</v>
      </c>
      <c r="AF1007">
        <f>IFERROR(AE1007/$R$936,0)</f>
        <v>0</v>
      </c>
      <c r="AG1007">
        <f>AE1007*($F$23+IF($F$23=0,0,($C$14+$C$15+IF($C$13="single",1.5,3)+3)/12))</f>
        <v>0</v>
      </c>
      <c r="AH1007">
        <f>AG1007-X1007</f>
        <v>0</v>
      </c>
      <c r="AI1007" cm="1">
        <f t="array" ref="AI1007">IFERROR(IF(AH1007&lt;0,0,AH1007/($R$936-INDEX(hd_off,MATCH(AQ1007,hd_mark,0),0)/12)),0)</f>
        <v>0</v>
      </c>
      <c r="AJ1007">
        <f>MAX($F$23,$AA$936)/$Q$948</f>
        <v>0</v>
      </c>
      <c r="AK1007">
        <f t="shared" si="619"/>
        <v>0</v>
      </c>
      <c r="AL1007" cm="1">
        <f t="array" ref="AL1007">IFERROR(INDEX(sheath_ecap_asd,MATCH(AP1007,sheath_mark,0),0)*AK1007,0)</f>
        <v>0</v>
      </c>
      <c r="AM1007" cm="1">
        <f t="array" ref="AM1007">IFERROR(INDEX(sheath_wcap_asd,MATCH(AP1007,sheath_mark,0),0)*AK1007,0)</f>
        <v>0</v>
      </c>
      <c r="AN1007" cm="1">
        <f t="array" ref="AN1007">IFERROR(INDEX(hd_cap,MATCH(AQ1007,hd_mark,0),0),0)</f>
        <v>0</v>
      </c>
      <c r="AP1007" s="19"/>
      <c r="AQ1007" s="19"/>
      <c r="AR1007" s="100"/>
      <c r="AS1007" s="93"/>
      <c r="AT1007" s="109" t="s">
        <v>491</v>
      </c>
      <c r="AU1007" t="str">
        <f>$Q$919</f>
        <v>L4</v>
      </c>
      <c r="AV1007">
        <f>$E$23</f>
        <v>0</v>
      </c>
      <c r="AW1007" cm="1">
        <f t="array" ref="AW1007">IFERROR(IF(AV1007=0,0,(INDEX($C$33:$C$38,MATCH($AZ$936,$B$33:$B$38,0),0)*(AV1009+$BA$936)+$AW$936*COUNTIF(AV1007:AV1008,"&gt;0")*$C$32+$AY$936*$C$31)*$AU$936),0)</f>
        <v>0</v>
      </c>
      <c r="AX1007">
        <f>IF(AV1007=0,0,-(COUNTIF(AV1007:AV1008,"&gt;0")*$AW$936*$C$32+$AY$936*$C$31)*$H$27*$AU$936)</f>
        <v>0</v>
      </c>
      <c r="AY1007">
        <f>IF(AV1007=0,0,$AY$936*$H$26*$AU$936)</f>
        <v>0</v>
      </c>
      <c r="AZ1007">
        <f>(0.6*AW1007+0.7*AX1007)*$AU$936/2</f>
        <v>0</v>
      </c>
      <c r="BA1007">
        <f>AW1007*$AU$936/2</f>
        <v>0</v>
      </c>
      <c r="BC1007">
        <f>IF(AV1007=0,0,$BG$936*$AP$919)</f>
        <v>0</v>
      </c>
      <c r="BD1007">
        <f>IFERROR(BC1007/$AU$936,0)</f>
        <v>0</v>
      </c>
      <c r="BE1007">
        <f>BC1007*($F$23+IF($F$23=0,0,($C$14+$C$15+IF($C$13="single",1.5,3)+3)/12))</f>
        <v>0</v>
      </c>
      <c r="BF1007">
        <f>BE1007-AZ1007</f>
        <v>0</v>
      </c>
      <c r="BG1007" cm="1">
        <f t="array" ref="BG1007">IFERROR(IF(BF1007&lt;0,0,BF1007/($AU$936-INDEX(hd_off,MATCH(BT1007,hd_mark,0),0)/12)),0)</f>
        <v>0</v>
      </c>
      <c r="BH1007">
        <f>IF(AV1007=0,0,$BG$936*$AM$919)</f>
        <v>0</v>
      </c>
      <c r="BI1007">
        <f>IFERROR(BH1007/$AU$936,0)</f>
        <v>0</v>
      </c>
      <c r="BJ1007">
        <f>BH1007*($F$23+IF($F$23=0,0,($C$14+$C$15+IF($C$13="single",1.5,3)+3)/12))</f>
        <v>0</v>
      </c>
      <c r="BK1007">
        <f>BJ1007-BA1007</f>
        <v>0</v>
      </c>
      <c r="BL1007" cm="1">
        <f t="array" ref="BL1007">IFERROR(IF(BK1007&lt;0,0,BK1007/($AU$936-INDEX(hd_off,MATCH(BT1007,hd_mark,0),0)/12)),0)</f>
        <v>0</v>
      </c>
      <c r="BM1007">
        <f>MAX($F$23,$BD$936)/$Q$948</f>
        <v>0</v>
      </c>
      <c r="BN1007">
        <f t="shared" si="620"/>
        <v>0</v>
      </c>
      <c r="BO1007" cm="1">
        <f t="array" ref="BO1007">IFERROR(INDEX(sheath_ecap_asd,MATCH(BS1007,sheath_mark,0),0)*BN1007,0)</f>
        <v>0</v>
      </c>
      <c r="BP1007" cm="1">
        <f t="array" ref="BP1007">IFERROR(INDEX(sheath_wcap_asd,MATCH(BS1007,sheath_mark,0),0)*BN1007,0)</f>
        <v>0</v>
      </c>
      <c r="BQ1007" cm="1">
        <f t="array" ref="BQ1007">IFERROR(INDEX(hd_cap,MATCH(BT1007,hd_mark,0),0),0)</f>
        <v>0</v>
      </c>
      <c r="BS1007" s="19"/>
      <c r="BT1007" s="19"/>
      <c r="BU1007" s="100"/>
    </row>
    <row r="1008" x14ac:dyDescent="0.25">
      <c r="P1008" s="93"/>
      <c r="Q1008" s="111">
        <f>$R$936</f>
        <v>0</v>
      </c>
      <c r="R1008" t="str">
        <f>$Q$920</f>
        <v>L5</v>
      </c>
      <c r="S1008">
        <f>$E$24</f>
        <v>0</v>
      </c>
      <c r="T1008" cm="1">
        <f t="array" ref="T1008">IFERROR(IF(S1008=0,0,(INDEX($C$33:$C$38,MATCH($W$936,$B$33:$B$38,0),0)*(S1009+$X$936)+$T$936*COUNTIF(S1008:S1008,"&gt;0")*$C$32+$V$936*$C$31)*$R$936),0)</f>
        <v>0</v>
      </c>
      <c r="U1008">
        <f>IF(S1008=0,0,-(COUNTIF(S1008:S1008,"&gt;0")*$T$936*$C$32+$V$936*$C$31)*$H$27*$R$936)</f>
        <v>0</v>
      </c>
      <c r="V1008">
        <f>IF(S1008=0,0,$V$936*$H$26*$R$936)</f>
        <v>0</v>
      </c>
      <c r="W1008">
        <f>(0.6*T1008+0.7*U1008)*$R$936/2</f>
        <v>0</v>
      </c>
      <c r="X1008">
        <f>T1008*$R$936/2</f>
        <v>0</v>
      </c>
      <c r="Z1008">
        <f>IF(S1008=0,0,$AD$936*$AP$920)</f>
        <v>0</v>
      </c>
      <c r="AA1008">
        <f>IFERROR(Z1008/$R$936,0)</f>
        <v>0</v>
      </c>
      <c r="AB1008">
        <f>Z1008*($F$24+IF($F$24=0,0,($C$14+$C$15+IF($C$13="single",1.5,3)+3)/12))</f>
        <v>0</v>
      </c>
      <c r="AC1008">
        <f>AB1008-W1008</f>
        <v>0</v>
      </c>
      <c r="AD1008" cm="1">
        <f t="array" ref="AD1008">IFERROR(IF(AC1008&lt;0,0,AC1008/($R$936-INDEX(hd_off,MATCH(AQ1008,hd_mark,0),0)/12)),0)</f>
        <v>0</v>
      </c>
      <c r="AE1008">
        <f>IF(S1008=0,0,$AD$936*$AM$920)</f>
        <v>0</v>
      </c>
      <c r="AF1008">
        <f>IFERROR(AE1008/$R$936,0)</f>
        <v>0</v>
      </c>
      <c r="AG1008">
        <f>AE1008*($F$24+IF($F$24=0,0,($C$14+$C$15+IF($C$13="single",1.5,3)+3)/12))</f>
        <v>0</v>
      </c>
      <c r="AH1008">
        <f>AG1008-X1008</f>
        <v>0</v>
      </c>
      <c r="AI1008" cm="1">
        <f t="array" ref="AI1008">IFERROR(IF(AH1008&lt;0,0,AH1008/($R$936-INDEX(hd_off,MATCH(AQ1008,hd_mark,0),0)/12)),0)</f>
        <v>0</v>
      </c>
      <c r="AJ1008">
        <f>MAX($F$24,$AB$936)/$Q$948</f>
        <v>0</v>
      </c>
      <c r="AK1008">
        <f t="shared" si="619"/>
        <v>0</v>
      </c>
      <c r="AL1008" cm="1">
        <f t="array" ref="AL1008">IFERROR(INDEX(sheath_ecap_asd,MATCH(AP1008,sheath_mark,0),0)*AK1008,0)</f>
        <v>0</v>
      </c>
      <c r="AM1008" cm="1">
        <f t="array" ref="AM1008">IFERROR(INDEX(sheath_wcap_asd,MATCH(AP1008,sheath_mark,0),0)*AK1008,0)</f>
        <v>0</v>
      </c>
      <c r="AN1008" cm="1">
        <f t="array" ref="AN1008">IFERROR(INDEX(hd_cap,MATCH(AQ1008,hd_mark,0),0),0)</f>
        <v>0</v>
      </c>
      <c r="AP1008" s="19"/>
      <c r="AQ1008" s="19"/>
      <c r="AR1008" s="100"/>
      <c r="AS1008" s="93"/>
      <c r="AT1008" s="111">
        <f>$R$936</f>
        <v>0</v>
      </c>
      <c r="AU1008" t="str">
        <f>$Q$920</f>
        <v>L5</v>
      </c>
      <c r="AV1008">
        <f>$E$24</f>
        <v>0</v>
      </c>
      <c r="AW1008" cm="1">
        <f t="array" ref="AW1008">IFERROR(IF(AV1008=0,0,(INDEX($C$33:$C$38,MATCH($AZ$936,$B$33:$B$38,0),0)*(AV1009+$BA$936)+$AW$936*COUNTIF(AV1008:AV1008,"&gt;0")*$C$32+$AY$936*$C$31)*$AU$936),0)</f>
        <v>0</v>
      </c>
      <c r="AX1008">
        <f>IF(AV1008=0,0,-(COUNTIF(AV1008:AV1008,"&gt;0")*$AW$936*$C$32+$AY$936*$C$31)*$H$27*$AU$936)</f>
        <v>0</v>
      </c>
      <c r="AY1008">
        <f>IF(AV1008=0,0,$AY$936*$H$26*$AU$936)</f>
        <v>0</v>
      </c>
      <c r="AZ1008">
        <f>(0.6*AW1008+0.7*AX1008)*$AU$936/2</f>
        <v>0</v>
      </c>
      <c r="BA1008">
        <f>AW1008*$AU$936/2</f>
        <v>0</v>
      </c>
      <c r="BC1008">
        <f>IF(AV1008=0,0,$BG$936*$AP$920)</f>
        <v>0</v>
      </c>
      <c r="BD1008">
        <f>IFERROR(BC1008/$AU$936,0)</f>
        <v>0</v>
      </c>
      <c r="BE1008">
        <f>BC1008*($F$24+IF($F$24=0,0,($C$14+$C$15+IF($C$13="single",1.5,3)+3)/12))</f>
        <v>0</v>
      </c>
      <c r="BF1008">
        <f>BE1008-AZ1008</f>
        <v>0</v>
      </c>
      <c r="BG1008" cm="1">
        <f t="array" ref="BG1008">IFERROR(IF(BF1008&lt;0,0,BF1008/($AU$936-INDEX(hd_off,MATCH(BT1008,hd_mark,0),0)/12)),0)</f>
        <v>0</v>
      </c>
      <c r="BH1008">
        <f>IF(AV1008=0,0,$BG$936*$AM$920)</f>
        <v>0</v>
      </c>
      <c r="BI1008">
        <f>IFERROR(BH1008/$AU$936,0)</f>
        <v>0</v>
      </c>
      <c r="BJ1008">
        <f>BH1008*($F$24+IF($F$24=0,0,($C$14+$C$15+IF($C$13="single",1.5,3)+3)/12))</f>
        <v>0</v>
      </c>
      <c r="BK1008">
        <f>BJ1008-BA1008</f>
        <v>0</v>
      </c>
      <c r="BL1008" cm="1">
        <f t="array" ref="BL1008">IFERROR(IF(BK1008&lt;0,0,BK1008/($AU$936-INDEX(hd_off,MATCH(BT1008,hd_mark,0),0)/12)),0)</f>
        <v>0</v>
      </c>
      <c r="BM1008">
        <f>MAX($F$24,$BE$936)/$Q$948</f>
        <v>0</v>
      </c>
      <c r="BN1008">
        <f t="shared" si="620"/>
        <v>0</v>
      </c>
      <c r="BO1008" cm="1">
        <f t="array" ref="BO1008">IFERROR(INDEX(sheath_ecap_asd,MATCH(BS1008,sheath_mark,0),0)*BN1008,0)</f>
        <v>0</v>
      </c>
      <c r="BP1008" cm="1">
        <f t="array" ref="BP1008">IFERROR(INDEX(sheath_wcap_asd,MATCH(BS1008,sheath_mark,0),0)*BN1008,0)</f>
        <v>0</v>
      </c>
      <c r="BQ1008" cm="1">
        <f t="array" ref="BQ1008">IFERROR(INDEX(hd_cap,MATCH(BT1008,hd_mark,0),0),0)</f>
        <v>0</v>
      </c>
      <c r="BS1008" s="19"/>
      <c r="BT1008" s="19"/>
      <c r="BU1008" s="100"/>
    </row>
    <row r="1009" x14ac:dyDescent="0.25">
      <c r="P1009" s="93"/>
      <c r="Q1009" s="109"/>
      <c r="R1009" t="str">
        <f>$Q$921</f>
        <v>Roof</v>
      </c>
      <c r="S1009">
        <f>$E$25</f>
        <v>33.171875</v>
      </c>
      <c r="T1009" cm="1">
        <f t="array" ref="T1009">IFERROR(IF(S1009=0,0,(INDEX($C$33:$C$38,MATCH($W$936,$B$33:$B$38,0),0)*(S1009+$X$936)+$V$936*$C$31)*$R$936),0)</f>
        <v>0</v>
      </c>
      <c r="U1009">
        <f>IF(S1009=0,0,-$V$936*$C$31*$H$27*$R$936)</f>
        <v>0</v>
      </c>
      <c r="V1009">
        <f>IF(S1009=0,0,$V$936*$H$26*$R$936)</f>
        <v>0</v>
      </c>
      <c r="W1009">
        <f>(0.6*T1009+0.7*U1009)*$R$936/2</f>
        <v>0</v>
      </c>
      <c r="X1009">
        <f>T1009*$R$936/2</f>
        <v>0</v>
      </c>
      <c r="Z1009">
        <f>IF(S1009=0,0,$AD$936*$AP$921)</f>
        <v>0</v>
      </c>
      <c r="AA1009">
        <f>IFERROR(Z1009/$R$936,0)</f>
        <v>0</v>
      </c>
      <c r="AB1009">
        <f>Z1009*($F$25+($C$16+$C$17+IF($C$13="single",1.5,3)+3)/12)</f>
        <v>0</v>
      </c>
      <c r="AC1009">
        <f>AB1009-W1009</f>
        <v>0</v>
      </c>
      <c r="AD1009" cm="1">
        <f t="array" ref="AD1009">IFERROR(IF(AC1009&lt;0,0,AC1009/($R$936-INDEX(hd_off,MATCH(AQ1009,hd_mark,0),0)/12)),0)</f>
        <v>0</v>
      </c>
      <c r="AE1009">
        <f>IF(S1009=0,0,$AD$936*$AM$921)</f>
        <v>0</v>
      </c>
      <c r="AF1009">
        <f>IFERROR(AE1009/$R$936,0)</f>
        <v>0</v>
      </c>
      <c r="AG1009">
        <f>AE1009*($F$25+($C$16+$C$17+IF($C$13="single",1.5,3)+3)/12)</f>
        <v>0</v>
      </c>
      <c r="AH1009">
        <f>AG1009-X1009</f>
        <v>0</v>
      </c>
      <c r="AI1009" cm="1">
        <f t="array" ref="AI1009">IFERROR(IF(AH1009&lt;0,0,AH1009/($R$936-INDEX(hd_off,MATCH(AQ1009,hd_mark,0),0)/12)),0)</f>
        <v>0</v>
      </c>
      <c r="AJ1009">
        <f>MAX($F$25,$AC$936)/$Q$948</f>
        <v>0.29920977011494249</v>
      </c>
      <c r="AK1009">
        <f t="shared" si="619"/>
        <v>1</v>
      </c>
      <c r="AL1009" cm="1">
        <f t="array" ref="AL1009">IFERROR(INDEX(sheath_ecap_asd,MATCH(AP1009,sheath_mark,0),0)*AK1009,0)</f>
        <v>0</v>
      </c>
      <c r="AM1009" cm="1">
        <f t="array" ref="AM1009">IFERROR(INDEX(sheath_wcap_asd,MATCH(AP1009,sheath_mark,0),0)*AK1009,0)</f>
        <v>0</v>
      </c>
      <c r="AN1009" cm="1">
        <f t="array" ref="AN1009">IFERROR(INDEX(hd_cap,MATCH(AQ1009,hd_mark,0),0),0)</f>
        <v>0</v>
      </c>
      <c r="AP1009" s="19"/>
      <c r="AQ1009" s="19"/>
      <c r="AR1009" s="100"/>
      <c r="AS1009" s="93"/>
      <c r="AT1009" s="109"/>
      <c r="AU1009" t="str">
        <f>$Q$921</f>
        <v>Roof</v>
      </c>
      <c r="AV1009">
        <f>$E$25</f>
        <v>33.171875</v>
      </c>
      <c r="AW1009" cm="1">
        <f t="array" ref="AW1009">IFERROR(IF(AV1009=0,0,(INDEX($C$33:$C$38,MATCH($AZ$936,$B$33:$B$38,0),0)*(AV1009+$BA$936)+$AY$936*$C$31)*$AU$936),0)</f>
        <v>0</v>
      </c>
      <c r="AX1009">
        <f>IF(AV1009=0,0,-$AY$936*$C$31*$H$27*$AU$936)</f>
        <v>0</v>
      </c>
      <c r="AY1009">
        <f>IF(AV1009=0,0,$AY$936*$H$26*$AU$936)</f>
        <v>0</v>
      </c>
      <c r="AZ1009">
        <f>(0.6*AW1009+0.7*AX1009)*$AU$936/2</f>
        <v>0</v>
      </c>
      <c r="BA1009">
        <f>AW1009*$AU$936/2</f>
        <v>0</v>
      </c>
      <c r="BC1009">
        <f>IF(AV1009=0,0,$BG$936*$AP$921)</f>
        <v>0</v>
      </c>
      <c r="BD1009">
        <f>IFERROR(BC1009/$AU$936,0)</f>
        <v>0</v>
      </c>
      <c r="BE1009">
        <f>BC1009*($F$25+($C$16+$C$17+IF($C$13="single",1.5,3)+3)/12)</f>
        <v>0</v>
      </c>
      <c r="BF1009">
        <f>BE1009-AZ1009</f>
        <v>0</v>
      </c>
      <c r="BG1009" cm="1">
        <f t="array" ref="BG1009">IFERROR(IF(BF1009&lt;0,0,BF1009/($AU$936-INDEX(hd_off,MATCH(BT1009,hd_mark,0),0)/12)),0)</f>
        <v>0</v>
      </c>
      <c r="BH1009">
        <f>IF(AV1009=0,0,$BG$936*$AM$921)</f>
        <v>0</v>
      </c>
      <c r="BI1009">
        <f>IFERROR(BH1009/$AU$936,0)</f>
        <v>0</v>
      </c>
      <c r="BJ1009">
        <f>BH1009*($F$25+($C$16+$C$17+IF($C$13="single",1.5,3)+3)/12)</f>
        <v>0</v>
      </c>
      <c r="BK1009">
        <f>BJ1009-BA1009</f>
        <v>0</v>
      </c>
      <c r="BL1009" cm="1">
        <f t="array" ref="BL1009">IFERROR(IF(BK1009&lt;0,0,BK1009/($AU$936-INDEX(hd_off,MATCH(BT1009,hd_mark,0),0)/12)),0)</f>
        <v>0</v>
      </c>
      <c r="BM1009">
        <f>MAX($F$25,$BF$936)/$Q$948</f>
        <v>0.29920977011494249</v>
      </c>
      <c r="BN1009">
        <f t="shared" si="620"/>
        <v>1</v>
      </c>
      <c r="BO1009" cm="1">
        <f t="array" ref="BO1009">IFERROR(INDEX(sheath_ecap_asd,MATCH(BS1009,sheath_mark,0),0)*BN1009,0)</f>
        <v>0</v>
      </c>
      <c r="BP1009" cm="1">
        <f t="array" ref="BP1009">IFERROR(INDEX(sheath_wcap_asd,MATCH(BS1009,sheath_mark,0),0)*BN1009,0)</f>
        <v>0</v>
      </c>
      <c r="BQ1009" cm="1">
        <f t="array" ref="BQ1009">IFERROR(INDEX(hd_cap,MATCH(BT1009,hd_mark,0),0),0)</f>
        <v>0</v>
      </c>
      <c r="BS1009" s="19"/>
      <c r="BT1009" s="19"/>
      <c r="BU1009" s="100"/>
    </row>
    <row r="1010" x14ac:dyDescent="0.25">
      <c r="P1010" s="93"/>
      <c r="AR1010" s="100"/>
      <c r="AS1010" s="93"/>
      <c r="BU1010" s="100"/>
    </row>
    <row r="1011" x14ac:dyDescent="0.25">
      <c r="P1011" s="93"/>
      <c r="Q1011" s="110" t="str">
        <f>$Q$937</f>
        <v>A.12</v>
      </c>
      <c r="R1011" t="str">
        <f>$Q$917</f>
        <v>L2</v>
      </c>
      <c r="S1011">
        <f>$E$21</f>
        <v>10.6875</v>
      </c>
      <c r="T1011" cm="1">
        <f t="array" ref="T1011">IFERROR(IF(S1011=0,0,(INDEX($C$33:$C$38,MATCH($W$937,$B$33:$B$38,0),0)*(S1015+$X$937)+$T$937*COUNTIF(S1011:S1014,"&gt;0")*$C$32+$V$937*$C$31)*$R$937),0)</f>
        <v>0</v>
      </c>
      <c r="U1011">
        <f>IF(S1011=0,0,-(COUNTIF(S1011:S1014,"&gt;0")*$T$937*$C$32+$V$937*$C$31)*$H$27*$R$937)</f>
        <v>0</v>
      </c>
      <c r="V1011">
        <f>IF(S1011=0,0,$V$937*$H$26*$R$937)</f>
        <v>0</v>
      </c>
      <c r="W1011">
        <f>(0.6*T1011+0.7*U1011)*$R$937/2</f>
        <v>0</v>
      </c>
      <c r="X1011">
        <f>(0.6*T1011+0.6*V1011)*$R$937/2</f>
        <v>0</v>
      </c>
      <c r="Z1011">
        <f>IF(S1011=0,0,$AD$937*$AP$917)</f>
        <v>0</v>
      </c>
      <c r="AA1011">
        <f>IFERROR(Z1011/$R$937,0)</f>
        <v>0</v>
      </c>
      <c r="AB1011">
        <f>Z1011*($F$21+IF($F$21=0,0,($C$14+$C$15+IF($C$13="single",1.5,3)+3)/12))</f>
        <v>0</v>
      </c>
      <c r="AC1011">
        <f>AB1011-W1011</f>
        <v>0</v>
      </c>
      <c r="AD1011" cm="1">
        <f t="array" ref="AD1011">IFERROR(IF(AC1011&lt;0,0,AC1011/($R$937-INDEX(hd_off,MATCH(AQ1011,hd_mark,0),0)/12)),0)</f>
        <v>0</v>
      </c>
      <c r="AE1011">
        <f>IF(S1011=0,0,$AD$937*$AM$917)</f>
        <v>0</v>
      </c>
      <c r="AF1011">
        <f>IFERROR(AE1011/$R$937,0)</f>
        <v>0</v>
      </c>
      <c r="AG1011">
        <f>AE1011*($F$21+IF($F$21=0,0,($C$14+$C$15+IF($C$13="single",1.5,3)+3)/12))</f>
        <v>0</v>
      </c>
      <c r="AH1011">
        <f>AG1011-X1011</f>
        <v>0</v>
      </c>
      <c r="AI1011" cm="1">
        <f t="array" ref="AI1011">IFERROR(IF(AH1011&lt;0,0,AH1011/($R$937-INDEX(hd_off,MATCH(AQ1011,hd_mark,0),0)/12)),0)</f>
        <v>0</v>
      </c>
      <c r="AJ1011">
        <f>MAX($F$21,$Y$937)/$Q$948</f>
        <v>0.30172413793103448</v>
      </c>
      <c r="AK1011">
        <f>IF(AJ1011=0,0,IF(AJ1011&gt;2,1.25-0.125*AJ1011,1))</f>
        <v>1</v>
      </c>
      <c r="AL1011" cm="1">
        <f t="array" ref="AL1011">IFERROR(INDEX(sheath_ecap_asd,MATCH(AP1011,sheath_mark,0),0)*AK1011,0)</f>
        <v>0</v>
      </c>
      <c r="AM1011" cm="1">
        <f t="array" ref="AM1011">IFERROR(INDEX(sheath_wcap_asd,MATCH(AP1011,sheath_mark,0),0)*AK1011,0)</f>
        <v>0</v>
      </c>
      <c r="AN1011" cm="1">
        <f t="array" ref="AN1011">IFERROR(INDEX(hd_cap,MATCH(AQ1011,hd_mark,0),0),0)</f>
        <v>0</v>
      </c>
      <c r="AP1011" s="19"/>
      <c r="AQ1011" s="19"/>
      <c r="AR1011" s="100"/>
      <c r="AS1011" s="93"/>
      <c r="AT1011" s="110" t="str">
        <f>$AT$937</f>
        <v>1.12</v>
      </c>
      <c r="AU1011" t="str">
        <f>$Q$917</f>
        <v>L2</v>
      </c>
      <c r="AV1011">
        <f>$E$21</f>
        <v>10.6875</v>
      </c>
      <c r="AW1011" cm="1">
        <f t="array" ref="AW1011">IFERROR(IF(AV1011=0,0,(INDEX($C$33:$C$38,MATCH($AZ$937,$B$33:$B$38,0),0)*(AV1015+$BA$937)+$AW$937*COUNTIF(AV1011:AV1014,"&gt;0")*$C$32+$AY$937*$C$31)*$AU$937),0)</f>
        <v>0</v>
      </c>
      <c r="AX1011">
        <f>IF(AV1011=0,0,-(COUNTIF(AV1011:AV1014,"&gt;0")*$AW$937*$C$32+$AY$937*$C$31)*$H$27*$AU$937)</f>
        <v>0</v>
      </c>
      <c r="AY1011">
        <f>IF(AV1011=0,0,$AY$937*$H$26*$AU$937)</f>
        <v>0</v>
      </c>
      <c r="AZ1011">
        <f>(0.6*AW1011+0.7*AX1011)*$AU$937/2</f>
        <v>0</v>
      </c>
      <c r="BA1011">
        <f>(0.6*AW1011+0.6*AY1011)*$AU$937/2</f>
        <v>0</v>
      </c>
      <c r="BC1011">
        <f>IF(AV1011=0,0,$BG$937*$AP$917)</f>
        <v>0</v>
      </c>
      <c r="BD1011">
        <f>IFERROR(BC1011/$AU$937,0)</f>
        <v>0</v>
      </c>
      <c r="BE1011">
        <f>BC1011*($F$21+IF($F$21=0,0,($C$14+$C$15+IF($C$13="single",1.5,3)+3)/12))</f>
        <v>0</v>
      </c>
      <c r="BF1011">
        <f>BE1011-AZ1011</f>
        <v>0</v>
      </c>
      <c r="BG1011" cm="1">
        <f t="array" ref="BG1011">IFERROR(IF(BF1011&lt;0,0,BF1011/($AU$937-INDEX(hd_off,MATCH(BT1011,hd_mark,0),0)/12)),0)</f>
        <v>0</v>
      </c>
      <c r="BH1011">
        <f>IF(AV1011=0,0,$BG$937*$AM$917)</f>
        <v>0</v>
      </c>
      <c r="BI1011">
        <f>IFERROR(BH1011/$AU$937,0)</f>
        <v>0</v>
      </c>
      <c r="BJ1011">
        <f>BH1011*($F$21+IF($F$21=0,0,($C$14+$C$15+IF($C$13="single",1.5,3)+3)/12))</f>
        <v>0</v>
      </c>
      <c r="BK1011">
        <f>BJ1011-BA1011</f>
        <v>0</v>
      </c>
      <c r="BL1011" cm="1">
        <f t="array" ref="BL1011">IFERROR(IF(BK1011&lt;0,0,BK1011/($AU$937-INDEX(hd_off,MATCH(BT1011,hd_mark,0),0)/12)),0)</f>
        <v>0</v>
      </c>
      <c r="BM1011">
        <f>MAX($F$21,$BB$937)/$Q$948</f>
        <v>0.30172413793103448</v>
      </c>
      <c r="BN1011">
        <f>IF(BM1011=0,0,IF(BM1011&gt;2,1.25-0.125*BM1011,1))</f>
        <v>1</v>
      </c>
      <c r="BO1011" cm="1">
        <f t="array" ref="BO1011">IFERROR(INDEX(sheath_ecap_asd,MATCH(BS1011,sheath_mark,0),0)*BN1011,0)</f>
        <v>0</v>
      </c>
      <c r="BP1011" cm="1">
        <f t="array" ref="BP1011">IFERROR(INDEX(sheath_wcap_asd,MATCH(BS1011,sheath_mark,0),0)*BN1011,0)</f>
        <v>0</v>
      </c>
      <c r="BQ1011" cm="1">
        <f t="array" ref="BQ1011">IFERROR(INDEX(hd_cap,MATCH(BT1011,hd_mark,0),0),0)</f>
        <v>0</v>
      </c>
      <c r="BS1011" s="19"/>
      <c r="BT1011" s="19"/>
      <c r="BU1011" s="100"/>
    </row>
    <row r="1012" x14ac:dyDescent="0.25">
      <c r="P1012" s="93"/>
      <c r="Q1012" s="109"/>
      <c r="R1012" t="str">
        <f>$Q$918</f>
        <v>L3</v>
      </c>
      <c r="S1012">
        <f>$E$22</f>
        <v>21.375</v>
      </c>
      <c r="T1012" cm="1">
        <f t="array" ref="T1012">IFERROR(IF(S1012=0,0,(INDEX($C$33:$C$38,MATCH($W$937,$B$33:$B$38,0),0)*(S1015+$X$937)+$T$937*COUNTIF(S1012:S1014,"&gt;0")*$C$32+$V$937*$C$31)*$R$937),0)</f>
        <v>0</v>
      </c>
      <c r="U1012">
        <f>IF(S1012=0,0,-(COUNTIF(S1012:S1014,"&gt;0")*$T$937*$C$32+$V$937*$C$31)*$H$27*$R$937)</f>
        <v>0</v>
      </c>
      <c r="V1012">
        <f>IF(S1012=0,0,$V$937*$H$26*$R$937)</f>
        <v>0</v>
      </c>
      <c r="W1012">
        <f>(0.6*T1012+0.7*U1012)*$R$937/2</f>
        <v>0</v>
      </c>
      <c r="X1012">
        <f>T1012*$R$937/2</f>
        <v>0</v>
      </c>
      <c r="Z1012">
        <f>IF(S1012=0,0,$AD$937*$AP$918)</f>
        <v>0</v>
      </c>
      <c r="AA1012">
        <f>IFERROR(Z1012/$R$937,0)</f>
        <v>0</v>
      </c>
      <c r="AB1012">
        <f>Z1012*($F$22+IF($F$22=0,0,($C$14+$C$15+IF($C$13="single",1.5,3)+3)/12))</f>
        <v>0</v>
      </c>
      <c r="AC1012">
        <f>AB1012-W1012</f>
        <v>0</v>
      </c>
      <c r="AD1012" cm="1">
        <f t="array" ref="AD1012">IFERROR(IF(AC1012&lt;0,0,AC1012/($R$937-INDEX(hd_off,MATCH(AQ1012,hd_mark,0),0)/12)),0)</f>
        <v>0</v>
      </c>
      <c r="AE1012">
        <f>IF(S1012=0,0,$AD$937*$AM$918)</f>
        <v>0</v>
      </c>
      <c r="AF1012">
        <f>IFERROR(AE1012/$R$937,0)</f>
        <v>0</v>
      </c>
      <c r="AG1012">
        <f>AE1012*($F$22+IF($F$22=0,0,($C$14+$C$15+IF($C$13="single",1.5,3)+3)/12))</f>
        <v>0</v>
      </c>
      <c r="AH1012">
        <f>AG1012-X1012</f>
        <v>0</v>
      </c>
      <c r="AI1012" cm="1">
        <f t="array" ref="AI1012">IFERROR(IF(AH1012&lt;0,0,AH1012/($R$937-INDEX(hd_off,MATCH(AQ1012,hd_mark,0),0)/12)),0)</f>
        <v>0</v>
      </c>
      <c r="AJ1012">
        <f>MAX($F$22,$Z$937)/$Q$948</f>
        <v>0.30172413793103448</v>
      </c>
      <c r="AK1012">
        <f t="shared" ref="AK1012:AK1015" si="621">IF(AJ1012=0,0,IF(AJ1012&gt;2,1.25-0.125*AJ1012,1))</f>
        <v>1</v>
      </c>
      <c r="AL1012" cm="1">
        <f t="array" ref="AL1012">IFERROR(INDEX(sheath_ecap_asd,MATCH(AP1012,sheath_mark,0),0)*AK1012,0)</f>
        <v>0</v>
      </c>
      <c r="AM1012" cm="1">
        <f t="array" ref="AM1012">IFERROR(INDEX(sheath_wcap_asd,MATCH(AP1012,sheath_mark,0),0)*AK1012,0)</f>
        <v>0</v>
      </c>
      <c r="AN1012" cm="1">
        <f t="array" ref="AN1012">IFERROR(INDEX(hd_cap,MATCH(AQ1012,hd_mark,0),0),0)</f>
        <v>0</v>
      </c>
      <c r="AP1012" s="19"/>
      <c r="AQ1012" s="19"/>
      <c r="AR1012" s="100"/>
      <c r="AS1012" s="93"/>
      <c r="AT1012" s="109"/>
      <c r="AU1012" t="str">
        <f>$Q$918</f>
        <v>L3</v>
      </c>
      <c r="AV1012">
        <f>$E$22</f>
        <v>21.375</v>
      </c>
      <c r="AW1012" cm="1">
        <f t="array" ref="AW1012">IFERROR(IF(AV1012=0,0,(INDEX($C$33:$C$38,MATCH($AZ$937,$B$33:$B$38,0),0)*(AV1015+$BA$937)+$AW$937*COUNTIF(AV1012:AV1014,"&gt;0")*$C$32+$AY$937*$C$31)*$AU$937),0)</f>
        <v>0</v>
      </c>
      <c r="AX1012">
        <f>IF(AV1012=0,0,-(COUNTIF(AV1012:AV1014,"&gt;0")*$AW$937*$C$32+$AY$937*$C$31)*$H$27*$AU$937)</f>
        <v>0</v>
      </c>
      <c r="AY1012">
        <f>IF(AV1012=0,0,$AY$937*$H$26*$AU$937)</f>
        <v>0</v>
      </c>
      <c r="AZ1012">
        <f>(0.6*AW1012+0.7*AX1012)*$AU$937/2</f>
        <v>0</v>
      </c>
      <c r="BA1012">
        <f>AW1012*$AU$937/2</f>
        <v>0</v>
      </c>
      <c r="BC1012">
        <f>IF(AV1012=0,0,$BG$937*$AP$918)</f>
        <v>0</v>
      </c>
      <c r="BD1012">
        <f>IFERROR(BC1012/$AU$937,0)</f>
        <v>0</v>
      </c>
      <c r="BE1012">
        <f>BC1012*($F$22+IF($F$22=0,0,($C$14+$C$15+IF($C$13="single",1.5,3)+3)/12))</f>
        <v>0</v>
      </c>
      <c r="BF1012">
        <f>BE1012-AZ1012</f>
        <v>0</v>
      </c>
      <c r="BG1012" cm="1">
        <f t="array" ref="BG1012">IFERROR(IF(BF1012&lt;0,0,BF1012/($AU$937-INDEX(hd_off,MATCH(BT1012,hd_mark,0),0)/12)),0)</f>
        <v>0</v>
      </c>
      <c r="BH1012">
        <f>IF(AV1012=0,0,$BG$937*$AM$918)</f>
        <v>0</v>
      </c>
      <c r="BI1012">
        <f>IFERROR(BH1012/$AU$937,0)</f>
        <v>0</v>
      </c>
      <c r="BJ1012">
        <f>BH1012*($F$22+IF($F$22=0,0,($C$14+$C$15+IF($C$13="single",1.5,3)+3)/12))</f>
        <v>0</v>
      </c>
      <c r="BK1012">
        <f>BJ1012-BA1012</f>
        <v>0</v>
      </c>
      <c r="BL1012" cm="1">
        <f t="array" ref="BL1012">IFERROR(IF(BK1012&lt;0,0,BK1012/($AU$937-INDEX(hd_off,MATCH(BT1012,hd_mark,0),0)/12)),0)</f>
        <v>0</v>
      </c>
      <c r="BM1012">
        <f>MAX($F$22,$BC$937)/$Q$948</f>
        <v>0.30172413793103448</v>
      </c>
      <c r="BN1012">
        <f t="shared" ref="BN1012:BN1015" si="622">IF(BM1012=0,0,IF(BM1012&gt;2,1.25-0.125*BM1012,1))</f>
        <v>1</v>
      </c>
      <c r="BO1012" cm="1">
        <f t="array" ref="BO1012">IFERROR(INDEX(sheath_ecap_asd,MATCH(BS1012,sheath_mark,0),0)*BN1012,0)</f>
        <v>0</v>
      </c>
      <c r="BP1012" cm="1">
        <f t="array" ref="BP1012">IFERROR(INDEX(sheath_wcap_asd,MATCH(BS1012,sheath_mark,0),0)*BN1012,0)</f>
        <v>0</v>
      </c>
      <c r="BQ1012" cm="1">
        <f t="array" ref="BQ1012">IFERROR(INDEX(hd_cap,MATCH(BT1012,hd_mark,0),0),0)</f>
        <v>0</v>
      </c>
      <c r="BS1012" s="19"/>
      <c r="BT1012" s="19"/>
      <c r="BU1012" s="100"/>
    </row>
    <row r="1013" x14ac:dyDescent="0.25">
      <c r="P1013" s="93"/>
      <c r="Q1013" s="109" t="s">
        <v>491</v>
      </c>
      <c r="R1013" t="str">
        <f>$Q$919</f>
        <v>L4</v>
      </c>
      <c r="S1013">
        <f>$E$23</f>
        <v>0</v>
      </c>
      <c r="T1013" cm="1">
        <f t="array" ref="T1013">IFERROR(IF(S1013=0,0,(INDEX($C$33:$C$38,MATCH($W$937,$B$33:$B$38,0),0)*(S1015+$X$937)+$T$937*COUNTIF(S1013:S1014,"&gt;0")*$C$32+$V$937*$C$31)*$R$937),0)</f>
        <v>0</v>
      </c>
      <c r="U1013">
        <f>IF(S1013=0,0,-(COUNTIF(S1013:S1014,"&gt;0")*$T$937*$C$32+$V$937*$C$31)*$H$27*$R$937)</f>
        <v>0</v>
      </c>
      <c r="V1013">
        <f>IF(S1013=0,0,$V$937*$H$26*$R$937)</f>
        <v>0</v>
      </c>
      <c r="W1013">
        <f>(0.6*T1013+0.7*U1013)*$R$937/2</f>
        <v>0</v>
      </c>
      <c r="X1013">
        <f>T1013*$R$937/2</f>
        <v>0</v>
      </c>
      <c r="Z1013">
        <f>IF(S1013=0,0,$AD$937*$AP$919)</f>
        <v>0</v>
      </c>
      <c r="AA1013">
        <f>IFERROR(Z1013/$R$937,0)</f>
        <v>0</v>
      </c>
      <c r="AB1013">
        <f>Z1013*($F$23+IF($F$23=0,0,($C$14+$C$15+IF($C$13="single",1.5,3)+3)/12))</f>
        <v>0</v>
      </c>
      <c r="AC1013">
        <f>AB1013-W1013</f>
        <v>0</v>
      </c>
      <c r="AD1013" cm="1">
        <f t="array" ref="AD1013">IFERROR(IF(AC1013&lt;0,0,AC1013/($R$937-INDEX(hd_off,MATCH(AQ1013,hd_mark,0),0)/12)),0)</f>
        <v>0</v>
      </c>
      <c r="AE1013">
        <f>IF(S1013=0,0,$AD$937*$AM$919)</f>
        <v>0</v>
      </c>
      <c r="AF1013">
        <f>IFERROR(AE1013/$R$937,0)</f>
        <v>0</v>
      </c>
      <c r="AG1013">
        <f>AE1013*($F$23+IF($F$23=0,0,($C$14+$C$15+IF($C$13="single",1.5,3)+3)/12))</f>
        <v>0</v>
      </c>
      <c r="AH1013">
        <f>AG1013-X1013</f>
        <v>0</v>
      </c>
      <c r="AI1013" cm="1">
        <f t="array" ref="AI1013">IFERROR(IF(AH1013&lt;0,0,AH1013/($R$937-INDEX(hd_off,MATCH(AQ1013,hd_mark,0),0)/12)),0)</f>
        <v>0</v>
      </c>
      <c r="AJ1013">
        <f>MAX($F$23,$AA$937)/$Q$948</f>
        <v>0</v>
      </c>
      <c r="AK1013">
        <f t="shared" si="621"/>
        <v>0</v>
      </c>
      <c r="AL1013" cm="1">
        <f t="array" ref="AL1013">IFERROR(INDEX(sheath_ecap_asd,MATCH(AP1013,sheath_mark,0),0)*AK1013,0)</f>
        <v>0</v>
      </c>
      <c r="AM1013" cm="1">
        <f t="array" ref="AM1013">IFERROR(INDEX(sheath_wcap_asd,MATCH(AP1013,sheath_mark,0),0)*AK1013,0)</f>
        <v>0</v>
      </c>
      <c r="AN1013" cm="1">
        <f t="array" ref="AN1013">IFERROR(INDEX(hd_cap,MATCH(AQ1013,hd_mark,0),0),0)</f>
        <v>0</v>
      </c>
      <c r="AP1013" s="19"/>
      <c r="AQ1013" s="19"/>
      <c r="AR1013" s="100"/>
      <c r="AS1013" s="93"/>
      <c r="AT1013" s="109" t="s">
        <v>491</v>
      </c>
      <c r="AU1013" t="str">
        <f>$Q$919</f>
        <v>L4</v>
      </c>
      <c r="AV1013">
        <f>$E$23</f>
        <v>0</v>
      </c>
      <c r="AW1013" cm="1">
        <f t="array" ref="AW1013">IFERROR(IF(AV1013=0,0,(INDEX($C$33:$C$38,MATCH($AZ$937,$B$33:$B$38,0),0)*(AV1015+$BA$937)+$AW$937*COUNTIF(AV1013:AV1014,"&gt;0")*$C$32+$AY$937*$C$31)*$AU$937),0)</f>
        <v>0</v>
      </c>
      <c r="AX1013">
        <f>IF(AV1013=0,0,-(COUNTIF(AV1013:AV1014,"&gt;0")*$AW$937*$C$32+$AY$937*$C$31)*$H$27*$AU$937)</f>
        <v>0</v>
      </c>
      <c r="AY1013">
        <f>IF(AV1013=0,0,$AY$937*$H$26*$AU$937)</f>
        <v>0</v>
      </c>
      <c r="AZ1013">
        <f>(0.6*AW1013+0.7*AX1013)*$AU$937/2</f>
        <v>0</v>
      </c>
      <c r="BA1013">
        <f>AW1013*$AU$937/2</f>
        <v>0</v>
      </c>
      <c r="BC1013">
        <f>IF(AV1013=0,0,$BG$937*$AP$919)</f>
        <v>0</v>
      </c>
      <c r="BD1013">
        <f>IFERROR(BC1013/$AU$937,0)</f>
        <v>0</v>
      </c>
      <c r="BE1013">
        <f>BC1013*($F$23+IF($F$23=0,0,($C$14+$C$15+IF($C$13="single",1.5,3)+3)/12))</f>
        <v>0</v>
      </c>
      <c r="BF1013">
        <f>BE1013-AZ1013</f>
        <v>0</v>
      </c>
      <c r="BG1013" cm="1">
        <f t="array" ref="BG1013">IFERROR(IF(BF1013&lt;0,0,BF1013/($AU$937-INDEX(hd_off,MATCH(BT1013,hd_mark,0),0)/12)),0)</f>
        <v>0</v>
      </c>
      <c r="BH1013">
        <f>IF(AV1013=0,0,$BG$937*$AM$919)</f>
        <v>0</v>
      </c>
      <c r="BI1013">
        <f>IFERROR(BH1013/$AU$937,0)</f>
        <v>0</v>
      </c>
      <c r="BJ1013">
        <f>BH1013*($F$23+IF($F$23=0,0,($C$14+$C$15+IF($C$13="single",1.5,3)+3)/12))</f>
        <v>0</v>
      </c>
      <c r="BK1013">
        <f>BJ1013-BA1013</f>
        <v>0</v>
      </c>
      <c r="BL1013" cm="1">
        <f t="array" ref="BL1013">IFERROR(IF(BK1013&lt;0,0,BK1013/($AU$937-INDEX(hd_off,MATCH(BT1013,hd_mark,0),0)/12)),0)</f>
        <v>0</v>
      </c>
      <c r="BM1013">
        <f>MAX($F$23,$BD$937)/$Q$948</f>
        <v>0</v>
      </c>
      <c r="BN1013">
        <f t="shared" si="622"/>
        <v>0</v>
      </c>
      <c r="BO1013" cm="1">
        <f t="array" ref="BO1013">IFERROR(INDEX(sheath_ecap_asd,MATCH(BS1013,sheath_mark,0),0)*BN1013,0)</f>
        <v>0</v>
      </c>
      <c r="BP1013" cm="1">
        <f t="array" ref="BP1013">IFERROR(INDEX(sheath_wcap_asd,MATCH(BS1013,sheath_mark,0),0)*BN1013,0)</f>
        <v>0</v>
      </c>
      <c r="BQ1013" cm="1">
        <f t="array" ref="BQ1013">IFERROR(INDEX(hd_cap,MATCH(BT1013,hd_mark,0),0),0)</f>
        <v>0</v>
      </c>
      <c r="BS1013" s="19"/>
      <c r="BT1013" s="19"/>
      <c r="BU1013" s="100"/>
    </row>
    <row r="1014" x14ac:dyDescent="0.25">
      <c r="P1014" s="93"/>
      <c r="Q1014" s="111">
        <f>$R$937</f>
        <v>0</v>
      </c>
      <c r="R1014" t="str">
        <f>$Q$920</f>
        <v>L5</v>
      </c>
      <c r="S1014">
        <f>$E$24</f>
        <v>0</v>
      </c>
      <c r="T1014" cm="1">
        <f t="array" ref="T1014">IFERROR(IF(S1014=0,0,(INDEX($C$33:$C$38,MATCH($W$937,$B$33:$B$38,0),0)*(S1015+$X$937)+$T$937*COUNTIF(S1014:S1014,"&gt;0")*$C$32+$V$937*$C$31)*$R$937),0)</f>
        <v>0</v>
      </c>
      <c r="U1014">
        <f>IF(S1014=0,0,-(COUNTIF(S1014:S1014,"&gt;0")*$T$937*$C$32+$V$937*$C$31)*$H$27*$R$937)</f>
        <v>0</v>
      </c>
      <c r="V1014">
        <f>IF(S1014=0,0,$V$937*$H$26*$R$937)</f>
        <v>0</v>
      </c>
      <c r="W1014">
        <f>(0.6*T1014+0.7*U1014)*$R$937/2</f>
        <v>0</v>
      </c>
      <c r="X1014">
        <f>T1014*$R$937/2</f>
        <v>0</v>
      </c>
      <c r="Z1014">
        <f>IF(S1014=0,0,$AD$937*$AP$920)</f>
        <v>0</v>
      </c>
      <c r="AA1014">
        <f>IFERROR(Z1014/$R$937,0)</f>
        <v>0</v>
      </c>
      <c r="AB1014">
        <f>Z1014*($F$24+IF($F$24=0,0,($C$14+$C$15+IF($C$13="single",1.5,3)+3)/12))</f>
        <v>0</v>
      </c>
      <c r="AC1014">
        <f>AB1014-W1014</f>
        <v>0</v>
      </c>
      <c r="AD1014" cm="1">
        <f t="array" ref="AD1014">IFERROR(IF(AC1014&lt;0,0,AC1014/($R$937-INDEX(hd_off,MATCH(AQ1014,hd_mark,0),0)/12)),0)</f>
        <v>0</v>
      </c>
      <c r="AE1014">
        <f>IF(S1014=0,0,$AD$937*$AM$920)</f>
        <v>0</v>
      </c>
      <c r="AF1014">
        <f>IFERROR(AE1014/$R$937,0)</f>
        <v>0</v>
      </c>
      <c r="AG1014">
        <f>AE1014*($F$24+IF($F$24=0,0,($C$14+$C$15+IF($C$13="single",1.5,3)+3)/12))</f>
        <v>0</v>
      </c>
      <c r="AH1014">
        <f>AG1014-X1014</f>
        <v>0</v>
      </c>
      <c r="AI1014" cm="1">
        <f t="array" ref="AI1014">IFERROR(IF(AH1014&lt;0,0,AH1014/($R$937-INDEX(hd_off,MATCH(AQ1014,hd_mark,0),0)/12)),0)</f>
        <v>0</v>
      </c>
      <c r="AJ1014">
        <f>MAX($F$24,$AB$937)/$Q$948</f>
        <v>0</v>
      </c>
      <c r="AK1014">
        <f t="shared" si="621"/>
        <v>0</v>
      </c>
      <c r="AL1014" cm="1">
        <f t="array" ref="AL1014">IFERROR(INDEX(sheath_ecap_asd,MATCH(AP1014,sheath_mark,0),0)*AK1014,0)</f>
        <v>0</v>
      </c>
      <c r="AM1014" cm="1">
        <f t="array" ref="AM1014">IFERROR(INDEX(sheath_wcap_asd,MATCH(AP1014,sheath_mark,0),0)*AK1014,0)</f>
        <v>0</v>
      </c>
      <c r="AN1014" cm="1">
        <f t="array" ref="AN1014">IFERROR(INDEX(hd_cap,MATCH(AQ1014,hd_mark,0),0),0)</f>
        <v>0</v>
      </c>
      <c r="AP1014" s="19"/>
      <c r="AQ1014" s="19"/>
      <c r="AR1014" s="100"/>
      <c r="AS1014" s="93"/>
      <c r="AT1014" s="111">
        <f>$R$937</f>
        <v>0</v>
      </c>
      <c r="AU1014" t="str">
        <f>$Q$920</f>
        <v>L5</v>
      </c>
      <c r="AV1014">
        <f>$E$24</f>
        <v>0</v>
      </c>
      <c r="AW1014" cm="1">
        <f t="array" ref="AW1014">IFERROR(IF(AV1014=0,0,(INDEX($C$33:$C$38,MATCH($AZ$937,$B$33:$B$38,0),0)*(AV1015+$BA$937)+$AW$937*COUNTIF(AV1014:AV1014,"&gt;0")*$C$32+$AY$937*$C$31)*$AU$937),0)</f>
        <v>0</v>
      </c>
      <c r="AX1014">
        <f>IF(AV1014=0,0,-(COUNTIF(AV1014:AV1014,"&gt;0")*$AW$937*$C$32+$AY$937*$C$31)*$H$27*$AU$937)</f>
        <v>0</v>
      </c>
      <c r="AY1014">
        <f>IF(AV1014=0,0,$AY$937*$H$26*$AU$937)</f>
        <v>0</v>
      </c>
      <c r="AZ1014">
        <f>(0.6*AW1014+0.7*AX1014)*$AU$937/2</f>
        <v>0</v>
      </c>
      <c r="BA1014">
        <f>AW1014*$AU$937/2</f>
        <v>0</v>
      </c>
      <c r="BC1014">
        <f>IF(AV1014=0,0,$BG$937*$AP$920)</f>
        <v>0</v>
      </c>
      <c r="BD1014">
        <f>IFERROR(BC1014/$AU$937,0)</f>
        <v>0</v>
      </c>
      <c r="BE1014">
        <f>BC1014*($F$24+IF($F$24=0,0,($C$14+$C$15+IF($C$13="single",1.5,3)+3)/12))</f>
        <v>0</v>
      </c>
      <c r="BF1014">
        <f>BE1014-AZ1014</f>
        <v>0</v>
      </c>
      <c r="BG1014" cm="1">
        <f t="array" ref="BG1014">IFERROR(IF(BF1014&lt;0,0,BF1014/($AU$937-INDEX(hd_off,MATCH(BT1014,hd_mark,0),0)/12)),0)</f>
        <v>0</v>
      </c>
      <c r="BH1014">
        <f>IF(AV1014=0,0,$BG$937*$AM$920)</f>
        <v>0</v>
      </c>
      <c r="BI1014">
        <f>IFERROR(BH1014/$AU$937,0)</f>
        <v>0</v>
      </c>
      <c r="BJ1014">
        <f>BH1014*($F$24+IF($F$24=0,0,($C$14+$C$15+IF($C$13="single",1.5,3)+3)/12))</f>
        <v>0</v>
      </c>
      <c r="BK1014">
        <f>BJ1014-BA1014</f>
        <v>0</v>
      </c>
      <c r="BL1014" cm="1">
        <f t="array" ref="BL1014">IFERROR(IF(BK1014&lt;0,0,BK1014/($AU$937-INDEX(hd_off,MATCH(BT1014,hd_mark,0),0)/12)),0)</f>
        <v>0</v>
      </c>
      <c r="BM1014">
        <f>MAX($F$24,$BE$937)/$Q$948</f>
        <v>0</v>
      </c>
      <c r="BN1014">
        <f t="shared" si="622"/>
        <v>0</v>
      </c>
      <c r="BO1014" cm="1">
        <f t="array" ref="BO1014">IFERROR(INDEX(sheath_ecap_asd,MATCH(BS1014,sheath_mark,0),0)*BN1014,0)</f>
        <v>0</v>
      </c>
      <c r="BP1014" cm="1">
        <f t="array" ref="BP1014">IFERROR(INDEX(sheath_wcap_asd,MATCH(BS1014,sheath_mark,0),0)*BN1014,0)</f>
        <v>0</v>
      </c>
      <c r="BQ1014" cm="1">
        <f t="array" ref="BQ1014">IFERROR(INDEX(hd_cap,MATCH(BT1014,hd_mark,0),0),0)</f>
        <v>0</v>
      </c>
      <c r="BS1014" s="19"/>
      <c r="BT1014" s="19"/>
      <c r="BU1014" s="100"/>
    </row>
    <row r="1015" x14ac:dyDescent="0.25">
      <c r="P1015" s="93"/>
      <c r="Q1015" s="109"/>
      <c r="R1015" t="str">
        <f>$Q$921</f>
        <v>Roof</v>
      </c>
      <c r="S1015">
        <f>$E$25</f>
        <v>33.171875</v>
      </c>
      <c r="T1015" cm="1">
        <f t="array" ref="T1015">IFERROR(IF(S1015=0,0,(INDEX($C$33:$C$38,MATCH($W$937,$B$33:$B$38,0),0)*(S1015+$X$937)+$V$937*$C$31)*$R$937),0)</f>
        <v>0</v>
      </c>
      <c r="U1015">
        <f>IF(S1015=0,0,-$V$937*$C$31*$H$27*$R$937)</f>
        <v>0</v>
      </c>
      <c r="V1015">
        <f>IF(S1015=0,0,$V$937*$H$26*$R$937)</f>
        <v>0</v>
      </c>
      <c r="W1015">
        <f>(0.6*T1015+0.7*U1015)*$R$937/2</f>
        <v>0</v>
      </c>
      <c r="X1015">
        <f>T1015*$R$937/2</f>
        <v>0</v>
      </c>
      <c r="Z1015">
        <f>IF(S1015=0,0,$AD$937*$AP$921)</f>
        <v>0</v>
      </c>
      <c r="AA1015">
        <f>IFERROR(Z1015/$R$937,0)</f>
        <v>0</v>
      </c>
      <c r="AB1015">
        <f>Z1015*($F$25+($C$16+$C$17+IF($C$13="single",1.5,3)+3)/12)</f>
        <v>0</v>
      </c>
      <c r="AC1015">
        <f>AB1015-W1015</f>
        <v>0</v>
      </c>
      <c r="AD1015" cm="1">
        <f t="array" ref="AD1015">IFERROR(IF(AC1015&lt;0,0,AC1015/($R$937-INDEX(hd_off,MATCH(AQ1015,hd_mark,0),0)/12)),0)</f>
        <v>0</v>
      </c>
      <c r="AE1015">
        <f>IF(S1015=0,0,$AD$937*$AM$921)</f>
        <v>0</v>
      </c>
      <c r="AF1015">
        <f>IFERROR(AE1015/$R$937,0)</f>
        <v>0</v>
      </c>
      <c r="AG1015">
        <f>AE1015*($F$25+($C$16+$C$17+IF($C$13="single",1.5,3)+3)/12)</f>
        <v>0</v>
      </c>
      <c r="AH1015">
        <f>AG1015-X1015</f>
        <v>0</v>
      </c>
      <c r="AI1015" cm="1">
        <f t="array" ref="AI1015">IFERROR(IF(AH1015&lt;0,0,AH1015/($R$937-INDEX(hd_off,MATCH(AQ1015,hd_mark,0),0)/12)),0)</f>
        <v>0</v>
      </c>
      <c r="AJ1015">
        <f>MAX($F$25,$AC$937)/$Q$948</f>
        <v>0.29920977011494249</v>
      </c>
      <c r="AK1015">
        <f t="shared" si="621"/>
        <v>1</v>
      </c>
      <c r="AL1015" cm="1">
        <f t="array" ref="AL1015">IFERROR(INDEX(sheath_ecap_asd,MATCH(AP1015,sheath_mark,0),0)*AK1015,0)</f>
        <v>0</v>
      </c>
      <c r="AM1015" cm="1">
        <f t="array" ref="AM1015">IFERROR(INDEX(sheath_wcap_asd,MATCH(AP1015,sheath_mark,0),0)*AK1015,0)</f>
        <v>0</v>
      </c>
      <c r="AN1015" cm="1">
        <f t="array" ref="AN1015">IFERROR(INDEX(hd_cap,MATCH(AQ1015,hd_mark,0),0),0)</f>
        <v>0</v>
      </c>
      <c r="AP1015" s="19"/>
      <c r="AQ1015" s="19"/>
      <c r="AR1015" s="100"/>
      <c r="AS1015" s="93"/>
      <c r="AT1015" s="109"/>
      <c r="AU1015" t="str">
        <f>$Q$921</f>
        <v>Roof</v>
      </c>
      <c r="AV1015">
        <f>$E$25</f>
        <v>33.171875</v>
      </c>
      <c r="AW1015" cm="1">
        <f t="array" ref="AW1015">IFERROR(IF(AV1015=0,0,(INDEX($C$33:$C$38,MATCH($AZ$937,$B$33:$B$38,0),0)*(AV1015+$BA$937)+$AY$937*$C$31)*$AU$937),0)</f>
        <v>0</v>
      </c>
      <c r="AX1015">
        <f>IF(AV1015=0,0,-$AY$937*$C$31*$H$27*$AU$937)</f>
        <v>0</v>
      </c>
      <c r="AY1015">
        <f>IF(AV1015=0,0,$AY$937*$H$26*$AU$937)</f>
        <v>0</v>
      </c>
      <c r="AZ1015">
        <f>(0.6*AW1015+0.7*AX1015)*$AU$937/2</f>
        <v>0</v>
      </c>
      <c r="BA1015">
        <f>AW1015*$AU$937/2</f>
        <v>0</v>
      </c>
      <c r="BC1015">
        <f>IF(AV1015=0,0,$BG$937*$AP$921)</f>
        <v>0</v>
      </c>
      <c r="BD1015">
        <f>IFERROR(BC1015/$AU$937,0)</f>
        <v>0</v>
      </c>
      <c r="BE1015">
        <f>BC1015*($F$25+($C$16+$C$17+IF($C$13="single",1.5,3)+3)/12)</f>
        <v>0</v>
      </c>
      <c r="BF1015">
        <f>BE1015-AZ1015</f>
        <v>0</v>
      </c>
      <c r="BG1015" cm="1">
        <f t="array" ref="BG1015">IFERROR(IF(BF1015&lt;0,0,BF1015/($AU$937-INDEX(hd_off,MATCH(BT1015,hd_mark,0),0)/12)),0)</f>
        <v>0</v>
      </c>
      <c r="BH1015">
        <f>IF(AV1015=0,0,$BG$937*$AM$921)</f>
        <v>0</v>
      </c>
      <c r="BI1015">
        <f>IFERROR(BH1015/$AU$937,0)</f>
        <v>0</v>
      </c>
      <c r="BJ1015">
        <f>BH1015*($F$25+($C$16+$C$17+IF($C$13="single",1.5,3)+3)/12)</f>
        <v>0</v>
      </c>
      <c r="BK1015">
        <f>BJ1015-BA1015</f>
        <v>0</v>
      </c>
      <c r="BL1015" cm="1">
        <f t="array" ref="BL1015">IFERROR(IF(BK1015&lt;0,0,BK1015/($AU$937-INDEX(hd_off,MATCH(BT1015,hd_mark,0),0)/12)),0)</f>
        <v>0</v>
      </c>
      <c r="BM1015">
        <f>MAX($F$25,$BF$937)/$Q$948</f>
        <v>0.29920977011494249</v>
      </c>
      <c r="BN1015">
        <f t="shared" si="622"/>
        <v>1</v>
      </c>
      <c r="BO1015" cm="1">
        <f t="array" ref="BO1015">IFERROR(INDEX(sheath_ecap_asd,MATCH(BS1015,sheath_mark,0),0)*BN1015,0)</f>
        <v>0</v>
      </c>
      <c r="BP1015" cm="1">
        <f t="array" ref="BP1015">IFERROR(INDEX(sheath_wcap_asd,MATCH(BS1015,sheath_mark,0),0)*BN1015,0)</f>
        <v>0</v>
      </c>
      <c r="BQ1015" cm="1">
        <f t="array" ref="BQ1015">IFERROR(INDEX(hd_cap,MATCH(BT1015,hd_mark,0),0),0)</f>
        <v>0</v>
      </c>
      <c r="BS1015" s="19"/>
      <c r="BT1015" s="19"/>
      <c r="BU1015" s="100"/>
    </row>
    <row r="1016" x14ac:dyDescent="0.25">
      <c r="P1016" s="93"/>
      <c r="AR1016" s="100"/>
      <c r="AS1016" s="93"/>
      <c r="BU1016" s="100"/>
    </row>
    <row r="1017" x14ac:dyDescent="0.25">
      <c r="P1017" s="93"/>
      <c r="Q1017" s="110" t="str">
        <f>$Q$938</f>
        <v>A.13</v>
      </c>
      <c r="R1017" t="str">
        <f>$Q$917</f>
        <v>L2</v>
      </c>
      <c r="S1017">
        <f>$E$21</f>
        <v>10.6875</v>
      </c>
      <c r="T1017" cm="1">
        <f t="array" ref="T1017">IFERROR(IF(S1017=0,0,(INDEX($C$33:$C$38,MATCH($W$938,$B$33:$B$38,0),0)*(S1021+$X$938)+$T$938*COUNTIF(S1017:S1020,"&gt;0")*$C$32+$V$938*$C$31)*$R$938),0)</f>
        <v>0</v>
      </c>
      <c r="U1017">
        <f>IF(S1017=0,0,-(COUNTIF(S1017:S1020,"&gt;0")*$T$938*$C$32+$V$938*$C$31)*$H$27*$R$938)</f>
        <v>0</v>
      </c>
      <c r="V1017">
        <f>IF(S1017=0,0,$V$938*$H$26*$R$938)</f>
        <v>0</v>
      </c>
      <c r="W1017">
        <f>(0.6*T1017+0.7*U1017)*$R$938/2</f>
        <v>0</v>
      </c>
      <c r="X1017">
        <f>(0.6*T1017+0.6*V1017)*$R$938/2</f>
        <v>0</v>
      </c>
      <c r="Z1017">
        <f>IF(S1017=0,0,$AD$938*$AP$917)</f>
        <v>0</v>
      </c>
      <c r="AA1017">
        <f>IFERROR(Z1017/$R$938,0)</f>
        <v>0</v>
      </c>
      <c r="AB1017">
        <f>Z1017*($F$21+IF($F$21=0,0,($C$14+$C$15+IF($C$13="single",1.5,3)+3)/12))</f>
        <v>0</v>
      </c>
      <c r="AC1017">
        <f>AB1017-W1017</f>
        <v>0</v>
      </c>
      <c r="AD1017" cm="1">
        <f t="array" ref="AD1017">IFERROR(IF(AC1017&lt;0,0,AC1017/($R$938-INDEX(hd_off,MATCH(AQ1017,hd_mark,0),0)/12)),0)</f>
        <v>0</v>
      </c>
      <c r="AE1017">
        <f>IF(S1017=0,0,$AD$938*$AM$917)</f>
        <v>0</v>
      </c>
      <c r="AF1017">
        <f>IFERROR(AE1017/$R$938,0)</f>
        <v>0</v>
      </c>
      <c r="AG1017">
        <f>AE1017*($F$21+IF($F$21=0,0,($C$14+$C$15+IF($C$13="single",1.5,3)+3)/12))</f>
        <v>0</v>
      </c>
      <c r="AH1017">
        <f>AG1017-X1017</f>
        <v>0</v>
      </c>
      <c r="AI1017" cm="1">
        <f t="array" ref="AI1017">IFERROR(IF(AH1017&lt;0,0,AH1017/($R$938-INDEX(hd_off,MATCH(AQ1017,hd_mark,0),0)/12)),0)</f>
        <v>0</v>
      </c>
      <c r="AJ1017">
        <f>MAX($F$21,$Y$938)/$Q$948</f>
        <v>0.30172413793103448</v>
      </c>
      <c r="AK1017">
        <f>IF(AJ1017=0,0,IF(AJ1017&gt;2,1.25-0.125*AJ1017,1))</f>
        <v>1</v>
      </c>
      <c r="AL1017" cm="1">
        <f t="array" ref="AL1017">IFERROR(INDEX(sheath_ecap_asd,MATCH(AP1017,sheath_mark,0),0)*AK1017,0)</f>
        <v>0</v>
      </c>
      <c r="AM1017" cm="1">
        <f t="array" ref="AM1017">IFERROR(INDEX(sheath_wcap_asd,MATCH(AP1017,sheath_mark,0),0)*AK1017,0)</f>
        <v>0</v>
      </c>
      <c r="AN1017" cm="1">
        <f t="array" ref="AN1017">IFERROR(INDEX(hd_cap,MATCH(AQ1017,hd_mark,0),0),0)</f>
        <v>0</v>
      </c>
      <c r="AP1017" s="19"/>
      <c r="AQ1017" s="19"/>
      <c r="AR1017" s="100"/>
      <c r="AS1017" s="93"/>
      <c r="AT1017" s="110" t="str">
        <f>$AT$938</f>
        <v>1.13</v>
      </c>
      <c r="AU1017" t="str">
        <f>$Q$917</f>
        <v>L2</v>
      </c>
      <c r="AV1017">
        <f>$E$21</f>
        <v>10.6875</v>
      </c>
      <c r="AW1017" cm="1">
        <f t="array" ref="AW1017">IFERROR(IF(AV1017=0,0,(INDEX($C$33:$C$38,MATCH($AZ$938,$B$33:$B$38,0),0)*(AV1021+$BA$938)+$AW$938*COUNTIF(AV1017:AV1020,"&gt;0")*$C$32+$AY$938*$C$31)*$AU$938),0)</f>
        <v>0</v>
      </c>
      <c r="AX1017">
        <f>IF(AV1017=0,0,-(COUNTIF(AV1017:AV1020,"&gt;0")*$AW$938*$C$32+$AY$938*$C$31)*$H$27*$AU$938)</f>
        <v>0</v>
      </c>
      <c r="AY1017">
        <f>IF(AV1017=0,0,$AY$938*$H$26*$AU$938)</f>
        <v>0</v>
      </c>
      <c r="AZ1017">
        <f>(0.6*AW1017+0.7*AX1017)*$AU$938/2</f>
        <v>0</v>
      </c>
      <c r="BA1017">
        <f>(0.6*AW1017+0.6*AY1017)*$AU$938/2</f>
        <v>0</v>
      </c>
      <c r="BC1017">
        <f>IF(AV1017=0,0,$BG$938*$AP$917)</f>
        <v>0</v>
      </c>
      <c r="BD1017">
        <f>IFERROR(BC1017/$AU$938,0)</f>
        <v>0</v>
      </c>
      <c r="BE1017">
        <f>BC1017*($F$21+IF($F$21=0,0,($C$14+$C$15+IF($C$13="single",1.5,3)+3)/12))</f>
        <v>0</v>
      </c>
      <c r="BF1017">
        <f>BE1017-AZ1017</f>
        <v>0</v>
      </c>
      <c r="BG1017" cm="1">
        <f t="array" ref="BG1017">IFERROR(IF(BF1017&lt;0,0,BF1017/($AU$938-INDEX(hd_off,MATCH(BT1017,hd_mark,0),0)/12)),0)</f>
        <v>0</v>
      </c>
      <c r="BH1017">
        <f>IF(AV1017=0,0,$BG$938*$AM$917)</f>
        <v>0</v>
      </c>
      <c r="BI1017">
        <f>IFERROR(BH1017/$AU$938,0)</f>
        <v>0</v>
      </c>
      <c r="BJ1017">
        <f>BH1017*($F$21+IF($F$21=0,0,($C$14+$C$15+IF($C$13="single",1.5,3)+3)/12))</f>
        <v>0</v>
      </c>
      <c r="BK1017">
        <f>BJ1017-BA1017</f>
        <v>0</v>
      </c>
      <c r="BL1017" cm="1">
        <f t="array" ref="BL1017">IFERROR(IF(BK1017&lt;0,0,BK1017/($AU$938-INDEX(hd_off,MATCH(BT1017,hd_mark,0),0)/12)),0)</f>
        <v>0</v>
      </c>
      <c r="BM1017">
        <f>MAX($F$21,$BB$938)/$Q$948</f>
        <v>0.30172413793103448</v>
      </c>
      <c r="BN1017">
        <f>IF(BM1017=0,0,IF(BM1017&gt;2,1.25-0.125*BM1017,1))</f>
        <v>1</v>
      </c>
      <c r="BO1017" cm="1">
        <f t="array" ref="BO1017">IFERROR(INDEX(sheath_ecap_asd,MATCH(BS1017,sheath_mark,0),0)*BN1017,0)</f>
        <v>0</v>
      </c>
      <c r="BP1017" cm="1">
        <f t="array" ref="BP1017">IFERROR(INDEX(sheath_wcap_asd,MATCH(BS1017,sheath_mark,0),0)*BN1017,0)</f>
        <v>0</v>
      </c>
      <c r="BQ1017" cm="1">
        <f t="array" ref="BQ1017">IFERROR(INDEX(hd_cap,MATCH(BT1017,hd_mark,0),0),0)</f>
        <v>0</v>
      </c>
      <c r="BS1017" s="19"/>
      <c r="BT1017" s="19"/>
      <c r="BU1017" s="100"/>
    </row>
    <row r="1018" x14ac:dyDescent="0.25">
      <c r="P1018" s="93"/>
      <c r="Q1018" s="109"/>
      <c r="R1018" t="str">
        <f>$Q$918</f>
        <v>L3</v>
      </c>
      <c r="S1018">
        <f>$E$22</f>
        <v>21.375</v>
      </c>
      <c r="T1018" cm="1">
        <f t="array" ref="T1018">IFERROR(IF(S1018=0,0,(INDEX($C$33:$C$38,MATCH($W$938,$B$33:$B$38,0),0)*(S1021+$X$938)+$T$938*COUNTIF(S1018:S1020,"&gt;0")*$C$32+$V$938*$C$31)*$R$938),0)</f>
        <v>0</v>
      </c>
      <c r="U1018">
        <f>IF(S1018=0,0,-(COUNTIF(S1018:S1020,"&gt;0")*$T$938*$C$32+$V$938*$C$31)*$H$27*$R$938)</f>
        <v>0</v>
      </c>
      <c r="V1018">
        <f>IF(S1018=0,0,$V$938*$H$26*$R$938)</f>
        <v>0</v>
      </c>
      <c r="W1018">
        <f>(0.6*T1018+0.7*U1018)*$R$938/2</f>
        <v>0</v>
      </c>
      <c r="X1018">
        <f>T1018*$R$938/2</f>
        <v>0</v>
      </c>
      <c r="Z1018">
        <f>IF(S1018=0,0,$AD$938*$AP$918)</f>
        <v>0</v>
      </c>
      <c r="AA1018">
        <f>IFERROR(Z1018/$R$938,0)</f>
        <v>0</v>
      </c>
      <c r="AB1018">
        <f>Z1018*($F$22+IF($F$22=0,0,($C$14+$C$15+IF($C$13="single",1.5,3)+3)/12))</f>
        <v>0</v>
      </c>
      <c r="AC1018">
        <f>AB1018-W1018</f>
        <v>0</v>
      </c>
      <c r="AD1018" cm="1">
        <f t="array" ref="AD1018">IFERROR(IF(AC1018&lt;0,0,AC1018/($R$938-INDEX(hd_off,MATCH(AQ1018,hd_mark,0),0)/12)),0)</f>
        <v>0</v>
      </c>
      <c r="AE1018">
        <f>IF(S1018=0,0,$AD$938*$AM$918)</f>
        <v>0</v>
      </c>
      <c r="AF1018">
        <f>IFERROR(AE1018/$R$938,0)</f>
        <v>0</v>
      </c>
      <c r="AG1018">
        <f>AE1018*($F$22+IF($F$22=0,0,($C$14+$C$15+IF($C$13="single",1.5,3)+3)/12))</f>
        <v>0</v>
      </c>
      <c r="AH1018">
        <f>AG1018-X1018</f>
        <v>0</v>
      </c>
      <c r="AI1018" cm="1">
        <f t="array" ref="AI1018">IFERROR(IF(AH1018&lt;0,0,AH1018/($R$938-INDEX(hd_off,MATCH(AQ1018,hd_mark,0),0)/12)),0)</f>
        <v>0</v>
      </c>
      <c r="AJ1018">
        <f>MAX($F$22,$Z$938)/$Q$948</f>
        <v>0.30172413793103448</v>
      </c>
      <c r="AK1018">
        <f t="shared" ref="AK1018:AK1021" si="623">IF(AJ1018=0,0,IF(AJ1018&gt;2,1.25-0.125*AJ1018,1))</f>
        <v>1</v>
      </c>
      <c r="AL1018" cm="1">
        <f t="array" ref="AL1018">IFERROR(INDEX(sheath_ecap_asd,MATCH(AP1018,sheath_mark,0),0)*AK1018,0)</f>
        <v>0</v>
      </c>
      <c r="AM1018" cm="1">
        <f t="array" ref="AM1018">IFERROR(INDEX(sheath_wcap_asd,MATCH(AP1018,sheath_mark,0),0)*AK1018,0)</f>
        <v>0</v>
      </c>
      <c r="AN1018" cm="1">
        <f t="array" ref="AN1018">IFERROR(INDEX(hd_cap,MATCH(AQ1018,hd_mark,0),0),0)</f>
        <v>0</v>
      </c>
      <c r="AP1018" s="19"/>
      <c r="AQ1018" s="19"/>
      <c r="AR1018" s="100"/>
      <c r="AS1018" s="93"/>
      <c r="AT1018" s="109"/>
      <c r="AU1018" t="str">
        <f>$Q$918</f>
        <v>L3</v>
      </c>
      <c r="AV1018">
        <f>$E$22</f>
        <v>21.375</v>
      </c>
      <c r="AW1018" cm="1">
        <f t="array" ref="AW1018">IFERROR(IF(AV1018=0,0,(INDEX($C$33:$C$38,MATCH($AZ$938,$B$33:$B$38,0),0)*(AV1021+$BA$938)+$AW$938*COUNTIF(AV1018:AV1020,"&gt;0")*$C$32+$AY$938*$C$31)*$AU$938),0)</f>
        <v>0</v>
      </c>
      <c r="AX1018">
        <f>IF(AV1018=0,0,-(COUNTIF(AV1018:AV1020,"&gt;0")*$AW$938*$C$32+$AY$938*$C$31)*$H$27*$AU$938)</f>
        <v>0</v>
      </c>
      <c r="AY1018">
        <f>IF(AV1018=0,0,$AY$938*$H$26*$AU$938)</f>
        <v>0</v>
      </c>
      <c r="AZ1018">
        <f>(0.6*AW1018+0.7*AX1018)*$AU$938/2</f>
        <v>0</v>
      </c>
      <c r="BA1018">
        <f>AW1018*$AU$938/2</f>
        <v>0</v>
      </c>
      <c r="BC1018">
        <f>IF(AV1018=0,0,$BG$938*$AP$918)</f>
        <v>0</v>
      </c>
      <c r="BD1018">
        <f>IFERROR(BC1018/$AU$938,0)</f>
        <v>0</v>
      </c>
      <c r="BE1018">
        <f>BC1018*($F$22+IF($F$22=0,0,($C$14+$C$15+IF($C$13="single",1.5,3)+3)/12))</f>
        <v>0</v>
      </c>
      <c r="BF1018">
        <f>BE1018-AZ1018</f>
        <v>0</v>
      </c>
      <c r="BG1018" cm="1">
        <f t="array" ref="BG1018">IFERROR(IF(BF1018&lt;0,0,BF1018/($AU$938-INDEX(hd_off,MATCH(BT1018,hd_mark,0),0)/12)),0)</f>
        <v>0</v>
      </c>
      <c r="BH1018">
        <f>IF(AV1018=0,0,$BG$938*$AM$918)</f>
        <v>0</v>
      </c>
      <c r="BI1018">
        <f>IFERROR(BH1018/$AU$938,0)</f>
        <v>0</v>
      </c>
      <c r="BJ1018">
        <f>BH1018*($F$22+IF($F$22=0,0,($C$14+$C$15+IF($C$13="single",1.5,3)+3)/12))</f>
        <v>0</v>
      </c>
      <c r="BK1018">
        <f>BJ1018-BA1018</f>
        <v>0</v>
      </c>
      <c r="BL1018" cm="1">
        <f t="array" ref="BL1018">IFERROR(IF(BK1018&lt;0,0,BK1018/($AU$938-INDEX(hd_off,MATCH(BT1018,hd_mark,0),0)/12)),0)</f>
        <v>0</v>
      </c>
      <c r="BM1018">
        <f>MAX($F$22,$BC$938)/$Q$948</f>
        <v>0.30172413793103448</v>
      </c>
      <c r="BN1018">
        <f t="shared" ref="BN1018:BN1021" si="624">IF(BM1018=0,0,IF(BM1018&gt;2,1.25-0.125*BM1018,1))</f>
        <v>1</v>
      </c>
      <c r="BO1018" cm="1">
        <f t="array" ref="BO1018">IFERROR(INDEX(sheath_ecap_asd,MATCH(BS1018,sheath_mark,0),0)*BN1018,0)</f>
        <v>0</v>
      </c>
      <c r="BP1018" cm="1">
        <f t="array" ref="BP1018">IFERROR(INDEX(sheath_wcap_asd,MATCH(BS1018,sheath_mark,0),0)*BN1018,0)</f>
        <v>0</v>
      </c>
      <c r="BQ1018" cm="1">
        <f t="array" ref="BQ1018">IFERROR(INDEX(hd_cap,MATCH(BT1018,hd_mark,0),0),0)</f>
        <v>0</v>
      </c>
      <c r="BS1018" s="19"/>
      <c r="BT1018" s="19"/>
      <c r="BU1018" s="100"/>
    </row>
    <row r="1019" x14ac:dyDescent="0.25">
      <c r="P1019" s="93"/>
      <c r="Q1019" s="109" t="s">
        <v>491</v>
      </c>
      <c r="R1019" t="str">
        <f>$Q$919</f>
        <v>L4</v>
      </c>
      <c r="S1019">
        <f>$E$23</f>
        <v>0</v>
      </c>
      <c r="T1019" cm="1">
        <f t="array" ref="T1019">IFERROR(IF(S1019=0,0,(INDEX($C$33:$C$38,MATCH($W$938,$B$33:$B$38,0),0)*(S1021+$X$938)+$T$938*COUNTIF(S1019:S1020,"&gt;0")*$C$32+$V$938*$C$31)*$R$938),0)</f>
        <v>0</v>
      </c>
      <c r="U1019">
        <f>IF(S1019=0,0,-(COUNTIF(S1019:S1020,"&gt;0")*$T$938*$C$32+$V$938*$C$31)*$H$27*$R$938)</f>
        <v>0</v>
      </c>
      <c r="V1019">
        <f>IF(S1019=0,0,$V$938*$H$26*$R$938)</f>
        <v>0</v>
      </c>
      <c r="W1019">
        <f>(0.6*T1019+0.7*U1019)*$R$938/2</f>
        <v>0</v>
      </c>
      <c r="X1019">
        <f>T1019*$R$938/2</f>
        <v>0</v>
      </c>
      <c r="Z1019">
        <f>IF(S1019=0,0,$AD$938*$AP$919)</f>
        <v>0</v>
      </c>
      <c r="AA1019">
        <f>IFERROR(Z1019/$R$938,0)</f>
        <v>0</v>
      </c>
      <c r="AB1019">
        <f>Z1019*($F$23+IF($F$23=0,0,($C$14+$C$15+IF($C$13="single",1.5,3)+3)/12))</f>
        <v>0</v>
      </c>
      <c r="AC1019">
        <f>AB1019-W1019</f>
        <v>0</v>
      </c>
      <c r="AD1019" cm="1">
        <f t="array" ref="AD1019">IFERROR(IF(AC1019&lt;0,0,AC1019/($R$938-INDEX(hd_off,MATCH(AQ1019,hd_mark,0),0)/12)),0)</f>
        <v>0</v>
      </c>
      <c r="AE1019">
        <f>IF(S1019=0,0,$AD$938*$AM$919)</f>
        <v>0</v>
      </c>
      <c r="AF1019">
        <f>IFERROR(AE1019/$R$938,0)</f>
        <v>0</v>
      </c>
      <c r="AG1019">
        <f>AE1019*($F$23+IF($F$23=0,0,($C$14+$C$15+IF($C$13="single",1.5,3)+3)/12))</f>
        <v>0</v>
      </c>
      <c r="AH1019">
        <f>AG1019-X1019</f>
        <v>0</v>
      </c>
      <c r="AI1019" cm="1">
        <f t="array" ref="AI1019">IFERROR(IF(AH1019&lt;0,0,AH1019/($R$938-INDEX(hd_off,MATCH(AQ1019,hd_mark,0),0)/12)),0)</f>
        <v>0</v>
      </c>
      <c r="AJ1019">
        <f>MAX($F$23,$AA$938)/$Q$948</f>
        <v>0</v>
      </c>
      <c r="AK1019">
        <f t="shared" si="623"/>
        <v>0</v>
      </c>
      <c r="AL1019" cm="1">
        <f t="array" ref="AL1019">IFERROR(INDEX(sheath_ecap_asd,MATCH(AP1019,sheath_mark,0),0)*AK1019,0)</f>
        <v>0</v>
      </c>
      <c r="AM1019" cm="1">
        <f t="array" ref="AM1019">IFERROR(INDEX(sheath_wcap_asd,MATCH(AP1019,sheath_mark,0),0)*AK1019,0)</f>
        <v>0</v>
      </c>
      <c r="AN1019" cm="1">
        <f t="array" ref="AN1019">IFERROR(INDEX(hd_cap,MATCH(AQ1019,hd_mark,0),0),0)</f>
        <v>0</v>
      </c>
      <c r="AP1019" s="19"/>
      <c r="AQ1019" s="19"/>
      <c r="AR1019" s="100"/>
      <c r="AS1019" s="93"/>
      <c r="AT1019" s="109" t="s">
        <v>491</v>
      </c>
      <c r="AU1019" t="str">
        <f>$Q$919</f>
        <v>L4</v>
      </c>
      <c r="AV1019">
        <f>$E$23</f>
        <v>0</v>
      </c>
      <c r="AW1019" cm="1">
        <f t="array" ref="AW1019">IFERROR(IF(AV1019=0,0,(INDEX($C$33:$C$38,MATCH($AZ$938,$B$33:$B$38,0),0)*(AV1021+$BA$938)+$AW$938*COUNTIF(AV1019:AV1020,"&gt;0")*$C$32+$AY$938*$C$31)*$AU$938),0)</f>
        <v>0</v>
      </c>
      <c r="AX1019">
        <f>IF(AV1019=0,0,-(COUNTIF(AV1019:AV1020,"&gt;0")*$AW$938*$C$32+$AY$938*$C$31)*$H$27*$AU$938)</f>
        <v>0</v>
      </c>
      <c r="AY1019">
        <f>IF(AV1019=0,0,$AY$938*$H$26*$AU$938)</f>
        <v>0</v>
      </c>
      <c r="AZ1019">
        <f>(0.6*AW1019+0.7*AX1019)*$AU$938/2</f>
        <v>0</v>
      </c>
      <c r="BA1019">
        <f>AW1019*$AU$938/2</f>
        <v>0</v>
      </c>
      <c r="BC1019">
        <f>IF(AV1019=0,0,$BG$938*$AP$919)</f>
        <v>0</v>
      </c>
      <c r="BD1019">
        <f>IFERROR(BC1019/$AU$938,0)</f>
        <v>0</v>
      </c>
      <c r="BE1019">
        <f>BC1019*($F$23+IF($F$23=0,0,($C$14+$C$15+IF($C$13="single",1.5,3)+3)/12))</f>
        <v>0</v>
      </c>
      <c r="BF1019">
        <f>BE1019-AZ1019</f>
        <v>0</v>
      </c>
      <c r="BG1019" cm="1">
        <f t="array" ref="BG1019">IFERROR(IF(BF1019&lt;0,0,BF1019/($AU$938-INDEX(hd_off,MATCH(BT1019,hd_mark,0),0)/12)),0)</f>
        <v>0</v>
      </c>
      <c r="BH1019">
        <f>IF(AV1019=0,0,$BG$938*$AM$919)</f>
        <v>0</v>
      </c>
      <c r="BI1019">
        <f>IFERROR(BH1019/$AU$938,0)</f>
        <v>0</v>
      </c>
      <c r="BJ1019">
        <f>BH1019*($F$23+IF($F$23=0,0,($C$14+$C$15+IF($C$13="single",1.5,3)+3)/12))</f>
        <v>0</v>
      </c>
      <c r="BK1019">
        <f>BJ1019-BA1019</f>
        <v>0</v>
      </c>
      <c r="BL1019" cm="1">
        <f t="array" ref="BL1019">IFERROR(IF(BK1019&lt;0,0,BK1019/($AU$938-INDEX(hd_off,MATCH(BT1019,hd_mark,0),0)/12)),0)</f>
        <v>0</v>
      </c>
      <c r="BM1019">
        <f>MAX($F$23,$BD$938)/$Q$948</f>
        <v>0</v>
      </c>
      <c r="BN1019">
        <f t="shared" si="624"/>
        <v>0</v>
      </c>
      <c r="BO1019" cm="1">
        <f t="array" ref="BO1019">IFERROR(INDEX(sheath_ecap_asd,MATCH(BS1019,sheath_mark,0),0)*BN1019,0)</f>
        <v>0</v>
      </c>
      <c r="BP1019" cm="1">
        <f t="array" ref="BP1019">IFERROR(INDEX(sheath_wcap_asd,MATCH(BS1019,sheath_mark,0),0)*BN1019,0)</f>
        <v>0</v>
      </c>
      <c r="BQ1019" cm="1">
        <f t="array" ref="BQ1019">IFERROR(INDEX(hd_cap,MATCH(BT1019,hd_mark,0),0),0)</f>
        <v>0</v>
      </c>
      <c r="BS1019" s="19"/>
      <c r="BT1019" s="19"/>
      <c r="BU1019" s="100"/>
    </row>
    <row r="1020" x14ac:dyDescent="0.25">
      <c r="P1020" s="93"/>
      <c r="Q1020" s="111">
        <f>$R$938</f>
        <v>0</v>
      </c>
      <c r="R1020" t="str">
        <f>$Q$920</f>
        <v>L5</v>
      </c>
      <c r="S1020">
        <f>$E$24</f>
        <v>0</v>
      </c>
      <c r="T1020" cm="1">
        <f t="array" ref="T1020">IFERROR(IF(S1020=0,0,(INDEX($C$33:$C$38,MATCH($W$938,$B$33:$B$38,0),0)*(S1021+$X$938)+$T$938*COUNTIF(S1020:S1020,"&gt;0")*$C$32+$V$938*$C$31)*$R$938),0)</f>
        <v>0</v>
      </c>
      <c r="U1020">
        <f>IF(S1020=0,0,-(COUNTIF(S1020:S1020,"&gt;0")*$T$938*$C$32+$V$938*$C$31)*$H$27*$R$938)</f>
        <v>0</v>
      </c>
      <c r="V1020">
        <f>IF(S1020=0,0,$V$938*$H$26*$R$938)</f>
        <v>0</v>
      </c>
      <c r="W1020">
        <f>(0.6*T1020+0.7*U1020)*$R$938/2</f>
        <v>0</v>
      </c>
      <c r="X1020">
        <f>T1020*$R$938/2</f>
        <v>0</v>
      </c>
      <c r="Z1020">
        <f>IF(S1020=0,0,$AD$938*$AP$920)</f>
        <v>0</v>
      </c>
      <c r="AA1020">
        <f>IFERROR(Z1020/$R$938,0)</f>
        <v>0</v>
      </c>
      <c r="AB1020">
        <f>Z1020*($F$24+IF($F$24=0,0,($C$14+$C$15+IF($C$13="single",1.5,3)+3)/12))</f>
        <v>0</v>
      </c>
      <c r="AC1020">
        <f>AB1020-W1020</f>
        <v>0</v>
      </c>
      <c r="AD1020" cm="1">
        <f t="array" ref="AD1020">IFERROR(IF(AC1020&lt;0,0,AC1020/($R$938-INDEX(hd_off,MATCH(AQ1020,hd_mark,0),0)/12)),0)</f>
        <v>0</v>
      </c>
      <c r="AE1020">
        <f>IF(S1020=0,0,$AD$938*$AM$920)</f>
        <v>0</v>
      </c>
      <c r="AF1020">
        <f>IFERROR(AE1020/$R$938,0)</f>
        <v>0</v>
      </c>
      <c r="AG1020">
        <f>AE1020*($F$24+IF($F$24=0,0,($C$14+$C$15+IF($C$13="single",1.5,3)+3)/12))</f>
        <v>0</v>
      </c>
      <c r="AH1020">
        <f>AG1020-X1020</f>
        <v>0</v>
      </c>
      <c r="AI1020" cm="1">
        <f t="array" ref="AI1020">IFERROR(IF(AH1020&lt;0,0,AH1020/($R$938-INDEX(hd_off,MATCH(AQ1020,hd_mark,0),0)/12)),0)</f>
        <v>0</v>
      </c>
      <c r="AJ1020">
        <f>MAX($F$24,$AB$938)/$Q$948</f>
        <v>0</v>
      </c>
      <c r="AK1020">
        <f t="shared" si="623"/>
        <v>0</v>
      </c>
      <c r="AL1020" cm="1">
        <f t="array" ref="AL1020">IFERROR(INDEX(sheath_ecap_asd,MATCH(AP1020,sheath_mark,0),0)*AK1020,0)</f>
        <v>0</v>
      </c>
      <c r="AM1020" cm="1">
        <f t="array" ref="AM1020">IFERROR(INDEX(sheath_wcap_asd,MATCH(AP1020,sheath_mark,0),0)*AK1020,0)</f>
        <v>0</v>
      </c>
      <c r="AN1020" cm="1">
        <f t="array" ref="AN1020">IFERROR(INDEX(hd_cap,MATCH(AQ1020,hd_mark,0),0),0)</f>
        <v>0</v>
      </c>
      <c r="AP1020" s="19"/>
      <c r="AQ1020" s="19"/>
      <c r="AR1020" s="100"/>
      <c r="AS1020" s="93"/>
      <c r="AT1020" s="111">
        <f>$R$938</f>
        <v>0</v>
      </c>
      <c r="AU1020" t="str">
        <f>$Q$920</f>
        <v>L5</v>
      </c>
      <c r="AV1020">
        <f>$E$24</f>
        <v>0</v>
      </c>
      <c r="AW1020" cm="1">
        <f t="array" ref="AW1020">IFERROR(IF(AV1020=0,0,(INDEX($C$33:$C$38,MATCH($AZ$938,$B$33:$B$38,0),0)*(AV1021+$BA$938)+$AW$938*COUNTIF(AV1020:AV1020,"&gt;0")*$C$32+$AY$938*$C$31)*$AU$938),0)</f>
        <v>0</v>
      </c>
      <c r="AX1020">
        <f>IF(AV1020=0,0,-(COUNTIF(AV1020:AV1020,"&gt;0")*$AW$938*$C$32+$AY$938*$C$31)*$H$27*$AU$938)</f>
        <v>0</v>
      </c>
      <c r="AY1020">
        <f>IF(AV1020=0,0,$AY$938*$H$26*$AU$938)</f>
        <v>0</v>
      </c>
      <c r="AZ1020">
        <f>(0.6*AW1020+0.7*AX1020)*$AU$938/2</f>
        <v>0</v>
      </c>
      <c r="BA1020">
        <f>AW1020*$AU$938/2</f>
        <v>0</v>
      </c>
      <c r="BC1020">
        <f>IF(AV1020=0,0,$BG$938*$AP$920)</f>
        <v>0</v>
      </c>
      <c r="BD1020">
        <f>IFERROR(BC1020/$AU$938,0)</f>
        <v>0</v>
      </c>
      <c r="BE1020">
        <f>BC1020*($F$24+IF($F$24=0,0,($C$14+$C$15+IF($C$13="single",1.5,3)+3)/12))</f>
        <v>0</v>
      </c>
      <c r="BF1020">
        <f>BE1020-AZ1020</f>
        <v>0</v>
      </c>
      <c r="BG1020" cm="1">
        <f t="array" ref="BG1020">IFERROR(IF(BF1020&lt;0,0,BF1020/($AU$938-INDEX(hd_off,MATCH(BT1020,hd_mark,0),0)/12)),0)</f>
        <v>0</v>
      </c>
      <c r="BH1020">
        <f>IF(AV1020=0,0,$BG$938*$AM$920)</f>
        <v>0</v>
      </c>
      <c r="BI1020">
        <f>IFERROR(BH1020/$AU$938,0)</f>
        <v>0</v>
      </c>
      <c r="BJ1020">
        <f>BH1020*($F$24+IF($F$24=0,0,($C$14+$C$15+IF($C$13="single",1.5,3)+3)/12))</f>
        <v>0</v>
      </c>
      <c r="BK1020">
        <f>BJ1020-BA1020</f>
        <v>0</v>
      </c>
      <c r="BL1020" cm="1">
        <f t="array" ref="BL1020">IFERROR(IF(BK1020&lt;0,0,BK1020/($AU$938-INDEX(hd_off,MATCH(BT1020,hd_mark,0),0)/12)),0)</f>
        <v>0</v>
      </c>
      <c r="BM1020">
        <f>MAX($F$24,$BE$938)/$Q$948</f>
        <v>0</v>
      </c>
      <c r="BN1020">
        <f t="shared" si="624"/>
        <v>0</v>
      </c>
      <c r="BO1020" cm="1">
        <f t="array" ref="BO1020">IFERROR(INDEX(sheath_ecap_asd,MATCH(BS1020,sheath_mark,0),0)*BN1020,0)</f>
        <v>0</v>
      </c>
      <c r="BP1020" cm="1">
        <f t="array" ref="BP1020">IFERROR(INDEX(sheath_wcap_asd,MATCH(BS1020,sheath_mark,0),0)*BN1020,0)</f>
        <v>0</v>
      </c>
      <c r="BQ1020" cm="1">
        <f t="array" ref="BQ1020">IFERROR(INDEX(hd_cap,MATCH(BT1020,hd_mark,0),0),0)</f>
        <v>0</v>
      </c>
      <c r="BS1020" s="19"/>
      <c r="BT1020" s="19"/>
      <c r="BU1020" s="100"/>
    </row>
    <row r="1021" x14ac:dyDescent="0.25">
      <c r="P1021" s="93"/>
      <c r="Q1021" s="109"/>
      <c r="R1021" t="str">
        <f>$Q$921</f>
        <v>Roof</v>
      </c>
      <c r="S1021">
        <f>$E$25</f>
        <v>33.171875</v>
      </c>
      <c r="T1021" cm="1">
        <f t="array" ref="T1021">IFERROR(IF(S1021=0,0,(INDEX($C$33:$C$38,MATCH($W$938,$B$33:$B$38,0),0)*(S1021+$X$938)+$V$938*$C$31)*$R$938),0)</f>
        <v>0</v>
      </c>
      <c r="U1021">
        <f>IF(S1021=0,0,-$V$938*$C$31*$H$27*$R$938)</f>
        <v>0</v>
      </c>
      <c r="V1021">
        <f>IF(S1021=0,0,$V$938*$H$26*$R$938)</f>
        <v>0</v>
      </c>
      <c r="W1021">
        <f>(0.6*T1021+0.7*U1021)*$R$938/2</f>
        <v>0</v>
      </c>
      <c r="X1021">
        <f>T1021*$R$938/2</f>
        <v>0</v>
      </c>
      <c r="Z1021">
        <f>IF(S1021=0,0,$AD$938*$AP$921)</f>
        <v>0</v>
      </c>
      <c r="AA1021">
        <f>IFERROR(Z1021/$R$938,0)</f>
        <v>0</v>
      </c>
      <c r="AB1021">
        <f>Z1021*($F$25+($C$16+$C$17+IF($C$13="single",1.5,3)+3)/12)</f>
        <v>0</v>
      </c>
      <c r="AC1021">
        <f>AB1021-W1021</f>
        <v>0</v>
      </c>
      <c r="AD1021" cm="1">
        <f t="array" ref="AD1021">IFERROR(IF(AC1021&lt;0,0,AC1021/($R$938-INDEX(hd_off,MATCH(AQ1021,hd_mark,0),0)/12)),0)</f>
        <v>0</v>
      </c>
      <c r="AE1021">
        <f>IF(S1021=0,0,$AD$938*$AM$921)</f>
        <v>0</v>
      </c>
      <c r="AF1021">
        <f>IFERROR(AE1021/$R$938,0)</f>
        <v>0</v>
      </c>
      <c r="AG1021">
        <f>AE1021*($F$25+($C$16+$C$17+IF($C$13="single",1.5,3)+3)/12)</f>
        <v>0</v>
      </c>
      <c r="AH1021">
        <f>AG1021-X1021</f>
        <v>0</v>
      </c>
      <c r="AI1021" cm="1">
        <f t="array" ref="AI1021">IFERROR(IF(AH1021&lt;0,0,AH1021/($R$938-INDEX(hd_off,MATCH(AQ1021,hd_mark,0),0)/12)),0)</f>
        <v>0</v>
      </c>
      <c r="AJ1021">
        <f>MAX($F$25,$AC$938)/$Q$948</f>
        <v>0.29920977011494249</v>
      </c>
      <c r="AK1021">
        <f t="shared" si="623"/>
        <v>1</v>
      </c>
      <c r="AL1021" cm="1">
        <f t="array" ref="AL1021">IFERROR(INDEX(sheath_ecap_asd,MATCH(AP1021,sheath_mark,0),0)*AK1021,0)</f>
        <v>0</v>
      </c>
      <c r="AM1021" cm="1">
        <f t="array" ref="AM1021">IFERROR(INDEX(sheath_wcap_asd,MATCH(AP1021,sheath_mark,0),0)*AK1021,0)</f>
        <v>0</v>
      </c>
      <c r="AN1021" cm="1">
        <f t="array" ref="AN1021">IFERROR(INDEX(hd_cap,MATCH(AQ1021,hd_mark,0),0),0)</f>
        <v>0</v>
      </c>
      <c r="AP1021" s="19"/>
      <c r="AQ1021" s="19"/>
      <c r="AR1021" s="100"/>
      <c r="AS1021" s="93"/>
      <c r="AT1021" s="109"/>
      <c r="AU1021" t="str">
        <f>$Q$921</f>
        <v>Roof</v>
      </c>
      <c r="AV1021">
        <f>$E$25</f>
        <v>33.171875</v>
      </c>
      <c r="AW1021" cm="1">
        <f t="array" ref="AW1021">IFERROR(IF(AV1021=0,0,(INDEX($C$33:$C$38,MATCH($AZ$938,$B$33:$B$38,0),0)*(AV1021+$BA$938)+$AY$938*$C$31)*$AU$938),0)</f>
        <v>0</v>
      </c>
      <c r="AX1021">
        <f>IF(AV1021=0,0,-$AY$938*$C$31*$H$27*$AU$938)</f>
        <v>0</v>
      </c>
      <c r="AY1021">
        <f>IF(AV1021=0,0,$AY$938*$H$26*$AU$938)</f>
        <v>0</v>
      </c>
      <c r="AZ1021">
        <f>(0.6*AW1021+0.7*AX1021)*$AU$938/2</f>
        <v>0</v>
      </c>
      <c r="BA1021">
        <f>AW1021*$AU$938/2</f>
        <v>0</v>
      </c>
      <c r="BC1021">
        <f>IF(AV1021=0,0,$BG$938*$AP$921)</f>
        <v>0</v>
      </c>
      <c r="BD1021">
        <f>IFERROR(BC1021/$AU$938,0)</f>
        <v>0</v>
      </c>
      <c r="BE1021">
        <f>BC1021*($F$25+($C$16+$C$17+IF($C$13="single",1.5,3)+3)/12)</f>
        <v>0</v>
      </c>
      <c r="BF1021">
        <f>BE1021-AZ1021</f>
        <v>0</v>
      </c>
      <c r="BG1021" cm="1">
        <f t="array" ref="BG1021">IFERROR(IF(BF1021&lt;0,0,BF1021/($AU$938-INDEX(hd_off,MATCH(BT1021,hd_mark,0),0)/12)),0)</f>
        <v>0</v>
      </c>
      <c r="BH1021">
        <f>IF(AV1021=0,0,$BG$938*$AM$921)</f>
        <v>0</v>
      </c>
      <c r="BI1021">
        <f>IFERROR(BH1021/$AU$938,0)</f>
        <v>0</v>
      </c>
      <c r="BJ1021">
        <f>BH1021*($F$25+($C$16+$C$17+IF($C$13="single",1.5,3)+3)/12)</f>
        <v>0</v>
      </c>
      <c r="BK1021">
        <f>BJ1021-BA1021</f>
        <v>0</v>
      </c>
      <c r="BL1021" cm="1">
        <f t="array" ref="BL1021">IFERROR(IF(BK1021&lt;0,0,BK1021/($AU$938-INDEX(hd_off,MATCH(BT1021,hd_mark,0),0)/12)),0)</f>
        <v>0</v>
      </c>
      <c r="BM1021">
        <f>MAX($F$25,$BF$938)/$Q$948</f>
        <v>0.29920977011494249</v>
      </c>
      <c r="BN1021">
        <f t="shared" si="624"/>
        <v>1</v>
      </c>
      <c r="BO1021" cm="1">
        <f t="array" ref="BO1021">IFERROR(INDEX(sheath_ecap_asd,MATCH(BS1021,sheath_mark,0),0)*BN1021,0)</f>
        <v>0</v>
      </c>
      <c r="BP1021" cm="1">
        <f t="array" ref="BP1021">IFERROR(INDEX(sheath_wcap_asd,MATCH(BS1021,sheath_mark,0),0)*BN1021,0)</f>
        <v>0</v>
      </c>
      <c r="BQ1021" cm="1">
        <f t="array" ref="BQ1021">IFERROR(INDEX(hd_cap,MATCH(BT1021,hd_mark,0),0),0)</f>
        <v>0</v>
      </c>
      <c r="BS1021" s="19"/>
      <c r="BT1021" s="19"/>
      <c r="BU1021" s="100"/>
    </row>
    <row r="1022" x14ac:dyDescent="0.25">
      <c r="P1022" s="93"/>
      <c r="AR1022" s="100"/>
      <c r="AS1022" s="93"/>
      <c r="BU1022" s="100"/>
    </row>
    <row r="1023" x14ac:dyDescent="0.25">
      <c r="P1023" s="93"/>
      <c r="Q1023" s="110" t="str">
        <f>$Q$939</f>
        <v>A.14</v>
      </c>
      <c r="R1023" t="str">
        <f>$Q$917</f>
        <v>L2</v>
      </c>
      <c r="S1023">
        <f>$E$21</f>
        <v>10.6875</v>
      </c>
      <c r="T1023" cm="1">
        <f t="array" ref="T1023">IFERROR(IF(S1023=0,0,(INDEX($C$33:$C$38,MATCH($W$939,$B$33:$B$38,0),0)*(S1027+$X$939)+$T$939*COUNTIF(S1023:S1039,"&gt;0")*$C$32+$V$939*$C$31)*$R$939),0)</f>
        <v>0</v>
      </c>
      <c r="U1023">
        <f>IF(S1023=0,0,-(COUNTIF(S1023:S1039,"&gt;0")*$T$939*$C$32+$V$939*$C$31)*$H$27*$R$939)</f>
        <v>0</v>
      </c>
      <c r="V1023">
        <f>IF(S1023=0,0,$V$939*$H$26*$R$939)</f>
        <v>0</v>
      </c>
      <c r="W1023">
        <f>(0.6*T1023+0.7*U1023)*$R$939/2</f>
        <v>0</v>
      </c>
      <c r="X1023">
        <f>(0.6*T1023+0.6*V1023)*$R$939/2</f>
        <v>0</v>
      </c>
      <c r="Z1023">
        <f>IF(S1023=0,0,$AD$939*$AP$917)</f>
        <v>0</v>
      </c>
      <c r="AA1023">
        <f>IFERROR(Z1023/$R$939,0)</f>
        <v>0</v>
      </c>
      <c r="AB1023">
        <f>Z1023*($F$21+IF($F$21=0,0,($C$14+$C$15+IF($C$13="single",1.5,3)+3)/12))</f>
        <v>0</v>
      </c>
      <c r="AC1023">
        <f>AB1023-W1023</f>
        <v>0</v>
      </c>
      <c r="AD1023" cm="1">
        <f t="array" ref="AD1023">IFERROR(IF(AC1023&lt;0,0,AC1023/($R$939-INDEX(hd_off,MATCH(AQ1023,hd_mark,0),0)/12)),0)</f>
        <v>0</v>
      </c>
      <c r="AE1023">
        <f>IF(S1023=0,0,$AD$939*$AM$917)</f>
        <v>0</v>
      </c>
      <c r="AF1023">
        <f>IFERROR(AE1023/$R$939,0)</f>
        <v>0</v>
      </c>
      <c r="AG1023">
        <f>AE1023*($F$21+IF($F$21=0,0,($C$14+$C$15+IF($C$13="single",1.5,3)+3)/12))</f>
        <v>0</v>
      </c>
      <c r="AH1023">
        <f>AG1023-X1023</f>
        <v>0</v>
      </c>
      <c r="AI1023" cm="1">
        <f t="array" ref="AI1023">IFERROR(IF(AH1023&lt;0,0,AH1023/($R$939-INDEX(hd_off,MATCH(AQ1023,hd_mark,0),0)/12)),0)</f>
        <v>0</v>
      </c>
      <c r="AJ1023">
        <f>MAX($F$21,$Y$939)/$Q$948</f>
        <v>0.30172413793103448</v>
      </c>
      <c r="AK1023">
        <f>IF(AJ1023=0,0,IF(AJ1023&gt;2,1.25-0.125*AJ1023,1))</f>
        <v>1</v>
      </c>
      <c r="AL1023" cm="1">
        <f t="array" ref="AL1023">IFERROR(INDEX(sheath_ecap_asd,MATCH(AP1023,sheath_mark,0),0)*AK1023,0)</f>
        <v>0</v>
      </c>
      <c r="AM1023" cm="1">
        <f t="array" ref="AM1023">IFERROR(INDEX(sheath_wcap_asd,MATCH(AP1023,sheath_mark,0),0)*AK1023,0)</f>
        <v>0</v>
      </c>
      <c r="AN1023" cm="1">
        <f t="array" ref="AN1023">IFERROR(INDEX(hd_cap,MATCH(AQ1023,hd_mark,0),0),0)</f>
        <v>0</v>
      </c>
      <c r="AP1023" s="19"/>
      <c r="AQ1023" s="19"/>
      <c r="AR1023" s="100"/>
      <c r="AS1023" s="93"/>
      <c r="AT1023" s="110" t="str">
        <f>$AT$939</f>
        <v>1.14</v>
      </c>
      <c r="AU1023" t="str">
        <f>$Q$917</f>
        <v>L2</v>
      </c>
      <c r="AV1023">
        <f>$E$21</f>
        <v>10.6875</v>
      </c>
      <c r="AW1023" cm="1">
        <f t="array" ref="AW1023">IFERROR(IF(AV1023=0,0,(INDEX($C$33:$C$38,MATCH($AZ$939,$B$33:$B$38,0),0)*(AV1027+$BA$939)+$AW$939*COUNTIF(AV1023:AV1039,"&gt;0")*$C$32+$AY$939*$C$31)*$AU$939),0)</f>
        <v>0</v>
      </c>
      <c r="AX1023">
        <f>IF(AV1023=0,0,-(COUNTIF(AV1023:AV1039,"&gt;0")*$AW$939*$C$32+$AY$939*$C$31)*$H$27*$AU$939)</f>
        <v>0</v>
      </c>
      <c r="AY1023">
        <f>IF(AV1023=0,0,$AY$939*$H$26*$AU$939)</f>
        <v>0</v>
      </c>
      <c r="AZ1023">
        <f>(0.6*AW1023+0.7*AX1023)*$AU$939/2</f>
        <v>0</v>
      </c>
      <c r="BA1023">
        <f>(0.6*AW1023+0.6*AY1023)*$AU$939/2</f>
        <v>0</v>
      </c>
      <c r="BC1023">
        <f>IF(AV1023=0,0,$BG$939*$AP$917)</f>
        <v>0</v>
      </c>
      <c r="BD1023">
        <f>IFERROR(BC1023/$AU$939,0)</f>
        <v>0</v>
      </c>
      <c r="BE1023">
        <f>BC1023*($F$21+IF($F$21=0,0,($C$14+$C$15+IF($C$13="single",1.5,3)+3)/12))</f>
        <v>0</v>
      </c>
      <c r="BF1023">
        <f>BE1023-AZ1023</f>
        <v>0</v>
      </c>
      <c r="BG1023" cm="1">
        <f t="array" ref="BG1023">IFERROR(IF(BF1023&lt;0,0,BF1023/($AU$939-INDEX(hd_off,MATCH(BT1023,hd_mark,0),0)/12)),0)</f>
        <v>0</v>
      </c>
      <c r="BH1023">
        <f>IF(AV1023=0,0,$BG$939*$AM$917)</f>
        <v>0</v>
      </c>
      <c r="BI1023">
        <f>IFERROR(BH1023/$AU$939,0)</f>
        <v>0</v>
      </c>
      <c r="BJ1023">
        <f>BH1023*($F$21+IF($F$21=0,0,($C$14+$C$15+IF($C$13="single",1.5,3)+3)/12))</f>
        <v>0</v>
      </c>
      <c r="BK1023">
        <f>BJ1023-BA1023</f>
        <v>0</v>
      </c>
      <c r="BL1023" cm="1">
        <f t="array" ref="BL1023">IFERROR(IF(BK1023&lt;0,0,BK1023/($AU$939-INDEX(hd_off,MATCH(BT1023,hd_mark,0),0)/12)),0)</f>
        <v>0</v>
      </c>
      <c r="BM1023">
        <f>MAX($F$21,$BB$939)/$Q$948</f>
        <v>0.30172413793103448</v>
      </c>
      <c r="BN1023">
        <f>IF(BM1023=0,0,IF(BM1023&gt;2,1.25-0.125*BM1023,1))</f>
        <v>1</v>
      </c>
      <c r="BO1023" cm="1">
        <f t="array" ref="BO1023">IFERROR(INDEX(sheath_ecap_asd,MATCH(BS1023,sheath_mark,0),0)*BN1023,0)</f>
        <v>0</v>
      </c>
      <c r="BP1023" cm="1">
        <f t="array" ref="BP1023">IFERROR(INDEX(sheath_wcap_asd,MATCH(BS1023,sheath_mark,0),0)*BN1023,0)</f>
        <v>0</v>
      </c>
      <c r="BQ1023" cm="1">
        <f t="array" ref="BQ1023">IFERROR(INDEX(hd_cap,MATCH(BT1023,hd_mark,0),0),0)</f>
        <v>0</v>
      </c>
      <c r="BS1023" s="19"/>
      <c r="BT1023" s="19"/>
      <c r="BU1023" s="100"/>
    </row>
    <row r="1024" x14ac:dyDescent="0.25">
      <c r="P1024" s="93"/>
      <c r="Q1024" s="109"/>
      <c r="R1024" t="str">
        <f>$Q$918</f>
        <v>L3</v>
      </c>
      <c r="S1024">
        <f>$E$22</f>
        <v>21.375</v>
      </c>
      <c r="T1024" cm="1">
        <f t="array" ref="T1024">IFERROR(IF(S1024=0,0,(INDEX($C$33:$C$38,MATCH($W$939,$B$33:$B$38,0),0)*(S1027+$X$939)+$T$939*COUNTIF(S1024:S1039,"&gt;0")*$C$32+$V$939*$C$31)*$R$939),0)</f>
        <v>0</v>
      </c>
      <c r="U1024">
        <f>IF(S1024=0,0,-(COUNTIF(S1024:S1039,"&gt;0")*$T$939*$C$32+$V$939*$C$31)*$H$27*$R$939)</f>
        <v>0</v>
      </c>
      <c r="V1024">
        <f>IF(S1024=0,0,$V$939*$H$26*$R$939)</f>
        <v>0</v>
      </c>
      <c r="W1024">
        <f>(0.6*T1024+0.7*U1024)*$R$939/2</f>
        <v>0</v>
      </c>
      <c r="X1024">
        <f>T1024*$R$939/2</f>
        <v>0</v>
      </c>
      <c r="Z1024">
        <f>IF(S1024=0,0,$AD$939*$AP$918)</f>
        <v>0</v>
      </c>
      <c r="AA1024">
        <f>IFERROR(Z1024/$R$939,0)</f>
        <v>0</v>
      </c>
      <c r="AB1024">
        <f>Z1024*($F$22+IF($F$22=0,0,($C$14+$C$15+IF($C$13="single",1.5,3)+3)/12))</f>
        <v>0</v>
      </c>
      <c r="AC1024">
        <f>AB1024-W1024</f>
        <v>0</v>
      </c>
      <c r="AD1024" cm="1">
        <f t="array" ref="AD1024">IFERROR(IF(AC1024&lt;0,0,AC1024/($R$939-INDEX(hd_off,MATCH(AQ1024,hd_mark,0),0)/12)),0)</f>
        <v>0</v>
      </c>
      <c r="AE1024">
        <f>IF(S1024=0,0,$AD$939*$AM$918)</f>
        <v>0</v>
      </c>
      <c r="AF1024">
        <f>IFERROR(AE1024/$R$939,0)</f>
        <v>0</v>
      </c>
      <c r="AG1024">
        <f>AE1024*($F$22+IF($F$22=0,0,($C$14+$C$15+IF($C$13="single",1.5,3)+3)/12))</f>
        <v>0</v>
      </c>
      <c r="AH1024">
        <f>AG1024-X1024</f>
        <v>0</v>
      </c>
      <c r="AI1024" cm="1">
        <f t="array" ref="AI1024">IFERROR(IF(AH1024&lt;0,0,AH1024/($R$939-INDEX(hd_off,MATCH(AQ1024,hd_mark,0),0)/12)),0)</f>
        <v>0</v>
      </c>
      <c r="AJ1024">
        <f>MAX($F$22,$Z$939)/$Q$948</f>
        <v>0.30172413793103448</v>
      </c>
      <c r="AK1024">
        <f t="shared" ref="AK1024:AK1027" si="625">IF(AJ1024=0,0,IF(AJ1024&gt;2,1.25-0.125*AJ1024,1))</f>
        <v>1</v>
      </c>
      <c r="AL1024" cm="1">
        <f t="array" ref="AL1024">IFERROR(INDEX(sheath_ecap_asd,MATCH(AP1024,sheath_mark,0),0)*AK1024,0)</f>
        <v>0</v>
      </c>
      <c r="AM1024" cm="1">
        <f t="array" ref="AM1024">IFERROR(INDEX(sheath_wcap_asd,MATCH(AP1024,sheath_mark,0),0)*AK1024,0)</f>
        <v>0</v>
      </c>
      <c r="AN1024" cm="1">
        <f t="array" ref="AN1024">IFERROR(INDEX(hd_cap,MATCH(AQ1024,hd_mark,0),0),0)</f>
        <v>0</v>
      </c>
      <c r="AP1024" s="19"/>
      <c r="AQ1024" s="19"/>
      <c r="AR1024" s="100"/>
      <c r="AS1024" s="93"/>
      <c r="AT1024" s="109"/>
      <c r="AU1024" t="str">
        <f>$Q$918</f>
        <v>L3</v>
      </c>
      <c r="AV1024">
        <f>$E$22</f>
        <v>21.375</v>
      </c>
      <c r="AW1024" cm="1">
        <f t="array" ref="AW1024">IFERROR(IF(AV1024=0,0,(INDEX($C$33:$C$38,MATCH($AZ$939,$B$33:$B$38,0),0)*(AV1027+$BA$939)+$AW$939*COUNTIF(AV1024:AV1039,"&gt;0")*$C$32+$AY$939*$C$31)*$AU$939),0)</f>
        <v>0</v>
      </c>
      <c r="AX1024">
        <f>IF(AV1024=0,0,-(COUNTIF(AV1024:AV1039,"&gt;0")*$AW$939*$C$32+$AY$939*$C$31)*$H$27*$AU$939)</f>
        <v>0</v>
      </c>
      <c r="AY1024">
        <f>IF(AV1024=0,0,$AY$939*$H$26*$AU$939)</f>
        <v>0</v>
      </c>
      <c r="AZ1024">
        <f>(0.6*AW1024+0.7*AX1024)*$AU$939/2</f>
        <v>0</v>
      </c>
      <c r="BA1024">
        <f>AW1024*$AU$939/2</f>
        <v>0</v>
      </c>
      <c r="BC1024">
        <f>IF(AV1024=0,0,$BG$939*$AP$918)</f>
        <v>0</v>
      </c>
      <c r="BD1024">
        <f>IFERROR(BC1024/$AU$939,0)</f>
        <v>0</v>
      </c>
      <c r="BE1024">
        <f>BC1024*($F$22+IF($F$22=0,0,($C$14+$C$15+IF($C$13="single",1.5,3)+3)/12))</f>
        <v>0</v>
      </c>
      <c r="BF1024">
        <f>BE1024-AZ1024</f>
        <v>0</v>
      </c>
      <c r="BG1024" cm="1">
        <f t="array" ref="BG1024">IFERROR(IF(BF1024&lt;0,0,BF1024/($AU$939-INDEX(hd_off,MATCH(BT1024,hd_mark,0),0)/12)),0)</f>
        <v>0</v>
      </c>
      <c r="BH1024">
        <f>IF(AV1024=0,0,$BG$939*$AM$918)</f>
        <v>0</v>
      </c>
      <c r="BI1024">
        <f>IFERROR(BH1024/$AU$939,0)</f>
        <v>0</v>
      </c>
      <c r="BJ1024">
        <f>BH1024*($F$22+IF($F$22=0,0,($C$14+$C$15+IF($C$13="single",1.5,3)+3)/12))</f>
        <v>0</v>
      </c>
      <c r="BK1024">
        <f>BJ1024-BA1024</f>
        <v>0</v>
      </c>
      <c r="BL1024" cm="1">
        <f t="array" ref="BL1024">IFERROR(IF(BK1024&lt;0,0,BK1024/($AU$939-INDEX(hd_off,MATCH(BT1024,hd_mark,0),0)/12)),0)</f>
        <v>0</v>
      </c>
      <c r="BM1024">
        <f>MAX($F$22,$BC$939)/$Q$948</f>
        <v>0.30172413793103448</v>
      </c>
      <c r="BN1024">
        <f t="shared" ref="BN1024:BN1025" si="626">IF(BM1024=0,0,IF(BM1024&gt;2,1.25-0.125*BM1024,1))</f>
        <v>1</v>
      </c>
      <c r="BO1024" cm="1">
        <f t="array" ref="BO1024">IFERROR(INDEX(sheath_ecap_asd,MATCH(BS1024,sheath_mark,0),0)*BN1024,0)</f>
        <v>0</v>
      </c>
      <c r="BP1024" cm="1">
        <f t="array" ref="BP1024">IFERROR(INDEX(sheath_wcap_asd,MATCH(BS1024,sheath_mark,0),0)*BN1024,0)</f>
        <v>0</v>
      </c>
      <c r="BQ1024" cm="1">
        <f t="array" ref="BQ1024">IFERROR(INDEX(hd_cap,MATCH(BT1024,hd_mark,0),0),0)</f>
        <v>0</v>
      </c>
      <c r="BS1024" s="19"/>
      <c r="BT1024" s="19"/>
      <c r="BU1024" s="100"/>
    </row>
    <row r="1025" x14ac:dyDescent="0.25">
      <c r="P1025" s="93"/>
      <c r="Q1025" s="109" t="s">
        <v>491</v>
      </c>
      <c r="R1025" t="str">
        <f>$Q$919</f>
        <v>L4</v>
      </c>
      <c r="S1025">
        <f>$E$23</f>
        <v>0</v>
      </c>
      <c r="T1025" cm="1">
        <f t="array" ref="T1025">IFERROR(IF(S1025=0,0,(INDEX($C$33:$C$38,MATCH($W$939,$B$33:$B$38,0),0)*(S1027+$X$939)+$T$939*COUNTIF(S1025:S1039,"&gt;0")*$C$32+$V$939*$C$31)*$R$939),0)</f>
        <v>0</v>
      </c>
      <c r="U1025">
        <f>IF(S1025=0,0,-(COUNTIF(S1025:S1039,"&gt;0")*$T$939*$C$32+$V$939*$C$31)*$H$27*$R$939)</f>
        <v>0</v>
      </c>
      <c r="V1025">
        <f>IF(S1025=0,0,$V$939*$H$26*$R$939)</f>
        <v>0</v>
      </c>
      <c r="W1025">
        <f>(0.6*T1025+0.7*U1025)*$R$939/2</f>
        <v>0</v>
      </c>
      <c r="X1025">
        <f>T1025*$R$939/2</f>
        <v>0</v>
      </c>
      <c r="Z1025">
        <f>IF(S1025=0,0,$AD$939*$AP$919)</f>
        <v>0</v>
      </c>
      <c r="AA1025">
        <f>IFERROR(Z1025/$R$939,0)</f>
        <v>0</v>
      </c>
      <c r="AB1025">
        <f>Z1025*($F$23+IF($F$23=0,0,($C$14+$C$15+IF($C$13="single",1.5,3)+3)/12))</f>
        <v>0</v>
      </c>
      <c r="AC1025">
        <f>AB1025-W1025</f>
        <v>0</v>
      </c>
      <c r="AD1025" cm="1">
        <f t="array" ref="AD1025">IFERROR(IF(AC1025&lt;0,0,AC1025/($R$939-INDEX(hd_off,MATCH(AQ1025,hd_mark,0),0)/12)),0)</f>
        <v>0</v>
      </c>
      <c r="AE1025">
        <f>IF(S1025=0,0,$AD$939*$AM$919)</f>
        <v>0</v>
      </c>
      <c r="AF1025">
        <f>IFERROR(AE1025/$R$939,0)</f>
        <v>0</v>
      </c>
      <c r="AG1025">
        <f>AE1025*($F$23+IF($F$23=0,0,($C$14+$C$15+IF($C$13="single",1.5,3)+3)/12))</f>
        <v>0</v>
      </c>
      <c r="AH1025">
        <f>AG1025-X1025</f>
        <v>0</v>
      </c>
      <c r="AI1025" cm="1">
        <f t="array" ref="AI1025">IFERROR(IF(AH1025&lt;0,0,AH1025/($R$939-INDEX(hd_off,MATCH(AQ1025,hd_mark,0),0)/12)),0)</f>
        <v>0</v>
      </c>
      <c r="AJ1025">
        <f>MAX($F$23,$AA$939)/$Q$948</f>
        <v>0</v>
      </c>
      <c r="AK1025">
        <f t="shared" si="625"/>
        <v>0</v>
      </c>
      <c r="AL1025" cm="1">
        <f t="array" ref="AL1025">IFERROR(INDEX(sheath_ecap_asd,MATCH(AP1025,sheath_mark,0),0)*AK1025,0)</f>
        <v>0</v>
      </c>
      <c r="AM1025" cm="1">
        <f t="array" ref="AM1025">IFERROR(INDEX(sheath_wcap_asd,MATCH(AP1025,sheath_mark,0),0)*AK1025,0)</f>
        <v>0</v>
      </c>
      <c r="AN1025" cm="1">
        <f t="array" ref="AN1025">IFERROR(INDEX(hd_cap,MATCH(AQ1025,hd_mark,0),0),0)</f>
        <v>0</v>
      </c>
      <c r="AP1025" s="19"/>
      <c r="AQ1025" s="19"/>
      <c r="AR1025" s="100"/>
      <c r="AS1025" s="93"/>
      <c r="AT1025" s="109" t="s">
        <v>491</v>
      </c>
      <c r="AU1025" t="str">
        <f>$Q$919</f>
        <v>L4</v>
      </c>
      <c r="AV1025">
        <f>$E$23</f>
        <v>0</v>
      </c>
      <c r="AW1025" cm="1">
        <f t="array" ref="AW1025">IFERROR(IF(AV1025=0,0,(INDEX($C$33:$C$38,MATCH($AZ$939,$B$33:$B$38,0),0)*(AV1027+$BA$939)+$AW$939*COUNTIF(AV1025:AV1039,"&gt;0")*$C$32+$AY$939*$C$31)*$AU$939),0)</f>
        <v>0</v>
      </c>
      <c r="AX1025">
        <f>IF(AV1025=0,0,-(COUNTIF(AV1025:AV1039,"&gt;0")*$AW$939*$C$32+$AY$939*$C$31)*$H$27*$AU$939)</f>
        <v>0</v>
      </c>
      <c r="AY1025">
        <f>IF(AV1025=0,0,$AY$939*$H$26*$AU$939)</f>
        <v>0</v>
      </c>
      <c r="AZ1025">
        <f>(0.6*AW1025+0.7*AX1025)*$AU$939/2</f>
        <v>0</v>
      </c>
      <c r="BA1025">
        <f>AW1025*$AU$939/2</f>
        <v>0</v>
      </c>
      <c r="BC1025">
        <f>IF(AV1025=0,0,$BG$939*$AP$919)</f>
        <v>0</v>
      </c>
      <c r="BD1025">
        <f>IFERROR(BC1025/$AU$939,0)</f>
        <v>0</v>
      </c>
      <c r="BE1025">
        <f>BC1025*($F$23+IF($F$23=0,0,($C$14+$C$15+IF($C$13="single",1.5,3)+3)/12))</f>
        <v>0</v>
      </c>
      <c r="BF1025">
        <f>BE1025-AZ1025</f>
        <v>0</v>
      </c>
      <c r="BG1025" cm="1">
        <f t="array" ref="BG1025">IFERROR(IF(BF1025&lt;0,0,BF1025/($AU$939-INDEX(hd_off,MATCH(BT1025,hd_mark,0),0)/12)),0)</f>
        <v>0</v>
      </c>
      <c r="BH1025">
        <f>IF(AV1025=0,0,$BG$939*$AM$919)</f>
        <v>0</v>
      </c>
      <c r="BI1025">
        <f>IFERROR(BH1025/$AU$939,0)</f>
        <v>0</v>
      </c>
      <c r="BJ1025">
        <f>BH1025*($F$23+IF($F$23=0,0,($C$14+$C$15+IF($C$13="single",1.5,3)+3)/12))</f>
        <v>0</v>
      </c>
      <c r="BK1025">
        <f>BJ1025-BA1025</f>
        <v>0</v>
      </c>
      <c r="BL1025" cm="1">
        <f t="array" ref="BL1025">IFERROR(IF(BK1025&lt;0,0,BK1025/($AU$939-INDEX(hd_off,MATCH(BT1025,hd_mark,0),0)/12)),0)</f>
        <v>0</v>
      </c>
      <c r="BM1025">
        <f>MAX($F$23,$BD$939)/$Q$948</f>
        <v>0</v>
      </c>
      <c r="BN1025">
        <f t="shared" si="626"/>
        <v>0</v>
      </c>
      <c r="BO1025" cm="1">
        <f t="array" ref="BO1025">IFERROR(INDEX(sheath_ecap_asd,MATCH(BS1025,sheath_mark,0),0)*BN1025,0)</f>
        <v>0</v>
      </c>
      <c r="BP1025" cm="1">
        <f t="array" ref="BP1025">IFERROR(INDEX(sheath_wcap_asd,MATCH(BS1025,sheath_mark,0),0)*BN1025,0)</f>
        <v>0</v>
      </c>
      <c r="BQ1025" cm="1">
        <f t="array" ref="BQ1025">IFERROR(INDEX(hd_cap,MATCH(BT1025,hd_mark,0),0),0)</f>
        <v>0</v>
      </c>
      <c r="BS1025" s="19"/>
      <c r="BT1025" s="19"/>
      <c r="BU1025" s="100"/>
    </row>
    <row r="1026" x14ac:dyDescent="0.25">
      <c r="P1026" s="93"/>
      <c r="Q1026" s="111">
        <f>$R$939</f>
        <v>0</v>
      </c>
      <c r="R1026" t="str">
        <f>$Q$920</f>
        <v>L5</v>
      </c>
      <c r="S1026">
        <f>$E$24</f>
        <v>0</v>
      </c>
      <c r="T1026" cm="1">
        <f t="array" ref="T1026">IFERROR(IF(S1039=0,0,(INDEX($C$33:$C$38,MATCH($W$939,$B$33:$B$38,0),0)*(S1027+$X$939)+$T$939*COUNTIF(S1039:S1039,"&gt;0")*$C$32+$V$939*$C$31)*$R$939),0)</f>
        <v>0</v>
      </c>
      <c r="U1026">
        <f>IF(S1039=0,0,-(COUNTIF(S1039:S1039,"&gt;0")*$T$939*$C$32+$V$939*$C$31)*$H$27*$R$939)</f>
        <v>0</v>
      </c>
      <c r="V1026">
        <f>IF(S1039=0,0,$V$939*$H$26*$R$939)</f>
        <v>0</v>
      </c>
      <c r="W1026">
        <f>(0.6*T1039+0.7*U1039)*$R$939/2</f>
        <v>0</v>
      </c>
      <c r="X1026">
        <f>T1039*$R$939/2</f>
        <v>0</v>
      </c>
      <c r="Z1026">
        <f>IF(S1039=0,0,$AD$939*$AP$920)</f>
        <v>0</v>
      </c>
      <c r="AA1026">
        <f>IFERROR(Z1039/$R$939,0)</f>
        <v>0</v>
      </c>
      <c r="AB1026">
        <f>Z1039*($F$24+IF($F$24=0,0,($C$14+$C$15+IF($C$13="single",1.5,3)+3)/12))</f>
        <v>0</v>
      </c>
      <c r="AC1026">
        <f>AB1039-W1039</f>
        <v>0</v>
      </c>
      <c r="AD1026" cm="1">
        <f t="array" ref="AD1026">IFERROR(IF(AC1039&lt;0,0,AC1039/($R$939-INDEX(hd_off,MATCH(AQ1039,hd_mark,0),0)/12)),0)</f>
        <v>0</v>
      </c>
      <c r="AE1026">
        <f>IF(S1039=0,0,$AD$939*$AM$920)</f>
        <v>0</v>
      </c>
      <c r="AF1026">
        <f>IFERROR(AE1039/$R$939,0)</f>
        <v>0</v>
      </c>
      <c r="AG1026">
        <f>AE1039*($F$24+IF($F$24=0,0,($C$14+$C$15+IF($C$13="single",1.5,3)+3)/12))</f>
        <v>0</v>
      </c>
      <c r="AH1026">
        <f>AG1039-X1039</f>
        <v>0</v>
      </c>
      <c r="AI1026" cm="1">
        <f t="array" ref="AI1026">IFERROR(IF(AH1039&lt;0,0,AH1039/($R$939-INDEX(hd_off,MATCH(AQ1039,hd_mark,0),0)/12)),0)</f>
        <v>0</v>
      </c>
      <c r="AJ1026">
        <f>MAX($F$24,$AB$939)/$Q$948</f>
        <v>0</v>
      </c>
      <c r="AK1026">
        <f>IF(AJ1039=0,0,IF(AJ1039&gt;2,1.25-0.125*AJ1039,1))</f>
        <v>1</v>
      </c>
      <c r="AL1026" cm="1">
        <f t="array" ref="AL1026">IFERROR(INDEX(sheath_ecap_asd,MATCH(AP1039,sheath_mark,0),0)*AK1039,0)</f>
        <v>0</v>
      </c>
      <c r="AM1026" cm="1">
        <f t="array" ref="AM1026">IFERROR(INDEX(sheath_wcap_asd,MATCH(AP1039,sheath_mark,0),0)*AK1039,0)</f>
        <v>0</v>
      </c>
      <c r="AN1026" cm="1">
        <f t="array" ref="AN1026">IFERROR(INDEX(hd_cap,MATCH(AQ1039,hd_mark,0),0),0)</f>
        <v>0</v>
      </c>
      <c r="AP1026" s="19"/>
      <c r="AQ1026" s="19"/>
      <c r="AR1026" s="100"/>
      <c r="AS1026" s="93"/>
      <c r="AT1026" s="111">
        <f>$R$939</f>
        <v>0</v>
      </c>
      <c r="AU1026" t="str">
        <f>$Q$920</f>
        <v>L5</v>
      </c>
      <c r="AV1026">
        <f>$E$24</f>
        <v>0</v>
      </c>
      <c r="AW1026" cm="1">
        <f t="array" ref="AW1026">IFERROR(IF(AV1039=0,0,(INDEX($C$33:$C$38,MATCH($AZ$939,$B$33:$B$38,0),0)*(AV1027+$BA$939)+$AW$939*COUNTIF(AV1039:AV1039,"&gt;0")*$C$32+$AY$939*$C$31)*$AU$939),0)</f>
        <v>0</v>
      </c>
      <c r="AX1026">
        <f>IF(AV1039=0,0,-(COUNTIF(AV1039:AV1039,"&gt;0")*$AW$939*$C$32+$AY$939*$C$31)*$H$27*$AU$939)</f>
        <v>0</v>
      </c>
      <c r="AY1026">
        <f>IF(AV1039=0,0,$AY$939*$H$26*$AU$939)</f>
        <v>0</v>
      </c>
      <c r="AZ1026">
        <f>(0.6*AW1039+0.7*AX1039)*$AU$939/2</f>
        <v>0</v>
      </c>
      <c r="BA1026">
        <f>AW1039*$AU$939/2</f>
        <v>0</v>
      </c>
      <c r="BC1026">
        <f>IF(AV1039=0,0,$BG$939*$AP$920)</f>
        <v>0</v>
      </c>
      <c r="BD1026">
        <f>IFERROR(BC1039/$AU$939,0)</f>
        <v>0</v>
      </c>
      <c r="BE1026">
        <f>BC1039*($F$24+IF($F$24=0,0,($C$14+$C$15+IF($C$13="single",1.5,3)+3)/12))</f>
        <v>0</v>
      </c>
      <c r="BF1026">
        <f>BE1039-AZ1039</f>
        <v>0</v>
      </c>
      <c r="BG1026" cm="1">
        <f t="array" ref="BG1026">IFERROR(IF(BF1039&lt;0,0,BF1039/($AU$939-INDEX(hd_off,MATCH(BT1039,hd_mark,0),0)/12)),0)</f>
        <v>0</v>
      </c>
      <c r="BH1026">
        <f>IF(AV1039=0,0,$BG$939*$AM$920)</f>
        <v>0</v>
      </c>
      <c r="BI1026">
        <f>IFERROR(BH1039/$AU$939,0)</f>
        <v>0</v>
      </c>
      <c r="BJ1026">
        <f>BH1039*($F$24+IF($F$24=0,0,($C$14+$C$15+IF($C$13="single",1.5,3)+3)/12))</f>
        <v>0</v>
      </c>
      <c r="BK1026">
        <f>BJ1039-BA1039</f>
        <v>0</v>
      </c>
      <c r="BL1026" cm="1">
        <f t="array" ref="BL1026">IFERROR(IF(BK1039&lt;0,0,BK1039/($AU$939-INDEX(hd_off,MATCH(BT1039,hd_mark,0),0)/12)),0)</f>
        <v>0</v>
      </c>
      <c r="BM1026">
        <f>MAX($F$24,$BE$939)/$Q$948</f>
        <v>0</v>
      </c>
      <c r="BN1026">
        <f>IF(BM1039=0,0,IF(BM1039&gt;2,1.25-0.125*BM1039,1))</f>
        <v>0</v>
      </c>
      <c r="BO1026" cm="1">
        <f t="array" ref="BO1026">IFERROR(INDEX(sheath_ecap_asd,MATCH(BS1039,sheath_mark,0),0)*BN1039,0)</f>
        <v>0</v>
      </c>
      <c r="BP1026" cm="1">
        <f t="array" ref="BP1026">IFERROR(INDEX(sheath_wcap_asd,MATCH(BS1039,sheath_mark,0),0)*BN1039,0)</f>
        <v>0</v>
      </c>
      <c r="BQ1026" cm="1">
        <f t="array" ref="BQ1026">IFERROR(INDEX(hd_cap,MATCH(BT1039,hd_mark,0),0),0)</f>
        <v>0</v>
      </c>
      <c r="BS1026" s="19"/>
      <c r="BT1026" s="19"/>
      <c r="BU1026" s="100"/>
    </row>
    <row r="1027" x14ac:dyDescent="0.25">
      <c r="P1027" s="93"/>
      <c r="Q1027" s="109"/>
      <c r="R1027" t="str">
        <f>$Q$921</f>
        <v>Roof</v>
      </c>
      <c r="S1027">
        <f>$E$25</f>
        <v>33.171875</v>
      </c>
      <c r="T1027" cm="1">
        <f t="array" ref="T1027">IFERROR(IF(S1027=0,0,(INDEX($C$33:$C$38,MATCH($W$939,$B$33:$B$38,0),0)*(S1027+$X$939)+$V$939*$C$31)*$R$939),0)</f>
        <v>0</v>
      </c>
      <c r="U1027">
        <f>IF(S1027=0,0,-$V$939*$C$31*$H$27*$R$939)</f>
        <v>0</v>
      </c>
      <c r="V1027">
        <f>IF(S1027=0,0,$V$939*$H$26*$R$939)</f>
        <v>0</v>
      </c>
      <c r="W1027">
        <f>(0.6*T1027+0.7*U1027)*$R$939/2</f>
        <v>0</v>
      </c>
      <c r="X1027">
        <f>T1027*$R$939/2</f>
        <v>0</v>
      </c>
      <c r="Z1027">
        <f>IF(S1027=0,0,$AD$939*$AP$921)</f>
        <v>0</v>
      </c>
      <c r="AA1027">
        <f>IFERROR(Z1027/$R$939,0)</f>
        <v>0</v>
      </c>
      <c r="AB1027">
        <f>Z1027*($F$25+($C$16+$C$17+IF($C$13="single",1.5,3)+3)/12)</f>
        <v>0</v>
      </c>
      <c r="AC1027">
        <f>AB1027-W1027</f>
        <v>0</v>
      </c>
      <c r="AD1027" cm="1">
        <f t="array" ref="AD1027">IFERROR(IF(AC1027&lt;0,0,AC1027/($R$939-INDEX(hd_off,MATCH(AQ1027,hd_mark,0),0)/12)),0)</f>
        <v>0</v>
      </c>
      <c r="AE1027">
        <f>IF(S1027=0,0,$AD$939*$AM$921)</f>
        <v>0</v>
      </c>
      <c r="AF1027">
        <f>IFERROR(AE1027/$R$939,0)</f>
        <v>0</v>
      </c>
      <c r="AG1027">
        <f>AE1027*($F$25+($C$16+$C$17+IF($C$13="single",1.5,3)+3)/12)</f>
        <v>0</v>
      </c>
      <c r="AH1027">
        <f>AG1027-X1027</f>
        <v>0</v>
      </c>
      <c r="AI1027" cm="1">
        <f t="array" ref="AI1027">IFERROR(IF(AH1027&lt;0,0,AH1027/($R$939-INDEX(hd_off,MATCH(AQ1027,hd_mark,0),0)/12)),0)</f>
        <v>0</v>
      </c>
      <c r="AJ1027">
        <f>MAX($F$25,$AC$939)/$Q$948</f>
        <v>0.29920977011494249</v>
      </c>
      <c r="AK1027">
        <f t="shared" si="625"/>
        <v>1</v>
      </c>
      <c r="AL1027" cm="1">
        <f t="array" ref="AL1027">IFERROR(INDEX(sheath_ecap_asd,MATCH(AP1027,sheath_mark,0),0)*AK1027,0)</f>
        <v>0</v>
      </c>
      <c r="AM1027" cm="1">
        <f t="array" ref="AM1027">IFERROR(INDEX(sheath_wcap_asd,MATCH(AP1027,sheath_mark,0),0)*AK1027,0)</f>
        <v>0</v>
      </c>
      <c r="AN1027" cm="1">
        <f t="array" ref="AN1027">IFERROR(INDEX(hd_cap,MATCH(AQ1027,hd_mark,0),0),0)</f>
        <v>0</v>
      </c>
      <c r="AP1027" s="19"/>
      <c r="AQ1027" s="19"/>
      <c r="AR1027" s="100"/>
      <c r="AS1027" s="93"/>
      <c r="AT1027" s="109"/>
      <c r="AU1027" t="str">
        <f>$Q$921</f>
        <v>Roof</v>
      </c>
      <c r="AV1027">
        <f>$E$25</f>
        <v>33.171875</v>
      </c>
      <c r="AW1027" cm="1">
        <f t="array" ref="AW1027">IFERROR(IF(AV1027=0,0,(INDEX($C$33:$C$38,MATCH($AZ$939,$B$33:$B$38,0),0)*(AV1027+$BA$939)+$AY$939*$C$31)*$AU$939),0)</f>
        <v>0</v>
      </c>
      <c r="AX1027">
        <f>IF(AV1027=0,0,-$AY$939*$C$31*$H$27*$AU$939)</f>
        <v>0</v>
      </c>
      <c r="AY1027">
        <f>IF(AV1027=0,0,$AY$939*$H$26*$AU$939)</f>
        <v>0</v>
      </c>
      <c r="AZ1027">
        <f>(0.6*AW1027+0.7*AX1027)*$AU$939/2</f>
        <v>0</v>
      </c>
      <c r="BA1027">
        <f>AW1027*$AU$939/2</f>
        <v>0</v>
      </c>
      <c r="BC1027">
        <f>IF(AV1027=0,0,$BG$939*$AP$921)</f>
        <v>0</v>
      </c>
      <c r="BD1027">
        <f>IFERROR(BC1027/$AU$939,0)</f>
        <v>0</v>
      </c>
      <c r="BE1027">
        <f>BC1027*($F$25+($C$16+$C$17+IF($C$13="single",1.5,3)+3)/12)</f>
        <v>0</v>
      </c>
      <c r="BF1027">
        <f>BE1027-AZ1027</f>
        <v>0</v>
      </c>
      <c r="BG1027" cm="1">
        <f t="array" ref="BG1027">IFERROR(IF(BF1027&lt;0,0,BF1027/($AU$939-INDEX(hd_off,MATCH(BT1027,hd_mark,0),0)/12)),0)</f>
        <v>0</v>
      </c>
      <c r="BH1027">
        <f>IF(AV1027=0,0,$BG$939*$AM$921)</f>
        <v>0</v>
      </c>
      <c r="BI1027">
        <f>IFERROR(BH1027/$AU$939,0)</f>
        <v>0</v>
      </c>
      <c r="BJ1027">
        <f>BH1027*($F$25+($C$16+$C$17+IF($C$13="single",1.5,3)+3)/12)</f>
        <v>0</v>
      </c>
      <c r="BK1027">
        <f>BJ1027-BA1027</f>
        <v>0</v>
      </c>
      <c r="BL1027" cm="1">
        <f t="array" ref="BL1027">IFERROR(IF(BK1027&lt;0,0,BK1027/($AU$939-INDEX(hd_off,MATCH(BT1027,hd_mark,0),0)/12)),0)</f>
        <v>0</v>
      </c>
      <c r="BM1027">
        <f>MAX($F$25,$BF$939)/$Q$948</f>
        <v>0.29920977011494249</v>
      </c>
      <c r="BN1027">
        <f t="shared" ref="BN1027" si="627">IF(BM1027=0,0,IF(BM1027&gt;2,1.25-0.125*BM1027,1))</f>
        <v>1</v>
      </c>
      <c r="BO1027" cm="1">
        <f t="array" ref="BO1027">IFERROR(INDEX(sheath_ecap_asd,MATCH(BS1027,sheath_mark,0),0)*BN1027,0)</f>
        <v>0</v>
      </c>
      <c r="BP1027" cm="1">
        <f t="array" ref="BP1027">IFERROR(INDEX(sheath_wcap_asd,MATCH(BS1027,sheath_mark,0),0)*BN1027,0)</f>
        <v>0</v>
      </c>
      <c r="BQ1027" cm="1">
        <f t="array" ref="BQ1027">IFERROR(INDEX(hd_cap,MATCH(BT1027,hd_mark,0),0),0)</f>
        <v>0</v>
      </c>
      <c r="BS1027" s="19"/>
      <c r="BT1027" s="19"/>
      <c r="BU1027" s="100"/>
    </row>
    <row r="1028" x14ac:dyDescent="0.25">
      <c r="P1028" s="93"/>
      <c r="AR1028" s="100"/>
      <c r="AS1028" s="93"/>
      <c r="BU1028" s="100"/>
    </row>
    <row r="1029" x14ac:dyDescent="0.25">
      <c r="P1029" s="93"/>
      <c r="Q1029" s="110" t="str">
        <f>$Q$940</f>
        <v>A.15</v>
      </c>
      <c r="R1029" t="str">
        <f>$Q$917</f>
        <v>L2</v>
      </c>
      <c r="S1029">
        <f>$E$21</f>
        <v>10.6875</v>
      </c>
      <c r="T1029" cm="1">
        <f t="array" ref="T1029">IFERROR(IF(S1029=0,0,(INDEX($C$33:$C$38,MATCH($W$940,$B$33:$B$38,0),0)*(S1033+$X$940)+$T$940*COUNTIF(S1029:S1032,"&gt;0")*$C$32+$V$940*$C$31)*$R$940),0)</f>
        <v>0</v>
      </c>
      <c r="U1029">
        <f>IF(S1029=0,0,-(COUNTIF(S1029:S1032,"&gt;0")*$T$940*$C$32+$V$940*$C$31)*$H$27*$R$940)</f>
        <v>0</v>
      </c>
      <c r="V1029">
        <f>IF(S1029=0,0,$V$940*$H$26*$R$940)</f>
        <v>0</v>
      </c>
      <c r="W1029">
        <f>(0.6*T1029+0.7*U1029)*$R$940/2</f>
        <v>0</v>
      </c>
      <c r="X1029">
        <f>(0.6*T1029+0.6*V1029)*$R$940/2</f>
        <v>0</v>
      </c>
      <c r="Z1029">
        <f>IF(S1029=0,0,$AD$940*$AP$917)</f>
        <v>0</v>
      </c>
      <c r="AA1029">
        <f>IFERROR(Z1029/$R$940,0)</f>
        <v>0</v>
      </c>
      <c r="AB1029">
        <f>Z1029*($F$21+IF($F$21=0,0,($C$14+$C$15+IF($C$13="single",1.5,3)+3)/12))</f>
        <v>0</v>
      </c>
      <c r="AC1029">
        <f>AB1029-W1029</f>
        <v>0</v>
      </c>
      <c r="AD1029" cm="1">
        <f t="array" ref="AD1029">IFERROR(IF(AC1029&lt;0,0,AC1029/($R$940-INDEX(hd_off,MATCH(AQ1029,hd_mark,0),0)/12)),0)</f>
        <v>0</v>
      </c>
      <c r="AE1029">
        <f>IF(S1029=0,0,$AD$940*$AM$917)</f>
        <v>0</v>
      </c>
      <c r="AF1029">
        <f>IFERROR(AE1029/$R$940,0)</f>
        <v>0</v>
      </c>
      <c r="AG1029">
        <f>AE1029*($F$21+IF($F$21=0,0,($C$14+$C$15+IF($C$13="single",1.5,3)+3)/12))</f>
        <v>0</v>
      </c>
      <c r="AH1029">
        <f>AG1029-X1029</f>
        <v>0</v>
      </c>
      <c r="AI1029" cm="1">
        <f t="array" ref="AI1029">IFERROR(IF(AH1029&lt;0,0,AH1029/($R$940-INDEX(hd_off,MATCH(AQ1029,hd_mark,0),0)/12)),0)</f>
        <v>0</v>
      </c>
      <c r="AJ1029">
        <f>MAX($F$21,$Y$940)/$Q$948</f>
        <v>0.30172413793103448</v>
      </c>
      <c r="AK1029">
        <f>IF(AJ1029=0,0,IF(AJ1029&gt;2,1.25-0.125*AJ1029,1))</f>
        <v>1</v>
      </c>
      <c r="AL1029" cm="1">
        <f t="array" ref="AL1029">IFERROR(INDEX(sheath_ecap_asd,MATCH(AP1029,sheath_mark,0),0)*AK1029,0)</f>
        <v>0</v>
      </c>
      <c r="AM1029" cm="1">
        <f t="array" ref="AM1029">IFERROR(INDEX(sheath_wcap_asd,MATCH(AP1029,sheath_mark,0),0)*AK1029,0)</f>
        <v>0</v>
      </c>
      <c r="AN1029" cm="1">
        <f t="array" ref="AN1029">IFERROR(INDEX(hd_cap,MATCH(AQ1029,hd_mark,0),0),0)</f>
        <v>0</v>
      </c>
      <c r="AP1029" s="19"/>
      <c r="AQ1029" s="19"/>
      <c r="AR1029" s="100"/>
      <c r="AS1029" s="93"/>
      <c r="AT1029" s="110" t="str">
        <f>$AT$940</f>
        <v>1.15</v>
      </c>
      <c r="AU1029" t="str">
        <f>$Q$917</f>
        <v>L2</v>
      </c>
      <c r="AV1029">
        <f>$E$21</f>
        <v>10.6875</v>
      </c>
      <c r="AW1029" cm="1">
        <f t="array" ref="AW1029">IFERROR(IF(AV1029=0,0,(INDEX($C$33:$C$38,MATCH($AZ$940,$B$33:$B$38,0),0)*(AV1033+$BA$940)+$AW$940*COUNTIF(AV1029:AV1032,"&gt;0")*$C$32+$AY$940*$C$31)*$AU$940),0)</f>
        <v>0</v>
      </c>
      <c r="AX1029">
        <f>IF(AV1029=0,0,-(COUNTIF(AV1029:AV1032,"&gt;0")*$AW$940*$C$32+$AY$940*$C$31)*$H$27*$AU$940)</f>
        <v>0</v>
      </c>
      <c r="AY1029">
        <f>IF(AV1029=0,0,$AY$940*$H$26*$AU$940)</f>
        <v>0</v>
      </c>
      <c r="AZ1029">
        <f>(0.6*AW1029+0.7*AX1029)*$AU$940/2</f>
        <v>0</v>
      </c>
      <c r="BA1029">
        <f>(0.6*AW1029+0.6*AY1029)*$AU$940/2</f>
        <v>0</v>
      </c>
      <c r="BC1029">
        <f>IF(AV1029=0,0,$BG$940*$AP$917)</f>
        <v>0</v>
      </c>
      <c r="BD1029">
        <f>IFERROR(BC1029/$AU$940,0)</f>
        <v>0</v>
      </c>
      <c r="BE1029">
        <f>BC1029*($F$21+IF($F$21=0,0,($C$14+$C$15+IF($C$13="single",1.5,3)+3)/12))</f>
        <v>0</v>
      </c>
      <c r="BF1029">
        <f>BE1029-AZ1029</f>
        <v>0</v>
      </c>
      <c r="BG1029" cm="1">
        <f t="array" ref="BG1029">IFERROR(IF(BF1029&lt;0,0,BF1029/($AU$940-INDEX(hd_off,MATCH(BT1029,hd_mark,0),0)/12)),0)</f>
        <v>0</v>
      </c>
      <c r="BH1029">
        <f>IF(AV1029=0,0,$BG$940*$AM$917)</f>
        <v>0</v>
      </c>
      <c r="BI1029">
        <f>IFERROR(BH1029/$AU$940,0)</f>
        <v>0</v>
      </c>
      <c r="BJ1029">
        <f>BH1029*($F$21+IF($F$21=0,0,($C$14+$C$15+IF($C$13="single",1.5,3)+3)/12))</f>
        <v>0</v>
      </c>
      <c r="BK1029">
        <f>BJ1029-BA1029</f>
        <v>0</v>
      </c>
      <c r="BL1029" cm="1">
        <f t="array" ref="BL1029">IFERROR(IF(BK1029&lt;0,0,BK1029/($AU$940-INDEX(hd_off,MATCH(BT1029,hd_mark,0),0)/12)),0)</f>
        <v>0</v>
      </c>
      <c r="BM1029">
        <f>MAX($F$21,$BB$940)/$Q$948</f>
        <v>0.30172413793103448</v>
      </c>
      <c r="BN1029">
        <f>IF(BM1029=0,0,IF(BM1029&gt;2,1.25-0.125*BM1029,1))</f>
        <v>1</v>
      </c>
      <c r="BO1029" cm="1">
        <f t="array" ref="BO1029">IFERROR(INDEX(sheath_ecap_asd,MATCH(BS1029,sheath_mark,0),0)*BN1029,0)</f>
        <v>0</v>
      </c>
      <c r="BP1029" cm="1">
        <f t="array" ref="BP1029">IFERROR(INDEX(sheath_wcap_asd,MATCH(BS1029,sheath_mark,0),0)*BN1029,0)</f>
        <v>0</v>
      </c>
      <c r="BQ1029" cm="1">
        <f t="array" ref="BQ1029">IFERROR(INDEX(hd_cap,MATCH(BT1029,hd_mark,0),0),0)</f>
        <v>0</v>
      </c>
      <c r="BS1029" s="19"/>
      <c r="BT1029" s="19"/>
      <c r="BU1029" s="100"/>
    </row>
    <row r="1030" x14ac:dyDescent="0.25">
      <c r="P1030" s="93"/>
      <c r="Q1030" s="109"/>
      <c r="R1030" t="str">
        <f>$Q$918</f>
        <v>L3</v>
      </c>
      <c r="S1030">
        <f>$E$22</f>
        <v>21.375</v>
      </c>
      <c r="T1030" cm="1">
        <f t="array" ref="T1030">IFERROR(IF(S1030=0,0,(INDEX($C$33:$C$38,MATCH($W$940,$B$33:$B$38,0),0)*(S1033+$X$940)+$T$940*COUNTIF(S1030:S1032,"&gt;0")*$C$32+$V$940*$C$31)*$R$940),0)</f>
        <v>0</v>
      </c>
      <c r="U1030">
        <f>IF(S1030=0,0,-(COUNTIF(S1030:S1032,"&gt;0")*$T$940*$C$32+$V$940*$C$31)*$H$27*$R$940)</f>
        <v>0</v>
      </c>
      <c r="V1030">
        <f>IF(S1030=0,0,$V$940*$H$26*$R$940)</f>
        <v>0</v>
      </c>
      <c r="W1030">
        <f>(0.6*T1030+0.7*U1030)*$R$940/2</f>
        <v>0</v>
      </c>
      <c r="X1030">
        <f>T1030*$R$940/2</f>
        <v>0</v>
      </c>
      <c r="Z1030">
        <f>IF(S1030=0,0,$AD$940*$AP$918)</f>
        <v>0</v>
      </c>
      <c r="AA1030">
        <f>IFERROR(Z1030/$R$940,0)</f>
        <v>0</v>
      </c>
      <c r="AB1030">
        <f>Z1030*($F$22+IF($F$22=0,0,($C$14+$C$15+IF($C$13="single",1.5,3)+3)/12))</f>
        <v>0</v>
      </c>
      <c r="AC1030">
        <f>AB1030-W1030</f>
        <v>0</v>
      </c>
      <c r="AD1030" cm="1">
        <f t="array" ref="AD1030">IFERROR(IF(AC1030&lt;0,0,AC1030/($R$940-INDEX(hd_off,MATCH(AQ1030,hd_mark,0),0)/12)),0)</f>
        <v>0</v>
      </c>
      <c r="AE1030">
        <f>IF(S1030=0,0,$AD$940*$AM$918)</f>
        <v>0</v>
      </c>
      <c r="AF1030">
        <f>IFERROR(AE1030/$R$940,0)</f>
        <v>0</v>
      </c>
      <c r="AG1030">
        <f>AE1030*($F$22+IF($F$22=0,0,($C$14+$C$15+IF($C$13="single",1.5,3)+3)/12))</f>
        <v>0</v>
      </c>
      <c r="AH1030">
        <f>AG1030-X1030</f>
        <v>0</v>
      </c>
      <c r="AI1030" cm="1">
        <f t="array" ref="AI1030">IFERROR(IF(AH1030&lt;0,0,AH1030/($R$940-INDEX(hd_off,MATCH(AQ1030,hd_mark,0),0)/12)),0)</f>
        <v>0</v>
      </c>
      <c r="AJ1030">
        <f>MAX($F$22,$Z$940)/$Q$948</f>
        <v>0.30172413793103448</v>
      </c>
      <c r="AK1030">
        <f t="shared" ref="AK1030:AK1033" si="628">IF(AJ1030=0,0,IF(AJ1030&gt;2,1.25-0.125*AJ1030,1))</f>
        <v>1</v>
      </c>
      <c r="AL1030" cm="1">
        <f t="array" ref="AL1030">IFERROR(INDEX(sheath_ecap_asd,MATCH(AP1030,sheath_mark,0),0)*AK1030,0)</f>
        <v>0</v>
      </c>
      <c r="AM1030" cm="1">
        <f t="array" ref="AM1030">IFERROR(INDEX(sheath_wcap_asd,MATCH(AP1030,sheath_mark,0),0)*AK1030,0)</f>
        <v>0</v>
      </c>
      <c r="AN1030" cm="1">
        <f t="array" ref="AN1030">IFERROR(INDEX(hd_cap,MATCH(AQ1030,hd_mark,0),0),0)</f>
        <v>0</v>
      </c>
      <c r="AP1030" s="19"/>
      <c r="AQ1030" s="19"/>
      <c r="AR1030" s="100"/>
      <c r="AS1030" s="93"/>
      <c r="AT1030" s="109"/>
      <c r="AU1030" t="str">
        <f>$Q$918</f>
        <v>L3</v>
      </c>
      <c r="AV1030">
        <f>$E$22</f>
        <v>21.375</v>
      </c>
      <c r="AW1030" cm="1">
        <f t="array" ref="AW1030">IFERROR(IF(AV1030=0,0,(INDEX($C$33:$C$38,MATCH($AZ$940,$B$33:$B$38,0),0)*(AV1033+$BA$940)+$AW$940*COUNTIF(AV1030:AV1032,"&gt;0")*$C$32+$AY$940*$C$31)*$AU$940),0)</f>
        <v>0</v>
      </c>
      <c r="AX1030">
        <f>IF(AV1030=0,0,-(COUNTIF(AV1030:AV1032,"&gt;0")*$AW$940*$C$32+$AY$940*$C$31)*$H$27*$AU$940)</f>
        <v>0</v>
      </c>
      <c r="AY1030">
        <f>IF(AV1030=0,0,$AY$940*$H$26*$AU$940)</f>
        <v>0</v>
      </c>
      <c r="AZ1030">
        <f>(0.6*AW1030+0.7*AX1030)*$AU$940/2</f>
        <v>0</v>
      </c>
      <c r="BA1030">
        <f>AW1030*$AU$940/2</f>
        <v>0</v>
      </c>
      <c r="BC1030">
        <f>IF(AV1030=0,0,$BG$940*$AP$918)</f>
        <v>0</v>
      </c>
      <c r="BD1030">
        <f>IFERROR(BC1030/$AU$940,0)</f>
        <v>0</v>
      </c>
      <c r="BE1030">
        <f>BC1030*($F$22+IF($F$22=0,0,($C$14+$C$15+IF($C$13="single",1.5,3)+3)/12))</f>
        <v>0</v>
      </c>
      <c r="BF1030">
        <f>BE1030-AZ1030</f>
        <v>0</v>
      </c>
      <c r="BG1030" cm="1">
        <f t="array" ref="BG1030">IFERROR(IF(BF1030&lt;0,0,BF1030/($AU$940-INDEX(hd_off,MATCH(BT1030,hd_mark,0),0)/12)),0)</f>
        <v>0</v>
      </c>
      <c r="BH1030">
        <f>IF(AV1030=0,0,$BG$940*$AM$918)</f>
        <v>0</v>
      </c>
      <c r="BI1030">
        <f>IFERROR(BH1030/$AU$940,0)</f>
        <v>0</v>
      </c>
      <c r="BJ1030">
        <f>BH1030*($F$22+IF($F$22=0,0,($C$14+$C$15+IF($C$13="single",1.5,3)+3)/12))</f>
        <v>0</v>
      </c>
      <c r="BK1030">
        <f>BJ1030-BA1030</f>
        <v>0</v>
      </c>
      <c r="BL1030" cm="1">
        <f t="array" ref="BL1030">IFERROR(IF(BK1030&lt;0,0,BK1030/($AU$940-INDEX(hd_off,MATCH(BT1030,hd_mark,0),0)/12)),0)</f>
        <v>0</v>
      </c>
      <c r="BM1030">
        <f>MAX($F$22,$BC$940)/$Q$948</f>
        <v>0.30172413793103448</v>
      </c>
      <c r="BN1030">
        <f t="shared" ref="BN1030:BN1033" si="629">IF(BM1030=0,0,IF(BM1030&gt;2,1.25-0.125*BM1030,1))</f>
        <v>1</v>
      </c>
      <c r="BO1030" cm="1">
        <f t="array" ref="BO1030">IFERROR(INDEX(sheath_ecap_asd,MATCH(BS1030,sheath_mark,0),0)*BN1030,0)</f>
        <v>0</v>
      </c>
      <c r="BP1030" cm="1">
        <f t="array" ref="BP1030">IFERROR(INDEX(sheath_wcap_asd,MATCH(BS1030,sheath_mark,0),0)*BN1030,0)</f>
        <v>0</v>
      </c>
      <c r="BQ1030" cm="1">
        <f t="array" ref="BQ1030">IFERROR(INDEX(hd_cap,MATCH(BT1030,hd_mark,0),0),0)</f>
        <v>0</v>
      </c>
      <c r="BS1030" s="19"/>
      <c r="BT1030" s="19"/>
      <c r="BU1030" s="100"/>
    </row>
    <row r="1031" x14ac:dyDescent="0.25">
      <c r="P1031" s="93"/>
      <c r="Q1031" s="109" t="s">
        <v>491</v>
      </c>
      <c r="R1031" t="str">
        <f>$Q$919</f>
        <v>L4</v>
      </c>
      <c r="S1031">
        <f>$E$23</f>
        <v>0</v>
      </c>
      <c r="T1031" cm="1">
        <f t="array" ref="T1031">IFERROR(IF(S1031=0,0,(INDEX($C$33:$C$38,MATCH($W$940,$B$33:$B$38,0),0)*(S1033+$X$940)+$T$940*COUNTIF(S1031:S1032,"&gt;0")*$C$32+$V$940*$C$31)*$R$940),0)</f>
        <v>0</v>
      </c>
      <c r="U1031">
        <f>IF(S1031=0,0,-(COUNTIF(S1031:S1032,"&gt;0")*$T$940*$C$32+$V$940*$C$31)*$H$27*$R$940)</f>
        <v>0</v>
      </c>
      <c r="V1031">
        <f>IF(S1031=0,0,$V$940*$H$26*$R$940)</f>
        <v>0</v>
      </c>
      <c r="W1031">
        <f>(0.6*T1031+0.7*U1031)*$R$940/2</f>
        <v>0</v>
      </c>
      <c r="X1031">
        <f>T1031*$R$940/2</f>
        <v>0</v>
      </c>
      <c r="Z1031">
        <f>IF(S1031=0,0,$AD$940*$AP$919)</f>
        <v>0</v>
      </c>
      <c r="AA1031">
        <f>IFERROR(Z1031/$R$940,0)</f>
        <v>0</v>
      </c>
      <c r="AB1031">
        <f>Z1031*($F$23+IF($F$23=0,0,($C$14+$C$15+IF($C$13="single",1.5,3)+3)/12))</f>
        <v>0</v>
      </c>
      <c r="AC1031">
        <f>AB1031-W1031</f>
        <v>0</v>
      </c>
      <c r="AD1031" cm="1">
        <f t="array" ref="AD1031">IFERROR(IF(AC1031&lt;0,0,AC1031/($R$940-INDEX(hd_off,MATCH(AQ1031,hd_mark,0),0)/12)),0)</f>
        <v>0</v>
      </c>
      <c r="AE1031">
        <f>IF(S1031=0,0,$AD$940*$AM$919)</f>
        <v>0</v>
      </c>
      <c r="AF1031">
        <f>IFERROR(AE1031/$R$940,0)</f>
        <v>0</v>
      </c>
      <c r="AG1031">
        <f>AE1031*($F$23+IF($F$23=0,0,($C$14+$C$15+IF($C$13="single",1.5,3)+3)/12))</f>
        <v>0</v>
      </c>
      <c r="AH1031">
        <f>AG1031-X1031</f>
        <v>0</v>
      </c>
      <c r="AI1031" cm="1">
        <f t="array" ref="AI1031">IFERROR(IF(AH1031&lt;0,0,AH1031/($R$940-INDEX(hd_off,MATCH(AQ1031,hd_mark,0),0)/12)),0)</f>
        <v>0</v>
      </c>
      <c r="AJ1031">
        <f>MAX($F$23,$AA$940)/$Q$948</f>
        <v>0</v>
      </c>
      <c r="AK1031">
        <f t="shared" si="628"/>
        <v>0</v>
      </c>
      <c r="AL1031" cm="1">
        <f t="array" ref="AL1031">IFERROR(INDEX(sheath_ecap_asd,MATCH(AP1031,sheath_mark,0),0)*AK1031,0)</f>
        <v>0</v>
      </c>
      <c r="AM1031" cm="1">
        <f t="array" ref="AM1031">IFERROR(INDEX(sheath_wcap_asd,MATCH(AP1031,sheath_mark,0),0)*AK1031,0)</f>
        <v>0</v>
      </c>
      <c r="AN1031" cm="1">
        <f t="array" ref="AN1031">IFERROR(INDEX(hd_cap,MATCH(AQ1031,hd_mark,0),0),0)</f>
        <v>0</v>
      </c>
      <c r="AP1031" s="19"/>
      <c r="AQ1031" s="19"/>
      <c r="AR1031" s="100"/>
      <c r="AS1031" s="93"/>
      <c r="AT1031" s="109" t="s">
        <v>491</v>
      </c>
      <c r="AU1031" t="str">
        <f>$Q$919</f>
        <v>L4</v>
      </c>
      <c r="AV1031">
        <f>$E$23</f>
        <v>0</v>
      </c>
      <c r="AW1031" cm="1">
        <f t="array" ref="AW1031">IFERROR(IF(AV1031=0,0,(INDEX($C$33:$C$38,MATCH($AZ$940,$B$33:$B$38,0),0)*(AV1033+$BA$940)+$AW$940*COUNTIF(AV1031:AV1032,"&gt;0")*$C$32+$AY$940*$C$31)*$AU$940),0)</f>
        <v>0</v>
      </c>
      <c r="AX1031">
        <f>IF(AV1031=0,0,-(COUNTIF(AV1031:AV1032,"&gt;0")*$AW$940*$C$32+$AY$940*$C$31)*$H$27*$AU$940)</f>
        <v>0</v>
      </c>
      <c r="AY1031">
        <f>IF(AV1031=0,0,$AY$940*$H$26*$AU$940)</f>
        <v>0</v>
      </c>
      <c r="AZ1031">
        <f>(0.6*AW1031+0.7*AX1031)*$AU$940/2</f>
        <v>0</v>
      </c>
      <c r="BA1031">
        <f>AW1031*$AU$940/2</f>
        <v>0</v>
      </c>
      <c r="BC1031">
        <f>IF(AV1031=0,0,$BG$940*$AP$919)</f>
        <v>0</v>
      </c>
      <c r="BD1031">
        <f>IFERROR(BC1031/$AU$940,0)</f>
        <v>0</v>
      </c>
      <c r="BE1031">
        <f>BC1031*($F$23+IF($F$23=0,0,($C$14+$C$15+IF($C$13="single",1.5,3)+3)/12))</f>
        <v>0</v>
      </c>
      <c r="BF1031">
        <f>BE1031-AZ1031</f>
        <v>0</v>
      </c>
      <c r="BG1031" cm="1">
        <f t="array" ref="BG1031">IFERROR(IF(BF1031&lt;0,0,BF1031/($AU$940-INDEX(hd_off,MATCH(BT1031,hd_mark,0),0)/12)),0)</f>
        <v>0</v>
      </c>
      <c r="BH1031">
        <f>IF(AV1031=0,0,$BG$940*$AM$919)</f>
        <v>0</v>
      </c>
      <c r="BI1031">
        <f>IFERROR(BH1031/$AU$940,0)</f>
        <v>0</v>
      </c>
      <c r="BJ1031">
        <f>BH1031*($F$23+IF($F$23=0,0,($C$14+$C$15+IF($C$13="single",1.5,3)+3)/12))</f>
        <v>0</v>
      </c>
      <c r="BK1031">
        <f>BJ1031-BA1031</f>
        <v>0</v>
      </c>
      <c r="BL1031" cm="1">
        <f t="array" ref="BL1031">IFERROR(IF(BK1031&lt;0,0,BK1031/($AU$940-INDEX(hd_off,MATCH(BT1031,hd_mark,0),0)/12)),0)</f>
        <v>0</v>
      </c>
      <c r="BM1031">
        <f>MAX($F$23,$BD$940)/$Q$948</f>
        <v>0</v>
      </c>
      <c r="BN1031">
        <f t="shared" si="629"/>
        <v>0</v>
      </c>
      <c r="BO1031" cm="1">
        <f t="array" ref="BO1031">IFERROR(INDEX(sheath_ecap_asd,MATCH(BS1031,sheath_mark,0),0)*BN1031,0)</f>
        <v>0</v>
      </c>
      <c r="BP1031" cm="1">
        <f t="array" ref="BP1031">IFERROR(INDEX(sheath_wcap_asd,MATCH(BS1031,sheath_mark,0),0)*BN1031,0)</f>
        <v>0</v>
      </c>
      <c r="BQ1031" cm="1">
        <f t="array" ref="BQ1031">IFERROR(INDEX(hd_cap,MATCH(BT1031,hd_mark,0),0),0)</f>
        <v>0</v>
      </c>
      <c r="BS1031" s="19"/>
      <c r="BT1031" s="19"/>
      <c r="BU1031" s="100"/>
    </row>
    <row r="1032" x14ac:dyDescent="0.25">
      <c r="P1032" s="93"/>
      <c r="Q1032" s="111">
        <f>$R$940</f>
        <v>0</v>
      </c>
      <c r="R1032" t="str">
        <f>$Q$920</f>
        <v>L5</v>
      </c>
      <c r="S1032">
        <f>$E$24</f>
        <v>0</v>
      </c>
      <c r="T1032" cm="1">
        <f t="array" ref="T1032">IFERROR(IF(S1032=0,0,(INDEX($C$33:$C$38,MATCH($W$940,$B$33:$B$38,0),0)*(S1033+$X$940)+$T$940*COUNTIF(S1032:S1032,"&gt;0")*$C$32+$V$940*$C$31)*$R$940),0)</f>
        <v>0</v>
      </c>
      <c r="U1032">
        <f>IF(S1032=0,0,-(COUNTIF(S1032:S1032,"&gt;0")*$T$940*$C$32+$V$940*$C$31)*$H$27*$R$940)</f>
        <v>0</v>
      </c>
      <c r="V1032">
        <f>IF(S1032=0,0,$V$940*$H$26*$R$940)</f>
        <v>0</v>
      </c>
      <c r="W1032">
        <f>(0.6*T1032+0.7*U1032)*$R$940/2</f>
        <v>0</v>
      </c>
      <c r="X1032">
        <f>T1032*$R$940/2</f>
        <v>0</v>
      </c>
      <c r="Z1032">
        <f>IF(S1032=0,0,$AD$940*$AP$920)</f>
        <v>0</v>
      </c>
      <c r="AA1032">
        <f>IFERROR(Z1032/$R$940,0)</f>
        <v>0</v>
      </c>
      <c r="AB1032">
        <f>Z1032*($F$24+IF($F$24=0,0,($C$14+$C$15+IF($C$13="single",1.5,3)+3)/12))</f>
        <v>0</v>
      </c>
      <c r="AC1032">
        <f>AB1032-W1032</f>
        <v>0</v>
      </c>
      <c r="AD1032" cm="1">
        <f t="array" ref="AD1032">IFERROR(IF(AC1032&lt;0,0,AC1032/($R$940-INDEX(hd_off,MATCH(AQ1032,hd_mark,0),0)/12)),0)</f>
        <v>0</v>
      </c>
      <c r="AE1032">
        <f>IF(S1032=0,0,$AD$940*$AM$920)</f>
        <v>0</v>
      </c>
      <c r="AF1032">
        <f>IFERROR(AE1032/$R$940,0)</f>
        <v>0</v>
      </c>
      <c r="AG1032">
        <f>AE1032*($F$24+IF($F$24=0,0,($C$14+$C$15+IF($C$13="single",1.5,3)+3)/12))</f>
        <v>0</v>
      </c>
      <c r="AH1032">
        <f>AG1032-X1032</f>
        <v>0</v>
      </c>
      <c r="AI1032" cm="1">
        <f t="array" ref="AI1032">IFERROR(IF(AH1032&lt;0,0,AH1032/($R$940-INDEX(hd_off,MATCH(AQ1032,hd_mark,0),0)/12)),0)</f>
        <v>0</v>
      </c>
      <c r="AJ1032">
        <f>MAX($F$24,$AB$940)/$Q$948</f>
        <v>0</v>
      </c>
      <c r="AK1032">
        <f t="shared" si="628"/>
        <v>0</v>
      </c>
      <c r="AL1032" cm="1">
        <f t="array" ref="AL1032">IFERROR(INDEX(sheath_ecap_asd,MATCH(AP1032,sheath_mark,0),0)*AK1032,0)</f>
        <v>0</v>
      </c>
      <c r="AM1032" cm="1">
        <f t="array" ref="AM1032">IFERROR(INDEX(sheath_wcap_asd,MATCH(AP1032,sheath_mark,0),0)*AK1032,0)</f>
        <v>0</v>
      </c>
      <c r="AN1032" cm="1">
        <f t="array" ref="AN1032">IFERROR(INDEX(hd_cap,MATCH(AQ1032,hd_mark,0),0),0)</f>
        <v>0</v>
      </c>
      <c r="AP1032" s="19"/>
      <c r="AQ1032" s="19"/>
      <c r="AR1032" s="100"/>
      <c r="AS1032" s="93"/>
      <c r="AT1032" s="111">
        <f>$R$940</f>
        <v>0</v>
      </c>
      <c r="AU1032" t="str">
        <f>$Q$920</f>
        <v>L5</v>
      </c>
      <c r="AV1032">
        <f>$E$24</f>
        <v>0</v>
      </c>
      <c r="AW1032" cm="1">
        <f t="array" ref="AW1032">IFERROR(IF(AV1032=0,0,(INDEX($C$33:$C$38,MATCH($AZ$940,$B$33:$B$38,0),0)*(AV1033+$BA$940)+$AW$940*COUNTIF(AV1032:AV1032,"&gt;0")*$C$32+$AY$940*$C$31)*$AU$940),0)</f>
        <v>0</v>
      </c>
      <c r="AX1032">
        <f>IF(AV1032=0,0,-(COUNTIF(AV1032:AV1032,"&gt;0")*$AW$940*$C$32+$AY$940*$C$31)*$H$27*$AU$940)</f>
        <v>0</v>
      </c>
      <c r="AY1032">
        <f>IF(AV1032=0,0,$AY$940*$H$26*$AU$940)</f>
        <v>0</v>
      </c>
      <c r="AZ1032">
        <f>(0.6*AW1032+0.7*AX1032)*$AU$940/2</f>
        <v>0</v>
      </c>
      <c r="BA1032">
        <f>AW1032*$AU$940/2</f>
        <v>0</v>
      </c>
      <c r="BC1032">
        <f>IF(AV1032=0,0,$BG$940*$AP$920)</f>
        <v>0</v>
      </c>
      <c r="BD1032">
        <f>IFERROR(BC1032/$AU$940,0)</f>
        <v>0</v>
      </c>
      <c r="BE1032">
        <f>BC1032*($F$24+IF($F$24=0,0,($C$14+$C$15+IF($C$13="single",1.5,3)+3)/12))</f>
        <v>0</v>
      </c>
      <c r="BF1032">
        <f>BE1032-AZ1032</f>
        <v>0</v>
      </c>
      <c r="BG1032" cm="1">
        <f t="array" ref="BG1032">IFERROR(IF(BF1032&lt;0,0,BF1032/($AU$940-INDEX(hd_off,MATCH(BT1032,hd_mark,0),0)/12)),0)</f>
        <v>0</v>
      </c>
      <c r="BH1032">
        <f>IF(AV1032=0,0,$BG$940*$AM$920)</f>
        <v>0</v>
      </c>
      <c r="BI1032">
        <f>IFERROR(BH1032/$AU$940,0)</f>
        <v>0</v>
      </c>
      <c r="BJ1032">
        <f>BH1032*($F$24+IF($F$24=0,0,($C$14+$C$15+IF($C$13="single",1.5,3)+3)/12))</f>
        <v>0</v>
      </c>
      <c r="BK1032">
        <f>BJ1032-BA1032</f>
        <v>0</v>
      </c>
      <c r="BL1032" cm="1">
        <f t="array" ref="BL1032">IFERROR(IF(BK1032&lt;0,0,BK1032/($AU$940-INDEX(hd_off,MATCH(BT1032,hd_mark,0),0)/12)),0)</f>
        <v>0</v>
      </c>
      <c r="BM1032">
        <f>MAX($F$24,$BE$940)/$Q$948</f>
        <v>0</v>
      </c>
      <c r="BN1032">
        <f t="shared" si="629"/>
        <v>0</v>
      </c>
      <c r="BO1032" cm="1">
        <f t="array" ref="BO1032">IFERROR(INDEX(sheath_ecap_asd,MATCH(BS1032,sheath_mark,0),0)*BN1032,0)</f>
        <v>0</v>
      </c>
      <c r="BP1032" cm="1">
        <f t="array" ref="BP1032">IFERROR(INDEX(sheath_wcap_asd,MATCH(BS1032,sheath_mark,0),0)*BN1032,0)</f>
        <v>0</v>
      </c>
      <c r="BQ1032" cm="1">
        <f t="array" ref="BQ1032">IFERROR(INDEX(hd_cap,MATCH(BT1032,hd_mark,0),0),0)</f>
        <v>0</v>
      </c>
      <c r="BS1032" s="19"/>
      <c r="BT1032" s="19"/>
      <c r="BU1032" s="100"/>
    </row>
    <row r="1033" x14ac:dyDescent="0.25">
      <c r="P1033" s="93"/>
      <c r="Q1033" s="109"/>
      <c r="R1033" t="str">
        <f>$Q$921</f>
        <v>Roof</v>
      </c>
      <c r="S1033">
        <f>$E$25</f>
        <v>33.171875</v>
      </c>
      <c r="T1033" cm="1">
        <f t="array" ref="T1033">IFERROR(IF(S1033=0,0,(INDEX($C$33:$C$38,MATCH($W$940,$B$33:$B$38,0),0)*(S1033+$X$940)+$V$940*$C$31)*$R$940),0)</f>
        <v>0</v>
      </c>
      <c r="U1033">
        <f>IF(S1033=0,0,-$V$940*$C$31*$H$27*$R$940)</f>
        <v>0</v>
      </c>
      <c r="V1033">
        <f>IF(S1033=0,0,$V$940*$H$26*$R$940)</f>
        <v>0</v>
      </c>
      <c r="W1033">
        <f>(0.6*T1033+0.7*U1033)*$R$940/2</f>
        <v>0</v>
      </c>
      <c r="X1033">
        <f>T1033*$R$940/2</f>
        <v>0</v>
      </c>
      <c r="Z1033">
        <f>IF(S1033=0,0,$AD$940*$AP$921)</f>
        <v>0</v>
      </c>
      <c r="AA1033">
        <f>IFERROR(Z1033/$R$940,0)</f>
        <v>0</v>
      </c>
      <c r="AB1033">
        <f>Z1033*($F$25+($C$16+$C$17+IF($C$13="single",1.5,3)+3)/12)</f>
        <v>0</v>
      </c>
      <c r="AC1033">
        <f>AB1033-W1033</f>
        <v>0</v>
      </c>
      <c r="AD1033" cm="1">
        <f t="array" ref="AD1033">IFERROR(IF(AC1033&lt;0,0,AC1033/($R$940-INDEX(hd_off,MATCH(AQ1033,hd_mark,0),0)/12)),0)</f>
        <v>0</v>
      </c>
      <c r="AE1033">
        <f>IF(S1033=0,0,$AD$940*$AM$921)</f>
        <v>0</v>
      </c>
      <c r="AF1033">
        <f>IFERROR(AE1033/$R$940,0)</f>
        <v>0</v>
      </c>
      <c r="AG1033">
        <f>AE1033*($F$25+($C$16+$C$17+IF($C$13="single",1.5,3)+3)/12)</f>
        <v>0</v>
      </c>
      <c r="AH1033">
        <f>AG1033-X1033</f>
        <v>0</v>
      </c>
      <c r="AI1033" cm="1">
        <f t="array" ref="AI1033">IFERROR(IF(AH1033&lt;0,0,AH1033/($R$940-INDEX(hd_off,MATCH(AQ1033,hd_mark,0),0)/12)),0)</f>
        <v>0</v>
      </c>
      <c r="AJ1033">
        <f>MAX($F$25,$AC$940)/$Q$948</f>
        <v>0.29920977011494249</v>
      </c>
      <c r="AK1033">
        <f t="shared" si="628"/>
        <v>1</v>
      </c>
      <c r="AL1033" cm="1">
        <f t="array" ref="AL1033">IFERROR(INDEX(sheath_ecap_asd,MATCH(AP1033,sheath_mark,0),0)*AK1033,0)</f>
        <v>0</v>
      </c>
      <c r="AM1033" cm="1">
        <f t="array" ref="AM1033">IFERROR(INDEX(sheath_wcap_asd,MATCH(AP1033,sheath_mark,0),0)*AK1033,0)</f>
        <v>0</v>
      </c>
      <c r="AN1033" cm="1">
        <f t="array" ref="AN1033">IFERROR(INDEX(hd_cap,MATCH(AQ1033,hd_mark,0),0),0)</f>
        <v>0</v>
      </c>
      <c r="AP1033" s="19"/>
      <c r="AQ1033" s="19"/>
      <c r="AR1033" s="100"/>
      <c r="AS1033" s="93"/>
      <c r="AT1033" s="109"/>
      <c r="AU1033" t="str">
        <f>$Q$921</f>
        <v>Roof</v>
      </c>
      <c r="AV1033">
        <f>$E$25</f>
        <v>33.171875</v>
      </c>
      <c r="AW1033" cm="1">
        <f t="array" ref="AW1033">IFERROR(IF(AV1033=0,0,(INDEX($C$33:$C$38,MATCH($AZ$940,$B$33:$B$38,0),0)*(AV1033+$BA$940)+$AY$940*$C$31)*$AU$940),0)</f>
        <v>0</v>
      </c>
      <c r="AX1033">
        <f>IF(AV1033=0,0,-$AY$940*$C$31*$H$27*$AU$940)</f>
        <v>0</v>
      </c>
      <c r="AY1033">
        <f>IF(AV1033=0,0,$AY$940*$H$26*$AU$940)</f>
        <v>0</v>
      </c>
      <c r="AZ1033">
        <f>(0.6*AW1033+0.7*AX1033)*$AU$940/2</f>
        <v>0</v>
      </c>
      <c r="BA1033">
        <f>AW1033*$AU$940/2</f>
        <v>0</v>
      </c>
      <c r="BC1033">
        <f>IF(AV1033=0,0,$BG$940*$AP$921)</f>
        <v>0</v>
      </c>
      <c r="BD1033">
        <f>IFERROR(BC1033/$AU$940,0)</f>
        <v>0</v>
      </c>
      <c r="BE1033">
        <f>BC1033*($F$25+($C$16+$C$17+IF($C$13="single",1.5,3)+3)/12)</f>
        <v>0</v>
      </c>
      <c r="BF1033">
        <f>BE1033-AZ1033</f>
        <v>0</v>
      </c>
      <c r="BG1033" cm="1">
        <f t="array" ref="BG1033">IFERROR(IF(BF1033&lt;0,0,BF1033/($AU$940-INDEX(hd_off,MATCH(BT1033,hd_mark,0),0)/12)),0)</f>
        <v>0</v>
      </c>
      <c r="BH1033">
        <f>IF(AV1033=0,0,$BG$940*$AM$921)</f>
        <v>0</v>
      </c>
      <c r="BI1033">
        <f>IFERROR(BH1033/$AU$940,0)</f>
        <v>0</v>
      </c>
      <c r="BJ1033">
        <f>BH1033*($F$25+($C$16+$C$17+IF($C$13="single",1.5,3)+3)/12)</f>
        <v>0</v>
      </c>
      <c r="BK1033">
        <f>BJ1033-BA1033</f>
        <v>0</v>
      </c>
      <c r="BL1033" cm="1">
        <f t="array" ref="BL1033">IFERROR(IF(BK1033&lt;0,0,BK1033/($AU$940-INDEX(hd_off,MATCH(BT1033,hd_mark,0),0)/12)),0)</f>
        <v>0</v>
      </c>
      <c r="BM1033">
        <f>MAX($F$25,$BF$940)/$Q$948</f>
        <v>0.29920977011494249</v>
      </c>
      <c r="BN1033">
        <f t="shared" si="629"/>
        <v>1</v>
      </c>
      <c r="BO1033" cm="1">
        <f t="array" ref="BO1033">IFERROR(INDEX(sheath_ecap_asd,MATCH(BS1033,sheath_mark,0),0)*BN1033,0)</f>
        <v>0</v>
      </c>
      <c r="BP1033" cm="1">
        <f t="array" ref="BP1033">IFERROR(INDEX(sheath_wcap_asd,MATCH(BS1033,sheath_mark,0),0)*BN1033,0)</f>
        <v>0</v>
      </c>
      <c r="BQ1033" cm="1">
        <f t="array" ref="BQ1033">IFERROR(INDEX(hd_cap,MATCH(BT1033,hd_mark,0),0),0)</f>
        <v>0</v>
      </c>
      <c r="BS1033" s="19"/>
      <c r="BT1033" s="19"/>
      <c r="BU1033" s="100"/>
    </row>
    <row r="1034" x14ac:dyDescent="0.25">
      <c r="P1034" s="93"/>
      <c r="AR1034" s="100"/>
      <c r="AS1034" s="93"/>
      <c r="BU1034" s="100"/>
    </row>
    <row r="1035" x14ac:dyDescent="0.25">
      <c r="P1035" s="93"/>
      <c r="Q1035" s="110" t="str">
        <f>$Q$941</f>
        <v>A.16</v>
      </c>
      <c r="R1035" t="str">
        <f>$Q$917</f>
        <v>L2</v>
      </c>
      <c r="S1035">
        <f>$E$21</f>
        <v>10.6875</v>
      </c>
      <c r="T1035" cm="1">
        <f t="array" ref="T1035">IFERROR(IF(S1035=0,0,(INDEX($C$33:$C$38,MATCH($W$941,$B$33:$B$38,0),0)*(S1039+$X$941)+$T$941*COUNTIF(S1035:S1038,"&gt;0")*$C$32+$V$941*$C$31)*$R$941),0)</f>
        <v>0</v>
      </c>
      <c r="U1035">
        <f>IF(S1035=0,0,-(COUNTIF(S1035:S1038,"&gt;0")*$T$941*$C$32+$V$941*$C$31)*$H$27*$R$941)</f>
        <v>0</v>
      </c>
      <c r="V1035">
        <f>IF(S1035=0,0,$V$941*$H$26*$R$941)</f>
        <v>0</v>
      </c>
      <c r="W1035">
        <f>(0.6*T1035+0.7*U1035)*$R$941/2</f>
        <v>0</v>
      </c>
      <c r="X1035">
        <f>(0.6*T1035+0.6*V1035)*$R$941/2</f>
        <v>0</v>
      </c>
      <c r="Z1035">
        <f>IF(S1035=0,0,$AD$941*$AP$917)</f>
        <v>0</v>
      </c>
      <c r="AA1035">
        <f>IFERROR(Z1035/$R$941,0)</f>
        <v>0</v>
      </c>
      <c r="AB1035">
        <f>Z1035*($F$21+IF($F$21=0,0,($C$14+$C$15+IF($C$13="single",1.5,3)+3)/12))</f>
        <v>0</v>
      </c>
      <c r="AC1035">
        <f>AB1035-W1035</f>
        <v>0</v>
      </c>
      <c r="AD1035" cm="1">
        <f t="array" ref="AD1035">IFERROR(IF(AC1035&lt;0,0,AC1035/($R$941-INDEX(hd_off,MATCH(AQ1035,hd_mark,0),0)/12)),0)</f>
        <v>0</v>
      </c>
      <c r="AE1035">
        <f>IF(S1035=0,0,$AD$941*$AM$917)</f>
        <v>0</v>
      </c>
      <c r="AF1035">
        <f>IFERROR(AE1035/$R$941,0)</f>
        <v>0</v>
      </c>
      <c r="AG1035">
        <f>AE1035*($F$21+IF($F$21=0,0,($C$14+$C$15+IF($C$13="single",1.5,3)+3)/12))</f>
        <v>0</v>
      </c>
      <c r="AH1035">
        <f>AG1035-X1035</f>
        <v>0</v>
      </c>
      <c r="AI1035" cm="1">
        <f t="array" ref="AI1035">IFERROR(IF(AH1035&lt;0,0,AH1035/($R$941-INDEX(hd_off,MATCH(AQ1035,hd_mark,0),0)/12)),0)</f>
        <v>0</v>
      </c>
      <c r="AJ1035">
        <f>MAX($F$21,$Y$941)/$Q$948</f>
        <v>0.30172413793103448</v>
      </c>
      <c r="AK1035">
        <f>IF(AJ1035=0,0,IF(AJ1035&gt;2,1.25-0.125*AJ1035,1))</f>
        <v>1</v>
      </c>
      <c r="AL1035" cm="1">
        <f t="array" ref="AL1035">IFERROR(INDEX(sheath_ecap_asd,MATCH(AP1035,sheath_mark,0),0)*AK1035,0)</f>
        <v>0</v>
      </c>
      <c r="AM1035" cm="1">
        <f t="array" ref="AM1035">IFERROR(INDEX(sheath_wcap_asd,MATCH(AP1035,sheath_mark,0),0)*AK1035,0)</f>
        <v>0</v>
      </c>
      <c r="AN1035" cm="1">
        <f t="array" ref="AN1035">IFERROR(INDEX(hd_cap,MATCH(AQ1035,hd_mark,0),0),0)</f>
        <v>0</v>
      </c>
      <c r="AP1035" s="19"/>
      <c r="AQ1035" s="19"/>
      <c r="AR1035" s="100"/>
      <c r="AS1035" s="93"/>
      <c r="AT1035" s="110" t="str">
        <f>$AT$941</f>
        <v>1.16</v>
      </c>
      <c r="AU1035" t="str">
        <f>$Q$917</f>
        <v>L2</v>
      </c>
      <c r="AV1035">
        <f>$E$21</f>
        <v>10.6875</v>
      </c>
      <c r="AW1035" cm="1">
        <f t="array" ref="AW1035">IFERROR(IF(AV1035=0,0,(INDEX($C$33:$C$38,MATCH($AZ$941,$B$33:$B$38,0),0)*(AV1039+$BA$941)+$AW$941*COUNTIF(AV1035:AV1038,"&gt;0")*$C$32+$AY$941*$C$31)*$AU$941),0)</f>
        <v>0</v>
      </c>
      <c r="AX1035">
        <f>IF(AV1035=0,0,-(COUNTIF(AV1035:AV1038,"&gt;0")*$AW$941*$C$32+$AY$941*$C$31)*$H$27*$AU$941)</f>
        <v>0</v>
      </c>
      <c r="AY1035">
        <f>IF(AV1035=0,0,$AY$941*$H$26*$AU$941)</f>
        <v>0</v>
      </c>
      <c r="AZ1035">
        <f>(0.6*AW1035+0.7*AX1035)*$AU$941/2</f>
        <v>0</v>
      </c>
      <c r="BA1035">
        <f>(0.6*AW1035+0.6*AY1035)*$AU$941/2</f>
        <v>0</v>
      </c>
      <c r="BC1035">
        <f>IF(AV1035=0,0,$BG$941*$AP$917)</f>
        <v>0</v>
      </c>
      <c r="BD1035">
        <f>IFERROR(BC1035/$AU$941,0)</f>
        <v>0</v>
      </c>
      <c r="BE1035">
        <f>BC1035*($F$21+IF($F$21=0,0,($C$14+$C$15+IF($C$13="single",1.5,3)+3)/12))</f>
        <v>0</v>
      </c>
      <c r="BF1035">
        <f>BE1035-AZ1035</f>
        <v>0</v>
      </c>
      <c r="BG1035" cm="1">
        <f t="array" ref="BG1035">IFERROR(IF(BF1035&lt;0,0,BF1035/($AU$941-INDEX(hd_off,MATCH(BT1035,hd_mark,0),0)/12)),0)</f>
        <v>0</v>
      </c>
      <c r="BH1035">
        <f>IF(AV1035=0,0,$BG$941*$AM$917)</f>
        <v>0</v>
      </c>
      <c r="BI1035">
        <f>IFERROR(BH1035/$AU$941,0)</f>
        <v>0</v>
      </c>
      <c r="BJ1035">
        <f>BH1035*($F$21+IF($F$21=0,0,($C$14+$C$15+IF($C$13="single",1.5,3)+3)/12))</f>
        <v>0</v>
      </c>
      <c r="BK1035">
        <f>BJ1035-BA1035</f>
        <v>0</v>
      </c>
      <c r="BL1035" cm="1">
        <f t="array" ref="BL1035">IFERROR(IF(BK1035&lt;0,0,BK1035/($AU$941-INDEX(hd_off,MATCH(BT1035,hd_mark,0),0)/12)),0)</f>
        <v>0</v>
      </c>
      <c r="BM1035">
        <f>MAX($F$21,$BB$941)/$Q$948</f>
        <v>0.30172413793103448</v>
      </c>
      <c r="BN1035">
        <f>IF(BM1035=0,0,IF(BM1035&gt;2,1.25-0.125*BM1035,1))</f>
        <v>1</v>
      </c>
      <c r="BO1035" cm="1">
        <f t="array" ref="BO1035">IFERROR(INDEX(sheath_ecap_asd,MATCH(BS1035,sheath_mark,0),0)*BN1035,0)</f>
        <v>0</v>
      </c>
      <c r="BP1035" cm="1">
        <f t="array" ref="BP1035">IFERROR(INDEX(sheath_wcap_asd,MATCH(BS1035,sheath_mark,0),0)*BN1035,0)</f>
        <v>0</v>
      </c>
      <c r="BQ1035" cm="1">
        <f t="array" ref="BQ1035">IFERROR(INDEX(hd_cap,MATCH(BT1035,hd_mark,0),0),0)</f>
        <v>0</v>
      </c>
      <c r="BS1035" s="19"/>
      <c r="BT1035" s="19"/>
      <c r="BU1035" s="100"/>
    </row>
    <row r="1036" x14ac:dyDescent="0.25">
      <c r="P1036" s="93"/>
      <c r="Q1036" s="109"/>
      <c r="R1036" t="str">
        <f>$Q$918</f>
        <v>L3</v>
      </c>
      <c r="S1036">
        <f>$E$22</f>
        <v>21.375</v>
      </c>
      <c r="T1036" cm="1">
        <f t="array" ref="T1036">IFERROR(IF(S1036=0,0,(INDEX($C$33:$C$38,MATCH($W$941,$B$33:$B$38,0),0)*(S1039+$X$941)+$T$941*COUNTIF(S1036:S1038,"&gt;0")*$C$32+$V$941*$C$31)*$R$941),0)</f>
        <v>0</v>
      </c>
      <c r="U1036">
        <f>IF(S1036=0,0,-(COUNTIF(S1036:S1038,"&gt;0")*$T$941*$C$32+$V$941*$C$31)*$H$27*$R$941)</f>
        <v>0</v>
      </c>
      <c r="V1036">
        <f>IF(S1036=0,0,$V$941*$H$26*$R$941)</f>
        <v>0</v>
      </c>
      <c r="W1036">
        <f>(0.6*T1036+0.7*U1036)*$R$941/2</f>
        <v>0</v>
      </c>
      <c r="X1036">
        <f>T1036*$R$941/2</f>
        <v>0</v>
      </c>
      <c r="Z1036">
        <f>IF(S1036=0,0,$AD$941*$AP$918)</f>
        <v>0</v>
      </c>
      <c r="AA1036">
        <f>IFERROR(Z1036/$R$941,0)</f>
        <v>0</v>
      </c>
      <c r="AB1036">
        <f>Z1036*($F$22+IF($F$22=0,0,($C$14+$C$15+IF($C$13="single",1.5,3)+3)/12))</f>
        <v>0</v>
      </c>
      <c r="AC1036">
        <f>AB1036-W1036</f>
        <v>0</v>
      </c>
      <c r="AD1036" cm="1">
        <f t="array" ref="AD1036">IFERROR(IF(AC1036&lt;0,0,AC1036/($R$941-INDEX(hd_off,MATCH(AQ1036,hd_mark,0),0)/12)),0)</f>
        <v>0</v>
      </c>
      <c r="AE1036">
        <f>IF(S1036=0,0,$AD$941*$AM$918)</f>
        <v>0</v>
      </c>
      <c r="AF1036">
        <f>IFERROR(AE1036/$R$941,0)</f>
        <v>0</v>
      </c>
      <c r="AG1036">
        <f>AE1036*($F$22+IF($F$22=0,0,($C$14+$C$15+IF($C$13="single",1.5,3)+3)/12))</f>
        <v>0</v>
      </c>
      <c r="AH1036">
        <f>AG1036-X1036</f>
        <v>0</v>
      </c>
      <c r="AI1036" cm="1">
        <f t="array" ref="AI1036">IFERROR(IF(AH1036&lt;0,0,AH1036/($R$941-INDEX(hd_off,MATCH(AQ1036,hd_mark,0),0)/12)),0)</f>
        <v>0</v>
      </c>
      <c r="AJ1036">
        <f>MAX($F$22,$Z$941)/$Q$948</f>
        <v>0.30172413793103448</v>
      </c>
      <c r="AK1036">
        <f t="shared" ref="AK1036:AK1039" si="630">IF(AJ1036=0,0,IF(AJ1036&gt;2,1.25-0.125*AJ1036,1))</f>
        <v>1</v>
      </c>
      <c r="AL1036" cm="1">
        <f t="array" ref="AL1036">IFERROR(INDEX(sheath_ecap_asd,MATCH(AP1036,sheath_mark,0),0)*AK1036,0)</f>
        <v>0</v>
      </c>
      <c r="AM1036" cm="1">
        <f t="array" ref="AM1036">IFERROR(INDEX(sheath_wcap_asd,MATCH(AP1036,sheath_mark,0),0)*AK1036,0)</f>
        <v>0</v>
      </c>
      <c r="AN1036" cm="1">
        <f t="array" ref="AN1036">IFERROR(INDEX(hd_cap,MATCH(AQ1036,hd_mark,0),0),0)</f>
        <v>0</v>
      </c>
      <c r="AP1036" s="19"/>
      <c r="AQ1036" s="19"/>
      <c r="AR1036" s="100"/>
      <c r="AS1036" s="93"/>
      <c r="AT1036" s="109"/>
      <c r="AU1036" t="str">
        <f>$Q$918</f>
        <v>L3</v>
      </c>
      <c r="AV1036">
        <f>$E$22</f>
        <v>21.375</v>
      </c>
      <c r="AW1036" cm="1">
        <f t="array" ref="AW1036">IFERROR(IF(AV1036=0,0,(INDEX($C$33:$C$38,MATCH($AZ$941,$B$33:$B$38,0),0)*(AV1039+$BA$941)+$AW$941*COUNTIF(AV1036:AV1038,"&gt;0")*$C$32+$AY$941*$C$31)*$AU$941),0)</f>
        <v>0</v>
      </c>
      <c r="AX1036">
        <f>IF(AV1036=0,0,-(COUNTIF(AV1036:AV1038,"&gt;0")*$AW$941*$C$32+$AY$941*$C$31)*$H$27*$AU$941)</f>
        <v>0</v>
      </c>
      <c r="AY1036">
        <f>IF(AV1036=0,0,$AY$941*$H$26*$AU$941)</f>
        <v>0</v>
      </c>
      <c r="AZ1036">
        <f>(0.6*AW1036+0.7*AX1036)*$AU$941/2</f>
        <v>0</v>
      </c>
      <c r="BA1036">
        <f>AW1036*$AU$941/2</f>
        <v>0</v>
      </c>
      <c r="BC1036">
        <f>IF(AV1036=0,0,$BG$941*$AP$918)</f>
        <v>0</v>
      </c>
      <c r="BD1036">
        <f>IFERROR(BC1036/$AU$941,0)</f>
        <v>0</v>
      </c>
      <c r="BE1036">
        <f>BC1036*($F$22+IF($F$22=0,0,($C$14+$C$15+IF($C$13="single",1.5,3)+3)/12))</f>
        <v>0</v>
      </c>
      <c r="BF1036">
        <f>BE1036-AZ1036</f>
        <v>0</v>
      </c>
      <c r="BG1036" cm="1">
        <f t="array" ref="BG1036">IFERROR(IF(BF1036&lt;0,0,BF1036/($AU$941-INDEX(hd_off,MATCH(BT1036,hd_mark,0),0)/12)),0)</f>
        <v>0</v>
      </c>
      <c r="BH1036">
        <f>IF(AV1036=0,0,$BG$941*$AM$918)</f>
        <v>0</v>
      </c>
      <c r="BI1036">
        <f>IFERROR(BH1036/$AU$941,0)</f>
        <v>0</v>
      </c>
      <c r="BJ1036">
        <f>BH1036*($F$22+IF($F$22=0,0,($C$14+$C$15+IF($C$13="single",1.5,3)+3)/12))</f>
        <v>0</v>
      </c>
      <c r="BK1036">
        <f>BJ1036-BA1036</f>
        <v>0</v>
      </c>
      <c r="BL1036" cm="1">
        <f t="array" ref="BL1036">IFERROR(IF(BK1036&lt;0,0,BK1036/($AU$941-INDEX(hd_off,MATCH(BT1036,hd_mark,0),0)/12)),0)</f>
        <v>0</v>
      </c>
      <c r="BM1036">
        <f>MAX($F$22,$BC$941)/$Q$948</f>
        <v>0.30172413793103448</v>
      </c>
      <c r="BN1036">
        <f t="shared" ref="BN1036:BN1038" si="631">IF(BM1036=0,0,IF(BM1036&gt;2,1.25-0.125*BM1036,1))</f>
        <v>1</v>
      </c>
      <c r="BO1036" cm="1">
        <f t="array" ref="BO1036">IFERROR(INDEX(sheath_ecap_asd,MATCH(BS1036,sheath_mark,0),0)*BN1036,0)</f>
        <v>0</v>
      </c>
      <c r="BP1036" cm="1">
        <f t="array" ref="BP1036">IFERROR(INDEX(sheath_wcap_asd,MATCH(BS1036,sheath_mark,0),0)*BN1036,0)</f>
        <v>0</v>
      </c>
      <c r="BQ1036" cm="1">
        <f t="array" ref="BQ1036">IFERROR(INDEX(hd_cap,MATCH(BT1036,hd_mark,0),0),0)</f>
        <v>0</v>
      </c>
      <c r="BS1036" s="19"/>
      <c r="BT1036" s="19"/>
      <c r="BU1036" s="100"/>
    </row>
    <row r="1037" x14ac:dyDescent="0.25">
      <c r="P1037" s="93"/>
      <c r="Q1037" s="109" t="s">
        <v>491</v>
      </c>
      <c r="R1037" t="str">
        <f>$Q$919</f>
        <v>L4</v>
      </c>
      <c r="S1037">
        <f>$E$23</f>
        <v>0</v>
      </c>
      <c r="T1037" cm="1">
        <f t="array" ref="T1037">IFERROR(IF(S1037=0,0,(INDEX($C$33:$C$38,MATCH($W$941,$B$33:$B$38,0),0)*(S1039+$X$941)+$T$941*COUNTIF(S1037:S1038,"&gt;0")*$C$32+$V$941*$C$31)*$R$941),0)</f>
        <v>0</v>
      </c>
      <c r="U1037">
        <f>IF(S1037=0,0,-(COUNTIF(S1037:S1038,"&gt;0")*$T$941*$C$32+$V$941*$C$31)*$H$27*$R$941)</f>
        <v>0</v>
      </c>
      <c r="V1037">
        <f>IF(S1037=0,0,$V$941*$H$26*$R$941)</f>
        <v>0</v>
      </c>
      <c r="W1037">
        <f>(0.6*T1037+0.7*U1037)*$R$941/2</f>
        <v>0</v>
      </c>
      <c r="X1037">
        <f>T1037*$R$941/2</f>
        <v>0</v>
      </c>
      <c r="Z1037">
        <f>IF(S1037=0,0,$AD$941*$AP$919)</f>
        <v>0</v>
      </c>
      <c r="AA1037">
        <f>IFERROR(Z1037/$R$941,0)</f>
        <v>0</v>
      </c>
      <c r="AB1037">
        <f>Z1037*($F$23+IF($F$23=0,0,($C$14+$C$15+IF($C$13="single",1.5,3)+3)/12))</f>
        <v>0</v>
      </c>
      <c r="AC1037">
        <f>AB1037-W1037</f>
        <v>0</v>
      </c>
      <c r="AD1037" cm="1">
        <f t="array" ref="AD1037">IFERROR(IF(AC1037&lt;0,0,AC1037/($R$941-INDEX(hd_off,MATCH(AQ1037,hd_mark,0),0)/12)),0)</f>
        <v>0</v>
      </c>
      <c r="AE1037">
        <f>IF(S1037=0,0,$AD$941*$AM$919)</f>
        <v>0</v>
      </c>
      <c r="AF1037">
        <f>IFERROR(AE1037/$R$941,0)</f>
        <v>0</v>
      </c>
      <c r="AG1037">
        <f>AE1037*($F$23+IF($F$23=0,0,($C$14+$C$15+IF($C$13="single",1.5,3)+3)/12))</f>
        <v>0</v>
      </c>
      <c r="AH1037">
        <f>AG1037-X1037</f>
        <v>0</v>
      </c>
      <c r="AI1037" cm="1">
        <f t="array" ref="AI1037">IFERROR(IF(AH1037&lt;0,0,AH1037/($R$941-INDEX(hd_off,MATCH(AQ1037,hd_mark,0),0)/12)),0)</f>
        <v>0</v>
      </c>
      <c r="AJ1037">
        <f>MAX($F$23,$AA$941)/$Q$948</f>
        <v>0</v>
      </c>
      <c r="AK1037">
        <f t="shared" si="630"/>
        <v>0</v>
      </c>
      <c r="AL1037" cm="1">
        <f t="array" ref="AL1037">IFERROR(INDEX(sheath_ecap_asd,MATCH(AP1037,sheath_mark,0),0)*AK1037,0)</f>
        <v>0</v>
      </c>
      <c r="AM1037" cm="1">
        <f t="array" ref="AM1037">IFERROR(INDEX(sheath_wcap_asd,MATCH(AP1037,sheath_mark,0),0)*AK1037,0)</f>
        <v>0</v>
      </c>
      <c r="AN1037" cm="1">
        <f t="array" ref="AN1037">IFERROR(INDEX(hd_cap,MATCH(AQ1037,hd_mark,0),0),0)</f>
        <v>0</v>
      </c>
      <c r="AP1037" s="19"/>
      <c r="AQ1037" s="19"/>
      <c r="AR1037" s="100"/>
      <c r="AS1037" s="93"/>
      <c r="AT1037" s="109" t="s">
        <v>491</v>
      </c>
      <c r="AU1037" t="str">
        <f>$Q$919</f>
        <v>L4</v>
      </c>
      <c r="AV1037">
        <f>$E$23</f>
        <v>0</v>
      </c>
      <c r="AW1037" cm="1">
        <f t="array" ref="AW1037">IFERROR(IF(AV1037=0,0,(INDEX($C$33:$C$38,MATCH($AZ$941,$B$33:$B$38,0),0)*(AV1039+$BA$941)+$AW$941*COUNTIF(AV1037:AV1038,"&gt;0")*$C$32+$AY$941*$C$31)*$AU$941),0)</f>
        <v>0</v>
      </c>
      <c r="AX1037">
        <f>IF(AV1037=0,0,-(COUNTIF(AV1037:AV1038,"&gt;0")*$AW$941*$C$32+$AY$941*$C$31)*$H$27*$AU$941)</f>
        <v>0</v>
      </c>
      <c r="AY1037">
        <f>IF(AV1037=0,0,$AY$941*$H$26*$AU$941)</f>
        <v>0</v>
      </c>
      <c r="AZ1037">
        <f>(0.6*AW1037+0.7*AX1037)*$AU$941/2</f>
        <v>0</v>
      </c>
      <c r="BA1037">
        <f>AW1037*$AU$941/2</f>
        <v>0</v>
      </c>
      <c r="BC1037">
        <f>IF(AV1037=0,0,$BG$941*$AP$919)</f>
        <v>0</v>
      </c>
      <c r="BD1037">
        <f>IFERROR(BC1037/$AU$941,0)</f>
        <v>0</v>
      </c>
      <c r="BE1037">
        <f>BC1037*($F$23+IF($F$23=0,0,($C$14+$C$15+IF($C$13="single",1.5,3)+3)/12))</f>
        <v>0</v>
      </c>
      <c r="BF1037">
        <f>BE1037-AZ1037</f>
        <v>0</v>
      </c>
      <c r="BG1037" cm="1">
        <f t="array" ref="BG1037">IFERROR(IF(BF1037&lt;0,0,BF1037/($AU$941-INDEX(hd_off,MATCH(BT1037,hd_mark,0),0)/12)),0)</f>
        <v>0</v>
      </c>
      <c r="BH1037">
        <f>IF(AV1037=0,0,$BG$941*$AM$919)</f>
        <v>0</v>
      </c>
      <c r="BI1037">
        <f>IFERROR(BH1037/$AU$941,0)</f>
        <v>0</v>
      </c>
      <c r="BJ1037">
        <f>BH1037*($F$23+IF($F$23=0,0,($C$14+$C$15+IF($C$13="single",1.5,3)+3)/12))</f>
        <v>0</v>
      </c>
      <c r="BK1037">
        <f>BJ1037-BA1037</f>
        <v>0</v>
      </c>
      <c r="BL1037" cm="1">
        <f t="array" ref="BL1037">IFERROR(IF(BK1037&lt;0,0,BK1037/($AU$941-INDEX(hd_off,MATCH(BT1037,hd_mark,0),0)/12)),0)</f>
        <v>0</v>
      </c>
      <c r="BM1037">
        <f>MAX($F$23,$BD$941)/$Q$948</f>
        <v>0</v>
      </c>
      <c r="BN1037">
        <f t="shared" si="631"/>
        <v>0</v>
      </c>
      <c r="BO1037" cm="1">
        <f t="array" ref="BO1037">IFERROR(INDEX(sheath_ecap_asd,MATCH(BS1037,sheath_mark,0),0)*BN1037,0)</f>
        <v>0</v>
      </c>
      <c r="BP1037" cm="1">
        <f t="array" ref="BP1037">IFERROR(INDEX(sheath_wcap_asd,MATCH(BS1037,sheath_mark,0),0)*BN1037,0)</f>
        <v>0</v>
      </c>
      <c r="BQ1037" cm="1">
        <f t="array" ref="BQ1037">IFERROR(INDEX(hd_cap,MATCH(BT1037,hd_mark,0),0),0)</f>
        <v>0</v>
      </c>
      <c r="BS1037" s="19"/>
      <c r="BT1037" s="19"/>
      <c r="BU1037" s="100"/>
    </row>
    <row r="1038" x14ac:dyDescent="0.25">
      <c r="P1038" s="93"/>
      <c r="Q1038" s="111">
        <f>$R$941</f>
        <v>0</v>
      </c>
      <c r="R1038" t="str">
        <f>$Q$920</f>
        <v>L5</v>
      </c>
      <c r="S1038">
        <f>$E$24</f>
        <v>0</v>
      </c>
      <c r="T1038" cm="1">
        <f t="array" ref="T1038">IFERROR(IF(S1038=0,0,(INDEX($C$33:$C$38,MATCH($W$941,$B$33:$B$38,0),0)*(S1039+$X$941)+$T$941*COUNTIF(S1038:S1038,"&gt;0")*$C$32+$V$941*$C$31)*$R$941),0)</f>
        <v>0</v>
      </c>
      <c r="U1038">
        <f>IF(S1038=0,0,-(COUNTIF(S1038:S1038,"&gt;0")*$T$941*$C$32+$V$941*$C$31)*$H$27*$R$941)</f>
        <v>0</v>
      </c>
      <c r="V1038">
        <f>IF(S1038=0,0,$V$941*$H$26*$R$941)</f>
        <v>0</v>
      </c>
      <c r="W1038">
        <f>(0.6*T1038+0.7*U1038)*$R$941/2</f>
        <v>0</v>
      </c>
      <c r="X1038">
        <f>T1038*$R$941/2</f>
        <v>0</v>
      </c>
      <c r="Z1038">
        <f>IF(S1038=0,0,$AD$941*$AP$920)</f>
        <v>0</v>
      </c>
      <c r="AA1038">
        <f>IFERROR(Z1038/$R$941,0)</f>
        <v>0</v>
      </c>
      <c r="AB1038">
        <f>Z1038*($F$24+IF($F$24=0,0,($C$14+$C$15+IF($C$13="single",1.5,3)+3)/12))</f>
        <v>0</v>
      </c>
      <c r="AC1038">
        <f>AB1038-W1038</f>
        <v>0</v>
      </c>
      <c r="AD1038" cm="1">
        <f t="array" ref="AD1038">IFERROR(IF(AC1038&lt;0,0,AC1038/($R$941-INDEX(hd_off,MATCH(AQ1038,hd_mark,0),0)/12)),0)</f>
        <v>0</v>
      </c>
      <c r="AE1038">
        <f>IF(S1038=0,0,$AD$941*$AM$920)</f>
        <v>0</v>
      </c>
      <c r="AF1038">
        <f>IFERROR(AE1038/$R$941,0)</f>
        <v>0</v>
      </c>
      <c r="AG1038">
        <f>AE1038*($F$24+IF($F$24=0,0,($C$14+$C$15+IF($C$13="single",1.5,3)+3)/12))</f>
        <v>0</v>
      </c>
      <c r="AH1038">
        <f>AG1038-X1038</f>
        <v>0</v>
      </c>
      <c r="AI1038" cm="1">
        <f t="array" ref="AI1038">IFERROR(IF(AH1038&lt;0,0,AH1038/($R$941-INDEX(hd_off,MATCH(AQ1038,hd_mark,0),0)/12)),0)</f>
        <v>0</v>
      </c>
      <c r="AJ1038">
        <f>MAX($F$24,$AB$941)/$Q$948</f>
        <v>0</v>
      </c>
      <c r="AK1038">
        <f t="shared" si="630"/>
        <v>0</v>
      </c>
      <c r="AL1038" cm="1">
        <f t="array" ref="AL1038">IFERROR(INDEX(sheath_ecap_asd,MATCH(AP1038,sheath_mark,0),0)*AK1038,0)</f>
        <v>0</v>
      </c>
      <c r="AM1038" cm="1">
        <f t="array" ref="AM1038">IFERROR(INDEX(sheath_wcap_asd,MATCH(AP1038,sheath_mark,0),0)*AK1038,0)</f>
        <v>0</v>
      </c>
      <c r="AN1038" cm="1">
        <f t="array" ref="AN1038">IFERROR(INDEX(hd_cap,MATCH(AQ1038,hd_mark,0),0),0)</f>
        <v>0</v>
      </c>
      <c r="AP1038" s="19"/>
      <c r="AQ1038" s="19"/>
      <c r="AR1038" s="100"/>
      <c r="AS1038" s="93"/>
      <c r="AT1038" s="111">
        <f>$R$941</f>
        <v>0</v>
      </c>
      <c r="AU1038" t="str">
        <f>$Q$920</f>
        <v>L5</v>
      </c>
      <c r="AV1038">
        <f>$E$24</f>
        <v>0</v>
      </c>
      <c r="AW1038" cm="1">
        <f t="array" ref="AW1038">IFERROR(IF(AV1038=0,0,(INDEX($C$33:$C$38,MATCH($AZ$941,$B$33:$B$38,0),0)*(AV1039+$BA$941)+$AW$941*COUNTIF(AV1038:AV1038,"&gt;0")*$C$32+$AY$941*$C$31)*$AU$941),0)</f>
        <v>0</v>
      </c>
      <c r="AX1038">
        <f>IF(AV1038=0,0,-(COUNTIF(AV1038:AV1038,"&gt;0")*$AW$941*$C$32+$AY$941*$C$31)*$H$27*$AU$941)</f>
        <v>0</v>
      </c>
      <c r="AY1038">
        <f>IF(AV1038=0,0,$AY$941*$H$26*$AU$941)</f>
        <v>0</v>
      </c>
      <c r="AZ1038">
        <f>(0.6*AW1038+0.7*AX1038)*$AU$941/2</f>
        <v>0</v>
      </c>
      <c r="BA1038">
        <f>AW1038*$AU$941/2</f>
        <v>0</v>
      </c>
      <c r="BC1038">
        <f>IF(AV1038=0,0,$BG$941*$AP$920)</f>
        <v>0</v>
      </c>
      <c r="BD1038">
        <f>IFERROR(BC1038/$AU$941,0)</f>
        <v>0</v>
      </c>
      <c r="BE1038">
        <f>BC1038*($F$24+IF($F$24=0,0,($C$14+$C$15+IF($C$13="single",1.5,3)+3)/12))</f>
        <v>0</v>
      </c>
      <c r="BF1038">
        <f>BE1038-AZ1038</f>
        <v>0</v>
      </c>
      <c r="BG1038" cm="1">
        <f t="array" ref="BG1038">IFERROR(IF(BF1038&lt;0,0,BF1038/($AU$941-INDEX(hd_off,MATCH(BT1038,hd_mark,0),0)/12)),0)</f>
        <v>0</v>
      </c>
      <c r="BH1038">
        <f>IF(AV1038=0,0,$BG$941*$AM$920)</f>
        <v>0</v>
      </c>
      <c r="BI1038">
        <f>IFERROR(BH1038/$AU$941,0)</f>
        <v>0</v>
      </c>
      <c r="BJ1038">
        <f>BH1038*($F$24+IF($F$24=0,0,($C$14+$C$15+IF($C$13="single",1.5,3)+3)/12))</f>
        <v>0</v>
      </c>
      <c r="BK1038">
        <f>BJ1038-BA1038</f>
        <v>0</v>
      </c>
      <c r="BL1038" cm="1">
        <f t="array" ref="BL1038">IFERROR(IF(BK1038&lt;0,0,BK1038/($AU$941-INDEX(hd_off,MATCH(BT1038,hd_mark,0),0)/12)),0)</f>
        <v>0</v>
      </c>
      <c r="BM1038">
        <f>MAX($F$24,$BE$941)/$Q$948</f>
        <v>0</v>
      </c>
      <c r="BN1038">
        <f t="shared" si="631"/>
        <v>0</v>
      </c>
      <c r="BO1038" cm="1">
        <f t="array" ref="BO1038">IFERROR(INDEX(sheath_ecap_asd,MATCH(BS1038,sheath_mark,0),0)*BN1038,0)</f>
        <v>0</v>
      </c>
      <c r="BP1038" cm="1">
        <f t="array" ref="BP1038">IFERROR(INDEX(sheath_wcap_asd,MATCH(BS1038,sheath_mark,0),0)*BN1038,0)</f>
        <v>0</v>
      </c>
      <c r="BQ1038" cm="1">
        <f t="array" ref="BQ1038">IFERROR(INDEX(hd_cap,MATCH(BT1038,hd_mark,0),0),0)</f>
        <v>0</v>
      </c>
      <c r="BS1038" s="19"/>
      <c r="BT1038" s="19"/>
      <c r="BU1038" s="100"/>
    </row>
    <row r="1039" x14ac:dyDescent="0.25">
      <c r="P1039" s="93"/>
      <c r="Q1039" s="109"/>
      <c r="R1039" t="str">
        <f>$Q$921</f>
        <v>Roof</v>
      </c>
      <c r="S1039">
        <f>$E$25</f>
        <v>33.171875</v>
      </c>
      <c r="T1039" cm="1">
        <f t="array" ref="T1039">IFERROR(IF(S1039=0,0,(INDEX($C$33:$C$38,MATCH($W$941,$B$33:$B$38,0),0)*(S1039+$X$941)+$V$941*$C$31)*$R$941),0)</f>
        <v>0</v>
      </c>
      <c r="U1039">
        <f>IF(S1039=0,0,-$V$941*$C$31*$H$27*$R$941)</f>
        <v>0</v>
      </c>
      <c r="V1039">
        <f>IF(S1039=0,0,$V$941*$H$26*$R$941)</f>
        <v>0</v>
      </c>
      <c r="W1039">
        <f>(0.6*T1039+0.7*U1039)*$R$941/2</f>
        <v>0</v>
      </c>
      <c r="X1039">
        <f>T1039*$R$941/2</f>
        <v>0</v>
      </c>
      <c r="Z1039">
        <f>IF(S1039=0,0,$AD$941*$AP$921)</f>
        <v>0</v>
      </c>
      <c r="AA1039">
        <f>IFERROR(Z1039/$R$941,0)</f>
        <v>0</v>
      </c>
      <c r="AB1039">
        <f>Z1039*($F$25+($C$16+$C$17+IF($C$13="single",1.5,3)+3)/12)</f>
        <v>0</v>
      </c>
      <c r="AC1039">
        <f>AB1039-W1039</f>
        <v>0</v>
      </c>
      <c r="AD1039" cm="1">
        <f t="array" ref="AD1039">IFERROR(IF(AC1039&lt;0,0,AC1039/($R$941-INDEX(hd_off,MATCH(AQ1039,hd_mark,0),0)/12)),0)</f>
        <v>0</v>
      </c>
      <c r="AE1039">
        <f>IF(S1039=0,0,$AD$941*$AM$921)</f>
        <v>0</v>
      </c>
      <c r="AF1039">
        <f>IFERROR(AE1039/$R$941,0)</f>
        <v>0</v>
      </c>
      <c r="AG1039">
        <f>AE1039*($F$25+($C$16+$C$17+IF($C$13="single",1.5,3)+3)/12)</f>
        <v>0</v>
      </c>
      <c r="AH1039">
        <f>AG1039-X1039</f>
        <v>0</v>
      </c>
      <c r="AI1039" cm="1">
        <f t="array" ref="AI1039">IFERROR(IF(AH1039&lt;0,0,AH1039/($R$941-INDEX(hd_off,MATCH(AQ1039,hd_mark,0),0)/12)),0)</f>
        <v>0</v>
      </c>
      <c r="AJ1039">
        <f>MAX($F$25,$AC$941)/$Q$948</f>
        <v>0.29920977011494249</v>
      </c>
      <c r="AK1039">
        <f t="shared" si="630"/>
        <v>1</v>
      </c>
      <c r="AL1039" cm="1">
        <f t="array" ref="AL1039">IFERROR(INDEX(sheath_ecap_asd,MATCH(AP1039,sheath_mark,0),0)*AK1039,0)</f>
        <v>0</v>
      </c>
      <c r="AM1039" cm="1">
        <f t="array" ref="AM1039">IFERROR(INDEX(sheath_wcap_asd,MATCH(AP1039,sheath_mark,0),0)*AK1039,0)</f>
        <v>0</v>
      </c>
      <c r="AN1039" cm="1">
        <f t="array" ref="AN1039">IFERROR(INDEX(hd_cap,MATCH(AQ1039,hd_mark,0),0),0)</f>
        <v>0</v>
      </c>
      <c r="AP1039" s="19"/>
      <c r="AQ1039" s="19"/>
      <c r="AR1039" s="100"/>
      <c r="AS1039" s="93"/>
      <c r="BU1039" s="100"/>
    </row>
    <row r="1040" x14ac:dyDescent="0.25">
      <c r="B1040" s="1" t="s">
        <v>569</v>
      </c>
      <c r="C1040">
        <f>E16+H16*12</f>
        <v>32.4375</v>
      </c>
      <c r="E1040" s="19">
        <v>24</v>
      </c>
      <c r="F1040" s="19">
        <f>32+5.625/12</f>
        <v>32.46875</v>
      </c>
      <c r="G1040" s="19">
        <f>33+10.5/12</f>
        <v>33.875</v>
      </c>
      <c r="H1040">
        <f>(G16-F16)/2</f>
        <v>0.703125</v>
      </c>
      <c r="P1040" s="93"/>
      <c r="Q1040" t="s">
        <v>524</v>
      </c>
      <c r="R1040" s="2" t="str">
        <f>$B$50</f>
        <v>A</v>
      </c>
      <c r="AR1040" s="100"/>
      <c r="AS1040" s="93"/>
      <c r="AT1040" t="s">
        <v>524</v>
      </c>
      <c r="AU1040" s="2">
        <f>H50</f>
        <v>1</v>
      </c>
      <c r="BU1040" s="100"/>
    </row>
    <row r="1041" x14ac:dyDescent="0.25">
      <c r="B1041" s="1" t="s">
        <v>500</v>
      </c>
      <c r="C1041" s="19">
        <v>0.5</v>
      </c>
      <c r="P1041" s="93"/>
      <c r="AR1041" s="100"/>
      <c r="AS1041" s="93"/>
      <c r="BU1041" s="100"/>
    </row>
    <row r="1042" x14ac:dyDescent="0.25">
      <c r="P1042" s="93"/>
      <c r="R1042" t="s">
        <v>482</v>
      </c>
      <c r="Z1042" t="s">
        <v>483</v>
      </c>
      <c r="AH1042" t="s">
        <v>502</v>
      </c>
      <c r="AJ1042" t="s">
        <v>454</v>
      </c>
      <c r="AR1042" s="100"/>
      <c r="AS1042" s="93"/>
      <c r="AU1042" t="s">
        <v>482</v>
      </c>
      <c r="BC1042" t="s">
        <v>483</v>
      </c>
      <c r="BK1042" t="s">
        <v>502</v>
      </c>
      <c r="BM1042" t="s">
        <v>454</v>
      </c>
      <c r="BU1042" s="100"/>
    </row>
    <row r="1043" x14ac:dyDescent="0.25">
      <c r="B1043" t="s">
        <v>448</v>
      </c>
      <c r="C1043" t="s">
        <v>272</v>
      </c>
      <c r="D1043" t="s">
        <v>193</v>
      </c>
      <c r="E1043" s="70" t="s">
        <v>454</v>
      </c>
      <c r="F1043" s="71" t="s">
        <v>501</v>
      </c>
      <c r="H1043" t="s">
        <v>475</v>
      </c>
      <c r="J1043" t="s">
        <v>476</v>
      </c>
      <c r="P1043" s="93"/>
      <c r="R1043" t="s">
        <v>480</v>
      </c>
      <c r="S1043" t="s">
        <v>481</v>
      </c>
      <c r="T1043" t="s">
        <v>486</v>
      </c>
      <c r="U1043" t="s">
        <v>487</v>
      </c>
      <c r="V1043" t="s">
        <v>484</v>
      </c>
      <c r="W1043" t="s">
        <v>485</v>
      </c>
      <c r="X1043" t="s">
        <v>488</v>
      </c>
      <c r="Y1043" t="s">
        <v>489</v>
      </c>
      <c r="Z1043" t="s">
        <v>480</v>
      </c>
      <c r="AA1043" t="s">
        <v>481</v>
      </c>
      <c r="AB1043" t="s">
        <v>486</v>
      </c>
      <c r="AC1043" t="s">
        <v>487</v>
      </c>
      <c r="AD1043" t="s">
        <v>484</v>
      </c>
      <c r="AE1043" t="s">
        <v>485</v>
      </c>
      <c r="AF1043" t="s">
        <v>488</v>
      </c>
      <c r="AG1043" t="s">
        <v>489</v>
      </c>
      <c r="AH1043" t="s">
        <v>312</v>
      </c>
      <c r="AI1043" t="s">
        <v>258</v>
      </c>
      <c r="AJ1043" t="s">
        <v>486</v>
      </c>
      <c r="AK1043" t="s">
        <v>490</v>
      </c>
      <c r="AL1043" t="s">
        <v>487</v>
      </c>
      <c r="AM1043" t="s">
        <v>490</v>
      </c>
      <c r="AN1043" t="s">
        <v>488</v>
      </c>
      <c r="AO1043" t="s">
        <v>490</v>
      </c>
      <c r="AP1043" t="s">
        <v>489</v>
      </c>
      <c r="AQ1043" t="s">
        <v>490</v>
      </c>
      <c r="AR1043" s="100"/>
      <c r="AS1043" s="93"/>
      <c r="AU1043" t="s">
        <v>480</v>
      </c>
      <c r="AV1043" t="s">
        <v>481</v>
      </c>
      <c r="AW1043" t="s">
        <v>486</v>
      </c>
      <c r="AX1043" t="s">
        <v>487</v>
      </c>
      <c r="AY1043" t="s">
        <v>484</v>
      </c>
      <c r="AZ1043" t="s">
        <v>485</v>
      </c>
      <c r="BA1043" t="s">
        <v>488</v>
      </c>
      <c r="BB1043" t="s">
        <v>489</v>
      </c>
      <c r="BC1043" t="s">
        <v>480</v>
      </c>
      <c r="BD1043" t="s">
        <v>481</v>
      </c>
      <c r="BE1043" t="s">
        <v>486</v>
      </c>
      <c r="BF1043" t="s">
        <v>487</v>
      </c>
      <c r="BG1043" t="s">
        <v>484</v>
      </c>
      <c r="BH1043" t="s">
        <v>485</v>
      </c>
      <c r="BI1043" t="s">
        <v>488</v>
      </c>
      <c r="BJ1043" t="s">
        <v>489</v>
      </c>
      <c r="BK1043" t="s">
        <v>312</v>
      </c>
      <c r="BL1043" t="s">
        <v>258</v>
      </c>
      <c r="BM1043" t="s">
        <v>486</v>
      </c>
      <c r="BN1043" t="s">
        <v>490</v>
      </c>
      <c r="BO1043" t="s">
        <v>487</v>
      </c>
      <c r="BP1043" t="s">
        <v>490</v>
      </c>
      <c r="BQ1043" t="s">
        <v>488</v>
      </c>
      <c r="BR1043" t="s">
        <v>490</v>
      </c>
      <c r="BS1043" t="s">
        <v>489</v>
      </c>
      <c r="BT1043" t="s">
        <v>490</v>
      </c>
      <c r="BU1043" s="100"/>
    </row>
    <row r="1044" x14ac:dyDescent="0.25">
      <c r="B1044" t="s">
        <v>449</v>
      </c>
      <c r="C1044" s="19">
        <v>0</v>
      </c>
      <c r="D1044" s="19">
        <v>0</v>
      </c>
      <c r="E1044" s="66">
        <f>C20+D20/12</f>
        <v>0</v>
      </c>
      <c r="F1044" s="67">
        <v>0</v>
      </c>
      <c r="H1044" s="19">
        <v>0</v>
      </c>
      <c r="I1044" s="64" t="s">
        <v>196</v>
      </c>
      <c r="J1044" s="19">
        <v>0</v>
      </c>
      <c r="K1044" s="19">
        <v>0</v>
      </c>
      <c r="L1044" s="19">
        <v>0</v>
      </c>
      <c r="M1044" s="19">
        <v>0</v>
      </c>
      <c r="P1044" s="93"/>
      <c r="Q1044" t="s">
        <v>449</v>
      </c>
      <c r="R1044" s="19">
        <f>$H$20</f>
        <v>0</v>
      </c>
      <c r="S1044">
        <f>R1044*0.6</f>
        <v>0</v>
      </c>
      <c r="T1044">
        <f>$C$50/2*R1044</f>
        <v>0</v>
      </c>
      <c r="U1044">
        <f>T1044*0.6</f>
        <v>0</v>
      </c>
      <c r="V1044" s="19">
        <v>0</v>
      </c>
      <c r="W1044">
        <f>V1044*0.7</f>
        <v>0</v>
      </c>
      <c r="X1044">
        <f>$C$50/2*V1044</f>
        <v>0</v>
      </c>
      <c r="Y1044">
        <f>X1044*0.7</f>
        <v>0</v>
      </c>
      <c r="Z1044" s="19">
        <f>$H$20</f>
        <v>0</v>
      </c>
      <c r="AA1044">
        <f>Z1044*0.6</f>
        <v>0</v>
      </c>
      <c r="AB1044">
        <f>$D$50/2*Z1044</f>
        <v>0</v>
      </c>
      <c r="AC1044">
        <f t="shared" ref="AC1044:AC1050" si="632">0.6*AB1044</f>
        <v>0</v>
      </c>
      <c r="AD1044" s="19">
        <v>0</v>
      </c>
      <c r="AE1044">
        <f>AD1044*0.7</f>
        <v>0</v>
      </c>
      <c r="AF1044">
        <f>$D$50/2*AD1044</f>
        <v>0</v>
      </c>
      <c r="AG1044">
        <f>AF1044*0.7</f>
        <v>0</v>
      </c>
      <c r="AH1044" s="19">
        <v>0</v>
      </c>
      <c r="AI1044" s="19">
        <v>0</v>
      </c>
      <c r="AJ1044" s="17">
        <f>T1044+AB1044+AH1044</f>
        <v>0</v>
      </c>
      <c r="AK1044" s="17">
        <f>AK1045+AJ1044</f>
        <v>13166</v>
      </c>
      <c r="AL1044" s="17">
        <f>AJ1044*0.6</f>
        <v>0</v>
      </c>
      <c r="AM1044" s="17">
        <f>AM1045+AL1044</f>
        <v>7899.5999999999995</v>
      </c>
      <c r="AN1044" s="17">
        <f>X1044+AF1044+AI1044</f>
        <v>0</v>
      </c>
      <c r="AO1044" s="17">
        <f t="shared" ref="AO1044:AQ1047" si="633">AN1044+AO1045</f>
        <v>1302.0999999999999</v>
      </c>
      <c r="AP1044" s="17">
        <f>AN1044*0.7</f>
        <v>0</v>
      </c>
      <c r="AQ1044" s="17">
        <f>AP1044+AQ1045</f>
        <v>911.46999999999991</v>
      </c>
      <c r="AR1044" s="100"/>
      <c r="AS1044" s="93"/>
      <c r="AT1044" t="s">
        <v>449</v>
      </c>
      <c r="AU1044" s="19">
        <f>$H$20</f>
        <v>0</v>
      </c>
      <c r="AV1044">
        <f>AU1044*0.6</f>
        <v>0</v>
      </c>
      <c r="AW1044">
        <f t="shared" ref="AW1044:AW1050" si="634">$I$50/2*AU1044</f>
        <v>0</v>
      </c>
      <c r="AX1044">
        <f>AW1044*0.6</f>
        <v>0</v>
      </c>
      <c r="AY1044" s="19">
        <v>0</v>
      </c>
      <c r="AZ1044">
        <f>AY1044*0.7</f>
        <v>0</v>
      </c>
      <c r="BA1044">
        <f t="shared" ref="BA1044:BA1049" si="635">$I$50/2*AY1044</f>
        <v>0</v>
      </c>
      <c r="BB1044">
        <f>BA1044*0.7</f>
        <v>0</v>
      </c>
      <c r="BC1044" s="19">
        <f>$H$20</f>
        <v>0</v>
      </c>
      <c r="BD1044">
        <f>BC1044*0.6</f>
        <v>0</v>
      </c>
      <c r="BE1044">
        <f t="shared" ref="BE1044:BE1050" si="636">$J$50/2*BC1044</f>
        <v>0</v>
      </c>
      <c r="BF1044">
        <f t="shared" ref="BF1044:BF1050" si="637">0.6*BE1044</f>
        <v>0</v>
      </c>
      <c r="BG1044" s="19">
        <v>0</v>
      </c>
      <c r="BH1044">
        <f>BG1044*0.7</f>
        <v>0</v>
      </c>
      <c r="BI1044">
        <f t="shared" ref="BI1044:BI1049" si="638">$J$50/2*BG1044</f>
        <v>0</v>
      </c>
      <c r="BJ1044">
        <f>BI1044*0.7</f>
        <v>0</v>
      </c>
      <c r="BK1044" s="19">
        <v>0</v>
      </c>
      <c r="BL1044" s="19">
        <v>0</v>
      </c>
      <c r="BM1044" s="17">
        <f>AW1044+BE1044+BK1044</f>
        <v>0</v>
      </c>
      <c r="BN1044" s="17">
        <f>BN1045+BM1044</f>
        <v>12258</v>
      </c>
      <c r="BO1044" s="17">
        <f>BM1044*0.6</f>
        <v>0</v>
      </c>
      <c r="BP1044" s="17">
        <f>BP1045+BO1044</f>
        <v>7354.7999999999993</v>
      </c>
      <c r="BQ1044" s="17">
        <f>BA1044+BI1044+BL1044</f>
        <v>0</v>
      </c>
      <c r="BR1044" s="17">
        <f t="shared" ref="BR1044:BR1047" si="639">BQ1044+BR1045</f>
        <v>1212.3</v>
      </c>
      <c r="BS1044" s="17">
        <f>BQ1044*0.7</f>
        <v>0</v>
      </c>
      <c r="BT1044" s="17">
        <f>BS1044+BT1045</f>
        <v>848.6099999999999</v>
      </c>
      <c r="BU1044" s="100"/>
    </row>
    <row r="1045" x14ac:dyDescent="0.25">
      <c r="B1045" t="s">
        <v>450</v>
      </c>
      <c r="C1045" s="19">
        <v>10</v>
      </c>
      <c r="D1045" s="19">
        <v>8.25</v>
      </c>
      <c r="E1045" s="66">
        <f>C21+D21/12</f>
        <v>10.6875</v>
      </c>
      <c r="F1045" s="67">
        <f>IF(E21&gt;0,E21-(C15+C14+2*1.5+IF(C13="single",1.5,3))/12-_xlfn.XLOOKUP(E21,E20,E20,,-1),0)</f>
        <v>8.75</v>
      </c>
      <c r="H1045" s="19">
        <v>236</v>
      </c>
      <c r="I1045" s="64" t="s">
        <v>196</v>
      </c>
      <c r="J1045" s="19">
        <v>33.799999999999997</v>
      </c>
      <c r="K1045" s="19">
        <v>65.599999999999994</v>
      </c>
      <c r="L1045" s="19">
        <v>19.3</v>
      </c>
      <c r="M1045" s="19">
        <v>119.6</v>
      </c>
      <c r="P1045" s="93"/>
      <c r="Q1045" t="s">
        <v>450</v>
      </c>
      <c r="R1045" s="19">
        <f>$H$21</f>
        <v>236</v>
      </c>
      <c r="S1045">
        <f t="shared" ref="S1045:S1050" si="640">R1045*0.6</f>
        <v>141.6</v>
      </c>
      <c r="T1045">
        <f t="shared" ref="T1045:T1049" si="641">$C$50/2*R1045</f>
        <v>0</v>
      </c>
      <c r="U1045">
        <f>T1045*0.6</f>
        <v>0</v>
      </c>
      <c r="V1045" s="19">
        <v>33.799999999999997</v>
      </c>
      <c r="W1045">
        <f t="shared" ref="W1045:W1049" si="642">V1045*0.7</f>
        <v>23.659999999999997</v>
      </c>
      <c r="X1045">
        <f t="shared" ref="X1045:X1049" si="643">$C$50/2*V1045</f>
        <v>0</v>
      </c>
      <c r="Y1045">
        <f t="shared" ref="Y1045:Y1049" si="644">X1045*0.7</f>
        <v>0</v>
      </c>
      <c r="Z1045" s="19">
        <f>$H$21</f>
        <v>236</v>
      </c>
      <c r="AA1045">
        <f t="shared" ref="AA1045:AA1049" si="645">Z1045*0.6</f>
        <v>141.6</v>
      </c>
      <c r="AB1045">
        <f t="shared" ref="AB1045:AB1049" si="646">$D$50/2*Z1045</f>
        <v>3422</v>
      </c>
      <c r="AC1045">
        <f t="shared" si="632"/>
        <v>2053.1999999999998</v>
      </c>
      <c r="AD1045" s="19">
        <v>33.799999999999997</v>
      </c>
      <c r="AE1045">
        <f t="shared" ref="AE1045:AE1049" si="647">AD1045*0.7</f>
        <v>23.659999999999997</v>
      </c>
      <c r="AF1045">
        <f t="shared" ref="AF1045:AF1049" si="648">$D$50/2*AD1045</f>
        <v>490.09999999999997</v>
      </c>
      <c r="AG1045">
        <f t="shared" ref="AG1045:AG1049" si="649">AF1045*0.7</f>
        <v>343.06999999999994</v>
      </c>
      <c r="AH1045" s="19">
        <v>0</v>
      </c>
      <c r="AI1045" s="19">
        <v>0</v>
      </c>
      <c r="AJ1045" s="17">
        <f>T1045+AB1045+AH1045</f>
        <v>3422</v>
      </c>
      <c r="AK1045" s="17">
        <f>AK1046+AJ1045</f>
        <v>13166</v>
      </c>
      <c r="AL1045" s="17">
        <f t="shared" ref="AL1045:AL1049" si="650">AJ1045*0.6</f>
        <v>2053.1999999999998</v>
      </c>
      <c r="AM1045" s="17">
        <f t="shared" ref="AM1045:AM1047" si="651">AM1046+AL1045</f>
        <v>7899.5999999999995</v>
      </c>
      <c r="AN1045" s="17">
        <f t="shared" ref="AN1045:AN1048" si="652">X1045+AF1045+AI1045</f>
        <v>490.09999999999997</v>
      </c>
      <c r="AO1045" s="17">
        <f t="shared" si="633"/>
        <v>1302.0999999999999</v>
      </c>
      <c r="AP1045" s="17">
        <f t="shared" ref="AP1045:AP1048" si="653">AN1045*0.7</f>
        <v>343.06999999999994</v>
      </c>
      <c r="AQ1045" s="17">
        <f t="shared" si="633"/>
        <v>911.46999999999991</v>
      </c>
      <c r="AR1045" s="100"/>
      <c r="AS1045" s="93"/>
      <c r="AT1045" t="s">
        <v>450</v>
      </c>
      <c r="AU1045" s="19">
        <f>$H$21</f>
        <v>236</v>
      </c>
      <c r="AV1045">
        <f t="shared" ref="AV1045:AV1050" si="654">AU1045*0.6</f>
        <v>141.6</v>
      </c>
      <c r="AW1045">
        <f t="shared" si="634"/>
        <v>0</v>
      </c>
      <c r="AX1045">
        <f>AW1045*0.6</f>
        <v>0</v>
      </c>
      <c r="AY1045" s="19">
        <v>33.799999999999997</v>
      </c>
      <c r="AZ1045">
        <f t="shared" ref="AZ1045:AZ1049" si="655">AY1045*0.7</f>
        <v>23.659999999999997</v>
      </c>
      <c r="BA1045">
        <f t="shared" si="635"/>
        <v>0</v>
      </c>
      <c r="BB1045">
        <f t="shared" ref="BB1045:BB1049" si="656">BA1045*0.7</f>
        <v>0</v>
      </c>
      <c r="BC1045" s="19">
        <f>$H$21</f>
        <v>236</v>
      </c>
      <c r="BD1045">
        <f t="shared" ref="BD1045:BD1049" si="657">BC1045*0.6</f>
        <v>141.6</v>
      </c>
      <c r="BE1045">
        <f t="shared" si="636"/>
        <v>3186</v>
      </c>
      <c r="BF1045">
        <f t="shared" si="637"/>
        <v>1911.6</v>
      </c>
      <c r="BG1045" s="19">
        <v>33.799999999999997</v>
      </c>
      <c r="BH1045">
        <f t="shared" ref="BH1045:BH1049" si="658">BG1045*0.7</f>
        <v>23.659999999999997</v>
      </c>
      <c r="BI1045">
        <f t="shared" si="638"/>
        <v>456.29999999999995</v>
      </c>
      <c r="BJ1045">
        <f t="shared" ref="BJ1045:BJ1049" si="659">BI1045*0.7</f>
        <v>319.40999999999997</v>
      </c>
      <c r="BK1045" s="19">
        <v>0</v>
      </c>
      <c r="BL1045" s="19">
        <v>0</v>
      </c>
      <c r="BM1045" s="17">
        <f>AW1045+BE1045+BK1045</f>
        <v>3186</v>
      </c>
      <c r="BN1045" s="17">
        <f>BN1046+BM1045</f>
        <v>12258</v>
      </c>
      <c r="BO1045" s="17">
        <f t="shared" ref="BO1045" si="660">BM1045*0.6</f>
        <v>1911.6</v>
      </c>
      <c r="BP1045" s="17">
        <f t="shared" ref="BP1045:BP1047" si="661">BP1046+BO1045</f>
        <v>7354.7999999999993</v>
      </c>
      <c r="BQ1045" s="17">
        <f t="shared" ref="BQ1045:BQ1048" si="662">BA1045+BI1045+BL1045</f>
        <v>456.29999999999995</v>
      </c>
      <c r="BR1045" s="17">
        <f t="shared" si="639"/>
        <v>1212.3</v>
      </c>
      <c r="BS1045" s="17">
        <f t="shared" ref="BS1045:BS1048" si="663">BQ1045*0.7</f>
        <v>319.40999999999997</v>
      </c>
      <c r="BT1045" s="17">
        <f t="shared" ref="BT1045:BT1047" si="664">BS1045+BT1046</f>
        <v>848.6099999999999</v>
      </c>
      <c r="BU1045" s="100"/>
    </row>
    <row r="1046" x14ac:dyDescent="0.25">
      <c r="B1046" t="s">
        <v>451</v>
      </c>
      <c r="C1046" s="19">
        <v>21</v>
      </c>
      <c r="D1046" s="19">
        <v>4.5</v>
      </c>
      <c r="E1046" s="66">
        <f t="shared" ref="E22:E25" si="665">C22+D22/12</f>
        <v>21.375</v>
      </c>
      <c r="F1046" s="67">
        <f>IF(E22&gt;0,E22-(C15+C14+2*1.5+IF(C13="single",1.5,3))/12-_xlfn.XLOOKUP(E22,E20:E21,E20:E21,,-1),0)</f>
        <v>8.75</v>
      </c>
      <c r="H1046" s="19">
        <v>229</v>
      </c>
      <c r="I1046" s="64" t="s">
        <v>196</v>
      </c>
      <c r="J1046" s="19">
        <v>37.1</v>
      </c>
      <c r="K1046" s="19">
        <v>71.8</v>
      </c>
      <c r="L1046" s="19">
        <v>21.1</v>
      </c>
      <c r="M1046" s="19">
        <v>131.1</v>
      </c>
      <c r="P1046" s="93"/>
      <c r="Q1046" t="s">
        <v>451</v>
      </c>
      <c r="R1046" s="19">
        <f>$H$22</f>
        <v>229</v>
      </c>
      <c r="S1046">
        <f t="shared" si="640"/>
        <v>137.4</v>
      </c>
      <c r="T1046">
        <f t="shared" si="641"/>
        <v>0</v>
      </c>
      <c r="U1046">
        <f t="shared" ref="U1046:U1050" si="666">T1046*0.6</f>
        <v>0</v>
      </c>
      <c r="V1046" s="19">
        <v>37.1</v>
      </c>
      <c r="W1046">
        <f t="shared" si="642"/>
        <v>25.97</v>
      </c>
      <c r="X1046">
        <f>$C$50/2*V1046</f>
        <v>0</v>
      </c>
      <c r="Y1046">
        <f t="shared" si="644"/>
        <v>0</v>
      </c>
      <c r="Z1046" s="19">
        <f>$H$22</f>
        <v>229</v>
      </c>
      <c r="AA1046">
        <f t="shared" si="645"/>
        <v>137.4</v>
      </c>
      <c r="AB1046">
        <f t="shared" si="646"/>
        <v>3320.5</v>
      </c>
      <c r="AC1046">
        <f t="shared" si="632"/>
        <v>1992.3</v>
      </c>
      <c r="AD1046" s="19">
        <v>37.1</v>
      </c>
      <c r="AE1046">
        <f t="shared" si="647"/>
        <v>25.97</v>
      </c>
      <c r="AF1046">
        <f t="shared" si="648"/>
        <v>537.95000000000005</v>
      </c>
      <c r="AG1046">
        <f t="shared" si="649"/>
        <v>376.565</v>
      </c>
      <c r="AH1046" s="19">
        <v>0</v>
      </c>
      <c r="AI1046" s="19">
        <v>0</v>
      </c>
      <c r="AJ1046" s="17">
        <f t="shared" ref="AJ1046:AJ1048" si="667">T1046+AB1046+AH1046</f>
        <v>3320.5</v>
      </c>
      <c r="AK1046" s="17">
        <f>AK1047+AJ1046</f>
        <v>9744</v>
      </c>
      <c r="AL1046" s="17">
        <f>AJ1046*0.6</f>
        <v>1992.3</v>
      </c>
      <c r="AM1046" s="17">
        <f t="shared" si="651"/>
        <v>5846.4</v>
      </c>
      <c r="AN1046" s="17">
        <f t="shared" si="652"/>
        <v>537.95000000000005</v>
      </c>
      <c r="AO1046" s="17">
        <f t="shared" si="633"/>
        <v>812</v>
      </c>
      <c r="AP1046" s="17">
        <f t="shared" si="653"/>
        <v>376.565</v>
      </c>
      <c r="AQ1046" s="17">
        <f t="shared" si="633"/>
        <v>568.4</v>
      </c>
      <c r="AR1046" s="100"/>
      <c r="AS1046" s="93"/>
      <c r="AT1046" t="s">
        <v>451</v>
      </c>
      <c r="AU1046" s="19">
        <f>$H$22</f>
        <v>229</v>
      </c>
      <c r="AV1046">
        <f t="shared" si="654"/>
        <v>137.4</v>
      </c>
      <c r="AW1046">
        <f t="shared" si="634"/>
        <v>0</v>
      </c>
      <c r="AX1046">
        <f t="shared" ref="AX1046:AX1050" si="668">AW1046*0.6</f>
        <v>0</v>
      </c>
      <c r="AY1046" s="19">
        <v>37.1</v>
      </c>
      <c r="AZ1046">
        <f t="shared" si="655"/>
        <v>25.97</v>
      </c>
      <c r="BA1046">
        <f t="shared" si="635"/>
        <v>0</v>
      </c>
      <c r="BB1046">
        <f t="shared" si="656"/>
        <v>0</v>
      </c>
      <c r="BC1046" s="19">
        <f>$H$22</f>
        <v>229</v>
      </c>
      <c r="BD1046">
        <f t="shared" si="657"/>
        <v>137.4</v>
      </c>
      <c r="BE1046">
        <f t="shared" si="636"/>
        <v>3091.5</v>
      </c>
      <c r="BF1046">
        <f t="shared" si="637"/>
        <v>1854.8999999999999</v>
      </c>
      <c r="BG1046" s="19">
        <v>37.1</v>
      </c>
      <c r="BH1046">
        <f t="shared" si="658"/>
        <v>25.97</v>
      </c>
      <c r="BI1046">
        <f t="shared" si="638"/>
        <v>500.85</v>
      </c>
      <c r="BJ1046">
        <f t="shared" si="659"/>
        <v>350.59499999999997</v>
      </c>
      <c r="BK1046" s="19">
        <v>0</v>
      </c>
      <c r="BL1046" s="19">
        <v>0</v>
      </c>
      <c r="BM1046" s="17">
        <f t="shared" ref="BM1046:BM1048" si="669">AW1046+BE1046+BK1046</f>
        <v>3091.5</v>
      </c>
      <c r="BN1046" s="17">
        <f>BN1047+BM1046</f>
        <v>9072</v>
      </c>
      <c r="BO1046" s="17">
        <f>BM1046*0.6</f>
        <v>1854.8999999999999</v>
      </c>
      <c r="BP1046" s="17">
        <f t="shared" si="661"/>
        <v>5443.2</v>
      </c>
      <c r="BQ1046" s="17">
        <f t="shared" si="662"/>
        <v>500.85</v>
      </c>
      <c r="BR1046" s="17">
        <f t="shared" si="639"/>
        <v>756</v>
      </c>
      <c r="BS1046" s="17">
        <f t="shared" si="663"/>
        <v>350.59499999999997</v>
      </c>
      <c r="BT1046" s="17">
        <f t="shared" si="664"/>
        <v>529.19999999999993</v>
      </c>
      <c r="BU1046" s="100"/>
    </row>
    <row r="1047" x14ac:dyDescent="0.25">
      <c r="B1047" t="s">
        <v>452</v>
      </c>
      <c r="C1047" s="19">
        <v>0</v>
      </c>
      <c r="D1047" s="19">
        <v>0</v>
      </c>
      <c r="E1047" s="66">
        <f t="shared" si="665"/>
        <v>0</v>
      </c>
      <c r="F1047" s="67">
        <f>IF(E23&gt;0,E23-(C15+C14+2*1.5+IF(C13="single",1.5,3))/12-_xlfn.XLOOKUP(E23,E20:E22,E20:E22,,-1),0)</f>
        <v>0</v>
      </c>
      <c r="H1047" s="19">
        <v>0</v>
      </c>
      <c r="I1047" s="64" t="s">
        <v>196</v>
      </c>
      <c r="J1047" s="19">
        <v>0</v>
      </c>
      <c r="K1047" s="19">
        <v>0</v>
      </c>
      <c r="L1047" s="19">
        <v>0</v>
      </c>
      <c r="M1047" s="19">
        <v>0</v>
      </c>
      <c r="P1047" s="93"/>
      <c r="Q1047" t="s">
        <v>452</v>
      </c>
      <c r="R1047" s="19">
        <f>$H$23</f>
        <v>0</v>
      </c>
      <c r="S1047">
        <f t="shared" si="640"/>
        <v>0</v>
      </c>
      <c r="T1047">
        <f t="shared" si="641"/>
        <v>0</v>
      </c>
      <c r="U1047">
        <f t="shared" si="666"/>
        <v>0</v>
      </c>
      <c r="V1047" s="19">
        <v>0</v>
      </c>
      <c r="W1047">
        <f t="shared" si="642"/>
        <v>0</v>
      </c>
      <c r="X1047">
        <f t="shared" si="643"/>
        <v>0</v>
      </c>
      <c r="Y1047">
        <f t="shared" si="644"/>
        <v>0</v>
      </c>
      <c r="Z1047" s="19">
        <f>$H$23</f>
        <v>0</v>
      </c>
      <c r="AA1047">
        <f t="shared" si="645"/>
        <v>0</v>
      </c>
      <c r="AB1047">
        <f t="shared" si="646"/>
        <v>0</v>
      </c>
      <c r="AC1047">
        <f t="shared" si="632"/>
        <v>0</v>
      </c>
      <c r="AD1047" s="19">
        <v>0</v>
      </c>
      <c r="AE1047">
        <f t="shared" si="647"/>
        <v>0</v>
      </c>
      <c r="AF1047">
        <f t="shared" si="648"/>
        <v>0</v>
      </c>
      <c r="AG1047">
        <f t="shared" si="649"/>
        <v>0</v>
      </c>
      <c r="AH1047" s="19">
        <v>0</v>
      </c>
      <c r="AI1047" s="19">
        <v>0</v>
      </c>
      <c r="AJ1047" s="17">
        <f t="shared" si="667"/>
        <v>0</v>
      </c>
      <c r="AK1047" s="17">
        <f>AK1048+AJ1047</f>
        <v>6423.5</v>
      </c>
      <c r="AL1047" s="17">
        <f>AJ1047*0.6</f>
        <v>0</v>
      </c>
      <c r="AM1047" s="17">
        <f t="shared" si="651"/>
        <v>3854.1</v>
      </c>
      <c r="AN1047" s="17">
        <f t="shared" si="652"/>
        <v>0</v>
      </c>
      <c r="AO1047" s="17">
        <f t="shared" si="633"/>
        <v>274.04999999999995</v>
      </c>
      <c r="AP1047" s="17">
        <f t="shared" si="653"/>
        <v>0</v>
      </c>
      <c r="AQ1047" s="17">
        <f t="shared" si="633"/>
        <v>191.83499999999995</v>
      </c>
      <c r="AR1047" s="100"/>
      <c r="AS1047" s="93"/>
      <c r="AT1047" t="s">
        <v>452</v>
      </c>
      <c r="AU1047" s="19">
        <f>$H$23</f>
        <v>0</v>
      </c>
      <c r="AV1047">
        <f t="shared" si="654"/>
        <v>0</v>
      </c>
      <c r="AW1047">
        <f t="shared" si="634"/>
        <v>0</v>
      </c>
      <c r="AX1047">
        <f t="shared" si="668"/>
        <v>0</v>
      </c>
      <c r="AY1047" s="19">
        <v>0</v>
      </c>
      <c r="AZ1047">
        <f t="shared" si="655"/>
        <v>0</v>
      </c>
      <c r="BA1047">
        <f t="shared" si="635"/>
        <v>0</v>
      </c>
      <c r="BB1047">
        <f t="shared" si="656"/>
        <v>0</v>
      </c>
      <c r="BC1047" s="19">
        <f>$H$23</f>
        <v>0</v>
      </c>
      <c r="BD1047">
        <f t="shared" si="657"/>
        <v>0</v>
      </c>
      <c r="BE1047">
        <f t="shared" si="636"/>
        <v>0</v>
      </c>
      <c r="BF1047">
        <f t="shared" si="637"/>
        <v>0</v>
      </c>
      <c r="BG1047" s="19">
        <v>0</v>
      </c>
      <c r="BH1047">
        <f t="shared" si="658"/>
        <v>0</v>
      </c>
      <c r="BI1047">
        <f t="shared" si="638"/>
        <v>0</v>
      </c>
      <c r="BJ1047">
        <f t="shared" si="659"/>
        <v>0</v>
      </c>
      <c r="BK1047" s="19">
        <v>0</v>
      </c>
      <c r="BL1047" s="19">
        <v>0</v>
      </c>
      <c r="BM1047" s="17">
        <f t="shared" si="669"/>
        <v>0</v>
      </c>
      <c r="BN1047" s="17">
        <f>BN1048+BM1047</f>
        <v>5980.5</v>
      </c>
      <c r="BO1047" s="17">
        <f>BM1047*0.6</f>
        <v>0</v>
      </c>
      <c r="BP1047" s="17">
        <f t="shared" si="661"/>
        <v>3588.2999999999997</v>
      </c>
      <c r="BQ1047" s="17">
        <f t="shared" si="662"/>
        <v>0</v>
      </c>
      <c r="BR1047" s="17">
        <f t="shared" si="639"/>
        <v>255.14999999999998</v>
      </c>
      <c r="BS1047" s="17">
        <f t="shared" si="663"/>
        <v>0</v>
      </c>
      <c r="BT1047" s="17">
        <f t="shared" si="664"/>
        <v>178.60499999999996</v>
      </c>
      <c r="BU1047" s="100"/>
    </row>
    <row r="1048" x14ac:dyDescent="0.25">
      <c r="B1048" t="s">
        <v>453</v>
      </c>
      <c r="C1048" s="19">
        <v>0</v>
      </c>
      <c r="D1048" s="19">
        <v>0</v>
      </c>
      <c r="E1048" s="66">
        <f t="shared" si="665"/>
        <v>0</v>
      </c>
      <c r="F1048" s="67">
        <f>IF(E24&gt;0,E24-(C15+C14+2*1.5+IF(C13="single",1.5,3))/12-_xlfn.XLOOKUP(E24,E20:E23,E20:E23,,-1),0)</f>
        <v>0</v>
      </c>
      <c r="H1048" s="19">
        <v>0</v>
      </c>
      <c r="I1048" s="64" t="s">
        <v>196</v>
      </c>
      <c r="J1048" s="19">
        <v>0</v>
      </c>
      <c r="K1048" s="19">
        <v>0</v>
      </c>
      <c r="L1048" s="19">
        <v>0</v>
      </c>
      <c r="M1048" s="19">
        <v>0</v>
      </c>
      <c r="P1048" s="93"/>
      <c r="Q1048" t="s">
        <v>453</v>
      </c>
      <c r="R1048" s="19">
        <f>$H$24</f>
        <v>0</v>
      </c>
      <c r="S1048">
        <f t="shared" si="640"/>
        <v>0</v>
      </c>
      <c r="T1048">
        <f t="shared" si="641"/>
        <v>0</v>
      </c>
      <c r="U1048">
        <f t="shared" si="666"/>
        <v>0</v>
      </c>
      <c r="V1048" s="19">
        <v>0</v>
      </c>
      <c r="W1048">
        <f t="shared" si="642"/>
        <v>0</v>
      </c>
      <c r="X1048">
        <f t="shared" si="643"/>
        <v>0</v>
      </c>
      <c r="Y1048">
        <f t="shared" si="644"/>
        <v>0</v>
      </c>
      <c r="Z1048" s="19">
        <f>$H$24</f>
        <v>0</v>
      </c>
      <c r="AA1048">
        <f t="shared" si="645"/>
        <v>0</v>
      </c>
      <c r="AB1048">
        <f t="shared" si="646"/>
        <v>0</v>
      </c>
      <c r="AC1048">
        <f t="shared" si="632"/>
        <v>0</v>
      </c>
      <c r="AD1048" s="19">
        <v>0</v>
      </c>
      <c r="AE1048">
        <f t="shared" si="647"/>
        <v>0</v>
      </c>
      <c r="AF1048">
        <f t="shared" si="648"/>
        <v>0</v>
      </c>
      <c r="AG1048">
        <f t="shared" si="649"/>
        <v>0</v>
      </c>
      <c r="AH1048" s="19">
        <v>0</v>
      </c>
      <c r="AI1048" s="19">
        <v>0</v>
      </c>
      <c r="AJ1048" s="17">
        <f t="shared" si="667"/>
        <v>0</v>
      </c>
      <c r="AK1048" s="17">
        <f>AK1049+IF(AJ1048=0,0,AJ1048)</f>
        <v>6423.5</v>
      </c>
      <c r="AL1048" s="17">
        <f t="shared" si="650"/>
        <v>0</v>
      </c>
      <c r="AM1048" s="17">
        <f>AM1049+AL1048</f>
        <v>3854.1</v>
      </c>
      <c r="AN1048" s="17">
        <f t="shared" si="652"/>
        <v>0</v>
      </c>
      <c r="AO1048" s="17">
        <f>AN1048+AO1049</f>
        <v>274.04999999999995</v>
      </c>
      <c r="AP1048" s="17">
        <f t="shared" si="653"/>
        <v>0</v>
      </c>
      <c r="AQ1048" s="17">
        <f>AP1048+AQ1049</f>
        <v>191.83499999999995</v>
      </c>
      <c r="AR1048" s="100"/>
      <c r="AS1048" s="93"/>
      <c r="AT1048" t="s">
        <v>453</v>
      </c>
      <c r="AU1048" s="19">
        <f>$H$24</f>
        <v>0</v>
      </c>
      <c r="AV1048">
        <f t="shared" si="654"/>
        <v>0</v>
      </c>
      <c r="AW1048">
        <f t="shared" si="634"/>
        <v>0</v>
      </c>
      <c r="AX1048">
        <f t="shared" si="668"/>
        <v>0</v>
      </c>
      <c r="AY1048" s="19">
        <v>0</v>
      </c>
      <c r="AZ1048">
        <f t="shared" si="655"/>
        <v>0</v>
      </c>
      <c r="BA1048">
        <f t="shared" si="635"/>
        <v>0</v>
      </c>
      <c r="BB1048">
        <f t="shared" si="656"/>
        <v>0</v>
      </c>
      <c r="BC1048" s="19">
        <f>$H$24</f>
        <v>0</v>
      </c>
      <c r="BD1048">
        <f t="shared" si="657"/>
        <v>0</v>
      </c>
      <c r="BE1048">
        <f t="shared" si="636"/>
        <v>0</v>
      </c>
      <c r="BF1048">
        <f t="shared" si="637"/>
        <v>0</v>
      </c>
      <c r="BG1048" s="19">
        <v>0</v>
      </c>
      <c r="BH1048">
        <f t="shared" si="658"/>
        <v>0</v>
      </c>
      <c r="BI1048">
        <f t="shared" si="638"/>
        <v>0</v>
      </c>
      <c r="BJ1048">
        <f t="shared" si="659"/>
        <v>0</v>
      </c>
      <c r="BK1048" s="19">
        <v>0</v>
      </c>
      <c r="BL1048" s="19">
        <v>0</v>
      </c>
      <c r="BM1048" s="17">
        <f t="shared" si="669"/>
        <v>0</v>
      </c>
      <c r="BN1048" s="17">
        <f>BN1049+IF(BM1048=0,0,BM1048)</f>
        <v>5980.5</v>
      </c>
      <c r="BO1048" s="17">
        <f t="shared" ref="BO1048:BO1049" si="670">BM1048*0.6</f>
        <v>0</v>
      </c>
      <c r="BP1048" s="17">
        <f>BP1049+BO1048</f>
        <v>3588.2999999999997</v>
      </c>
      <c r="BQ1048" s="17">
        <f t="shared" si="662"/>
        <v>0</v>
      </c>
      <c r="BR1048" s="17">
        <f>BQ1048+BR1049</f>
        <v>255.14999999999998</v>
      </c>
      <c r="BS1048" s="17">
        <f t="shared" si="663"/>
        <v>0</v>
      </c>
      <c r="BT1048" s="17">
        <f>BS1048+BT1049</f>
        <v>178.60499999999996</v>
      </c>
      <c r="BU1048" s="100"/>
    </row>
    <row r="1049" x14ac:dyDescent="0.25">
      <c r="B1049" t="s">
        <v>275</v>
      </c>
      <c r="C1049" s="19">
        <f>(33+32)/2</f>
        <v>32.5</v>
      </c>
      <c r="D1049" s="19">
        <f>(10.5+5.625)/2</f>
        <v>8.0625</v>
      </c>
      <c r="E1049" s="68">
        <f t="shared" si="665"/>
        <v>33.171875</v>
      </c>
      <c r="F1049" s="69">
        <f>E25-(C17+C16+2*1.5+IF(C13="single",1.5,3))/12-_xlfn.XLOOKUP(E25,E20:E24,E20:E24,,-1)</f>
        <v>8.6770833333333321</v>
      </c>
      <c r="H1049" s="19">
        <v>443</v>
      </c>
      <c r="I1049" s="64" t="s">
        <v>196</v>
      </c>
      <c r="J1049" s="19">
        <v>18.899999999999999</v>
      </c>
      <c r="K1049" s="19">
        <v>36.6</v>
      </c>
      <c r="L1049" s="19">
        <v>10.8</v>
      </c>
      <c r="M1049" s="19">
        <v>66.7</v>
      </c>
      <c r="P1049" s="93"/>
      <c r="Q1049" t="s">
        <v>275</v>
      </c>
      <c r="R1049" s="19">
        <f>$H$25</f>
        <v>443</v>
      </c>
      <c r="S1049">
        <f t="shared" si="640"/>
        <v>265.8</v>
      </c>
      <c r="T1049">
        <f t="shared" si="641"/>
        <v>0</v>
      </c>
      <c r="U1049">
        <f t="shared" si="666"/>
        <v>0</v>
      </c>
      <c r="V1049" s="19">
        <v>18.899999999999999</v>
      </c>
      <c r="W1049">
        <f t="shared" si="642"/>
        <v>13.229999999999999</v>
      </c>
      <c r="X1049">
        <f t="shared" si="643"/>
        <v>0</v>
      </c>
      <c r="Y1049">
        <f t="shared" si="644"/>
        <v>0</v>
      </c>
      <c r="Z1049" s="19">
        <f>$H$25</f>
        <v>443</v>
      </c>
      <c r="AA1049">
        <f t="shared" si="645"/>
        <v>265.8</v>
      </c>
      <c r="AB1049">
        <f t="shared" si="646"/>
        <v>6423.5</v>
      </c>
      <c r="AC1049">
        <f t="shared" si="632"/>
        <v>3854.1</v>
      </c>
      <c r="AD1049" s="19">
        <v>18.899999999999999</v>
      </c>
      <c r="AE1049">
        <f t="shared" si="647"/>
        <v>13.229999999999999</v>
      </c>
      <c r="AF1049">
        <f t="shared" si="648"/>
        <v>274.04999999999995</v>
      </c>
      <c r="AG1049">
        <f t="shared" si="649"/>
        <v>191.83499999999995</v>
      </c>
      <c r="AH1049" s="19">
        <v>0</v>
      </c>
      <c r="AI1049" s="19">
        <v>0</v>
      </c>
      <c r="AJ1049" s="17">
        <f>T1049+AB1049+AH1049</f>
        <v>6423.5</v>
      </c>
      <c r="AK1049" s="17">
        <f>AJ1049</f>
        <v>6423.5</v>
      </c>
      <c r="AL1049" s="17">
        <f t="shared" si="650"/>
        <v>3854.1</v>
      </c>
      <c r="AM1049" s="17">
        <f>AL1049</f>
        <v>3854.1</v>
      </c>
      <c r="AN1049" s="17">
        <f>X1049+AF1049+AI1049</f>
        <v>274.04999999999995</v>
      </c>
      <c r="AO1049" s="17">
        <f>AN1049</f>
        <v>274.04999999999995</v>
      </c>
      <c r="AP1049" s="17">
        <f>AN1049*0.7</f>
        <v>191.83499999999995</v>
      </c>
      <c r="AQ1049" s="17">
        <f>AP1049</f>
        <v>191.83499999999995</v>
      </c>
      <c r="AR1049" s="100"/>
      <c r="AS1049" s="93"/>
      <c r="AT1049" t="s">
        <v>275</v>
      </c>
      <c r="AU1049" s="19">
        <f>$H$25</f>
        <v>443</v>
      </c>
      <c r="AV1049">
        <f t="shared" si="654"/>
        <v>265.8</v>
      </c>
      <c r="AW1049">
        <f t="shared" si="634"/>
        <v>0</v>
      </c>
      <c r="AX1049">
        <f t="shared" si="668"/>
        <v>0</v>
      </c>
      <c r="AY1049" s="19">
        <v>18.899999999999999</v>
      </c>
      <c r="AZ1049">
        <f t="shared" si="655"/>
        <v>13.229999999999999</v>
      </c>
      <c r="BA1049">
        <f t="shared" si="635"/>
        <v>0</v>
      </c>
      <c r="BB1049">
        <f t="shared" si="656"/>
        <v>0</v>
      </c>
      <c r="BC1049" s="19">
        <f>$H$25</f>
        <v>443</v>
      </c>
      <c r="BD1049">
        <f t="shared" si="657"/>
        <v>265.8</v>
      </c>
      <c r="BE1049">
        <f t="shared" si="636"/>
        <v>5980.5</v>
      </c>
      <c r="BF1049">
        <f t="shared" si="637"/>
        <v>3588.2999999999997</v>
      </c>
      <c r="BG1049" s="19">
        <v>18.899999999999999</v>
      </c>
      <c r="BH1049">
        <f t="shared" si="658"/>
        <v>13.229999999999999</v>
      </c>
      <c r="BI1049">
        <f t="shared" si="638"/>
        <v>255.14999999999998</v>
      </c>
      <c r="BJ1049">
        <f t="shared" si="659"/>
        <v>178.60499999999996</v>
      </c>
      <c r="BK1049" s="19">
        <v>0</v>
      </c>
      <c r="BL1049" s="19">
        <v>0</v>
      </c>
      <c r="BM1049" s="17">
        <f>AW1049+BE1049+BK1049</f>
        <v>5980.5</v>
      </c>
      <c r="BN1049" s="17">
        <f>BM1049</f>
        <v>5980.5</v>
      </c>
      <c r="BO1049" s="17">
        <f t="shared" si="670"/>
        <v>3588.2999999999997</v>
      </c>
      <c r="BP1049" s="17">
        <f>BO1049</f>
        <v>3588.2999999999997</v>
      </c>
      <c r="BQ1049" s="17">
        <f>BA1049+BI1049+BL1049</f>
        <v>255.14999999999998</v>
      </c>
      <c r="BR1049" s="17">
        <f>BQ1049</f>
        <v>255.14999999999998</v>
      </c>
      <c r="BS1049" s="17">
        <f>BQ1049*0.7</f>
        <v>178.60499999999996</v>
      </c>
      <c r="BT1049" s="17">
        <f>BS1049</f>
        <v>178.60499999999996</v>
      </c>
      <c r="BU1049" s="100"/>
    </row>
    <row r="1050" x14ac:dyDescent="0.25">
      <c r="B1050" t="s">
        <v>530</v>
      </c>
      <c r="E1050" s="73"/>
      <c r="F1050" s="73"/>
      <c r="H1050" s="19">
        <v>-22.9</v>
      </c>
      <c r="I1050" s="64" t="s">
        <v>270</v>
      </c>
      <c r="P1050" s="93"/>
      <c r="R1050" s="19">
        <f>$H$26</f>
        <v>-22.9</v>
      </c>
      <c r="S1050">
        <f t="shared" si="640"/>
        <v>-13.739999999999998</v>
      </c>
      <c r="T1050">
        <f>$I$50/2*R1050</f>
        <v>0</v>
      </c>
      <c r="U1050">
        <f t="shared" si="666"/>
        <v>0</v>
      </c>
      <c r="Z1050" s="19">
        <f>$H$26</f>
        <v>-22.9</v>
      </c>
      <c r="AA1050">
        <f>Z1050*0.6</f>
        <v>-13.739999999999998</v>
      </c>
      <c r="AB1050">
        <f>$J$50/2*Z1050</f>
        <v>-309.14999999999998</v>
      </c>
      <c r="AC1050">
        <f t="shared" si="632"/>
        <v>-185.48999999999998</v>
      </c>
      <c r="AR1050" s="100"/>
      <c r="AS1050" s="93"/>
      <c r="AU1050" s="19">
        <f>$H$26</f>
        <v>-22.9</v>
      </c>
      <c r="AV1050">
        <f t="shared" si="654"/>
        <v>-13.739999999999998</v>
      </c>
      <c r="AW1050">
        <f t="shared" si="634"/>
        <v>0</v>
      </c>
      <c r="AX1050">
        <f t="shared" si="668"/>
        <v>0</v>
      </c>
      <c r="BC1050" s="19">
        <f>$H$26</f>
        <v>-22.9</v>
      </c>
      <c r="BD1050">
        <f>BC1050*0.6</f>
        <v>-13.739999999999998</v>
      </c>
      <c r="BE1050">
        <f t="shared" si="636"/>
        <v>-309.14999999999998</v>
      </c>
      <c r="BF1050">
        <f t="shared" si="637"/>
        <v>-185.48999999999998</v>
      </c>
      <c r="BU1050" s="100"/>
    </row>
    <row r="1051" x14ac:dyDescent="0.25">
      <c r="B1051" t="s">
        <v>531</v>
      </c>
      <c r="C1051" s="1" t="s">
        <v>533</v>
      </c>
      <c r="D1051" s="19">
        <v>0.18</v>
      </c>
      <c r="E1051" s="73"/>
      <c r="F1051" s="73"/>
      <c r="H1051">
        <f>0.2*D27</f>
        <v>3.5999999999999997E-2</v>
      </c>
      <c r="I1051" s="64" t="s">
        <v>534</v>
      </c>
      <c r="P1051" s="93"/>
      <c r="Q1051" s="1"/>
      <c r="AR1051" s="100"/>
      <c r="AS1051" s="93"/>
      <c r="AT1051" s="1"/>
      <c r="BU1051" s="100"/>
    </row>
    <row r="1052" x14ac:dyDescent="0.25">
      <c r="P1052" s="93"/>
      <c r="Y1052" s="112" t="s">
        <v>752</v>
      </c>
      <c r="Z1052" s="112"/>
      <c r="AA1052" s="112"/>
      <c r="AB1052" s="112"/>
      <c r="AC1052" s="112"/>
      <c r="AR1052" s="100"/>
      <c r="AS1052" s="93"/>
      <c r="BB1052" s="112" t="s">
        <v>752</v>
      </c>
      <c r="BC1052" s="112"/>
      <c r="BD1052" s="112"/>
      <c r="BE1052" s="112"/>
      <c r="BF1052" s="112"/>
      <c r="BU1052" s="100"/>
    </row>
    <row r="1053" x14ac:dyDescent="0.25">
      <c r="B1053" t="s">
        <v>513</v>
      </c>
      <c r="P1053" s="93"/>
      <c r="Q1053" t="s">
        <v>479</v>
      </c>
      <c r="R1053" t="s">
        <v>491</v>
      </c>
      <c r="S1053" t="s">
        <v>508</v>
      </c>
      <c r="T1053" t="s">
        <v>507</v>
      </c>
      <c r="U1053" t="s">
        <v>535</v>
      </c>
      <c r="V1053" t="s">
        <v>536</v>
      </c>
      <c r="W1053" t="s">
        <v>479</v>
      </c>
      <c r="X1053" t="s">
        <v>537</v>
      </c>
      <c r="Y1053" t="s">
        <v>450</v>
      </c>
      <c r="Z1053" t="s">
        <v>451</v>
      </c>
      <c r="AA1053" t="s">
        <v>452</v>
      </c>
      <c r="AB1053" t="s">
        <v>453</v>
      </c>
      <c r="AC1053" t="s">
        <v>753</v>
      </c>
      <c r="AD1053" t="s">
        <v>519</v>
      </c>
      <c r="AR1053" s="100"/>
      <c r="AS1053" s="93"/>
      <c r="AT1053" t="s">
        <v>479</v>
      </c>
      <c r="AU1053" t="s">
        <v>491</v>
      </c>
      <c r="AV1053" t="s">
        <v>508</v>
      </c>
      <c r="AW1053" t="s">
        <v>507</v>
      </c>
      <c r="AX1053" t="s">
        <v>535</v>
      </c>
      <c r="AY1053" t="s">
        <v>536</v>
      </c>
      <c r="AZ1053" t="s">
        <v>479</v>
      </c>
      <c r="BA1053" t="s">
        <v>537</v>
      </c>
      <c r="BB1053" t="s">
        <v>450</v>
      </c>
      <c r="BC1053" t="s">
        <v>451</v>
      </c>
      <c r="BD1053" t="s">
        <v>452</v>
      </c>
      <c r="BE1053" t="s">
        <v>453</v>
      </c>
      <c r="BF1053" t="s">
        <v>753</v>
      </c>
      <c r="BG1053" t="s">
        <v>519</v>
      </c>
      <c r="BU1053" s="100"/>
    </row>
    <row r="1054" x14ac:dyDescent="0.25">
      <c r="B1054" s="1" t="s">
        <v>275</v>
      </c>
      <c r="C1054" s="19">
        <v>20</v>
      </c>
      <c r="D1054" t="s">
        <v>567</v>
      </c>
      <c r="P1054" s="93"/>
      <c r="Q1054" s="109" t="str">
        <f>R1040&amp;".01"</f>
        <v>A.01</v>
      </c>
      <c r="R1054" s="19">
        <v>29</v>
      </c>
      <c r="S1054" s="19">
        <v>12</v>
      </c>
      <c r="T1054">
        <f>S1054/2</f>
        <v>6</v>
      </c>
      <c r="U1054" s="19">
        <v>4</v>
      </c>
      <c r="V1054">
        <f>U1054/2</f>
        <v>2</v>
      </c>
      <c r="W1054" s="19" t="s">
        <v>515</v>
      </c>
      <c r="X1054" s="19">
        <v>6</v>
      </c>
      <c r="Y1054" s="19"/>
      <c r="Z1054" s="19"/>
      <c r="AA1054" s="19"/>
      <c r="AB1054" s="19"/>
      <c r="AC1054" s="19"/>
      <c r="AD1054" s="108">
        <f>R1054/R1070</f>
        <v>1</v>
      </c>
      <c r="AR1054" s="100"/>
      <c r="AS1054" s="93"/>
      <c r="AT1054" s="109" t="str">
        <f>AU$1040&amp;".01"</f>
        <v>1.01</v>
      </c>
      <c r="AU1054" s="19">
        <v>29</v>
      </c>
      <c r="AV1054" s="19">
        <v>12</v>
      </c>
      <c r="AW1054">
        <f>AV1054/2</f>
        <v>6</v>
      </c>
      <c r="AX1054" s="19">
        <v>4</v>
      </c>
      <c r="AY1054">
        <f>AX1054/2</f>
        <v>2</v>
      </c>
      <c r="AZ1054" s="19" t="s">
        <v>515</v>
      </c>
      <c r="BA1054" s="19">
        <v>6</v>
      </c>
      <c r="BB1054" s="19"/>
      <c r="BC1054" s="19"/>
      <c r="BD1054" s="19"/>
      <c r="BE1054" s="19"/>
      <c r="BF1054" s="19"/>
      <c r="BG1054" s="108">
        <f>AU1054/AU1070</f>
        <v>1</v>
      </c>
      <c r="BU1054" s="100"/>
    </row>
    <row r="1055" x14ac:dyDescent="0.25">
      <c r="B1055" s="1"/>
      <c r="C1055">
        <f>0.9*C30</f>
        <v>18</v>
      </c>
      <c r="D1055" t="s">
        <v>532</v>
      </c>
      <c r="P1055" s="93"/>
      <c r="Q1055" s="109" t="str">
        <f>R1040&amp;".02"</f>
        <v>A.02</v>
      </c>
      <c r="R1055" s="19"/>
      <c r="S1055" s="19"/>
      <c r="T1055">
        <f t="shared" ref="T1055:T1069" si="671">S1055/2</f>
        <v>0</v>
      </c>
      <c r="U1055" s="19"/>
      <c r="V1055">
        <f t="shared" ref="V1055:V1069" si="672">U1055/2</f>
        <v>0</v>
      </c>
      <c r="W1055" s="19"/>
      <c r="X1055" s="19"/>
      <c r="Y1055" s="19"/>
      <c r="Z1055" s="19"/>
      <c r="AA1055" s="19"/>
      <c r="AB1055" s="19"/>
      <c r="AC1055" s="19"/>
      <c r="AR1055" s="100"/>
      <c r="AS1055" s="93"/>
      <c r="AT1055" s="109" t="str">
        <f>AU$1040&amp;".02"</f>
        <v>1.02</v>
      </c>
      <c r="AU1055" s="19"/>
      <c r="AV1055" s="19"/>
      <c r="AW1055">
        <f t="shared" ref="AW1055:AW1069" si="673">AV1055/2</f>
        <v>0</v>
      </c>
      <c r="AX1055" s="19"/>
      <c r="AY1055">
        <f t="shared" ref="AY1055:AY1069" si="674">AX1055/2</f>
        <v>0</v>
      </c>
      <c r="AZ1055" s="19"/>
      <c r="BA1055" s="19"/>
      <c r="BB1055" s="19"/>
      <c r="BC1055" s="19"/>
      <c r="BD1055" s="19"/>
      <c r="BE1055" s="19"/>
      <c r="BF1055" s="19"/>
      <c r="BU1055" s="100"/>
    </row>
    <row r="1056" x14ac:dyDescent="0.25">
      <c r="B1056" s="1" t="s">
        <v>514</v>
      </c>
      <c r="C1056" s="19">
        <v>26</v>
      </c>
      <c r="D1056" t="s">
        <v>512</v>
      </c>
      <c r="P1056" s="93"/>
      <c r="Q1056" s="109" t="str">
        <f>R1040&amp;".03"</f>
        <v>A.03</v>
      </c>
      <c r="R1056" s="19"/>
      <c r="S1056" s="19"/>
      <c r="T1056">
        <f t="shared" si="671"/>
        <v>0</v>
      </c>
      <c r="U1056" s="19"/>
      <c r="V1056">
        <f t="shared" si="672"/>
        <v>0</v>
      </c>
      <c r="W1056" s="19"/>
      <c r="X1056" s="19"/>
      <c r="Y1056" s="19"/>
      <c r="Z1056" s="19"/>
      <c r="AA1056" s="19"/>
      <c r="AB1056" s="19"/>
      <c r="AC1056" s="19"/>
      <c r="AR1056" s="100"/>
      <c r="AS1056" s="93"/>
      <c r="AT1056" s="109" t="str">
        <f>AU$1040&amp;".03"</f>
        <v>1.03</v>
      </c>
      <c r="AU1056" s="19"/>
      <c r="AV1056" s="19"/>
      <c r="AW1056">
        <f t="shared" si="673"/>
        <v>0</v>
      </c>
      <c r="AX1056" s="19"/>
      <c r="AY1056">
        <f t="shared" si="674"/>
        <v>0</v>
      </c>
      <c r="AZ1056" s="19"/>
      <c r="BA1056" s="19"/>
      <c r="BB1056" s="19"/>
      <c r="BC1056" s="19"/>
      <c r="BD1056" s="19"/>
      <c r="BE1056" s="19"/>
      <c r="BF1056" s="19"/>
      <c r="BU1056" s="100"/>
    </row>
    <row r="1057" x14ac:dyDescent="0.25">
      <c r="B1057" s="1" t="s">
        <v>477</v>
      </c>
      <c r="C1057" s="19">
        <v>11</v>
      </c>
      <c r="D1057" t="s">
        <v>509</v>
      </c>
      <c r="P1057" s="93"/>
      <c r="Q1057" s="109" t="str">
        <f>R1040&amp;".04"</f>
        <v>A.04</v>
      </c>
      <c r="R1057" s="19"/>
      <c r="S1057" s="19"/>
      <c r="T1057">
        <f t="shared" si="671"/>
        <v>0</v>
      </c>
      <c r="U1057" s="19"/>
      <c r="V1057">
        <f t="shared" si="672"/>
        <v>0</v>
      </c>
      <c r="W1057" s="19"/>
      <c r="X1057" s="19"/>
      <c r="Y1057" s="19"/>
      <c r="Z1057" s="19"/>
      <c r="AA1057" s="19"/>
      <c r="AB1057" s="19"/>
      <c r="AC1057" s="19"/>
      <c r="AR1057" s="100"/>
      <c r="AS1057" s="93"/>
      <c r="AT1057" s="109" t="str">
        <f>AU$1040&amp;".04"</f>
        <v>1.04</v>
      </c>
      <c r="AU1057" s="19"/>
      <c r="AV1057" s="19"/>
      <c r="AW1057">
        <f t="shared" si="673"/>
        <v>0</v>
      </c>
      <c r="AX1057" s="19"/>
      <c r="AY1057">
        <f t="shared" si="674"/>
        <v>0</v>
      </c>
      <c r="AZ1057" s="19"/>
      <c r="BA1057" s="19"/>
      <c r="BB1057" s="19"/>
      <c r="BC1057" s="19"/>
      <c r="BD1057" s="19"/>
      <c r="BE1057" s="19"/>
      <c r="BF1057" s="19"/>
      <c r="BU1057" s="100"/>
    </row>
    <row r="1058" x14ac:dyDescent="0.25">
      <c r="B1058" s="1" t="s">
        <v>478</v>
      </c>
      <c r="C1058" s="19">
        <v>13</v>
      </c>
      <c r="D1058" t="s">
        <v>510</v>
      </c>
      <c r="P1058" s="93"/>
      <c r="Q1058" s="109" t="str">
        <f>R1040&amp;".05"</f>
        <v>A.05</v>
      </c>
      <c r="R1058" s="19"/>
      <c r="S1058" s="19"/>
      <c r="T1058">
        <f t="shared" si="671"/>
        <v>0</v>
      </c>
      <c r="U1058" s="19"/>
      <c r="V1058">
        <f t="shared" si="672"/>
        <v>0</v>
      </c>
      <c r="W1058" s="19"/>
      <c r="X1058" s="19"/>
      <c r="Y1058" s="19"/>
      <c r="Z1058" s="19"/>
      <c r="AA1058" s="19"/>
      <c r="AB1058" s="19"/>
      <c r="AC1058" s="19"/>
      <c r="AR1058" s="100"/>
      <c r="AS1058" s="93"/>
      <c r="AT1058" s="109" t="str">
        <f>AU$1040&amp;".05"</f>
        <v>1.05</v>
      </c>
      <c r="AU1058" s="19"/>
      <c r="AV1058" s="19"/>
      <c r="AW1058">
        <f t="shared" si="673"/>
        <v>0</v>
      </c>
      <c r="AX1058" s="19"/>
      <c r="AY1058">
        <f t="shared" si="674"/>
        <v>0</v>
      </c>
      <c r="AZ1058" s="19"/>
      <c r="BA1058" s="19"/>
      <c r="BB1058" s="19"/>
      <c r="BC1058" s="19"/>
      <c r="BD1058" s="19"/>
      <c r="BE1058" s="19"/>
      <c r="BF1058" s="19"/>
      <c r="BU1058" s="100"/>
    </row>
    <row r="1059" x14ac:dyDescent="0.25">
      <c r="B1059" s="1" t="s">
        <v>515</v>
      </c>
      <c r="C1059" s="19">
        <v>18</v>
      </c>
      <c r="D1059" t="s">
        <v>511</v>
      </c>
      <c r="P1059" s="93"/>
      <c r="Q1059" s="109" t="str">
        <f>R1040&amp;".06"</f>
        <v>A.06</v>
      </c>
      <c r="R1059" s="19"/>
      <c r="S1059" s="19"/>
      <c r="T1059">
        <f t="shared" si="671"/>
        <v>0</v>
      </c>
      <c r="U1059" s="19"/>
      <c r="V1059">
        <f t="shared" si="672"/>
        <v>0</v>
      </c>
      <c r="W1059" s="19"/>
      <c r="X1059" s="19"/>
      <c r="Y1059" s="19"/>
      <c r="Z1059" s="19"/>
      <c r="AA1059" s="19"/>
      <c r="AB1059" s="19"/>
      <c r="AC1059" s="19"/>
      <c r="AR1059" s="100"/>
      <c r="AS1059" s="93"/>
      <c r="AT1059" s="109" t="str">
        <f>AU$1040&amp;".06"</f>
        <v>1.06</v>
      </c>
      <c r="AU1059" s="19"/>
      <c r="AV1059" s="19"/>
      <c r="AW1059">
        <f t="shared" si="673"/>
        <v>0</v>
      </c>
      <c r="AX1059" s="19"/>
      <c r="AY1059">
        <f t="shared" si="674"/>
        <v>0</v>
      </c>
      <c r="AZ1059" s="19"/>
      <c r="BA1059" s="19"/>
      <c r="BB1059" s="19"/>
      <c r="BC1059" s="19"/>
      <c r="BD1059" s="19"/>
      <c r="BE1059" s="19"/>
      <c r="BF1059" s="19"/>
      <c r="BU1059" s="100"/>
    </row>
    <row r="1060" x14ac:dyDescent="0.25">
      <c r="B1060" s="1" t="s">
        <v>516</v>
      </c>
      <c r="P1060" s="93"/>
      <c r="Q1060" s="109" t="str">
        <f>R1040&amp;".07"</f>
        <v>A.07</v>
      </c>
      <c r="R1060" s="19"/>
      <c r="S1060" s="19"/>
      <c r="T1060">
        <f t="shared" si="671"/>
        <v>0</v>
      </c>
      <c r="U1060" s="19"/>
      <c r="V1060">
        <f t="shared" si="672"/>
        <v>0</v>
      </c>
      <c r="W1060" s="19"/>
      <c r="X1060" s="19"/>
      <c r="Y1060" s="19"/>
      <c r="Z1060" s="19"/>
      <c r="AA1060" s="19"/>
      <c r="AB1060" s="19"/>
      <c r="AC1060" s="19"/>
      <c r="AF1060" s="109"/>
      <c r="AR1060" s="100"/>
      <c r="AS1060" s="93"/>
      <c r="AT1060" s="109" t="str">
        <f>AU$1040&amp;".07"</f>
        <v>1.07</v>
      </c>
      <c r="AU1060" s="19"/>
      <c r="AV1060" s="19"/>
      <c r="AW1060">
        <f t="shared" si="673"/>
        <v>0</v>
      </c>
      <c r="AX1060" s="19"/>
      <c r="AY1060">
        <f t="shared" si="674"/>
        <v>0</v>
      </c>
      <c r="AZ1060" s="19"/>
      <c r="BA1060" s="19"/>
      <c r="BB1060" s="19"/>
      <c r="BC1060" s="19"/>
      <c r="BD1060" s="19"/>
      <c r="BE1060" s="19"/>
      <c r="BF1060" s="19"/>
      <c r="BI1060" s="109"/>
      <c r="BU1060" s="100"/>
    </row>
    <row r="1061" x14ac:dyDescent="0.25">
      <c r="B1061" s="1" t="s">
        <v>517</v>
      </c>
      <c r="P1061" s="93"/>
      <c r="Q1061" s="109" t="str">
        <f>R1040&amp;".08"</f>
        <v>A.08</v>
      </c>
      <c r="R1061" s="19"/>
      <c r="S1061" s="19"/>
      <c r="T1061">
        <f t="shared" si="671"/>
        <v>0</v>
      </c>
      <c r="U1061" s="19"/>
      <c r="V1061">
        <f t="shared" si="672"/>
        <v>0</v>
      </c>
      <c r="W1061" s="19"/>
      <c r="X1061" s="19"/>
      <c r="Y1061" s="19"/>
      <c r="Z1061" s="19"/>
      <c r="AA1061" s="19"/>
      <c r="AB1061" s="19"/>
      <c r="AC1061" s="19"/>
      <c r="AF1061" s="109"/>
      <c r="AR1061" s="100"/>
      <c r="AS1061" s="93"/>
      <c r="AT1061" s="109" t="str">
        <f>AU$1040&amp;".08"</f>
        <v>1.08</v>
      </c>
      <c r="AU1061" s="19"/>
      <c r="AV1061" s="19"/>
      <c r="AW1061">
        <f t="shared" si="673"/>
        <v>0</v>
      </c>
      <c r="AX1061" s="19"/>
      <c r="AY1061">
        <f t="shared" si="674"/>
        <v>0</v>
      </c>
      <c r="AZ1061" s="19"/>
      <c r="BA1061" s="19"/>
      <c r="BB1061" s="19"/>
      <c r="BC1061" s="19"/>
      <c r="BD1061" s="19"/>
      <c r="BE1061" s="19"/>
      <c r="BF1061" s="19"/>
      <c r="BI1061" s="109"/>
      <c r="BU1061" s="100"/>
    </row>
    <row r="1062" x14ac:dyDescent="0.25">
      <c r="B1062" s="1" t="s">
        <v>518</v>
      </c>
      <c r="P1062" s="93"/>
      <c r="Q1062" s="109" t="str">
        <f>R1040&amp;".09"</f>
        <v>A.09</v>
      </c>
      <c r="R1062" s="19"/>
      <c r="S1062" s="19"/>
      <c r="T1062">
        <f t="shared" si="671"/>
        <v>0</v>
      </c>
      <c r="U1062" s="19"/>
      <c r="V1062">
        <f t="shared" si="672"/>
        <v>0</v>
      </c>
      <c r="W1062" s="19"/>
      <c r="X1062" s="19"/>
      <c r="Y1062" s="19"/>
      <c r="Z1062" s="19"/>
      <c r="AA1062" s="19"/>
      <c r="AB1062" s="19"/>
      <c r="AC1062" s="19"/>
      <c r="AF1062" s="109"/>
      <c r="AR1062" s="100"/>
      <c r="AS1062" s="93"/>
      <c r="AT1062" s="109" t="str">
        <f>AU$1040&amp;".09"</f>
        <v>1.09</v>
      </c>
      <c r="AU1062" s="19"/>
      <c r="AV1062" s="19"/>
      <c r="AW1062">
        <f t="shared" si="673"/>
        <v>0</v>
      </c>
      <c r="AX1062" s="19"/>
      <c r="AY1062">
        <f t="shared" si="674"/>
        <v>0</v>
      </c>
      <c r="AZ1062" s="19"/>
      <c r="BA1062" s="19"/>
      <c r="BB1062" s="19"/>
      <c r="BC1062" s="19"/>
      <c r="BD1062" s="19"/>
      <c r="BE1062" s="19"/>
      <c r="BF1062" s="19"/>
      <c r="BI1062" s="109"/>
      <c r="BU1062" s="100"/>
    </row>
    <row r="1063" x14ac:dyDescent="0.25">
      <c r="P1063" s="93"/>
      <c r="Q1063" s="109" t="str">
        <f>R1040&amp;".10"</f>
        <v>A.10</v>
      </c>
      <c r="R1063" s="19"/>
      <c r="S1063" s="19"/>
      <c r="T1063">
        <f t="shared" si="671"/>
        <v>0</v>
      </c>
      <c r="U1063" s="19"/>
      <c r="V1063">
        <f t="shared" si="672"/>
        <v>0</v>
      </c>
      <c r="W1063" s="19"/>
      <c r="X1063" s="19"/>
      <c r="Y1063" s="19"/>
      <c r="Z1063" s="19"/>
      <c r="AA1063" s="19"/>
      <c r="AB1063" s="19"/>
      <c r="AC1063" s="19"/>
      <c r="AF1063" s="109"/>
      <c r="AR1063" s="100"/>
      <c r="AS1063" s="93"/>
      <c r="AT1063" s="109" t="str">
        <f>AU$1040&amp;".10"</f>
        <v>1.10</v>
      </c>
      <c r="AU1063" s="19"/>
      <c r="AV1063" s="19"/>
      <c r="AW1063">
        <f t="shared" si="673"/>
        <v>0</v>
      </c>
      <c r="AX1063" s="19"/>
      <c r="AY1063">
        <f t="shared" si="674"/>
        <v>0</v>
      </c>
      <c r="AZ1063" s="19"/>
      <c r="BA1063" s="19"/>
      <c r="BB1063" s="19"/>
      <c r="BC1063" s="19"/>
      <c r="BD1063" s="19"/>
      <c r="BE1063" s="19"/>
      <c r="BF1063" s="19"/>
      <c r="BI1063" s="109"/>
      <c r="BU1063" s="100"/>
    </row>
    <row r="1064" x14ac:dyDescent="0.25">
      <c r="C1064" s="112" t="s">
        <v>495</v>
      </c>
      <c r="D1064" s="112"/>
      <c r="E1064" s="112"/>
      <c r="I1064" s="112" t="s">
        <v>495</v>
      </c>
      <c r="J1064" s="112"/>
      <c r="K1064" s="112"/>
      <c r="P1064" s="93"/>
      <c r="Q1064" s="109" t="str">
        <f>R1040&amp;".11"</f>
        <v>A.11</v>
      </c>
      <c r="R1064" s="19"/>
      <c r="S1064" s="19"/>
      <c r="T1064">
        <f t="shared" si="671"/>
        <v>0</v>
      </c>
      <c r="U1064" s="19"/>
      <c r="V1064">
        <f t="shared" si="672"/>
        <v>0</v>
      </c>
      <c r="W1064" s="19"/>
      <c r="X1064" s="19"/>
      <c r="Y1064" s="19"/>
      <c r="Z1064" s="19"/>
      <c r="AA1064" s="19"/>
      <c r="AB1064" s="19"/>
      <c r="AC1064" s="19"/>
      <c r="AF1064" s="109"/>
      <c r="AR1064" s="100"/>
      <c r="AS1064" s="93"/>
      <c r="AT1064" s="109" t="str">
        <f>AU$1040&amp;".11"</f>
        <v>1.11</v>
      </c>
      <c r="AU1064" s="19"/>
      <c r="AV1064" s="19"/>
      <c r="AW1064">
        <f t="shared" si="673"/>
        <v>0</v>
      </c>
      <c r="AX1064" s="19"/>
      <c r="AY1064">
        <f t="shared" si="674"/>
        <v>0</v>
      </c>
      <c r="AZ1064" s="19"/>
      <c r="BA1064" s="19"/>
      <c r="BB1064" s="19"/>
      <c r="BC1064" s="19"/>
      <c r="BD1064" s="19"/>
      <c r="BE1064" s="19"/>
      <c r="BF1064" s="19"/>
      <c r="BI1064" s="109"/>
      <c r="BU1064" s="100"/>
    </row>
    <row r="1065" x14ac:dyDescent="0.25">
      <c r="B1065" t="s">
        <v>474</v>
      </c>
      <c r="C1065" t="s">
        <v>492</v>
      </c>
      <c r="D1065" t="s">
        <v>493</v>
      </c>
      <c r="E1065" t="s">
        <v>494</v>
      </c>
      <c r="H1065" t="s">
        <v>455</v>
      </c>
      <c r="I1065" t="s">
        <v>492</v>
      </c>
      <c r="J1065" t="s">
        <v>493</v>
      </c>
      <c r="K1065" t="s">
        <v>494</v>
      </c>
      <c r="P1065" s="93"/>
      <c r="Q1065" s="109" t="str">
        <f>R1040&amp;".12"</f>
        <v>A.12</v>
      </c>
      <c r="R1065" s="19"/>
      <c r="S1065" s="19"/>
      <c r="T1065">
        <f t="shared" si="671"/>
        <v>0</v>
      </c>
      <c r="U1065" s="19"/>
      <c r="V1065">
        <f t="shared" si="672"/>
        <v>0</v>
      </c>
      <c r="W1065" s="19"/>
      <c r="X1065" s="19"/>
      <c r="Y1065" s="19"/>
      <c r="Z1065" s="19"/>
      <c r="AA1065" s="19"/>
      <c r="AB1065" s="19"/>
      <c r="AC1065" s="19"/>
      <c r="AF1065" s="109"/>
      <c r="AR1065" s="100"/>
      <c r="AS1065" s="93"/>
      <c r="AT1065" s="109" t="str">
        <f>AU$1040&amp;".12"</f>
        <v>1.12</v>
      </c>
      <c r="AU1065" s="19"/>
      <c r="AV1065" s="19"/>
      <c r="AW1065">
        <f t="shared" si="673"/>
        <v>0</v>
      </c>
      <c r="AX1065" s="19"/>
      <c r="AY1065">
        <f t="shared" si="674"/>
        <v>0</v>
      </c>
      <c r="AZ1065" s="19"/>
      <c r="BA1065" s="19"/>
      <c r="BB1065" s="19"/>
      <c r="BC1065" s="19"/>
      <c r="BD1065" s="19"/>
      <c r="BE1065" s="19"/>
      <c r="BF1065" s="19"/>
      <c r="BI1065" s="109"/>
      <c r="BU1065" s="100"/>
    </row>
    <row r="1066" x14ac:dyDescent="0.25">
      <c r="B1066" t="s">
        <v>274</v>
      </c>
      <c r="C1066" s="19">
        <v>0</v>
      </c>
      <c r="D1066" s="19">
        <v>29</v>
      </c>
      <c r="E1066">
        <f>C50+D50</f>
        <v>29</v>
      </c>
      <c r="H1066">
        <v>1</v>
      </c>
      <c r="I1066" s="19">
        <v>0</v>
      </c>
      <c r="J1066" s="19">
        <v>27</v>
      </c>
      <c r="K1066">
        <f>I50+J50</f>
        <v>27</v>
      </c>
      <c r="P1066" s="93"/>
      <c r="Q1066" s="109" t="str">
        <f>R1040&amp;".13"</f>
        <v>A.13</v>
      </c>
      <c r="R1066" s="19"/>
      <c r="S1066" s="19"/>
      <c r="T1066">
        <f t="shared" si="671"/>
        <v>0</v>
      </c>
      <c r="U1066" s="19"/>
      <c r="V1066">
        <f t="shared" si="672"/>
        <v>0</v>
      </c>
      <c r="W1066" s="19"/>
      <c r="X1066" s="19"/>
      <c r="Y1066" s="19"/>
      <c r="Z1066" s="19"/>
      <c r="AA1066" s="19"/>
      <c r="AB1066" s="19"/>
      <c r="AC1066" s="19"/>
      <c r="AF1066" s="109"/>
      <c r="AR1066" s="100"/>
      <c r="AS1066" s="93"/>
      <c r="AT1066" s="109" t="str">
        <f>AU$1040&amp;".13"</f>
        <v>1.13</v>
      </c>
      <c r="AU1066" s="19"/>
      <c r="AV1066" s="19"/>
      <c r="AW1066">
        <f t="shared" si="673"/>
        <v>0</v>
      </c>
      <c r="AX1066" s="19"/>
      <c r="AY1066">
        <f t="shared" si="674"/>
        <v>0</v>
      </c>
      <c r="AZ1066" s="19"/>
      <c r="BA1066" s="19"/>
      <c r="BB1066" s="19"/>
      <c r="BC1066" s="19"/>
      <c r="BD1066" s="19"/>
      <c r="BE1066" s="19"/>
      <c r="BF1066" s="19"/>
      <c r="BI1066" s="109"/>
      <c r="BU1066" s="100"/>
    </row>
    <row r="1067" x14ac:dyDescent="0.25">
      <c r="B1067" t="s">
        <v>279</v>
      </c>
      <c r="C1067" s="19">
        <v>29</v>
      </c>
      <c r="D1067" s="19">
        <v>6</v>
      </c>
      <c r="E1067">
        <f t="shared" ref="E43:E67" si="675">C43+D43</f>
        <v>35</v>
      </c>
      <c r="H1067">
        <v>2</v>
      </c>
      <c r="I1067" s="19">
        <v>27</v>
      </c>
      <c r="J1067" s="19">
        <v>14</v>
      </c>
      <c r="K1067">
        <f t="shared" ref="K43:K67" si="676">I43+J43</f>
        <v>41</v>
      </c>
      <c r="P1067" s="93"/>
      <c r="Q1067" s="109" t="str">
        <f>R1040&amp;".14"</f>
        <v>A.14</v>
      </c>
      <c r="R1067" s="19"/>
      <c r="S1067" s="19"/>
      <c r="T1067">
        <f t="shared" si="671"/>
        <v>0</v>
      </c>
      <c r="U1067" s="19"/>
      <c r="V1067">
        <f t="shared" si="672"/>
        <v>0</v>
      </c>
      <c r="W1067" s="19"/>
      <c r="X1067" s="19"/>
      <c r="Y1067" s="19"/>
      <c r="Z1067" s="19"/>
      <c r="AA1067" s="19"/>
      <c r="AB1067" s="19"/>
      <c r="AC1067" s="19"/>
      <c r="AF1067" s="109"/>
      <c r="AR1067" s="100"/>
      <c r="AS1067" s="93"/>
      <c r="AT1067" s="109" t="str">
        <f>AU$1040&amp;".14"</f>
        <v>1.14</v>
      </c>
      <c r="AU1067" s="19"/>
      <c r="AV1067" s="19"/>
      <c r="AW1067">
        <f t="shared" si="673"/>
        <v>0</v>
      </c>
      <c r="AX1067" s="19"/>
      <c r="AY1067">
        <f t="shared" si="674"/>
        <v>0</v>
      </c>
      <c r="AZ1067" s="19"/>
      <c r="BA1067" s="19"/>
      <c r="BB1067" s="19"/>
      <c r="BC1067" s="19"/>
      <c r="BD1067" s="19"/>
      <c r="BE1067" s="19"/>
      <c r="BF1067" s="19"/>
      <c r="BI1067" s="109"/>
      <c r="BU1067" s="100"/>
    </row>
    <row r="1068" x14ac:dyDescent="0.25">
      <c r="B1068" t="s">
        <v>283</v>
      </c>
      <c r="C1068" s="19">
        <v>6</v>
      </c>
      <c r="D1068" s="19">
        <v>29</v>
      </c>
      <c r="E1068">
        <f t="shared" si="675"/>
        <v>35</v>
      </c>
      <c r="H1068">
        <v>3</v>
      </c>
      <c r="I1068" s="19">
        <v>14</v>
      </c>
      <c r="J1068" s="19">
        <v>13</v>
      </c>
      <c r="K1068">
        <f t="shared" si="676"/>
        <v>27</v>
      </c>
      <c r="P1068" s="93"/>
      <c r="Q1068" s="109" t="str">
        <f>R1040&amp;".15"</f>
        <v>A.15</v>
      </c>
      <c r="R1068" s="19"/>
      <c r="S1068" s="19"/>
      <c r="T1068">
        <f t="shared" si="671"/>
        <v>0</v>
      </c>
      <c r="U1068" s="19"/>
      <c r="V1068">
        <f t="shared" si="672"/>
        <v>0</v>
      </c>
      <c r="W1068" s="19"/>
      <c r="X1068" s="19"/>
      <c r="Y1068" s="19"/>
      <c r="Z1068" s="19"/>
      <c r="AA1068" s="19"/>
      <c r="AB1068" s="19"/>
      <c r="AC1068" s="19"/>
      <c r="AF1068" s="109"/>
      <c r="AR1068" s="100"/>
      <c r="AS1068" s="93"/>
      <c r="AT1068" s="109" t="str">
        <f>AU$1040&amp;".15"</f>
        <v>1.15</v>
      </c>
      <c r="AU1068" s="19"/>
      <c r="AV1068" s="19"/>
      <c r="AW1068">
        <f t="shared" si="673"/>
        <v>0</v>
      </c>
      <c r="AX1068" s="19"/>
      <c r="AY1068">
        <f t="shared" si="674"/>
        <v>0</v>
      </c>
      <c r="AZ1068" s="19"/>
      <c r="BA1068" s="19"/>
      <c r="BB1068" s="19"/>
      <c r="BC1068" s="19"/>
      <c r="BD1068" s="19"/>
      <c r="BE1068" s="19"/>
      <c r="BF1068" s="19"/>
      <c r="BI1068" s="109"/>
      <c r="BU1068" s="100"/>
    </row>
    <row r="1069" x14ac:dyDescent="0.25">
      <c r="B1069" t="s">
        <v>287</v>
      </c>
      <c r="C1069" s="19">
        <v>26</v>
      </c>
      <c r="D1069" s="19">
        <v>26</v>
      </c>
      <c r="E1069">
        <f t="shared" si="675"/>
        <v>52</v>
      </c>
      <c r="F1069" t="s">
        <v>506</v>
      </c>
      <c r="H1069">
        <v>4</v>
      </c>
      <c r="I1069" s="19">
        <v>13</v>
      </c>
      <c r="J1069" s="19">
        <v>27</v>
      </c>
      <c r="K1069">
        <f t="shared" si="676"/>
        <v>40</v>
      </c>
      <c r="P1069" s="93"/>
      <c r="Q1069" s="109" t="str">
        <f>R1040&amp;".16"</f>
        <v>A.16</v>
      </c>
      <c r="R1069" s="19"/>
      <c r="S1069" s="19"/>
      <c r="T1069">
        <f t="shared" si="671"/>
        <v>0</v>
      </c>
      <c r="U1069" s="19"/>
      <c r="V1069">
        <f t="shared" si="672"/>
        <v>0</v>
      </c>
      <c r="W1069" s="19"/>
      <c r="X1069" s="19"/>
      <c r="Y1069" s="19"/>
      <c r="Z1069" s="19"/>
      <c r="AA1069" s="19"/>
      <c r="AB1069" s="19"/>
      <c r="AC1069" s="19"/>
      <c r="AF1069" s="109"/>
      <c r="AR1069" s="100"/>
      <c r="AS1069" s="93"/>
      <c r="AT1069" s="109" t="str">
        <f>AU$1040&amp;".16"</f>
        <v>1.16</v>
      </c>
      <c r="AU1069" s="19"/>
      <c r="AV1069" s="19"/>
      <c r="AW1069">
        <f t="shared" si="673"/>
        <v>0</v>
      </c>
      <c r="AX1069" s="19"/>
      <c r="AY1069">
        <f t="shared" si="674"/>
        <v>0</v>
      </c>
      <c r="AZ1069" s="19"/>
      <c r="BA1069" s="19"/>
      <c r="BB1069" s="19"/>
      <c r="BC1069" s="19"/>
      <c r="BD1069" s="19"/>
      <c r="BE1069" s="19"/>
      <c r="BF1069" s="19"/>
      <c r="BI1069" s="109"/>
      <c r="BU1069" s="100"/>
    </row>
    <row r="1070" x14ac:dyDescent="0.25">
      <c r="B1070" t="s">
        <v>288</v>
      </c>
      <c r="C1070" s="19">
        <v>29</v>
      </c>
      <c r="D1070" s="19">
        <v>0</v>
      </c>
      <c r="E1070">
        <f t="shared" si="675"/>
        <v>29</v>
      </c>
      <c r="H1070">
        <v>5</v>
      </c>
      <c r="I1070" s="19">
        <v>27</v>
      </c>
      <c r="J1070" s="19">
        <v>11</v>
      </c>
      <c r="K1070">
        <f t="shared" si="676"/>
        <v>38</v>
      </c>
      <c r="P1070" s="93"/>
      <c r="R1070">
        <f>SUM(R1054:R1069)</f>
        <v>29</v>
      </c>
      <c r="AR1070" s="100"/>
      <c r="AS1070" s="93"/>
      <c r="AU1070">
        <f>SUM(AU1054:AU1069)</f>
        <v>29</v>
      </c>
      <c r="BU1070" s="100"/>
    </row>
    <row r="1071" x14ac:dyDescent="0.25">
      <c r="B1071" t="s">
        <v>293</v>
      </c>
      <c r="C1071" s="19">
        <v>17</v>
      </c>
      <c r="D1071" s="19">
        <v>27</v>
      </c>
      <c r="E1071">
        <f t="shared" si="675"/>
        <v>44</v>
      </c>
      <c r="H1071">
        <v>6</v>
      </c>
      <c r="I1071" s="19">
        <v>11</v>
      </c>
      <c r="J1071" s="19">
        <v>6</v>
      </c>
      <c r="K1071">
        <f t="shared" si="676"/>
        <v>17</v>
      </c>
      <c r="P1071" s="93"/>
      <c r="AP1071" t="s">
        <v>746</v>
      </c>
      <c r="AR1071" s="100"/>
      <c r="AS1071" s="93"/>
      <c r="BS1071" t="s">
        <v>746</v>
      </c>
      <c r="BU1071" s="100"/>
    </row>
    <row r="1072" x14ac:dyDescent="0.25">
      <c r="B1072" t="s">
        <v>456</v>
      </c>
      <c r="C1072" s="19">
        <v>27</v>
      </c>
      <c r="D1072" s="19">
        <v>27</v>
      </c>
      <c r="E1072">
        <f t="shared" si="675"/>
        <v>54</v>
      </c>
      <c r="H1072">
        <v>7</v>
      </c>
      <c r="I1072" s="19">
        <v>6</v>
      </c>
      <c r="J1072" s="19">
        <v>11</v>
      </c>
      <c r="K1072">
        <f t="shared" si="676"/>
        <v>17</v>
      </c>
      <c r="P1072" s="93"/>
      <c r="Q1072" t="s">
        <v>525</v>
      </c>
      <c r="R1072" t="s">
        <v>263</v>
      </c>
      <c r="S1072" t="s">
        <v>526</v>
      </c>
      <c r="T1072" t="s">
        <v>570</v>
      </c>
      <c r="U1072" t="s">
        <v>571</v>
      </c>
      <c r="V1072" t="s">
        <v>572</v>
      </c>
      <c r="W1072" t="s">
        <v>539</v>
      </c>
      <c r="X1072" t="s">
        <v>538</v>
      </c>
      <c r="Z1072" t="s">
        <v>522</v>
      </c>
      <c r="AA1072" t="s">
        <v>523</v>
      </c>
      <c r="AB1072" t="s">
        <v>541</v>
      </c>
      <c r="AC1072" t="s">
        <v>540</v>
      </c>
      <c r="AD1072" t="s">
        <v>542</v>
      </c>
      <c r="AE1072" t="s">
        <v>520</v>
      </c>
      <c r="AF1072" t="s">
        <v>521</v>
      </c>
      <c r="AG1072" t="s">
        <v>527</v>
      </c>
      <c r="AH1072" t="s">
        <v>528</v>
      </c>
      <c r="AI1072" t="s">
        <v>543</v>
      </c>
      <c r="AJ1072" t="s">
        <v>744</v>
      </c>
      <c r="AK1072" t="s">
        <v>745</v>
      </c>
      <c r="AL1072" t="s">
        <v>749</v>
      </c>
      <c r="AM1072" t="s">
        <v>750</v>
      </c>
      <c r="AN1072" t="s">
        <v>751</v>
      </c>
      <c r="AP1072" t="s">
        <v>747</v>
      </c>
      <c r="AQ1072" t="s">
        <v>748</v>
      </c>
      <c r="AR1072" s="100"/>
      <c r="AS1072" s="93"/>
      <c r="AT1072" t="s">
        <v>525</v>
      </c>
      <c r="AU1072" t="s">
        <v>263</v>
      </c>
      <c r="AV1072" t="s">
        <v>526</v>
      </c>
      <c r="AW1072" t="s">
        <v>570</v>
      </c>
      <c r="AX1072" t="s">
        <v>571</v>
      </c>
      <c r="AY1072" t="s">
        <v>572</v>
      </c>
      <c r="AZ1072" t="s">
        <v>539</v>
      </c>
      <c r="BA1072" t="s">
        <v>538</v>
      </c>
      <c r="BC1072" t="s">
        <v>522</v>
      </c>
      <c r="BD1072" t="s">
        <v>523</v>
      </c>
      <c r="BE1072" t="s">
        <v>541</v>
      </c>
      <c r="BF1072" t="s">
        <v>540</v>
      </c>
      <c r="BG1072" t="s">
        <v>542</v>
      </c>
      <c r="BH1072" t="s">
        <v>520</v>
      </c>
      <c r="BI1072" t="s">
        <v>521</v>
      </c>
      <c r="BJ1072" t="s">
        <v>527</v>
      </c>
      <c r="BK1072" t="s">
        <v>528</v>
      </c>
      <c r="BL1072" t="s">
        <v>543</v>
      </c>
      <c r="BM1072" t="s">
        <v>744</v>
      </c>
      <c r="BN1072" t="s">
        <v>745</v>
      </c>
      <c r="BO1072" t="s">
        <v>749</v>
      </c>
      <c r="BP1072" t="s">
        <v>750</v>
      </c>
      <c r="BQ1072" t="s">
        <v>751</v>
      </c>
      <c r="BS1072" t="s">
        <v>747</v>
      </c>
      <c r="BT1072" t="s">
        <v>748</v>
      </c>
      <c r="BU1072" s="100"/>
    </row>
    <row r="1073" x14ac:dyDescent="0.25">
      <c r="B1073" t="s">
        <v>457</v>
      </c>
      <c r="C1073" s="19">
        <v>27</v>
      </c>
      <c r="D1073" s="19">
        <v>27</v>
      </c>
      <c r="E1073">
        <f t="shared" si="675"/>
        <v>54</v>
      </c>
      <c r="H1073">
        <v>8</v>
      </c>
      <c r="I1073" s="19">
        <v>20</v>
      </c>
      <c r="J1073" s="19">
        <v>0</v>
      </c>
      <c r="K1073">
        <f t="shared" si="676"/>
        <v>20</v>
      </c>
      <c r="L1073" t="s">
        <v>506</v>
      </c>
      <c r="P1073" s="93"/>
      <c r="Q1073" s="110" t="str">
        <f>$Q$1054</f>
        <v>A.01</v>
      </c>
      <c r="R1073" t="str">
        <f>$Q$1045</f>
        <v>L2</v>
      </c>
      <c r="S1073">
        <f>$E$21</f>
        <v>10.6875</v>
      </c>
      <c r="T1073" cm="1">
        <f t="array" ref="T1073">IFERROR(IF(S1073=0,0,(INDEX($C$33:$C$38,MATCH($W$1054,$B$33:$B$38,0),0)*(S1077+$X$1054)+$T$1054*COUNTIF(S1073:S1076,"&gt;0")*$C$32+$V$1054*$C$31)*$R$1054),0)</f>
        <v>30539.71875</v>
      </c>
      <c r="U1073">
        <f>IF(S1073=0,0,-(COUNTIF(S1073:S1076,"&gt;0")*$T$1054*$C$32+$V$1054*$C$31)*$H$27*$R$1054)</f>
        <v>-363.31199999999995</v>
      </c>
      <c r="V1073">
        <f>IF(S1073=0,0,$V$1054*$H$26*$R$1054)</f>
        <v>-1328.1999999999998</v>
      </c>
      <c r="W1073">
        <f>(0.6*T1073+0.7*U1073)*$R$1054/2</f>
        <v>262007.93632499999</v>
      </c>
      <c r="X1073">
        <f>(0.6*T1073+0.6*V1073)*$R$1054/2</f>
        <v>254140.21312500001</v>
      </c>
      <c r="Z1073">
        <f>IF(S1073=0,0,$AD$1054*$AP$1045)</f>
        <v>343.06999999999994</v>
      </c>
      <c r="AA1073">
        <f>IFERROR(Z1073/$R$1054,0)</f>
        <v>11.829999999999998</v>
      </c>
      <c r="AB1073">
        <f>Z1073*($F$21+IF($F$21=0,0,($C$14+$C$15+IF($C$13="single",1.5,3)+3)/12))</f>
        <v>3666.5606249999992</v>
      </c>
      <c r="AC1073">
        <f>AB1073-W1073</f>
        <v>-258341.37569999998</v>
      </c>
      <c r="AD1073" cm="1">
        <f t="array" ref="AD1073">IFERROR(IF(AC1073&lt;0,0,AC1073/($R$1054-INDEX(hd_off,MATCH(AQ1073,hd_mark,0),0)/12)),0)</f>
        <v>0</v>
      </c>
      <c r="AE1073">
        <f>IF(S1073=0,0,$AD$1054*$AM$1045)</f>
        <v>7899.5999999999995</v>
      </c>
      <c r="AF1073">
        <f>IFERROR(AE1073/$R$1054,0)</f>
        <v>272.39999999999998</v>
      </c>
      <c r="AG1073">
        <f>AE1073*($F$21+IF($F$21=0,0,($C$14+$C$15+IF($C$13="single",1.5,3)+3)/12))</f>
        <v>84426.974999999991</v>
      </c>
      <c r="AH1073">
        <f>AG1073-X1073</f>
        <v>-169713.23812500003</v>
      </c>
      <c r="AI1073" cm="1">
        <f t="array" ref="AI1073">IFERROR(IF(AH1073&lt;0,0,AH1073/($R$1054-INDEX(hd_off,MATCH(AQ1073,hd_mark,0),0)/12)),0)</f>
        <v>0</v>
      </c>
      <c r="AJ1073">
        <f>MAX($F$21,$Y$1054)/$Q$1076</f>
        <v>0.30172413793103448</v>
      </c>
      <c r="AK1073">
        <f>IF(AJ1073=0,0,IF(AJ1073&gt;2,1.25-0.125*AJ1073,1))</f>
        <v>1</v>
      </c>
      <c r="AL1073" cm="1">
        <f t="array" ref="AL1073">IFERROR(INDEX(sheath_ecap_asd,MATCH(AP1073,sheath_mark,0),0)*AK1073,0)</f>
        <v>239.85714285714286</v>
      </c>
      <c r="AM1073" cm="1">
        <f t="array" ref="AM1073">IFERROR(INDEX(sheath_wcap_asd,MATCH(AP1073,sheath_mark,0),0)*AK1073,0)</f>
        <v>335.8</v>
      </c>
      <c r="AN1073" cm="1">
        <f t="array" ref="AN1073">IFERROR(INDEX(hd_cap,MATCH(AQ1073,hd_mark,0),0),0)</f>
        <v>0</v>
      </c>
      <c r="AP1073" s="19">
        <v>21</v>
      </c>
      <c r="AQ1073" s="19"/>
      <c r="AR1073" s="100"/>
      <c r="AS1073" s="93"/>
      <c r="AT1073" s="110" t="str">
        <f>$AT$1054</f>
        <v>1.01</v>
      </c>
      <c r="AU1073" t="str">
        <f>$Q$1045</f>
        <v>L2</v>
      </c>
      <c r="AV1073">
        <f>$E$21</f>
        <v>10.6875</v>
      </c>
      <c r="AW1073" cm="1">
        <f t="array" ref="AW1073">IFERROR(IF(AV1073=0,0,(INDEX($C$33:$C$38,MATCH($AZ$1054,$B$33:$B$38,0),0)*(AV1077+$BA$1054)+$AW$1054*COUNTIF(AV1073:AV1076,"&gt;0")*$C$32+$AY$1054*$C$31)*$AU$1054),0)</f>
        <v>30539.71875</v>
      </c>
      <c r="AX1073">
        <f>IF(AV1073=0,0,-(COUNTIF(AV1073:AV1076,"&gt;0")*$AW$1054*$C$32+$AY$1054*$C$31)*$H$27*$AU$1054)</f>
        <v>-363.31199999999995</v>
      </c>
      <c r="AY1073">
        <f>IF(AV1073=0,0,$AY$1054*$H$26*$AU$1054)</f>
        <v>-1328.1999999999998</v>
      </c>
      <c r="AZ1073">
        <f>(0.6*AW1073+0.7*AX1073)*$AU$1054/2</f>
        <v>262007.93632499999</v>
      </c>
      <c r="BA1073">
        <f>(0.6*AW1073+0.6*AY1073)*$AU$1054/2</f>
        <v>254140.21312500001</v>
      </c>
      <c r="BC1073">
        <f>IF(AV1073=0,0,$BG$1054*$AP$1045)</f>
        <v>343.06999999999994</v>
      </c>
      <c r="BD1073">
        <f>IFERROR(BC1073/$AU$1054,0)</f>
        <v>11.829999999999998</v>
      </c>
      <c r="BE1073">
        <f>BC1073*($F$21+IF($F$21=0,0,($C$14+$C$15+IF($C$13="single",1.5,3)+3)/12))</f>
        <v>3666.5606249999992</v>
      </c>
      <c r="BF1073">
        <f>BE1073-AZ1073</f>
        <v>-258341.37569999998</v>
      </c>
      <c r="BG1073" cm="1">
        <f t="array" ref="BG1073">IFERROR(IF(BF1073&lt;0,0,BF1073/($AU$1054-INDEX(hd_off,MATCH(BT1073,hd_mark,0),0)/12)),0)</f>
        <v>0</v>
      </c>
      <c r="BH1073">
        <f>IF(AV1073=0,0,$BG$1054*$AM$1045)</f>
        <v>7899.5999999999995</v>
      </c>
      <c r="BI1073">
        <f>IFERROR(BH1073/$AU$1054,0)</f>
        <v>272.39999999999998</v>
      </c>
      <c r="BJ1073">
        <f>BH1073*($F$21+IF($F$21=0,0,($C$14+$C$15+IF($C$13="single",1.5,3)+3)/12))</f>
        <v>84426.974999999991</v>
      </c>
      <c r="BK1073">
        <f>BJ1073-BA1073</f>
        <v>-169713.23812500003</v>
      </c>
      <c r="BL1073" cm="1">
        <f t="array" ref="BL1073">IFERROR(IF(BK1073&lt;0,0,BK1073/($AU$1054-INDEX(hd_off,MATCH(BT1073,hd_mark,0),0)/12)),0)</f>
        <v>0</v>
      </c>
      <c r="BM1073">
        <f>MAX($F$21,$BB$1054)/$Q$1076</f>
        <v>0.30172413793103448</v>
      </c>
      <c r="BN1073">
        <f>IF(BM1073=0,0,IF(BM1073&gt;2,1.25-0.125*BM1073,1))</f>
        <v>1</v>
      </c>
      <c r="BO1073" cm="1">
        <f t="array" ref="BO1073">IFERROR(INDEX(sheath_ecap_asd,MATCH(BS1073,sheath_mark,0),0)*BN1073,0)</f>
        <v>239.85714285714286</v>
      </c>
      <c r="BP1073" cm="1">
        <f t="array" ref="BP1073">IFERROR(INDEX(sheath_wcap_asd,MATCH(BS1073,sheath_mark,0),0)*BN1073,0)</f>
        <v>335.8</v>
      </c>
      <c r="BQ1073" cm="1">
        <f t="array" ref="BQ1073">IFERROR(INDEX(hd_cap,MATCH(BT1073,hd_mark,0),0),0)</f>
        <v>0</v>
      </c>
      <c r="BS1073" s="19">
        <v>21</v>
      </c>
      <c r="BT1073" s="19"/>
      <c r="BU1073" s="100"/>
    </row>
    <row r="1074" x14ac:dyDescent="0.25">
      <c r="B1074" t="s">
        <v>458</v>
      </c>
      <c r="C1074" s="19">
        <v>27</v>
      </c>
      <c r="D1074" s="19">
        <v>27</v>
      </c>
      <c r="E1074">
        <f t="shared" si="675"/>
        <v>54</v>
      </c>
      <c r="H1074">
        <v>9</v>
      </c>
      <c r="I1074" s="19">
        <v>30</v>
      </c>
      <c r="J1074" s="19">
        <v>0</v>
      </c>
      <c r="K1074">
        <f t="shared" si="676"/>
        <v>30</v>
      </c>
      <c r="P1074" s="93"/>
      <c r="Q1074" s="109"/>
      <c r="R1074" t="str">
        <f>$Q$1046</f>
        <v>L3</v>
      </c>
      <c r="S1074">
        <f>$E$22</f>
        <v>21.375</v>
      </c>
      <c r="T1074" cm="1">
        <f t="array" ref="T1074">IFERROR(IF(S1074=0,0,(INDEX($C$33:$C$38,MATCH($W$1054,$B$33:$B$38,0),0)*(S1077+$X$1054)+$T$1054*COUNTIF(S1074:S1076,"&gt;0")*$C$32+$V$1054*$C$31)*$R$1054),0)</f>
        <v>26015.71875</v>
      </c>
      <c r="U1074">
        <f>IF(S1074=0,0,-(COUNTIF(S1074:S1076,"&gt;0")*$T$1054*$C$32+$V$1054*$C$31)*$H$27*$R$1054)</f>
        <v>-200.44799999999998</v>
      </c>
      <c r="V1074">
        <f>IF(S1074=0,0,$V$1054*$H$26*$R$1054)</f>
        <v>-1328.1999999999998</v>
      </c>
      <c r="W1074">
        <f t="shared" ref="W1074:W1076" si="677">(0.6*T1074+0.7*U1074)*$R$1054/2</f>
        <v>224302.20592500002</v>
      </c>
      <c r="X1074">
        <f>T1074*$R$1054/2</f>
        <v>377227.921875</v>
      </c>
      <c r="Z1074">
        <f>IF(S1074=0,0,$AD$1054*$AP$1046)</f>
        <v>376.565</v>
      </c>
      <c r="AA1074">
        <f>IFERROR(Z1074/$R$1054,0)</f>
        <v>12.984999999999999</v>
      </c>
      <c r="AB1074">
        <f>Z1074*($F$22+IF($F$22=0,0,($C$14+$C$15+IF($C$13="single",1.5,3)+3)/12))</f>
        <v>4024.5384374999999</v>
      </c>
      <c r="AC1074">
        <f>AB1074-W1074</f>
        <v>-220277.6674875</v>
      </c>
      <c r="AD1074" cm="1">
        <f t="array" ref="AD1074">IFERROR(IF(AC1074&lt;0,0,AC1074/($R$1054-INDEX(hd_off,MATCH(AQ1074,hd_mark,0),0)/12)),0)</f>
        <v>0</v>
      </c>
      <c r="AE1074">
        <f>IF(S1074=0,0,$AD$1054*$AM$1046)</f>
        <v>5846.4</v>
      </c>
      <c r="AF1074">
        <f>IFERROR(AE1074/$R$1054,0)</f>
        <v>201.6</v>
      </c>
      <c r="AG1074">
        <f>AE1074*($F$22+IF($F$22=0,0,($C$14+$C$15+IF($C$13="single",1.5,3)+3)/12))</f>
        <v>62483.399999999994</v>
      </c>
      <c r="AH1074">
        <f>AG1074-X1074</f>
        <v>-314744.52187499998</v>
      </c>
      <c r="AI1074" cm="1">
        <f t="array" ref="AI1074">IFERROR(IF(AH1074&lt;0,0,AH1074/($R$1054-INDEX(hd_off,MATCH(AQ1074,hd_mark,0),0)/12)),0)</f>
        <v>0</v>
      </c>
      <c r="AJ1074">
        <f>MAX($F$22,$Z$1054)/$Q$1076</f>
        <v>0.30172413793103448</v>
      </c>
      <c r="AK1074">
        <f t="shared" ref="AK1074:AK1077" si="678">IF(AJ1074=0,0,IF(AJ1074&gt;2,1.25-0.125*AJ1074,1))</f>
        <v>1</v>
      </c>
      <c r="AL1074" cm="1">
        <f t="array" ref="AL1074">IFERROR(INDEX(sheath_ecap_asd,MATCH(AP1074,sheath_mark,0),0)*AK1074,0)</f>
        <v>239.85714285714286</v>
      </c>
      <c r="AM1074" cm="1">
        <f t="array" ref="AM1074">IFERROR(INDEX(sheath_wcap_asd,MATCH(AP1074,sheath_mark,0),0)*AK1074,0)</f>
        <v>335.8</v>
      </c>
      <c r="AN1074" cm="1">
        <f t="array" ref="AN1074">IFERROR(INDEX(hd_cap,MATCH(AQ1074,hd_mark,0),0),0)</f>
        <v>0</v>
      </c>
      <c r="AP1074" s="19">
        <v>21</v>
      </c>
      <c r="AQ1074" s="19"/>
      <c r="AR1074" s="100"/>
      <c r="AS1074" s="93"/>
      <c r="AT1074" s="109"/>
      <c r="AU1074" t="str">
        <f>$Q$1046</f>
        <v>L3</v>
      </c>
      <c r="AV1074">
        <f>$E$22</f>
        <v>21.375</v>
      </c>
      <c r="AW1074" cm="1">
        <f t="array" ref="AW1074">IFERROR(IF(AV1074=0,0,(INDEX($C$33:$C$38,MATCH($AZ$1054,$B$33:$B$38,0),0)*(AV1077+$BA$1054)+$AW$1054*COUNTIF(AV1074:AV1076,"&gt;0")*$C$32+$AY$1054*$C$31)*$AU$1054),0)</f>
        <v>26015.71875</v>
      </c>
      <c r="AX1074">
        <f>IF(AV1074=0,0,-(COUNTIF(AV1074:AV1076,"&gt;0")*$AW$1054*$C$32+$AY$1054*$C$31)*$H$27*$AU$1054)</f>
        <v>-200.44799999999998</v>
      </c>
      <c r="AY1074">
        <f>IF(AV1074=0,0,$AY$1054*$H$26*$AU$1054)</f>
        <v>-1328.1999999999998</v>
      </c>
      <c r="AZ1074">
        <f>(0.6*AW1074+0.7*AX1074)*$AU$1054/2</f>
        <v>224302.20592500002</v>
      </c>
      <c r="BA1074">
        <f>AW1074*$AU$1054/2</f>
        <v>377227.921875</v>
      </c>
      <c r="BC1074">
        <f>IF(AV1074=0,0,$BG$1054*$AP$1046)</f>
        <v>376.565</v>
      </c>
      <c r="BD1074">
        <f>IFERROR(BC1074/$AU$1054,0)</f>
        <v>12.984999999999999</v>
      </c>
      <c r="BE1074">
        <f>BC1074*($F$22+IF($F$22=0,0,($C$14+$C$15+IF($C$13="single",1.5,3)+3)/12))</f>
        <v>4024.5384374999999</v>
      </c>
      <c r="BF1074">
        <f>BE1074-AZ1074</f>
        <v>-220277.6674875</v>
      </c>
      <c r="BG1074" cm="1">
        <f t="array" ref="BG1074">IFERROR(IF(BF1074&lt;0,0,BF1074/($AU$1054-INDEX(hd_off,MATCH(BT1074,hd_mark,0),0)/12)),0)</f>
        <v>0</v>
      </c>
      <c r="BH1074">
        <f>IF(AV1074=0,0,$BG$1054*$AM$1046)</f>
        <v>5846.4</v>
      </c>
      <c r="BI1074">
        <f>IFERROR(BH1074/$AU$1054,0)</f>
        <v>201.6</v>
      </c>
      <c r="BJ1074">
        <f>BH1074*($F$22+IF($F$22=0,0,($C$14+$C$15+IF($C$13="single",1.5,3)+3)/12))</f>
        <v>62483.399999999994</v>
      </c>
      <c r="BK1074">
        <f>BJ1074-BA1074</f>
        <v>-314744.52187499998</v>
      </c>
      <c r="BL1074" cm="1">
        <f t="array" ref="BL1074">IFERROR(IF(BK1074&lt;0,0,BK1074/($AU$1054-INDEX(hd_off,MATCH(BT1074,hd_mark,0),0)/12)),0)</f>
        <v>0</v>
      </c>
      <c r="BM1074">
        <f>MAX($F$22,$BC$1054)/$Q$1076</f>
        <v>0.30172413793103448</v>
      </c>
      <c r="BN1074">
        <f t="shared" ref="BN1074:BN1077" si="679">IF(BM1074=0,0,IF(BM1074&gt;2,1.25-0.125*BM1074,1))</f>
        <v>1</v>
      </c>
      <c r="BO1074" cm="1">
        <f t="array" ref="BO1074">IFERROR(INDEX(sheath_ecap_asd,MATCH(BS1074,sheath_mark,0),0)*BN1074,0)</f>
        <v>239.85714285714286</v>
      </c>
      <c r="BP1074" cm="1">
        <f t="array" ref="BP1074">IFERROR(INDEX(sheath_wcap_asd,MATCH(BS1074,sheath_mark,0),0)*BN1074,0)</f>
        <v>335.8</v>
      </c>
      <c r="BQ1074" cm="1">
        <f t="array" ref="BQ1074">IFERROR(INDEX(hd_cap,MATCH(BT1074,hd_mark,0),0),0)</f>
        <v>0</v>
      </c>
      <c r="BS1074" s="19">
        <v>21</v>
      </c>
      <c r="BT1074" s="19"/>
      <c r="BU1074" s="100"/>
    </row>
    <row r="1075" x14ac:dyDescent="0.25">
      <c r="B1075" t="s">
        <v>459</v>
      </c>
      <c r="C1075" s="19">
        <v>27</v>
      </c>
      <c r="D1075" s="19">
        <v>41</v>
      </c>
      <c r="E1075">
        <f t="shared" si="675"/>
        <v>68</v>
      </c>
      <c r="F1075" t="s">
        <v>506</v>
      </c>
      <c r="H1075">
        <v>10</v>
      </c>
      <c r="I1075" s="19">
        <v>30</v>
      </c>
      <c r="J1075" s="19">
        <v>0</v>
      </c>
      <c r="K1075">
        <f t="shared" si="676"/>
        <v>30</v>
      </c>
      <c r="P1075" s="93"/>
      <c r="Q1075" s="109" t="s">
        <v>491</v>
      </c>
      <c r="R1075" t="str">
        <f>$Q$1047</f>
        <v>L4</v>
      </c>
      <c r="S1075">
        <f>$E$23</f>
        <v>0</v>
      </c>
      <c r="T1075" cm="1">
        <f t="array" ref="T1075">IFERROR(IF(S1075=0,0,(INDEX($C$33:$C$38,MATCH($W$1054,$B$33:$B$38,0),0)*(S1077+$X$1054)+$T$1054*COUNTIF(S1075:S1076,"&gt;0")*$C$32+$V$1054*$C$31)*$R$1054),0)</f>
        <v>0</v>
      </c>
      <c r="U1075">
        <f>IF(S1075=0,0,-(COUNTIF(S1075:S1076,"&gt;0")*$T$1054*$C$32+$V$1054*$C$31)*$H$27*$R$1054)</f>
        <v>0</v>
      </c>
      <c r="V1075">
        <f>IF(S1075=0,0,$V$1054*$H$26*$R$1054)</f>
        <v>0</v>
      </c>
      <c r="W1075">
        <f t="shared" si="677"/>
        <v>0</v>
      </c>
      <c r="X1075">
        <f>T1075*$R$1054/2</f>
        <v>0</v>
      </c>
      <c r="Z1075">
        <f>IF(S1075=0,0,$AD$1054*$AP$1047)</f>
        <v>0</v>
      </c>
      <c r="AA1075">
        <f>IFERROR(Z1075/$R$1054,0)</f>
        <v>0</v>
      </c>
      <c r="AB1075">
        <f>Z1075*($F$23+IF($F$23=0,0,($C$14+$C$15+IF($C$13="single",1.5,3)+3)/12))</f>
        <v>0</v>
      </c>
      <c r="AC1075">
        <f>AB1075-W1075</f>
        <v>0</v>
      </c>
      <c r="AD1075" cm="1">
        <f t="array" ref="AD1075">IFERROR(IF(AC1075&lt;0,0,AC1075/($R$1054-INDEX(hd_off,MATCH(AQ1075,hd_mark,0),0)/12)),0)</f>
        <v>0</v>
      </c>
      <c r="AE1075">
        <f>IF(S1075=0,0,$AD$1054*$AM$1047)</f>
        <v>0</v>
      </c>
      <c r="AF1075">
        <f>IFERROR(AE1075/$R$1054,0)</f>
        <v>0</v>
      </c>
      <c r="AG1075">
        <f>AE1075*($F$23+IF($F$23=0,0,($C$14+$C$15+IF($C$13="single",1.5,3)+3)/12))</f>
        <v>0</v>
      </c>
      <c r="AH1075">
        <f>AG1075-X1075</f>
        <v>0</v>
      </c>
      <c r="AI1075" cm="1">
        <f t="array" ref="AI1075">IFERROR(IF(AH1075&lt;0,0,AH1075/($R$1054-INDEX(hd_off,MATCH(AQ1075,hd_mark,0),0)/12)),0)</f>
        <v>0</v>
      </c>
      <c r="AJ1075">
        <f>MAX($F$23,$AA$1054)/$Q$1076</f>
        <v>0</v>
      </c>
      <c r="AK1075">
        <f t="shared" si="678"/>
        <v>0</v>
      </c>
      <c r="AL1075" cm="1">
        <f t="array" ref="AL1075">IFERROR(INDEX(sheath_ecap_asd,MATCH(AP1075,sheath_mark,0),0)*AK1075,0)</f>
        <v>0</v>
      </c>
      <c r="AM1075" cm="1">
        <f t="array" ref="AM1075">IFERROR(INDEX(sheath_wcap_asd,MATCH(AP1075,sheath_mark,0),0)*AK1075,0)</f>
        <v>0</v>
      </c>
      <c r="AN1075" cm="1">
        <f t="array" ref="AN1075">IFERROR(INDEX(hd_cap,MATCH(AQ1075,hd_mark,0),0),0)</f>
        <v>0</v>
      </c>
      <c r="AP1075" s="19"/>
      <c r="AQ1075" s="19"/>
      <c r="AR1075" s="100"/>
      <c r="AS1075" s="93"/>
      <c r="AT1075" s="109" t="s">
        <v>491</v>
      </c>
      <c r="AU1075" t="str">
        <f>$Q$1047</f>
        <v>L4</v>
      </c>
      <c r="AV1075">
        <f>$E$23</f>
        <v>0</v>
      </c>
      <c r="AW1075" cm="1">
        <f t="array" ref="AW1075">IFERROR(IF(AV1075=0,0,(INDEX($C$33:$C$38,MATCH($AZ$1054,$B$33:$B$38,0),0)*(AV1077+$BA$1054)+$AW$1054*COUNTIF(AV1075:AV1076,"&gt;0")*$C$32+$AY$1054*$C$31)*$AU$1054),0)</f>
        <v>0</v>
      </c>
      <c r="AX1075">
        <f>IF(AV1075=0,0,-(COUNTIF(AV1075:AV1076,"&gt;0")*$AW$1054*$C$32+$AY$1054*$C$31)*$H$27*$AU$1054)</f>
        <v>0</v>
      </c>
      <c r="AY1075">
        <f>IF(AV1075=0,0,$AY$1054*$H$26*$AU$1054)</f>
        <v>0</v>
      </c>
      <c r="AZ1075">
        <f>(0.6*AW1075+0.7*AX1075)*$AU$1054/2</f>
        <v>0</v>
      </c>
      <c r="BA1075">
        <f>AW1075*$AU$1054/2</f>
        <v>0</v>
      </c>
      <c r="BC1075">
        <f>IF(AV1075=0,0,$BG$1054*$AP$1047)</f>
        <v>0</v>
      </c>
      <c r="BD1075">
        <f>IFERROR(BC1075/$AU$1054,0)</f>
        <v>0</v>
      </c>
      <c r="BE1075">
        <f>BC1075*($F$23+IF($F$23=0,0,($C$14+$C$15+IF($C$13="single",1.5,3)+3)/12))</f>
        <v>0</v>
      </c>
      <c r="BF1075">
        <f>BE1075-AZ1075</f>
        <v>0</v>
      </c>
      <c r="BG1075" cm="1">
        <f t="array" ref="BG1075">IFERROR(IF(BF1075&lt;0,0,BF1075/($AU$1054-INDEX(hd_off,MATCH(BT1075,hd_mark,0),0)/12)),0)</f>
        <v>0</v>
      </c>
      <c r="BH1075">
        <f>IF(AV1075=0,0,$BG$1054*$AM$1047)</f>
        <v>0</v>
      </c>
      <c r="BI1075">
        <f>IFERROR(BH1075/$AU$1054,0)</f>
        <v>0</v>
      </c>
      <c r="BJ1075">
        <f>BH1075*($F$23+IF($F$23=0,0,($C$14+$C$15+IF($C$13="single",1.5,3)+3)/12))</f>
        <v>0</v>
      </c>
      <c r="BK1075">
        <f>BJ1075-BA1075</f>
        <v>0</v>
      </c>
      <c r="BL1075" cm="1">
        <f t="array" ref="BL1075">IFERROR(IF(BK1075&lt;0,0,BK1075/($AU$1054-INDEX(hd_off,MATCH(BT1075,hd_mark,0),0)/12)),0)</f>
        <v>0</v>
      </c>
      <c r="BM1075">
        <f>MAX($F$23,$BD$1054)/$Q$1076</f>
        <v>0</v>
      </c>
      <c r="BN1075">
        <f t="shared" si="679"/>
        <v>0</v>
      </c>
      <c r="BO1075" cm="1">
        <f t="array" ref="BO1075">IFERROR(INDEX(sheath_ecap_asd,MATCH(BS1075,sheath_mark,0),0)*BN1075,0)</f>
        <v>0</v>
      </c>
      <c r="BP1075" cm="1">
        <f t="array" ref="BP1075">IFERROR(INDEX(sheath_wcap_asd,MATCH(BS1075,sheath_mark,0),0)*BN1075,0)</f>
        <v>0</v>
      </c>
      <c r="BQ1075" cm="1">
        <f t="array" ref="BQ1075">IFERROR(INDEX(hd_cap,MATCH(BT1075,hd_mark,0),0),0)</f>
        <v>0</v>
      </c>
      <c r="BS1075" s="19"/>
      <c r="BT1075" s="19"/>
      <c r="BU1075" s="100"/>
    </row>
    <row r="1076" x14ac:dyDescent="0.25">
      <c r="B1076" t="s">
        <v>171</v>
      </c>
      <c r="C1076" s="19">
        <v>0</v>
      </c>
      <c r="D1076" s="19">
        <v>29</v>
      </c>
      <c r="E1076">
        <f t="shared" si="675"/>
        <v>29</v>
      </c>
      <c r="H1076">
        <v>11</v>
      </c>
      <c r="I1076" s="19">
        <v>0</v>
      </c>
      <c r="J1076" s="19">
        <v>27</v>
      </c>
      <c r="K1076">
        <f t="shared" si="676"/>
        <v>27</v>
      </c>
      <c r="P1076" s="93"/>
      <c r="Q1076" s="111">
        <f>$R$1054</f>
        <v>29</v>
      </c>
      <c r="R1076" t="str">
        <f>$Q$1048</f>
        <v>L5</v>
      </c>
      <c r="S1076">
        <f>$E$24</f>
        <v>0</v>
      </c>
      <c r="T1076" cm="1">
        <f t="array" ref="T1076">IFERROR(IF(S1076=0,0,(INDEX($C$33:$C$38,MATCH($W$1054,$B$33:$B$38,0),0)*(S1077+$X$1054)+$T$1054*COUNTIF(S1076:S1076,"&gt;0")*$C$32+$V$1054*$C$31)*$R$1054),0)</f>
        <v>0</v>
      </c>
      <c r="U1076">
        <f>IF(S1076=0,0,-(COUNTIF(S1076:S1076,"&gt;0")*$T$1054*$C$32+$V$1054*$C$31)*$H$27*$R$1054)</f>
        <v>0</v>
      </c>
      <c r="V1076">
        <f>IF(S1076=0,0,$V$1054*$H$26*$R$1054)</f>
        <v>0</v>
      </c>
      <c r="W1076">
        <f t="shared" si="677"/>
        <v>0</v>
      </c>
      <c r="X1076">
        <f>T1076*$R$1054/2</f>
        <v>0</v>
      </c>
      <c r="Z1076">
        <f>IF(S1076=0,0,$AD$1054*$AP$1048)</f>
        <v>0</v>
      </c>
      <c r="AA1076">
        <f>IFERROR(Z1076/$R$1054,0)</f>
        <v>0</v>
      </c>
      <c r="AB1076">
        <f>Z1076*($F$24+IF($F$24=0,0,($C$14+$C$15+IF($C$13="single",1.5,3)+3)/12))</f>
        <v>0</v>
      </c>
      <c r="AC1076">
        <f>AB1076-W1076</f>
        <v>0</v>
      </c>
      <c r="AD1076" cm="1">
        <f t="array" ref="AD1076">IFERROR(IF(AC1076&lt;0,0,AC1076/($R$1054-INDEX(hd_off,MATCH(AQ1076,hd_mark,0),0)/12)),0)</f>
        <v>0</v>
      </c>
      <c r="AE1076">
        <f>IF(S1076=0,0,$AD$1054*$AM$1048)</f>
        <v>0</v>
      </c>
      <c r="AF1076">
        <f>IFERROR(AE1076/$R$1054,0)</f>
        <v>0</v>
      </c>
      <c r="AG1076">
        <f>AE1076*($F$24+IF($F$24=0,0,($C$14+$C$15+IF($C$13="single",1.5,3)+3)/12))</f>
        <v>0</v>
      </c>
      <c r="AH1076">
        <f>AG1076-X1076</f>
        <v>0</v>
      </c>
      <c r="AI1076" cm="1">
        <f t="array" ref="AI1076">IFERROR(IF(AH1076&lt;0,0,AH1076/($R$1054-INDEX(hd_off,MATCH(AQ1076,hd_mark,0),0)/12)),0)</f>
        <v>0</v>
      </c>
      <c r="AJ1076">
        <f>MAX($F$24,$AB$1054)/$Q$1076</f>
        <v>0</v>
      </c>
      <c r="AK1076">
        <f t="shared" si="678"/>
        <v>0</v>
      </c>
      <c r="AL1076" cm="1">
        <f t="array" ref="AL1076">IFERROR(INDEX(sheath_ecap_asd,MATCH(AP1076,sheath_mark,0),0)*AK1076,0)</f>
        <v>0</v>
      </c>
      <c r="AM1076" cm="1">
        <f t="array" ref="AM1076">IFERROR(INDEX(sheath_wcap_asd,MATCH(AP1076,sheath_mark,0),0)*AK1076,0)</f>
        <v>0</v>
      </c>
      <c r="AN1076" cm="1">
        <f t="array" ref="AN1076">IFERROR(INDEX(hd_cap,MATCH(AQ1076,hd_mark,0),0),0)</f>
        <v>0</v>
      </c>
      <c r="AP1076" s="19"/>
      <c r="AQ1076" s="19"/>
      <c r="AR1076" s="100"/>
      <c r="AS1076" s="93"/>
      <c r="AT1076" s="111">
        <f>$R$1054</f>
        <v>29</v>
      </c>
      <c r="AU1076" t="str">
        <f>$Q$1048</f>
        <v>L5</v>
      </c>
      <c r="AV1076">
        <f>$E$24</f>
        <v>0</v>
      </c>
      <c r="AW1076" cm="1">
        <f t="array" ref="AW1076">IFERROR(IF(AV1076=0,0,(INDEX($C$33:$C$38,MATCH($AZ$1054,$B$33:$B$38,0),0)*(AV1077+$BA$1054)+$AW$1054*COUNTIF(AV1076:AV1076,"&gt;0")*$C$32+$AY$1054*$C$31)*$AU$1054),0)</f>
        <v>0</v>
      </c>
      <c r="AX1076">
        <f>IF(AV1076=0,0,-(COUNTIF(AV1076:AV1076,"&gt;0")*$AW$1054*$C$32+$AY$1054*$C$31)*$H$27*$AU$1054)</f>
        <v>0</v>
      </c>
      <c r="AY1076">
        <f>IF(AV1076=0,0,$AY$1054*$H$26*$AU$1054)</f>
        <v>0</v>
      </c>
      <c r="AZ1076">
        <f>(0.6*AW1076+0.7*AX1076)*$AU$1054/2</f>
        <v>0</v>
      </c>
      <c r="BA1076">
        <f>AW1076*$AU$1054/2</f>
        <v>0</v>
      </c>
      <c r="BC1076">
        <f>IF(AV1076=0,0,$BG$1054*$AP$1048)</f>
        <v>0</v>
      </c>
      <c r="BD1076">
        <f>IFERROR(BC1076/$AU$1054,0)</f>
        <v>0</v>
      </c>
      <c r="BE1076">
        <f>BC1076*($F$24+IF($F$24=0,0,($C$14+$C$15+IF($C$13="single",1.5,3)+3)/12))</f>
        <v>0</v>
      </c>
      <c r="BF1076">
        <f>BE1076-AZ1076</f>
        <v>0</v>
      </c>
      <c r="BG1076" cm="1">
        <f t="array" ref="BG1076">IFERROR(IF(BF1076&lt;0,0,BF1076/($AU$1054-INDEX(hd_off,MATCH(BT1076,hd_mark,0),0)/12)),0)</f>
        <v>0</v>
      </c>
      <c r="BH1076">
        <f>IF(AV1076=0,0,$BG$1054*$AM$1048)</f>
        <v>0</v>
      </c>
      <c r="BI1076">
        <f>IFERROR(BH1076/$AU$1054,0)</f>
        <v>0</v>
      </c>
      <c r="BJ1076">
        <f>BH1076*($F$24+IF($F$24=0,0,($C$14+$C$15+IF($C$13="single",1.5,3)+3)/12))</f>
        <v>0</v>
      </c>
      <c r="BK1076">
        <f>BJ1076-BA1076</f>
        <v>0</v>
      </c>
      <c r="BL1076" cm="1">
        <f t="array" ref="BL1076">IFERROR(IF(BK1076&lt;0,0,BK1076/($AU$1054-INDEX(hd_off,MATCH(BT1076,hd_mark,0),0)/12)),0)</f>
        <v>0</v>
      </c>
      <c r="BM1076">
        <f>MAX($F$24,$BE$1054)/$Q$1076</f>
        <v>0</v>
      </c>
      <c r="BN1076">
        <f t="shared" si="679"/>
        <v>0</v>
      </c>
      <c r="BO1076" cm="1">
        <f t="array" ref="BO1076">IFERROR(INDEX(sheath_ecap_asd,MATCH(BS1076,sheath_mark,0),0)*BN1076,0)</f>
        <v>0</v>
      </c>
      <c r="BP1076" cm="1">
        <f t="array" ref="BP1076">IFERROR(INDEX(sheath_wcap_asd,MATCH(BS1076,sheath_mark,0),0)*BN1076,0)</f>
        <v>0</v>
      </c>
      <c r="BQ1076" cm="1">
        <f t="array" ref="BQ1076">IFERROR(INDEX(hd_cap,MATCH(BT1076,hd_mark,0),0),0)</f>
        <v>0</v>
      </c>
      <c r="BS1076" s="19"/>
      <c r="BT1076" s="19"/>
      <c r="BU1076" s="100"/>
    </row>
    <row r="1077" x14ac:dyDescent="0.25">
      <c r="B1077" t="s">
        <v>460</v>
      </c>
      <c r="C1077" s="19">
        <v>29</v>
      </c>
      <c r="D1077" s="19">
        <v>6</v>
      </c>
      <c r="E1077">
        <f t="shared" si="675"/>
        <v>35</v>
      </c>
      <c r="H1077">
        <v>12</v>
      </c>
      <c r="I1077" s="19">
        <v>27</v>
      </c>
      <c r="J1077" s="19">
        <v>14</v>
      </c>
      <c r="K1077">
        <f t="shared" si="676"/>
        <v>41</v>
      </c>
      <c r="P1077" s="93"/>
      <c r="Q1077" s="109"/>
      <c r="R1077" t="str">
        <f>$Q$1049</f>
        <v>Roof</v>
      </c>
      <c r="S1077">
        <f>$E$25</f>
        <v>33.171875</v>
      </c>
      <c r="T1077" cm="1">
        <f t="array" ref="T1077">IFERROR(IF(S1077=0,0,(INDEX($C$33:$C$38,MATCH($W$1054,$B$33:$B$38,0),0)*(S1077+$X$1054)+$V$1054*$C$31)*$R$1054),0)</f>
        <v>21491.71875</v>
      </c>
      <c r="U1077">
        <f>IF(S1077=0,0,-$V$1054*$C$31*$H$27*$R$1054)</f>
        <v>-37.583999999999996</v>
      </c>
      <c r="V1077">
        <f>IF(S1077=0,0,$V$1054*$H$26*$R$1054)</f>
        <v>-1328.1999999999998</v>
      </c>
      <c r="W1077">
        <f>(0.6*T1077+0.7*U1077)*$R$1054/2</f>
        <v>186596.47552499999</v>
      </c>
      <c r="X1077">
        <f>T1077*$R$1054/2</f>
        <v>311629.921875</v>
      </c>
      <c r="Z1077">
        <f>IF(S1077=0,0,$AD$1054*$AP$1049)</f>
        <v>191.83499999999995</v>
      </c>
      <c r="AA1077">
        <f>IFERROR(Z1077/$R$1054,0)</f>
        <v>6.6149999999999984</v>
      </c>
      <c r="AB1077">
        <f>Z1077*($F$25+($C$16+$C$17+IF($C$13="single",1.5,3)+3)/12)</f>
        <v>2263.0535156249989</v>
      </c>
      <c r="AC1077">
        <f>AB1077-W1077</f>
        <v>-184333.42200937498</v>
      </c>
      <c r="AD1077" cm="1">
        <f t="array" ref="AD1077">IFERROR(IF(AC1077&lt;0,0,AC1077/($R$1054-INDEX(hd_off,MATCH(AQ1077,hd_mark,0),0)/12)),0)</f>
        <v>0</v>
      </c>
      <c r="AE1077">
        <f>IF(S1077=0,0,$AD$1054*$AM$1049)</f>
        <v>3854.1</v>
      </c>
      <c r="AF1077">
        <f>IFERROR(AE1077/$R$1054,0)</f>
        <v>132.9</v>
      </c>
      <c r="AG1077">
        <f>AE1077*($F$25+($C$16+$C$17+IF($C$13="single",1.5,3)+3)/12)</f>
        <v>45466.335937499993</v>
      </c>
      <c r="AH1077">
        <f>AG1077-X1077</f>
        <v>-266163.5859375</v>
      </c>
      <c r="AI1077" cm="1">
        <f t="array" ref="AI1077">IFERROR(IF(AH1077&lt;0,0,AH1077/($R$1054-INDEX(hd_off,MATCH(AQ1077,hd_mark,0),0)/12)),0)</f>
        <v>0</v>
      </c>
      <c r="AJ1077">
        <f>MAX($F$25,$AC$1054)/$Q$1076</f>
        <v>0.29920977011494249</v>
      </c>
      <c r="AK1077">
        <f t="shared" si="678"/>
        <v>1</v>
      </c>
      <c r="AL1077" cm="1">
        <f t="array" ref="AL1077">IFERROR(INDEX(sheath_ecap_asd,MATCH(AP1077,sheath_mark,0),0)*AK1077,0)</f>
        <v>95.285714285714306</v>
      </c>
      <c r="AM1077" cm="1">
        <f t="array" ref="AM1077">IFERROR(INDEX(sheath_wcap_asd,MATCH(AP1077,sheath_mark,0),0)*AK1077,0)</f>
        <v>133.4</v>
      </c>
      <c r="AN1077" cm="1">
        <f t="array" ref="AN1077">IFERROR(INDEX(hd_cap,MATCH(AQ1077,hd_mark,0),0),0)</f>
        <v>0</v>
      </c>
      <c r="AP1077" s="19">
        <v>11</v>
      </c>
      <c r="AQ1077" s="19"/>
      <c r="AR1077" s="100"/>
      <c r="AS1077" s="93"/>
      <c r="AT1077" s="109"/>
      <c r="AU1077" t="str">
        <f>$Q$1049</f>
        <v>Roof</v>
      </c>
      <c r="AV1077">
        <f>$E$25</f>
        <v>33.171875</v>
      </c>
      <c r="AW1077" cm="1">
        <f t="array" ref="AW1077">IFERROR(IF(AV1077=0,0,(INDEX($C$33:$C$38,MATCH($AZ$1054,$B$33:$B$38,0),0)*(AV1077+$BA$1054)+$AY$1054*$C$31)*$AU$1054),0)</f>
        <v>21491.71875</v>
      </c>
      <c r="AX1077">
        <f>IF(AV1077=0,0,-$AY$1054*$C$31*$H$27*$AU$1054)</f>
        <v>-37.583999999999996</v>
      </c>
      <c r="AY1077">
        <f>IF(AV1077=0,0,$AY$1054*$H$26*$AU$1054)</f>
        <v>-1328.1999999999998</v>
      </c>
      <c r="AZ1077">
        <f>(0.6*AW1077+0.7*AX1077)*$AU$1054/2</f>
        <v>186596.47552499999</v>
      </c>
      <c r="BA1077">
        <f>AW1077*$AU$1054/2</f>
        <v>311629.921875</v>
      </c>
      <c r="BC1077">
        <f>IF(AV1077=0,0,$BG$1054*$AP$1049)</f>
        <v>191.83499999999995</v>
      </c>
      <c r="BD1077">
        <f>IFERROR(BC1077/$AU$1054,0)</f>
        <v>6.6149999999999984</v>
      </c>
      <c r="BE1077">
        <f>BC1077*($F$25+($C$16+$C$17+IF($C$13="single",1.5,3)+3)/12)</f>
        <v>2263.0535156249989</v>
      </c>
      <c r="BF1077">
        <f>BE1077-AZ1077</f>
        <v>-184333.42200937498</v>
      </c>
      <c r="BG1077" cm="1">
        <f t="array" ref="BG1077">IFERROR(IF(BF1077&lt;0,0,BF1077/($AU$1054-INDEX(hd_off,MATCH(BT1077,hd_mark,0),0)/12)),0)</f>
        <v>0</v>
      </c>
      <c r="BH1077">
        <f>IF(AV1077=0,0,$BG$1054*$AM$1049)</f>
        <v>3854.1</v>
      </c>
      <c r="BI1077">
        <f>IFERROR(BH1077/$AU$1054,0)</f>
        <v>132.9</v>
      </c>
      <c r="BJ1077">
        <f>BH1077*($F$25+($C$16+$C$17+IF($C$13="single",1.5,3)+3)/12)</f>
        <v>45466.335937499993</v>
      </c>
      <c r="BK1077">
        <f>BJ1077-BA1077</f>
        <v>-266163.5859375</v>
      </c>
      <c r="BL1077" cm="1">
        <f t="array" ref="BL1077">IFERROR(IF(BK1077&lt;0,0,BK1077/($AU$1054-INDEX(hd_off,MATCH(BT1077,hd_mark,0),0)/12)),0)</f>
        <v>0</v>
      </c>
      <c r="BM1077">
        <f>MAX($F$25,$BF$1054)/$Q$1076</f>
        <v>0.29920977011494249</v>
      </c>
      <c r="BN1077">
        <f t="shared" si="679"/>
        <v>1</v>
      </c>
      <c r="BO1077" cm="1">
        <f t="array" ref="BO1077">IFERROR(INDEX(sheath_ecap_asd,MATCH(BS1077,sheath_mark,0),0)*BN1077,0)</f>
        <v>95.285714285714306</v>
      </c>
      <c r="BP1077" cm="1">
        <f t="array" ref="BP1077">IFERROR(INDEX(sheath_wcap_asd,MATCH(BS1077,sheath_mark,0),0)*BN1077,0)</f>
        <v>133.4</v>
      </c>
      <c r="BQ1077" cm="1">
        <f t="array" ref="BQ1077">IFERROR(INDEX(hd_cap,MATCH(BT1077,hd_mark,0),0),0)</f>
        <v>0</v>
      </c>
      <c r="BS1077" s="19">
        <v>11</v>
      </c>
      <c r="BT1077" s="19"/>
      <c r="BU1077" s="100"/>
    </row>
    <row r="1078" x14ac:dyDescent="0.25">
      <c r="B1078" t="s">
        <v>461</v>
      </c>
      <c r="C1078" s="19">
        <v>6</v>
      </c>
      <c r="D1078" s="19">
        <v>29</v>
      </c>
      <c r="E1078">
        <f t="shared" si="675"/>
        <v>35</v>
      </c>
      <c r="H1078">
        <v>13</v>
      </c>
      <c r="I1078" s="19">
        <v>14</v>
      </c>
      <c r="J1078" s="19">
        <v>12</v>
      </c>
      <c r="K1078">
        <f t="shared" si="676"/>
        <v>26</v>
      </c>
      <c r="P1078" s="93"/>
      <c r="Q1078" s="109"/>
      <c r="AR1078" s="100"/>
      <c r="AS1078" s="93"/>
      <c r="AT1078" s="109"/>
      <c r="BU1078" s="100"/>
    </row>
    <row r="1079" x14ac:dyDescent="0.25">
      <c r="B1079" t="s">
        <v>462</v>
      </c>
      <c r="C1079" s="19">
        <v>29</v>
      </c>
      <c r="D1079" s="19">
        <v>0</v>
      </c>
      <c r="E1079">
        <f t="shared" si="675"/>
        <v>29</v>
      </c>
      <c r="H1079">
        <v>14</v>
      </c>
      <c r="I1079" s="19">
        <v>12</v>
      </c>
      <c r="J1079" s="19">
        <v>27</v>
      </c>
      <c r="K1079">
        <f t="shared" si="676"/>
        <v>39</v>
      </c>
      <c r="P1079" s="93"/>
      <c r="Q1079" s="110" t="str">
        <f>$Q$1055</f>
        <v>A.02</v>
      </c>
      <c r="R1079" t="str">
        <f>$Q$1045</f>
        <v>L2</v>
      </c>
      <c r="S1079">
        <f>$E$21</f>
        <v>10.6875</v>
      </c>
      <c r="T1079" cm="1">
        <f t="array" ref="T1079">IFERROR(IF(S1079=0,0,(INDEX($C$33:$C$38,MATCH($W$1055,$B$33:$B$38,0),0)*(S1083+$X$1055)+$T$1055*COUNTIF(S1079:S1082,"&gt;0")*$C$32+$V$1055*$C$31)*$R$1055),0)</f>
        <v>0</v>
      </c>
      <c r="U1079">
        <f>IF(S1079=0,0,-(COUNTIF(S1079:S1082,"&gt;0")*$T$1055*$C$32+$V$1055*$C$31)*$H$27*$R$1055)</f>
        <v>0</v>
      </c>
      <c r="V1079">
        <f>IF(S1079=0,0,$V$1055*$H$26*$R$1055)</f>
        <v>0</v>
      </c>
      <c r="W1079">
        <f>(0.6*T1079+0.7*U1079)*$R$1055/2</f>
        <v>0</v>
      </c>
      <c r="X1079">
        <f>(0.6*T1079+0.6*V1079)*$R$1055/2</f>
        <v>0</v>
      </c>
      <c r="Z1079">
        <f>IF(S1079=0,0,$AD$1055*$AP$1045)</f>
        <v>0</v>
      </c>
      <c r="AA1079">
        <f>IFERROR(Z1079/$R$1055,0)</f>
        <v>0</v>
      </c>
      <c r="AB1079">
        <f>Z1079*($F$21+IF($F$21=0,0,($C$14+$C$15+IF($C$13="single",1.5,3)+3)/12))</f>
        <v>0</v>
      </c>
      <c r="AC1079">
        <f>AB1079-W1079</f>
        <v>0</v>
      </c>
      <c r="AD1079" cm="1">
        <f t="array" ref="AD1079">IFERROR(IF(AC1079&lt;0,0,AC1079/($R$1055-INDEX(hd_off,MATCH(AQ1079,hd_mark,0),0)/12)),0)</f>
        <v>0</v>
      </c>
      <c r="AE1079">
        <f>IF(S1079=0,0,$AD$1055*$AM$1045)</f>
        <v>0</v>
      </c>
      <c r="AF1079">
        <f>IFERROR(AE1079/$R$1055,0)</f>
        <v>0</v>
      </c>
      <c r="AG1079">
        <f>AE1079*($F$21+IF($F$21=0,0,($C$14+$C$15+IF($C$13="single",1.5,3)+3)/12))</f>
        <v>0</v>
      </c>
      <c r="AH1079">
        <f>AG1079-X1079</f>
        <v>0</v>
      </c>
      <c r="AI1079" cm="1">
        <f t="array" ref="AI1079">IFERROR(IF(AH1079&lt;0,0,AH1079/($R$1055-INDEX(hd_off,MATCH(AQ1079,hd_mark,0),0)/12)),0)</f>
        <v>0</v>
      </c>
      <c r="AJ1079">
        <f>MAX($F$21,$Y$1055)/$Q$1076</f>
        <v>0.30172413793103448</v>
      </c>
      <c r="AK1079">
        <f>IF(AJ1079=0,0,IF(AJ1079&gt;2,1.25-0.125*AJ1079,1))</f>
        <v>1</v>
      </c>
      <c r="AL1079" cm="1">
        <f t="array" ref="AL1079">IFERROR(INDEX(sheath_ecap_asd,MATCH(AP1079,sheath_mark,0),0)*AK1079,0)</f>
        <v>0</v>
      </c>
      <c r="AM1079" cm="1">
        <f t="array" ref="AM1079">IFERROR(INDEX(sheath_wcap_asd,MATCH(AP1079,sheath_mark,0),0)*AK1079,0)</f>
        <v>0</v>
      </c>
      <c r="AN1079" cm="1">
        <f t="array" ref="AN1079">IFERROR(INDEX(hd_cap,MATCH(AQ1079,hd_mark,0),0),0)</f>
        <v>0</v>
      </c>
      <c r="AP1079" s="19"/>
      <c r="AQ1079" s="19"/>
      <c r="AR1079" s="100"/>
      <c r="AS1079" s="93"/>
      <c r="AT1079" s="110" t="str">
        <f>$AT$1055</f>
        <v>1.02</v>
      </c>
      <c r="AU1079" t="str">
        <f>$Q$1045</f>
        <v>L2</v>
      </c>
      <c r="AV1079">
        <f>$E$21</f>
        <v>10.6875</v>
      </c>
      <c r="AW1079" cm="1">
        <f t="array" ref="AW1079">IFERROR(IF(AV1079=0,0,(INDEX($C$33:$C$38,MATCH($AZ$1055,$B$33:$B$38,0),0)*(AV1083+$BA$1055)+$AW$1055*COUNTIF(AV1079:AV1082,"&gt;0")*$C$32+$AY$1055*$C$31)*$AU$1055),0)</f>
        <v>0</v>
      </c>
      <c r="AX1079">
        <f>IF(AV1079=0,0,-(COUNTIF(AV1079:AV1082,"&gt;0")*$AW$1055*$C$32+$AY$1055*$C$31)*$H$27*$AU$1055)</f>
        <v>0</v>
      </c>
      <c r="AY1079">
        <f>IF(AV1079=0,0,$AY$1055*$H$26*$AU$1055)</f>
        <v>0</v>
      </c>
      <c r="AZ1079">
        <f>(0.6*AW1079+0.7*AX1079)*$AU$1055/2</f>
        <v>0</v>
      </c>
      <c r="BA1079">
        <f>(0.6*AW1079+0.6*AY1079)*$AU$1055/2</f>
        <v>0</v>
      </c>
      <c r="BC1079">
        <f>IF(AV1079=0,0,$BG$1055*$AP$1045)</f>
        <v>0</v>
      </c>
      <c r="BD1079">
        <f>IFERROR(BC1079/$AU$1055,0)</f>
        <v>0</v>
      </c>
      <c r="BE1079">
        <f>BC1079*($F$21+IF($F$21=0,0,($C$14+$C$15+IF($C$13="single",1.5,3)+3)/12))</f>
        <v>0</v>
      </c>
      <c r="BF1079">
        <f>BE1079-AZ1079</f>
        <v>0</v>
      </c>
      <c r="BG1079" cm="1">
        <f t="array" ref="BG1079">IFERROR(IF(BF1079&lt;0,0,BF1079/($AU$1055-INDEX(hd_off,MATCH(BT1079,hd_mark,0),0)/12)),0)</f>
        <v>0</v>
      </c>
      <c r="BH1079">
        <f>IF(AV1079=0,0,$BG$1055*$AM$1045)</f>
        <v>0</v>
      </c>
      <c r="BI1079">
        <f>IFERROR(BH1079/$AU$1055,0)</f>
        <v>0</v>
      </c>
      <c r="BJ1079">
        <f>BH1079*($F$21+IF($F$21=0,0,($C$14+$C$15+IF($C$13="single",1.5,3)+3)/12))</f>
        <v>0</v>
      </c>
      <c r="BK1079">
        <f>BJ1079-BA1079</f>
        <v>0</v>
      </c>
      <c r="BL1079" cm="1">
        <f t="array" ref="BL1079">IFERROR(IF(BK1079&lt;0,0,BK1079/($AU$1055-INDEX(hd_off,MATCH(BT1079,hd_mark,0),0)/12)),0)</f>
        <v>0</v>
      </c>
      <c r="BM1079">
        <f>MAX($F$21,$BB$1055)/$Q$1076</f>
        <v>0.30172413793103448</v>
      </c>
      <c r="BN1079">
        <f>IF(BM1079=0,0,IF(BM1079&gt;2,1.25-0.125*BM1079,1))</f>
        <v>1</v>
      </c>
      <c r="BO1079" cm="1">
        <f t="array" ref="BO1079">IFERROR(INDEX(sheath_ecap_asd,MATCH(BS1079,sheath_mark,0),0)*BN1079,0)</f>
        <v>0</v>
      </c>
      <c r="BP1079" cm="1">
        <f t="array" ref="BP1079">IFERROR(INDEX(sheath_wcap_asd,MATCH(BS1079,sheath_mark,0),0)*BN1079,0)</f>
        <v>0</v>
      </c>
      <c r="BQ1079" cm="1">
        <f t="array" ref="BQ1079">IFERROR(INDEX(hd_cap,MATCH(BT1079,hd_mark,0),0),0)</f>
        <v>0</v>
      </c>
      <c r="BS1079" s="19"/>
      <c r="BT1079" s="19"/>
      <c r="BU1079" s="100"/>
    </row>
    <row r="1080" x14ac:dyDescent="0.25">
      <c r="B1080" t="s">
        <v>463</v>
      </c>
      <c r="C1080" s="19"/>
      <c r="D1080" s="19"/>
      <c r="E1080">
        <f t="shared" si="675"/>
        <v>0</v>
      </c>
      <c r="H1080">
        <v>15</v>
      </c>
      <c r="I1080" s="19">
        <v>27</v>
      </c>
      <c r="J1080" s="19">
        <v>18</v>
      </c>
      <c r="K1080">
        <f t="shared" si="676"/>
        <v>45</v>
      </c>
      <c r="P1080" s="93"/>
      <c r="Q1080" s="109"/>
      <c r="R1080" t="str">
        <f>$Q$1046</f>
        <v>L3</v>
      </c>
      <c r="S1080">
        <f>$E$22</f>
        <v>21.375</v>
      </c>
      <c r="T1080" cm="1">
        <f t="array" ref="T1080">IFERROR(IF(S1080=0,0,(INDEX($C$33:$C$38,MATCH($W$1055,$B$33:$B$38,0),0)*(S1083+$X$1055)+$T$1055*COUNTIF(S1080:S1082,"&gt;0")*$C$32+$V$1055*$C$31)*$R$1055),0)</f>
        <v>0</v>
      </c>
      <c r="U1080">
        <f>IF(S1080=0,0,-(COUNTIF(S1080:S1082,"&gt;0")*$T$1055*$C$32+$V$1055*$C$31)*$H$27*$R$1055)</f>
        <v>0</v>
      </c>
      <c r="V1080">
        <f>IF(S1080=0,0,$V$1055*$H$26*$R$1055)</f>
        <v>0</v>
      </c>
      <c r="W1080">
        <f>(0.6*T1080+0.7*U1080)*$R$1055/2</f>
        <v>0</v>
      </c>
      <c r="X1080">
        <f>T1080*$R$1055/2</f>
        <v>0</v>
      </c>
      <c r="Z1080">
        <f>IF(S1080=0,0,$AD$1055*$AP$1046)</f>
        <v>0</v>
      </c>
      <c r="AA1080">
        <f>IFERROR(Z1080/$R$1055,0)</f>
        <v>0</v>
      </c>
      <c r="AB1080">
        <f>Z1080*($F$22+IF($F$22=0,0,($C$14+$C$15+IF($C$13="single",1.5,3)+3)/12))</f>
        <v>0</v>
      </c>
      <c r="AC1080">
        <f>AB1080-W1080</f>
        <v>0</v>
      </c>
      <c r="AD1080" cm="1">
        <f t="array" ref="AD1080">IFERROR(IF(AC1080&lt;0,0,AC1080/($R$1055-INDEX(hd_off,MATCH(AQ1080,hd_mark,0),0)/12)),0)</f>
        <v>0</v>
      </c>
      <c r="AE1080">
        <f>IF(S1080=0,0,$AD$1055*$AM$1046)</f>
        <v>0</v>
      </c>
      <c r="AF1080">
        <f>IFERROR(AE1080/$R$1055,0)</f>
        <v>0</v>
      </c>
      <c r="AG1080">
        <f>AE1080*($F$22+IF($F$22=0,0,($C$14+$C$15+IF($C$13="single",1.5,3)+3)/12))</f>
        <v>0</v>
      </c>
      <c r="AH1080">
        <f>AG1080-X1080</f>
        <v>0</v>
      </c>
      <c r="AI1080" cm="1">
        <f t="array" ref="AI1080">IFERROR(IF(AH1080&lt;0,0,AH1080/($R$1055-INDEX(hd_off,MATCH(AQ1080,hd_mark,0),0)/12)),0)</f>
        <v>0</v>
      </c>
      <c r="AJ1080">
        <f>MAX($F$22,$Z$1055)/$Q$1076</f>
        <v>0.30172413793103448</v>
      </c>
      <c r="AK1080">
        <f t="shared" ref="AK1080:AK1083" si="680">IF(AJ1080=0,0,IF(AJ1080&gt;2,1.25-0.125*AJ1080,1))</f>
        <v>1</v>
      </c>
      <c r="AL1080" cm="1">
        <f t="array" ref="AL1080">IFERROR(INDEX(sheath_ecap_asd,MATCH(AP1080,sheath_mark,0),0)*AK1080,0)</f>
        <v>0</v>
      </c>
      <c r="AM1080" cm="1">
        <f t="array" ref="AM1080">IFERROR(INDEX(sheath_wcap_asd,MATCH(AP1080,sheath_mark,0),0)*AK1080,0)</f>
        <v>0</v>
      </c>
      <c r="AN1080" cm="1">
        <f t="array" ref="AN1080">IFERROR(INDEX(hd_cap,MATCH(AQ1080,hd_mark,0),0),0)</f>
        <v>0</v>
      </c>
      <c r="AP1080" s="19"/>
      <c r="AQ1080" s="19"/>
      <c r="AR1080" s="100"/>
      <c r="AS1080" s="93"/>
      <c r="AT1080" s="109"/>
      <c r="AU1080" t="str">
        <f>$Q$1046</f>
        <v>L3</v>
      </c>
      <c r="AV1080">
        <f>$E$22</f>
        <v>21.375</v>
      </c>
      <c r="AW1080" cm="1">
        <f t="array" ref="AW1080">IFERROR(IF(AV1080=0,0,(INDEX($C$33:$C$38,MATCH($AZ$1055,$B$33:$B$38,0),0)*(AV1083+$BA$1055)+$AW$1055*COUNTIF(AV1080:AV1082,"&gt;0")*$C$32+$AY$1055*$C$31)*$AU$1055),0)</f>
        <v>0</v>
      </c>
      <c r="AX1080">
        <f>IF(AV1080=0,0,-(COUNTIF(AV1080:AV1082,"&gt;0")*$AW$1055*$C$32+$AY$1055*$C$31)*$H$27*$AU$1055)</f>
        <v>0</v>
      </c>
      <c r="AY1080">
        <f>IF(AV1080=0,0,$AY$1055*$H$26*$AU$1055)</f>
        <v>0</v>
      </c>
      <c r="AZ1080">
        <f>(0.6*AW1080+0.7*AX1080)*$AU$1055/2</f>
        <v>0</v>
      </c>
      <c r="BA1080">
        <f>AW1080*$AU$1055/2</f>
        <v>0</v>
      </c>
      <c r="BC1080">
        <f>IF(AV1080=0,0,$BG$1055*$AP$1046)</f>
        <v>0</v>
      </c>
      <c r="BD1080">
        <f>IFERROR(BC1080/$AU$1055,0)</f>
        <v>0</v>
      </c>
      <c r="BE1080">
        <f>BC1080*($F$22+IF($F$22=0,0,($C$14+$C$15+IF($C$13="single",1.5,3)+3)/12))</f>
        <v>0</v>
      </c>
      <c r="BF1080">
        <f>BE1080-AZ1080</f>
        <v>0</v>
      </c>
      <c r="BG1080" cm="1">
        <f t="array" ref="BG1080">IFERROR(IF(BF1080&lt;0,0,BF1080/($AU$1055-INDEX(hd_off,MATCH(BT1080,hd_mark,0),0)/12)),0)</f>
        <v>0</v>
      </c>
      <c r="BH1080">
        <f>IF(AV1080=0,0,$BG$1055*$AM$1046)</f>
        <v>0</v>
      </c>
      <c r="BI1080">
        <f>IFERROR(BH1080/$AU$1055,0)</f>
        <v>0</v>
      </c>
      <c r="BJ1080">
        <f>BH1080*($F$22+IF($F$22=0,0,($C$14+$C$15+IF($C$13="single",1.5,3)+3)/12))</f>
        <v>0</v>
      </c>
      <c r="BK1080">
        <f>BJ1080-BA1080</f>
        <v>0</v>
      </c>
      <c r="BL1080" cm="1">
        <f t="array" ref="BL1080">IFERROR(IF(BK1080&lt;0,0,BK1080/($AU$1055-INDEX(hd_off,MATCH(BT1080,hd_mark,0),0)/12)),0)</f>
        <v>0</v>
      </c>
      <c r="BM1080">
        <f>MAX($F$22,$BC$1055)/$Q$1076</f>
        <v>0.30172413793103448</v>
      </c>
      <c r="BN1080">
        <f t="shared" ref="BN1080:BN1083" si="681">IF(BM1080=0,0,IF(BM1080&gt;2,1.25-0.125*BM1080,1))</f>
        <v>1</v>
      </c>
      <c r="BO1080" cm="1">
        <f t="array" ref="BO1080">IFERROR(INDEX(sheath_ecap_asd,MATCH(BS1080,sheath_mark,0),0)*BN1080,0)</f>
        <v>0</v>
      </c>
      <c r="BP1080" cm="1">
        <f t="array" ref="BP1080">IFERROR(INDEX(sheath_wcap_asd,MATCH(BS1080,sheath_mark,0),0)*BN1080,0)</f>
        <v>0</v>
      </c>
      <c r="BQ1080" cm="1">
        <f t="array" ref="BQ1080">IFERROR(INDEX(hd_cap,MATCH(BT1080,hd_mark,0),0),0)</f>
        <v>0</v>
      </c>
      <c r="BS1080" s="19"/>
      <c r="BT1080" s="19"/>
      <c r="BU1080" s="100"/>
    </row>
    <row r="1081" x14ac:dyDescent="0.25">
      <c r="B1081" t="s">
        <v>464</v>
      </c>
      <c r="C1081" s="19"/>
      <c r="D1081" s="19"/>
      <c r="E1081">
        <f t="shared" si="675"/>
        <v>0</v>
      </c>
      <c r="H1081">
        <v>16</v>
      </c>
      <c r="I1081" s="19"/>
      <c r="J1081" s="19"/>
      <c r="K1081">
        <f t="shared" si="676"/>
        <v>0</v>
      </c>
      <c r="P1081" s="93"/>
      <c r="Q1081" s="109" t="s">
        <v>491</v>
      </c>
      <c r="R1081" t="str">
        <f>$Q$1047</f>
        <v>L4</v>
      </c>
      <c r="S1081">
        <f>$E$23</f>
        <v>0</v>
      </c>
      <c r="T1081" cm="1">
        <f t="array" ref="T1081">IFERROR(IF(S1081=0,0,(INDEX($C$33:$C$38,MATCH($W$1055,$B$33:$B$38,0),0)*(S1083+$X$1055)+$T$1055*COUNTIF(S1081:S1082,"&gt;0")*$C$32+$V$1055*$C$31)*$R$1055),0)</f>
        <v>0</v>
      </c>
      <c r="U1081">
        <f>IF(S1081=0,0,-(COUNTIF(S1081:S1082,"&gt;0")*$T$1055*$C$32+$V$1055*$C$31)*$H$27*$R$1055)</f>
        <v>0</v>
      </c>
      <c r="V1081">
        <f>IF(S1081=0,0,$V$1055*$H$26*$R$1055)</f>
        <v>0</v>
      </c>
      <c r="W1081">
        <f>(0.6*T1081+0.7*U1081)*$R$1055/2</f>
        <v>0</v>
      </c>
      <c r="X1081">
        <f>T1081*$R$1055/2</f>
        <v>0</v>
      </c>
      <c r="Z1081">
        <f>IF(S1081=0,0,$AD$1055*$AP$1047)</f>
        <v>0</v>
      </c>
      <c r="AA1081">
        <f>IFERROR(Z1081/$R$1055,0)</f>
        <v>0</v>
      </c>
      <c r="AB1081">
        <f>Z1081*($F$23+IF($F$23=0,0,($C$14+$C$15+IF($C$13="single",1.5,3)+3)/12))</f>
        <v>0</v>
      </c>
      <c r="AC1081">
        <f>AB1081-W1081</f>
        <v>0</v>
      </c>
      <c r="AD1081" cm="1">
        <f t="array" ref="AD1081">IFERROR(IF(AC1081&lt;0,0,AC1081/($R$1055-INDEX(hd_off,MATCH(AQ1081,hd_mark,0),0)/12)),0)</f>
        <v>0</v>
      </c>
      <c r="AE1081">
        <f>IF(S1081=0,0,$AD$1055*$AM$1047)</f>
        <v>0</v>
      </c>
      <c r="AF1081">
        <f>IFERROR(AE1081/$R$1055,0)</f>
        <v>0</v>
      </c>
      <c r="AG1081">
        <f>AE1081*($F$23+IF($F$23=0,0,($C$14+$C$15+IF($C$13="single",1.5,3)+3)/12))</f>
        <v>0</v>
      </c>
      <c r="AH1081">
        <f>AG1081-X1081</f>
        <v>0</v>
      </c>
      <c r="AI1081" cm="1">
        <f t="array" ref="AI1081">IFERROR(IF(AH1081&lt;0,0,AH1081/($R$1055-INDEX(hd_off,MATCH(AQ1081,hd_mark,0),0)/12)),0)</f>
        <v>0</v>
      </c>
      <c r="AJ1081">
        <f>MAX($F$23,$AA$1055)/$Q$1076</f>
        <v>0</v>
      </c>
      <c r="AK1081">
        <f t="shared" si="680"/>
        <v>0</v>
      </c>
      <c r="AL1081" cm="1">
        <f t="array" ref="AL1081">IFERROR(INDEX(sheath_ecap_asd,MATCH(AP1081,sheath_mark,0),0)*AK1081,0)</f>
        <v>0</v>
      </c>
      <c r="AM1081" cm="1">
        <f t="array" ref="AM1081">IFERROR(INDEX(sheath_wcap_asd,MATCH(AP1081,sheath_mark,0),0)*AK1081,0)</f>
        <v>0</v>
      </c>
      <c r="AN1081" cm="1">
        <f t="array" ref="AN1081">IFERROR(INDEX(hd_cap,MATCH(AQ1081,hd_mark,0),0),0)</f>
        <v>0</v>
      </c>
      <c r="AP1081" s="19"/>
      <c r="AQ1081" s="19"/>
      <c r="AR1081" s="100"/>
      <c r="AS1081" s="93"/>
      <c r="AT1081" s="109" t="s">
        <v>491</v>
      </c>
      <c r="AU1081" t="str">
        <f>$Q$1047</f>
        <v>L4</v>
      </c>
      <c r="AV1081">
        <f>$E$23</f>
        <v>0</v>
      </c>
      <c r="AW1081" cm="1">
        <f t="array" ref="AW1081">IFERROR(IF(AV1081=0,0,(INDEX($C$33:$C$38,MATCH($AZ$1055,$B$33:$B$38,0),0)*(AV1083+$BA$1055)+$AW$1055*COUNTIF(AV1081:AV1082,"&gt;0")*$C$32+$AY$1055*$C$31)*$AU$1055),0)</f>
        <v>0</v>
      </c>
      <c r="AX1081">
        <f>IF(AV1081=0,0,-(COUNTIF(AV1081:AV1082,"&gt;0")*$AW$1055*$C$32+$AY$1055*$C$31)*$H$27*$AU$1055)</f>
        <v>0</v>
      </c>
      <c r="AY1081">
        <f>IF(AV1081=0,0,$AY$1055*$H$26*$AU$1055)</f>
        <v>0</v>
      </c>
      <c r="AZ1081">
        <f>(0.6*AW1081+0.7*AX1081)*$AU$1055/2</f>
        <v>0</v>
      </c>
      <c r="BA1081">
        <f>AW1081*$AU$1055/2</f>
        <v>0</v>
      </c>
      <c r="BC1081">
        <f>IF(AV1081=0,0,$BG$1055*$AP$1047)</f>
        <v>0</v>
      </c>
      <c r="BD1081">
        <f>IFERROR(BC1081/$AU$1055,0)</f>
        <v>0</v>
      </c>
      <c r="BE1081">
        <f>BC1081*($F$23+IF($F$23=0,0,($C$14+$C$15+IF($C$13="single",1.5,3)+3)/12))</f>
        <v>0</v>
      </c>
      <c r="BF1081">
        <f>BE1081-AZ1081</f>
        <v>0</v>
      </c>
      <c r="BG1081" cm="1">
        <f t="array" ref="BG1081">IFERROR(IF(BF1081&lt;0,0,BF1081/($AU$1055-INDEX(hd_off,MATCH(BT1081,hd_mark,0),0)/12)),0)</f>
        <v>0</v>
      </c>
      <c r="BH1081">
        <f>IF(AV1081=0,0,$BG$1055*$AM$1047)</f>
        <v>0</v>
      </c>
      <c r="BI1081">
        <f>IFERROR(BH1081/$AU$1055,0)</f>
        <v>0</v>
      </c>
      <c r="BJ1081">
        <f>BH1081*($F$23+IF($F$23=0,0,($C$14+$C$15+IF($C$13="single",1.5,3)+3)/12))</f>
        <v>0</v>
      </c>
      <c r="BK1081">
        <f>BJ1081-BA1081</f>
        <v>0</v>
      </c>
      <c r="BL1081" cm="1">
        <f t="array" ref="BL1081">IFERROR(IF(BK1081&lt;0,0,BK1081/($AU$1055-INDEX(hd_off,MATCH(BT1081,hd_mark,0),0)/12)),0)</f>
        <v>0</v>
      </c>
      <c r="BM1081">
        <f>MAX($F$23,$BD$1055)/$Q$1076</f>
        <v>0</v>
      </c>
      <c r="BN1081">
        <f t="shared" si="681"/>
        <v>0</v>
      </c>
      <c r="BO1081" cm="1">
        <f t="array" ref="BO1081">IFERROR(INDEX(sheath_ecap_asd,MATCH(BS1081,sheath_mark,0),0)*BN1081,0)</f>
        <v>0</v>
      </c>
      <c r="BP1081" cm="1">
        <f t="array" ref="BP1081">IFERROR(INDEX(sheath_wcap_asd,MATCH(BS1081,sheath_mark,0),0)*BN1081,0)</f>
        <v>0</v>
      </c>
      <c r="BQ1081" cm="1">
        <f t="array" ref="BQ1081">IFERROR(INDEX(hd_cap,MATCH(BT1081,hd_mark,0),0),0)</f>
        <v>0</v>
      </c>
      <c r="BS1081" s="19"/>
      <c r="BT1081" s="19"/>
      <c r="BU1081" s="100"/>
    </row>
    <row r="1082" x14ac:dyDescent="0.25">
      <c r="B1082" t="s">
        <v>465</v>
      </c>
      <c r="C1082" s="19"/>
      <c r="D1082" s="19"/>
      <c r="E1082">
        <f t="shared" si="675"/>
        <v>0</v>
      </c>
      <c r="H1082">
        <v>17</v>
      </c>
      <c r="I1082" s="19"/>
      <c r="J1082" s="19"/>
      <c r="K1082">
        <f t="shared" si="676"/>
        <v>0</v>
      </c>
      <c r="P1082" s="93"/>
      <c r="Q1082" s="111">
        <f>$R$1055</f>
        <v>0</v>
      </c>
      <c r="R1082" t="str">
        <f>$Q$1048</f>
        <v>L5</v>
      </c>
      <c r="S1082">
        <f>$E$24</f>
        <v>0</v>
      </c>
      <c r="T1082" cm="1">
        <f t="array" ref="T1082">IFERROR(IF(S1082=0,0,(INDEX($C$33:$C$38,MATCH($W$1055,$B$33:$B$38,0),0)*(S1083+$X$1055)+$T$1055*COUNTIF(S1082:S1082,"&gt;0")*$C$32+$V$1055*$C$31)*$R$1055),0)</f>
        <v>0</v>
      </c>
      <c r="U1082">
        <f>IF(S1082=0,0,-(COUNTIF(S1082:S1082,"&gt;0")*$T$1055*$C$32+$V$1055*$C$31)*$H$27*$R$1055)</f>
        <v>0</v>
      </c>
      <c r="V1082">
        <f>IF(S1082=0,0,$V$1055*$H$26*$R$1055)</f>
        <v>0</v>
      </c>
      <c r="W1082">
        <f>(0.6*T1082+0.7*U1082)*$R$1055/2</f>
        <v>0</v>
      </c>
      <c r="X1082">
        <f>T1082*$R$1055/2</f>
        <v>0</v>
      </c>
      <c r="Z1082">
        <f>IF(S1082=0,0,$AD$1055*$AP$1048)</f>
        <v>0</v>
      </c>
      <c r="AA1082">
        <f>IFERROR(Z1082/$R$1055,0)</f>
        <v>0</v>
      </c>
      <c r="AB1082">
        <f>Z1082*($F$24+IF($F$24=0,0,($C$14+$C$15+IF($C$13="single",1.5,3)+3)/12))</f>
        <v>0</v>
      </c>
      <c r="AC1082">
        <f>AB1082-W1082</f>
        <v>0</v>
      </c>
      <c r="AD1082" cm="1">
        <f t="array" ref="AD1082">IFERROR(IF(AC1082&lt;0,0,AC1082/($R$1055-INDEX(hd_off,MATCH(AQ1082,hd_mark,0),0)/12)),0)</f>
        <v>0</v>
      </c>
      <c r="AE1082">
        <f>IF(S1082=0,0,$AD$1055*$AM$1048)</f>
        <v>0</v>
      </c>
      <c r="AF1082">
        <f>IFERROR(AE1082/$R$1055,0)</f>
        <v>0</v>
      </c>
      <c r="AG1082">
        <f>AE1082*($F$24+IF($F$24=0,0,($C$14+$C$15+IF($C$13="single",1.5,3)+3)/12))</f>
        <v>0</v>
      </c>
      <c r="AH1082">
        <f>AG1082-X1082</f>
        <v>0</v>
      </c>
      <c r="AI1082" cm="1">
        <f t="array" ref="AI1082">IFERROR(IF(AH1082&lt;0,0,AH1082/($R$1055-INDEX(hd_off,MATCH(AQ1082,hd_mark,0),0)/12)),0)</f>
        <v>0</v>
      </c>
      <c r="AJ1082">
        <f>MAX($F$24,$AB$1055)/$Q$1076</f>
        <v>0</v>
      </c>
      <c r="AK1082">
        <f t="shared" si="680"/>
        <v>0</v>
      </c>
      <c r="AL1082" cm="1">
        <f t="array" ref="AL1082">IFERROR(INDEX(sheath_ecap_asd,MATCH(AP1082,sheath_mark,0),0)*AK1082,0)</f>
        <v>0</v>
      </c>
      <c r="AM1082" cm="1">
        <f t="array" ref="AM1082">IFERROR(INDEX(sheath_wcap_asd,MATCH(AP1082,sheath_mark,0),0)*AK1082,0)</f>
        <v>0</v>
      </c>
      <c r="AN1082" cm="1">
        <f t="array" ref="AN1082">IFERROR(INDEX(hd_cap,MATCH(AQ1082,hd_mark,0),0),0)</f>
        <v>0</v>
      </c>
      <c r="AP1082" s="19"/>
      <c r="AQ1082" s="19"/>
      <c r="AR1082" s="100"/>
      <c r="AS1082" s="93"/>
      <c r="AT1082" s="111">
        <f>$R$1055</f>
        <v>0</v>
      </c>
      <c r="AU1082" t="str">
        <f>$Q$1048</f>
        <v>L5</v>
      </c>
      <c r="AV1082">
        <f>$E$24</f>
        <v>0</v>
      </c>
      <c r="AW1082" cm="1">
        <f t="array" ref="AW1082">IFERROR(IF(AV1082=0,0,(INDEX($C$33:$C$38,MATCH($AZ$1055,$B$33:$B$38,0),0)*(AV1083+$BA$1055)+$AW$1055*COUNTIF(AV1082:AV1082,"&gt;0")*$C$32+$AY$1055*$C$31)*$AU$1055),0)</f>
        <v>0</v>
      </c>
      <c r="AX1082">
        <f>IF(AV1082=0,0,-(COUNTIF(AV1082:AV1082,"&gt;0")*$AW$1055*$C$32+$AY$1055*$C$31)*$H$27*$AU$1055)</f>
        <v>0</v>
      </c>
      <c r="AY1082">
        <f>IF(AV1082=0,0,$AY$1055*$H$26*$AU$1055)</f>
        <v>0</v>
      </c>
      <c r="AZ1082">
        <f>(0.6*AW1082+0.7*AX1082)*$AU$1055/2</f>
        <v>0</v>
      </c>
      <c r="BA1082">
        <f>AW1082*$AU$1055/2</f>
        <v>0</v>
      </c>
      <c r="BC1082">
        <f>IF(AV1082=0,0,$BG$1055*$AP$1048)</f>
        <v>0</v>
      </c>
      <c r="BD1082">
        <f>IFERROR(BC1082/$AU$1055,0)</f>
        <v>0</v>
      </c>
      <c r="BE1082">
        <f>BC1082*($F$24+IF($F$24=0,0,($C$14+$C$15+IF($C$13="single",1.5,3)+3)/12))</f>
        <v>0</v>
      </c>
      <c r="BF1082">
        <f>BE1082-AZ1082</f>
        <v>0</v>
      </c>
      <c r="BG1082" cm="1">
        <f t="array" ref="BG1082">IFERROR(IF(BF1082&lt;0,0,BF1082/($AU$1055-INDEX(hd_off,MATCH(BT1082,hd_mark,0),0)/12)),0)</f>
        <v>0</v>
      </c>
      <c r="BH1082">
        <f>IF(AV1082=0,0,$BG$1055*$AM$1048)</f>
        <v>0</v>
      </c>
      <c r="BI1082">
        <f>IFERROR(BH1082/$AU$1055,0)</f>
        <v>0</v>
      </c>
      <c r="BJ1082">
        <f>BH1082*($F$24+IF($F$24=0,0,($C$14+$C$15+IF($C$13="single",1.5,3)+3)/12))</f>
        <v>0</v>
      </c>
      <c r="BK1082">
        <f>BJ1082-BA1082</f>
        <v>0</v>
      </c>
      <c r="BL1082" cm="1">
        <f t="array" ref="BL1082">IFERROR(IF(BK1082&lt;0,0,BK1082/($AU$1055-INDEX(hd_off,MATCH(BT1082,hd_mark,0),0)/12)),0)</f>
        <v>0</v>
      </c>
      <c r="BM1082">
        <f>MAX($F$24,$BE$1055)/$Q$1076</f>
        <v>0</v>
      </c>
      <c r="BN1082">
        <f t="shared" si="681"/>
        <v>0</v>
      </c>
      <c r="BO1082" cm="1">
        <f t="array" ref="BO1082">IFERROR(INDEX(sheath_ecap_asd,MATCH(BS1082,sheath_mark,0),0)*BN1082,0)</f>
        <v>0</v>
      </c>
      <c r="BP1082" cm="1">
        <f t="array" ref="BP1082">IFERROR(INDEX(sheath_wcap_asd,MATCH(BS1082,sheath_mark,0),0)*BN1082,0)</f>
        <v>0</v>
      </c>
      <c r="BQ1082" cm="1">
        <f t="array" ref="BQ1082">IFERROR(INDEX(hd_cap,MATCH(BT1082,hd_mark,0),0),0)</f>
        <v>0</v>
      </c>
      <c r="BS1082" s="19"/>
      <c r="BT1082" s="19"/>
      <c r="BU1082" s="100"/>
    </row>
    <row r="1083" x14ac:dyDescent="0.25">
      <c r="B1083" t="s">
        <v>466</v>
      </c>
      <c r="C1083" s="19"/>
      <c r="D1083" s="19"/>
      <c r="E1083">
        <f t="shared" si="675"/>
        <v>0</v>
      </c>
      <c r="H1083">
        <v>18</v>
      </c>
      <c r="I1083" s="19"/>
      <c r="J1083" s="19"/>
      <c r="K1083">
        <f t="shared" si="676"/>
        <v>0</v>
      </c>
      <c r="P1083" s="93"/>
      <c r="Q1083" s="109"/>
      <c r="R1083" t="str">
        <f>$Q$1049</f>
        <v>Roof</v>
      </c>
      <c r="S1083">
        <f>$E$25</f>
        <v>33.171875</v>
      </c>
      <c r="T1083" cm="1">
        <f t="array" ref="T1083">IFERROR(IF(S1083=0,0,(INDEX($C$33:$C$38,MATCH($W$1055,$B$33:$B$38,0),0)*(S1083+$X$1055)+$V$1055*$C$31)*$R$1055),0)</f>
        <v>0</v>
      </c>
      <c r="U1083">
        <f>IF(S1083=0,0,-$V$1055*$C$31*$H$27*$R$1055)</f>
        <v>0</v>
      </c>
      <c r="V1083">
        <f>IF(S1083=0,0,$V$1055*$H$26*$R$1055)</f>
        <v>0</v>
      </c>
      <c r="W1083">
        <f>(0.6*T1083+0.7*U1083)*$R$1055/2</f>
        <v>0</v>
      </c>
      <c r="X1083">
        <f>T1083*$R$1055/2</f>
        <v>0</v>
      </c>
      <c r="Z1083">
        <f>IF(S1083=0,0,$AD$1055*$AP$1049)</f>
        <v>0</v>
      </c>
      <c r="AA1083">
        <f>IFERROR(Z1083/$R$1055,0)</f>
        <v>0</v>
      </c>
      <c r="AB1083">
        <f>Z1083*($F$25+($C$16+$C$17+IF($C$13="single",1.5,3)+3)/12)</f>
        <v>0</v>
      </c>
      <c r="AC1083">
        <f>AB1083-W1083</f>
        <v>0</v>
      </c>
      <c r="AD1083" cm="1">
        <f t="array" ref="AD1083">IFERROR(IF(AC1083&lt;0,0,AC1083/($R$1055-INDEX(hd_off,MATCH(AQ1083,hd_mark,0),0)/12)),0)</f>
        <v>0</v>
      </c>
      <c r="AE1083">
        <f>IF(S1083=0,0,$AD$1055*$AM$1049)</f>
        <v>0</v>
      </c>
      <c r="AF1083">
        <f>IFERROR(AE1083/$R$1055,0)</f>
        <v>0</v>
      </c>
      <c r="AG1083">
        <f>AE1083*($F$25+($C$16+$C$17+IF($C$13="single",1.5,3)+3)/12)</f>
        <v>0</v>
      </c>
      <c r="AH1083">
        <f>AG1083-X1083</f>
        <v>0</v>
      </c>
      <c r="AI1083" cm="1">
        <f t="array" ref="AI1083">IFERROR(IF(AH1083&lt;0,0,AH1083/($R$1055-INDEX(hd_off,MATCH(AQ1083,hd_mark,0),0)/12)),0)</f>
        <v>0</v>
      </c>
      <c r="AJ1083">
        <f>MAX($F$25,$AC$1055)/$Q$1076</f>
        <v>0.29920977011494249</v>
      </c>
      <c r="AK1083">
        <f t="shared" si="680"/>
        <v>1</v>
      </c>
      <c r="AL1083" cm="1">
        <f t="array" ref="AL1083">IFERROR(INDEX(sheath_ecap_asd,MATCH(AP1083,sheath_mark,0),0)*AK1083,0)</f>
        <v>0</v>
      </c>
      <c r="AM1083" cm="1">
        <f t="array" ref="AM1083">IFERROR(INDEX(sheath_wcap_asd,MATCH(AP1083,sheath_mark,0),0)*AK1083,0)</f>
        <v>0</v>
      </c>
      <c r="AN1083" cm="1">
        <f t="array" ref="AN1083">IFERROR(INDEX(hd_cap,MATCH(AQ1083,hd_mark,0),0),0)</f>
        <v>0</v>
      </c>
      <c r="AP1083" s="19"/>
      <c r="AQ1083" s="19"/>
      <c r="AR1083" s="100"/>
      <c r="AS1083" s="93"/>
      <c r="AT1083" s="109"/>
      <c r="AU1083" t="str">
        <f>$Q$1049</f>
        <v>Roof</v>
      </c>
      <c r="AV1083">
        <f>$E$25</f>
        <v>33.171875</v>
      </c>
      <c r="AW1083" cm="1">
        <f t="array" ref="AW1083">IFERROR(IF(AV1083=0,0,(INDEX($C$33:$C$38,MATCH($AZ$1055,$B$33:$B$38,0),0)*(AV1083+$BA$1055)+$AY$1055*$C$31)*$AU$1055),0)</f>
        <v>0</v>
      </c>
      <c r="AX1083">
        <f>IF(AV1083=0,0,-$AY$1055*$C$31*$H$27*$AU$1055)</f>
        <v>0</v>
      </c>
      <c r="AY1083">
        <f>IF(AV1083=0,0,$AY$1055*$H$26*$AU$1055)</f>
        <v>0</v>
      </c>
      <c r="AZ1083">
        <f>(0.6*AW1083+0.7*AX1083)*$AU$1055/2</f>
        <v>0</v>
      </c>
      <c r="BA1083">
        <f>AW1083*$AU$1055/2</f>
        <v>0</v>
      </c>
      <c r="BC1083">
        <f>IF(AV1083=0,0,$BG$1055*$AP$1049)</f>
        <v>0</v>
      </c>
      <c r="BD1083">
        <f>IFERROR(BC1083/$AU$1055,0)</f>
        <v>0</v>
      </c>
      <c r="BE1083">
        <f>BC1083*($F$25+($C$16+$C$17+IF($C$13="single",1.5,3)+3)/12)</f>
        <v>0</v>
      </c>
      <c r="BF1083">
        <f>BE1083-AZ1083</f>
        <v>0</v>
      </c>
      <c r="BG1083" cm="1">
        <f t="array" ref="BG1083">IFERROR(IF(BF1083&lt;0,0,BF1083/($AU$1055-INDEX(hd_off,MATCH(BT1083,hd_mark,0),0)/12)),0)</f>
        <v>0</v>
      </c>
      <c r="BH1083">
        <f>IF(AV1083=0,0,$BG$1055*$AM$1049)</f>
        <v>0</v>
      </c>
      <c r="BI1083">
        <f>IFERROR(BH1083/$AU$1055,0)</f>
        <v>0</v>
      </c>
      <c r="BJ1083">
        <f>BH1083*($F$25+($C$16+$C$17+IF($C$13="single",1.5,3)+3)/12)</f>
        <v>0</v>
      </c>
      <c r="BK1083">
        <f>BJ1083-BA1083</f>
        <v>0</v>
      </c>
      <c r="BL1083" cm="1">
        <f t="array" ref="BL1083">IFERROR(IF(BK1083&lt;0,0,BK1083/($AU$1055-INDEX(hd_off,MATCH(BT1083,hd_mark,0),0)/12)),0)</f>
        <v>0</v>
      </c>
      <c r="BM1083">
        <f>MAX($F$25,$BF$1055)/$Q$1076</f>
        <v>0.29920977011494249</v>
      </c>
      <c r="BN1083">
        <f t="shared" si="681"/>
        <v>1</v>
      </c>
      <c r="BO1083" cm="1">
        <f t="array" ref="BO1083">IFERROR(INDEX(sheath_ecap_asd,MATCH(BS1083,sheath_mark,0),0)*BN1083,0)</f>
        <v>0</v>
      </c>
      <c r="BP1083" cm="1">
        <f t="array" ref="BP1083">IFERROR(INDEX(sheath_wcap_asd,MATCH(BS1083,sheath_mark,0),0)*BN1083,0)</f>
        <v>0</v>
      </c>
      <c r="BQ1083" cm="1">
        <f t="array" ref="BQ1083">IFERROR(INDEX(hd_cap,MATCH(BT1083,hd_mark,0),0),0)</f>
        <v>0</v>
      </c>
      <c r="BS1083" s="19"/>
      <c r="BT1083" s="19"/>
      <c r="BU1083" s="100"/>
    </row>
    <row r="1084" x14ac:dyDescent="0.25">
      <c r="B1084" t="s">
        <v>467</v>
      </c>
      <c r="C1084" s="19"/>
      <c r="D1084" s="19"/>
      <c r="E1084">
        <f t="shared" si="675"/>
        <v>0</v>
      </c>
      <c r="H1084">
        <v>19</v>
      </c>
      <c r="I1084" s="19"/>
      <c r="J1084" s="19"/>
      <c r="K1084">
        <f t="shared" si="676"/>
        <v>0</v>
      </c>
      <c r="P1084" s="93"/>
      <c r="AR1084" s="100"/>
      <c r="AS1084" s="93"/>
      <c r="BU1084" s="100"/>
    </row>
    <row r="1085" x14ac:dyDescent="0.25">
      <c r="B1085" t="s">
        <v>468</v>
      </c>
      <c r="C1085" s="19"/>
      <c r="D1085" s="19"/>
      <c r="E1085">
        <f t="shared" si="675"/>
        <v>0</v>
      </c>
      <c r="H1085">
        <v>20</v>
      </c>
      <c r="I1085" s="19"/>
      <c r="J1085" s="19"/>
      <c r="K1085">
        <f t="shared" si="676"/>
        <v>0</v>
      </c>
      <c r="P1085" s="93"/>
      <c r="Q1085" s="110" t="str">
        <f>$Q$1056</f>
        <v>A.03</v>
      </c>
      <c r="R1085" t="str">
        <f>$Q$1045</f>
        <v>L2</v>
      </c>
      <c r="S1085">
        <f>$E$21</f>
        <v>10.6875</v>
      </c>
      <c r="T1085" cm="1">
        <f t="array" ref="T1085">IFERROR(IF(S1085=0,0,(INDEX($C$33:$C$38,MATCH($W$1056,$B$33:$B$38,0),0)*(S1089+$X$1056)+$T$1056*COUNTIF(S1085:S1088,"&gt;0")*$C$32+$V$1056*$C$31)*$R$1056),0)</f>
        <v>0</v>
      </c>
      <c r="U1085">
        <f>IF(S1085=0,0,-(COUNTIF(S1085:S1088,"&gt;0")*$T$1056*$C$32+$V$1056*$C$31)*$H$27*$R$1056)</f>
        <v>0</v>
      </c>
      <c r="V1085">
        <f>IF(S1085=0,0,$V$1056*$H$26*$R$1056)</f>
        <v>0</v>
      </c>
      <c r="W1085">
        <f>(0.6*T1085+0.7*U1085)*$R$1056/2</f>
        <v>0</v>
      </c>
      <c r="X1085">
        <f>(0.6*T1085+0.6*V1085)*$R$1056/2</f>
        <v>0</v>
      </c>
      <c r="Z1085">
        <f>IF(S1085=0,0,$AD$1056*$AP$1045)</f>
        <v>0</v>
      </c>
      <c r="AA1085">
        <f>IFERROR(Z1085/$R$1056,0)</f>
        <v>0</v>
      </c>
      <c r="AB1085">
        <f>Z1085*($F$21+IF($F$21=0,0,($C$14+$C$15+IF($C$13="single",1.5,3)+3)/12))</f>
        <v>0</v>
      </c>
      <c r="AC1085">
        <f>AB1085-W1085</f>
        <v>0</v>
      </c>
      <c r="AD1085" cm="1">
        <f t="array" ref="AD1085">IFERROR(IF(AC1085&lt;0,0,AC1085/($R$1056-INDEX(hd_off,MATCH(AQ1085,hd_mark,0),0)/12)),0)</f>
        <v>0</v>
      </c>
      <c r="AE1085">
        <f>IF(S1085=0,0,$AD$1056*$AM$1045)</f>
        <v>0</v>
      </c>
      <c r="AF1085">
        <f>IFERROR(AE1085/$R$1056,0)</f>
        <v>0</v>
      </c>
      <c r="AG1085">
        <f>AE1085*($F$21+IF($F$21=0,0,($C$14+$C$15+IF($C$13="single",1.5,3)+3)/12))</f>
        <v>0</v>
      </c>
      <c r="AH1085">
        <f>AG1085-X1085</f>
        <v>0</v>
      </c>
      <c r="AI1085" cm="1">
        <f t="array" ref="AI1085">IFERROR(IF(AH1085&lt;0,0,AH1085/($R$1056-INDEX(hd_off,MATCH(AQ1085,hd_mark,0),0)/12)),0)</f>
        <v>0</v>
      </c>
      <c r="AJ1085">
        <f>MAX($F$21,$Y$1056)/$Q$1076</f>
        <v>0.30172413793103448</v>
      </c>
      <c r="AK1085">
        <f>IF(AJ1085=0,0,IF(AJ1085&gt;2,1.25-0.125*AJ1085,1))</f>
        <v>1</v>
      </c>
      <c r="AL1085" cm="1">
        <f t="array" ref="AL1085">IFERROR(INDEX(sheath_ecap_asd,MATCH(AP1085,sheath_mark,0),0)*AK1085,0)</f>
        <v>0</v>
      </c>
      <c r="AM1085" cm="1">
        <f t="array" ref="AM1085">IFERROR(INDEX(sheath_wcap_asd,MATCH(AP1085,sheath_mark,0),0)*AK1085,0)</f>
        <v>0</v>
      </c>
      <c r="AN1085" cm="1">
        <f t="array" ref="AN1085">IFERROR(INDEX(hd_cap,MATCH(AQ1085,hd_mark,0),0),0)</f>
        <v>0</v>
      </c>
      <c r="AP1085" s="19"/>
      <c r="AQ1085" s="19"/>
      <c r="AR1085" s="100"/>
      <c r="AS1085" s="93"/>
      <c r="AT1085" s="110" t="str">
        <f>$AT$1056</f>
        <v>1.03</v>
      </c>
      <c r="AU1085" t="str">
        <f>$Q$1045</f>
        <v>L2</v>
      </c>
      <c r="AV1085">
        <f>$E$21</f>
        <v>10.6875</v>
      </c>
      <c r="AW1085" cm="1">
        <f t="array" ref="AW1085">IFERROR(IF(AV1085=0,0,(INDEX($C$33:$C$38,MATCH($AZ$1056,$B$33:$B$38,0),0)*(AV1089+$BA$1056)+$AW$1056*COUNTIF(AV1085:AV1088,"&gt;0")*$C$32+$AY$1056*$C$31)*$AU$1056),0)</f>
        <v>0</v>
      </c>
      <c r="AX1085">
        <f>IF(AV1085=0,0,-(COUNTIF(AV1085:AV1088,"&gt;0")*$AW$1056*$C$32+$AY$1056*$C$31)*$H$27*$AU$1056)</f>
        <v>0</v>
      </c>
      <c r="AY1085">
        <f>IF(AV1085=0,0,$AY$1056*$H$26*$AU$1056)</f>
        <v>0</v>
      </c>
      <c r="AZ1085">
        <f>(0.6*AW1085+0.7*AX1085)*$AU$1056/2</f>
        <v>0</v>
      </c>
      <c r="BA1085">
        <f>(0.6*AW1085+0.6*AY1085)*$AU$1056/2</f>
        <v>0</v>
      </c>
      <c r="BC1085">
        <f>IF(AV1085=0,0,$BG$1056*$AP$1045)</f>
        <v>0</v>
      </c>
      <c r="BD1085">
        <f>IFERROR(BC1085/$AU$1056,0)</f>
        <v>0</v>
      </c>
      <c r="BE1085">
        <f>BC1085*($F$21+IF($F$21=0,0,($C$14+$C$15+IF($C$13="single",1.5,3)+3)/12))</f>
        <v>0</v>
      </c>
      <c r="BF1085">
        <f>BE1085-AZ1085</f>
        <v>0</v>
      </c>
      <c r="BG1085" cm="1">
        <f t="array" ref="BG1085">IFERROR(IF(BF1085&lt;0,0,BF1085/($AU$1056-INDEX(hd_off,MATCH(BT1085,hd_mark,0),0)/12)),0)</f>
        <v>0</v>
      </c>
      <c r="BH1085">
        <f>IF(AV1085=0,0,$BG$1056*$AM$1045)</f>
        <v>0</v>
      </c>
      <c r="BI1085">
        <f>IFERROR(BH1085/$AU$1056,0)</f>
        <v>0</v>
      </c>
      <c r="BJ1085">
        <f>BH1085*($F$21+IF($F$21=0,0,($C$14+$C$15+IF($C$13="single",1.5,3)+3)/12))</f>
        <v>0</v>
      </c>
      <c r="BK1085">
        <f>BJ1085-BA1085</f>
        <v>0</v>
      </c>
      <c r="BL1085" cm="1">
        <f t="array" ref="BL1085">IFERROR(IF(BK1085&lt;0,0,BK1085/($AU$1056-INDEX(hd_off,MATCH(BT1085,hd_mark,0),0)/12)),0)</f>
        <v>0</v>
      </c>
      <c r="BM1085">
        <f>MAX($F$21,$BB$1056)/$Q$1076</f>
        <v>0.30172413793103448</v>
      </c>
      <c r="BN1085">
        <f>IF(BM1085=0,0,IF(BM1085&gt;2,1.25-0.125*BM1085,1))</f>
        <v>1</v>
      </c>
      <c r="BO1085" cm="1">
        <f t="array" ref="BO1085">IFERROR(INDEX(sheath_ecap_asd,MATCH(BS1085,sheath_mark,0),0)*BN1085,0)</f>
        <v>0</v>
      </c>
      <c r="BP1085" cm="1">
        <f t="array" ref="BP1085">IFERROR(INDEX(sheath_wcap_asd,MATCH(BS1085,sheath_mark,0),0)*BN1085,0)</f>
        <v>0</v>
      </c>
      <c r="BQ1085" cm="1">
        <f t="array" ref="BQ1085">IFERROR(INDEX(hd_cap,MATCH(BT1085,hd_mark,0),0),0)</f>
        <v>0</v>
      </c>
      <c r="BS1085" s="19"/>
      <c r="BT1085" s="19"/>
      <c r="BU1085" s="100"/>
    </row>
    <row r="1086" x14ac:dyDescent="0.25">
      <c r="B1086" t="s">
        <v>469</v>
      </c>
      <c r="C1086" s="19"/>
      <c r="D1086" s="19"/>
      <c r="E1086">
        <f t="shared" si="675"/>
        <v>0</v>
      </c>
      <c r="H1086">
        <v>21</v>
      </c>
      <c r="I1086" s="19"/>
      <c r="J1086" s="19"/>
      <c r="K1086">
        <f t="shared" si="676"/>
        <v>0</v>
      </c>
      <c r="P1086" s="93"/>
      <c r="Q1086" s="109"/>
      <c r="R1086" t="str">
        <f>$Q$1046</f>
        <v>L3</v>
      </c>
      <c r="S1086">
        <f>$E$22</f>
        <v>21.375</v>
      </c>
      <c r="T1086" cm="1">
        <f t="array" ref="T1086">IFERROR(IF(S1086=0,0,(INDEX($C$33:$C$38,MATCH($W$1056,$B$33:$B$38,0),0)*(S1089+$X$1056)+$T$1056*COUNTIF(S1086:S1088,"&gt;0")*$C$32+$V$1056*$C$31)*$R$1056),0)</f>
        <v>0</v>
      </c>
      <c r="U1086">
        <f>IF(S1086=0,0,-(COUNTIF(S1086:S1088,"&gt;0")*$T$1056*$C$32+$V$1056*$C$31)*$H$27*$R$1056)</f>
        <v>0</v>
      </c>
      <c r="V1086">
        <f>IF(S1086=0,0,$V$1056*$H$26*$R$1056)</f>
        <v>0</v>
      </c>
      <c r="W1086">
        <f>(0.6*T1086+0.7*U1086)*$R$1056/2</f>
        <v>0</v>
      </c>
      <c r="X1086">
        <f>T1086*$R$1056/2</f>
        <v>0</v>
      </c>
      <c r="Z1086">
        <f>IF(S1086=0,0,$AD$1056*$AP$1046)</f>
        <v>0</v>
      </c>
      <c r="AA1086">
        <f>IFERROR(Z1086/$R$1056,0)</f>
        <v>0</v>
      </c>
      <c r="AB1086">
        <f>Z1086*($F$22+IF($F$22=0,0,($C$14+$C$15+IF($C$13="single",1.5,3)+3)/12))</f>
        <v>0</v>
      </c>
      <c r="AC1086">
        <f>AB1086-W1086</f>
        <v>0</v>
      </c>
      <c r="AD1086" cm="1">
        <f t="array" ref="AD1086">IFERROR(IF(AC1086&lt;0,0,AC1086/($R$1056-INDEX(hd_off,MATCH(AQ1086,hd_mark,0),0)/12)),0)</f>
        <v>0</v>
      </c>
      <c r="AE1086">
        <f>IF(S1086=0,0,$AD$1056*$AM$1046)</f>
        <v>0</v>
      </c>
      <c r="AF1086">
        <f>IFERROR(AE1086/$R$1056,0)</f>
        <v>0</v>
      </c>
      <c r="AG1086">
        <f>AE1086*($F$22+IF($F$22=0,0,($C$14+$C$15+IF($C$13="single",1.5,3)+3)/12))</f>
        <v>0</v>
      </c>
      <c r="AH1086">
        <f>AG1086-X1086</f>
        <v>0</v>
      </c>
      <c r="AI1086" cm="1">
        <f t="array" ref="AI1086">IFERROR(IF(AH1086&lt;0,0,AH1086/($R$1056-INDEX(hd_off,MATCH(AQ1086,hd_mark,0),0)/12)),0)</f>
        <v>0</v>
      </c>
      <c r="AJ1086">
        <f>MAX($F$22,$Z$1056)/$Q$1076</f>
        <v>0.30172413793103448</v>
      </c>
      <c r="AK1086">
        <f t="shared" ref="AK1086:AK1089" si="682">IF(AJ1086=0,0,IF(AJ1086&gt;2,1.25-0.125*AJ1086,1))</f>
        <v>1</v>
      </c>
      <c r="AL1086" cm="1">
        <f t="array" ref="AL1086">IFERROR(INDEX(sheath_ecap_asd,MATCH(AP1086,sheath_mark,0),0)*AK1086,0)</f>
        <v>0</v>
      </c>
      <c r="AM1086" cm="1">
        <f t="array" ref="AM1086">IFERROR(INDEX(sheath_wcap_asd,MATCH(AP1086,sheath_mark,0),0)*AK1086,0)</f>
        <v>0</v>
      </c>
      <c r="AN1086" cm="1">
        <f t="array" ref="AN1086">IFERROR(INDEX(hd_cap,MATCH(AQ1086,hd_mark,0),0),0)</f>
        <v>0</v>
      </c>
      <c r="AP1086" s="19"/>
      <c r="AQ1086" s="19"/>
      <c r="AR1086" s="100"/>
      <c r="AS1086" s="93"/>
      <c r="AT1086" s="109"/>
      <c r="AU1086" t="str">
        <f>$Q$1046</f>
        <v>L3</v>
      </c>
      <c r="AV1086">
        <f>$E$22</f>
        <v>21.375</v>
      </c>
      <c r="AW1086" cm="1">
        <f t="array" ref="AW1086">IFERROR(IF(AV1086=0,0,(INDEX($C$33:$C$38,MATCH($AZ$1056,$B$33:$B$38,0),0)*(AV1089+$BA$1056)+$AW$1056*COUNTIF(AV1086:AV1088,"&gt;0")*$C$32+$AY$1056*$C$31)*$AU$1056),0)</f>
        <v>0</v>
      </c>
      <c r="AX1086">
        <f>IF(AV1086=0,0,-(COUNTIF(AV1086:AV1088,"&gt;0")*$AW$1056*$C$32+$AY$1056*$C$31)*$H$27*$AU$1056)</f>
        <v>0</v>
      </c>
      <c r="AY1086">
        <f>IF(AV1086=0,0,$AY$1056*$H$26*$AU$1056)</f>
        <v>0</v>
      </c>
      <c r="AZ1086">
        <f>(0.6*AW1086+0.7*AX1086)*$AU$1056/2</f>
        <v>0</v>
      </c>
      <c r="BA1086">
        <f>AW1086*$AU$1056/2</f>
        <v>0</v>
      </c>
      <c r="BC1086">
        <f>IF(AV1086=0,0,$BG$1056*$AP$1046)</f>
        <v>0</v>
      </c>
      <c r="BD1086">
        <f>IFERROR(BC1086/$AU$1056,0)</f>
        <v>0</v>
      </c>
      <c r="BE1086">
        <f>BC1086*($F$22+IF($F$22=0,0,($C$14+$C$15+IF($C$13="single",1.5,3)+3)/12))</f>
        <v>0</v>
      </c>
      <c r="BF1086">
        <f>BE1086-AZ1086</f>
        <v>0</v>
      </c>
      <c r="BG1086" cm="1">
        <f t="array" ref="BG1086">IFERROR(IF(BF1086&lt;0,0,BF1086/($AU$1056-INDEX(hd_off,MATCH(BT1086,hd_mark,0),0)/12)),0)</f>
        <v>0</v>
      </c>
      <c r="BH1086">
        <f>IF(AV1086=0,0,$BG$1056*$AM$1046)</f>
        <v>0</v>
      </c>
      <c r="BI1086">
        <f>IFERROR(BH1086/$AU$1056,0)</f>
        <v>0</v>
      </c>
      <c r="BJ1086">
        <f>BH1086*($F$22+IF($F$22=0,0,($C$14+$C$15+IF($C$13="single",1.5,3)+3)/12))</f>
        <v>0</v>
      </c>
      <c r="BK1086">
        <f>BJ1086-BA1086</f>
        <v>0</v>
      </c>
      <c r="BL1086" cm="1">
        <f t="array" ref="BL1086">IFERROR(IF(BK1086&lt;0,0,BK1086/($AU$1056-INDEX(hd_off,MATCH(BT1086,hd_mark,0),0)/12)),0)</f>
        <v>0</v>
      </c>
      <c r="BM1086">
        <f>MAX($F$22,$BC$1056)/$Q$1076</f>
        <v>0.30172413793103448</v>
      </c>
      <c r="BN1086">
        <f t="shared" ref="BN1086:BN1089" si="683">IF(BM1086=0,0,IF(BM1086&gt;2,1.25-0.125*BM1086,1))</f>
        <v>1</v>
      </c>
      <c r="BO1086" cm="1">
        <f t="array" ref="BO1086">IFERROR(INDEX(sheath_ecap_asd,MATCH(BS1086,sheath_mark,0),0)*BN1086,0)</f>
        <v>0</v>
      </c>
      <c r="BP1086" cm="1">
        <f t="array" ref="BP1086">IFERROR(INDEX(sheath_wcap_asd,MATCH(BS1086,sheath_mark,0),0)*BN1086,0)</f>
        <v>0</v>
      </c>
      <c r="BQ1086" cm="1">
        <f t="array" ref="BQ1086">IFERROR(INDEX(hd_cap,MATCH(BT1086,hd_mark,0),0),0)</f>
        <v>0</v>
      </c>
      <c r="BS1086" s="19"/>
      <c r="BT1086" s="19"/>
      <c r="BU1086" s="100"/>
    </row>
    <row r="1087" x14ac:dyDescent="0.25">
      <c r="B1087" t="s">
        <v>285</v>
      </c>
      <c r="C1087" s="19"/>
      <c r="D1087" s="19"/>
      <c r="E1087">
        <f t="shared" si="675"/>
        <v>0</v>
      </c>
      <c r="H1087">
        <v>22</v>
      </c>
      <c r="I1087" s="19"/>
      <c r="J1087" s="19"/>
      <c r="K1087">
        <f t="shared" si="676"/>
        <v>0</v>
      </c>
      <c r="P1087" s="93"/>
      <c r="Q1087" s="109" t="s">
        <v>491</v>
      </c>
      <c r="R1087" t="str">
        <f>$Q$1047</f>
        <v>L4</v>
      </c>
      <c r="S1087">
        <f>$E$23</f>
        <v>0</v>
      </c>
      <c r="T1087" cm="1">
        <f t="array" ref="T1087">IFERROR(IF(S1087=0,0,(INDEX($C$33:$C$38,MATCH($W$1056,$B$33:$B$38,0),0)*(S1089+$X$1056)+$T$1056*COUNTIF(S1087:S1088,"&gt;0")*$C$32+$V$1056*$C$31)*$R$1056),0)</f>
        <v>0</v>
      </c>
      <c r="U1087">
        <f>IF(S1087=0,0,-(COUNTIF(S1087:S1088,"&gt;0")*$T$1056*$C$32+$V$1056*$C$31)*$H$27*$R$1056)</f>
        <v>0</v>
      </c>
      <c r="V1087">
        <f>IF(S1087=0,0,$V$1056*$H$26*$R$1056)</f>
        <v>0</v>
      </c>
      <c r="W1087">
        <f>(0.6*T1087+0.7*U1087)*$R$1056/2</f>
        <v>0</v>
      </c>
      <c r="X1087">
        <f>T1087*$R$1056/2</f>
        <v>0</v>
      </c>
      <c r="Z1087">
        <f>IF(S1087=0,0,$AD$1056*$AP$1047)</f>
        <v>0</v>
      </c>
      <c r="AA1087">
        <f>IFERROR(Z1087/$R$1056,0)</f>
        <v>0</v>
      </c>
      <c r="AB1087">
        <f>Z1087*($F$23+IF($F$23=0,0,($C$14+$C$15+IF($C$13="single",1.5,3)+3)/12))</f>
        <v>0</v>
      </c>
      <c r="AC1087">
        <f>AB1087-W1087</f>
        <v>0</v>
      </c>
      <c r="AD1087" cm="1">
        <f t="array" ref="AD1087">IFERROR(IF(AC1087&lt;0,0,AC1087/($R$1056-INDEX(hd_off,MATCH(AQ1087,hd_mark,0),0)/12)),0)</f>
        <v>0</v>
      </c>
      <c r="AE1087">
        <f>IF(S1087=0,0,$AD$1056*$AM$1047)</f>
        <v>0</v>
      </c>
      <c r="AF1087">
        <f>IFERROR(AE1087/$R$1056,0)</f>
        <v>0</v>
      </c>
      <c r="AG1087">
        <f>AE1087*($F$23+IF($F$23=0,0,($C$14+$C$15+IF($C$13="single",1.5,3)+3)/12))</f>
        <v>0</v>
      </c>
      <c r="AH1087">
        <f>AG1087-X1087</f>
        <v>0</v>
      </c>
      <c r="AI1087" cm="1">
        <f t="array" ref="AI1087">IFERROR(IF(AH1087&lt;0,0,AH1087/($R$1056-INDEX(hd_off,MATCH(AQ1087,hd_mark,0),0)/12)),0)</f>
        <v>0</v>
      </c>
      <c r="AJ1087">
        <f>MAX($F$23,$AA$1056)/$Q$1076</f>
        <v>0</v>
      </c>
      <c r="AK1087">
        <f t="shared" si="682"/>
        <v>0</v>
      </c>
      <c r="AL1087" cm="1">
        <f t="array" ref="AL1087">IFERROR(INDEX(sheath_ecap_asd,MATCH(AP1087,sheath_mark,0),0)*AK1087,0)</f>
        <v>0</v>
      </c>
      <c r="AM1087" cm="1">
        <f t="array" ref="AM1087">IFERROR(INDEX(sheath_wcap_asd,MATCH(AP1087,sheath_mark,0),0)*AK1087,0)</f>
        <v>0</v>
      </c>
      <c r="AN1087" cm="1">
        <f t="array" ref="AN1087">IFERROR(INDEX(hd_cap,MATCH(AQ1087,hd_mark,0),0),0)</f>
        <v>0</v>
      </c>
      <c r="AP1087" s="19"/>
      <c r="AQ1087" s="19"/>
      <c r="AR1087" s="100"/>
      <c r="AS1087" s="93"/>
      <c r="AT1087" s="109" t="s">
        <v>491</v>
      </c>
      <c r="AU1087" t="str">
        <f>$Q$1047</f>
        <v>L4</v>
      </c>
      <c r="AV1087">
        <f>$E$23</f>
        <v>0</v>
      </c>
      <c r="AW1087" cm="1">
        <f t="array" ref="AW1087">IFERROR(IF(AV1087=0,0,(INDEX($C$33:$C$38,MATCH($AZ$1056,$B$33:$B$38,0),0)*(AV1089+$BA$1056)+$AW$1056*COUNTIF(AV1087:AV1088,"&gt;0")*$C$32+$AY$1056*$C$31)*$AU$1056),0)</f>
        <v>0</v>
      </c>
      <c r="AX1087">
        <f>IF(AV1087=0,0,-(COUNTIF(AV1087:AV1088,"&gt;0")*$AW$1056*$C$32+$AY$1056*$C$31)*$H$27*$AU$1056)</f>
        <v>0</v>
      </c>
      <c r="AY1087">
        <f>IF(AV1087=0,0,$AY$1056*$H$26*$AU$1056)</f>
        <v>0</v>
      </c>
      <c r="AZ1087">
        <f>(0.6*AW1087+0.7*AX1087)*$AU$1056/2</f>
        <v>0</v>
      </c>
      <c r="BA1087">
        <f>AW1087*$AU$1056/2</f>
        <v>0</v>
      </c>
      <c r="BC1087">
        <f>IF(AV1087=0,0,$BG$1056*$AP$1047)</f>
        <v>0</v>
      </c>
      <c r="BD1087">
        <f>IFERROR(BC1087/$AU$1056,0)</f>
        <v>0</v>
      </c>
      <c r="BE1087">
        <f>BC1087*($F$23+IF($F$23=0,0,($C$14+$C$15+IF($C$13="single",1.5,3)+3)/12))</f>
        <v>0</v>
      </c>
      <c r="BF1087">
        <f>BE1087-AZ1087</f>
        <v>0</v>
      </c>
      <c r="BG1087" cm="1">
        <f t="array" ref="BG1087">IFERROR(IF(BF1087&lt;0,0,BF1087/($AU$1056-INDEX(hd_off,MATCH(BT1087,hd_mark,0),0)/12)),0)</f>
        <v>0</v>
      </c>
      <c r="BH1087">
        <f>IF(AV1087=0,0,$BG$1056*$AM$1047)</f>
        <v>0</v>
      </c>
      <c r="BI1087">
        <f>IFERROR(BH1087/$AU$1056,0)</f>
        <v>0</v>
      </c>
      <c r="BJ1087">
        <f>BH1087*($F$23+IF($F$23=0,0,($C$14+$C$15+IF($C$13="single",1.5,3)+3)/12))</f>
        <v>0</v>
      </c>
      <c r="BK1087">
        <f>BJ1087-BA1087</f>
        <v>0</v>
      </c>
      <c r="BL1087" cm="1">
        <f t="array" ref="BL1087">IFERROR(IF(BK1087&lt;0,0,BK1087/($AU$1056-INDEX(hd_off,MATCH(BT1087,hd_mark,0),0)/12)),0)</f>
        <v>0</v>
      </c>
      <c r="BM1087">
        <f>MAX($F$23,$BD$1056)/$Q$1076</f>
        <v>0</v>
      </c>
      <c r="BN1087">
        <f t="shared" si="683"/>
        <v>0</v>
      </c>
      <c r="BO1087" cm="1">
        <f t="array" ref="BO1087">IFERROR(INDEX(sheath_ecap_asd,MATCH(BS1087,sheath_mark,0),0)*BN1087,0)</f>
        <v>0</v>
      </c>
      <c r="BP1087" cm="1">
        <f t="array" ref="BP1087">IFERROR(INDEX(sheath_wcap_asd,MATCH(BS1087,sheath_mark,0),0)*BN1087,0)</f>
        <v>0</v>
      </c>
      <c r="BQ1087" cm="1">
        <f t="array" ref="BQ1087">IFERROR(INDEX(hd_cap,MATCH(BT1087,hd_mark,0),0),0)</f>
        <v>0</v>
      </c>
      <c r="BS1087" s="19"/>
      <c r="BT1087" s="19"/>
      <c r="BU1087" s="100"/>
    </row>
    <row r="1088" x14ac:dyDescent="0.25">
      <c r="B1088" t="s">
        <v>470</v>
      </c>
      <c r="C1088" s="19"/>
      <c r="D1088" s="19"/>
      <c r="E1088">
        <f t="shared" si="675"/>
        <v>0</v>
      </c>
      <c r="H1088">
        <v>23</v>
      </c>
      <c r="I1088" s="19"/>
      <c r="J1088" s="19"/>
      <c r="K1088">
        <f t="shared" si="676"/>
        <v>0</v>
      </c>
      <c r="P1088" s="93"/>
      <c r="Q1088" s="111">
        <f>$R$1056</f>
        <v>0</v>
      </c>
      <c r="R1088" t="str">
        <f>$Q$1048</f>
        <v>L5</v>
      </c>
      <c r="S1088">
        <f>$E$24</f>
        <v>0</v>
      </c>
      <c r="T1088" cm="1">
        <f t="array" ref="T1088">IFERROR(IF(S1088=0,0,(INDEX($C$33:$C$38,MATCH($W$1056,$B$33:$B$38,0),0)*(S1089+$X$1056)+$T$1056*COUNTIF(S1088:S1088,"&gt;0")*$C$32+$V$1056*$C$31)*$R$1056),0)</f>
        <v>0</v>
      </c>
      <c r="U1088">
        <f>IF(S1088=0,0,-(COUNTIF(S1088:S1088,"&gt;0")*$T$1056*$C$32+$V$1056*$C$31)*$H$27*$R$1056)</f>
        <v>0</v>
      </c>
      <c r="V1088">
        <f>IF(S1088=0,0,$V$1056*$H$26*$R$1056)</f>
        <v>0</v>
      </c>
      <c r="W1088">
        <f>(0.6*T1088+0.7*U1088)*$R$1056/2</f>
        <v>0</v>
      </c>
      <c r="X1088">
        <f>T1088*$R$1056/2</f>
        <v>0</v>
      </c>
      <c r="Z1088">
        <f>IF(S1088=0,0,$AD$1056*$AP$1048)</f>
        <v>0</v>
      </c>
      <c r="AA1088">
        <f>IFERROR(Z1088/$R$1056,0)</f>
        <v>0</v>
      </c>
      <c r="AB1088">
        <f>Z1088*($F$24+IF($F$24=0,0,($C$14+$C$15+IF($C$13="single",1.5,3)+3)/12))</f>
        <v>0</v>
      </c>
      <c r="AC1088">
        <f>AB1088-W1088</f>
        <v>0</v>
      </c>
      <c r="AD1088" cm="1">
        <f t="array" ref="AD1088">IFERROR(IF(AC1088&lt;0,0,AC1088/($R$1056-INDEX(hd_off,MATCH(AQ1088,hd_mark,0),0)/12)),0)</f>
        <v>0</v>
      </c>
      <c r="AE1088">
        <f>IF(S1088=0,0,$AD$1056*$AM$1048)</f>
        <v>0</v>
      </c>
      <c r="AF1088">
        <f>IFERROR(AE1088/$R$1056,0)</f>
        <v>0</v>
      </c>
      <c r="AG1088">
        <f>AE1088*($F$24+IF($F$24=0,0,($C$14+$C$15+IF($C$13="single",1.5,3)+3)/12))</f>
        <v>0</v>
      </c>
      <c r="AH1088">
        <f>AG1088-X1088</f>
        <v>0</v>
      </c>
      <c r="AI1088" cm="1">
        <f t="array" ref="AI1088">IFERROR(IF(AH1088&lt;0,0,AH1088/($R$1056-INDEX(hd_off,MATCH(AQ1088,hd_mark,0),0)/12)),0)</f>
        <v>0</v>
      </c>
      <c r="AJ1088">
        <f>MAX($F$24,$AB$1056)/$Q$1076</f>
        <v>0</v>
      </c>
      <c r="AK1088">
        <f t="shared" si="682"/>
        <v>0</v>
      </c>
      <c r="AL1088" cm="1">
        <f t="array" ref="AL1088">IFERROR(INDEX(sheath_ecap_asd,MATCH(AP1088,sheath_mark,0),0)*AK1088,0)</f>
        <v>0</v>
      </c>
      <c r="AM1088" cm="1">
        <f t="array" ref="AM1088">IFERROR(INDEX(sheath_wcap_asd,MATCH(AP1088,sheath_mark,0),0)*AK1088,0)</f>
        <v>0</v>
      </c>
      <c r="AN1088" cm="1">
        <f t="array" ref="AN1088">IFERROR(INDEX(hd_cap,MATCH(AQ1088,hd_mark,0),0),0)</f>
        <v>0</v>
      </c>
      <c r="AP1088" s="19"/>
      <c r="AQ1088" s="19"/>
      <c r="AR1088" s="100"/>
      <c r="AS1088" s="93"/>
      <c r="AT1088" s="111">
        <f>$R$1056</f>
        <v>0</v>
      </c>
      <c r="AU1088" t="str">
        <f>$Q$1048</f>
        <v>L5</v>
      </c>
      <c r="AV1088">
        <f>$E$24</f>
        <v>0</v>
      </c>
      <c r="AW1088" cm="1">
        <f t="array" ref="AW1088">IFERROR(IF(AV1088=0,0,(INDEX($C$33:$C$38,MATCH($AZ$1056,$B$33:$B$38,0),0)*(AV1089+$BA$1056)+$AW$1056*COUNTIF(AV1088:AV1088,"&gt;0")*$C$32+$AY$1056*$C$31)*$AU$1056),0)</f>
        <v>0</v>
      </c>
      <c r="AX1088">
        <f>IF(AV1088=0,0,-(COUNTIF(AV1088:AV1088,"&gt;0")*$AW$1056*$C$32+$AY$1056*$C$31)*$H$27*$AU$1056)</f>
        <v>0</v>
      </c>
      <c r="AY1088">
        <f>IF(AV1088=0,0,$AY$1056*$H$26*$AU$1056)</f>
        <v>0</v>
      </c>
      <c r="AZ1088">
        <f>(0.6*AW1088+0.7*AX1088)*$AU$1056/2</f>
        <v>0</v>
      </c>
      <c r="BA1088">
        <f>AW1088*$AU$1056/2</f>
        <v>0</v>
      </c>
      <c r="BC1088">
        <f>IF(AV1088=0,0,$BG$1056*$AP$1048)</f>
        <v>0</v>
      </c>
      <c r="BD1088">
        <f>IFERROR(BC1088/$AU$1056,0)</f>
        <v>0</v>
      </c>
      <c r="BE1088">
        <f>BC1088*($F$24+IF($F$24=0,0,($C$14+$C$15+IF($C$13="single",1.5,3)+3)/12))</f>
        <v>0</v>
      </c>
      <c r="BF1088">
        <f>BE1088-AZ1088</f>
        <v>0</v>
      </c>
      <c r="BG1088" cm="1">
        <f t="array" ref="BG1088">IFERROR(IF(BF1088&lt;0,0,BF1088/($AU$1056-INDEX(hd_off,MATCH(BT1088,hd_mark,0),0)/12)),0)</f>
        <v>0</v>
      </c>
      <c r="BH1088">
        <f>IF(AV1088=0,0,$BG$1056*$AM$1048)</f>
        <v>0</v>
      </c>
      <c r="BI1088">
        <f>IFERROR(BH1088/$AU$1056,0)</f>
        <v>0</v>
      </c>
      <c r="BJ1088">
        <f>BH1088*($F$24+IF($F$24=0,0,($C$14+$C$15+IF($C$13="single",1.5,3)+3)/12))</f>
        <v>0</v>
      </c>
      <c r="BK1088">
        <f>BJ1088-BA1088</f>
        <v>0</v>
      </c>
      <c r="BL1088" cm="1">
        <f t="array" ref="BL1088">IFERROR(IF(BK1088&lt;0,0,BK1088/($AU$1056-INDEX(hd_off,MATCH(BT1088,hd_mark,0),0)/12)),0)</f>
        <v>0</v>
      </c>
      <c r="BM1088">
        <f>MAX($F$24,$BE$1056)/$Q$1076</f>
        <v>0</v>
      </c>
      <c r="BN1088">
        <f t="shared" si="683"/>
        <v>0</v>
      </c>
      <c r="BO1088" cm="1">
        <f t="array" ref="BO1088">IFERROR(INDEX(sheath_ecap_asd,MATCH(BS1088,sheath_mark,0),0)*BN1088,0)</f>
        <v>0</v>
      </c>
      <c r="BP1088" cm="1">
        <f t="array" ref="BP1088">IFERROR(INDEX(sheath_wcap_asd,MATCH(BS1088,sheath_mark,0),0)*BN1088,0)</f>
        <v>0</v>
      </c>
      <c r="BQ1088" cm="1">
        <f t="array" ref="BQ1088">IFERROR(INDEX(hd_cap,MATCH(BT1088,hd_mark,0),0),0)</f>
        <v>0</v>
      </c>
      <c r="BS1088" s="19"/>
      <c r="BT1088" s="19"/>
      <c r="BU1088" s="100"/>
    </row>
    <row r="1089" x14ac:dyDescent="0.25">
      <c r="B1089" t="s">
        <v>471</v>
      </c>
      <c r="C1089" s="19"/>
      <c r="D1089" s="19"/>
      <c r="E1089">
        <f t="shared" si="675"/>
        <v>0</v>
      </c>
      <c r="H1089">
        <v>24</v>
      </c>
      <c r="I1089" s="19"/>
      <c r="J1089" s="19"/>
      <c r="K1089">
        <f t="shared" si="676"/>
        <v>0</v>
      </c>
      <c r="P1089" s="93"/>
      <c r="Q1089" s="109"/>
      <c r="R1089" t="str">
        <f>$Q$1049</f>
        <v>Roof</v>
      </c>
      <c r="S1089">
        <f>$E$25</f>
        <v>33.171875</v>
      </c>
      <c r="T1089" cm="1">
        <f t="array" ref="T1089">IFERROR(IF(S1089=0,0,(INDEX($C$33:$C$38,MATCH($W$1056,$B$33:$B$38,0),0)*(S1089+$X$1056)+$V$1056*$C$31)*$R$1056),0)</f>
        <v>0</v>
      </c>
      <c r="U1089">
        <f>IF(S1089=0,0,-$V$1056*$C$31*$H$27*$R$1056)</f>
        <v>0</v>
      </c>
      <c r="V1089">
        <f>IF(S1089=0,0,$V$1056*$H$26*$R$1056)</f>
        <v>0</v>
      </c>
      <c r="W1089">
        <f>(0.6*T1089+0.7*U1089)*$R$1056/2</f>
        <v>0</v>
      </c>
      <c r="X1089">
        <f>T1089*$R$1056/2</f>
        <v>0</v>
      </c>
      <c r="Z1089">
        <f>IF(S1089=0,0,$AD$1056*$AP$1049)</f>
        <v>0</v>
      </c>
      <c r="AA1089">
        <f>IFERROR(Z1089/$R$1056,0)</f>
        <v>0</v>
      </c>
      <c r="AB1089">
        <f>Z1089*($F$25+($C$16+$C$17+IF($C$13="single",1.5,3)+3)/12)</f>
        <v>0</v>
      </c>
      <c r="AC1089">
        <f>AB1089-W1089</f>
        <v>0</v>
      </c>
      <c r="AD1089" cm="1">
        <f t="array" ref="AD1089">IFERROR(IF(AC1089&lt;0,0,AC1089/($R$1056-INDEX(hd_off,MATCH(AQ1089,hd_mark,0),0)/12)),0)</f>
        <v>0</v>
      </c>
      <c r="AE1089">
        <f>IF(S1089=0,0,$AD$1056*$AM$1049)</f>
        <v>0</v>
      </c>
      <c r="AF1089">
        <f>IFERROR(AE1089/$R$1056,0)</f>
        <v>0</v>
      </c>
      <c r="AG1089">
        <f>AE1089*($F$25+($C$16+$C$17+IF($C$13="single",1.5,3)+3)/12)</f>
        <v>0</v>
      </c>
      <c r="AH1089">
        <f>AG1089-X1089</f>
        <v>0</v>
      </c>
      <c r="AI1089" cm="1">
        <f t="array" ref="AI1089">IFERROR(IF(AH1089&lt;0,0,AH1089/($R$1056-INDEX(hd_off,MATCH(AQ1089,hd_mark,0),0)/12)),0)</f>
        <v>0</v>
      </c>
      <c r="AJ1089">
        <f>MAX($F$25,$AC$1056)/$Q$1076</f>
        <v>0.29920977011494249</v>
      </c>
      <c r="AK1089">
        <f t="shared" si="682"/>
        <v>1</v>
      </c>
      <c r="AL1089" cm="1">
        <f t="array" ref="AL1089">IFERROR(INDEX(sheath_ecap_asd,MATCH(AP1089,sheath_mark,0),0)*AK1089,0)</f>
        <v>0</v>
      </c>
      <c r="AM1089" cm="1">
        <f t="array" ref="AM1089">IFERROR(INDEX(sheath_wcap_asd,MATCH(AP1089,sheath_mark,0),0)*AK1089,0)</f>
        <v>0</v>
      </c>
      <c r="AN1089" cm="1">
        <f t="array" ref="AN1089">IFERROR(INDEX(hd_cap,MATCH(AQ1089,hd_mark,0),0),0)</f>
        <v>0</v>
      </c>
      <c r="AP1089" s="19"/>
      <c r="AQ1089" s="19"/>
      <c r="AR1089" s="100"/>
      <c r="AS1089" s="93"/>
      <c r="AT1089" s="109"/>
      <c r="AU1089" t="str">
        <f>$Q$1049</f>
        <v>Roof</v>
      </c>
      <c r="AV1089">
        <f>$E$25</f>
        <v>33.171875</v>
      </c>
      <c r="AW1089" cm="1">
        <f t="array" ref="AW1089">IFERROR(IF(AV1089=0,0,(INDEX($C$33:$C$38,MATCH($AZ$1056,$B$33:$B$38,0),0)*(AV1089+$BA$1056)+$AY$1056*$C$31)*$AU$1056),0)</f>
        <v>0</v>
      </c>
      <c r="AX1089">
        <f>IF(AV1089=0,0,-$AY$1056*$C$31*$H$27*$AU$1056)</f>
        <v>0</v>
      </c>
      <c r="AY1089">
        <f>IF(AV1089=0,0,$AY$1056*$H$26*$AU$1056)</f>
        <v>0</v>
      </c>
      <c r="AZ1089">
        <f>(0.6*AW1089+0.7*AX1089)*$AU$1056/2</f>
        <v>0</v>
      </c>
      <c r="BA1089">
        <f>AW1089*$AU$1056/2</f>
        <v>0</v>
      </c>
      <c r="BC1089">
        <f>IF(AV1089=0,0,$BG$1056*$AP$1049)</f>
        <v>0</v>
      </c>
      <c r="BD1089">
        <f>IFERROR(BC1089/$AU$1056,0)</f>
        <v>0</v>
      </c>
      <c r="BE1089">
        <f>BC1089*($F$25+($C$16+$C$17+IF($C$13="single",1.5,3)+3)/12)</f>
        <v>0</v>
      </c>
      <c r="BF1089">
        <f>BE1089-AZ1089</f>
        <v>0</v>
      </c>
      <c r="BG1089" cm="1">
        <f t="array" ref="BG1089">IFERROR(IF(BF1089&lt;0,0,BF1089/($AU$1056-INDEX(hd_off,MATCH(BT1089,hd_mark,0),0)/12)),0)</f>
        <v>0</v>
      </c>
      <c r="BH1089">
        <f>IF(AV1089=0,0,$BG$1056*$AM$1049)</f>
        <v>0</v>
      </c>
      <c r="BI1089">
        <f>IFERROR(BH1089/$AU$1056,0)</f>
        <v>0</v>
      </c>
      <c r="BJ1089">
        <f>BH1089*($F$25+($C$16+$C$17+IF($C$13="single",1.5,3)+3)/12)</f>
        <v>0</v>
      </c>
      <c r="BK1089">
        <f>BJ1089-BA1089</f>
        <v>0</v>
      </c>
      <c r="BL1089" cm="1">
        <f t="array" ref="BL1089">IFERROR(IF(BK1089&lt;0,0,BK1089/($AU$1056-INDEX(hd_off,MATCH(BT1089,hd_mark,0),0)/12)),0)</f>
        <v>0</v>
      </c>
      <c r="BM1089">
        <f>MAX($F$25,$BF$1056)/$Q$1076</f>
        <v>0.29920977011494249</v>
      </c>
      <c r="BN1089">
        <f t="shared" si="683"/>
        <v>1</v>
      </c>
      <c r="BO1089" cm="1">
        <f t="array" ref="BO1089">IFERROR(INDEX(sheath_ecap_asd,MATCH(BS1089,sheath_mark,0),0)*BN1089,0)</f>
        <v>0</v>
      </c>
      <c r="BP1089" cm="1">
        <f t="array" ref="BP1089">IFERROR(INDEX(sheath_wcap_asd,MATCH(BS1089,sheath_mark,0),0)*BN1089,0)</f>
        <v>0</v>
      </c>
      <c r="BQ1089" cm="1">
        <f t="array" ref="BQ1089">IFERROR(INDEX(hd_cap,MATCH(BT1089,hd_mark,0),0),0)</f>
        <v>0</v>
      </c>
      <c r="BS1089" s="19"/>
      <c r="BT1089" s="19"/>
      <c r="BU1089" s="100"/>
    </row>
    <row r="1090" x14ac:dyDescent="0.25">
      <c r="B1090" t="s">
        <v>472</v>
      </c>
      <c r="C1090" s="19"/>
      <c r="D1090" s="19"/>
      <c r="E1090">
        <f t="shared" si="675"/>
        <v>0</v>
      </c>
      <c r="H1090">
        <v>25</v>
      </c>
      <c r="I1090" s="19"/>
      <c r="J1090" s="19"/>
      <c r="K1090">
        <f t="shared" si="676"/>
        <v>0</v>
      </c>
      <c r="P1090" s="93"/>
      <c r="AR1090" s="100"/>
      <c r="AS1090" s="93"/>
      <c r="BU1090" s="100"/>
    </row>
    <row r="1091" x14ac:dyDescent="0.25">
      <c r="B1091" t="s">
        <v>473</v>
      </c>
      <c r="C1091" s="19"/>
      <c r="D1091" s="19"/>
      <c r="E1091">
        <f t="shared" si="675"/>
        <v>0</v>
      </c>
      <c r="H1091">
        <v>26</v>
      </c>
      <c r="I1091" s="19"/>
      <c r="J1091" s="19"/>
      <c r="K1091">
        <f t="shared" si="676"/>
        <v>0</v>
      </c>
      <c r="P1091" s="93"/>
      <c r="Q1091" s="110" t="str">
        <f>$Q$1057</f>
        <v>A.04</v>
      </c>
      <c r="R1091" t="str">
        <f>$Q$1045</f>
        <v>L2</v>
      </c>
      <c r="S1091">
        <f>$E$21</f>
        <v>10.6875</v>
      </c>
      <c r="T1091" cm="1">
        <f t="array" ref="T1091">IFERROR(IF(S1091=0,0,(INDEX($C$33:$C$38,MATCH($W$1057,$B$33:$B$38,0),0)*(S1095+$X$1057)+$T$1057*COUNTIF(S1091:S1094,"&gt;0")*$C$32+$V$1057*$C$31)*$R$1057),0)</f>
        <v>0</v>
      </c>
      <c r="U1091">
        <f>IF(S1091=0,0,-(COUNTIF(S1091:S1094,"&gt;0")*$T$1057*$C$32+$V$1057*$C$31)*$H$27*$R$1057)</f>
        <v>0</v>
      </c>
      <c r="V1091">
        <f>IF(S1091=0,0,$V$1057*$H$26*$R$1057)</f>
        <v>0</v>
      </c>
      <c r="W1091">
        <f>(0.6*T1091+0.7*U1091)*$R$1057/2</f>
        <v>0</v>
      </c>
      <c r="X1091">
        <f>(0.6*T1091+0.6*V1091)*$R$1057/2</f>
        <v>0</v>
      </c>
      <c r="Z1091">
        <f>IF(S1091=0,0,$AD$1057*$AP$1045)</f>
        <v>0</v>
      </c>
      <c r="AA1091">
        <f>IFERROR(Z1091/$R$1057,0)</f>
        <v>0</v>
      </c>
      <c r="AB1091">
        <f>Z1091*($F$21+IF($F$21=0,0,($C$14+$C$15+IF($C$13="single",1.5,3)+3)/12))</f>
        <v>0</v>
      </c>
      <c r="AC1091">
        <f>AB1091-W1091</f>
        <v>0</v>
      </c>
      <c r="AD1091" cm="1">
        <f t="array" ref="AD1091">IFERROR(IF(AC1091&lt;0,0,AC1091/($R$1057-INDEX(hd_off,MATCH(AQ1091,hd_mark,0),0)/12)),0)</f>
        <v>0</v>
      </c>
      <c r="AE1091">
        <f>IF(S1091=0,0,$AD$1057*$AM$1045)</f>
        <v>0</v>
      </c>
      <c r="AF1091">
        <f>IFERROR(AE1091/$R$1057,0)</f>
        <v>0</v>
      </c>
      <c r="AG1091">
        <f>AE1091*($F$21+IF($F$21=0,0,($C$14+$C$15+IF($C$13="single",1.5,3)+3)/12))</f>
        <v>0</v>
      </c>
      <c r="AH1091">
        <f>AG1091-X1091</f>
        <v>0</v>
      </c>
      <c r="AI1091" cm="1">
        <f t="array" ref="AI1091">IFERROR(IF(AH1091&lt;0,0,AH1091/($R$1057-INDEX(hd_off,MATCH(AQ1091,hd_mark,0),0)/12)),0)</f>
        <v>0</v>
      </c>
      <c r="AJ1091">
        <f>MAX($F$21,$Y$1057)/$Q$1076</f>
        <v>0.30172413793103448</v>
      </c>
      <c r="AK1091">
        <f>IF(AJ1091=0,0,IF(AJ1091&gt;2,1.25-0.125*AJ1091,1))</f>
        <v>1</v>
      </c>
      <c r="AL1091" cm="1">
        <f t="array" ref="AL1091">IFERROR(INDEX(sheath_ecap_asd,MATCH(AP1091,sheath_mark,0),0)*AK1091,0)</f>
        <v>0</v>
      </c>
      <c r="AM1091" cm="1">
        <f t="array" ref="AM1091">IFERROR(INDEX(sheath_wcap_asd,MATCH(AP1091,sheath_mark,0),0)*AK1091,0)</f>
        <v>0</v>
      </c>
      <c r="AN1091" cm="1">
        <f t="array" ref="AN1091">IFERROR(INDEX(hd_cap,MATCH(AQ1091,hd_mark,0),0),0)</f>
        <v>0</v>
      </c>
      <c r="AP1091" s="19"/>
      <c r="AQ1091" s="19"/>
      <c r="AR1091" s="100"/>
      <c r="AS1091" s="93"/>
      <c r="AT1091" s="110" t="str">
        <f>$AT$1057</f>
        <v>1.04</v>
      </c>
      <c r="AU1091" t="str">
        <f>$Q$1045</f>
        <v>L2</v>
      </c>
      <c r="AV1091">
        <f>$E$21</f>
        <v>10.6875</v>
      </c>
      <c r="AW1091" cm="1">
        <f t="array" ref="AW1091">IFERROR(IF(AV1091=0,0,(INDEX($C$33:$C$38,MATCH($AZ$1057,$B$33:$B$38,0),0)*(AV1095+$BA$1057)+$AW$1057*COUNTIF(AV1091:AV1094,"&gt;0")*$C$32+$AY$1057*$C$31)*$AU$1057),0)</f>
        <v>0</v>
      </c>
      <c r="AX1091">
        <f>IF(AV1091=0,0,-(COUNTIF(AV1091:AV1094,"&gt;0")*$AW$1057*$C$32+$AY$1057*$C$31)*$H$27*$AU$1057)</f>
        <v>0</v>
      </c>
      <c r="AY1091">
        <f>IF(AV1091=0,0,$AY$1057*$H$26*$AU$1057)</f>
        <v>0</v>
      </c>
      <c r="AZ1091">
        <f>(0.6*AW1091+0.7*AX1091)*$AU$1057/2</f>
        <v>0</v>
      </c>
      <c r="BA1091">
        <f>(0.6*AW1091+0.6*AY1091)*$AU$1057/2</f>
        <v>0</v>
      </c>
      <c r="BC1091">
        <f>IF(AV1091=0,0,$BG$1057*$AP$1045)</f>
        <v>0</v>
      </c>
      <c r="BD1091">
        <f>IFERROR(BC1091/$AU$1057,0)</f>
        <v>0</v>
      </c>
      <c r="BE1091">
        <f>BC1091*($F$21+IF($F$21=0,0,($C$14+$C$15+IF($C$13="single",1.5,3)+3)/12))</f>
        <v>0</v>
      </c>
      <c r="BF1091">
        <f>BE1091-AZ1091</f>
        <v>0</v>
      </c>
      <c r="BG1091" cm="1">
        <f t="array" ref="BG1091">IFERROR(IF(BF1091&lt;0,0,BF1091/($AU$1057-INDEX(hd_off,MATCH(BT1091,hd_mark,0),0)/12)),0)</f>
        <v>0</v>
      </c>
      <c r="BH1091">
        <f>IF(AV1091=0,0,$BG$1057*$AM$1045)</f>
        <v>0</v>
      </c>
      <c r="BI1091">
        <f>IFERROR(BH1091/$AU$1057,0)</f>
        <v>0</v>
      </c>
      <c r="BJ1091">
        <f>BH1091*($F$21+IF($F$21=0,0,($C$14+$C$15+IF($C$13="single",1.5,3)+3)/12))</f>
        <v>0</v>
      </c>
      <c r="BK1091">
        <f>BJ1091-BA1091</f>
        <v>0</v>
      </c>
      <c r="BL1091" cm="1">
        <f t="array" ref="BL1091">IFERROR(IF(BK1091&lt;0,0,BK1091/($AU$1057-INDEX(hd_off,MATCH(BT1091,hd_mark,0),0)/12)),0)</f>
        <v>0</v>
      </c>
      <c r="BM1091">
        <f>MAX($F$21,$BB$1057)/$Q$1076</f>
        <v>0.30172413793103448</v>
      </c>
      <c r="BN1091">
        <f>IF(BM1091=0,0,IF(BM1091&gt;2,1.25-0.125*BM1091,1))</f>
        <v>1</v>
      </c>
      <c r="BO1091" cm="1">
        <f t="array" ref="BO1091">IFERROR(INDEX(sheath_ecap_asd,MATCH(BS1091,sheath_mark,0),0)*BN1091,0)</f>
        <v>0</v>
      </c>
      <c r="BP1091" cm="1">
        <f t="array" ref="BP1091">IFERROR(INDEX(sheath_wcap_asd,MATCH(BS1091,sheath_mark,0),0)*BN1091,0)</f>
        <v>0</v>
      </c>
      <c r="BQ1091" cm="1">
        <f t="array" ref="BQ1091">IFERROR(INDEX(hd_cap,MATCH(BT1091,hd_mark,0),0),0)</f>
        <v>0</v>
      </c>
      <c r="BS1091" s="19"/>
      <c r="BT1091" s="19"/>
      <c r="BU1091" s="100"/>
    </row>
    <row r="1092" x14ac:dyDescent="0.25">
      <c r="P1092" s="93"/>
      <c r="Q1092" s="109"/>
      <c r="R1092" t="str">
        <f>$Q$1046</f>
        <v>L3</v>
      </c>
      <c r="S1092">
        <f>$E$22</f>
        <v>21.375</v>
      </c>
      <c r="T1092" cm="1">
        <f t="array" ref="T1092">IFERROR(IF(S1092=0,0,(INDEX($C$33:$C$38,MATCH($W$1057,$B$33:$B$38,0),0)*(S1095+$X$1057)+$T$1057*COUNTIF(S1092:S1094,"&gt;0")*$C$32+$V$1057*$C$31)*$R$1057),0)</f>
        <v>0</v>
      </c>
      <c r="U1092">
        <f>IF(S1092=0,0,-(COUNTIF(S1092:S1094,"&gt;0")*$T$1057*$C$32+$V$1057*$C$31)*$H$27*$R$1057)</f>
        <v>0</v>
      </c>
      <c r="V1092">
        <f>IF(S1092=0,0,$V$1057*$H$26*$R$1057)</f>
        <v>0</v>
      </c>
      <c r="W1092">
        <f>(0.6*T1092+0.7*U1092)*$R$1057/2</f>
        <v>0</v>
      </c>
      <c r="X1092">
        <f>T1092*$R$1057/2</f>
        <v>0</v>
      </c>
      <c r="Z1092">
        <f>IF(S1092=0,0,$AD$1057*$AP$1046)</f>
        <v>0</v>
      </c>
      <c r="AA1092">
        <f>IFERROR(Z1092/$R$1057,0)</f>
        <v>0</v>
      </c>
      <c r="AB1092">
        <f>Z1092*($F$22+IF($F$22=0,0,($C$14+$C$15+IF($C$13="single",1.5,3)+3)/12))</f>
        <v>0</v>
      </c>
      <c r="AC1092">
        <f>AB1092-W1092</f>
        <v>0</v>
      </c>
      <c r="AD1092" cm="1">
        <f t="array" ref="AD1092">IFERROR(IF(AC1092&lt;0,0,AC1092/($R$1057-INDEX(hd_off,MATCH(AQ1092,hd_mark,0),0)/12)),0)</f>
        <v>0</v>
      </c>
      <c r="AE1092">
        <f>IF(S1092=0,0,$AD$1057*$AM$1046)</f>
        <v>0</v>
      </c>
      <c r="AF1092">
        <f>IFERROR(AE1092/$R$1057,0)</f>
        <v>0</v>
      </c>
      <c r="AG1092">
        <f>AE1092*($F$22+IF($F$22=0,0,($C$14+$C$15+IF($C$13="single",1.5,3)+3)/12))</f>
        <v>0</v>
      </c>
      <c r="AH1092">
        <f>AG1092-X1092</f>
        <v>0</v>
      </c>
      <c r="AI1092" cm="1">
        <f t="array" ref="AI1092">IFERROR(IF(AH1092&lt;0,0,AH1092/($R$1057-INDEX(hd_off,MATCH(AQ1092,hd_mark,0),0)/12)),0)</f>
        <v>0</v>
      </c>
      <c r="AJ1092">
        <f>MAX($F$22,$Z$1057)/$Q$1076</f>
        <v>0.30172413793103448</v>
      </c>
      <c r="AK1092">
        <f t="shared" ref="AK1092:AK1095" si="684">IF(AJ1092=0,0,IF(AJ1092&gt;2,1.25-0.125*AJ1092,1))</f>
        <v>1</v>
      </c>
      <c r="AL1092" cm="1">
        <f t="array" ref="AL1092">IFERROR(INDEX(sheath_ecap_asd,MATCH(AP1092,sheath_mark,0),0)*AK1092,0)</f>
        <v>0</v>
      </c>
      <c r="AM1092" cm="1">
        <f t="array" ref="AM1092">IFERROR(INDEX(sheath_wcap_asd,MATCH(AP1092,sheath_mark,0),0)*AK1092,0)</f>
        <v>0</v>
      </c>
      <c r="AN1092" cm="1">
        <f t="array" ref="AN1092">IFERROR(INDEX(hd_cap,MATCH(AQ1092,hd_mark,0),0),0)</f>
        <v>0</v>
      </c>
      <c r="AP1092" s="19"/>
      <c r="AQ1092" s="19"/>
      <c r="AR1092" s="100"/>
      <c r="AS1092" s="93"/>
      <c r="AT1092" s="109"/>
      <c r="AU1092" t="str">
        <f>$Q$1046</f>
        <v>L3</v>
      </c>
      <c r="AV1092">
        <f>$E$22</f>
        <v>21.375</v>
      </c>
      <c r="AW1092" cm="1">
        <f t="array" ref="AW1092">IFERROR(IF(AV1092=0,0,(INDEX($C$33:$C$38,MATCH($AZ$1057,$B$33:$B$38,0),0)*(AV1095+$BA$1057)+$AW$1057*COUNTIF(AV1092:AV1094,"&gt;0")*$C$32+$AY$1057*$C$31)*$AU$1057),0)</f>
        <v>0</v>
      </c>
      <c r="AX1092">
        <f>IF(AV1092=0,0,-(COUNTIF(AV1092:AV1094,"&gt;0")*$AW$1057*$C$32+$AY$1057*$C$31)*$H$27*$AU$1057)</f>
        <v>0</v>
      </c>
      <c r="AY1092">
        <f>IF(AV1092=0,0,$AY$1057*$H$26*$AU$1057)</f>
        <v>0</v>
      </c>
      <c r="AZ1092">
        <f>(0.6*AW1092+0.7*AX1092)*$AU$1057/2</f>
        <v>0</v>
      </c>
      <c r="BA1092">
        <f>AW1092*$AU$1057/2</f>
        <v>0</v>
      </c>
      <c r="BC1092">
        <f>IF(AV1092=0,0,$BG$1057*$AP$1046)</f>
        <v>0</v>
      </c>
      <c r="BD1092">
        <f>IFERROR(BC1092/$AU$1057,0)</f>
        <v>0</v>
      </c>
      <c r="BE1092">
        <f>BC1092*($F$22+IF($F$22=0,0,($C$14+$C$15+IF($C$13="single",1.5,3)+3)/12))</f>
        <v>0</v>
      </c>
      <c r="BF1092">
        <f>BE1092-AZ1092</f>
        <v>0</v>
      </c>
      <c r="BG1092" cm="1">
        <f t="array" ref="BG1092">IFERROR(IF(BF1092&lt;0,0,BF1092/($AU$1057-INDEX(hd_off,MATCH(BT1092,hd_mark,0),0)/12)),0)</f>
        <v>0</v>
      </c>
      <c r="BH1092">
        <f>IF(AV1092=0,0,$BG$1057*$AM$1046)</f>
        <v>0</v>
      </c>
      <c r="BI1092">
        <f>IFERROR(BH1092/$AU$1057,0)</f>
        <v>0</v>
      </c>
      <c r="BJ1092">
        <f>BH1092*($F$22+IF($F$22=0,0,($C$14+$C$15+IF($C$13="single",1.5,3)+3)/12))</f>
        <v>0</v>
      </c>
      <c r="BK1092">
        <f>BJ1092-BA1092</f>
        <v>0</v>
      </c>
      <c r="BL1092" cm="1">
        <f t="array" ref="BL1092">IFERROR(IF(BK1092&lt;0,0,BK1092/($AU$1057-INDEX(hd_off,MATCH(BT1092,hd_mark,0),0)/12)),0)</f>
        <v>0</v>
      </c>
      <c r="BM1092">
        <f>MAX($F$22,$BC$1057)/$Q$1076</f>
        <v>0.30172413793103448</v>
      </c>
      <c r="BN1092">
        <f t="shared" ref="BN1092:BN1095" si="685">IF(BM1092=0,0,IF(BM1092&gt;2,1.25-0.125*BM1092,1))</f>
        <v>1</v>
      </c>
      <c r="BO1092" cm="1">
        <f t="array" ref="BO1092">IFERROR(INDEX(sheath_ecap_asd,MATCH(BS1092,sheath_mark,0),0)*BN1092,0)</f>
        <v>0</v>
      </c>
      <c r="BP1092" cm="1">
        <f t="array" ref="BP1092">IFERROR(INDEX(sheath_wcap_asd,MATCH(BS1092,sheath_mark,0),0)*BN1092,0)</f>
        <v>0</v>
      </c>
      <c r="BQ1092" cm="1">
        <f t="array" ref="BQ1092">IFERROR(INDEX(hd_cap,MATCH(BT1092,hd_mark,0),0),0)</f>
        <v>0</v>
      </c>
      <c r="BS1092" s="19"/>
      <c r="BT1092" s="19"/>
      <c r="BU1092" s="100"/>
    </row>
    <row r="1093" x14ac:dyDescent="0.25">
      <c r="B1093" s="1"/>
      <c r="P1093" s="93"/>
      <c r="Q1093" s="109" t="s">
        <v>491</v>
      </c>
      <c r="R1093" t="str">
        <f>$Q$1047</f>
        <v>L4</v>
      </c>
      <c r="S1093">
        <f>$E$23</f>
        <v>0</v>
      </c>
      <c r="T1093" cm="1">
        <f t="array" ref="T1093">IFERROR(IF(S1093=0,0,(INDEX($C$33:$C$38,MATCH($W$1057,$B$33:$B$38,0),0)*(S1095+$X$1057)+$T$1057*COUNTIF(S1093:S1094,"&gt;0")*$C$32+$V$1057*$C$31)*$R$1057),0)</f>
        <v>0</v>
      </c>
      <c r="U1093">
        <f>IF(S1093=0,0,-(COUNTIF(S1093:S1094,"&gt;0")*$T$1057*$C$32+$V$1057*$C$31)*$H$27*$R$1057)</f>
        <v>0</v>
      </c>
      <c r="V1093">
        <f>IF(S1093=0,0,$V$1057*$H$26*$R$1057)</f>
        <v>0</v>
      </c>
      <c r="W1093">
        <f>(0.6*T1093+0.7*U1093)*$R$1057/2</f>
        <v>0</v>
      </c>
      <c r="X1093">
        <f>T1093*$R$1057/2</f>
        <v>0</v>
      </c>
      <c r="Z1093">
        <f>IF(S1093=0,0,$AD$1057*$AP$1047)</f>
        <v>0</v>
      </c>
      <c r="AA1093">
        <f>IFERROR(Z1093/$R$1057,0)</f>
        <v>0</v>
      </c>
      <c r="AB1093">
        <f>Z1093*($F$23+IF($F$23=0,0,($C$14+$C$15+IF($C$13="single",1.5,3)+3)/12))</f>
        <v>0</v>
      </c>
      <c r="AC1093">
        <f>AB1093-W1093</f>
        <v>0</v>
      </c>
      <c r="AD1093" cm="1">
        <f t="array" ref="AD1093">IFERROR(IF(AC1093&lt;0,0,AC1093/($R$1057-INDEX(hd_off,MATCH(AQ1093,hd_mark,0),0)/12)),0)</f>
        <v>0</v>
      </c>
      <c r="AE1093">
        <f>IF(S1093=0,0,$AD$1057*$AM$1047)</f>
        <v>0</v>
      </c>
      <c r="AF1093">
        <f>IFERROR(AE1093/$R$1057,0)</f>
        <v>0</v>
      </c>
      <c r="AG1093">
        <f>AE1093*($F$23+IF($F$23=0,0,($C$14+$C$15+IF($C$13="single",1.5,3)+3)/12))</f>
        <v>0</v>
      </c>
      <c r="AH1093">
        <f>AG1093-X1093</f>
        <v>0</v>
      </c>
      <c r="AI1093" cm="1">
        <f t="array" ref="AI1093">IFERROR(IF(AH1093&lt;0,0,AH1093/($R$1057-INDEX(hd_off,MATCH(AQ1093,hd_mark,0),0)/12)),0)</f>
        <v>0</v>
      </c>
      <c r="AJ1093">
        <f>MAX($F$23,$AA$1057)/$Q$1076</f>
        <v>0</v>
      </c>
      <c r="AK1093">
        <f t="shared" si="684"/>
        <v>0</v>
      </c>
      <c r="AL1093" cm="1">
        <f t="array" ref="AL1093">IFERROR(INDEX(sheath_ecap_asd,MATCH(AP1093,sheath_mark,0),0)*AK1093,0)</f>
        <v>0</v>
      </c>
      <c r="AM1093" cm="1">
        <f t="array" ref="AM1093">IFERROR(INDEX(sheath_wcap_asd,MATCH(AP1093,sheath_mark,0),0)*AK1093,0)</f>
        <v>0</v>
      </c>
      <c r="AN1093" cm="1">
        <f t="array" ref="AN1093">IFERROR(INDEX(hd_cap,MATCH(AQ1093,hd_mark,0),0),0)</f>
        <v>0</v>
      </c>
      <c r="AP1093" s="19"/>
      <c r="AQ1093" s="19"/>
      <c r="AR1093" s="100"/>
      <c r="AS1093" s="93"/>
      <c r="AT1093" s="109" t="s">
        <v>491</v>
      </c>
      <c r="AU1093" t="str">
        <f>$Q$1047</f>
        <v>L4</v>
      </c>
      <c r="AV1093">
        <f>$E$23</f>
        <v>0</v>
      </c>
      <c r="AW1093" cm="1">
        <f t="array" ref="AW1093">IFERROR(IF(AV1093=0,0,(INDEX($C$33:$C$38,MATCH($AZ$1057,$B$33:$B$38,0),0)*(AV1095+$BA$1057)+$AW$1057*COUNTIF(AV1093:AV1094,"&gt;0")*$C$32+$AY$1057*$C$31)*$AU$1057),0)</f>
        <v>0</v>
      </c>
      <c r="AX1093">
        <f>IF(AV1093=0,0,-(COUNTIF(AV1093:AV1094,"&gt;0")*$AW$1057*$C$32+$AY$1057*$C$31)*$H$27*$AU$1057)</f>
        <v>0</v>
      </c>
      <c r="AY1093">
        <f>IF(AV1093=0,0,$AY$1057*$H$26*$AU$1057)</f>
        <v>0</v>
      </c>
      <c r="AZ1093">
        <f>(0.6*AW1093+0.7*AX1093)*$AU$1057/2</f>
        <v>0</v>
      </c>
      <c r="BA1093">
        <f>AW1093*$AU$1057/2</f>
        <v>0</v>
      </c>
      <c r="BC1093">
        <f>IF(AV1093=0,0,$BG$1057*$AP$1047)</f>
        <v>0</v>
      </c>
      <c r="BD1093">
        <f>IFERROR(BC1093/$AU$1057,0)</f>
        <v>0</v>
      </c>
      <c r="BE1093">
        <f>BC1093*($F$23+IF($F$23=0,0,($C$14+$C$15+IF($C$13="single",1.5,3)+3)/12))</f>
        <v>0</v>
      </c>
      <c r="BF1093">
        <f>BE1093-AZ1093</f>
        <v>0</v>
      </c>
      <c r="BG1093" cm="1">
        <f t="array" ref="BG1093">IFERROR(IF(BF1093&lt;0,0,BF1093/($AU$1057-INDEX(hd_off,MATCH(BT1093,hd_mark,0),0)/12)),0)</f>
        <v>0</v>
      </c>
      <c r="BH1093">
        <f>IF(AV1093=0,0,$BG$1057*$AM$1047)</f>
        <v>0</v>
      </c>
      <c r="BI1093">
        <f>IFERROR(BH1093/$AU$1057,0)</f>
        <v>0</v>
      </c>
      <c r="BJ1093">
        <f>BH1093*($F$23+IF($F$23=0,0,($C$14+$C$15+IF($C$13="single",1.5,3)+3)/12))</f>
        <v>0</v>
      </c>
      <c r="BK1093">
        <f>BJ1093-BA1093</f>
        <v>0</v>
      </c>
      <c r="BL1093" cm="1">
        <f t="array" ref="BL1093">IFERROR(IF(BK1093&lt;0,0,BK1093/($AU$1057-INDEX(hd_off,MATCH(BT1093,hd_mark,0),0)/12)),0)</f>
        <v>0</v>
      </c>
      <c r="BM1093">
        <f>MAX($F$23,$BD$1057)/$Q$1076</f>
        <v>0</v>
      </c>
      <c r="BN1093">
        <f t="shared" si="685"/>
        <v>0</v>
      </c>
      <c r="BO1093" cm="1">
        <f t="array" ref="BO1093">IFERROR(INDEX(sheath_ecap_asd,MATCH(BS1093,sheath_mark,0),0)*BN1093,0)</f>
        <v>0</v>
      </c>
      <c r="BP1093" cm="1">
        <f t="array" ref="BP1093">IFERROR(INDEX(sheath_wcap_asd,MATCH(BS1093,sheath_mark,0),0)*BN1093,0)</f>
        <v>0</v>
      </c>
      <c r="BQ1093" cm="1">
        <f t="array" ref="BQ1093">IFERROR(INDEX(hd_cap,MATCH(BT1093,hd_mark,0),0),0)</f>
        <v>0</v>
      </c>
      <c r="BS1093" s="19"/>
      <c r="BT1093" s="19"/>
      <c r="BU1093" s="100"/>
    </row>
    <row r="1094" x14ac:dyDescent="0.25">
      <c r="P1094" s="93"/>
      <c r="Q1094" s="111">
        <f>$R$1057</f>
        <v>0</v>
      </c>
      <c r="R1094" t="str">
        <f>$Q$1048</f>
        <v>L5</v>
      </c>
      <c r="S1094">
        <f>$E$24</f>
        <v>0</v>
      </c>
      <c r="T1094" cm="1">
        <f t="array" ref="T1094">IFERROR(IF(S1094=0,0,(INDEX($C$33:$C$38,MATCH($W$1057,$B$33:$B$38,0),0)*(S1095+$X$1057)+$T$1057*COUNTIF(S1094:S1094,"&gt;0")*$C$32+$V$1057*$C$31)*$R$1057),0)</f>
        <v>0</v>
      </c>
      <c r="U1094">
        <f>IF(S1094=0,0,-(COUNTIF(S1094:S1094,"&gt;0")*$T$1057*$C$32+$V$1057*$C$31)*$H$27*$R$1057)</f>
        <v>0</v>
      </c>
      <c r="V1094">
        <f>IF(S1094=0,0,$V$1057*$H$26*$R$1057)</f>
        <v>0</v>
      </c>
      <c r="W1094">
        <f>(0.6*T1094+0.7*U1094)*$R$1057/2</f>
        <v>0</v>
      </c>
      <c r="X1094">
        <f>T1094*$R$1057/2</f>
        <v>0</v>
      </c>
      <c r="Z1094">
        <f>IF(S1094=0,0,$AD$1057*$AP$1048)</f>
        <v>0</v>
      </c>
      <c r="AA1094">
        <f>IFERROR(Z1094/$R$1057,0)</f>
        <v>0</v>
      </c>
      <c r="AB1094">
        <f>Z1094*($F$24+IF($F$24=0,0,($C$14+$C$15+IF($C$13="single",1.5,3)+3)/12))</f>
        <v>0</v>
      </c>
      <c r="AC1094">
        <f>AB1094-W1094</f>
        <v>0</v>
      </c>
      <c r="AD1094" cm="1">
        <f t="array" ref="AD1094">IFERROR(IF(AC1094&lt;0,0,AC1094/($R$1057-INDEX(hd_off,MATCH(AQ1094,hd_mark,0),0)/12)),0)</f>
        <v>0</v>
      </c>
      <c r="AE1094">
        <f>IF(S1094=0,0,$AD$1057*$AM$1048)</f>
        <v>0</v>
      </c>
      <c r="AF1094">
        <f>IFERROR(AE1094/$R$1057,0)</f>
        <v>0</v>
      </c>
      <c r="AG1094">
        <f>AE1094*($F$24+IF($F$24=0,0,($C$14+$C$15+IF($C$13="single",1.5,3)+3)/12))</f>
        <v>0</v>
      </c>
      <c r="AH1094">
        <f>AG1094-X1094</f>
        <v>0</v>
      </c>
      <c r="AI1094" cm="1">
        <f t="array" ref="AI1094">IFERROR(IF(AH1094&lt;0,0,AH1094/($R$1057-INDEX(hd_off,MATCH(AQ1094,hd_mark,0),0)/12)),0)</f>
        <v>0</v>
      </c>
      <c r="AJ1094">
        <f>MAX($F$24,$AB$1057)/$Q$1076</f>
        <v>0</v>
      </c>
      <c r="AK1094">
        <f t="shared" si="684"/>
        <v>0</v>
      </c>
      <c r="AL1094" cm="1">
        <f t="array" ref="AL1094">IFERROR(INDEX(sheath_ecap_asd,MATCH(AP1094,sheath_mark,0),0)*AK1094,0)</f>
        <v>0</v>
      </c>
      <c r="AM1094" cm="1">
        <f t="array" ref="AM1094">IFERROR(INDEX(sheath_wcap_asd,MATCH(AP1094,sheath_mark,0),0)*AK1094,0)</f>
        <v>0</v>
      </c>
      <c r="AN1094" cm="1">
        <f t="array" ref="AN1094">IFERROR(INDEX(hd_cap,MATCH(AQ1094,hd_mark,0),0),0)</f>
        <v>0</v>
      </c>
      <c r="AP1094" s="19"/>
      <c r="AQ1094" s="19"/>
      <c r="AR1094" s="100"/>
      <c r="AS1094" s="93"/>
      <c r="AT1094" s="111">
        <f>$R$1057</f>
        <v>0</v>
      </c>
      <c r="AU1094" t="str">
        <f>$Q$1048</f>
        <v>L5</v>
      </c>
      <c r="AV1094">
        <f>$E$24</f>
        <v>0</v>
      </c>
      <c r="AW1094" cm="1">
        <f t="array" ref="AW1094">IFERROR(IF(AV1094=0,0,(INDEX($C$33:$C$38,MATCH($AZ$1057,$B$33:$B$38,0),0)*(AV1095+$BA$1057)+$AW$1057*COUNTIF(AV1094:AV1094,"&gt;0")*$C$32+$AY$1057*$C$31)*$AU$1057),0)</f>
        <v>0</v>
      </c>
      <c r="AX1094">
        <f>IF(AV1094=0,0,-(COUNTIF(AV1094:AV1094,"&gt;0")*$AW$1057*$C$32+$AY$1057*$C$31)*$H$27*$AU$1057)</f>
        <v>0</v>
      </c>
      <c r="AY1094">
        <f>IF(AV1094=0,0,$AY$1057*$H$26*$AU$1057)</f>
        <v>0</v>
      </c>
      <c r="AZ1094">
        <f>(0.6*AW1094+0.7*AX1094)*$AU$1057/2</f>
        <v>0</v>
      </c>
      <c r="BA1094">
        <f>AW1094*$AU$1057/2</f>
        <v>0</v>
      </c>
      <c r="BC1094">
        <f>IF(AV1094=0,0,$BG$1057*$AP$1048)</f>
        <v>0</v>
      </c>
      <c r="BD1094">
        <f>IFERROR(BC1094/$AU$1057,0)</f>
        <v>0</v>
      </c>
      <c r="BE1094">
        <f>BC1094*($F$24+IF($F$24=0,0,($C$14+$C$15+IF($C$13="single",1.5,3)+3)/12))</f>
        <v>0</v>
      </c>
      <c r="BF1094">
        <f>BE1094-AZ1094</f>
        <v>0</v>
      </c>
      <c r="BG1094" cm="1">
        <f t="array" ref="BG1094">IFERROR(IF(BF1094&lt;0,0,BF1094/($AU$1057-INDEX(hd_off,MATCH(BT1094,hd_mark,0),0)/12)),0)</f>
        <v>0</v>
      </c>
      <c r="BH1094">
        <f>IF(AV1094=0,0,$BG$1057*$AM$1048)</f>
        <v>0</v>
      </c>
      <c r="BI1094">
        <f>IFERROR(BH1094/$AU$1057,0)</f>
        <v>0</v>
      </c>
      <c r="BJ1094">
        <f>BH1094*($F$24+IF($F$24=0,0,($C$14+$C$15+IF($C$13="single",1.5,3)+3)/12))</f>
        <v>0</v>
      </c>
      <c r="BK1094">
        <f>BJ1094-BA1094</f>
        <v>0</v>
      </c>
      <c r="BL1094" cm="1">
        <f t="array" ref="BL1094">IFERROR(IF(BK1094&lt;0,0,BK1094/($AU$1057-INDEX(hd_off,MATCH(BT1094,hd_mark,0),0)/12)),0)</f>
        <v>0</v>
      </c>
      <c r="BM1094">
        <f>MAX($F$24,$BE$1057)/$Q$1076</f>
        <v>0</v>
      </c>
      <c r="BN1094">
        <f t="shared" si="685"/>
        <v>0</v>
      </c>
      <c r="BO1094" cm="1">
        <f t="array" ref="BO1094">IFERROR(INDEX(sheath_ecap_asd,MATCH(BS1094,sheath_mark,0),0)*BN1094,0)</f>
        <v>0</v>
      </c>
      <c r="BP1094" cm="1">
        <f t="array" ref="BP1094">IFERROR(INDEX(sheath_wcap_asd,MATCH(BS1094,sheath_mark,0),0)*BN1094,0)</f>
        <v>0</v>
      </c>
      <c r="BQ1094" cm="1">
        <f t="array" ref="BQ1094">IFERROR(INDEX(hd_cap,MATCH(BT1094,hd_mark,0),0),0)</f>
        <v>0</v>
      </c>
      <c r="BS1094" s="19"/>
      <c r="BT1094" s="19"/>
      <c r="BU1094" s="100"/>
    </row>
    <row r="1095" x14ac:dyDescent="0.25">
      <c r="P1095" s="93"/>
      <c r="Q1095" s="109"/>
      <c r="R1095" t="str">
        <f>$Q$1049</f>
        <v>Roof</v>
      </c>
      <c r="S1095">
        <f>$E$25</f>
        <v>33.171875</v>
      </c>
      <c r="T1095" cm="1">
        <f t="array" ref="T1095">IFERROR(IF(S1095=0,0,(INDEX($C$33:$C$38,MATCH($W$1057,$B$33:$B$38,0),0)*(S1095+$X$1057)+$V$1057*$C$31)*$R$1057),0)</f>
        <v>0</v>
      </c>
      <c r="U1095">
        <f>IF(S1095=0,0,-$V$1057*$C$31*$H$27*$R$1057)</f>
        <v>0</v>
      </c>
      <c r="V1095">
        <f>IF(S1095=0,0,$V$1057*$H$26*$R$1057)</f>
        <v>0</v>
      </c>
      <c r="W1095">
        <f>(0.6*T1095+0.7*U1095)*$R$1057/2</f>
        <v>0</v>
      </c>
      <c r="X1095">
        <f>T1095*$R$1057/2</f>
        <v>0</v>
      </c>
      <c r="Z1095">
        <f>IF(S1095=0,0,$AD$1057*$AP$1049)</f>
        <v>0</v>
      </c>
      <c r="AA1095">
        <f>IFERROR(Z1095/$R$1057,0)</f>
        <v>0</v>
      </c>
      <c r="AB1095">
        <f>Z1095*($F$25+($C$16+$C$17+IF($C$13="single",1.5,3)+3)/12)</f>
        <v>0</v>
      </c>
      <c r="AC1095">
        <f>AB1095-W1095</f>
        <v>0</v>
      </c>
      <c r="AD1095" cm="1">
        <f t="array" ref="AD1095">IFERROR(IF(AC1095&lt;0,0,AC1095/($R$1057-INDEX(hd_off,MATCH(AQ1095,hd_mark,0),0)/12)),0)</f>
        <v>0</v>
      </c>
      <c r="AE1095">
        <f>IF(S1095=0,0,$AD$1057*$AM$1049)</f>
        <v>0</v>
      </c>
      <c r="AF1095">
        <f>IFERROR(AE1095/$R$1057,0)</f>
        <v>0</v>
      </c>
      <c r="AG1095">
        <f>AE1095*($F$25+($C$16+$C$17+IF($C$13="single",1.5,3)+3)/12)</f>
        <v>0</v>
      </c>
      <c r="AH1095">
        <f>AG1095-X1095</f>
        <v>0</v>
      </c>
      <c r="AI1095" cm="1">
        <f t="array" ref="AI1095">IFERROR(IF(AH1095&lt;0,0,AH1095/($R$1057-INDEX(hd_off,MATCH(AQ1095,hd_mark,0),0)/12)),0)</f>
        <v>0</v>
      </c>
      <c r="AJ1095">
        <f>MAX($F$25,$AC$1057)/$Q$1076</f>
        <v>0.29920977011494249</v>
      </c>
      <c r="AK1095">
        <f t="shared" si="684"/>
        <v>1</v>
      </c>
      <c r="AL1095" cm="1">
        <f t="array" ref="AL1095">IFERROR(INDEX(sheath_ecap_asd,MATCH(AP1095,sheath_mark,0),0)*AK1095,0)</f>
        <v>0</v>
      </c>
      <c r="AM1095" cm="1">
        <f t="array" ref="AM1095">IFERROR(INDEX(sheath_wcap_asd,MATCH(AP1095,sheath_mark,0),0)*AK1095,0)</f>
        <v>0</v>
      </c>
      <c r="AN1095" cm="1">
        <f t="array" ref="AN1095">IFERROR(INDEX(hd_cap,MATCH(AQ1095,hd_mark,0),0),0)</f>
        <v>0</v>
      </c>
      <c r="AP1095" s="19"/>
      <c r="AQ1095" s="19"/>
      <c r="AR1095" s="100"/>
      <c r="AS1095" s="93"/>
      <c r="AT1095" s="109"/>
      <c r="AU1095" t="str">
        <f>$Q$1049</f>
        <v>Roof</v>
      </c>
      <c r="AV1095">
        <f>$E$25</f>
        <v>33.171875</v>
      </c>
      <c r="AW1095" cm="1">
        <f t="array" ref="AW1095">IFERROR(IF(AV1095=0,0,(INDEX($C$33:$C$38,MATCH($AZ$1057,$B$33:$B$38,0),0)*(AV1095+$BA$1057)+$AY$1057*$C$31)*$AU$1057),0)</f>
        <v>0</v>
      </c>
      <c r="AX1095">
        <f>IF(AV1095=0,0,-$AY$1057*$C$31*$H$27*$AU$1057)</f>
        <v>0</v>
      </c>
      <c r="AY1095">
        <f>IF(AV1095=0,0,$AY$1057*$H$26*$AU$1057)</f>
        <v>0</v>
      </c>
      <c r="AZ1095">
        <f>(0.6*AW1095+0.7*AX1095)*$AU$1057/2</f>
        <v>0</v>
      </c>
      <c r="BA1095">
        <f>AW1095*$AU$1057/2</f>
        <v>0</v>
      </c>
      <c r="BC1095">
        <f>IF(AV1095=0,0,$BG$1057*$AP$1049)</f>
        <v>0</v>
      </c>
      <c r="BD1095">
        <f>IFERROR(BC1095/$AU$1057,0)</f>
        <v>0</v>
      </c>
      <c r="BE1095">
        <f>BC1095*($F$25+($C$16+$C$17+IF($C$13="single",1.5,3)+3)/12)</f>
        <v>0</v>
      </c>
      <c r="BF1095">
        <f>BE1095-AZ1095</f>
        <v>0</v>
      </c>
      <c r="BG1095" cm="1">
        <f t="array" ref="BG1095">IFERROR(IF(BF1095&lt;0,0,BF1095/($AU$1057-INDEX(hd_off,MATCH(BT1095,hd_mark,0),0)/12)),0)</f>
        <v>0</v>
      </c>
      <c r="BH1095">
        <f>IF(AV1095=0,0,$BG$1057*$AM$1049)</f>
        <v>0</v>
      </c>
      <c r="BI1095">
        <f>IFERROR(BH1095/$AU$1057,0)</f>
        <v>0</v>
      </c>
      <c r="BJ1095">
        <f>BH1095*($F$25+($C$16+$C$17+IF($C$13="single",1.5,3)+3)/12)</f>
        <v>0</v>
      </c>
      <c r="BK1095">
        <f>BJ1095-BA1095</f>
        <v>0</v>
      </c>
      <c r="BL1095" cm="1">
        <f t="array" ref="BL1095">IFERROR(IF(BK1095&lt;0,0,BK1095/($AU$1057-INDEX(hd_off,MATCH(BT1095,hd_mark,0),0)/12)),0)</f>
        <v>0</v>
      </c>
      <c r="BM1095">
        <f>MAX($F$25,$BF$1057)/$Q$1076</f>
        <v>0.29920977011494249</v>
      </c>
      <c r="BN1095">
        <f t="shared" si="685"/>
        <v>1</v>
      </c>
      <c r="BO1095" cm="1">
        <f t="array" ref="BO1095">IFERROR(INDEX(sheath_ecap_asd,MATCH(BS1095,sheath_mark,0),0)*BN1095,0)</f>
        <v>0</v>
      </c>
      <c r="BP1095" cm="1">
        <f t="array" ref="BP1095">IFERROR(INDEX(sheath_wcap_asd,MATCH(BS1095,sheath_mark,0),0)*BN1095,0)</f>
        <v>0</v>
      </c>
      <c r="BQ1095" cm="1">
        <f t="array" ref="BQ1095">IFERROR(INDEX(hd_cap,MATCH(BT1095,hd_mark,0),0),0)</f>
        <v>0</v>
      </c>
      <c r="BS1095" s="19"/>
      <c r="BT1095" s="19"/>
      <c r="BU1095" s="100"/>
    </row>
    <row r="1096" x14ac:dyDescent="0.25">
      <c r="P1096" s="93"/>
      <c r="AR1096" s="100"/>
      <c r="AS1096" s="93"/>
      <c r="BU1096" s="100"/>
    </row>
    <row r="1097" x14ac:dyDescent="0.25">
      <c r="P1097" s="93"/>
      <c r="Q1097" s="110" t="str">
        <f>$Q$1058</f>
        <v>A.05</v>
      </c>
      <c r="R1097" t="str">
        <f>$Q$1045</f>
        <v>L2</v>
      </c>
      <c r="S1097">
        <f>$E$21</f>
        <v>10.6875</v>
      </c>
      <c r="T1097" cm="1">
        <f t="array" ref="T1097">IFERROR(IF(S1097=0,0,(INDEX($C$33:$C$38,MATCH($W$1058,$B$33:$B$38,0),0)*(S1101+$X$1058)+$T$1058*COUNTIF(S1097:S1100,"&gt;0")*$C$32+$V$1058*$C$31)*$R$1058),0)</f>
        <v>0</v>
      </c>
      <c r="U1097">
        <f>IF(S1097=0,0,-(COUNTIF(S1097:S1100,"&gt;0")*$T$1058*$C$32+$V$1058*$C$31)*$H$27*$R$1058)</f>
        <v>0</v>
      </c>
      <c r="V1097">
        <f>IF(S1097=0,0,$V$1058*$H$26*$R$1058)</f>
        <v>0</v>
      </c>
      <c r="W1097">
        <f>(0.6*T1097+0.7*U1097)*$R$1058/2</f>
        <v>0</v>
      </c>
      <c r="X1097">
        <f>(0.6*T1097+0.6*V1097)*$R$1058/2</f>
        <v>0</v>
      </c>
      <c r="Z1097">
        <f>IF(S1097=0,0,$AD$1058*$AP$1045)</f>
        <v>0</v>
      </c>
      <c r="AA1097">
        <f>IFERROR(Z1097/$R$1058,0)</f>
        <v>0</v>
      </c>
      <c r="AB1097">
        <f>Z1097*($F$21+IF($F$21=0,0,($C$14+$C$15+IF($C$13="single",1.5,3)+3)/12))</f>
        <v>0</v>
      </c>
      <c r="AC1097">
        <f>AB1097-W1097</f>
        <v>0</v>
      </c>
      <c r="AD1097" cm="1">
        <f t="array" ref="AD1097">IFERROR(IF(AC1097&lt;0,0,AC1097/($R$1058-INDEX(hd_off,MATCH(AQ1097,hd_mark,0),0)/12)),0)</f>
        <v>0</v>
      </c>
      <c r="AE1097">
        <f>IF(S1097=0,0,$AD$1058*$AM$1045)</f>
        <v>0</v>
      </c>
      <c r="AF1097">
        <f>IFERROR(AE1097/$R$1058,0)</f>
        <v>0</v>
      </c>
      <c r="AG1097">
        <f>AE1097*($F$21+IF($F$21=0,0,($C$14+$C$15+IF($C$13="single",1.5,3)+3)/12))</f>
        <v>0</v>
      </c>
      <c r="AH1097">
        <f>AG1097-X1097</f>
        <v>0</v>
      </c>
      <c r="AI1097" cm="1">
        <f t="array" ref="AI1097">IFERROR(IF(AH1097&lt;0,0,AH1097/($R$1058-INDEX(hd_off,MATCH(AQ1097,hd_mark,0),0)/12)),0)</f>
        <v>0</v>
      </c>
      <c r="AJ1097">
        <f>MAX($F$21,$Y$1058)/$Q$1076</f>
        <v>0.30172413793103448</v>
      </c>
      <c r="AK1097">
        <f>IF(AJ1097=0,0,IF(AJ1097&gt;2,1.25-0.125*AJ1097,1))</f>
        <v>1</v>
      </c>
      <c r="AL1097" cm="1">
        <f t="array" ref="AL1097">IFERROR(INDEX(sheath_ecap_asd,MATCH(AP1097,sheath_mark,0),0)*AK1097,0)</f>
        <v>0</v>
      </c>
      <c r="AM1097" cm="1">
        <f t="array" ref="AM1097">IFERROR(INDEX(sheath_wcap_asd,MATCH(AP1097,sheath_mark,0),0)*AK1097,0)</f>
        <v>0</v>
      </c>
      <c r="AN1097" cm="1">
        <f t="array" ref="AN1097">IFERROR(INDEX(hd_cap,MATCH(AQ1097,hd_mark,0),0),0)</f>
        <v>0</v>
      </c>
      <c r="AP1097" s="19"/>
      <c r="AQ1097" s="19"/>
      <c r="AR1097" s="100"/>
      <c r="AS1097" s="93"/>
      <c r="AT1097" s="110" t="str">
        <f>$AT$1058</f>
        <v>1.05</v>
      </c>
      <c r="AU1097" t="str">
        <f>$Q$1045</f>
        <v>L2</v>
      </c>
      <c r="AV1097">
        <f>$E$21</f>
        <v>10.6875</v>
      </c>
      <c r="AW1097" cm="1">
        <f t="array" ref="AW1097">IFERROR(IF(AV1097=0,0,(INDEX($C$33:$C$38,MATCH($AZ$1058,$B$33:$B$38,0),0)*(AV1101+$BA$1058)+$AW$1058*COUNTIF(AV1097:AV1100,"&gt;0")*$C$32+$AY$1058*$C$31)*$AU$1058),0)</f>
        <v>0</v>
      </c>
      <c r="AX1097">
        <f>IF(AV1097=0,0,-(COUNTIF(AV1097:AV1100,"&gt;0")*$AW$1058*$C$32+$AY$1058*$C$31)*$H$27*$AU$1058)</f>
        <v>0</v>
      </c>
      <c r="AY1097">
        <f>IF(AV1097=0,0,$AY$1058*$H$26*$AU$1058)</f>
        <v>0</v>
      </c>
      <c r="AZ1097">
        <f>(0.6*AW1097+0.7*AX1097)*$AU$1058/2</f>
        <v>0</v>
      </c>
      <c r="BA1097">
        <f>(0.6*AW1097+0.6*AY1097)*$AU$1058/2</f>
        <v>0</v>
      </c>
      <c r="BC1097">
        <f>IF(AV1097=0,0,$BG$1058*$AP$1045)</f>
        <v>0</v>
      </c>
      <c r="BD1097">
        <f>IFERROR(BC1097/$AU$1058,0)</f>
        <v>0</v>
      </c>
      <c r="BE1097">
        <f>BC1097*($F$21+IF($F$21=0,0,($C$14+$C$15+IF($C$13="single",1.5,3)+3)/12))</f>
        <v>0</v>
      </c>
      <c r="BF1097">
        <f>BE1097-AZ1097</f>
        <v>0</v>
      </c>
      <c r="BG1097" cm="1">
        <f t="array" ref="BG1097">IFERROR(IF(BF1097&lt;0,0,BF1097/($AU$1058-INDEX(hd_off,MATCH(BT1097,hd_mark,0),0)/12)),0)</f>
        <v>0</v>
      </c>
      <c r="BH1097">
        <f>IF(AV1097=0,0,$BG$1058*$AM$1045)</f>
        <v>0</v>
      </c>
      <c r="BI1097">
        <f>IFERROR(BH1097/$AU$1058,0)</f>
        <v>0</v>
      </c>
      <c r="BJ1097">
        <f>BH1097*($F$21+IF($F$21=0,0,($C$14+$C$15+IF($C$13="single",1.5,3)+3)/12))</f>
        <v>0</v>
      </c>
      <c r="BK1097">
        <f>BJ1097-BA1097</f>
        <v>0</v>
      </c>
      <c r="BL1097" cm="1">
        <f t="array" ref="BL1097">IFERROR(IF(BK1097&lt;0,0,BK1097/($AU$1058-INDEX(hd_off,MATCH(BT1097,hd_mark,0),0)/12)),0)</f>
        <v>0</v>
      </c>
      <c r="BM1097">
        <f>MAX($F$21,$BB$1058)/$Q$1076</f>
        <v>0.30172413793103448</v>
      </c>
      <c r="BN1097">
        <f>IF(BM1097=0,0,IF(BM1097&gt;2,1.25-0.125*BM1097,1))</f>
        <v>1</v>
      </c>
      <c r="BO1097" cm="1">
        <f t="array" ref="BO1097">IFERROR(INDEX(sheath_ecap_asd,MATCH(BS1097,sheath_mark,0),0)*BN1097,0)</f>
        <v>0</v>
      </c>
      <c r="BP1097" cm="1">
        <f t="array" ref="BP1097">IFERROR(INDEX(sheath_wcap_asd,MATCH(BS1097,sheath_mark,0),0)*BN1097,0)</f>
        <v>0</v>
      </c>
      <c r="BQ1097" cm="1">
        <f t="array" ref="BQ1097">IFERROR(INDEX(hd_cap,MATCH(BT1097,hd_mark,0),0),0)</f>
        <v>0</v>
      </c>
      <c r="BS1097" s="19"/>
      <c r="BT1097" s="19"/>
      <c r="BU1097" s="100"/>
    </row>
    <row r="1098" x14ac:dyDescent="0.25">
      <c r="B1098" s="1"/>
      <c r="P1098" s="93"/>
      <c r="Q1098" s="109"/>
      <c r="R1098" t="str">
        <f>$Q$1046</f>
        <v>L3</v>
      </c>
      <c r="S1098">
        <f>$E$22</f>
        <v>21.375</v>
      </c>
      <c r="T1098" cm="1">
        <f t="array" ref="T1098">IFERROR(IF(S1098=0,0,(INDEX($C$33:$C$38,MATCH($W$1058,$B$33:$B$38,0),0)*(S1101+$X$1058)+$T$1058*COUNTIF(S1098:S1100,"&gt;0")*$C$32+$V$1058*$C$31)*$R$1058),0)</f>
        <v>0</v>
      </c>
      <c r="U1098">
        <f>IF(S1098=0,0,-(COUNTIF(S1098:S1100,"&gt;0")*$T$1058*$C$32+$V$1058*$C$31)*$H$27*$R$1058)</f>
        <v>0</v>
      </c>
      <c r="V1098">
        <f>IF(S1098=0,0,$V$1058*$H$26*$R$1058)</f>
        <v>0</v>
      </c>
      <c r="W1098">
        <f>(0.6*T1098+0.7*U1098)*$R$1058/2</f>
        <v>0</v>
      </c>
      <c r="X1098">
        <f>T1098*$R$1058/2</f>
        <v>0</v>
      </c>
      <c r="Z1098">
        <f>IF(S1098=0,0,$AD$1058*$AP$1046)</f>
        <v>0</v>
      </c>
      <c r="AA1098">
        <f>IFERROR(Z1098/$R$1058,0)</f>
        <v>0</v>
      </c>
      <c r="AB1098">
        <f>Z1098*($F$22+IF($F$22=0,0,($C$14+$C$15+IF($C$13="single",1.5,3)+3)/12))</f>
        <v>0</v>
      </c>
      <c r="AC1098">
        <f>AB1098-W1098</f>
        <v>0</v>
      </c>
      <c r="AD1098" cm="1">
        <f t="array" ref="AD1098">IFERROR(IF(AC1098&lt;0,0,AC1098/($R$1058-INDEX(hd_off,MATCH(AQ1098,hd_mark,0),0)/12)),0)</f>
        <v>0</v>
      </c>
      <c r="AE1098">
        <f>IF(S1098=0,0,$AD$1058*$AM$1046)</f>
        <v>0</v>
      </c>
      <c r="AF1098">
        <f>IFERROR(AE1098/$R$1058,0)</f>
        <v>0</v>
      </c>
      <c r="AG1098">
        <f>AE1098*($F$22+IF($F$22=0,0,($C$14+$C$15+IF($C$13="single",1.5,3)+3)/12))</f>
        <v>0</v>
      </c>
      <c r="AH1098">
        <f>AG1098-X1098</f>
        <v>0</v>
      </c>
      <c r="AI1098" cm="1">
        <f t="array" ref="AI1098">IFERROR(IF(AH1098&lt;0,0,AH1098/($R$1058-INDEX(hd_off,MATCH(AQ1098,hd_mark,0),0)/12)),0)</f>
        <v>0</v>
      </c>
      <c r="AJ1098">
        <f>MAX($F$22,$Z$1058)/$Q$1076</f>
        <v>0.30172413793103448</v>
      </c>
      <c r="AK1098">
        <f t="shared" ref="AK1098:AK1101" si="686">IF(AJ1098=0,0,IF(AJ1098&gt;2,1.25-0.125*AJ1098,1))</f>
        <v>1</v>
      </c>
      <c r="AL1098" cm="1">
        <f t="array" ref="AL1098">IFERROR(INDEX(sheath_ecap_asd,MATCH(AP1098,sheath_mark,0),0)*AK1098,0)</f>
        <v>0</v>
      </c>
      <c r="AM1098" cm="1">
        <f t="array" ref="AM1098">IFERROR(INDEX(sheath_wcap_asd,MATCH(AP1098,sheath_mark,0),0)*AK1098,0)</f>
        <v>0</v>
      </c>
      <c r="AN1098" cm="1">
        <f t="array" ref="AN1098">IFERROR(INDEX(hd_cap,MATCH(AQ1098,hd_mark,0),0),0)</f>
        <v>0</v>
      </c>
      <c r="AP1098" s="19"/>
      <c r="AQ1098" s="19"/>
      <c r="AR1098" s="100"/>
      <c r="AS1098" s="93"/>
      <c r="AT1098" s="109"/>
      <c r="AU1098" t="str">
        <f>$Q$1046</f>
        <v>L3</v>
      </c>
      <c r="AV1098">
        <f>$E$22</f>
        <v>21.375</v>
      </c>
      <c r="AW1098" cm="1">
        <f t="array" ref="AW1098">IFERROR(IF(AV1098=0,0,(INDEX($C$33:$C$38,MATCH($AZ$1058,$B$33:$B$38,0),0)*(AV1101+$BA$1058)+$AW$1058*COUNTIF(AV1098:AV1100,"&gt;0")*$C$32+$AY$1058*$C$31)*$AU$1058),0)</f>
        <v>0</v>
      </c>
      <c r="AX1098">
        <f>IF(AV1098=0,0,-(COUNTIF(AV1098:AV1100,"&gt;0")*$AW$1058*$C$32+$AY$1058*$C$31)*$H$27*$AU$1058)</f>
        <v>0</v>
      </c>
      <c r="AY1098">
        <f>IF(AV1098=0,0,$AY$1058*$H$26*$AU$1058)</f>
        <v>0</v>
      </c>
      <c r="AZ1098">
        <f>(0.6*AW1098+0.7*AX1098)*$AU$1058/2</f>
        <v>0</v>
      </c>
      <c r="BA1098">
        <f>AW1098*$AU$1058/2</f>
        <v>0</v>
      </c>
      <c r="BC1098">
        <f>IF(AV1098=0,0,$BG$1058*$AP$1046)</f>
        <v>0</v>
      </c>
      <c r="BD1098">
        <f>IFERROR(BC1098/$AU$1058,0)</f>
        <v>0</v>
      </c>
      <c r="BE1098">
        <f>BC1098*($F$22+IF($F$22=0,0,($C$14+$C$15+IF($C$13="single",1.5,3)+3)/12))</f>
        <v>0</v>
      </c>
      <c r="BF1098">
        <f>BE1098-AZ1098</f>
        <v>0</v>
      </c>
      <c r="BG1098" cm="1">
        <f t="array" ref="BG1098">IFERROR(IF(BF1098&lt;0,0,BF1098/($AU$1058-INDEX(hd_off,MATCH(BT1098,hd_mark,0),0)/12)),0)</f>
        <v>0</v>
      </c>
      <c r="BH1098">
        <f>IF(AV1098=0,0,$BG$1058*$AM$1046)</f>
        <v>0</v>
      </c>
      <c r="BI1098">
        <f>IFERROR(BH1098/$AU$1058,0)</f>
        <v>0</v>
      </c>
      <c r="BJ1098">
        <f>BH1098*($F$22+IF($F$22=0,0,($C$14+$C$15+IF($C$13="single",1.5,3)+3)/12))</f>
        <v>0</v>
      </c>
      <c r="BK1098">
        <f>BJ1098-BA1098</f>
        <v>0</v>
      </c>
      <c r="BL1098" cm="1">
        <f t="array" ref="BL1098">IFERROR(IF(BK1098&lt;0,0,BK1098/($AU$1058-INDEX(hd_off,MATCH(BT1098,hd_mark,0),0)/12)),0)</f>
        <v>0</v>
      </c>
      <c r="BM1098">
        <f>MAX($F$22,$BC$1058)/$Q$1076</f>
        <v>0.30172413793103448</v>
      </c>
      <c r="BN1098">
        <f t="shared" ref="BN1098:BN1101" si="687">IF(BM1098=0,0,IF(BM1098&gt;2,1.25-0.125*BM1098,1))</f>
        <v>1</v>
      </c>
      <c r="BO1098" cm="1">
        <f t="array" ref="BO1098">IFERROR(INDEX(sheath_ecap_asd,MATCH(BS1098,sheath_mark,0),0)*BN1098,0)</f>
        <v>0</v>
      </c>
      <c r="BP1098" cm="1">
        <f t="array" ref="BP1098">IFERROR(INDEX(sheath_wcap_asd,MATCH(BS1098,sheath_mark,0),0)*BN1098,0)</f>
        <v>0</v>
      </c>
      <c r="BQ1098" cm="1">
        <f t="array" ref="BQ1098">IFERROR(INDEX(hd_cap,MATCH(BT1098,hd_mark,0),0),0)</f>
        <v>0</v>
      </c>
      <c r="BS1098" s="19"/>
      <c r="BT1098" s="19"/>
      <c r="BU1098" s="100"/>
    </row>
    <row r="1099" x14ac:dyDescent="0.25">
      <c r="P1099" s="93"/>
      <c r="Q1099" s="109" t="s">
        <v>491</v>
      </c>
      <c r="R1099" t="str">
        <f>$Q$1047</f>
        <v>L4</v>
      </c>
      <c r="S1099">
        <f>$E$23</f>
        <v>0</v>
      </c>
      <c r="T1099" cm="1">
        <f t="array" ref="T1099">IFERROR(IF(S1099=0,0,(INDEX($C$33:$C$38,MATCH($W$1058,$B$33:$B$38,0),0)*(S1101+$X$1058)+$T$1058*COUNTIF(S1099:S1100,"&gt;0")*$C$32+$V$1058*$C$31)*$R$1058),0)</f>
        <v>0</v>
      </c>
      <c r="U1099">
        <f>IF(S1099=0,0,-(COUNTIF(S1099:S1100,"&gt;0")*$T$1058*$C$32+$V$1058*$C$31)*$H$27*$R$1058)</f>
        <v>0</v>
      </c>
      <c r="V1099">
        <f>IF(S1099=0,0,$V$1058*$H$26*$R$1058)</f>
        <v>0</v>
      </c>
      <c r="W1099">
        <f>(0.6*T1099+0.7*U1099)*$R$1058/2</f>
        <v>0</v>
      </c>
      <c r="X1099">
        <f>T1099*$R$1058/2</f>
        <v>0</v>
      </c>
      <c r="Z1099">
        <f>IF(S1099=0,0,$AD$1058*$AP$1047)</f>
        <v>0</v>
      </c>
      <c r="AA1099">
        <f>IFERROR(Z1099/$R$1058,0)</f>
        <v>0</v>
      </c>
      <c r="AB1099">
        <f>Z1099*($F$23+IF($F$23=0,0,($C$14+$C$15+IF($C$13="single",1.5,3)+3)/12))</f>
        <v>0</v>
      </c>
      <c r="AC1099">
        <f>AB1099-W1099</f>
        <v>0</v>
      </c>
      <c r="AD1099" cm="1">
        <f t="array" ref="AD1099">IFERROR(IF(AC1099&lt;0,0,AC1099/($R$1058-INDEX(hd_off,MATCH(AQ1099,hd_mark,0),0)/12)),0)</f>
        <v>0</v>
      </c>
      <c r="AE1099">
        <f>IF(S1099=0,0,$AD$1058*$AM$1047)</f>
        <v>0</v>
      </c>
      <c r="AF1099">
        <f>IFERROR(AE1099/$R$1058,0)</f>
        <v>0</v>
      </c>
      <c r="AG1099">
        <f>AE1099*($F$23+IF($F$23=0,0,($C$14+$C$15+IF($C$13="single",1.5,3)+3)/12))</f>
        <v>0</v>
      </c>
      <c r="AH1099">
        <f>AG1099-X1099</f>
        <v>0</v>
      </c>
      <c r="AI1099" cm="1">
        <f t="array" ref="AI1099">IFERROR(IF(AH1099&lt;0,0,AH1099/($R$1058-INDEX(hd_off,MATCH(AQ1099,hd_mark,0),0)/12)),0)</f>
        <v>0</v>
      </c>
      <c r="AJ1099">
        <f>MAX($F$23,$AA$1058)/$Q$1076</f>
        <v>0</v>
      </c>
      <c r="AK1099">
        <f t="shared" si="686"/>
        <v>0</v>
      </c>
      <c r="AL1099" cm="1">
        <f t="array" ref="AL1099">IFERROR(INDEX(sheath_ecap_asd,MATCH(AP1099,sheath_mark,0),0)*AK1099,0)</f>
        <v>0</v>
      </c>
      <c r="AM1099" cm="1">
        <f t="array" ref="AM1099">IFERROR(INDEX(sheath_wcap_asd,MATCH(AP1099,sheath_mark,0),0)*AK1099,0)</f>
        <v>0</v>
      </c>
      <c r="AN1099" cm="1">
        <f t="array" ref="AN1099">IFERROR(INDEX(hd_cap,MATCH(AQ1099,hd_mark,0),0),0)</f>
        <v>0</v>
      </c>
      <c r="AP1099" s="19"/>
      <c r="AQ1099" s="19"/>
      <c r="AR1099" s="100"/>
      <c r="AS1099" s="93"/>
      <c r="AT1099" s="109" t="s">
        <v>491</v>
      </c>
      <c r="AU1099" t="str">
        <f>$Q$1047</f>
        <v>L4</v>
      </c>
      <c r="AV1099">
        <f>$E$23</f>
        <v>0</v>
      </c>
      <c r="AW1099" cm="1">
        <f t="array" ref="AW1099">IFERROR(IF(AV1099=0,0,(INDEX($C$33:$C$38,MATCH($AZ$1058,$B$33:$B$38,0),0)*(AV1101+$BA$1058)+$AW$1058*COUNTIF(AV1099:AV1100,"&gt;0")*$C$32+$AY$1058*$C$31)*$AU$1058),0)</f>
        <v>0</v>
      </c>
      <c r="AX1099">
        <f>IF(AV1099=0,0,-(COUNTIF(AV1099:AV1100,"&gt;0")*$AW$1058*$C$32+$AY$1058*$C$31)*$H$27*$AU$1058)</f>
        <v>0</v>
      </c>
      <c r="AY1099">
        <f>IF(AV1099=0,0,$AY$1058*$H$26*$AU$1058)</f>
        <v>0</v>
      </c>
      <c r="AZ1099">
        <f>(0.6*AW1099+0.7*AX1099)*$AU$1058/2</f>
        <v>0</v>
      </c>
      <c r="BA1099">
        <f>AW1099*$AU$1058/2</f>
        <v>0</v>
      </c>
      <c r="BC1099">
        <f>IF(AV1099=0,0,$BG$1058*$AP$1047)</f>
        <v>0</v>
      </c>
      <c r="BD1099">
        <f>IFERROR(BC1099/$AU$1058,0)</f>
        <v>0</v>
      </c>
      <c r="BE1099">
        <f>BC1099*($F$23+IF($F$23=0,0,($C$14+$C$15+IF($C$13="single",1.5,3)+3)/12))</f>
        <v>0</v>
      </c>
      <c r="BF1099">
        <f>BE1099-AZ1099</f>
        <v>0</v>
      </c>
      <c r="BG1099" cm="1">
        <f t="array" ref="BG1099">IFERROR(IF(BF1099&lt;0,0,BF1099/($AU$1058-INDEX(hd_off,MATCH(BT1099,hd_mark,0),0)/12)),0)</f>
        <v>0</v>
      </c>
      <c r="BH1099">
        <f>IF(AV1099=0,0,$BG$1058*$AM$1047)</f>
        <v>0</v>
      </c>
      <c r="BI1099">
        <f>IFERROR(BH1099/$AU$1058,0)</f>
        <v>0</v>
      </c>
      <c r="BJ1099">
        <f>BH1099*($F$23+IF($F$23=0,0,($C$14+$C$15+IF($C$13="single",1.5,3)+3)/12))</f>
        <v>0</v>
      </c>
      <c r="BK1099">
        <f>BJ1099-BA1099</f>
        <v>0</v>
      </c>
      <c r="BL1099" cm="1">
        <f t="array" ref="BL1099">IFERROR(IF(BK1099&lt;0,0,BK1099/($AU$1058-INDEX(hd_off,MATCH(BT1099,hd_mark,0),0)/12)),0)</f>
        <v>0</v>
      </c>
      <c r="BM1099">
        <f>MAX($F$23,$BD$1058)/$Q$1076</f>
        <v>0</v>
      </c>
      <c r="BN1099">
        <f t="shared" si="687"/>
        <v>0</v>
      </c>
      <c r="BO1099" cm="1">
        <f t="array" ref="BO1099">IFERROR(INDEX(sheath_ecap_asd,MATCH(BS1099,sheath_mark,0),0)*BN1099,0)</f>
        <v>0</v>
      </c>
      <c r="BP1099" cm="1">
        <f t="array" ref="BP1099">IFERROR(INDEX(sheath_wcap_asd,MATCH(BS1099,sheath_mark,0),0)*BN1099,0)</f>
        <v>0</v>
      </c>
      <c r="BQ1099" cm="1">
        <f t="array" ref="BQ1099">IFERROR(INDEX(hd_cap,MATCH(BT1099,hd_mark,0),0),0)</f>
        <v>0</v>
      </c>
      <c r="BS1099" s="19"/>
      <c r="BT1099" s="19"/>
      <c r="BU1099" s="100"/>
    </row>
    <row r="1100" x14ac:dyDescent="0.25">
      <c r="P1100" s="93"/>
      <c r="Q1100" s="111">
        <f>$R$1058</f>
        <v>0</v>
      </c>
      <c r="R1100" t="str">
        <f>$Q$1048</f>
        <v>L5</v>
      </c>
      <c r="S1100">
        <f>$E$24</f>
        <v>0</v>
      </c>
      <c r="T1100" cm="1">
        <f t="array" ref="T1100">IFERROR(IF(S1100=0,0,(INDEX($C$33:$C$38,MATCH($W$1058,$B$33:$B$38,0),0)*(S1101+$X$1058)+$T$1058*COUNTIF(S1100:S1100,"&gt;0")*$C$32+$V$1058*$C$31)*$R$1058),0)</f>
        <v>0</v>
      </c>
      <c r="U1100">
        <f>IF(S1100=0,0,-(COUNTIF(S1100:S1100,"&gt;0")*$T$1058*$C$32+$V$1058*$C$31)*$H$27*$R$1058)</f>
        <v>0</v>
      </c>
      <c r="V1100">
        <f>IF(S1100=0,0,$V$1058*$H$26*$R$1058)</f>
        <v>0</v>
      </c>
      <c r="W1100">
        <f>(0.6*T1100+0.7*U1100)*$R$1058/2</f>
        <v>0</v>
      </c>
      <c r="X1100">
        <f>T1100*$R$1058/2</f>
        <v>0</v>
      </c>
      <c r="Z1100">
        <f>IF(S1100=0,0,$AD$1058*$AP$1048)</f>
        <v>0</v>
      </c>
      <c r="AA1100">
        <f>IFERROR(Z1100/$R$1058,0)</f>
        <v>0</v>
      </c>
      <c r="AB1100">
        <f>Z1100*($F$24+IF($F$24=0,0,($C$14+$C$15+IF($C$13="single",1.5,3)+3)/12))</f>
        <v>0</v>
      </c>
      <c r="AC1100">
        <f>AB1100-W1100</f>
        <v>0</v>
      </c>
      <c r="AD1100" cm="1">
        <f t="array" ref="AD1100">IFERROR(IF(AC1100&lt;0,0,AC1100/($R$1058-INDEX(hd_off,MATCH(AQ1100,hd_mark,0),0)/12)),0)</f>
        <v>0</v>
      </c>
      <c r="AE1100">
        <f>IF(S1100=0,0,$AD$1058*$AM$1048)</f>
        <v>0</v>
      </c>
      <c r="AF1100">
        <f>IFERROR(AE1100/$R$1058,0)</f>
        <v>0</v>
      </c>
      <c r="AG1100">
        <f>AE1100*($F$24+IF($F$24=0,0,($C$14+$C$15+IF($C$13="single",1.5,3)+3)/12))</f>
        <v>0</v>
      </c>
      <c r="AH1100">
        <f>AG1100-X1100</f>
        <v>0</v>
      </c>
      <c r="AI1100" cm="1">
        <f t="array" ref="AI1100">IFERROR(IF(AH1100&lt;0,0,AH1100/($R$1058-INDEX(hd_off,MATCH(AQ1100,hd_mark,0),0)/12)),0)</f>
        <v>0</v>
      </c>
      <c r="AJ1100">
        <f>MAX($F$24,$AB$1058)/$Q$1076</f>
        <v>0</v>
      </c>
      <c r="AK1100">
        <f t="shared" si="686"/>
        <v>0</v>
      </c>
      <c r="AL1100" cm="1">
        <f t="array" ref="AL1100">IFERROR(INDEX(sheath_ecap_asd,MATCH(AP1100,sheath_mark,0),0)*AK1100,0)</f>
        <v>0</v>
      </c>
      <c r="AM1100" cm="1">
        <f t="array" ref="AM1100">IFERROR(INDEX(sheath_wcap_asd,MATCH(AP1100,sheath_mark,0),0)*AK1100,0)</f>
        <v>0</v>
      </c>
      <c r="AN1100" cm="1">
        <f t="array" ref="AN1100">IFERROR(INDEX(hd_cap,MATCH(AQ1100,hd_mark,0),0),0)</f>
        <v>0</v>
      </c>
      <c r="AP1100" s="19"/>
      <c r="AQ1100" s="19"/>
      <c r="AR1100" s="100"/>
      <c r="AS1100" s="93"/>
      <c r="AT1100" s="111">
        <f>$R$1058</f>
        <v>0</v>
      </c>
      <c r="AU1100" t="str">
        <f>$Q$1048</f>
        <v>L5</v>
      </c>
      <c r="AV1100">
        <f>$E$24</f>
        <v>0</v>
      </c>
      <c r="AW1100" cm="1">
        <f t="array" ref="AW1100">IFERROR(IF(AV1100=0,0,(INDEX($C$33:$C$38,MATCH($AZ$1058,$B$33:$B$38,0),0)*(AV1101+$BA$1058)+$AW$1058*COUNTIF(AV1100:AV1100,"&gt;0")*$C$32+$AY$1058*$C$31)*$AU$1058),0)</f>
        <v>0</v>
      </c>
      <c r="AX1100">
        <f>IF(AV1100=0,0,-(COUNTIF(AV1100:AV1100,"&gt;0")*$AW$1058*$C$32+$AY$1058*$C$31)*$H$27*$AU$1058)</f>
        <v>0</v>
      </c>
      <c r="AY1100">
        <f>IF(AV1100=0,0,$AY$1058*$H$26*$AU$1058)</f>
        <v>0</v>
      </c>
      <c r="AZ1100">
        <f>(0.6*AW1100+0.7*AX1100)*$AU$1058/2</f>
        <v>0</v>
      </c>
      <c r="BA1100">
        <f>AW1100*$AU$1058/2</f>
        <v>0</v>
      </c>
      <c r="BC1100">
        <f>IF(AV1100=0,0,$BG$1058*$AP$1048)</f>
        <v>0</v>
      </c>
      <c r="BD1100">
        <f>IFERROR(BC1100/$AU$1058,0)</f>
        <v>0</v>
      </c>
      <c r="BE1100">
        <f>BC1100*($F$24+IF($F$24=0,0,($C$14+$C$15+IF($C$13="single",1.5,3)+3)/12))</f>
        <v>0</v>
      </c>
      <c r="BF1100">
        <f>BE1100-AZ1100</f>
        <v>0</v>
      </c>
      <c r="BG1100" cm="1">
        <f t="array" ref="BG1100">IFERROR(IF(BF1100&lt;0,0,BF1100/($AU$1058-INDEX(hd_off,MATCH(BT1100,hd_mark,0),0)/12)),0)</f>
        <v>0</v>
      </c>
      <c r="BH1100">
        <f>IF(AV1100=0,0,$BG$1058*$AM$1048)</f>
        <v>0</v>
      </c>
      <c r="BI1100">
        <f>IFERROR(BH1100/$AU$1058,0)</f>
        <v>0</v>
      </c>
      <c r="BJ1100">
        <f>BH1100*($F$24+IF($F$24=0,0,($C$14+$C$15+IF($C$13="single",1.5,3)+3)/12))</f>
        <v>0</v>
      </c>
      <c r="BK1100">
        <f>BJ1100-BA1100</f>
        <v>0</v>
      </c>
      <c r="BL1100" cm="1">
        <f t="array" ref="BL1100">IFERROR(IF(BK1100&lt;0,0,BK1100/($AU$1058-INDEX(hd_off,MATCH(BT1100,hd_mark,0),0)/12)),0)</f>
        <v>0</v>
      </c>
      <c r="BM1100">
        <f>MAX($F$24,$BE$1058)/$Q$1076</f>
        <v>0</v>
      </c>
      <c r="BN1100">
        <f t="shared" si="687"/>
        <v>0</v>
      </c>
      <c r="BO1100" cm="1">
        <f t="array" ref="BO1100">IFERROR(INDEX(sheath_ecap_asd,MATCH(BS1100,sheath_mark,0),0)*BN1100,0)</f>
        <v>0</v>
      </c>
      <c r="BP1100" cm="1">
        <f t="array" ref="BP1100">IFERROR(INDEX(sheath_wcap_asd,MATCH(BS1100,sheath_mark,0),0)*BN1100,0)</f>
        <v>0</v>
      </c>
      <c r="BQ1100" cm="1">
        <f t="array" ref="BQ1100">IFERROR(INDEX(hd_cap,MATCH(BT1100,hd_mark,0),0),0)</f>
        <v>0</v>
      </c>
      <c r="BS1100" s="19"/>
      <c r="BT1100" s="19"/>
      <c r="BU1100" s="100"/>
    </row>
    <row r="1101" x14ac:dyDescent="0.25">
      <c r="P1101" s="93"/>
      <c r="Q1101" s="109"/>
      <c r="R1101" t="str">
        <f>$Q$1049</f>
        <v>Roof</v>
      </c>
      <c r="S1101">
        <f>$E$25</f>
        <v>33.171875</v>
      </c>
      <c r="T1101" cm="1">
        <f t="array" ref="T1101">IFERROR(IF(S1101=0,0,(INDEX($C$33:$C$38,MATCH($W$1058,$B$33:$B$38,0),0)*(S1101+$X$1058)+$V$1058*$C$31)*$R$1058),0)</f>
        <v>0</v>
      </c>
      <c r="U1101">
        <f>IF(S1101=0,0,-$V$1058*$C$31*$H$27*$R$1058)</f>
        <v>0</v>
      </c>
      <c r="V1101">
        <f>IF(S1101=0,0,$V$1058*$H$26*$R$1058)</f>
        <v>0</v>
      </c>
      <c r="W1101">
        <f>(0.6*T1101+0.7*U1101)*$R$1058/2</f>
        <v>0</v>
      </c>
      <c r="X1101">
        <f>T1101*$R$1058/2</f>
        <v>0</v>
      </c>
      <c r="Z1101">
        <f>IF(S1101=0,0,$AD$1058*$AP$1049)</f>
        <v>0</v>
      </c>
      <c r="AA1101">
        <f>IFERROR(Z1101/$R$1058,0)</f>
        <v>0</v>
      </c>
      <c r="AB1101">
        <f>Z1101*($F$25+($C$16+$C$17+IF($C$13="single",1.5,3)+3)/12)</f>
        <v>0</v>
      </c>
      <c r="AC1101">
        <f>AB1101-W1101</f>
        <v>0</v>
      </c>
      <c r="AD1101" cm="1">
        <f t="array" ref="AD1101">IFERROR(IF(AC1101&lt;0,0,AC1101/($R$1058-INDEX(hd_off,MATCH(AQ1101,hd_mark,0),0)/12)),0)</f>
        <v>0</v>
      </c>
      <c r="AE1101">
        <f>IF(S1101=0,0,$AD$1058*$AM$1049)</f>
        <v>0</v>
      </c>
      <c r="AF1101">
        <f>IFERROR(AE1101/$R$1058,0)</f>
        <v>0</v>
      </c>
      <c r="AG1101">
        <f>AE1101*($F$25+($C$16+$C$17+IF($C$13="single",1.5,3)+3)/12)</f>
        <v>0</v>
      </c>
      <c r="AH1101">
        <f>AG1101-X1101</f>
        <v>0</v>
      </c>
      <c r="AI1101" cm="1">
        <f t="array" ref="AI1101">IFERROR(IF(AH1101&lt;0,0,AH1101/($R$1058-INDEX(hd_off,MATCH(AQ1101,hd_mark,0),0)/12)),0)</f>
        <v>0</v>
      </c>
      <c r="AJ1101">
        <f>MAX($F$25,$AC$1058)/$Q$1076</f>
        <v>0.29920977011494249</v>
      </c>
      <c r="AK1101">
        <f t="shared" si="686"/>
        <v>1</v>
      </c>
      <c r="AL1101" cm="1">
        <f t="array" ref="AL1101">IFERROR(INDEX(sheath_ecap_asd,MATCH(AP1101,sheath_mark,0),0)*AK1101,0)</f>
        <v>0</v>
      </c>
      <c r="AM1101" cm="1">
        <f t="array" ref="AM1101">IFERROR(INDEX(sheath_wcap_asd,MATCH(AP1101,sheath_mark,0),0)*AK1101,0)</f>
        <v>0</v>
      </c>
      <c r="AN1101" cm="1">
        <f t="array" ref="AN1101">IFERROR(INDEX(hd_cap,MATCH(AQ1101,hd_mark,0),0),0)</f>
        <v>0</v>
      </c>
      <c r="AP1101" s="19"/>
      <c r="AQ1101" s="19"/>
      <c r="AR1101" s="100"/>
      <c r="AS1101" s="93"/>
      <c r="AT1101" s="109"/>
      <c r="AU1101" t="str">
        <f>$Q$1049</f>
        <v>Roof</v>
      </c>
      <c r="AV1101">
        <f>$E$25</f>
        <v>33.171875</v>
      </c>
      <c r="AW1101" cm="1">
        <f t="array" ref="AW1101">IFERROR(IF(AV1101=0,0,(INDEX($C$33:$C$38,MATCH($AZ$1058,$B$33:$B$38,0),0)*(AV1101+$BA$1058)+$AY$1058*$C$31)*$AU$1058),0)</f>
        <v>0</v>
      </c>
      <c r="AX1101">
        <f>IF(AV1101=0,0,-$AY$1058*$C$31*$H$27*$AU$1058)</f>
        <v>0</v>
      </c>
      <c r="AY1101">
        <f>IF(AV1101=0,0,$AY$1058*$H$26*$AU$1058)</f>
        <v>0</v>
      </c>
      <c r="AZ1101">
        <f>(0.6*AW1101+0.7*AX1101)*$AU$1058/2</f>
        <v>0</v>
      </c>
      <c r="BA1101">
        <f>AW1101*$AU$1058/2</f>
        <v>0</v>
      </c>
      <c r="BC1101">
        <f>IF(AV1101=0,0,$BG$1058*$AP$1049)</f>
        <v>0</v>
      </c>
      <c r="BD1101">
        <f>IFERROR(BC1101/$AU$1058,0)</f>
        <v>0</v>
      </c>
      <c r="BE1101">
        <f>BC1101*($F$25+($C$16+$C$17+IF($C$13="single",1.5,3)+3)/12)</f>
        <v>0</v>
      </c>
      <c r="BF1101">
        <f>BE1101-AZ1101</f>
        <v>0</v>
      </c>
      <c r="BG1101" cm="1">
        <f t="array" ref="BG1101">IFERROR(IF(BF1101&lt;0,0,BF1101/($AU$1058-INDEX(hd_off,MATCH(BT1101,hd_mark,0),0)/12)),0)</f>
        <v>0</v>
      </c>
      <c r="BH1101">
        <f>IF(AV1101=0,0,$BG$1058*$AM$1049)</f>
        <v>0</v>
      </c>
      <c r="BI1101">
        <f>IFERROR(BH1101/$AU$1058,0)</f>
        <v>0</v>
      </c>
      <c r="BJ1101">
        <f>BH1101*($F$25+($C$16+$C$17+IF($C$13="single",1.5,3)+3)/12)</f>
        <v>0</v>
      </c>
      <c r="BK1101">
        <f>BJ1101-BA1101</f>
        <v>0</v>
      </c>
      <c r="BL1101" cm="1">
        <f t="array" ref="BL1101">IFERROR(IF(BK1101&lt;0,0,BK1101/($AU$1058-INDEX(hd_off,MATCH(BT1101,hd_mark,0),0)/12)),0)</f>
        <v>0</v>
      </c>
      <c r="BM1101">
        <f>MAX($F$25,$BF$1058)/$Q$1076</f>
        <v>0.29920977011494249</v>
      </c>
      <c r="BN1101">
        <f t="shared" si="687"/>
        <v>1</v>
      </c>
      <c r="BO1101" cm="1">
        <f t="array" ref="BO1101">IFERROR(INDEX(sheath_ecap_asd,MATCH(BS1101,sheath_mark,0),0)*BN1101,0)</f>
        <v>0</v>
      </c>
      <c r="BP1101" cm="1">
        <f t="array" ref="BP1101">IFERROR(INDEX(sheath_wcap_asd,MATCH(BS1101,sheath_mark,0),0)*BN1101,0)</f>
        <v>0</v>
      </c>
      <c r="BQ1101" cm="1">
        <f t="array" ref="BQ1101">IFERROR(INDEX(hd_cap,MATCH(BT1101,hd_mark,0),0),0)</f>
        <v>0</v>
      </c>
      <c r="BS1101" s="19"/>
      <c r="BT1101" s="19"/>
      <c r="BU1101" s="100"/>
    </row>
    <row r="1102" x14ac:dyDescent="0.25">
      <c r="P1102" s="93"/>
      <c r="AR1102" s="100"/>
      <c r="AS1102" s="93"/>
      <c r="BU1102" s="100"/>
    </row>
    <row r="1103" x14ac:dyDescent="0.25">
      <c r="P1103" s="93"/>
      <c r="Q1103" s="110" t="str">
        <f>$Q$1059</f>
        <v>A.06</v>
      </c>
      <c r="R1103" t="str">
        <f>$Q$1045</f>
        <v>L2</v>
      </c>
      <c r="S1103">
        <f>$E$21</f>
        <v>10.6875</v>
      </c>
      <c r="T1103" cm="1">
        <f t="array" ref="T1103">IFERROR(IF(S1103=0,0,(INDEX($C$33:$C$38,MATCH($W$1059,$B$33:$B$38,0),0)*(S1107+$X$1059)+$T$1059*COUNTIF(S1103:S1106,"&gt;0")*$C$32+$V$1059*$C$31)*$R$1059),0)</f>
        <v>0</v>
      </c>
      <c r="U1103">
        <f>IF(S1103=0,0,-(COUNTIF(S1103:S1106,"&gt;0")*$T$1059*$C$32+$V$1059*$C$31)*$H$27*$R$1059)</f>
        <v>0</v>
      </c>
      <c r="V1103">
        <f>IF(S1103=0,0,$V$1059*$H$26*$R$1059)</f>
        <v>0</v>
      </c>
      <c r="W1103">
        <f>(0.6*T1103+0.7*U1103)*$R$1059/2</f>
        <v>0</v>
      </c>
      <c r="X1103">
        <f>(0.6*T1103+0.6*V1103)*$R$1059/2</f>
        <v>0</v>
      </c>
      <c r="Z1103">
        <f>IF(S1103=0,0,$AD$1059*$AP$1045)</f>
        <v>0</v>
      </c>
      <c r="AA1103">
        <f>IFERROR(Z1103/$R$1059,0)</f>
        <v>0</v>
      </c>
      <c r="AB1103">
        <f>Z1103*($F$21+IF($F$21=0,0,($C$14+$C$15+IF($C$13="single",1.5,3)+3)/12))</f>
        <v>0</v>
      </c>
      <c r="AC1103">
        <f>AB1103-W1103</f>
        <v>0</v>
      </c>
      <c r="AD1103" cm="1">
        <f t="array" ref="AD1103">IFERROR(IF(AC1103&lt;0,0,AC1103/($R$1059-INDEX(hd_off,MATCH(AQ1103,hd_mark,0),0)/12)),0)</f>
        <v>0</v>
      </c>
      <c r="AE1103">
        <f>IF(S1103=0,0,$AD$1059*$AM$1045)</f>
        <v>0</v>
      </c>
      <c r="AF1103">
        <f>IFERROR(AE1103/$R$1059,0)</f>
        <v>0</v>
      </c>
      <c r="AG1103">
        <f>AE1103*($F$21+IF($F$21=0,0,($C$14+$C$15+IF($C$13="single",1.5,3)+3)/12))</f>
        <v>0</v>
      </c>
      <c r="AH1103">
        <f>AG1103-X1103</f>
        <v>0</v>
      </c>
      <c r="AI1103" cm="1">
        <f t="array" ref="AI1103">IFERROR(IF(AH1103&lt;0,0,AH1103/($R$1059-INDEX(hd_off,MATCH(AQ1103,hd_mark,0),0)/12)),0)</f>
        <v>0</v>
      </c>
      <c r="AJ1103">
        <f>MAX($F$21,$Y$1059)/$Q$1076</f>
        <v>0.30172413793103448</v>
      </c>
      <c r="AK1103">
        <f>IF(AJ1103=0,0,IF(AJ1103&gt;2,1.25-0.125*AJ1103,1))</f>
        <v>1</v>
      </c>
      <c r="AL1103" cm="1">
        <f t="array" ref="AL1103">IFERROR(INDEX(sheath_ecap_asd,MATCH(AP1103,sheath_mark,0),0)*AK1103,0)</f>
        <v>0</v>
      </c>
      <c r="AM1103" cm="1">
        <f t="array" ref="AM1103">IFERROR(INDEX(sheath_wcap_asd,MATCH(AP1103,sheath_mark,0),0)*AK1103,0)</f>
        <v>0</v>
      </c>
      <c r="AN1103" cm="1">
        <f t="array" ref="AN1103">IFERROR(INDEX(hd_cap,MATCH(AQ1103,hd_mark,0),0),0)</f>
        <v>0</v>
      </c>
      <c r="AP1103" s="19"/>
      <c r="AQ1103" s="19"/>
      <c r="AR1103" s="100"/>
      <c r="AS1103" s="93"/>
      <c r="AT1103" s="110" t="str">
        <f>$AT$1059</f>
        <v>1.06</v>
      </c>
      <c r="AU1103" t="str">
        <f>$Q$1045</f>
        <v>L2</v>
      </c>
      <c r="AV1103">
        <f>$E$21</f>
        <v>10.6875</v>
      </c>
      <c r="AW1103" cm="1">
        <f t="array" ref="AW1103">IFERROR(IF(AV1103=0,0,(INDEX($C$33:$C$38,MATCH($AZ$1059,$B$33:$B$38,0),0)*(AV1107+$BA$1059)+$AW$1059*COUNTIF(AV1103:AV1106,"&gt;0")*$C$32+$AY$1059*$C$31)*$AU$1059),0)</f>
        <v>0</v>
      </c>
      <c r="AX1103">
        <f>IF(AV1103=0,0,-(COUNTIF(AV1103:AV1106,"&gt;0")*$AW$1059*$C$32+$AY$1059*$C$31)*$H$27*$AU$1059)</f>
        <v>0</v>
      </c>
      <c r="AY1103">
        <f>IF(AV1103=0,0,$AY$1059*$H$26*$AU$1059)</f>
        <v>0</v>
      </c>
      <c r="AZ1103">
        <f>(0.6*AW1103+0.7*AX1103)*$AU$1059/2</f>
        <v>0</v>
      </c>
      <c r="BA1103">
        <f>(0.6*AW1103+0.6*AY1103)*$AU$1059/2</f>
        <v>0</v>
      </c>
      <c r="BC1103">
        <f>IF(AV1103=0,0,$BG$1059*$AP$1045)</f>
        <v>0</v>
      </c>
      <c r="BD1103">
        <f>IFERROR(BC1103/$AU$1059,0)</f>
        <v>0</v>
      </c>
      <c r="BE1103">
        <f>BC1103*($F$21+IF($F$21=0,0,($C$14+$C$15+IF($C$13="single",1.5,3)+3)/12))</f>
        <v>0</v>
      </c>
      <c r="BF1103">
        <f>BE1103-AZ1103</f>
        <v>0</v>
      </c>
      <c r="BG1103" cm="1">
        <f t="array" ref="BG1103">IFERROR(IF(BF1103&lt;0,0,BF1103/($AU$1059-INDEX(hd_off,MATCH(BT1103,hd_mark,0),0)/12)),0)</f>
        <v>0</v>
      </c>
      <c r="BH1103">
        <f>IF(AV1103=0,0,$BG$1059*$AM$1045)</f>
        <v>0</v>
      </c>
      <c r="BI1103">
        <f>IFERROR(BH1103/$AU$1059,0)</f>
        <v>0</v>
      </c>
      <c r="BJ1103">
        <f>BH1103*($F$21+IF($F$21=0,0,($C$14+$C$15+IF($C$13="single",1.5,3)+3)/12))</f>
        <v>0</v>
      </c>
      <c r="BK1103">
        <f>BJ1103-BA1103</f>
        <v>0</v>
      </c>
      <c r="BL1103" cm="1">
        <f t="array" ref="BL1103">IFERROR(IF(BK1103&lt;0,0,BK1103/($AU$1059-INDEX(hd_off,MATCH(BT1103,hd_mark,0),0)/12)),0)</f>
        <v>0</v>
      </c>
      <c r="BM1103">
        <f>MAX($F$21,$BB$1059)/$Q$1076</f>
        <v>0.30172413793103448</v>
      </c>
      <c r="BN1103">
        <f>IF(BM1103=0,0,IF(BM1103&gt;2,1.25-0.125*BM1103,1))</f>
        <v>1</v>
      </c>
      <c r="BO1103" cm="1">
        <f t="array" ref="BO1103">IFERROR(INDEX(sheath_ecap_asd,MATCH(BS1103,sheath_mark,0),0)*BN1103,0)</f>
        <v>0</v>
      </c>
      <c r="BP1103" cm="1">
        <f t="array" ref="BP1103">IFERROR(INDEX(sheath_wcap_asd,MATCH(BS1103,sheath_mark,0),0)*BN1103,0)</f>
        <v>0</v>
      </c>
      <c r="BQ1103" cm="1">
        <f t="array" ref="BQ1103">IFERROR(INDEX(hd_cap,MATCH(BT1103,hd_mark,0),0),0)</f>
        <v>0</v>
      </c>
      <c r="BS1103" s="19"/>
      <c r="BT1103" s="19"/>
      <c r="BU1103" s="100"/>
    </row>
    <row r="1104" x14ac:dyDescent="0.25">
      <c r="P1104" s="93"/>
      <c r="Q1104" s="109"/>
      <c r="R1104" t="str">
        <f>$Q$1046</f>
        <v>L3</v>
      </c>
      <c r="S1104">
        <f>$E$22</f>
        <v>21.375</v>
      </c>
      <c r="T1104" cm="1">
        <f t="array" ref="T1104">IFERROR(IF(S1104=0,0,(INDEX($C$33:$C$38,MATCH($W$1059,$B$33:$B$38,0),0)*(S1107+$X$1059)+$T$1059*COUNTIF(S1104:S1106,"&gt;0")*$C$32+$V$1059*$C$31)*$R$1059),0)</f>
        <v>0</v>
      </c>
      <c r="U1104">
        <f>IF(S1104=0,0,-(COUNTIF(S1104:S1106,"&gt;0")*$T$1059*$C$32+$V$1059*$C$31)*$H$27*$R$1059)</f>
        <v>0</v>
      </c>
      <c r="V1104">
        <f>IF(S1104=0,0,$V$1059*$H$26*$R$1059)</f>
        <v>0</v>
      </c>
      <c r="W1104">
        <f>(0.6*T1104+0.7*U1104)*$R$1059/2</f>
        <v>0</v>
      </c>
      <c r="X1104">
        <f>T1104*$R$1059/2</f>
        <v>0</v>
      </c>
      <c r="Z1104">
        <f>IF(S1104=0,0,$AD$1059*$AP$1046)</f>
        <v>0</v>
      </c>
      <c r="AA1104">
        <f>IFERROR(Z1104/$R$1059,0)</f>
        <v>0</v>
      </c>
      <c r="AB1104">
        <f>Z1104*($F$22+IF($F$22=0,0,($C$14+$C$15+IF($C$13="single",1.5,3)+3)/12))</f>
        <v>0</v>
      </c>
      <c r="AC1104">
        <f>AB1104-W1104</f>
        <v>0</v>
      </c>
      <c r="AD1104" cm="1">
        <f t="array" ref="AD1104">IFERROR(IF(AC1104&lt;0,0,AC1104/($R$1059-INDEX(hd_off,MATCH(AQ1104,hd_mark,0),0)/12)),0)</f>
        <v>0</v>
      </c>
      <c r="AE1104">
        <f>IF(S1104=0,0,$AD$1059*$AM$1046)</f>
        <v>0</v>
      </c>
      <c r="AF1104">
        <f>IFERROR(AE1104/$R$1059,0)</f>
        <v>0</v>
      </c>
      <c r="AG1104">
        <f>AE1104*($F$22+IF($F$22=0,0,($C$14+$C$15+IF($C$13="single",1.5,3)+3)/12))</f>
        <v>0</v>
      </c>
      <c r="AH1104">
        <f>AG1104-X1104</f>
        <v>0</v>
      </c>
      <c r="AI1104" cm="1">
        <f t="array" ref="AI1104">IFERROR(IF(AH1104&lt;0,0,AH1104/($R$1059-INDEX(hd_off,MATCH(AQ1104,hd_mark,0),0)/12)),0)</f>
        <v>0</v>
      </c>
      <c r="AJ1104">
        <f>MAX($F$22,$Z$1059)/$Q$1076</f>
        <v>0.30172413793103448</v>
      </c>
      <c r="AK1104">
        <f t="shared" ref="AK1104:AK1107" si="688">IF(AJ1104=0,0,IF(AJ1104&gt;2,1.25-0.125*AJ1104,1))</f>
        <v>1</v>
      </c>
      <c r="AL1104" cm="1">
        <f t="array" ref="AL1104">IFERROR(INDEX(sheath_ecap_asd,MATCH(AP1104,sheath_mark,0),0)*AK1104,0)</f>
        <v>0</v>
      </c>
      <c r="AM1104" cm="1">
        <f t="array" ref="AM1104">IFERROR(INDEX(sheath_wcap_asd,MATCH(AP1104,sheath_mark,0),0)*AK1104,0)</f>
        <v>0</v>
      </c>
      <c r="AN1104" cm="1">
        <f t="array" ref="AN1104">IFERROR(INDEX(hd_cap,MATCH(AQ1104,hd_mark,0),0),0)</f>
        <v>0</v>
      </c>
      <c r="AP1104" s="19"/>
      <c r="AQ1104" s="19"/>
      <c r="AR1104" s="100"/>
      <c r="AS1104" s="93"/>
      <c r="AT1104" s="109"/>
      <c r="AU1104" t="str">
        <f>$Q$1046</f>
        <v>L3</v>
      </c>
      <c r="AV1104">
        <f>$E$22</f>
        <v>21.375</v>
      </c>
      <c r="AW1104" cm="1">
        <f t="array" ref="AW1104">IFERROR(IF(AV1104=0,0,(INDEX($C$33:$C$38,MATCH($AZ$1059,$B$33:$B$38,0),0)*(AV1107+$BA$1059)+$AW$1059*COUNTIF(AV1104:AV1106,"&gt;0")*$C$32+$AY$1059*$C$31)*$AU$1059),0)</f>
        <v>0</v>
      </c>
      <c r="AX1104">
        <f>IF(AV1104=0,0,-(COUNTIF(AV1104:AV1106,"&gt;0")*$AW$1059*$C$32+$AY$1059*$C$31)*$H$27*$AU$1059)</f>
        <v>0</v>
      </c>
      <c r="AY1104">
        <f>IF(AV1104=0,0,$AY$1059*$H$26*$AU$1059)</f>
        <v>0</v>
      </c>
      <c r="AZ1104">
        <f>(0.6*AW1104+0.7*AX1104)*$AU$1059/2</f>
        <v>0</v>
      </c>
      <c r="BA1104">
        <f>AW1104*$AU$1059/2</f>
        <v>0</v>
      </c>
      <c r="BC1104">
        <f>IF(AV1104=0,0,$BG$1059*$AP$1046)</f>
        <v>0</v>
      </c>
      <c r="BD1104">
        <f>IFERROR(BC1104/$AU$1059,0)</f>
        <v>0</v>
      </c>
      <c r="BE1104">
        <f>BC1104*($F$22+IF($F$22=0,0,($C$14+$C$15+IF($C$13="single",1.5,3)+3)/12))</f>
        <v>0</v>
      </c>
      <c r="BF1104">
        <f>BE1104-AZ1104</f>
        <v>0</v>
      </c>
      <c r="BG1104" cm="1">
        <f t="array" ref="BG1104">IFERROR(IF(BF1104&lt;0,0,BF1104/($AU$1059-INDEX(hd_off,MATCH(BT1104,hd_mark,0),0)/12)),0)</f>
        <v>0</v>
      </c>
      <c r="BH1104">
        <f>IF(AV1104=0,0,$BG$1059*$AM$1046)</f>
        <v>0</v>
      </c>
      <c r="BI1104">
        <f>IFERROR(BH1104/$AU$1059,0)</f>
        <v>0</v>
      </c>
      <c r="BJ1104">
        <f>BH1104*($F$22+IF($F$22=0,0,($C$14+$C$15+IF($C$13="single",1.5,3)+3)/12))</f>
        <v>0</v>
      </c>
      <c r="BK1104">
        <f>BJ1104-BA1104</f>
        <v>0</v>
      </c>
      <c r="BL1104" cm="1">
        <f t="array" ref="BL1104">IFERROR(IF(BK1104&lt;0,0,BK1104/($AU$1059-INDEX(hd_off,MATCH(BT1104,hd_mark,0),0)/12)),0)</f>
        <v>0</v>
      </c>
      <c r="BM1104">
        <f>MAX($F$22,$BC$1059)/$Q$1076</f>
        <v>0.30172413793103448</v>
      </c>
      <c r="BN1104">
        <f t="shared" ref="BN1104:BN1107" si="689">IF(BM1104=0,0,IF(BM1104&gt;2,1.25-0.125*BM1104,1))</f>
        <v>1</v>
      </c>
      <c r="BO1104" cm="1">
        <f t="array" ref="BO1104">IFERROR(INDEX(sheath_ecap_asd,MATCH(BS1104,sheath_mark,0),0)*BN1104,0)</f>
        <v>0</v>
      </c>
      <c r="BP1104" cm="1">
        <f t="array" ref="BP1104">IFERROR(INDEX(sheath_wcap_asd,MATCH(BS1104,sheath_mark,0),0)*BN1104,0)</f>
        <v>0</v>
      </c>
      <c r="BQ1104" cm="1">
        <f t="array" ref="BQ1104">IFERROR(INDEX(hd_cap,MATCH(BT1104,hd_mark,0),0),0)</f>
        <v>0</v>
      </c>
      <c r="BS1104" s="19"/>
      <c r="BT1104" s="19"/>
      <c r="BU1104" s="100"/>
    </row>
    <row r="1105" x14ac:dyDescent="0.25">
      <c r="P1105" s="93"/>
      <c r="Q1105" s="109" t="s">
        <v>491</v>
      </c>
      <c r="R1105" t="str">
        <f>$Q$1047</f>
        <v>L4</v>
      </c>
      <c r="S1105">
        <f>$E$23</f>
        <v>0</v>
      </c>
      <c r="T1105" cm="1">
        <f t="array" ref="T1105">IFERROR(IF(S1105=0,0,(INDEX($C$33:$C$38,MATCH($W$1059,$B$33:$B$38,0),0)*(S1107+$X$1059)+$T$1059*COUNTIF(S1105:S1106,"&gt;0")*$C$32+$V$1059*$C$31)*$R$1059),0)</f>
        <v>0</v>
      </c>
      <c r="U1105">
        <f>IF(S1105=0,0,-(COUNTIF(S1105:S1106,"&gt;0")*$T$1059*$C$32+$V$1059*$C$31)*$H$27*$R$1059)</f>
        <v>0</v>
      </c>
      <c r="V1105">
        <f>IF(S1105=0,0,$V$1059*$H$26*$R$1059)</f>
        <v>0</v>
      </c>
      <c r="W1105">
        <f>(0.6*T1105+0.7*U1105)*$R$1059/2</f>
        <v>0</v>
      </c>
      <c r="X1105">
        <f>T1105*$R$1059/2</f>
        <v>0</v>
      </c>
      <c r="Z1105">
        <f>IF(S1105=0,0,$AD$1059*$AP$1047)</f>
        <v>0</v>
      </c>
      <c r="AA1105">
        <f>IFERROR(Z1105/$R$1059,0)</f>
        <v>0</v>
      </c>
      <c r="AB1105">
        <f>Z1105*($F$23+IF($F$23=0,0,($C$14+$C$15+IF($C$13="single",1.5,3)+3)/12))</f>
        <v>0</v>
      </c>
      <c r="AC1105">
        <f>AB1105-W1105</f>
        <v>0</v>
      </c>
      <c r="AD1105" cm="1">
        <f t="array" ref="AD1105">IFERROR(IF(AC1105&lt;0,0,AC1105/($R$1059-INDEX(hd_off,MATCH(AQ1105,hd_mark,0),0)/12)),0)</f>
        <v>0</v>
      </c>
      <c r="AE1105">
        <f>IF(S1105=0,0,$AD$1059*$AM$1047)</f>
        <v>0</v>
      </c>
      <c r="AF1105">
        <f>IFERROR(AE1105/$R$1059,0)</f>
        <v>0</v>
      </c>
      <c r="AG1105">
        <f>AE1105*($F$23+IF($F$23=0,0,($C$14+$C$15+IF($C$13="single",1.5,3)+3)/12))</f>
        <v>0</v>
      </c>
      <c r="AH1105">
        <f>AG1105-X1105</f>
        <v>0</v>
      </c>
      <c r="AI1105" cm="1">
        <f t="array" ref="AI1105">IFERROR(IF(AH1105&lt;0,0,AH1105/($R$1059-INDEX(hd_off,MATCH(AQ1105,hd_mark,0),0)/12)),0)</f>
        <v>0</v>
      </c>
      <c r="AJ1105">
        <f>MAX($F$23,$AA$1059)/$Q$1076</f>
        <v>0</v>
      </c>
      <c r="AK1105">
        <f t="shared" si="688"/>
        <v>0</v>
      </c>
      <c r="AL1105" cm="1">
        <f t="array" ref="AL1105">IFERROR(INDEX(sheath_ecap_asd,MATCH(AP1105,sheath_mark,0),0)*AK1105,0)</f>
        <v>0</v>
      </c>
      <c r="AM1105" cm="1">
        <f t="array" ref="AM1105">IFERROR(INDEX(sheath_wcap_asd,MATCH(AP1105,sheath_mark,0),0)*AK1105,0)</f>
        <v>0</v>
      </c>
      <c r="AN1105" cm="1">
        <f t="array" ref="AN1105">IFERROR(INDEX(hd_cap,MATCH(AQ1105,hd_mark,0),0),0)</f>
        <v>0</v>
      </c>
      <c r="AP1105" s="19"/>
      <c r="AQ1105" s="19"/>
      <c r="AR1105" s="100"/>
      <c r="AS1105" s="93"/>
      <c r="AT1105" s="109" t="s">
        <v>491</v>
      </c>
      <c r="AU1105" t="str">
        <f>$Q$1047</f>
        <v>L4</v>
      </c>
      <c r="AV1105">
        <f>$E$23</f>
        <v>0</v>
      </c>
      <c r="AW1105" cm="1">
        <f t="array" ref="AW1105">IFERROR(IF(AV1105=0,0,(INDEX($C$33:$C$38,MATCH($AZ$1059,$B$33:$B$38,0),0)*(AV1107+$BA$1059)+$AW$1059*COUNTIF(AV1105:AV1106,"&gt;0")*$C$32+$AY$1059*$C$31)*$AU$1059),0)</f>
        <v>0</v>
      </c>
      <c r="AX1105">
        <f>IF(AV1105=0,0,-(COUNTIF(AV1105:AV1106,"&gt;0")*$AW$1059*$C$32+$AY$1059*$C$31)*$H$27*$AU$1059)</f>
        <v>0</v>
      </c>
      <c r="AY1105">
        <f>IF(AV1105=0,0,$AY$1059*$H$26*$AU$1059)</f>
        <v>0</v>
      </c>
      <c r="AZ1105">
        <f>(0.6*AW1105+0.7*AX1105)*$AU$1059/2</f>
        <v>0</v>
      </c>
      <c r="BA1105">
        <f>AW1105*$AU$1059/2</f>
        <v>0</v>
      </c>
      <c r="BC1105">
        <f>IF(AV1105=0,0,$BG$1059*$AP$1047)</f>
        <v>0</v>
      </c>
      <c r="BD1105">
        <f>IFERROR(BC1105/$AU$1059,0)</f>
        <v>0</v>
      </c>
      <c r="BE1105">
        <f>BC1105*($F$23+IF($F$23=0,0,($C$14+$C$15+IF($C$13="single",1.5,3)+3)/12))</f>
        <v>0</v>
      </c>
      <c r="BF1105">
        <f>BE1105-AZ1105</f>
        <v>0</v>
      </c>
      <c r="BG1105" cm="1">
        <f t="array" ref="BG1105">IFERROR(IF(BF1105&lt;0,0,BF1105/($AU$1059-INDEX(hd_off,MATCH(BT1105,hd_mark,0),0)/12)),0)</f>
        <v>0</v>
      </c>
      <c r="BH1105">
        <f>IF(AV1105=0,0,$BG$1059*$AM$1047)</f>
        <v>0</v>
      </c>
      <c r="BI1105">
        <f>IFERROR(BH1105/$AU$1059,0)</f>
        <v>0</v>
      </c>
      <c r="BJ1105">
        <f>BH1105*($F$23+IF($F$23=0,0,($C$14+$C$15+IF($C$13="single",1.5,3)+3)/12))</f>
        <v>0</v>
      </c>
      <c r="BK1105">
        <f>BJ1105-BA1105</f>
        <v>0</v>
      </c>
      <c r="BL1105" cm="1">
        <f t="array" ref="BL1105">IFERROR(IF(BK1105&lt;0,0,BK1105/($AU$1059-INDEX(hd_off,MATCH(BT1105,hd_mark,0),0)/12)),0)</f>
        <v>0</v>
      </c>
      <c r="BM1105">
        <f>MAX($F$23,$BD$1059)/$Q$1076</f>
        <v>0</v>
      </c>
      <c r="BN1105">
        <f t="shared" si="689"/>
        <v>0</v>
      </c>
      <c r="BO1105" cm="1">
        <f t="array" ref="BO1105">IFERROR(INDEX(sheath_ecap_asd,MATCH(BS1105,sheath_mark,0),0)*BN1105,0)</f>
        <v>0</v>
      </c>
      <c r="BP1105" cm="1">
        <f t="array" ref="BP1105">IFERROR(INDEX(sheath_wcap_asd,MATCH(BS1105,sheath_mark,0),0)*BN1105,0)</f>
        <v>0</v>
      </c>
      <c r="BQ1105" cm="1">
        <f t="array" ref="BQ1105">IFERROR(INDEX(hd_cap,MATCH(BT1105,hd_mark,0),0),0)</f>
        <v>0</v>
      </c>
      <c r="BS1105" s="19"/>
      <c r="BT1105" s="19"/>
      <c r="BU1105" s="100"/>
    </row>
    <row r="1106" x14ac:dyDescent="0.25">
      <c r="P1106" s="93"/>
      <c r="Q1106" s="111">
        <f>$R$1059</f>
        <v>0</v>
      </c>
      <c r="R1106" t="str">
        <f>$Q$1048</f>
        <v>L5</v>
      </c>
      <c r="S1106">
        <f>$E$24</f>
        <v>0</v>
      </c>
      <c r="T1106" cm="1">
        <f t="array" ref="T1106">IFERROR(IF(S1106=0,0,(INDEX($C$33:$C$38,MATCH($W$1059,$B$33:$B$38,0),0)*(S1107+$X$1059)+$T$1059*COUNTIF(S1106:S1106,"&gt;0")*$C$32+$V$1059*$C$31)*$R$1059),0)</f>
        <v>0</v>
      </c>
      <c r="U1106">
        <f>IF(S1106=0,0,-(COUNTIF(S1106:S1106,"&gt;0")*$T$1059*$C$32+$V$1059*$C$31)*$H$27*$R$1059)</f>
        <v>0</v>
      </c>
      <c r="V1106">
        <f>IF(S1106=0,0,$V$1059*$H$26*$R$1059)</f>
        <v>0</v>
      </c>
      <c r="W1106">
        <f>(0.6*T1106+0.7*U1106)*$R$1059/2</f>
        <v>0</v>
      </c>
      <c r="X1106">
        <f>T1106*$R$1059/2</f>
        <v>0</v>
      </c>
      <c r="Z1106">
        <f>IF(S1106=0,0,$AD$1059*$AP$1048)</f>
        <v>0</v>
      </c>
      <c r="AA1106">
        <f>IFERROR(Z1106/$R$1059,0)</f>
        <v>0</v>
      </c>
      <c r="AB1106">
        <f>Z1106*($F$24+IF($F$24=0,0,($C$14+$C$15+IF($C$13="single",1.5,3)+3)/12))</f>
        <v>0</v>
      </c>
      <c r="AC1106">
        <f>AB1106-W1106</f>
        <v>0</v>
      </c>
      <c r="AD1106" cm="1">
        <f t="array" ref="AD1106">IFERROR(IF(AC1106&lt;0,0,AC1106/($R$1059-INDEX(hd_off,MATCH(AQ1106,hd_mark,0),0)/12)),0)</f>
        <v>0</v>
      </c>
      <c r="AE1106">
        <f>IF(S1106=0,0,$AD$1059*$AM$1048)</f>
        <v>0</v>
      </c>
      <c r="AF1106">
        <f>IFERROR(AE1106/$R$1059,0)</f>
        <v>0</v>
      </c>
      <c r="AG1106">
        <f>AE1106*($F$24+IF($F$24=0,0,($C$14+$C$15+IF($C$13="single",1.5,3)+3)/12))</f>
        <v>0</v>
      </c>
      <c r="AH1106">
        <f>AG1106-X1106</f>
        <v>0</v>
      </c>
      <c r="AI1106" cm="1">
        <f t="array" ref="AI1106">IFERROR(IF(AH1106&lt;0,0,AH1106/($R$1059-INDEX(hd_off,MATCH(AQ1106,hd_mark,0),0)/12)),0)</f>
        <v>0</v>
      </c>
      <c r="AJ1106">
        <f>MAX($F$24,$AB$1059)/$Q$1076</f>
        <v>0</v>
      </c>
      <c r="AK1106">
        <f t="shared" si="688"/>
        <v>0</v>
      </c>
      <c r="AL1106" cm="1">
        <f t="array" ref="AL1106">IFERROR(INDEX(sheath_ecap_asd,MATCH(AP1106,sheath_mark,0),0)*AK1106,0)</f>
        <v>0</v>
      </c>
      <c r="AM1106" cm="1">
        <f t="array" ref="AM1106">IFERROR(INDEX(sheath_wcap_asd,MATCH(AP1106,sheath_mark,0),0)*AK1106,0)</f>
        <v>0</v>
      </c>
      <c r="AN1106" cm="1">
        <f t="array" ref="AN1106">IFERROR(INDEX(hd_cap,MATCH(AQ1106,hd_mark,0),0),0)</f>
        <v>0</v>
      </c>
      <c r="AP1106" s="19"/>
      <c r="AQ1106" s="19"/>
      <c r="AR1106" s="100"/>
      <c r="AS1106" s="93"/>
      <c r="AT1106" s="111">
        <f>$R$1059</f>
        <v>0</v>
      </c>
      <c r="AU1106" t="str">
        <f>$Q$1048</f>
        <v>L5</v>
      </c>
      <c r="AV1106">
        <f>$E$24</f>
        <v>0</v>
      </c>
      <c r="AW1106" cm="1">
        <f t="array" ref="AW1106">IFERROR(IF(AV1106=0,0,(INDEX($C$33:$C$38,MATCH($AZ$1059,$B$33:$B$38,0),0)*(AV1107+$BA$1059)+$AW$1059*COUNTIF(AV1106:AV1106,"&gt;0")*$C$32+$AY$1059*$C$31)*$AU$1059),0)</f>
        <v>0</v>
      </c>
      <c r="AX1106">
        <f>IF(AV1106=0,0,-(COUNTIF(AV1106:AV1106,"&gt;0")*$AW$1059*$C$32+$AY$1059*$C$31)*$H$27*$AU$1059)</f>
        <v>0</v>
      </c>
      <c r="AY1106">
        <f>IF(AV1106=0,0,$AY$1059*$H$26*$AU$1059)</f>
        <v>0</v>
      </c>
      <c r="AZ1106">
        <f>(0.6*AW1106+0.7*AX1106)*$AU$1059/2</f>
        <v>0</v>
      </c>
      <c r="BA1106">
        <f>AW1106*$AU$1059/2</f>
        <v>0</v>
      </c>
      <c r="BC1106">
        <f>IF(AV1106=0,0,$BG$1059*$AP$1048)</f>
        <v>0</v>
      </c>
      <c r="BD1106">
        <f>IFERROR(BC1106/$AU$1059,0)</f>
        <v>0</v>
      </c>
      <c r="BE1106">
        <f>BC1106*($F$24+IF($F$24=0,0,($C$14+$C$15+IF($C$13="single",1.5,3)+3)/12))</f>
        <v>0</v>
      </c>
      <c r="BF1106">
        <f>BE1106-AZ1106</f>
        <v>0</v>
      </c>
      <c r="BG1106" cm="1">
        <f t="array" ref="BG1106">IFERROR(IF(BF1106&lt;0,0,BF1106/($AU$1059-INDEX(hd_off,MATCH(BT1106,hd_mark,0),0)/12)),0)</f>
        <v>0</v>
      </c>
      <c r="BH1106">
        <f>IF(AV1106=0,0,$BG$1059*$AM$1048)</f>
        <v>0</v>
      </c>
      <c r="BI1106">
        <f>IFERROR(BH1106/$AU$1059,0)</f>
        <v>0</v>
      </c>
      <c r="BJ1106">
        <f>BH1106*($F$24+IF($F$24=0,0,($C$14+$C$15+IF($C$13="single",1.5,3)+3)/12))</f>
        <v>0</v>
      </c>
      <c r="BK1106">
        <f>BJ1106-BA1106</f>
        <v>0</v>
      </c>
      <c r="BL1106" cm="1">
        <f t="array" ref="BL1106">IFERROR(IF(BK1106&lt;0,0,BK1106/($AU$1059-INDEX(hd_off,MATCH(BT1106,hd_mark,0),0)/12)),0)</f>
        <v>0</v>
      </c>
      <c r="BM1106">
        <f>MAX($F$24,$BE$1059)/$Q$1076</f>
        <v>0</v>
      </c>
      <c r="BN1106">
        <f t="shared" si="689"/>
        <v>0</v>
      </c>
      <c r="BO1106" cm="1">
        <f t="array" ref="BO1106">IFERROR(INDEX(sheath_ecap_asd,MATCH(BS1106,sheath_mark,0),0)*BN1106,0)</f>
        <v>0</v>
      </c>
      <c r="BP1106" cm="1">
        <f t="array" ref="BP1106">IFERROR(INDEX(sheath_wcap_asd,MATCH(BS1106,sheath_mark,0),0)*BN1106,0)</f>
        <v>0</v>
      </c>
      <c r="BQ1106" cm="1">
        <f t="array" ref="BQ1106">IFERROR(INDEX(hd_cap,MATCH(BT1106,hd_mark,0),0),0)</f>
        <v>0</v>
      </c>
      <c r="BS1106" s="19"/>
      <c r="BT1106" s="19"/>
      <c r="BU1106" s="100"/>
    </row>
    <row r="1107" x14ac:dyDescent="0.25">
      <c r="P1107" s="93"/>
      <c r="Q1107" s="109"/>
      <c r="R1107" t="str">
        <f>$Q$1049</f>
        <v>Roof</v>
      </c>
      <c r="S1107">
        <f>$E$25</f>
        <v>33.171875</v>
      </c>
      <c r="T1107" cm="1">
        <f t="array" ref="T1107">IFERROR(IF(S1107=0,0,(INDEX($C$33:$C$38,MATCH($W$1059,$B$33:$B$38,0),0)*(S1107+$X$1059)+$V$1059*$C$31)*$R$1059),0)</f>
        <v>0</v>
      </c>
      <c r="U1107">
        <f>IF(S1107=0,0,-$V$1059*$C$31*$H$27*$R$1059)</f>
        <v>0</v>
      </c>
      <c r="V1107">
        <f>IF(S1107=0,0,$V$1059*$H$26*$R$1059)</f>
        <v>0</v>
      </c>
      <c r="W1107">
        <f>(0.6*T1107+0.7*U1107)*$R$1059/2</f>
        <v>0</v>
      </c>
      <c r="X1107">
        <f>T1107*$R$1059/2</f>
        <v>0</v>
      </c>
      <c r="Z1107">
        <f>IF(S1107=0,0,$AD$1059*$AP$1049)</f>
        <v>0</v>
      </c>
      <c r="AA1107">
        <f>IFERROR(Z1107/$R$1059,0)</f>
        <v>0</v>
      </c>
      <c r="AB1107">
        <f>Z1107*($F$25+($C$16+$C$17+IF($C$13="single",1.5,3)+3)/12)</f>
        <v>0</v>
      </c>
      <c r="AC1107">
        <f>AB1107-W1107</f>
        <v>0</v>
      </c>
      <c r="AD1107" cm="1">
        <f t="array" ref="AD1107">IFERROR(IF(AC1107&lt;0,0,AC1107/($R$1059-INDEX(hd_off,MATCH(AQ1107,hd_mark,0),0)/12)),0)</f>
        <v>0</v>
      </c>
      <c r="AE1107">
        <f>IF(S1107=0,0,$AD$1059*$AM$1049)</f>
        <v>0</v>
      </c>
      <c r="AF1107">
        <f>IFERROR(AE1107/$R$1059,0)</f>
        <v>0</v>
      </c>
      <c r="AG1107">
        <f>AE1107*($F$25+($C$16+$C$17+IF($C$13="single",1.5,3)+3)/12)</f>
        <v>0</v>
      </c>
      <c r="AH1107">
        <f>AG1107-X1107</f>
        <v>0</v>
      </c>
      <c r="AI1107" cm="1">
        <f t="array" ref="AI1107">IFERROR(IF(AH1107&lt;0,0,AH1107/($R$1059-INDEX(hd_off,MATCH(AQ1107,hd_mark,0),0)/12)),0)</f>
        <v>0</v>
      </c>
      <c r="AJ1107">
        <f>MAX($F$25,$AC$1059)/$Q$1076</f>
        <v>0.29920977011494249</v>
      </c>
      <c r="AK1107">
        <f t="shared" si="688"/>
        <v>1</v>
      </c>
      <c r="AL1107" cm="1">
        <f t="array" ref="AL1107">IFERROR(INDEX(sheath_ecap_asd,MATCH(AP1107,sheath_mark,0),0)*AK1107,0)</f>
        <v>0</v>
      </c>
      <c r="AM1107" cm="1">
        <f t="array" ref="AM1107">IFERROR(INDEX(sheath_wcap_asd,MATCH(AP1107,sheath_mark,0),0)*AK1107,0)</f>
        <v>0</v>
      </c>
      <c r="AN1107" cm="1">
        <f t="array" ref="AN1107">IFERROR(INDEX(hd_cap,MATCH(AQ1107,hd_mark,0),0),0)</f>
        <v>0</v>
      </c>
      <c r="AP1107" s="19"/>
      <c r="AQ1107" s="19"/>
      <c r="AR1107" s="100"/>
      <c r="AS1107" s="93"/>
      <c r="AT1107" s="109"/>
      <c r="AU1107" t="str">
        <f>$Q$1049</f>
        <v>Roof</v>
      </c>
      <c r="AV1107">
        <f>$E$25</f>
        <v>33.171875</v>
      </c>
      <c r="AW1107" cm="1">
        <f t="array" ref="AW1107">IFERROR(IF(AV1107=0,0,(INDEX($C$33:$C$38,MATCH($AZ$1059,$B$33:$B$38,0),0)*(AV1107+$BA$1059)+$AY$1059*$C$31)*$AU$1059),0)</f>
        <v>0</v>
      </c>
      <c r="AX1107">
        <f>IF(AV1107=0,0,-$AY$1059*$C$31*$H$27*$AU$1059)</f>
        <v>0</v>
      </c>
      <c r="AY1107">
        <f>IF(AV1107=0,0,$AY$1059*$H$26*$AU$1059)</f>
        <v>0</v>
      </c>
      <c r="AZ1107">
        <f>(0.6*AW1107+0.7*AX1107)*$AU$1059/2</f>
        <v>0</v>
      </c>
      <c r="BA1107">
        <f>AW1107*$AU$1059/2</f>
        <v>0</v>
      </c>
      <c r="BC1107">
        <f>IF(AV1107=0,0,$BG$1059*$AP$1049)</f>
        <v>0</v>
      </c>
      <c r="BD1107">
        <f>IFERROR(BC1107/$AU$1059,0)</f>
        <v>0</v>
      </c>
      <c r="BE1107">
        <f>BC1107*($F$25+($C$16+$C$17+IF($C$13="single",1.5,3)+3)/12)</f>
        <v>0</v>
      </c>
      <c r="BF1107">
        <f>BE1107-AZ1107</f>
        <v>0</v>
      </c>
      <c r="BG1107" cm="1">
        <f t="array" ref="BG1107">IFERROR(IF(BF1107&lt;0,0,BF1107/($AU$1059-INDEX(hd_off,MATCH(BT1107,hd_mark,0),0)/12)),0)</f>
        <v>0</v>
      </c>
      <c r="BH1107">
        <f>IF(AV1107=0,0,$BG$1059*$AM$1049)</f>
        <v>0</v>
      </c>
      <c r="BI1107">
        <f>IFERROR(BH1107/$AU$1059,0)</f>
        <v>0</v>
      </c>
      <c r="BJ1107">
        <f>BH1107*($F$25+($C$16+$C$17+IF($C$13="single",1.5,3)+3)/12)</f>
        <v>0</v>
      </c>
      <c r="BK1107">
        <f>BJ1107-BA1107</f>
        <v>0</v>
      </c>
      <c r="BL1107" cm="1">
        <f t="array" ref="BL1107">IFERROR(IF(BK1107&lt;0,0,BK1107/($AU$1059-INDEX(hd_off,MATCH(BT1107,hd_mark,0),0)/12)),0)</f>
        <v>0</v>
      </c>
      <c r="BM1107">
        <f>MAX($F$25,$BF$1059)/$Q$1076</f>
        <v>0.29920977011494249</v>
      </c>
      <c r="BN1107">
        <f t="shared" si="689"/>
        <v>1</v>
      </c>
      <c r="BO1107" cm="1">
        <f t="array" ref="BO1107">IFERROR(INDEX(sheath_ecap_asd,MATCH(BS1107,sheath_mark,0),0)*BN1107,0)</f>
        <v>0</v>
      </c>
      <c r="BP1107" cm="1">
        <f t="array" ref="BP1107">IFERROR(INDEX(sheath_wcap_asd,MATCH(BS1107,sheath_mark,0),0)*BN1107,0)</f>
        <v>0</v>
      </c>
      <c r="BQ1107" cm="1">
        <f t="array" ref="BQ1107">IFERROR(INDEX(hd_cap,MATCH(BT1107,hd_mark,0),0),0)</f>
        <v>0</v>
      </c>
      <c r="BS1107" s="19"/>
      <c r="BT1107" s="19"/>
      <c r="BU1107" s="100"/>
    </row>
    <row r="1108" x14ac:dyDescent="0.25">
      <c r="P1108" s="93"/>
      <c r="AR1108" s="100"/>
      <c r="AS1108" s="93"/>
      <c r="BU1108" s="100"/>
    </row>
    <row r="1109" x14ac:dyDescent="0.25">
      <c r="P1109" s="93"/>
      <c r="Q1109" s="110" t="str">
        <f>$Q$1060</f>
        <v>A.07</v>
      </c>
      <c r="R1109" t="str">
        <f>$Q$1045</f>
        <v>L2</v>
      </c>
      <c r="S1109">
        <f>$E$21</f>
        <v>10.6875</v>
      </c>
      <c r="T1109" cm="1">
        <f t="array" ref="T1109">IFERROR(IF(S1109=0,0,(INDEX($C$33:$C$38,MATCH($W$1060,$B$33:$B$38,0),0)*(S1113+$X$1060)+$T$1060*COUNTIF(S1109:S1112,"&gt;0")*$C$32+$V$1060*$C$31)*$R$1060),0)</f>
        <v>0</v>
      </c>
      <c r="U1109">
        <f>IF(S1109=0,0,-(COUNTIF(S1109:S1112,"&gt;0")*$T$1060*$C$32+$V$1060*$C$31)*$H$27*$R$1060)</f>
        <v>0</v>
      </c>
      <c r="V1109">
        <f>IF(S1109=0,0,$V$1060*$H$26*$R$1060)</f>
        <v>0</v>
      </c>
      <c r="W1109">
        <f>(0.6*T1109+0.7*U1109)*$R$1060/2</f>
        <v>0</v>
      </c>
      <c r="X1109">
        <f>(0.6*T1109+0.6*V1109)*$R$1060/2</f>
        <v>0</v>
      </c>
      <c r="Z1109">
        <f>IF(S1109=0,0,$AD$1060*$AP$1045)</f>
        <v>0</v>
      </c>
      <c r="AA1109">
        <f>IFERROR(Z1109/$R$1060,0)</f>
        <v>0</v>
      </c>
      <c r="AB1109">
        <f>Z1109*($F$21+IF($F$21=0,0,($C$14+$C$15+IF($C$13="single",1.5,3)+3)/12))</f>
        <v>0</v>
      </c>
      <c r="AC1109">
        <f>AB1109-W1109</f>
        <v>0</v>
      </c>
      <c r="AD1109" cm="1">
        <f t="array" ref="AD1109">IFERROR(IF(AC1109&lt;0,0,AC1109/($R$1060-INDEX(hd_off,MATCH(AQ1109,hd_mark,0),0)/12)),0)</f>
        <v>0</v>
      </c>
      <c r="AE1109">
        <f>IF(S1109=0,0,$AD$1060*$AM$1045)</f>
        <v>0</v>
      </c>
      <c r="AF1109">
        <f>IFERROR(AE1109/$R$1060,0)</f>
        <v>0</v>
      </c>
      <c r="AG1109">
        <f>AE1109*($F$21+IF($F$21=0,0,($C$14+$C$15+IF($C$13="single",1.5,3)+3)/12))</f>
        <v>0</v>
      </c>
      <c r="AH1109">
        <f>AG1109-X1109</f>
        <v>0</v>
      </c>
      <c r="AI1109" cm="1">
        <f t="array" ref="AI1109">IFERROR(IF(AH1109&lt;0,0,AH1109/($R$1060-INDEX(hd_off,MATCH(AQ1109,hd_mark,0),0)/12)),0)</f>
        <v>0</v>
      </c>
      <c r="AJ1109">
        <f>MAX($F$21,$Y$1060)/$Q$1076</f>
        <v>0.30172413793103448</v>
      </c>
      <c r="AK1109">
        <f>IF(AJ1109=0,0,IF(AJ1109&gt;2,1.25-0.125*AJ1109,1))</f>
        <v>1</v>
      </c>
      <c r="AL1109" cm="1">
        <f t="array" ref="AL1109">IFERROR(INDEX(sheath_ecap_asd,MATCH(AP1109,sheath_mark,0),0)*AK1109,0)</f>
        <v>0</v>
      </c>
      <c r="AM1109" cm="1">
        <f t="array" ref="AM1109">IFERROR(INDEX(sheath_wcap_asd,MATCH(AP1109,sheath_mark,0),0)*AK1109,0)</f>
        <v>0</v>
      </c>
      <c r="AN1109" cm="1">
        <f t="array" ref="AN1109">IFERROR(INDEX(hd_cap,MATCH(AQ1109,hd_mark,0),0),0)</f>
        <v>0</v>
      </c>
      <c r="AP1109" s="19"/>
      <c r="AQ1109" s="19"/>
      <c r="AR1109" s="100"/>
      <c r="AS1109" s="93"/>
      <c r="AT1109" s="110" t="str">
        <f>$AT$1060</f>
        <v>1.07</v>
      </c>
      <c r="AU1109" t="str">
        <f>$Q$1045</f>
        <v>L2</v>
      </c>
      <c r="AV1109">
        <f>$E$21</f>
        <v>10.6875</v>
      </c>
      <c r="AW1109" cm="1">
        <f t="array" ref="AW1109">IFERROR(IF(AV1109=0,0,(INDEX($C$33:$C$38,MATCH($AZ$1060,$B$33:$B$38,0),0)*(AV1113+$BA$1060)+$AW$1060*COUNTIF(AV1109:AV1112,"&gt;0")*$C$32+$AY$1060*$C$31)*$AU$1060),0)</f>
        <v>0</v>
      </c>
      <c r="AX1109">
        <f>IF(AV1109=0,0,-(COUNTIF(AV1109:AV1112,"&gt;0")*$AW$1060*$C$32+$AY$1060*$C$31)*$H$27*$AU$1060)</f>
        <v>0</v>
      </c>
      <c r="AY1109">
        <f>IF(AV1109=0,0,$AY$1060*$H$26*$AU$1060)</f>
        <v>0</v>
      </c>
      <c r="AZ1109">
        <f>(0.6*AW1109+0.7*AX1109)*$AU$1060/2</f>
        <v>0</v>
      </c>
      <c r="BA1109">
        <f>(0.6*AW1109+0.6*AY1109)*$AU$1060/2</f>
        <v>0</v>
      </c>
      <c r="BC1109">
        <f>IF(AV1109=0,0,$BG$1060*$AP$1045)</f>
        <v>0</v>
      </c>
      <c r="BD1109">
        <f>IFERROR(BC1109/$AU$1060,0)</f>
        <v>0</v>
      </c>
      <c r="BE1109">
        <f>BC1109*($F$21+IF($F$21=0,0,($C$14+$C$15+IF($C$13="single",1.5,3)+3)/12))</f>
        <v>0</v>
      </c>
      <c r="BF1109">
        <f>BE1109-AZ1109</f>
        <v>0</v>
      </c>
      <c r="BG1109" cm="1">
        <f t="array" ref="BG1109">IFERROR(IF(BF1109&lt;0,0,BF1109/($AU$1060-INDEX(hd_off,MATCH(BT1109,hd_mark,0),0)/12)),0)</f>
        <v>0</v>
      </c>
      <c r="BH1109">
        <f>IF(AV1109=0,0,$BG$1060*$AM$1045)</f>
        <v>0</v>
      </c>
      <c r="BI1109">
        <f>IFERROR(BH1109/$AU$1060,0)</f>
        <v>0</v>
      </c>
      <c r="BJ1109">
        <f>BH1109*($F$21+IF($F$21=0,0,($C$14+$C$15+IF($C$13="single",1.5,3)+3)/12))</f>
        <v>0</v>
      </c>
      <c r="BK1109">
        <f>BJ1109-BA1109</f>
        <v>0</v>
      </c>
      <c r="BL1109" cm="1">
        <f t="array" ref="BL1109">IFERROR(IF(BK1109&lt;0,0,BK1109/($AU$1060-INDEX(hd_off,MATCH(BT1109,hd_mark,0),0)/12)),0)</f>
        <v>0</v>
      </c>
      <c r="BM1109">
        <f>MAX($F$21,$BB$1060)/$Q$1076</f>
        <v>0.30172413793103448</v>
      </c>
      <c r="BN1109">
        <f>IF(BM1109=0,0,IF(BM1109&gt;2,1.25-0.125*BM1109,1))</f>
        <v>1</v>
      </c>
      <c r="BO1109" cm="1">
        <f t="array" ref="BO1109">IFERROR(INDEX(sheath_ecap_asd,MATCH(BS1109,sheath_mark,0),0)*BN1109,0)</f>
        <v>0</v>
      </c>
      <c r="BP1109" cm="1">
        <f t="array" ref="BP1109">IFERROR(INDEX(sheath_wcap_asd,MATCH(BS1109,sheath_mark,0),0)*BN1109,0)</f>
        <v>0</v>
      </c>
      <c r="BQ1109" cm="1">
        <f t="array" ref="BQ1109">IFERROR(INDEX(hd_cap,MATCH(BT1109,hd_mark,0),0),0)</f>
        <v>0</v>
      </c>
      <c r="BS1109" s="19"/>
      <c r="BT1109" s="19"/>
      <c r="BU1109" s="100"/>
    </row>
    <row r="1110" x14ac:dyDescent="0.25">
      <c r="P1110" s="93"/>
      <c r="Q1110" s="109"/>
      <c r="R1110" t="str">
        <f>$Q$1046</f>
        <v>L3</v>
      </c>
      <c r="S1110">
        <f>$E$22</f>
        <v>21.375</v>
      </c>
      <c r="T1110" cm="1">
        <f t="array" ref="T1110">IFERROR(IF(S1110=0,0,(INDEX($C$33:$C$38,MATCH($W$1060,$B$33:$B$38,0),0)*(S1113+$X$1060)+$T$1060*COUNTIF(S1110:S1112,"&gt;0")*$C$32+$V$1060*$C$31)*$R$1060),0)</f>
        <v>0</v>
      </c>
      <c r="U1110">
        <f>IF(S1110=0,0,-(COUNTIF(S1110:S1112,"&gt;0")*$T$1060*$C$32+$V$1060*$C$31)*$H$27*$R$1060)</f>
        <v>0</v>
      </c>
      <c r="V1110">
        <f>IF(S1110=0,0,$V$1060*$H$26*$R$1060)</f>
        <v>0</v>
      </c>
      <c r="W1110">
        <f>(0.6*T1110+0.7*U1110)*$R$1060/2</f>
        <v>0</v>
      </c>
      <c r="X1110">
        <f>T1110*$R$1060/2</f>
        <v>0</v>
      </c>
      <c r="Z1110">
        <f>IF(S1110=0,0,$AD$1060*$AP$1046)</f>
        <v>0</v>
      </c>
      <c r="AA1110">
        <f>IFERROR(Z1110/$R$1060,0)</f>
        <v>0</v>
      </c>
      <c r="AB1110">
        <f>Z1110*($F$22+IF($F$22=0,0,($C$14+$C$15+IF($C$13="single",1.5,3)+3)/12))</f>
        <v>0</v>
      </c>
      <c r="AC1110">
        <f>AB1110-W1110</f>
        <v>0</v>
      </c>
      <c r="AD1110" cm="1">
        <f t="array" ref="AD1110">IFERROR(IF(AC1110&lt;0,0,AC1110/($R$1060-INDEX(hd_off,MATCH(AQ1110,hd_mark,0),0)/12)),0)</f>
        <v>0</v>
      </c>
      <c r="AE1110">
        <f>IF(S1110=0,0,$AD$1060*$AM$1046)</f>
        <v>0</v>
      </c>
      <c r="AF1110">
        <f>IFERROR(AE1110/$R$1060,0)</f>
        <v>0</v>
      </c>
      <c r="AG1110">
        <f>AE1110*($F$22+IF($F$22=0,0,($C$14+$C$15+IF($C$13="single",1.5,3)+3)/12))</f>
        <v>0</v>
      </c>
      <c r="AH1110">
        <f>AG1110-X1110</f>
        <v>0</v>
      </c>
      <c r="AI1110" cm="1">
        <f t="array" ref="AI1110">IFERROR(IF(AH1110&lt;0,0,AH1110/($R$1060-INDEX(hd_off,MATCH(AQ1110,hd_mark,0),0)/12)),0)</f>
        <v>0</v>
      </c>
      <c r="AJ1110">
        <f>MAX($F$22,$Z$1060)/$Q$1076</f>
        <v>0.30172413793103448</v>
      </c>
      <c r="AK1110">
        <f t="shared" ref="AK1110:AK1113" si="690">IF(AJ1110=0,0,IF(AJ1110&gt;2,1.25-0.125*AJ1110,1))</f>
        <v>1</v>
      </c>
      <c r="AL1110" cm="1">
        <f t="array" ref="AL1110">IFERROR(INDEX(sheath_ecap_asd,MATCH(AP1110,sheath_mark,0),0)*AK1110,0)</f>
        <v>0</v>
      </c>
      <c r="AM1110" cm="1">
        <f t="array" ref="AM1110">IFERROR(INDEX(sheath_wcap_asd,MATCH(AP1110,sheath_mark,0),0)*AK1110,0)</f>
        <v>0</v>
      </c>
      <c r="AN1110" cm="1">
        <f t="array" ref="AN1110">IFERROR(INDEX(hd_cap,MATCH(AQ1110,hd_mark,0),0),0)</f>
        <v>0</v>
      </c>
      <c r="AP1110" s="19"/>
      <c r="AQ1110" s="19"/>
      <c r="AR1110" s="100"/>
      <c r="AS1110" s="93"/>
      <c r="AT1110" s="109"/>
      <c r="AU1110" t="str">
        <f>$Q$1046</f>
        <v>L3</v>
      </c>
      <c r="AV1110">
        <f>$E$22</f>
        <v>21.375</v>
      </c>
      <c r="AW1110" cm="1">
        <f t="array" ref="AW1110">IFERROR(IF(AV1110=0,0,(INDEX($C$33:$C$38,MATCH($AZ$1060,$B$33:$B$38,0),0)*(AV1113+$BA$1060)+$AW$1060*COUNTIF(AV1110:AV1112,"&gt;0")*$C$32+$AY$1060*$C$31)*$AU$1060),0)</f>
        <v>0</v>
      </c>
      <c r="AX1110">
        <f>IF(AV1110=0,0,-(COUNTIF(AV1110:AV1112,"&gt;0")*$AW$1060*$C$32+$AY$1060*$C$31)*$H$27*$AU$1060)</f>
        <v>0</v>
      </c>
      <c r="AY1110">
        <f>IF(AV1110=0,0,$AY$1060*$H$26*$AU$1060)</f>
        <v>0</v>
      </c>
      <c r="AZ1110">
        <f>(0.6*AW1110+0.7*AX1110)*$AU$1060/2</f>
        <v>0</v>
      </c>
      <c r="BA1110">
        <f>AW1110*$AU$1060/2</f>
        <v>0</v>
      </c>
      <c r="BC1110">
        <f>IF(AV1110=0,0,$BG$1060*$AP$1046)</f>
        <v>0</v>
      </c>
      <c r="BD1110">
        <f>IFERROR(BC1110/$AU$1060,0)</f>
        <v>0</v>
      </c>
      <c r="BE1110">
        <f>BC1110*($F$22+IF($F$22=0,0,($C$14+$C$15+IF($C$13="single",1.5,3)+3)/12))</f>
        <v>0</v>
      </c>
      <c r="BF1110">
        <f>BE1110-AZ1110</f>
        <v>0</v>
      </c>
      <c r="BG1110" cm="1">
        <f t="array" ref="BG1110">IFERROR(IF(BF1110&lt;0,0,BF1110/($AU$1060-INDEX(hd_off,MATCH(BT1110,hd_mark,0),0)/12)),0)</f>
        <v>0</v>
      </c>
      <c r="BH1110">
        <f>IF(AV1110=0,0,$BG$1060*$AM$1046)</f>
        <v>0</v>
      </c>
      <c r="BI1110">
        <f>IFERROR(BH1110/$AU$1060,0)</f>
        <v>0</v>
      </c>
      <c r="BJ1110">
        <f>BH1110*($F$22+IF($F$22=0,0,($C$14+$C$15+IF($C$13="single",1.5,3)+3)/12))</f>
        <v>0</v>
      </c>
      <c r="BK1110">
        <f>BJ1110-BA1110</f>
        <v>0</v>
      </c>
      <c r="BL1110" cm="1">
        <f t="array" ref="BL1110">IFERROR(IF(BK1110&lt;0,0,BK1110/($AU$1060-INDEX(hd_off,MATCH(BT1110,hd_mark,0),0)/12)),0)</f>
        <v>0</v>
      </c>
      <c r="BM1110">
        <f>MAX($F$22,$BC$1060)/$Q$1076</f>
        <v>0.30172413793103448</v>
      </c>
      <c r="BN1110">
        <f t="shared" ref="BN1110:BN1113" si="691">IF(BM1110=0,0,IF(BM1110&gt;2,1.25-0.125*BM1110,1))</f>
        <v>1</v>
      </c>
      <c r="BO1110" cm="1">
        <f t="array" ref="BO1110">IFERROR(INDEX(sheath_ecap_asd,MATCH(BS1110,sheath_mark,0),0)*BN1110,0)</f>
        <v>0</v>
      </c>
      <c r="BP1110" cm="1">
        <f t="array" ref="BP1110">IFERROR(INDEX(sheath_wcap_asd,MATCH(BS1110,sheath_mark,0),0)*BN1110,0)</f>
        <v>0</v>
      </c>
      <c r="BQ1110" cm="1">
        <f t="array" ref="BQ1110">IFERROR(INDEX(hd_cap,MATCH(BT1110,hd_mark,0),0),0)</f>
        <v>0</v>
      </c>
      <c r="BS1110" s="19"/>
      <c r="BT1110" s="19"/>
      <c r="BU1110" s="100"/>
    </row>
    <row r="1111" x14ac:dyDescent="0.25">
      <c r="P1111" s="93"/>
      <c r="Q1111" s="109" t="s">
        <v>491</v>
      </c>
      <c r="R1111" t="str">
        <f>$Q$1047</f>
        <v>L4</v>
      </c>
      <c r="S1111">
        <f>$E$23</f>
        <v>0</v>
      </c>
      <c r="T1111" cm="1">
        <f t="array" ref="T1111">IFERROR(IF(S1111=0,0,(INDEX($C$33:$C$38,MATCH($W$1060,$B$33:$B$38,0),0)*(S1113+$X$1060)+$T$1060*COUNTIF(S1111:S1112,"&gt;0")*$C$32+$V$1060*$C$31)*$R$1060),0)</f>
        <v>0</v>
      </c>
      <c r="U1111">
        <f>IF(S1111=0,0,-(COUNTIF(S1111:S1112,"&gt;0")*$T$1060*$C$32+$V$1060*$C$31)*$H$27*$R$1060)</f>
        <v>0</v>
      </c>
      <c r="V1111">
        <f>IF(S1111=0,0,$V$1060*$H$26*$R$1060)</f>
        <v>0</v>
      </c>
      <c r="W1111">
        <f>(0.6*T1111+0.7*U1111)*$R$1060/2</f>
        <v>0</v>
      </c>
      <c r="X1111">
        <f>T1111*$R$1060/2</f>
        <v>0</v>
      </c>
      <c r="Z1111">
        <f>IF(S1111=0,0,$AD$1060*$AP$1047)</f>
        <v>0</v>
      </c>
      <c r="AA1111">
        <f>IFERROR(Z1111/$R$1060,0)</f>
        <v>0</v>
      </c>
      <c r="AB1111">
        <f>Z1111*($F$23+IF($F$23=0,0,($C$14+$C$15+IF($C$13="single",1.5,3)+3)/12))</f>
        <v>0</v>
      </c>
      <c r="AC1111">
        <f>AB1111-W1111</f>
        <v>0</v>
      </c>
      <c r="AD1111" cm="1">
        <f t="array" ref="AD1111">IFERROR(IF(AC1111&lt;0,0,AC1111/($R$1060-INDEX(hd_off,MATCH(AQ1111,hd_mark,0),0)/12)),0)</f>
        <v>0</v>
      </c>
      <c r="AE1111">
        <f>IF(S1111=0,0,$AD$1060*$AM$1047)</f>
        <v>0</v>
      </c>
      <c r="AF1111">
        <f>IFERROR(AE1111/$R$1060,0)</f>
        <v>0</v>
      </c>
      <c r="AG1111">
        <f>AE1111*($F$23+IF($F$23=0,0,($C$14+$C$15+IF($C$13="single",1.5,3)+3)/12))</f>
        <v>0</v>
      </c>
      <c r="AH1111">
        <f>AG1111-X1111</f>
        <v>0</v>
      </c>
      <c r="AI1111" cm="1">
        <f t="array" ref="AI1111">IFERROR(IF(AH1111&lt;0,0,AH1111/($R$1060-INDEX(hd_off,MATCH(AQ1111,hd_mark,0),0)/12)),0)</f>
        <v>0</v>
      </c>
      <c r="AJ1111">
        <f>MAX($F$23,$AA$1060)/$Q$1076</f>
        <v>0</v>
      </c>
      <c r="AK1111">
        <f t="shared" si="690"/>
        <v>0</v>
      </c>
      <c r="AL1111" cm="1">
        <f t="array" ref="AL1111">IFERROR(INDEX(sheath_ecap_asd,MATCH(AP1111,sheath_mark,0),0)*AK1111,0)</f>
        <v>0</v>
      </c>
      <c r="AM1111" cm="1">
        <f t="array" ref="AM1111">IFERROR(INDEX(sheath_wcap_asd,MATCH(AP1111,sheath_mark,0),0)*AK1111,0)</f>
        <v>0</v>
      </c>
      <c r="AN1111" cm="1">
        <f t="array" ref="AN1111">IFERROR(INDEX(hd_cap,MATCH(AQ1111,hd_mark,0),0),0)</f>
        <v>0</v>
      </c>
      <c r="AP1111" s="19"/>
      <c r="AQ1111" s="19"/>
      <c r="AR1111" s="100"/>
      <c r="AS1111" s="93"/>
      <c r="AT1111" s="109" t="s">
        <v>491</v>
      </c>
      <c r="AU1111" t="str">
        <f>$Q$1047</f>
        <v>L4</v>
      </c>
      <c r="AV1111">
        <f>$E$23</f>
        <v>0</v>
      </c>
      <c r="AW1111" cm="1">
        <f t="array" ref="AW1111">IFERROR(IF(AV1111=0,0,(INDEX($C$33:$C$38,MATCH($AZ$1060,$B$33:$B$38,0),0)*(AV1113+$BA$1060)+$AW$1060*COUNTIF(AV1111:AV1112,"&gt;0")*$C$32+$AY$1060*$C$31)*$AU$1060),0)</f>
        <v>0</v>
      </c>
      <c r="AX1111">
        <f>IF(AV1111=0,0,-(COUNTIF(AV1111:AV1112,"&gt;0")*$AW$1060*$C$32+$AY$1060*$C$31)*$H$27*$AU$1060)</f>
        <v>0</v>
      </c>
      <c r="AY1111">
        <f>IF(AV1111=0,0,$AY$1060*$H$26*$AU$1060)</f>
        <v>0</v>
      </c>
      <c r="AZ1111">
        <f>(0.6*AW1111+0.7*AX1111)*$AU$1060/2</f>
        <v>0</v>
      </c>
      <c r="BA1111">
        <f>AW1111*$AU$1060/2</f>
        <v>0</v>
      </c>
      <c r="BC1111">
        <f>IF(AV1111=0,0,$BG$1060*$AP$1047)</f>
        <v>0</v>
      </c>
      <c r="BD1111">
        <f>IFERROR(BC1111/$AU$1060,0)</f>
        <v>0</v>
      </c>
      <c r="BE1111">
        <f>BC1111*($F$23+IF($F$23=0,0,($C$14+$C$15+IF($C$13="single",1.5,3)+3)/12))</f>
        <v>0</v>
      </c>
      <c r="BF1111">
        <f>BE1111-AZ1111</f>
        <v>0</v>
      </c>
      <c r="BG1111" cm="1">
        <f t="array" ref="BG1111">IFERROR(IF(BF1111&lt;0,0,BF1111/($AU$1060-INDEX(hd_off,MATCH(BT1111,hd_mark,0),0)/12)),0)</f>
        <v>0</v>
      </c>
      <c r="BH1111">
        <f>IF(AV1111=0,0,$BG$1060*$AM$1047)</f>
        <v>0</v>
      </c>
      <c r="BI1111">
        <f>IFERROR(BH1111/$AU$1060,0)</f>
        <v>0</v>
      </c>
      <c r="BJ1111">
        <f>BH1111*($F$23+IF($F$23=0,0,($C$14+$C$15+IF($C$13="single",1.5,3)+3)/12))</f>
        <v>0</v>
      </c>
      <c r="BK1111">
        <f>BJ1111-BA1111</f>
        <v>0</v>
      </c>
      <c r="BL1111" cm="1">
        <f t="array" ref="BL1111">IFERROR(IF(BK1111&lt;0,0,BK1111/($AU$1060-INDEX(hd_off,MATCH(BT1111,hd_mark,0),0)/12)),0)</f>
        <v>0</v>
      </c>
      <c r="BM1111">
        <f>MAX($F$23,$BD$1060)/$Q$1076</f>
        <v>0</v>
      </c>
      <c r="BN1111">
        <f t="shared" si="691"/>
        <v>0</v>
      </c>
      <c r="BO1111" cm="1">
        <f t="array" ref="BO1111">IFERROR(INDEX(sheath_ecap_asd,MATCH(BS1111,sheath_mark,0),0)*BN1111,0)</f>
        <v>0</v>
      </c>
      <c r="BP1111" cm="1">
        <f t="array" ref="BP1111">IFERROR(INDEX(sheath_wcap_asd,MATCH(BS1111,sheath_mark,0),0)*BN1111,0)</f>
        <v>0</v>
      </c>
      <c r="BQ1111" cm="1">
        <f t="array" ref="BQ1111">IFERROR(INDEX(hd_cap,MATCH(BT1111,hd_mark,0),0),0)</f>
        <v>0</v>
      </c>
      <c r="BS1111" s="19"/>
      <c r="BT1111" s="19"/>
      <c r="BU1111" s="100"/>
    </row>
    <row r="1112" x14ac:dyDescent="0.25">
      <c r="P1112" s="93"/>
      <c r="Q1112" s="111">
        <f>$R$1060</f>
        <v>0</v>
      </c>
      <c r="R1112" t="str">
        <f>$Q$1048</f>
        <v>L5</v>
      </c>
      <c r="S1112">
        <f>$E$24</f>
        <v>0</v>
      </c>
      <c r="T1112" cm="1">
        <f t="array" ref="T1112">IFERROR(IF(S1112=0,0,(INDEX($C$33:$C$38,MATCH($W$1060,$B$33:$B$38,0),0)*(S1113+$X$1060)+$T$1060*COUNTIF(S1112:S1112,"&gt;0")*$C$32+$V$1060*$C$31)*$R$1060),0)</f>
        <v>0</v>
      </c>
      <c r="U1112">
        <f>IF(S1112=0,0,-(COUNTIF(S1112:S1112,"&gt;0")*$T$1060*$C$32+$V$1060*$C$31)*$H$27*$R$1060)</f>
        <v>0</v>
      </c>
      <c r="V1112">
        <f>IF(S1112=0,0,$V$1060*$H$26*$R$1060)</f>
        <v>0</v>
      </c>
      <c r="W1112">
        <f>(0.6*T1112+0.7*U1112)*$R$1060/2</f>
        <v>0</v>
      </c>
      <c r="X1112">
        <f>T1112*$R$1060/2</f>
        <v>0</v>
      </c>
      <c r="Z1112">
        <f>IF(S1112=0,0,$AD$1060*$AP$1048)</f>
        <v>0</v>
      </c>
      <c r="AA1112">
        <f>IFERROR(Z1112/$R$1060,0)</f>
        <v>0</v>
      </c>
      <c r="AB1112">
        <f>Z1112*($F$24+IF($F$24=0,0,($C$14+$C$15+IF($C$13="single",1.5,3)+3)/12))</f>
        <v>0</v>
      </c>
      <c r="AC1112">
        <f>AB1112-W1112</f>
        <v>0</v>
      </c>
      <c r="AD1112" cm="1">
        <f t="array" ref="AD1112">IFERROR(IF(AC1112&lt;0,0,AC1112/($R$1060-INDEX(hd_off,MATCH(AQ1112,hd_mark,0),0)/12)),0)</f>
        <v>0</v>
      </c>
      <c r="AE1112">
        <f>IF(S1112=0,0,$AD$1060*$AM$1048)</f>
        <v>0</v>
      </c>
      <c r="AF1112">
        <f>IFERROR(AE1112/$R$1060,0)</f>
        <v>0</v>
      </c>
      <c r="AG1112">
        <f>AE1112*($F$24+IF($F$24=0,0,($C$14+$C$15+IF($C$13="single",1.5,3)+3)/12))</f>
        <v>0</v>
      </c>
      <c r="AH1112">
        <f>AG1112-X1112</f>
        <v>0</v>
      </c>
      <c r="AI1112" cm="1">
        <f t="array" ref="AI1112">IFERROR(IF(AH1112&lt;0,0,AH1112/($R$1060-INDEX(hd_off,MATCH(AQ1112,hd_mark,0),0)/12)),0)</f>
        <v>0</v>
      </c>
      <c r="AJ1112">
        <f>MAX($F$24,$AB$1060)/$Q$1076</f>
        <v>0</v>
      </c>
      <c r="AK1112">
        <f t="shared" si="690"/>
        <v>0</v>
      </c>
      <c r="AL1112" cm="1">
        <f t="array" ref="AL1112">IFERROR(INDEX(sheath_ecap_asd,MATCH(AP1112,sheath_mark,0),0)*AK1112,0)</f>
        <v>0</v>
      </c>
      <c r="AM1112" cm="1">
        <f t="array" ref="AM1112">IFERROR(INDEX(sheath_wcap_asd,MATCH(AP1112,sheath_mark,0),0)*AK1112,0)</f>
        <v>0</v>
      </c>
      <c r="AN1112" cm="1">
        <f t="array" ref="AN1112">IFERROR(INDEX(hd_cap,MATCH(AQ1112,hd_mark,0),0),0)</f>
        <v>0</v>
      </c>
      <c r="AP1112" s="19"/>
      <c r="AQ1112" s="19"/>
      <c r="AR1112" s="100"/>
      <c r="AS1112" s="93"/>
      <c r="AT1112" s="111">
        <f>$R$1060</f>
        <v>0</v>
      </c>
      <c r="AU1112" t="str">
        <f>$Q$1048</f>
        <v>L5</v>
      </c>
      <c r="AV1112">
        <f>$E$24</f>
        <v>0</v>
      </c>
      <c r="AW1112" cm="1">
        <f t="array" ref="AW1112">IFERROR(IF(AV1112=0,0,(INDEX($C$33:$C$38,MATCH($AZ$1060,$B$33:$B$38,0),0)*(AV1113+$BA$1060)+$AW$1060*COUNTIF(AV1112:AV1112,"&gt;0")*$C$32+$AY$1060*$C$31)*$AU$1060),0)</f>
        <v>0</v>
      </c>
      <c r="AX1112">
        <f>IF(AV1112=0,0,-(COUNTIF(AV1112:AV1112,"&gt;0")*$AW$1060*$C$32+$AY$1060*$C$31)*$H$27*$AU$1060)</f>
        <v>0</v>
      </c>
      <c r="AY1112">
        <f>IF(AV1112=0,0,$AY$1060*$H$26*$AU$1060)</f>
        <v>0</v>
      </c>
      <c r="AZ1112">
        <f>(0.6*AW1112+0.7*AX1112)*$AU$1060/2</f>
        <v>0</v>
      </c>
      <c r="BA1112">
        <f>AW1112*$AU$1060/2</f>
        <v>0</v>
      </c>
      <c r="BC1112">
        <f>IF(AV1112=0,0,$BG$1060*$AP$1048)</f>
        <v>0</v>
      </c>
      <c r="BD1112">
        <f>IFERROR(BC1112/$AU$1060,0)</f>
        <v>0</v>
      </c>
      <c r="BE1112">
        <f>BC1112*($F$24+IF($F$24=0,0,($C$14+$C$15+IF($C$13="single",1.5,3)+3)/12))</f>
        <v>0</v>
      </c>
      <c r="BF1112">
        <f>BE1112-AZ1112</f>
        <v>0</v>
      </c>
      <c r="BG1112" cm="1">
        <f t="array" ref="BG1112">IFERROR(IF(BF1112&lt;0,0,BF1112/($AU$1060-INDEX(hd_off,MATCH(BT1112,hd_mark,0),0)/12)),0)</f>
        <v>0</v>
      </c>
      <c r="BH1112">
        <f>IF(AV1112=0,0,$BG$1060*$AM$1048)</f>
        <v>0</v>
      </c>
      <c r="BI1112">
        <f>IFERROR(BH1112/$AU$1060,0)</f>
        <v>0</v>
      </c>
      <c r="BJ1112">
        <f>BH1112*($F$24+IF($F$24=0,0,($C$14+$C$15+IF($C$13="single",1.5,3)+3)/12))</f>
        <v>0</v>
      </c>
      <c r="BK1112">
        <f>BJ1112-BA1112</f>
        <v>0</v>
      </c>
      <c r="BL1112" cm="1">
        <f t="array" ref="BL1112">IFERROR(IF(BK1112&lt;0,0,BK1112/($AU$1060-INDEX(hd_off,MATCH(BT1112,hd_mark,0),0)/12)),0)</f>
        <v>0</v>
      </c>
      <c r="BM1112">
        <f>MAX($F$24,$BE$1060)/$Q$1076</f>
        <v>0</v>
      </c>
      <c r="BN1112">
        <f t="shared" si="691"/>
        <v>0</v>
      </c>
      <c r="BO1112" cm="1">
        <f t="array" ref="BO1112">IFERROR(INDEX(sheath_ecap_asd,MATCH(BS1112,sheath_mark,0),0)*BN1112,0)</f>
        <v>0</v>
      </c>
      <c r="BP1112" cm="1">
        <f t="array" ref="BP1112">IFERROR(INDEX(sheath_wcap_asd,MATCH(BS1112,sheath_mark,0),0)*BN1112,0)</f>
        <v>0</v>
      </c>
      <c r="BQ1112" cm="1">
        <f t="array" ref="BQ1112">IFERROR(INDEX(hd_cap,MATCH(BT1112,hd_mark,0),0),0)</f>
        <v>0</v>
      </c>
      <c r="BS1112" s="19"/>
      <c r="BT1112" s="19"/>
      <c r="BU1112" s="100"/>
    </row>
    <row r="1113" x14ac:dyDescent="0.25">
      <c r="P1113" s="93"/>
      <c r="Q1113" s="109"/>
      <c r="R1113" t="str">
        <f>$Q$1049</f>
        <v>Roof</v>
      </c>
      <c r="S1113">
        <f>$E$25</f>
        <v>33.171875</v>
      </c>
      <c r="T1113" cm="1">
        <f t="array" ref="T1113">IFERROR(IF(S1113=0,0,(INDEX($C$33:$C$38,MATCH($W$1060,$B$33:$B$38,0),0)*(S1113+$X$1060)+$V$1060*$C$31)*$R$1060),0)</f>
        <v>0</v>
      </c>
      <c r="U1113">
        <f>IF(S1113=0,0,-$V$1060*$C$31*$H$27*$R$1060)</f>
        <v>0</v>
      </c>
      <c r="V1113">
        <f>IF(S1113=0,0,$V$1060*$H$26*$R$1060)</f>
        <v>0</v>
      </c>
      <c r="W1113">
        <f>(0.6*T1113+0.7*U1113)*$R$1060/2</f>
        <v>0</v>
      </c>
      <c r="X1113">
        <f>T1113*$R$1060/2</f>
        <v>0</v>
      </c>
      <c r="Z1113">
        <f>IF(S1113=0,0,$AD$1060*$AP$1049)</f>
        <v>0</v>
      </c>
      <c r="AA1113">
        <f>IFERROR(Z1113/$R$1060,0)</f>
        <v>0</v>
      </c>
      <c r="AB1113">
        <f>Z1113*($F$25+($C$16+$C$17+IF($C$13="single",1.5,3)+3)/12)</f>
        <v>0</v>
      </c>
      <c r="AC1113">
        <f>AB1113-W1113</f>
        <v>0</v>
      </c>
      <c r="AD1113" cm="1">
        <f t="array" ref="AD1113">IFERROR(IF(AC1113&lt;0,0,AC1113/($R$1060-INDEX(hd_off,MATCH(AQ1113,hd_mark,0),0)/12)),0)</f>
        <v>0</v>
      </c>
      <c r="AE1113">
        <f>IF(S1113=0,0,$AD$1060*$AM$1049)</f>
        <v>0</v>
      </c>
      <c r="AF1113">
        <f>IFERROR(AE1113/$R$1060,0)</f>
        <v>0</v>
      </c>
      <c r="AG1113">
        <f>AE1113*($F$25+($C$16+$C$17+IF($C$13="single",1.5,3)+3)/12)</f>
        <v>0</v>
      </c>
      <c r="AH1113">
        <f>AG1113-X1113</f>
        <v>0</v>
      </c>
      <c r="AI1113" cm="1">
        <f t="array" ref="AI1113">IFERROR(IF(AH1113&lt;0,0,AH1113/($R$1060-INDEX(hd_off,MATCH(AQ1113,hd_mark,0),0)/12)),0)</f>
        <v>0</v>
      </c>
      <c r="AJ1113">
        <f>MAX($F$25,$AC$1060)/$Q$1076</f>
        <v>0.29920977011494249</v>
      </c>
      <c r="AK1113">
        <f t="shared" si="690"/>
        <v>1</v>
      </c>
      <c r="AL1113" cm="1">
        <f t="array" ref="AL1113">IFERROR(INDEX(sheath_ecap_asd,MATCH(AP1113,sheath_mark,0),0)*AK1113,0)</f>
        <v>0</v>
      </c>
      <c r="AM1113" cm="1">
        <f t="array" ref="AM1113">IFERROR(INDEX(sheath_wcap_asd,MATCH(AP1113,sheath_mark,0),0)*AK1113,0)</f>
        <v>0</v>
      </c>
      <c r="AN1113" cm="1">
        <f t="array" ref="AN1113">IFERROR(INDEX(hd_cap,MATCH(AQ1113,hd_mark,0),0),0)</f>
        <v>0</v>
      </c>
      <c r="AP1113" s="19"/>
      <c r="AQ1113" s="19"/>
      <c r="AR1113" s="100"/>
      <c r="AS1113" s="93"/>
      <c r="AT1113" s="109"/>
      <c r="AU1113" t="str">
        <f>$Q$1049</f>
        <v>Roof</v>
      </c>
      <c r="AV1113">
        <f>$E$25</f>
        <v>33.171875</v>
      </c>
      <c r="AW1113" cm="1">
        <f t="array" ref="AW1113">IFERROR(IF(AV1113=0,0,(INDEX($C$33:$C$38,MATCH($AZ$1060,$B$33:$B$38,0),0)*(AV1113+$BA$1060)+$AY$1060*$C$31)*$AU$1060),0)</f>
        <v>0</v>
      </c>
      <c r="AX1113">
        <f>IF(AV1113=0,0,-$AY$1060*$C$31*$H$27*$AU$1060)</f>
        <v>0</v>
      </c>
      <c r="AY1113">
        <f>IF(AV1113=0,0,$AY$1060*$H$26*$AU$1060)</f>
        <v>0</v>
      </c>
      <c r="AZ1113">
        <f>(0.6*AW1113+0.7*AX1113)*$AU$1060/2</f>
        <v>0</v>
      </c>
      <c r="BA1113">
        <f>AW1113*$AU$1060/2</f>
        <v>0</v>
      </c>
      <c r="BC1113">
        <f>IF(AV1113=0,0,$BG$1060*$AP$1049)</f>
        <v>0</v>
      </c>
      <c r="BD1113">
        <f>IFERROR(BC1113/$AU$1060,0)</f>
        <v>0</v>
      </c>
      <c r="BE1113">
        <f>BC1113*($F$25+($C$16+$C$17+IF($C$13="single",1.5,3)+3)/12)</f>
        <v>0</v>
      </c>
      <c r="BF1113">
        <f>BE1113-AZ1113</f>
        <v>0</v>
      </c>
      <c r="BG1113" cm="1">
        <f t="array" ref="BG1113">IFERROR(IF(BF1113&lt;0,0,BF1113/($AU$1060-INDEX(hd_off,MATCH(BT1113,hd_mark,0),0)/12)),0)</f>
        <v>0</v>
      </c>
      <c r="BH1113">
        <f>IF(AV1113=0,0,$BG$1060*$AM$1049)</f>
        <v>0</v>
      </c>
      <c r="BI1113">
        <f>IFERROR(BH1113/$AU$1060,0)</f>
        <v>0</v>
      </c>
      <c r="BJ1113">
        <f>BH1113*($F$25+($C$16+$C$17+IF($C$13="single",1.5,3)+3)/12)</f>
        <v>0</v>
      </c>
      <c r="BK1113">
        <f>BJ1113-BA1113</f>
        <v>0</v>
      </c>
      <c r="BL1113" cm="1">
        <f t="array" ref="BL1113">IFERROR(IF(BK1113&lt;0,0,BK1113/($AU$1060-INDEX(hd_off,MATCH(BT1113,hd_mark,0),0)/12)),0)</f>
        <v>0</v>
      </c>
      <c r="BM1113">
        <f>MAX($F$25,$BF$1060)/$Q$1076</f>
        <v>0.29920977011494249</v>
      </c>
      <c r="BN1113">
        <f t="shared" si="691"/>
        <v>1</v>
      </c>
      <c r="BO1113" cm="1">
        <f t="array" ref="BO1113">IFERROR(INDEX(sheath_ecap_asd,MATCH(BS1113,sheath_mark,0),0)*BN1113,0)</f>
        <v>0</v>
      </c>
      <c r="BP1113" cm="1">
        <f t="array" ref="BP1113">IFERROR(INDEX(sheath_wcap_asd,MATCH(BS1113,sheath_mark,0),0)*BN1113,0)</f>
        <v>0</v>
      </c>
      <c r="BQ1113" cm="1">
        <f t="array" ref="BQ1113">IFERROR(INDEX(hd_cap,MATCH(BT1113,hd_mark,0),0),0)</f>
        <v>0</v>
      </c>
      <c r="BS1113" s="19"/>
      <c r="BT1113" s="19"/>
      <c r="BU1113" s="100"/>
    </row>
    <row r="1114" x14ac:dyDescent="0.25">
      <c r="P1114" s="93"/>
      <c r="AR1114" s="100"/>
      <c r="AS1114" s="93"/>
      <c r="BU1114" s="100"/>
    </row>
    <row r="1115" x14ac:dyDescent="0.25">
      <c r="P1115" s="93"/>
      <c r="Q1115" s="110" t="str">
        <f>$Q$1061</f>
        <v>A.08</v>
      </c>
      <c r="R1115" t="str">
        <f>$Q$1045</f>
        <v>L2</v>
      </c>
      <c r="S1115">
        <f>$E$21</f>
        <v>10.6875</v>
      </c>
      <c r="T1115" cm="1">
        <f t="array" ref="T1115">IFERROR(IF(S1115=0,0,(INDEX($C$33:$C$38,MATCH($W$1061,$B$33:$B$38,0),0)*(S1119+$X$1061)+$T$1061*COUNTIF(S1115:S1118,"&gt;0")*$C$32+$V$1061*$C$31)*$R$1061),0)</f>
        <v>0</v>
      </c>
      <c r="U1115">
        <f>IF(S1115=0,0,-(COUNTIF(S1115:S1118,"&gt;0")*$T$1061*$C$32+$V$1061*$C$31)*$H$27*$R$1061)</f>
        <v>0</v>
      </c>
      <c r="V1115">
        <f>IF(S1115=0,0,$V$1061*$H$26*$R$1061)</f>
        <v>0</v>
      </c>
      <c r="W1115">
        <f>(0.6*T1115+0.7*U1115)*$R$1061/2</f>
        <v>0</v>
      </c>
      <c r="X1115">
        <f>(0.6*T1115+0.6*V1115)*$R$1061/2</f>
        <v>0</v>
      </c>
      <c r="Z1115">
        <f>IF(S1115=0,0,$AD$1061*$AP$1045)</f>
        <v>0</v>
      </c>
      <c r="AA1115">
        <f>IFERROR(Z1115/$R$1061,0)</f>
        <v>0</v>
      </c>
      <c r="AB1115">
        <f>Z1115*($F$21+IF($F$21=0,0,($C$14+$C$15+IF($C$13="single",1.5,3)+3)/12))</f>
        <v>0</v>
      </c>
      <c r="AC1115">
        <f>AB1115-W1115</f>
        <v>0</v>
      </c>
      <c r="AD1115" cm="1">
        <f t="array" ref="AD1115">IFERROR(IF(AC1115&lt;0,0,AC1115/($R$1061-INDEX(hd_off,MATCH(AQ1115,hd_mark,0),0)/12)),0)</f>
        <v>0</v>
      </c>
      <c r="AE1115">
        <f>IF(S1115=0,0,$AD$1061*$AM$1045)</f>
        <v>0</v>
      </c>
      <c r="AF1115">
        <f>IFERROR(AE1115/$R$1061,0)</f>
        <v>0</v>
      </c>
      <c r="AG1115">
        <f>AE1115*($F$21+IF($F$21=0,0,($C$14+$C$15+IF($C$13="single",1.5,3)+3)/12))</f>
        <v>0</v>
      </c>
      <c r="AH1115">
        <f>AG1115-X1115</f>
        <v>0</v>
      </c>
      <c r="AI1115" cm="1">
        <f t="array" ref="AI1115">IFERROR(IF(AH1115&lt;0,0,AH1115/($R$1061-INDEX(hd_off,MATCH(AQ1115,hd_mark,0),0)/12)),0)</f>
        <v>0</v>
      </c>
      <c r="AJ1115">
        <f>MAX($F$21,$Y$1061)/$Q$1076</f>
        <v>0.30172413793103448</v>
      </c>
      <c r="AK1115">
        <f>IF(AJ1115=0,0,IF(AJ1115&gt;2,1.25-0.125*AJ1115,1))</f>
        <v>1</v>
      </c>
      <c r="AL1115" cm="1">
        <f t="array" ref="AL1115">IFERROR(INDEX(sheath_ecap_asd,MATCH(AP1115,sheath_mark,0),0)*AK1115,0)</f>
        <v>0</v>
      </c>
      <c r="AM1115" cm="1">
        <f t="array" ref="AM1115">IFERROR(INDEX(sheath_wcap_asd,MATCH(AP1115,sheath_mark,0),0)*AK1115,0)</f>
        <v>0</v>
      </c>
      <c r="AN1115" cm="1">
        <f t="array" ref="AN1115">IFERROR(INDEX(hd_cap,MATCH(AQ1115,hd_mark,0),0),0)</f>
        <v>0</v>
      </c>
      <c r="AP1115" s="19"/>
      <c r="AQ1115" s="19"/>
      <c r="AR1115" s="100"/>
      <c r="AS1115" s="93"/>
      <c r="AT1115" s="110" t="str">
        <f>$AT$1061</f>
        <v>1.08</v>
      </c>
      <c r="AU1115" t="str">
        <f>$Q$1045</f>
        <v>L2</v>
      </c>
      <c r="AV1115">
        <f>$E$21</f>
        <v>10.6875</v>
      </c>
      <c r="AW1115" cm="1">
        <f t="array" ref="AW1115">IFERROR(IF(AV1115=0,0,(INDEX($C$33:$C$38,MATCH($AZ$1061,$B$33:$B$38,0),0)*(AV1119+$BA$1061)+$AW$1061*COUNTIF(AV1115:AV1118,"&gt;0")*$C$32+$AY$1061*$C$31)*$AU$1061),0)</f>
        <v>0</v>
      </c>
      <c r="AX1115">
        <f>IF(AV1115=0,0,-(COUNTIF(AV1115:AV1118,"&gt;0")*$AW$1061*$C$32+$AY$1061*$C$31)*$H$27*$AU$1061)</f>
        <v>0</v>
      </c>
      <c r="AY1115">
        <f>IF(AV1115=0,0,$AY$1061*$H$26*$AU$1061)</f>
        <v>0</v>
      </c>
      <c r="AZ1115">
        <f>(0.6*AW1115+0.7*AX1115)*$AU$1061/2</f>
        <v>0</v>
      </c>
      <c r="BA1115">
        <f>(0.6*AW1115+0.6*AY1115)*$AU$1061/2</f>
        <v>0</v>
      </c>
      <c r="BC1115">
        <f>IF(AV1115=0,0,$BG$1061*$AP$1045)</f>
        <v>0</v>
      </c>
      <c r="BD1115">
        <f>IFERROR(BC1115/$AU$1061,0)</f>
        <v>0</v>
      </c>
      <c r="BE1115">
        <f>BC1115*($F$21+IF($F$21=0,0,($C$14+$C$15+IF($C$13="single",1.5,3)+3)/12))</f>
        <v>0</v>
      </c>
      <c r="BF1115">
        <f>BE1115-AZ1115</f>
        <v>0</v>
      </c>
      <c r="BG1115" cm="1">
        <f t="array" ref="BG1115">IFERROR(IF(BF1115&lt;0,0,BF1115/($AU$1061-INDEX(hd_off,MATCH(BT1115,hd_mark,0),0)/12)),0)</f>
        <v>0</v>
      </c>
      <c r="BH1115">
        <f>IF(AV1115=0,0,$BG$1061*$AM$1045)</f>
        <v>0</v>
      </c>
      <c r="BI1115">
        <f>IFERROR(BH1115/$AU$1061,0)</f>
        <v>0</v>
      </c>
      <c r="BJ1115">
        <f>BH1115*($F$21+IF($F$21=0,0,($C$14+$C$15+IF($C$13="single",1.5,3)+3)/12))</f>
        <v>0</v>
      </c>
      <c r="BK1115">
        <f>BJ1115-BA1115</f>
        <v>0</v>
      </c>
      <c r="BL1115" cm="1">
        <f t="array" ref="BL1115">IFERROR(IF(BK1115&lt;0,0,BK1115/($AU$1061-INDEX(hd_off,MATCH(BT1115,hd_mark,0),0)/12)),0)</f>
        <v>0</v>
      </c>
      <c r="BM1115">
        <f>MAX($F$21,$BB$1061)/$Q$1076</f>
        <v>0.30172413793103448</v>
      </c>
      <c r="BN1115">
        <f>IF(BM1115=0,0,IF(BM1115&gt;2,1.25-0.125*BM1115,1))</f>
        <v>1</v>
      </c>
      <c r="BO1115" cm="1">
        <f t="array" ref="BO1115">IFERROR(INDEX(sheath_ecap_asd,MATCH(BS1115,sheath_mark,0),0)*BN1115,0)</f>
        <v>0</v>
      </c>
      <c r="BP1115" cm="1">
        <f t="array" ref="BP1115">IFERROR(INDEX(sheath_wcap_asd,MATCH(BS1115,sheath_mark,0),0)*BN1115,0)</f>
        <v>0</v>
      </c>
      <c r="BQ1115" cm="1">
        <f t="array" ref="BQ1115">IFERROR(INDEX(hd_cap,MATCH(BT1115,hd_mark,0),0),0)</f>
        <v>0</v>
      </c>
      <c r="BS1115" s="19"/>
      <c r="BT1115" s="19"/>
      <c r="BU1115" s="100"/>
    </row>
    <row r="1116" x14ac:dyDescent="0.25">
      <c r="P1116" s="93"/>
      <c r="Q1116" s="109"/>
      <c r="R1116" t="str">
        <f>$Q$1046</f>
        <v>L3</v>
      </c>
      <c r="S1116">
        <f>$E$22</f>
        <v>21.375</v>
      </c>
      <c r="T1116" cm="1">
        <f t="array" ref="T1116">IFERROR(IF(S1116=0,0,(INDEX($C$33:$C$38,MATCH($W$1061,$B$33:$B$38,0),0)*(S1119+$X$1061)+$T$1061*COUNTIF(S1116:S1118,"&gt;0")*$C$32+$V$1061*$C$31)*$R$1061),0)</f>
        <v>0</v>
      </c>
      <c r="U1116">
        <f>IF(S1116=0,0,-(COUNTIF(S1116:S1118,"&gt;0")*$T$1061*$C$32+$V$1061*$C$31)*$H$27*$R$1061)</f>
        <v>0</v>
      </c>
      <c r="V1116">
        <f>IF(S1116=0,0,$V$1061*$H$26*$R$1061)</f>
        <v>0</v>
      </c>
      <c r="W1116">
        <f>(0.6*T1116+0.7*U1116)*$R$1061/2</f>
        <v>0</v>
      </c>
      <c r="X1116">
        <f>T1116*$R$1061/2</f>
        <v>0</v>
      </c>
      <c r="Z1116">
        <f>IF(S1116=0,0,$AD$1061*$AP$1046)</f>
        <v>0</v>
      </c>
      <c r="AA1116">
        <f>IFERROR(Z1116/$R$1061,0)</f>
        <v>0</v>
      </c>
      <c r="AB1116">
        <f>Z1116*($F$22+IF($F$22=0,0,($C$14+$C$15+IF($C$13="single",1.5,3)+3)/12))</f>
        <v>0</v>
      </c>
      <c r="AC1116">
        <f>AB1116-W1116</f>
        <v>0</v>
      </c>
      <c r="AD1116" cm="1">
        <f t="array" ref="AD1116">IFERROR(IF(AC1116&lt;0,0,AC1116/($R$1061-INDEX(hd_off,MATCH(AQ1116,hd_mark,0),0)/12)),0)</f>
        <v>0</v>
      </c>
      <c r="AE1116">
        <f>IF(S1116=0,0,$AD$1061*$AM$1046)</f>
        <v>0</v>
      </c>
      <c r="AF1116">
        <f>IFERROR(AE1116/$R$1061,0)</f>
        <v>0</v>
      </c>
      <c r="AG1116">
        <f>AE1116*($F$22+IF($F$22=0,0,($C$14+$C$15+IF($C$13="single",1.5,3)+3)/12))</f>
        <v>0</v>
      </c>
      <c r="AH1116">
        <f>AG1116-X1116</f>
        <v>0</v>
      </c>
      <c r="AI1116" cm="1">
        <f t="array" ref="AI1116">IFERROR(IF(AH1116&lt;0,0,AH1116/($R$1061-INDEX(hd_off,MATCH(AQ1116,hd_mark,0),0)/12)),0)</f>
        <v>0</v>
      </c>
      <c r="AJ1116">
        <f>MAX($F$22,$Z$1061)/$Q$1076</f>
        <v>0.30172413793103448</v>
      </c>
      <c r="AK1116">
        <f t="shared" ref="AK1116:AK1119" si="692">IF(AJ1116=0,0,IF(AJ1116&gt;2,1.25-0.125*AJ1116,1))</f>
        <v>1</v>
      </c>
      <c r="AL1116" cm="1">
        <f t="array" ref="AL1116">IFERROR(INDEX(sheath_ecap_asd,MATCH(AP1116,sheath_mark,0),0)*AK1116,0)</f>
        <v>0</v>
      </c>
      <c r="AM1116" cm="1">
        <f t="array" ref="AM1116">IFERROR(INDEX(sheath_wcap_asd,MATCH(AP1116,sheath_mark,0),0)*AK1116,0)</f>
        <v>0</v>
      </c>
      <c r="AN1116" cm="1">
        <f t="array" ref="AN1116">IFERROR(INDEX(hd_cap,MATCH(AQ1116,hd_mark,0),0),0)</f>
        <v>0</v>
      </c>
      <c r="AP1116" s="19"/>
      <c r="AQ1116" s="19"/>
      <c r="AR1116" s="100"/>
      <c r="AS1116" s="93"/>
      <c r="AT1116" s="109"/>
      <c r="AU1116" t="str">
        <f>$Q$1046</f>
        <v>L3</v>
      </c>
      <c r="AV1116">
        <f>$E$22</f>
        <v>21.375</v>
      </c>
      <c r="AW1116" cm="1">
        <f t="array" ref="AW1116">IFERROR(IF(AV1116=0,0,(INDEX($C$33:$C$38,MATCH($AZ$1061,$B$33:$B$38,0),0)*(AV1119+$BA$1061)+$AW$1061*COUNTIF(AV1116:AV1118,"&gt;0")*$C$32+$AY$1061*$C$31)*$AU$1061),0)</f>
        <v>0</v>
      </c>
      <c r="AX1116">
        <f>IF(AV1116=0,0,-(COUNTIF(AV1116:AV1118,"&gt;0")*$AW$1061*$C$32+$AY$1061*$C$31)*$H$27*$AU$1061)</f>
        <v>0</v>
      </c>
      <c r="AY1116">
        <f>IF(AV1116=0,0,$AY$1061*$H$26*$AU$1061)</f>
        <v>0</v>
      </c>
      <c r="AZ1116">
        <f>(0.6*AW1116+0.7*AX1116)*$AU$1061/2</f>
        <v>0</v>
      </c>
      <c r="BA1116">
        <f>AW1116*$AU$1061/2</f>
        <v>0</v>
      </c>
      <c r="BC1116">
        <f>IF(AV1116=0,0,$BG$1061*$AP$1046)</f>
        <v>0</v>
      </c>
      <c r="BD1116">
        <f>IFERROR(BC1116/$AU$1061,0)</f>
        <v>0</v>
      </c>
      <c r="BE1116">
        <f>BC1116*($F$22+IF($F$22=0,0,($C$14+$C$15+IF($C$13="single",1.5,3)+3)/12))</f>
        <v>0</v>
      </c>
      <c r="BF1116">
        <f>BE1116-AZ1116</f>
        <v>0</v>
      </c>
      <c r="BG1116" cm="1">
        <f t="array" ref="BG1116">IFERROR(IF(BF1116&lt;0,0,BF1116/($AU$1061-INDEX(hd_off,MATCH(BT1116,hd_mark,0),0)/12)),0)</f>
        <v>0</v>
      </c>
      <c r="BH1116">
        <f>IF(AV1116=0,0,$BG$1061*$AM$1046)</f>
        <v>0</v>
      </c>
      <c r="BI1116">
        <f>IFERROR(BH1116/$AU$1061,0)</f>
        <v>0</v>
      </c>
      <c r="BJ1116">
        <f>BH1116*($F$22+IF($F$22=0,0,($C$14+$C$15+IF($C$13="single",1.5,3)+3)/12))</f>
        <v>0</v>
      </c>
      <c r="BK1116">
        <f>BJ1116-BA1116</f>
        <v>0</v>
      </c>
      <c r="BL1116" cm="1">
        <f t="array" ref="BL1116">IFERROR(IF(BK1116&lt;0,0,BK1116/($AU$1061-INDEX(hd_off,MATCH(BT1116,hd_mark,0),0)/12)),0)</f>
        <v>0</v>
      </c>
      <c r="BM1116">
        <f>MAX($F$22,$BC$1061)/$Q$1076</f>
        <v>0.30172413793103448</v>
      </c>
      <c r="BN1116">
        <f t="shared" ref="BN1116:BN1119" si="693">IF(BM1116=0,0,IF(BM1116&gt;2,1.25-0.125*BM1116,1))</f>
        <v>1</v>
      </c>
      <c r="BO1116" cm="1">
        <f t="array" ref="BO1116">IFERROR(INDEX(sheath_ecap_asd,MATCH(BS1116,sheath_mark,0),0)*BN1116,0)</f>
        <v>0</v>
      </c>
      <c r="BP1116" cm="1">
        <f t="array" ref="BP1116">IFERROR(INDEX(sheath_wcap_asd,MATCH(BS1116,sheath_mark,0),0)*BN1116,0)</f>
        <v>0</v>
      </c>
      <c r="BQ1116" cm="1">
        <f t="array" ref="BQ1116">IFERROR(INDEX(hd_cap,MATCH(BT1116,hd_mark,0),0),0)</f>
        <v>0</v>
      </c>
      <c r="BS1116" s="19"/>
      <c r="BT1116" s="19"/>
      <c r="BU1116" s="100"/>
    </row>
    <row r="1117" x14ac:dyDescent="0.25">
      <c r="P1117" s="93"/>
      <c r="Q1117" s="109" t="s">
        <v>491</v>
      </c>
      <c r="R1117" t="str">
        <f>$Q$1047</f>
        <v>L4</v>
      </c>
      <c r="S1117">
        <f>$E$23</f>
        <v>0</v>
      </c>
      <c r="T1117" cm="1">
        <f t="array" ref="T1117">IFERROR(IF(S1117=0,0,(INDEX($C$33:$C$38,MATCH($W$1061,$B$33:$B$38,0),0)*(S1119+$X$1061)+$T$1061*COUNTIF(S1117:S1118,"&gt;0")*$C$32+$V$1061*$C$31)*$R$1061),0)</f>
        <v>0</v>
      </c>
      <c r="U1117">
        <f>IF(S1117=0,0,-(COUNTIF(S1117:S1118,"&gt;0")*$T$1061*$C$32+$V$1061*$C$31)*$H$27*$R$1061)</f>
        <v>0</v>
      </c>
      <c r="V1117">
        <f>IF(S1117=0,0,$V$1061*$H$26*$R$1061)</f>
        <v>0</v>
      </c>
      <c r="W1117">
        <f>(0.6*T1117+0.7*U1117)*$R$1061/2</f>
        <v>0</v>
      </c>
      <c r="X1117">
        <f>T1117*$R$1061/2</f>
        <v>0</v>
      </c>
      <c r="Z1117">
        <f>IF(S1117=0,0,$AD$1061*$AP$1047)</f>
        <v>0</v>
      </c>
      <c r="AA1117">
        <f>IFERROR(Z1117/$R$1061,0)</f>
        <v>0</v>
      </c>
      <c r="AB1117">
        <f>Z1117*($F$23+IF($F$23=0,0,($C$14+$C$15+IF($C$13="single",1.5,3)+3)/12))</f>
        <v>0</v>
      </c>
      <c r="AC1117">
        <f>AB1117-W1117</f>
        <v>0</v>
      </c>
      <c r="AD1117" cm="1">
        <f t="array" ref="AD1117">IFERROR(IF(AC1117&lt;0,0,AC1117/($R$1061-INDEX(hd_off,MATCH(AQ1117,hd_mark,0),0)/12)),0)</f>
        <v>0</v>
      </c>
      <c r="AE1117">
        <f>IF(S1117=0,0,$AD$1061*$AM$1047)</f>
        <v>0</v>
      </c>
      <c r="AF1117">
        <f>IFERROR(AE1117/$R$1061,0)</f>
        <v>0</v>
      </c>
      <c r="AG1117">
        <f>AE1117*($F$23+IF($F$23=0,0,($C$14+$C$15+IF($C$13="single",1.5,3)+3)/12))</f>
        <v>0</v>
      </c>
      <c r="AH1117">
        <f>AG1117-X1117</f>
        <v>0</v>
      </c>
      <c r="AI1117" cm="1">
        <f t="array" ref="AI1117">IFERROR(IF(AH1117&lt;0,0,AH1117/($R$1061-INDEX(hd_off,MATCH(AQ1117,hd_mark,0),0)/12)),0)</f>
        <v>0</v>
      </c>
      <c r="AJ1117">
        <f>MAX($F$23,$AA$1061)/$Q$1076</f>
        <v>0</v>
      </c>
      <c r="AK1117">
        <f t="shared" si="692"/>
        <v>0</v>
      </c>
      <c r="AL1117" cm="1">
        <f t="array" ref="AL1117">IFERROR(INDEX(sheath_ecap_asd,MATCH(AP1117,sheath_mark,0),0)*AK1117,0)</f>
        <v>0</v>
      </c>
      <c r="AM1117" cm="1">
        <f t="array" ref="AM1117">IFERROR(INDEX(sheath_wcap_asd,MATCH(AP1117,sheath_mark,0),0)*AK1117,0)</f>
        <v>0</v>
      </c>
      <c r="AN1117" cm="1">
        <f t="array" ref="AN1117">IFERROR(INDEX(hd_cap,MATCH(AQ1117,hd_mark,0),0),0)</f>
        <v>0</v>
      </c>
      <c r="AP1117" s="19"/>
      <c r="AQ1117" s="19"/>
      <c r="AR1117" s="100"/>
      <c r="AS1117" s="93"/>
      <c r="AT1117" s="109" t="s">
        <v>491</v>
      </c>
      <c r="AU1117" t="str">
        <f>$Q$1047</f>
        <v>L4</v>
      </c>
      <c r="AV1117">
        <f>$E$23</f>
        <v>0</v>
      </c>
      <c r="AW1117" cm="1">
        <f t="array" ref="AW1117">IFERROR(IF(AV1117=0,0,(INDEX($C$33:$C$38,MATCH($AZ$1061,$B$33:$B$38,0),0)*(AV1119+$BA$1061)+$AW$1061*COUNTIF(AV1117:AV1118,"&gt;0")*$C$32+$AY$1061*$C$31)*$AU$1061),0)</f>
        <v>0</v>
      </c>
      <c r="AX1117">
        <f>IF(AV1117=0,0,-(COUNTIF(AV1117:AV1118,"&gt;0")*$AW$1061*$C$32+$AY$1061*$C$31)*$H$27*$AU$1061)</f>
        <v>0</v>
      </c>
      <c r="AY1117">
        <f>IF(AV1117=0,0,$AY$1061*$H$26*$AU$1061)</f>
        <v>0</v>
      </c>
      <c r="AZ1117">
        <f>(0.6*AW1117+0.7*AX1117)*$AU$1061/2</f>
        <v>0</v>
      </c>
      <c r="BA1117">
        <f>AW1117*$AU$1061/2</f>
        <v>0</v>
      </c>
      <c r="BC1117">
        <f>IF(AV1117=0,0,$BG$1061*$AP$1047)</f>
        <v>0</v>
      </c>
      <c r="BD1117">
        <f>IFERROR(BC1117/$AU$1061,0)</f>
        <v>0</v>
      </c>
      <c r="BE1117">
        <f>BC1117*($F$23+IF($F$23=0,0,($C$14+$C$15+IF($C$13="single",1.5,3)+3)/12))</f>
        <v>0</v>
      </c>
      <c r="BF1117">
        <f>BE1117-AZ1117</f>
        <v>0</v>
      </c>
      <c r="BG1117" cm="1">
        <f t="array" ref="BG1117">IFERROR(IF(BF1117&lt;0,0,BF1117/($AU$1061-INDEX(hd_off,MATCH(BT1117,hd_mark,0),0)/12)),0)</f>
        <v>0</v>
      </c>
      <c r="BH1117">
        <f>IF(AV1117=0,0,$BG$1061*$AM$1047)</f>
        <v>0</v>
      </c>
      <c r="BI1117">
        <f>IFERROR(BH1117/$AU$1061,0)</f>
        <v>0</v>
      </c>
      <c r="BJ1117">
        <f>BH1117*($F$23+IF($F$23=0,0,($C$14+$C$15+IF($C$13="single",1.5,3)+3)/12))</f>
        <v>0</v>
      </c>
      <c r="BK1117">
        <f>BJ1117-BA1117</f>
        <v>0</v>
      </c>
      <c r="BL1117" cm="1">
        <f t="array" ref="BL1117">IFERROR(IF(BK1117&lt;0,0,BK1117/($AU$1061-INDEX(hd_off,MATCH(BT1117,hd_mark,0),0)/12)),0)</f>
        <v>0</v>
      </c>
      <c r="BM1117">
        <f>MAX($F$23,$BD$1061)/$Q$1076</f>
        <v>0</v>
      </c>
      <c r="BN1117">
        <f t="shared" si="693"/>
        <v>0</v>
      </c>
      <c r="BO1117" cm="1">
        <f t="array" ref="BO1117">IFERROR(INDEX(sheath_ecap_asd,MATCH(BS1117,sheath_mark,0),0)*BN1117,0)</f>
        <v>0</v>
      </c>
      <c r="BP1117" cm="1">
        <f t="array" ref="BP1117">IFERROR(INDEX(sheath_wcap_asd,MATCH(BS1117,sheath_mark,0),0)*BN1117,0)</f>
        <v>0</v>
      </c>
      <c r="BQ1117" cm="1">
        <f t="array" ref="BQ1117">IFERROR(INDEX(hd_cap,MATCH(BT1117,hd_mark,0),0),0)</f>
        <v>0</v>
      </c>
      <c r="BS1117" s="19"/>
      <c r="BT1117" s="19"/>
      <c r="BU1117" s="100"/>
    </row>
    <row r="1118" x14ac:dyDescent="0.25">
      <c r="P1118" s="93"/>
      <c r="Q1118" s="111">
        <f>$R$1061</f>
        <v>0</v>
      </c>
      <c r="R1118" t="str">
        <f>$Q$1048</f>
        <v>L5</v>
      </c>
      <c r="S1118">
        <f>$E$24</f>
        <v>0</v>
      </c>
      <c r="T1118" cm="1">
        <f t="array" ref="T1118">IFERROR(IF(S1118=0,0,(INDEX($C$33:$C$38,MATCH($W$1061,$B$33:$B$38,0),0)*(S1119+$X$1061)+$T$1061*COUNTIF(S1118:S1118,"&gt;0")*$C$32+$V$1061*$C$31)*$R$1061),0)</f>
        <v>0</v>
      </c>
      <c r="U1118">
        <f>IF(S1118=0,0,-(COUNTIF(S1118:S1118,"&gt;0")*$T$1061*$C$32+$V$1061*$C$31)*$H$27*$R$1061)</f>
        <v>0</v>
      </c>
      <c r="V1118">
        <f>IF(S1118=0,0,$V$1061*$H$26*$R$1061)</f>
        <v>0</v>
      </c>
      <c r="W1118">
        <f>(0.6*T1118+0.7*U1118)*$R$1061/2</f>
        <v>0</v>
      </c>
      <c r="X1118">
        <f>T1118*$R$1061/2</f>
        <v>0</v>
      </c>
      <c r="Z1118">
        <f>IF(S1118=0,0,$AD$1061*$AP$1048)</f>
        <v>0</v>
      </c>
      <c r="AA1118">
        <f>IFERROR(Z1118/$R$1061,0)</f>
        <v>0</v>
      </c>
      <c r="AB1118">
        <f>Z1118*($F$24+IF($F$24=0,0,($C$14+$C$15+IF($C$13="single",1.5,3)+3)/12))</f>
        <v>0</v>
      </c>
      <c r="AC1118">
        <f>AB1118-W1118</f>
        <v>0</v>
      </c>
      <c r="AD1118" cm="1">
        <f t="array" ref="AD1118">IFERROR(IF(AC1118&lt;0,0,AC1118/($R$1061-INDEX(hd_off,MATCH(AQ1118,hd_mark,0),0)/12)),0)</f>
        <v>0</v>
      </c>
      <c r="AE1118">
        <f>IF(S1118=0,0,$AD$1061*$AM$1048)</f>
        <v>0</v>
      </c>
      <c r="AF1118">
        <f>IFERROR(AE1118/$R$1061,0)</f>
        <v>0</v>
      </c>
      <c r="AG1118">
        <f>AE1118*($F$24+IF($F$24=0,0,($C$14+$C$15+IF($C$13="single",1.5,3)+3)/12))</f>
        <v>0</v>
      </c>
      <c r="AH1118">
        <f>AG1118-X1118</f>
        <v>0</v>
      </c>
      <c r="AI1118" cm="1">
        <f t="array" ref="AI1118">IFERROR(IF(AH1118&lt;0,0,AH1118/($R$1061-INDEX(hd_off,MATCH(AQ1118,hd_mark,0),0)/12)),0)</f>
        <v>0</v>
      </c>
      <c r="AJ1118">
        <f>MAX($F$24,$AB$1061)/$Q$1076</f>
        <v>0</v>
      </c>
      <c r="AK1118">
        <f t="shared" si="692"/>
        <v>0</v>
      </c>
      <c r="AL1118" cm="1">
        <f t="array" ref="AL1118">IFERROR(INDEX(sheath_ecap_asd,MATCH(AP1118,sheath_mark,0),0)*AK1118,0)</f>
        <v>0</v>
      </c>
      <c r="AM1118" cm="1">
        <f t="array" ref="AM1118">IFERROR(INDEX(sheath_wcap_asd,MATCH(AP1118,sheath_mark,0),0)*AK1118,0)</f>
        <v>0</v>
      </c>
      <c r="AN1118" cm="1">
        <f t="array" ref="AN1118">IFERROR(INDEX(hd_cap,MATCH(AQ1118,hd_mark,0),0),0)</f>
        <v>0</v>
      </c>
      <c r="AP1118" s="19"/>
      <c r="AQ1118" s="19"/>
      <c r="AR1118" s="100"/>
      <c r="AS1118" s="93"/>
      <c r="AT1118" s="111">
        <f>$R$1061</f>
        <v>0</v>
      </c>
      <c r="AU1118" t="str">
        <f>$Q$1048</f>
        <v>L5</v>
      </c>
      <c r="AV1118">
        <f>$E$24</f>
        <v>0</v>
      </c>
      <c r="AW1118" cm="1">
        <f t="array" ref="AW1118">IFERROR(IF(AV1118=0,0,(INDEX($C$33:$C$38,MATCH($AZ$1061,$B$33:$B$38,0),0)*(AV1119+$BA$1061)+$AW$1061*COUNTIF(AV1118:AV1118,"&gt;0")*$C$32+$AY$1061*$C$31)*$AU$1061),0)</f>
        <v>0</v>
      </c>
      <c r="AX1118">
        <f>IF(AV1118=0,0,-(COUNTIF(AV1118:AV1118,"&gt;0")*$AW$1061*$C$32+$AY$1061*$C$31)*$H$27*$AU$1061)</f>
        <v>0</v>
      </c>
      <c r="AY1118">
        <f>IF(AV1118=0,0,$AY$1061*$H$26*$AU$1061)</f>
        <v>0</v>
      </c>
      <c r="AZ1118">
        <f>(0.6*AW1118+0.7*AX1118)*$AU$1061/2</f>
        <v>0</v>
      </c>
      <c r="BA1118">
        <f>AW1118*$AU$1061/2</f>
        <v>0</v>
      </c>
      <c r="BC1118">
        <f>IF(AV1118=0,0,$BG$1061*$AP$1048)</f>
        <v>0</v>
      </c>
      <c r="BD1118">
        <f>IFERROR(BC1118/$AU$1061,0)</f>
        <v>0</v>
      </c>
      <c r="BE1118">
        <f>BC1118*($F$24+IF($F$24=0,0,($C$14+$C$15+IF($C$13="single",1.5,3)+3)/12))</f>
        <v>0</v>
      </c>
      <c r="BF1118">
        <f>BE1118-AZ1118</f>
        <v>0</v>
      </c>
      <c r="BG1118" cm="1">
        <f t="array" ref="BG1118">IFERROR(IF(BF1118&lt;0,0,BF1118/($AU$1061-INDEX(hd_off,MATCH(BT1118,hd_mark,0),0)/12)),0)</f>
        <v>0</v>
      </c>
      <c r="BH1118">
        <f>IF(AV1118=0,0,$BG$1061*$AM$1048)</f>
        <v>0</v>
      </c>
      <c r="BI1118">
        <f>IFERROR(BH1118/$AU$1061,0)</f>
        <v>0</v>
      </c>
      <c r="BJ1118">
        <f>BH1118*($F$24+IF($F$24=0,0,($C$14+$C$15+IF($C$13="single",1.5,3)+3)/12))</f>
        <v>0</v>
      </c>
      <c r="BK1118">
        <f>BJ1118-BA1118</f>
        <v>0</v>
      </c>
      <c r="BL1118" cm="1">
        <f t="array" ref="BL1118">IFERROR(IF(BK1118&lt;0,0,BK1118/($AU$1061-INDEX(hd_off,MATCH(BT1118,hd_mark,0),0)/12)),0)</f>
        <v>0</v>
      </c>
      <c r="BM1118">
        <f>MAX($F$24,$BE$1061)/$Q$1076</f>
        <v>0</v>
      </c>
      <c r="BN1118">
        <f t="shared" si="693"/>
        <v>0</v>
      </c>
      <c r="BO1118" cm="1">
        <f t="array" ref="BO1118">IFERROR(INDEX(sheath_ecap_asd,MATCH(BS1118,sheath_mark,0),0)*BN1118,0)</f>
        <v>0</v>
      </c>
      <c r="BP1118" cm="1">
        <f t="array" ref="BP1118">IFERROR(INDEX(sheath_wcap_asd,MATCH(BS1118,sheath_mark,0),0)*BN1118,0)</f>
        <v>0</v>
      </c>
      <c r="BQ1118" cm="1">
        <f t="array" ref="BQ1118">IFERROR(INDEX(hd_cap,MATCH(BT1118,hd_mark,0),0),0)</f>
        <v>0</v>
      </c>
      <c r="BS1118" s="19"/>
      <c r="BT1118" s="19"/>
      <c r="BU1118" s="100"/>
    </row>
    <row r="1119" x14ac:dyDescent="0.25">
      <c r="P1119" s="93"/>
      <c r="Q1119" s="109"/>
      <c r="R1119" t="str">
        <f>$Q$1049</f>
        <v>Roof</v>
      </c>
      <c r="S1119">
        <f>$E$25</f>
        <v>33.171875</v>
      </c>
      <c r="T1119" cm="1">
        <f t="array" ref="T1119">IFERROR(IF(S1119=0,0,(INDEX($C$33:$C$38,MATCH($W$1061,$B$33:$B$38,0),0)*(S1119+$X$1061)+$V$1061*$C$31)*$R$1061),0)</f>
        <v>0</v>
      </c>
      <c r="U1119">
        <f>IF(S1119=0,0,-$V$1061*$C$31*$H$27*$R$1061)</f>
        <v>0</v>
      </c>
      <c r="V1119">
        <f>IF(S1119=0,0,$V$1061*$H$26*$R$1061)</f>
        <v>0</v>
      </c>
      <c r="W1119">
        <f>(0.6*T1119+0.7*U1119)*$R$1061/2</f>
        <v>0</v>
      </c>
      <c r="X1119">
        <f>T1119*$R$1061/2</f>
        <v>0</v>
      </c>
      <c r="Z1119">
        <f>IF(S1119=0,0,$AD$1061*$AP$1049)</f>
        <v>0</v>
      </c>
      <c r="AA1119">
        <f>IFERROR(Z1119/$R$1061,0)</f>
        <v>0</v>
      </c>
      <c r="AB1119">
        <f>Z1119*($F$25+($C$16+$C$17+IF($C$13="single",1.5,3)+3)/12)</f>
        <v>0</v>
      </c>
      <c r="AC1119">
        <f>AB1119-W1119</f>
        <v>0</v>
      </c>
      <c r="AD1119" cm="1">
        <f t="array" ref="AD1119">IFERROR(IF(AC1119&lt;0,0,AC1119/($R$1061-INDEX(hd_off,MATCH(AQ1119,hd_mark,0),0)/12)),0)</f>
        <v>0</v>
      </c>
      <c r="AE1119">
        <f>IF(S1119=0,0,$AD$1061*$AM$1049)</f>
        <v>0</v>
      </c>
      <c r="AF1119">
        <f>IFERROR(AE1119/$R$1061,0)</f>
        <v>0</v>
      </c>
      <c r="AG1119">
        <f>AE1119*($F$25+($C$16+$C$17+IF($C$13="single",1.5,3)+3)/12)</f>
        <v>0</v>
      </c>
      <c r="AH1119">
        <f>AG1119-X1119</f>
        <v>0</v>
      </c>
      <c r="AI1119" cm="1">
        <f t="array" ref="AI1119">IFERROR(IF(AH1119&lt;0,0,AH1119/($R$1061-INDEX(hd_off,MATCH(AQ1119,hd_mark,0),0)/12)),0)</f>
        <v>0</v>
      </c>
      <c r="AJ1119">
        <f>MAX($F$25,$AC$1061)/$Q$1076</f>
        <v>0.29920977011494249</v>
      </c>
      <c r="AK1119">
        <f t="shared" si="692"/>
        <v>1</v>
      </c>
      <c r="AL1119" cm="1">
        <f t="array" ref="AL1119">IFERROR(INDEX(sheath_ecap_asd,MATCH(AP1119,sheath_mark,0),0)*AK1119,0)</f>
        <v>0</v>
      </c>
      <c r="AM1119" cm="1">
        <f t="array" ref="AM1119">IFERROR(INDEX(sheath_wcap_asd,MATCH(AP1119,sheath_mark,0),0)*AK1119,0)</f>
        <v>0</v>
      </c>
      <c r="AN1119" cm="1">
        <f t="array" ref="AN1119">IFERROR(INDEX(hd_cap,MATCH(AQ1119,hd_mark,0),0),0)</f>
        <v>0</v>
      </c>
      <c r="AP1119" s="19"/>
      <c r="AQ1119" s="19"/>
      <c r="AR1119" s="100"/>
      <c r="AS1119" s="93"/>
      <c r="AT1119" s="109"/>
      <c r="AU1119" t="str">
        <f>$Q$1049</f>
        <v>Roof</v>
      </c>
      <c r="AV1119">
        <f>$E$25</f>
        <v>33.171875</v>
      </c>
      <c r="AW1119" cm="1">
        <f t="array" ref="AW1119">IFERROR(IF(AV1119=0,0,(INDEX($C$33:$C$38,MATCH($AZ$1061,$B$33:$B$38,0),0)*(AV1119+$BA$1061)+$AY$1061*$C$31)*$AU$1061),0)</f>
        <v>0</v>
      </c>
      <c r="AX1119">
        <f>IF(AV1119=0,0,-$AY$1061*$C$31*$H$27*$AU$1061)</f>
        <v>0</v>
      </c>
      <c r="AY1119">
        <f>IF(AV1119=0,0,$AY$1061*$H$26*$AU$1061)</f>
        <v>0</v>
      </c>
      <c r="AZ1119">
        <f>(0.6*AW1119+0.7*AX1119)*$AU$1061/2</f>
        <v>0</v>
      </c>
      <c r="BA1119">
        <f>AW1119*$AU$1061/2</f>
        <v>0</v>
      </c>
      <c r="BC1119">
        <f>IF(AV1119=0,0,$BG$1061*$AP$1049)</f>
        <v>0</v>
      </c>
      <c r="BD1119">
        <f>IFERROR(BC1119/$AU$1061,0)</f>
        <v>0</v>
      </c>
      <c r="BE1119">
        <f>BC1119*($F$25+($C$16+$C$17+IF($C$13="single",1.5,3)+3)/12)</f>
        <v>0</v>
      </c>
      <c r="BF1119">
        <f>BE1119-AZ1119</f>
        <v>0</v>
      </c>
      <c r="BG1119" cm="1">
        <f t="array" ref="BG1119">IFERROR(IF(BF1119&lt;0,0,BF1119/($AU$1061-INDEX(hd_off,MATCH(BT1119,hd_mark,0),0)/12)),0)</f>
        <v>0</v>
      </c>
      <c r="BH1119">
        <f>IF(AV1119=0,0,$BG$1061*$AM$1049)</f>
        <v>0</v>
      </c>
      <c r="BI1119">
        <f>IFERROR(BH1119/$AU$1061,0)</f>
        <v>0</v>
      </c>
      <c r="BJ1119">
        <f>BH1119*($F$25+($C$16+$C$17+IF($C$13="single",1.5,3)+3)/12)</f>
        <v>0</v>
      </c>
      <c r="BK1119">
        <f>BJ1119-BA1119</f>
        <v>0</v>
      </c>
      <c r="BL1119" cm="1">
        <f t="array" ref="BL1119">IFERROR(IF(BK1119&lt;0,0,BK1119/($AU$1061-INDEX(hd_off,MATCH(BT1119,hd_mark,0),0)/12)),0)</f>
        <v>0</v>
      </c>
      <c r="BM1119">
        <f>MAX($F$25,$BF$1061)/$Q$1076</f>
        <v>0.29920977011494249</v>
      </c>
      <c r="BN1119">
        <f t="shared" si="693"/>
        <v>1</v>
      </c>
      <c r="BO1119" cm="1">
        <f t="array" ref="BO1119">IFERROR(INDEX(sheath_ecap_asd,MATCH(BS1119,sheath_mark,0),0)*BN1119,0)</f>
        <v>0</v>
      </c>
      <c r="BP1119" cm="1">
        <f t="array" ref="BP1119">IFERROR(INDEX(sheath_wcap_asd,MATCH(BS1119,sheath_mark,0),0)*BN1119,0)</f>
        <v>0</v>
      </c>
      <c r="BQ1119" cm="1">
        <f t="array" ref="BQ1119">IFERROR(INDEX(hd_cap,MATCH(BT1119,hd_mark,0),0),0)</f>
        <v>0</v>
      </c>
      <c r="BS1119" s="19"/>
      <c r="BT1119" s="19"/>
      <c r="BU1119" s="100"/>
    </row>
    <row r="1120" x14ac:dyDescent="0.25">
      <c r="P1120" s="93"/>
      <c r="AR1120" s="100"/>
      <c r="AS1120" s="93"/>
      <c r="BU1120" s="100"/>
    </row>
    <row r="1121" x14ac:dyDescent="0.25">
      <c r="P1121" s="93"/>
      <c r="Q1121" s="110" t="str">
        <f>$Q$1062</f>
        <v>A.09</v>
      </c>
      <c r="R1121" t="str">
        <f>$Q$1045</f>
        <v>L2</v>
      </c>
      <c r="S1121">
        <f>$E$21</f>
        <v>10.6875</v>
      </c>
      <c r="T1121" cm="1">
        <f t="array" ref="T1121">IFERROR(IF(S1121=0,0,(INDEX($C$33:$C$38,MATCH($W$1062,$B$33:$B$38,0),0)*(S1125+$X$1062)+$T$1062*COUNTIF(S1121:S1124,"&gt;0")*$C$32+$V$1062*$C$31)*$R$1062),0)</f>
        <v>0</v>
      </c>
      <c r="U1121">
        <f>IF(S1121=0,0,-(COUNTIF(S1121:S1124,"&gt;0")*$T$1062*$C$32+$V$1062*$C$31)*$H$27*$R$1062)</f>
        <v>0</v>
      </c>
      <c r="V1121">
        <f>IF(S1121=0,0,$V$1062*$H$26*$R$1062)</f>
        <v>0</v>
      </c>
      <c r="W1121">
        <f>(0.6*T1121+0.7*U1121)*$R$1062/2</f>
        <v>0</v>
      </c>
      <c r="X1121">
        <f>(0.6*T1121+0.6*V1121)*$R$1062/2</f>
        <v>0</v>
      </c>
      <c r="Z1121">
        <f>IF(S1121=0,0,$AD$1062*$AP$1045)</f>
        <v>0</v>
      </c>
      <c r="AA1121">
        <f>IFERROR(Z1121/$R$1062,0)</f>
        <v>0</v>
      </c>
      <c r="AB1121">
        <f>Z1121*($F$21+IF($F$21=0,0,($C$14+$C$15+IF($C$13="single",1.5,3)+3)/12))</f>
        <v>0</v>
      </c>
      <c r="AC1121">
        <f>AB1121-W1121</f>
        <v>0</v>
      </c>
      <c r="AD1121" cm="1">
        <f t="array" ref="AD1121">IFERROR(IF(AC1121&lt;0,0,AC1121/($R$1062-INDEX(hd_off,MATCH(AQ1121,hd_mark,0),0)/12)),0)</f>
        <v>0</v>
      </c>
      <c r="AE1121">
        <f>IF(S1121=0,0,$AD$1062*$AM$1045)</f>
        <v>0</v>
      </c>
      <c r="AF1121">
        <f>IFERROR(AE1121/$R$1062,0)</f>
        <v>0</v>
      </c>
      <c r="AG1121">
        <f>AE1121*($F$21+IF($F$21=0,0,($C$14+$C$15+IF($C$13="single",1.5,3)+3)/12))</f>
        <v>0</v>
      </c>
      <c r="AH1121">
        <f>AG1121-X1121</f>
        <v>0</v>
      </c>
      <c r="AI1121" cm="1">
        <f t="array" ref="AI1121">IFERROR(IF(AH1121&lt;0,0,AH1121/($R$1062-INDEX(hd_off,MATCH(AQ1121,hd_mark,0),0)/12)),0)</f>
        <v>0</v>
      </c>
      <c r="AJ1121">
        <f>MAX($F$21,$Y$1062)/$Q$1076</f>
        <v>0.30172413793103448</v>
      </c>
      <c r="AK1121">
        <f>IF(AJ1121=0,0,IF(AJ1121&gt;2,1.25-0.125*AJ1121,1))</f>
        <v>1</v>
      </c>
      <c r="AL1121" cm="1">
        <f t="array" ref="AL1121">IFERROR(INDEX(sheath_ecap_asd,MATCH(AP1121,sheath_mark,0),0)*AK1121,0)</f>
        <v>0</v>
      </c>
      <c r="AM1121" cm="1">
        <f t="array" ref="AM1121">IFERROR(INDEX(sheath_wcap_asd,MATCH(AP1121,sheath_mark,0),0)*AK1121,0)</f>
        <v>0</v>
      </c>
      <c r="AN1121" cm="1">
        <f t="array" ref="AN1121">IFERROR(INDEX(hd_cap,MATCH(AQ1121,hd_mark,0),0),0)</f>
        <v>0</v>
      </c>
      <c r="AP1121" s="19"/>
      <c r="AQ1121" s="19"/>
      <c r="AR1121" s="100"/>
      <c r="AS1121" s="93"/>
      <c r="AT1121" s="110" t="str">
        <f>$AT$1062</f>
        <v>1.09</v>
      </c>
      <c r="AU1121" t="str">
        <f>$Q$1045</f>
        <v>L2</v>
      </c>
      <c r="AV1121">
        <f>$E$21</f>
        <v>10.6875</v>
      </c>
      <c r="AW1121" cm="1">
        <f t="array" ref="AW1121">IFERROR(IF(AV1121=0,0,(INDEX($C$33:$C$38,MATCH($AZ$1062,$B$33:$B$38,0),0)*(AV1125+$BA$1062)+$AW$1062*COUNTIF(AV1121:AV1124,"&gt;0")*$C$32+$AY$1062*$C$31)*$AU$1062),0)</f>
        <v>0</v>
      </c>
      <c r="AX1121">
        <f>IF(AV1121=0,0,-(COUNTIF(AV1121:AV1124,"&gt;0")*$AW$1062*$C$32+$AY$1062*$C$31)*$H$27*$AU$1062)</f>
        <v>0</v>
      </c>
      <c r="AY1121">
        <f>IF(AV1121=0,0,$AY$1062*$H$26*$AU$1062)</f>
        <v>0</v>
      </c>
      <c r="AZ1121">
        <f>(0.6*AW1121+0.7*AX1121)*$AU$1062/2</f>
        <v>0</v>
      </c>
      <c r="BA1121">
        <f>(0.6*AW1121+0.6*AY1121)*$AU$1062/2</f>
        <v>0</v>
      </c>
      <c r="BC1121">
        <f>IF(AV1121=0,0,$BG$1062*$AP$1045)</f>
        <v>0</v>
      </c>
      <c r="BD1121">
        <f>IFERROR(BC1121/$AU$1062,0)</f>
        <v>0</v>
      </c>
      <c r="BE1121">
        <f>BC1121*($F$21+IF($F$21=0,0,($C$14+$C$15+IF($C$13="single",1.5,3)+3)/12))</f>
        <v>0</v>
      </c>
      <c r="BF1121">
        <f>BE1121-AZ1121</f>
        <v>0</v>
      </c>
      <c r="BG1121" cm="1">
        <f t="array" ref="BG1121">IFERROR(IF(BF1121&lt;0,0,BF1121/($AU$1062-INDEX(hd_off,MATCH(BT1121,hd_mark,0),0)/12)),0)</f>
        <v>0</v>
      </c>
      <c r="BH1121">
        <f>IF(AV1121=0,0,$BG$1062*$AM$1045)</f>
        <v>0</v>
      </c>
      <c r="BI1121">
        <f>IFERROR(BH1121/$AU$1062,0)</f>
        <v>0</v>
      </c>
      <c r="BJ1121">
        <f>BH1121*($F$21+IF($F$21=0,0,($C$14+$C$15+IF($C$13="single",1.5,3)+3)/12))</f>
        <v>0</v>
      </c>
      <c r="BK1121">
        <f>BJ1121-BA1121</f>
        <v>0</v>
      </c>
      <c r="BL1121" cm="1">
        <f t="array" ref="BL1121">IFERROR(IF(BK1121&lt;0,0,BK1121/($AU$1062-INDEX(hd_off,MATCH(BT1121,hd_mark,0),0)/12)),0)</f>
        <v>0</v>
      </c>
      <c r="BM1121">
        <f>MAX($F$21,$BB$1062)/$Q$1076</f>
        <v>0.30172413793103448</v>
      </c>
      <c r="BN1121">
        <f>IF(BM1121=0,0,IF(BM1121&gt;2,1.25-0.125*BM1121,1))</f>
        <v>1</v>
      </c>
      <c r="BO1121" cm="1">
        <f t="array" ref="BO1121">IFERROR(INDEX(sheath_ecap_asd,MATCH(BS1121,sheath_mark,0),0)*BN1121,0)</f>
        <v>0</v>
      </c>
      <c r="BP1121" cm="1">
        <f t="array" ref="BP1121">IFERROR(INDEX(sheath_wcap_asd,MATCH(BS1121,sheath_mark,0),0)*BN1121,0)</f>
        <v>0</v>
      </c>
      <c r="BQ1121" cm="1">
        <f t="array" ref="BQ1121">IFERROR(INDEX(hd_cap,MATCH(BT1121,hd_mark,0),0),0)</f>
        <v>0</v>
      </c>
      <c r="BS1121" s="19"/>
      <c r="BT1121" s="19"/>
      <c r="BU1121" s="100"/>
    </row>
    <row r="1122" x14ac:dyDescent="0.25">
      <c r="P1122" s="93"/>
      <c r="Q1122" s="109"/>
      <c r="R1122" t="str">
        <f>$Q$1046</f>
        <v>L3</v>
      </c>
      <c r="S1122">
        <f>$E$22</f>
        <v>21.375</v>
      </c>
      <c r="T1122" cm="1">
        <f t="array" ref="T1122">IFERROR(IF(S1122=0,0,(INDEX($C$33:$C$38,MATCH($W$1062,$B$33:$B$38,0),0)*(S1125+$X$1062)+$T$1062*COUNTIF(S1122:S1124,"&gt;0")*$C$32+$V$1062*$C$31)*$R$1062),0)</f>
        <v>0</v>
      </c>
      <c r="U1122">
        <f>IF(S1122=0,0,-(COUNTIF(S1122:S1124,"&gt;0")*$T$1062*$C$32+$V$1062*$C$31)*$H$27*$R$1062)</f>
        <v>0</v>
      </c>
      <c r="V1122">
        <f>IF(S1122=0,0,$V$1062*$H$26*$R$1062)</f>
        <v>0</v>
      </c>
      <c r="W1122">
        <f>(0.6*T1122+0.7*U1122)*$R$1062/2</f>
        <v>0</v>
      </c>
      <c r="X1122">
        <f>T1122*$R$1062/2</f>
        <v>0</v>
      </c>
      <c r="Z1122">
        <f>IF(S1122=0,0,$AD$1062*$AP$1046)</f>
        <v>0</v>
      </c>
      <c r="AA1122">
        <f>IFERROR(Z1122/$R$1062,0)</f>
        <v>0</v>
      </c>
      <c r="AB1122">
        <f>Z1122*($F$22+IF($F$22=0,0,($C$14+$C$15+IF($C$13="single",1.5,3)+3)/12))</f>
        <v>0</v>
      </c>
      <c r="AC1122">
        <f>AB1122-W1122</f>
        <v>0</v>
      </c>
      <c r="AD1122" cm="1">
        <f t="array" ref="AD1122">IFERROR(IF(AC1122&lt;0,0,AC1122/($R$1062-INDEX(hd_off,MATCH(AQ1122,hd_mark,0),0)/12)),0)</f>
        <v>0</v>
      </c>
      <c r="AE1122">
        <f>IF(S1122=0,0,$AD$1062*$AM$1046)</f>
        <v>0</v>
      </c>
      <c r="AF1122">
        <f>IFERROR(AE1122/$R$1062,0)</f>
        <v>0</v>
      </c>
      <c r="AG1122">
        <f>AE1122*($F$22+IF($F$22=0,0,($C$14+$C$15+IF($C$13="single",1.5,3)+3)/12))</f>
        <v>0</v>
      </c>
      <c r="AH1122">
        <f>AG1122-X1122</f>
        <v>0</v>
      </c>
      <c r="AI1122" cm="1">
        <f t="array" ref="AI1122">IFERROR(IF(AH1122&lt;0,0,AH1122/($R$1062-INDEX(hd_off,MATCH(AQ1122,hd_mark,0),0)/12)),0)</f>
        <v>0</v>
      </c>
      <c r="AJ1122">
        <f>MAX($F$22,$Z$1062)/$Q$1076</f>
        <v>0.30172413793103448</v>
      </c>
      <c r="AK1122">
        <f t="shared" ref="AK1122:AK1125" si="694">IF(AJ1122=0,0,IF(AJ1122&gt;2,1.25-0.125*AJ1122,1))</f>
        <v>1</v>
      </c>
      <c r="AL1122" cm="1">
        <f t="array" ref="AL1122">IFERROR(INDEX(sheath_ecap_asd,MATCH(AP1122,sheath_mark,0),0)*AK1122,0)</f>
        <v>0</v>
      </c>
      <c r="AM1122" cm="1">
        <f t="array" ref="AM1122">IFERROR(INDEX(sheath_wcap_asd,MATCH(AP1122,sheath_mark,0),0)*AK1122,0)</f>
        <v>0</v>
      </c>
      <c r="AN1122" cm="1">
        <f t="array" ref="AN1122">IFERROR(INDEX(hd_cap,MATCH(AQ1122,hd_mark,0),0),0)</f>
        <v>0</v>
      </c>
      <c r="AP1122" s="19"/>
      <c r="AQ1122" s="19"/>
      <c r="AR1122" s="100"/>
      <c r="AS1122" s="93"/>
      <c r="AT1122" s="109"/>
      <c r="AU1122" t="str">
        <f>$Q$1046</f>
        <v>L3</v>
      </c>
      <c r="AV1122">
        <f>$E$22</f>
        <v>21.375</v>
      </c>
      <c r="AW1122" cm="1">
        <f t="array" ref="AW1122">IFERROR(IF(AV1122=0,0,(INDEX($C$33:$C$38,MATCH($AZ$1062,$B$33:$B$38,0),0)*(AV1125+$BA$1062)+$AW$1062*COUNTIF(AV1122:AV1124,"&gt;0")*$C$32+$AY$1062*$C$31)*$AU$1062),0)</f>
        <v>0</v>
      </c>
      <c r="AX1122">
        <f>IF(AV1122=0,0,-(COUNTIF(AV1122:AV1124,"&gt;0")*$AW$1062*$C$32+$AY$1062*$C$31)*$H$27*$AU$1062)</f>
        <v>0</v>
      </c>
      <c r="AY1122">
        <f>IF(AV1122=0,0,$AY$1062*$H$26*$AU$1062)</f>
        <v>0</v>
      </c>
      <c r="AZ1122">
        <f>(0.6*AW1122+0.7*AX1122)*$AU$1062/2</f>
        <v>0</v>
      </c>
      <c r="BA1122">
        <f>AW1122*$AU$1062/2</f>
        <v>0</v>
      </c>
      <c r="BC1122">
        <f>IF(AV1122=0,0,$BG$1062*$AP$1046)</f>
        <v>0</v>
      </c>
      <c r="BD1122">
        <f>IFERROR(BC1122/$AU$1062,0)</f>
        <v>0</v>
      </c>
      <c r="BE1122">
        <f>BC1122*($F$22+IF($F$22=0,0,($C$14+$C$15+IF($C$13="single",1.5,3)+3)/12))</f>
        <v>0</v>
      </c>
      <c r="BF1122">
        <f>BE1122-AZ1122</f>
        <v>0</v>
      </c>
      <c r="BG1122" cm="1">
        <f t="array" ref="BG1122">IFERROR(IF(BF1122&lt;0,0,BF1122/($AU$1062-INDEX(hd_off,MATCH(BT1122,hd_mark,0),0)/12)),0)</f>
        <v>0</v>
      </c>
      <c r="BH1122">
        <f>IF(AV1122=0,0,$BG$1062*$AM$1046)</f>
        <v>0</v>
      </c>
      <c r="BI1122">
        <f>IFERROR(BH1122/$AU$1062,0)</f>
        <v>0</v>
      </c>
      <c r="BJ1122">
        <f>BH1122*($F$22+IF($F$22=0,0,($C$14+$C$15+IF($C$13="single",1.5,3)+3)/12))</f>
        <v>0</v>
      </c>
      <c r="BK1122">
        <f>BJ1122-BA1122</f>
        <v>0</v>
      </c>
      <c r="BL1122" cm="1">
        <f t="array" ref="BL1122">IFERROR(IF(BK1122&lt;0,0,BK1122/($AU$1062-INDEX(hd_off,MATCH(BT1122,hd_mark,0),0)/12)),0)</f>
        <v>0</v>
      </c>
      <c r="BM1122">
        <f>MAX($F$22,$BC$1062)/$Q$1076</f>
        <v>0.30172413793103448</v>
      </c>
      <c r="BN1122">
        <f t="shared" ref="BN1122:BN1125" si="695">IF(BM1122=0,0,IF(BM1122&gt;2,1.25-0.125*BM1122,1))</f>
        <v>1</v>
      </c>
      <c r="BO1122" cm="1">
        <f t="array" ref="BO1122">IFERROR(INDEX(sheath_ecap_asd,MATCH(BS1122,sheath_mark,0),0)*BN1122,0)</f>
        <v>0</v>
      </c>
      <c r="BP1122" cm="1">
        <f t="array" ref="BP1122">IFERROR(INDEX(sheath_wcap_asd,MATCH(BS1122,sheath_mark,0),0)*BN1122,0)</f>
        <v>0</v>
      </c>
      <c r="BQ1122" cm="1">
        <f t="array" ref="BQ1122">IFERROR(INDEX(hd_cap,MATCH(BT1122,hd_mark,0),0),0)</f>
        <v>0</v>
      </c>
      <c r="BS1122" s="19"/>
      <c r="BT1122" s="19"/>
      <c r="BU1122" s="100"/>
    </row>
    <row r="1123" x14ac:dyDescent="0.25">
      <c r="P1123" s="93"/>
      <c r="Q1123" s="109" t="s">
        <v>491</v>
      </c>
      <c r="R1123" t="str">
        <f>$Q$1047</f>
        <v>L4</v>
      </c>
      <c r="S1123">
        <f>$E$23</f>
        <v>0</v>
      </c>
      <c r="T1123" cm="1">
        <f t="array" ref="T1123">IFERROR(IF(S1123=0,0,(INDEX($C$33:$C$38,MATCH($W$1062,$B$33:$B$38,0),0)*(S1125+$X$1062)+$T$1062*COUNTIF(S1123:S1124,"&gt;0")*$C$32+$V$1062*$C$31)*$R$1062),0)</f>
        <v>0</v>
      </c>
      <c r="U1123">
        <f>IF(S1123=0,0,-(COUNTIF(S1123:S1124,"&gt;0")*$T$1062*$C$32+$V$1062*$C$31)*$H$27*$R$1062)</f>
        <v>0</v>
      </c>
      <c r="V1123">
        <f>IF(S1123=0,0,$V$1062*$H$26*$R$1062)</f>
        <v>0</v>
      </c>
      <c r="W1123">
        <f>(0.6*T1123+0.7*U1123)*$R$1062/2</f>
        <v>0</v>
      </c>
      <c r="X1123">
        <f>T1123*$R$1062/2</f>
        <v>0</v>
      </c>
      <c r="Z1123">
        <f>IF(S1123=0,0,$AD$1062*$AP$1047)</f>
        <v>0</v>
      </c>
      <c r="AA1123">
        <f>IFERROR(Z1123/$R$1062,0)</f>
        <v>0</v>
      </c>
      <c r="AB1123">
        <f>Z1123*($F$23+IF($F$23=0,0,($C$14+$C$15+IF($C$13="single",1.5,3)+3)/12))</f>
        <v>0</v>
      </c>
      <c r="AC1123">
        <f>AB1123-W1123</f>
        <v>0</v>
      </c>
      <c r="AD1123" cm="1">
        <f t="array" ref="AD1123">IFERROR(IF(AC1123&lt;0,0,AC1123/($R$1062-INDEX(hd_off,MATCH(AQ1123,hd_mark,0),0)/12)),0)</f>
        <v>0</v>
      </c>
      <c r="AE1123">
        <f>IF(S1123=0,0,$AD$1062*$AM$1047)</f>
        <v>0</v>
      </c>
      <c r="AF1123">
        <f>IFERROR(AE1123/$R$1062,0)</f>
        <v>0</v>
      </c>
      <c r="AG1123">
        <f>AE1123*($F$23+IF($F$23=0,0,($C$14+$C$15+IF($C$13="single",1.5,3)+3)/12))</f>
        <v>0</v>
      </c>
      <c r="AH1123">
        <f>AG1123-X1123</f>
        <v>0</v>
      </c>
      <c r="AI1123" cm="1">
        <f t="array" ref="AI1123">IFERROR(IF(AH1123&lt;0,0,AH1123/($R$1062-INDEX(hd_off,MATCH(AQ1123,hd_mark,0),0)/12)),0)</f>
        <v>0</v>
      </c>
      <c r="AJ1123">
        <f>MAX($F$23,$AA$1062)/$Q$1076</f>
        <v>0</v>
      </c>
      <c r="AK1123">
        <f t="shared" si="694"/>
        <v>0</v>
      </c>
      <c r="AL1123" cm="1">
        <f t="array" ref="AL1123">IFERROR(INDEX(sheath_ecap_asd,MATCH(AP1123,sheath_mark,0),0)*AK1123,0)</f>
        <v>0</v>
      </c>
      <c r="AM1123" cm="1">
        <f t="array" ref="AM1123">IFERROR(INDEX(sheath_wcap_asd,MATCH(AP1123,sheath_mark,0),0)*AK1123,0)</f>
        <v>0</v>
      </c>
      <c r="AN1123" cm="1">
        <f t="array" ref="AN1123">IFERROR(INDEX(hd_cap,MATCH(AQ1123,hd_mark,0),0),0)</f>
        <v>0</v>
      </c>
      <c r="AP1123" s="19"/>
      <c r="AQ1123" s="19"/>
      <c r="AR1123" s="100"/>
      <c r="AS1123" s="93"/>
      <c r="AT1123" s="109" t="s">
        <v>491</v>
      </c>
      <c r="AU1123" t="str">
        <f>$Q$1047</f>
        <v>L4</v>
      </c>
      <c r="AV1123">
        <f>$E$23</f>
        <v>0</v>
      </c>
      <c r="AW1123" cm="1">
        <f t="array" ref="AW1123">IFERROR(IF(AV1123=0,0,(INDEX($C$33:$C$38,MATCH($AZ$1062,$B$33:$B$38,0),0)*(AV1125+$BA$1062)+$AW$1062*COUNTIF(AV1123:AV1124,"&gt;0")*$C$32+$AY$1062*$C$31)*$AU$1062),0)</f>
        <v>0</v>
      </c>
      <c r="AX1123">
        <f>IF(AV1123=0,0,-(COUNTIF(AV1123:AV1124,"&gt;0")*$AW$1062*$C$32+$AY$1062*$C$31)*$H$27*$AU$1062)</f>
        <v>0</v>
      </c>
      <c r="AY1123">
        <f>IF(AV1123=0,0,$AY$1062*$H$26*$AU$1062)</f>
        <v>0</v>
      </c>
      <c r="AZ1123">
        <f>(0.6*AW1123+0.7*AX1123)*$AU$1062/2</f>
        <v>0</v>
      </c>
      <c r="BA1123">
        <f>AW1123*$AU$1062/2</f>
        <v>0</v>
      </c>
      <c r="BC1123">
        <f>IF(AV1123=0,0,$BG$1062*$AP$1047)</f>
        <v>0</v>
      </c>
      <c r="BD1123">
        <f>IFERROR(BC1123/$AU$1062,0)</f>
        <v>0</v>
      </c>
      <c r="BE1123">
        <f>BC1123*($F$23+IF($F$23=0,0,($C$14+$C$15+IF($C$13="single",1.5,3)+3)/12))</f>
        <v>0</v>
      </c>
      <c r="BF1123">
        <f>BE1123-AZ1123</f>
        <v>0</v>
      </c>
      <c r="BG1123" cm="1">
        <f t="array" ref="BG1123">IFERROR(IF(BF1123&lt;0,0,BF1123/($AU$1062-INDEX(hd_off,MATCH(BT1123,hd_mark,0),0)/12)),0)</f>
        <v>0</v>
      </c>
      <c r="BH1123">
        <f>IF(AV1123=0,0,$BG$1062*$AM$1047)</f>
        <v>0</v>
      </c>
      <c r="BI1123">
        <f>IFERROR(BH1123/$AU$1062,0)</f>
        <v>0</v>
      </c>
      <c r="BJ1123">
        <f>BH1123*($F$23+IF($F$23=0,0,($C$14+$C$15+IF($C$13="single",1.5,3)+3)/12))</f>
        <v>0</v>
      </c>
      <c r="BK1123">
        <f>BJ1123-BA1123</f>
        <v>0</v>
      </c>
      <c r="BL1123" cm="1">
        <f t="array" ref="BL1123">IFERROR(IF(BK1123&lt;0,0,BK1123/($AU$1062-INDEX(hd_off,MATCH(BT1123,hd_mark,0),0)/12)),0)</f>
        <v>0</v>
      </c>
      <c r="BM1123">
        <f>MAX($F$23,$BD$1062)/$Q$1076</f>
        <v>0</v>
      </c>
      <c r="BN1123">
        <f t="shared" si="695"/>
        <v>0</v>
      </c>
      <c r="BO1123" cm="1">
        <f t="array" ref="BO1123">IFERROR(INDEX(sheath_ecap_asd,MATCH(BS1123,sheath_mark,0),0)*BN1123,0)</f>
        <v>0</v>
      </c>
      <c r="BP1123" cm="1">
        <f t="array" ref="BP1123">IFERROR(INDEX(sheath_wcap_asd,MATCH(BS1123,sheath_mark,0),0)*BN1123,0)</f>
        <v>0</v>
      </c>
      <c r="BQ1123" cm="1">
        <f t="array" ref="BQ1123">IFERROR(INDEX(hd_cap,MATCH(BT1123,hd_mark,0),0),0)</f>
        <v>0</v>
      </c>
      <c r="BS1123" s="19"/>
      <c r="BT1123" s="19"/>
      <c r="BU1123" s="100"/>
    </row>
    <row r="1124" x14ac:dyDescent="0.25">
      <c r="P1124" s="93"/>
      <c r="Q1124" s="111">
        <f>$R$1062</f>
        <v>0</v>
      </c>
      <c r="R1124" t="str">
        <f>$Q$1048</f>
        <v>L5</v>
      </c>
      <c r="S1124">
        <f>$E$24</f>
        <v>0</v>
      </c>
      <c r="T1124" cm="1">
        <f t="array" ref="T1124">IFERROR(IF(S1124=0,0,(INDEX($C$33:$C$38,MATCH($W$1062,$B$33:$B$38,0),0)*(S1125+$X$1062)+$T$1062*COUNTIF(S1124:S1124,"&gt;0")*$C$32+$V$1062*$C$31)*$R$1062),0)</f>
        <v>0</v>
      </c>
      <c r="U1124">
        <f>IF(S1124=0,0,-(COUNTIF(S1124:S1124,"&gt;0")*$T$1062*$C$32+$V$1062*$C$31)*$H$27*$R$1062)</f>
        <v>0</v>
      </c>
      <c r="V1124">
        <f>IF(S1124=0,0,$V$1062*$H$26*$R$1062)</f>
        <v>0</v>
      </c>
      <c r="W1124">
        <f>(0.6*T1124+0.7*U1124)*$R$1062/2</f>
        <v>0</v>
      </c>
      <c r="X1124">
        <f>T1124*$R$1062/2</f>
        <v>0</v>
      </c>
      <c r="Z1124">
        <f>IF(S1124=0,0,$AD$1062*$AP$1048)</f>
        <v>0</v>
      </c>
      <c r="AA1124">
        <f>IFERROR(Z1124/$R$1062,0)</f>
        <v>0</v>
      </c>
      <c r="AB1124">
        <f>Z1124*($F$24+IF($F$24=0,0,($C$14+$C$15+IF($C$13="single",1.5,3)+3)/12))</f>
        <v>0</v>
      </c>
      <c r="AC1124">
        <f>AB1124-W1124</f>
        <v>0</v>
      </c>
      <c r="AD1124" cm="1">
        <f t="array" ref="AD1124">IFERROR(IF(AC1124&lt;0,0,AC1124/($R$1062-INDEX(hd_off,MATCH(AQ1124,hd_mark,0),0)/12)),0)</f>
        <v>0</v>
      </c>
      <c r="AE1124">
        <f>IF(S1124=0,0,$AD$1062*$AM$1048)</f>
        <v>0</v>
      </c>
      <c r="AF1124">
        <f>IFERROR(AE1124/$R$1062,0)</f>
        <v>0</v>
      </c>
      <c r="AG1124">
        <f>AE1124*($F$24+IF($F$24=0,0,($C$14+$C$15+IF($C$13="single",1.5,3)+3)/12))</f>
        <v>0</v>
      </c>
      <c r="AH1124">
        <f>AG1124-X1124</f>
        <v>0</v>
      </c>
      <c r="AI1124" cm="1">
        <f t="array" ref="AI1124">IFERROR(IF(AH1124&lt;0,0,AH1124/($R$1062-INDEX(hd_off,MATCH(AQ1124,hd_mark,0),0)/12)),0)</f>
        <v>0</v>
      </c>
      <c r="AJ1124">
        <f>MAX($F$24,$AB$1062)/$Q$1076</f>
        <v>0</v>
      </c>
      <c r="AK1124">
        <f t="shared" si="694"/>
        <v>0</v>
      </c>
      <c r="AL1124" cm="1">
        <f t="array" ref="AL1124">IFERROR(INDEX(sheath_ecap_asd,MATCH(AP1124,sheath_mark,0),0)*AK1124,0)</f>
        <v>0</v>
      </c>
      <c r="AM1124" cm="1">
        <f t="array" ref="AM1124">IFERROR(INDEX(sheath_wcap_asd,MATCH(AP1124,sheath_mark,0),0)*AK1124,0)</f>
        <v>0</v>
      </c>
      <c r="AN1124" cm="1">
        <f t="array" ref="AN1124">IFERROR(INDEX(hd_cap,MATCH(AQ1124,hd_mark,0),0),0)</f>
        <v>0</v>
      </c>
      <c r="AP1124" s="19"/>
      <c r="AQ1124" s="19"/>
      <c r="AR1124" s="100"/>
      <c r="AS1124" s="93"/>
      <c r="AT1124" s="111">
        <f>$R$1062</f>
        <v>0</v>
      </c>
      <c r="AU1124" t="str">
        <f>$Q$1048</f>
        <v>L5</v>
      </c>
      <c r="AV1124">
        <f>$E$24</f>
        <v>0</v>
      </c>
      <c r="AW1124" cm="1">
        <f t="array" ref="AW1124">IFERROR(IF(AV1124=0,0,(INDEX($C$33:$C$38,MATCH($AZ$1062,$B$33:$B$38,0),0)*(AV1125+$BA$1062)+$AW$1062*COUNTIF(AV1124:AV1124,"&gt;0")*$C$32+$AY$1062*$C$31)*$AU$1062),0)</f>
        <v>0</v>
      </c>
      <c r="AX1124">
        <f>IF(AV1124=0,0,-(COUNTIF(AV1124:AV1124,"&gt;0")*$AW$1062*$C$32+$AY$1062*$C$31)*$H$27*$AU$1062)</f>
        <v>0</v>
      </c>
      <c r="AY1124">
        <f>IF(AV1124=0,0,$AY$1062*$H$26*$AU$1062)</f>
        <v>0</v>
      </c>
      <c r="AZ1124">
        <f>(0.6*AW1124+0.7*AX1124)*$AU$1062/2</f>
        <v>0</v>
      </c>
      <c r="BA1124">
        <f>AW1124*$AU$1062/2</f>
        <v>0</v>
      </c>
      <c r="BC1124">
        <f>IF(AV1124=0,0,$BG$1062*$AP$1048)</f>
        <v>0</v>
      </c>
      <c r="BD1124">
        <f>IFERROR(BC1124/$AU$1062,0)</f>
        <v>0</v>
      </c>
      <c r="BE1124">
        <f>BC1124*($F$24+IF($F$24=0,0,($C$14+$C$15+IF($C$13="single",1.5,3)+3)/12))</f>
        <v>0</v>
      </c>
      <c r="BF1124">
        <f>BE1124-AZ1124</f>
        <v>0</v>
      </c>
      <c r="BG1124" cm="1">
        <f t="array" ref="BG1124">IFERROR(IF(BF1124&lt;0,0,BF1124/($AU$1062-INDEX(hd_off,MATCH(BT1124,hd_mark,0),0)/12)),0)</f>
        <v>0</v>
      </c>
      <c r="BH1124">
        <f>IF(AV1124=0,0,$BG$1062*$AM$1048)</f>
        <v>0</v>
      </c>
      <c r="BI1124">
        <f>IFERROR(BH1124/$AU$1062,0)</f>
        <v>0</v>
      </c>
      <c r="BJ1124">
        <f>BH1124*($F$24+IF($F$24=0,0,($C$14+$C$15+IF($C$13="single",1.5,3)+3)/12))</f>
        <v>0</v>
      </c>
      <c r="BK1124">
        <f>BJ1124-BA1124</f>
        <v>0</v>
      </c>
      <c r="BL1124" cm="1">
        <f t="array" ref="BL1124">IFERROR(IF(BK1124&lt;0,0,BK1124/($AU$1062-INDEX(hd_off,MATCH(BT1124,hd_mark,0),0)/12)),0)</f>
        <v>0</v>
      </c>
      <c r="BM1124">
        <f>MAX($F$24,$BE$1062)/$Q$1076</f>
        <v>0</v>
      </c>
      <c r="BN1124">
        <f t="shared" si="695"/>
        <v>0</v>
      </c>
      <c r="BO1124" cm="1">
        <f t="array" ref="BO1124">IFERROR(INDEX(sheath_ecap_asd,MATCH(BS1124,sheath_mark,0),0)*BN1124,0)</f>
        <v>0</v>
      </c>
      <c r="BP1124" cm="1">
        <f t="array" ref="BP1124">IFERROR(INDEX(sheath_wcap_asd,MATCH(BS1124,sheath_mark,0),0)*BN1124,0)</f>
        <v>0</v>
      </c>
      <c r="BQ1124" cm="1">
        <f t="array" ref="BQ1124">IFERROR(INDEX(hd_cap,MATCH(BT1124,hd_mark,0),0),0)</f>
        <v>0</v>
      </c>
      <c r="BS1124" s="19"/>
      <c r="BT1124" s="19"/>
      <c r="BU1124" s="100"/>
    </row>
    <row r="1125" x14ac:dyDescent="0.25">
      <c r="P1125" s="93"/>
      <c r="Q1125" s="109"/>
      <c r="R1125" t="str">
        <f>$Q$1049</f>
        <v>Roof</v>
      </c>
      <c r="S1125">
        <f>$E$25</f>
        <v>33.171875</v>
      </c>
      <c r="T1125" cm="1">
        <f t="array" ref="T1125">IFERROR(IF(S1125=0,0,(INDEX($C$33:$C$38,MATCH($W$1062,$B$33:$B$38,0),0)*(S1125+$X$1062)+$V$1062*$C$31)*$R$1062),0)</f>
        <v>0</v>
      </c>
      <c r="U1125">
        <f>IF(S1125=0,0,-$V$1062*$C$31*$H$27*$R$1062)</f>
        <v>0</v>
      </c>
      <c r="V1125">
        <f>IF(S1125=0,0,$V$1062*$H$26*$R$1062)</f>
        <v>0</v>
      </c>
      <c r="W1125">
        <f>(0.6*T1125+0.7*U1125)*$R$1062/2</f>
        <v>0</v>
      </c>
      <c r="X1125">
        <f>T1125*$R$1062/2</f>
        <v>0</v>
      </c>
      <c r="Z1125">
        <f>IF(S1125=0,0,$AD$1062*$AP$1049)</f>
        <v>0</v>
      </c>
      <c r="AA1125">
        <f>IFERROR(Z1125/$R$1062,0)</f>
        <v>0</v>
      </c>
      <c r="AB1125">
        <f>Z1125*($F$25+($C$16+$C$17+IF($C$13="single",1.5,3)+3)/12)</f>
        <v>0</v>
      </c>
      <c r="AC1125">
        <f>AB1125-W1125</f>
        <v>0</v>
      </c>
      <c r="AD1125" cm="1">
        <f t="array" ref="AD1125">IFERROR(IF(AC1125&lt;0,0,AC1125/($R$1062-INDEX(hd_off,MATCH(AQ1125,hd_mark,0),0)/12)),0)</f>
        <v>0</v>
      </c>
      <c r="AE1125">
        <f>IF(S1125=0,0,$AD$1062*$AM$1049)</f>
        <v>0</v>
      </c>
      <c r="AF1125">
        <f>IFERROR(AE1125/$R$1062,0)</f>
        <v>0</v>
      </c>
      <c r="AG1125">
        <f>AE1125*($F$25+($C$16+$C$17+IF($C$13="single",1.5,3)+3)/12)</f>
        <v>0</v>
      </c>
      <c r="AH1125">
        <f>AG1125-X1125</f>
        <v>0</v>
      </c>
      <c r="AI1125" cm="1">
        <f t="array" ref="AI1125">IFERROR(IF(AH1125&lt;0,0,AH1125/($R$1062-INDEX(hd_off,MATCH(AQ1125,hd_mark,0),0)/12)),0)</f>
        <v>0</v>
      </c>
      <c r="AJ1125">
        <f>MAX($F$25,$AC$1062)/$Q$1076</f>
        <v>0.29920977011494249</v>
      </c>
      <c r="AK1125">
        <f t="shared" si="694"/>
        <v>1</v>
      </c>
      <c r="AL1125" cm="1">
        <f t="array" ref="AL1125">IFERROR(INDEX(sheath_ecap_asd,MATCH(AP1125,sheath_mark,0),0)*AK1125,0)</f>
        <v>0</v>
      </c>
      <c r="AM1125" cm="1">
        <f t="array" ref="AM1125">IFERROR(INDEX(sheath_wcap_asd,MATCH(AP1125,sheath_mark,0),0)*AK1125,0)</f>
        <v>0</v>
      </c>
      <c r="AN1125" cm="1">
        <f t="array" ref="AN1125">IFERROR(INDEX(hd_cap,MATCH(AQ1125,hd_mark,0),0),0)</f>
        <v>0</v>
      </c>
      <c r="AP1125" s="19"/>
      <c r="AQ1125" s="19"/>
      <c r="AR1125" s="100"/>
      <c r="AS1125" s="93"/>
      <c r="AT1125" s="109"/>
      <c r="AU1125" t="str">
        <f>$Q$1049</f>
        <v>Roof</v>
      </c>
      <c r="AV1125">
        <f>$E$25</f>
        <v>33.171875</v>
      </c>
      <c r="AW1125" cm="1">
        <f t="array" ref="AW1125">IFERROR(IF(AV1125=0,0,(INDEX($C$33:$C$38,MATCH($AZ$1062,$B$33:$B$38,0),0)*(AV1125+$BA$1062)+$AY$1062*$C$31)*$AU$1062),0)</f>
        <v>0</v>
      </c>
      <c r="AX1125">
        <f>IF(AV1125=0,0,-$AY$1062*$C$31*$H$27*$AU$1062)</f>
        <v>0</v>
      </c>
      <c r="AY1125">
        <f>IF(AV1125=0,0,$AY$1062*$H$26*$AU$1062)</f>
        <v>0</v>
      </c>
      <c r="AZ1125">
        <f>(0.6*AW1125+0.7*AX1125)*$AU$1062/2</f>
        <v>0</v>
      </c>
      <c r="BA1125">
        <f>AW1125*$AU$1062/2</f>
        <v>0</v>
      </c>
      <c r="BC1125">
        <f>IF(AV1125=0,0,$BG$1062*$AP$1049)</f>
        <v>0</v>
      </c>
      <c r="BD1125">
        <f>IFERROR(BC1125/$AU$1062,0)</f>
        <v>0</v>
      </c>
      <c r="BE1125">
        <f>BC1125*($F$25+($C$16+$C$17+IF($C$13="single",1.5,3)+3)/12)</f>
        <v>0</v>
      </c>
      <c r="BF1125">
        <f>BE1125-AZ1125</f>
        <v>0</v>
      </c>
      <c r="BG1125" cm="1">
        <f t="array" ref="BG1125">IFERROR(IF(BF1125&lt;0,0,BF1125/($AU$1062-INDEX(hd_off,MATCH(BT1125,hd_mark,0),0)/12)),0)</f>
        <v>0</v>
      </c>
      <c r="BH1125">
        <f>IF(AV1125=0,0,$BG$1062*$AM$1049)</f>
        <v>0</v>
      </c>
      <c r="BI1125">
        <f>IFERROR(BH1125/$AU$1062,0)</f>
        <v>0</v>
      </c>
      <c r="BJ1125">
        <f>BH1125*($F$25+($C$16+$C$17+IF($C$13="single",1.5,3)+3)/12)</f>
        <v>0</v>
      </c>
      <c r="BK1125">
        <f>BJ1125-BA1125</f>
        <v>0</v>
      </c>
      <c r="BL1125" cm="1">
        <f t="array" ref="BL1125">IFERROR(IF(BK1125&lt;0,0,BK1125/($AU$1062-INDEX(hd_off,MATCH(BT1125,hd_mark,0),0)/12)),0)</f>
        <v>0</v>
      </c>
      <c r="BM1125">
        <f>MAX($F$25,$BF$1062)/$Q$1076</f>
        <v>0.29920977011494249</v>
      </c>
      <c r="BN1125">
        <f t="shared" si="695"/>
        <v>1</v>
      </c>
      <c r="BO1125" cm="1">
        <f t="array" ref="BO1125">IFERROR(INDEX(sheath_ecap_asd,MATCH(BS1125,sheath_mark,0),0)*BN1125,0)</f>
        <v>0</v>
      </c>
      <c r="BP1125" cm="1">
        <f t="array" ref="BP1125">IFERROR(INDEX(sheath_wcap_asd,MATCH(BS1125,sheath_mark,0),0)*BN1125,0)</f>
        <v>0</v>
      </c>
      <c r="BQ1125" cm="1">
        <f t="array" ref="BQ1125">IFERROR(INDEX(hd_cap,MATCH(BT1125,hd_mark,0),0),0)</f>
        <v>0</v>
      </c>
      <c r="BS1125" s="19"/>
      <c r="BT1125" s="19"/>
      <c r="BU1125" s="100"/>
    </row>
    <row r="1126" x14ac:dyDescent="0.25">
      <c r="P1126" s="93"/>
      <c r="AR1126" s="100"/>
      <c r="AS1126" s="93"/>
      <c r="BU1126" s="100"/>
    </row>
    <row r="1127" x14ac:dyDescent="0.25">
      <c r="P1127" s="93"/>
      <c r="Q1127" s="110" t="str">
        <f>$Q$1063</f>
        <v>A.10</v>
      </c>
      <c r="R1127" t="str">
        <f>$Q$1045</f>
        <v>L2</v>
      </c>
      <c r="S1127">
        <f>$E$21</f>
        <v>10.6875</v>
      </c>
      <c r="T1127" cm="1">
        <f t="array" ref="T1127">IFERROR(IF(S1127=0,0,(INDEX($C$33:$C$38,MATCH($W$1063,$B$33:$B$38,0),0)*(S1131+$X$1063)+$T$1063*COUNTIF(S1127:S1130,"&gt;0")*$C$32+$V$1063*$C$31)*$R$1063),0)</f>
        <v>0</v>
      </c>
      <c r="U1127">
        <f>IF(S1127=0,0,-(COUNTIF(S1127:S1130,"&gt;0")*$T$1063*$C$32+$V$1063*$C$31)*$H$27*$R$1063)</f>
        <v>0</v>
      </c>
      <c r="V1127">
        <f>IF(S1127=0,0,$V$1063*$H$26*$R$1063)</f>
        <v>0</v>
      </c>
      <c r="W1127">
        <f>(0.6*T1127+0.7*U1127)*$R$1063/2</f>
        <v>0</v>
      </c>
      <c r="X1127">
        <f>(0.6*T1127+0.6*V1127)*$R$1063/2</f>
        <v>0</v>
      </c>
      <c r="Z1127">
        <f>IF(S1127=0,0,$AD$1063*$AP$1045)</f>
        <v>0</v>
      </c>
      <c r="AA1127">
        <f>IFERROR(Z1127/$R$1063,0)</f>
        <v>0</v>
      </c>
      <c r="AB1127">
        <f>Z1127*($F$21+IF($F$21=0,0,($C$14+$C$15+IF($C$13="single",1.5,3)+3)/12))</f>
        <v>0</v>
      </c>
      <c r="AC1127">
        <f>AB1127-W1127</f>
        <v>0</v>
      </c>
      <c r="AD1127" cm="1">
        <f t="array" ref="AD1127">IFERROR(IF(AC1127&lt;0,0,AC1127/($R$1063-INDEX(hd_off,MATCH(AQ1127,hd_mark,0),0)/12)),0)</f>
        <v>0</v>
      </c>
      <c r="AE1127">
        <f>IF(S1127=0,0,$AD$1063*$AM$1045)</f>
        <v>0</v>
      </c>
      <c r="AF1127">
        <f>IFERROR(AE1127/$R$1063,0)</f>
        <v>0</v>
      </c>
      <c r="AG1127">
        <f>AE1127*($F$21+IF($F$21=0,0,($C$14+$C$15+IF($C$13="single",1.5,3)+3)/12))</f>
        <v>0</v>
      </c>
      <c r="AH1127">
        <f>AG1127-X1127</f>
        <v>0</v>
      </c>
      <c r="AI1127" cm="1">
        <f t="array" ref="AI1127">IFERROR(IF(AH1127&lt;0,0,AH1127/($R$1063-INDEX(hd_off,MATCH(AQ1127,hd_mark,0),0)/12)),0)</f>
        <v>0</v>
      </c>
      <c r="AJ1127">
        <f>MAX($F$21,$Y$1063)/$Q$1076</f>
        <v>0.30172413793103448</v>
      </c>
      <c r="AK1127">
        <f>IF(AJ1127=0,0,IF(AJ1127&gt;2,1.25-0.125*AJ1127,1))</f>
        <v>1</v>
      </c>
      <c r="AL1127" cm="1">
        <f t="array" ref="AL1127">IFERROR(INDEX(sheath_ecap_asd,MATCH(AP1127,sheath_mark,0),0)*AK1127,0)</f>
        <v>0</v>
      </c>
      <c r="AM1127" cm="1">
        <f t="array" ref="AM1127">IFERROR(INDEX(sheath_wcap_asd,MATCH(AP1127,sheath_mark,0),0)*AK1127,0)</f>
        <v>0</v>
      </c>
      <c r="AN1127" cm="1">
        <f t="array" ref="AN1127">IFERROR(INDEX(hd_cap,MATCH(AQ1127,hd_mark,0),0),0)</f>
        <v>0</v>
      </c>
      <c r="AP1127" s="19"/>
      <c r="AQ1127" s="19"/>
      <c r="AR1127" s="100"/>
      <c r="AS1127" s="93"/>
      <c r="AT1127" s="110" t="str">
        <f>$AT$1063</f>
        <v>1.10</v>
      </c>
      <c r="AU1127" t="str">
        <f>$Q$1045</f>
        <v>L2</v>
      </c>
      <c r="AV1127">
        <f>$E$21</f>
        <v>10.6875</v>
      </c>
      <c r="AW1127" cm="1">
        <f t="array" ref="AW1127">IFERROR(IF(AV1127=0,0,(INDEX($C$33:$C$38,MATCH($AZ$1063,$B$33:$B$38,0),0)*(AV1131+$BA$1063)+$AW$1063*COUNTIF(AV1127:AV1130,"&gt;0")*$C$32+$AY$1063*$C$31)*$AU$1063),0)</f>
        <v>0</v>
      </c>
      <c r="AX1127">
        <f>IF(AV1127=0,0,-(COUNTIF(AV1127:AV1130,"&gt;0")*$AW$1063*$C$32+$AY$1063*$C$31)*$H$27*$AU$1063)</f>
        <v>0</v>
      </c>
      <c r="AY1127">
        <f>IF(AV1127=0,0,$AY$1063*$H$26*$AU$1063)</f>
        <v>0</v>
      </c>
      <c r="AZ1127">
        <f>(0.6*AW1127+0.7*AX1127)*$AU$1063/2</f>
        <v>0</v>
      </c>
      <c r="BA1127">
        <f>(0.6*AW1127+0.6*AY1127)*$AU$1063/2</f>
        <v>0</v>
      </c>
      <c r="BC1127">
        <f>IF(AV1127=0,0,$BG$1063*$AP$1045)</f>
        <v>0</v>
      </c>
      <c r="BD1127">
        <f>IFERROR(BC1127/$AU$1063,0)</f>
        <v>0</v>
      </c>
      <c r="BE1127">
        <f>BC1127*($F$21+IF($F$21=0,0,($C$14+$C$15+IF($C$13="single",1.5,3)+3)/12))</f>
        <v>0</v>
      </c>
      <c r="BF1127">
        <f>BE1127-AZ1127</f>
        <v>0</v>
      </c>
      <c r="BG1127" cm="1">
        <f t="array" ref="BG1127">IFERROR(IF(BF1127&lt;0,0,BF1127/($AU$1063-INDEX(hd_off,MATCH(BT1127,hd_mark,0),0)/12)),0)</f>
        <v>0</v>
      </c>
      <c r="BH1127">
        <f>IF(AV1127=0,0,$BG$1063*$AM$1045)</f>
        <v>0</v>
      </c>
      <c r="BI1127">
        <f>IFERROR(BH1127/$AU$1063,0)</f>
        <v>0</v>
      </c>
      <c r="BJ1127">
        <f>BH1127*($F$21+IF($F$21=0,0,($C$14+$C$15+IF($C$13="single",1.5,3)+3)/12))</f>
        <v>0</v>
      </c>
      <c r="BK1127">
        <f>BJ1127-BA1127</f>
        <v>0</v>
      </c>
      <c r="BL1127" cm="1">
        <f t="array" ref="BL1127">IFERROR(IF(BK1127&lt;0,0,BK1127/($AU$1063-INDEX(hd_off,MATCH(BT1127,hd_mark,0),0)/12)),0)</f>
        <v>0</v>
      </c>
      <c r="BM1127">
        <f>MAX($F$21,$BB$1063)/$Q$1076</f>
        <v>0.30172413793103448</v>
      </c>
      <c r="BN1127">
        <f>IF(BM1127=0,0,IF(BM1127&gt;2,1.25-0.125*BM1127,1))</f>
        <v>1</v>
      </c>
      <c r="BO1127" cm="1">
        <f t="array" ref="BO1127">IFERROR(INDEX(sheath_ecap_asd,MATCH(BS1127,sheath_mark,0),0)*BN1127,0)</f>
        <v>0</v>
      </c>
      <c r="BP1127" cm="1">
        <f t="array" ref="BP1127">IFERROR(INDEX(sheath_wcap_asd,MATCH(BS1127,sheath_mark,0),0)*BN1127,0)</f>
        <v>0</v>
      </c>
      <c r="BQ1127" cm="1">
        <f t="array" ref="BQ1127">IFERROR(INDEX(hd_cap,MATCH(BT1127,hd_mark,0),0),0)</f>
        <v>0</v>
      </c>
      <c r="BS1127" s="19"/>
      <c r="BT1127" s="19"/>
      <c r="BU1127" s="100"/>
    </row>
    <row r="1128" x14ac:dyDescent="0.25">
      <c r="P1128" s="93"/>
      <c r="Q1128" s="109"/>
      <c r="R1128" t="str">
        <f>$Q$1046</f>
        <v>L3</v>
      </c>
      <c r="S1128">
        <f>$E$22</f>
        <v>21.375</v>
      </c>
      <c r="T1128" cm="1">
        <f t="array" ref="T1128">IFERROR(IF(S1128=0,0,(INDEX($C$33:$C$38,MATCH($W$1063,$B$33:$B$38,0),0)*(S1131+$X$1063)+$T$1063*COUNTIF(S1128:S1130,"&gt;0")*$C$32+$V$1063*$C$31)*$R$1063),0)</f>
        <v>0</v>
      </c>
      <c r="U1128">
        <f>IF(S1128=0,0,-(COUNTIF(S1128:S1130,"&gt;0")*$T$1063*$C$32+$V$1063*$C$31)*$H$27*$R$1063)</f>
        <v>0</v>
      </c>
      <c r="V1128">
        <f>IF(S1128=0,0,$V$1063*$H$26*$R$1063)</f>
        <v>0</v>
      </c>
      <c r="W1128">
        <f>(0.6*T1128+0.7*U1128)*$R$1063/2</f>
        <v>0</v>
      </c>
      <c r="X1128">
        <f>T1128*$R$1063/2</f>
        <v>0</v>
      </c>
      <c r="Z1128">
        <f>IF(S1128=0,0,$AD$1063*$AP$1046)</f>
        <v>0</v>
      </c>
      <c r="AA1128">
        <f>IFERROR(Z1128/$R$1063,0)</f>
        <v>0</v>
      </c>
      <c r="AB1128">
        <f>Z1128*($F$22+IF($F$22=0,0,($C$14+$C$15+IF($C$13="single",1.5,3)+3)/12))</f>
        <v>0</v>
      </c>
      <c r="AC1128">
        <f>AB1128-W1128</f>
        <v>0</v>
      </c>
      <c r="AD1128" cm="1">
        <f t="array" ref="AD1128">IFERROR(IF(AC1128&lt;0,0,AC1128/($R$1063-INDEX(hd_off,MATCH(AQ1128,hd_mark,0),0)/12)),0)</f>
        <v>0</v>
      </c>
      <c r="AE1128">
        <f>IF(S1128=0,0,$AD$1063*$AM$1046)</f>
        <v>0</v>
      </c>
      <c r="AF1128">
        <f>IFERROR(AE1128/$R$1063,0)</f>
        <v>0</v>
      </c>
      <c r="AG1128">
        <f>AE1128*($F$22+IF($F$22=0,0,($C$14+$C$15+IF($C$13="single",1.5,3)+3)/12))</f>
        <v>0</v>
      </c>
      <c r="AH1128">
        <f>AG1128-X1128</f>
        <v>0</v>
      </c>
      <c r="AI1128" cm="1">
        <f t="array" ref="AI1128">IFERROR(IF(AH1128&lt;0,0,AH1128/($R$1063-INDEX(hd_off,MATCH(AQ1128,hd_mark,0),0)/12)),0)</f>
        <v>0</v>
      </c>
      <c r="AJ1128">
        <f>MAX($F$22,$Z$1063)/$Q$1076</f>
        <v>0.30172413793103448</v>
      </c>
      <c r="AK1128">
        <f t="shared" ref="AK1128:AK1131" si="696">IF(AJ1128=0,0,IF(AJ1128&gt;2,1.25-0.125*AJ1128,1))</f>
        <v>1</v>
      </c>
      <c r="AL1128" cm="1">
        <f t="array" ref="AL1128">IFERROR(INDEX(sheath_ecap_asd,MATCH(AP1128,sheath_mark,0),0)*AK1128,0)</f>
        <v>0</v>
      </c>
      <c r="AM1128" cm="1">
        <f t="array" ref="AM1128">IFERROR(INDEX(sheath_wcap_asd,MATCH(AP1128,sheath_mark,0),0)*AK1128,0)</f>
        <v>0</v>
      </c>
      <c r="AN1128" cm="1">
        <f t="array" ref="AN1128">IFERROR(INDEX(hd_cap,MATCH(AQ1128,hd_mark,0),0),0)</f>
        <v>0</v>
      </c>
      <c r="AP1128" s="19"/>
      <c r="AQ1128" s="19"/>
      <c r="AR1128" s="100"/>
      <c r="AS1128" s="93"/>
      <c r="AT1128" s="109"/>
      <c r="AU1128" t="str">
        <f>$Q$1046</f>
        <v>L3</v>
      </c>
      <c r="AV1128">
        <f>$E$22</f>
        <v>21.375</v>
      </c>
      <c r="AW1128" cm="1">
        <f t="array" ref="AW1128">IFERROR(IF(AV1128=0,0,(INDEX($C$33:$C$38,MATCH($AZ$1063,$B$33:$B$38,0),0)*(AV1131+$BA$1063)+$AW$1063*COUNTIF(AV1128:AV1130,"&gt;0")*$C$32+$AY$1063*$C$31)*$AU$1063),0)</f>
        <v>0</v>
      </c>
      <c r="AX1128">
        <f>IF(AV1128=0,0,-(COUNTIF(AV1128:AV1130,"&gt;0")*$AW$1063*$C$32+$AY$1063*$C$31)*$H$27*$AU$1063)</f>
        <v>0</v>
      </c>
      <c r="AY1128">
        <f>IF(AV1128=0,0,$AY$1063*$H$26*$AU$1063)</f>
        <v>0</v>
      </c>
      <c r="AZ1128">
        <f>(0.6*AW1128+0.7*AX1128)*$AU$1063/2</f>
        <v>0</v>
      </c>
      <c r="BA1128">
        <f>AW1128*$AU$1063/2</f>
        <v>0</v>
      </c>
      <c r="BC1128">
        <f>IF(AV1128=0,0,$BG$1063*$AP$1046)</f>
        <v>0</v>
      </c>
      <c r="BD1128">
        <f>IFERROR(BC1128/$AU$1063,0)</f>
        <v>0</v>
      </c>
      <c r="BE1128">
        <f>BC1128*($F$22+IF($F$22=0,0,($C$14+$C$15+IF($C$13="single",1.5,3)+3)/12))</f>
        <v>0</v>
      </c>
      <c r="BF1128">
        <f>BE1128-AZ1128</f>
        <v>0</v>
      </c>
      <c r="BG1128" cm="1">
        <f t="array" ref="BG1128">IFERROR(IF(BF1128&lt;0,0,BF1128/($AU$1063-INDEX(hd_off,MATCH(BT1128,hd_mark,0),0)/12)),0)</f>
        <v>0</v>
      </c>
      <c r="BH1128">
        <f>IF(AV1128=0,0,$BG$1063*$AM$1046)</f>
        <v>0</v>
      </c>
      <c r="BI1128">
        <f>IFERROR(BH1128/$AU$1063,0)</f>
        <v>0</v>
      </c>
      <c r="BJ1128">
        <f>BH1128*($F$22+IF($F$22=0,0,($C$14+$C$15+IF($C$13="single",1.5,3)+3)/12))</f>
        <v>0</v>
      </c>
      <c r="BK1128">
        <f>BJ1128-BA1128</f>
        <v>0</v>
      </c>
      <c r="BL1128" cm="1">
        <f t="array" ref="BL1128">IFERROR(IF(BK1128&lt;0,0,BK1128/($AU$1063-INDEX(hd_off,MATCH(BT1128,hd_mark,0),0)/12)),0)</f>
        <v>0</v>
      </c>
      <c r="BM1128">
        <f>MAX($F$22,$BC$1063)/$Q$1076</f>
        <v>0.30172413793103448</v>
      </c>
      <c r="BN1128">
        <f t="shared" ref="BN1128:BN1131" si="697">IF(BM1128=0,0,IF(BM1128&gt;2,1.25-0.125*BM1128,1))</f>
        <v>1</v>
      </c>
      <c r="BO1128" cm="1">
        <f t="array" ref="BO1128">IFERROR(INDEX(sheath_ecap_asd,MATCH(BS1128,sheath_mark,0),0)*BN1128,0)</f>
        <v>0</v>
      </c>
      <c r="BP1128" cm="1">
        <f t="array" ref="BP1128">IFERROR(INDEX(sheath_wcap_asd,MATCH(BS1128,sheath_mark,0),0)*BN1128,0)</f>
        <v>0</v>
      </c>
      <c r="BQ1128" cm="1">
        <f t="array" ref="BQ1128">IFERROR(INDEX(hd_cap,MATCH(BT1128,hd_mark,0),0),0)</f>
        <v>0</v>
      </c>
      <c r="BS1128" s="19"/>
      <c r="BT1128" s="19"/>
      <c r="BU1128" s="100"/>
    </row>
    <row r="1129" x14ac:dyDescent="0.25">
      <c r="P1129" s="93"/>
      <c r="Q1129" s="109" t="s">
        <v>491</v>
      </c>
      <c r="R1129" t="str">
        <f>$Q$1047</f>
        <v>L4</v>
      </c>
      <c r="S1129">
        <f>$E$23</f>
        <v>0</v>
      </c>
      <c r="T1129" cm="1">
        <f t="array" ref="T1129">IFERROR(IF(S1129=0,0,(INDEX($C$33:$C$38,MATCH($W$1063,$B$33:$B$38,0),0)*(S1131+$X$1063)+$T$1063*COUNTIF(S1129:S1130,"&gt;0")*$C$32+$V$1063*$C$31)*$R$1063),0)</f>
        <v>0</v>
      </c>
      <c r="U1129">
        <f>IF(S1129=0,0,-(COUNTIF(S1129:S1130,"&gt;0")*$T$1063*$C$32+$V$1063*$C$31)*$H$27*$R$1063)</f>
        <v>0</v>
      </c>
      <c r="V1129">
        <f>IF(S1129=0,0,$V$1063*$H$26*$R$1063)</f>
        <v>0</v>
      </c>
      <c r="W1129">
        <f>(0.6*T1129+0.7*U1129)*$R$1063/2</f>
        <v>0</v>
      </c>
      <c r="X1129">
        <f>T1129*$R$1063/2</f>
        <v>0</v>
      </c>
      <c r="Z1129">
        <f>IF(S1129=0,0,$AD$1063*$AP$1047)</f>
        <v>0</v>
      </c>
      <c r="AA1129">
        <f>IFERROR(Z1129/$R$1063,0)</f>
        <v>0</v>
      </c>
      <c r="AB1129">
        <f>Z1129*($F$23+IF($F$23=0,0,($C$14+$C$15+IF($C$13="single",1.5,3)+3)/12))</f>
        <v>0</v>
      </c>
      <c r="AC1129">
        <f>AB1129-W1129</f>
        <v>0</v>
      </c>
      <c r="AD1129" cm="1">
        <f t="array" ref="AD1129">IFERROR(IF(AC1129&lt;0,0,AC1129/($R$1063-INDEX(hd_off,MATCH(AQ1129,hd_mark,0),0)/12)),0)</f>
        <v>0</v>
      </c>
      <c r="AE1129">
        <f>IF(S1129=0,0,$AD$1063*$AM$1047)</f>
        <v>0</v>
      </c>
      <c r="AF1129">
        <f>IFERROR(AE1129/$R$1063,0)</f>
        <v>0</v>
      </c>
      <c r="AG1129">
        <f>AE1129*($F$23+IF($F$23=0,0,($C$14+$C$15+IF($C$13="single",1.5,3)+3)/12))</f>
        <v>0</v>
      </c>
      <c r="AH1129">
        <f>AG1129-X1129</f>
        <v>0</v>
      </c>
      <c r="AI1129" cm="1">
        <f t="array" ref="AI1129">IFERROR(IF(AH1129&lt;0,0,AH1129/($R$1063-INDEX(hd_off,MATCH(AQ1129,hd_mark,0),0)/12)),0)</f>
        <v>0</v>
      </c>
      <c r="AJ1129">
        <f>MAX($F$23,$AA$1063)/$Q$1076</f>
        <v>0</v>
      </c>
      <c r="AK1129">
        <f t="shared" si="696"/>
        <v>0</v>
      </c>
      <c r="AL1129" cm="1">
        <f t="array" ref="AL1129">IFERROR(INDEX(sheath_ecap_asd,MATCH(AP1129,sheath_mark,0),0)*AK1129,0)</f>
        <v>0</v>
      </c>
      <c r="AM1129" cm="1">
        <f t="array" ref="AM1129">IFERROR(INDEX(sheath_wcap_asd,MATCH(AP1129,sheath_mark,0),0)*AK1129,0)</f>
        <v>0</v>
      </c>
      <c r="AN1129" cm="1">
        <f t="array" ref="AN1129">IFERROR(INDEX(hd_cap,MATCH(AQ1129,hd_mark,0),0),0)</f>
        <v>0</v>
      </c>
      <c r="AP1129" s="19"/>
      <c r="AQ1129" s="19"/>
      <c r="AR1129" s="100"/>
      <c r="AS1129" s="93"/>
      <c r="AT1129" s="109" t="s">
        <v>491</v>
      </c>
      <c r="AU1129" t="str">
        <f>$Q$1047</f>
        <v>L4</v>
      </c>
      <c r="AV1129">
        <f>$E$23</f>
        <v>0</v>
      </c>
      <c r="AW1129" cm="1">
        <f t="array" ref="AW1129">IFERROR(IF(AV1129=0,0,(INDEX($C$33:$C$38,MATCH($AZ$1063,$B$33:$B$38,0),0)*(AV1131+$BA$1063)+$AW$1063*COUNTIF(AV1129:AV1130,"&gt;0")*$C$32+$AY$1063*$C$31)*$AU$1063),0)</f>
        <v>0</v>
      </c>
      <c r="AX1129">
        <f>IF(AV1129=0,0,-(COUNTIF(AV1129:AV1130,"&gt;0")*$AW$1063*$C$32+$AY$1063*$C$31)*$H$27*$AU$1063)</f>
        <v>0</v>
      </c>
      <c r="AY1129">
        <f>IF(AV1129=0,0,$AY$1063*$H$26*$AU$1063)</f>
        <v>0</v>
      </c>
      <c r="AZ1129">
        <f>(0.6*AW1129+0.7*AX1129)*$AU$1063/2</f>
        <v>0</v>
      </c>
      <c r="BA1129">
        <f>AW1129*$AU$1063/2</f>
        <v>0</v>
      </c>
      <c r="BC1129">
        <f>IF(AV1129=0,0,$BG$1063*$AP$1047)</f>
        <v>0</v>
      </c>
      <c r="BD1129">
        <f>IFERROR(BC1129/$AU$1063,0)</f>
        <v>0</v>
      </c>
      <c r="BE1129">
        <f>BC1129*($F$23+IF($F$23=0,0,($C$14+$C$15+IF($C$13="single",1.5,3)+3)/12))</f>
        <v>0</v>
      </c>
      <c r="BF1129">
        <f>BE1129-AZ1129</f>
        <v>0</v>
      </c>
      <c r="BG1129" cm="1">
        <f t="array" ref="BG1129">IFERROR(IF(BF1129&lt;0,0,BF1129/($AU$1063-INDEX(hd_off,MATCH(BT1129,hd_mark,0),0)/12)),0)</f>
        <v>0</v>
      </c>
      <c r="BH1129">
        <f>IF(AV1129=0,0,$BG$1063*$AM$1047)</f>
        <v>0</v>
      </c>
      <c r="BI1129">
        <f>IFERROR(BH1129/$AU$1063,0)</f>
        <v>0</v>
      </c>
      <c r="BJ1129">
        <f>BH1129*($F$23+IF($F$23=0,0,($C$14+$C$15+IF($C$13="single",1.5,3)+3)/12))</f>
        <v>0</v>
      </c>
      <c r="BK1129">
        <f>BJ1129-BA1129</f>
        <v>0</v>
      </c>
      <c r="BL1129" cm="1">
        <f t="array" ref="BL1129">IFERROR(IF(BK1129&lt;0,0,BK1129/($AU$1063-INDEX(hd_off,MATCH(BT1129,hd_mark,0),0)/12)),0)</f>
        <v>0</v>
      </c>
      <c r="BM1129">
        <f>MAX($F$23,$BD$1063)/$Q$1076</f>
        <v>0</v>
      </c>
      <c r="BN1129">
        <f t="shared" si="697"/>
        <v>0</v>
      </c>
      <c r="BO1129" cm="1">
        <f t="array" ref="BO1129">IFERROR(INDEX(sheath_ecap_asd,MATCH(BS1129,sheath_mark,0),0)*BN1129,0)</f>
        <v>0</v>
      </c>
      <c r="BP1129" cm="1">
        <f t="array" ref="BP1129">IFERROR(INDEX(sheath_wcap_asd,MATCH(BS1129,sheath_mark,0),0)*BN1129,0)</f>
        <v>0</v>
      </c>
      <c r="BQ1129" cm="1">
        <f t="array" ref="BQ1129">IFERROR(INDEX(hd_cap,MATCH(BT1129,hd_mark,0),0),0)</f>
        <v>0</v>
      </c>
      <c r="BS1129" s="19"/>
      <c r="BT1129" s="19"/>
      <c r="BU1129" s="100"/>
    </row>
    <row r="1130" x14ac:dyDescent="0.25">
      <c r="P1130" s="93"/>
      <c r="Q1130" s="111">
        <f>$R$1063</f>
        <v>0</v>
      </c>
      <c r="R1130" t="str">
        <f>$Q$1048</f>
        <v>L5</v>
      </c>
      <c r="S1130">
        <f>$E$24</f>
        <v>0</v>
      </c>
      <c r="T1130" cm="1">
        <f t="array" ref="T1130">IFERROR(IF(S1130=0,0,(INDEX($C$33:$C$38,MATCH($W$1063,$B$33:$B$38,0),0)*(S1131+$X$1063)+$T$1063*COUNTIF(S1130:S1130,"&gt;0")*$C$32+$V$1063*$C$31)*$R$1063),0)</f>
        <v>0</v>
      </c>
      <c r="U1130">
        <f>IF(S1130=0,0,-(COUNTIF(S1130:S1130,"&gt;0")*$T$1063*$C$32+$V$1063*$C$31)*$H$27*$R$1063)</f>
        <v>0</v>
      </c>
      <c r="V1130">
        <f>IF(S1130=0,0,$V$1063*$H$26*$R$1063)</f>
        <v>0</v>
      </c>
      <c r="W1130">
        <f>(0.6*T1130+0.7*U1130)*$R$1063/2</f>
        <v>0</v>
      </c>
      <c r="X1130">
        <f>T1130*$R$1063/2</f>
        <v>0</v>
      </c>
      <c r="Z1130">
        <f>IF(S1130=0,0,$AD$1063*$AP$1048)</f>
        <v>0</v>
      </c>
      <c r="AA1130">
        <f>IFERROR(Z1130/$R$1063,0)</f>
        <v>0</v>
      </c>
      <c r="AB1130">
        <f>Z1130*($F$24+IF($F$24=0,0,($C$14+$C$15+IF($C$13="single",1.5,3)+3)/12))</f>
        <v>0</v>
      </c>
      <c r="AC1130">
        <f>AB1130-W1130</f>
        <v>0</v>
      </c>
      <c r="AD1130" cm="1">
        <f t="array" ref="AD1130">IFERROR(IF(AC1130&lt;0,0,AC1130/($R$1063-INDEX(hd_off,MATCH(AQ1130,hd_mark,0),0)/12)),0)</f>
        <v>0</v>
      </c>
      <c r="AE1130">
        <f>IF(S1130=0,0,$AD$1063*$AM$1048)</f>
        <v>0</v>
      </c>
      <c r="AF1130">
        <f>IFERROR(AE1130/$R$1063,0)</f>
        <v>0</v>
      </c>
      <c r="AG1130">
        <f>AE1130*($F$24+IF($F$24=0,0,($C$14+$C$15+IF($C$13="single",1.5,3)+3)/12))</f>
        <v>0</v>
      </c>
      <c r="AH1130">
        <f>AG1130-X1130</f>
        <v>0</v>
      </c>
      <c r="AI1130" cm="1">
        <f t="array" ref="AI1130">IFERROR(IF(AH1130&lt;0,0,AH1130/($R$1063-INDEX(hd_off,MATCH(AQ1130,hd_mark,0),0)/12)),0)</f>
        <v>0</v>
      </c>
      <c r="AJ1130">
        <f>MAX($F$24,$AB$1063)/$Q$1076</f>
        <v>0</v>
      </c>
      <c r="AK1130">
        <f t="shared" si="696"/>
        <v>0</v>
      </c>
      <c r="AL1130" cm="1">
        <f t="array" ref="AL1130">IFERROR(INDEX(sheath_ecap_asd,MATCH(AP1130,sheath_mark,0),0)*AK1130,0)</f>
        <v>0</v>
      </c>
      <c r="AM1130" cm="1">
        <f t="array" ref="AM1130">IFERROR(INDEX(sheath_wcap_asd,MATCH(AP1130,sheath_mark,0),0)*AK1130,0)</f>
        <v>0</v>
      </c>
      <c r="AN1130" cm="1">
        <f t="array" ref="AN1130">IFERROR(INDEX(hd_cap,MATCH(AQ1130,hd_mark,0),0),0)</f>
        <v>0</v>
      </c>
      <c r="AP1130" s="19"/>
      <c r="AQ1130" s="19"/>
      <c r="AR1130" s="100"/>
      <c r="AS1130" s="93"/>
      <c r="AT1130" s="111">
        <f>$R$1063</f>
        <v>0</v>
      </c>
      <c r="AU1130" t="str">
        <f>$Q$1048</f>
        <v>L5</v>
      </c>
      <c r="AV1130">
        <f>$E$24</f>
        <v>0</v>
      </c>
      <c r="AW1130" cm="1">
        <f t="array" ref="AW1130">IFERROR(IF(AV1130=0,0,(INDEX($C$33:$C$38,MATCH($AZ$1063,$B$33:$B$38,0),0)*(AV1131+$BA$1063)+$AW$1063*COUNTIF(AV1130:AV1130,"&gt;0")*$C$32+$AY$1063*$C$31)*$AU$1063),0)</f>
        <v>0</v>
      </c>
      <c r="AX1130">
        <f>IF(AV1130=0,0,-(COUNTIF(AV1130:AV1130,"&gt;0")*$AW$1063*$C$32+$AY$1063*$C$31)*$H$27*$AU$1063)</f>
        <v>0</v>
      </c>
      <c r="AY1130">
        <f>IF(AV1130=0,0,$AY$1063*$H$26*$AU$1063)</f>
        <v>0</v>
      </c>
      <c r="AZ1130">
        <f>(0.6*AW1130+0.7*AX1130)*$AU$1063/2</f>
        <v>0</v>
      </c>
      <c r="BA1130">
        <f>AW1130*$AU$1063/2</f>
        <v>0</v>
      </c>
      <c r="BC1130">
        <f>IF(AV1130=0,0,$BG$1063*$AP$1048)</f>
        <v>0</v>
      </c>
      <c r="BD1130">
        <f>IFERROR(BC1130/$AU$1063,0)</f>
        <v>0</v>
      </c>
      <c r="BE1130">
        <f>BC1130*($F$24+IF($F$24=0,0,($C$14+$C$15+IF($C$13="single",1.5,3)+3)/12))</f>
        <v>0</v>
      </c>
      <c r="BF1130">
        <f>BE1130-AZ1130</f>
        <v>0</v>
      </c>
      <c r="BG1130" cm="1">
        <f t="array" ref="BG1130">IFERROR(IF(BF1130&lt;0,0,BF1130/($AU$1063-INDEX(hd_off,MATCH(BT1130,hd_mark,0),0)/12)),0)</f>
        <v>0</v>
      </c>
      <c r="BH1130">
        <f>IF(AV1130=0,0,$BG$1063*$AM$1048)</f>
        <v>0</v>
      </c>
      <c r="BI1130">
        <f>IFERROR(BH1130/$AU$1063,0)</f>
        <v>0</v>
      </c>
      <c r="BJ1130">
        <f>BH1130*($F$24+IF($F$24=0,0,($C$14+$C$15+IF($C$13="single",1.5,3)+3)/12))</f>
        <v>0</v>
      </c>
      <c r="BK1130">
        <f>BJ1130-BA1130</f>
        <v>0</v>
      </c>
      <c r="BL1130" cm="1">
        <f t="array" ref="BL1130">IFERROR(IF(BK1130&lt;0,0,BK1130/($AU$1063-INDEX(hd_off,MATCH(BT1130,hd_mark,0),0)/12)),0)</f>
        <v>0</v>
      </c>
      <c r="BM1130">
        <f>MAX($F$24,$BE$1063)/$Q$1076</f>
        <v>0</v>
      </c>
      <c r="BN1130">
        <f t="shared" si="697"/>
        <v>0</v>
      </c>
      <c r="BO1130" cm="1">
        <f t="array" ref="BO1130">IFERROR(INDEX(sheath_ecap_asd,MATCH(BS1130,sheath_mark,0),0)*BN1130,0)</f>
        <v>0</v>
      </c>
      <c r="BP1130" cm="1">
        <f t="array" ref="BP1130">IFERROR(INDEX(sheath_wcap_asd,MATCH(BS1130,sheath_mark,0),0)*BN1130,0)</f>
        <v>0</v>
      </c>
      <c r="BQ1130" cm="1">
        <f t="array" ref="BQ1130">IFERROR(INDEX(hd_cap,MATCH(BT1130,hd_mark,0),0),0)</f>
        <v>0</v>
      </c>
      <c r="BS1130" s="19"/>
      <c r="BT1130" s="19"/>
      <c r="BU1130" s="100"/>
    </row>
    <row r="1131" x14ac:dyDescent="0.25">
      <c r="P1131" s="93"/>
      <c r="Q1131" s="109"/>
      <c r="R1131" t="str">
        <f>$Q$1049</f>
        <v>Roof</v>
      </c>
      <c r="S1131">
        <f>$E$25</f>
        <v>33.171875</v>
      </c>
      <c r="T1131" cm="1">
        <f t="array" ref="T1131">IFERROR(IF(S1131=0,0,(INDEX($C$33:$C$38,MATCH($W$1063,$B$33:$B$38,0),0)*(S1131+$X$1063)+$V$1063*$C$31)*$R$1063),0)</f>
        <v>0</v>
      </c>
      <c r="U1131">
        <f>IF(S1131=0,0,-$V$1063*$C$31*$H$27*$R$1063)</f>
        <v>0</v>
      </c>
      <c r="V1131">
        <f>IF(S1131=0,0,$V$1063*$H$26*$R$1063)</f>
        <v>0</v>
      </c>
      <c r="W1131">
        <f>(0.6*T1131+0.7*U1131)*$R$1063/2</f>
        <v>0</v>
      </c>
      <c r="X1131">
        <f>T1131*$R$1063/2</f>
        <v>0</v>
      </c>
      <c r="Z1131">
        <f>IF(S1131=0,0,$AD$1063*$AP$1049)</f>
        <v>0</v>
      </c>
      <c r="AA1131">
        <f>IFERROR(Z1131/$R$1063,0)</f>
        <v>0</v>
      </c>
      <c r="AB1131">
        <f>Z1131*($F$25+($C$16+$C$17+IF($C$13="single",1.5,3)+3)/12)</f>
        <v>0</v>
      </c>
      <c r="AC1131">
        <f>AB1131-W1131</f>
        <v>0</v>
      </c>
      <c r="AD1131" cm="1">
        <f t="array" ref="AD1131">IFERROR(IF(AC1131&lt;0,0,AC1131/($R$1063-INDEX(hd_off,MATCH(AQ1131,hd_mark,0),0)/12)),0)</f>
        <v>0</v>
      </c>
      <c r="AE1131">
        <f>IF(S1131=0,0,$AD$1063*$AM$1049)</f>
        <v>0</v>
      </c>
      <c r="AF1131">
        <f>IFERROR(AE1131/$R$1063,0)</f>
        <v>0</v>
      </c>
      <c r="AG1131">
        <f>AE1131*($F$25+($C$16+$C$17+IF($C$13="single",1.5,3)+3)/12)</f>
        <v>0</v>
      </c>
      <c r="AH1131">
        <f>AG1131-X1131</f>
        <v>0</v>
      </c>
      <c r="AI1131" cm="1">
        <f t="array" ref="AI1131">IFERROR(IF(AH1131&lt;0,0,AH1131/($R$1063-INDEX(hd_off,MATCH(AQ1131,hd_mark,0),0)/12)),0)</f>
        <v>0</v>
      </c>
      <c r="AJ1131">
        <f>MAX($F$25,$AC$1063)/$Q$1076</f>
        <v>0.29920977011494249</v>
      </c>
      <c r="AK1131">
        <f t="shared" si="696"/>
        <v>1</v>
      </c>
      <c r="AL1131" cm="1">
        <f t="array" ref="AL1131">IFERROR(INDEX(sheath_ecap_asd,MATCH(AP1131,sheath_mark,0),0)*AK1131,0)</f>
        <v>0</v>
      </c>
      <c r="AM1131" cm="1">
        <f t="array" ref="AM1131">IFERROR(INDEX(sheath_wcap_asd,MATCH(AP1131,sheath_mark,0),0)*AK1131,0)</f>
        <v>0</v>
      </c>
      <c r="AN1131" cm="1">
        <f t="array" ref="AN1131">IFERROR(INDEX(hd_cap,MATCH(AQ1131,hd_mark,0),0),0)</f>
        <v>0</v>
      </c>
      <c r="AP1131" s="19"/>
      <c r="AQ1131" s="19"/>
      <c r="AR1131" s="100"/>
      <c r="AS1131" s="93"/>
      <c r="AT1131" s="109"/>
      <c r="AU1131" t="str">
        <f>$Q$1049</f>
        <v>Roof</v>
      </c>
      <c r="AV1131">
        <f>$E$25</f>
        <v>33.171875</v>
      </c>
      <c r="AW1131" cm="1">
        <f t="array" ref="AW1131">IFERROR(IF(AV1131=0,0,(INDEX($C$33:$C$38,MATCH($AZ$1063,$B$33:$B$38,0),0)*(AV1131+$BA$1063)+$AY$1063*$C$31)*$AU$1063),0)</f>
        <v>0</v>
      </c>
      <c r="AX1131">
        <f>IF(AV1131=0,0,-$AY$1063*$C$31*$H$27*$AU$1063)</f>
        <v>0</v>
      </c>
      <c r="AY1131">
        <f>IF(AV1131=0,0,$AY$1063*$H$26*$AU$1063)</f>
        <v>0</v>
      </c>
      <c r="AZ1131">
        <f>(0.6*AW1131+0.7*AX1131)*$AU$1063/2</f>
        <v>0</v>
      </c>
      <c r="BA1131">
        <f>AW1131*$AU$1063/2</f>
        <v>0</v>
      </c>
      <c r="BC1131">
        <f>IF(AV1131=0,0,$BG$1063*$AP$1049)</f>
        <v>0</v>
      </c>
      <c r="BD1131">
        <f>IFERROR(BC1131/$AU$1063,0)</f>
        <v>0</v>
      </c>
      <c r="BE1131">
        <f>BC1131*($F$25+($C$16+$C$17+IF($C$13="single",1.5,3)+3)/12)</f>
        <v>0</v>
      </c>
      <c r="BF1131">
        <f>BE1131-AZ1131</f>
        <v>0</v>
      </c>
      <c r="BG1131" cm="1">
        <f t="array" ref="BG1131">IFERROR(IF(BF1131&lt;0,0,BF1131/($AU$1063-INDEX(hd_off,MATCH(BT1131,hd_mark,0),0)/12)),0)</f>
        <v>0</v>
      </c>
      <c r="BH1131">
        <f>IF(AV1131=0,0,$BG$1063*$AM$1049)</f>
        <v>0</v>
      </c>
      <c r="BI1131">
        <f>IFERROR(BH1131/$AU$1063,0)</f>
        <v>0</v>
      </c>
      <c r="BJ1131">
        <f>BH1131*($F$25+($C$16+$C$17+IF($C$13="single",1.5,3)+3)/12)</f>
        <v>0</v>
      </c>
      <c r="BK1131">
        <f>BJ1131-BA1131</f>
        <v>0</v>
      </c>
      <c r="BL1131" cm="1">
        <f t="array" ref="BL1131">IFERROR(IF(BK1131&lt;0,0,BK1131/($AU$1063-INDEX(hd_off,MATCH(BT1131,hd_mark,0),0)/12)),0)</f>
        <v>0</v>
      </c>
      <c r="BM1131">
        <f>MAX($F$25,$BF$1063)/$Q$1076</f>
        <v>0.29920977011494249</v>
      </c>
      <c r="BN1131">
        <f t="shared" si="697"/>
        <v>1</v>
      </c>
      <c r="BO1131" cm="1">
        <f t="array" ref="BO1131">IFERROR(INDEX(sheath_ecap_asd,MATCH(BS1131,sheath_mark,0),0)*BN1131,0)</f>
        <v>0</v>
      </c>
      <c r="BP1131" cm="1">
        <f t="array" ref="BP1131">IFERROR(INDEX(sheath_wcap_asd,MATCH(BS1131,sheath_mark,0),0)*BN1131,0)</f>
        <v>0</v>
      </c>
      <c r="BQ1131" cm="1">
        <f t="array" ref="BQ1131">IFERROR(INDEX(hd_cap,MATCH(BT1131,hd_mark,0),0),0)</f>
        <v>0</v>
      </c>
      <c r="BS1131" s="19"/>
      <c r="BT1131" s="19"/>
      <c r="BU1131" s="100"/>
    </row>
    <row r="1132" x14ac:dyDescent="0.25">
      <c r="P1132" s="93"/>
      <c r="AR1132" s="100"/>
      <c r="AS1132" s="93"/>
      <c r="BU1132" s="100"/>
    </row>
    <row r="1133" x14ac:dyDescent="0.25">
      <c r="P1133" s="93"/>
      <c r="Q1133" s="110" t="str">
        <f>$Q$1064</f>
        <v>A.11</v>
      </c>
      <c r="R1133" t="str">
        <f>$Q$1045</f>
        <v>L2</v>
      </c>
      <c r="S1133">
        <f>$E$21</f>
        <v>10.6875</v>
      </c>
      <c r="T1133" cm="1">
        <f t="array" ref="T1133">IFERROR(IF(S1133=0,0,(INDEX($C$33:$C$38,MATCH($W$1064,$B$33:$B$38,0),0)*(S1137+$X$1064)+$T$1064*COUNTIF(S1133:S1136,"&gt;0")*$C$32+$V$1064*$C$31)*$R$1064),0)</f>
        <v>0</v>
      </c>
      <c r="U1133">
        <f>IF(S1133=0,0,-(COUNTIF(S1133:S1136,"&gt;0")*$T$1064*$C$32+$V$1064*$C$31)*$H$27*$R$1064)</f>
        <v>0</v>
      </c>
      <c r="V1133">
        <f>IF(S1133=0,0,$V$1064*$H$26*$R$1064)</f>
        <v>0</v>
      </c>
      <c r="W1133">
        <f>(0.6*T1133+0.7*U1133)*$R$1064/2</f>
        <v>0</v>
      </c>
      <c r="X1133">
        <f>(0.6*T1133+0.6*V1133)*$R$1064/2</f>
        <v>0</v>
      </c>
      <c r="Z1133">
        <f>IF(S1133=0,0,$AD$1064*$AP$1045)</f>
        <v>0</v>
      </c>
      <c r="AA1133">
        <f>IFERROR(Z1133/$R$1064,0)</f>
        <v>0</v>
      </c>
      <c r="AB1133">
        <f>Z1133*($F$21+IF($F$21=0,0,($C$14+$C$15+IF($C$13="single",1.5,3)+3)/12))</f>
        <v>0</v>
      </c>
      <c r="AC1133">
        <f>AB1133-W1133</f>
        <v>0</v>
      </c>
      <c r="AD1133" cm="1">
        <f t="array" ref="AD1133">IFERROR(IF(AC1133&lt;0,0,AC1133/($R$1064-INDEX(hd_off,MATCH(AQ1133,hd_mark,0),0)/12)),0)</f>
        <v>0</v>
      </c>
      <c r="AE1133">
        <f>IF(S1133=0,0,$AD$1064*$AM$1045)</f>
        <v>0</v>
      </c>
      <c r="AF1133">
        <f>IFERROR(AE1133/$R$1064,0)</f>
        <v>0</v>
      </c>
      <c r="AG1133">
        <f>AE1133*($F$21+IF($F$21=0,0,($C$14+$C$15+IF($C$13="single",1.5,3)+3)/12))</f>
        <v>0</v>
      </c>
      <c r="AH1133">
        <f>AG1133-X1133</f>
        <v>0</v>
      </c>
      <c r="AI1133" cm="1">
        <f t="array" ref="AI1133">IFERROR(IF(AH1133&lt;0,0,AH1133/($R$1064-INDEX(hd_off,MATCH(AQ1133,hd_mark,0),0)/12)),0)</f>
        <v>0</v>
      </c>
      <c r="AJ1133">
        <f>MAX($F$21,$Y$1064)/$Q$1076</f>
        <v>0.30172413793103448</v>
      </c>
      <c r="AK1133">
        <f>IF(AJ1133=0,0,IF(AJ1133&gt;2,1.25-0.125*AJ1133,1))</f>
        <v>1</v>
      </c>
      <c r="AL1133" cm="1">
        <f t="array" ref="AL1133">IFERROR(INDEX(sheath_ecap_asd,MATCH(AP1133,sheath_mark,0),0)*AK1133,0)</f>
        <v>0</v>
      </c>
      <c r="AM1133" cm="1">
        <f t="array" ref="AM1133">IFERROR(INDEX(sheath_wcap_asd,MATCH(AP1133,sheath_mark,0),0)*AK1133,0)</f>
        <v>0</v>
      </c>
      <c r="AN1133" cm="1">
        <f t="array" ref="AN1133">IFERROR(INDEX(hd_cap,MATCH(AQ1133,hd_mark,0),0),0)</f>
        <v>0</v>
      </c>
      <c r="AP1133" s="19"/>
      <c r="AQ1133" s="19"/>
      <c r="AR1133" s="100"/>
      <c r="AS1133" s="93"/>
      <c r="AT1133" s="110" t="str">
        <f>$AT$1064</f>
        <v>1.11</v>
      </c>
      <c r="AU1133" t="str">
        <f>$Q$1045</f>
        <v>L2</v>
      </c>
      <c r="AV1133">
        <f>$E$21</f>
        <v>10.6875</v>
      </c>
      <c r="AW1133" cm="1">
        <f t="array" ref="AW1133">IFERROR(IF(AV1133=0,0,(INDEX($C$33:$C$38,MATCH($AZ$1064,$B$33:$B$38,0),0)*(AV1137+$BA$1064)+$AW$1064*COUNTIF(AV1133:AV1136,"&gt;0")*$C$32+$AY$1064*$C$31)*$AU$1064),0)</f>
        <v>0</v>
      </c>
      <c r="AX1133">
        <f>IF(AV1133=0,0,-(COUNTIF(AV1133:AV1136,"&gt;0")*$AW$1064*$C$32+$AY$1064*$C$31)*$H$27*$AU$1064)</f>
        <v>0</v>
      </c>
      <c r="AY1133">
        <f>IF(AV1133=0,0,$AY$1064*$H$26*$AU$1064)</f>
        <v>0</v>
      </c>
      <c r="AZ1133">
        <f>(0.6*AW1133+0.7*AX1133)*$AU$1064/2</f>
        <v>0</v>
      </c>
      <c r="BA1133">
        <f>(0.6*AW1133+0.6*AY1133)*$AU$1064/2</f>
        <v>0</v>
      </c>
      <c r="BC1133">
        <f>IF(AV1133=0,0,$BG$1064*$AP$1045)</f>
        <v>0</v>
      </c>
      <c r="BD1133">
        <f>IFERROR(BC1133/$AU$1064,0)</f>
        <v>0</v>
      </c>
      <c r="BE1133">
        <f>BC1133*($F$21+IF($F$21=0,0,($C$14+$C$15+IF($C$13="single",1.5,3)+3)/12))</f>
        <v>0</v>
      </c>
      <c r="BF1133">
        <f>BE1133-AZ1133</f>
        <v>0</v>
      </c>
      <c r="BG1133" cm="1">
        <f t="array" ref="BG1133">IFERROR(IF(BF1133&lt;0,0,BF1133/($AU$1064-INDEX(hd_off,MATCH(BT1133,hd_mark,0),0)/12)),0)</f>
        <v>0</v>
      </c>
      <c r="BH1133">
        <f>IF(AV1133=0,0,$BG$1064*$AM$1045)</f>
        <v>0</v>
      </c>
      <c r="BI1133">
        <f>IFERROR(BH1133/$AU$1064,0)</f>
        <v>0</v>
      </c>
      <c r="BJ1133">
        <f>BH1133*($F$21+IF($F$21=0,0,($C$14+$C$15+IF($C$13="single",1.5,3)+3)/12))</f>
        <v>0</v>
      </c>
      <c r="BK1133">
        <f>BJ1133-BA1133</f>
        <v>0</v>
      </c>
      <c r="BL1133" cm="1">
        <f t="array" ref="BL1133">IFERROR(IF(BK1133&lt;0,0,BK1133/($AU$1064-INDEX(hd_off,MATCH(BT1133,hd_mark,0),0)/12)),0)</f>
        <v>0</v>
      </c>
      <c r="BM1133">
        <f>MAX($F$21,$BB$1064)/$Q$1076</f>
        <v>0.30172413793103448</v>
      </c>
      <c r="BN1133">
        <f>IF(BM1133=0,0,IF(BM1133&gt;2,1.25-0.125*BM1133,1))</f>
        <v>1</v>
      </c>
      <c r="BO1133" cm="1">
        <f t="array" ref="BO1133">IFERROR(INDEX(sheath_ecap_asd,MATCH(BS1133,sheath_mark,0),0)*BN1133,0)</f>
        <v>0</v>
      </c>
      <c r="BP1133" cm="1">
        <f t="array" ref="BP1133">IFERROR(INDEX(sheath_wcap_asd,MATCH(BS1133,sheath_mark,0),0)*BN1133,0)</f>
        <v>0</v>
      </c>
      <c r="BQ1133" cm="1">
        <f t="array" ref="BQ1133">IFERROR(INDEX(hd_cap,MATCH(BT1133,hd_mark,0),0),0)</f>
        <v>0</v>
      </c>
      <c r="BS1133" s="19"/>
      <c r="BT1133" s="19"/>
      <c r="BU1133" s="100"/>
    </row>
    <row r="1134" x14ac:dyDescent="0.25">
      <c r="P1134" s="93"/>
      <c r="Q1134" s="109"/>
      <c r="R1134" t="str">
        <f>$Q$1046</f>
        <v>L3</v>
      </c>
      <c r="S1134">
        <f>$E$22</f>
        <v>21.375</v>
      </c>
      <c r="T1134" cm="1">
        <f t="array" ref="T1134">IFERROR(IF(S1134=0,0,(INDEX($C$33:$C$38,MATCH($W$1064,$B$33:$B$38,0),0)*(S1137+$X$1064)+$T$1064*COUNTIF(S1134:S1136,"&gt;0")*$C$32+$V$1064*$C$31)*$R$1064),0)</f>
        <v>0</v>
      </c>
      <c r="U1134">
        <f>IF(S1134=0,0,-(COUNTIF(S1134:S1136,"&gt;0")*$T$1064*$C$32+$V$1064*$C$31)*$H$27*$R$1064)</f>
        <v>0</v>
      </c>
      <c r="V1134">
        <f>IF(S1134=0,0,$V$1064*$H$26*$R$1064)</f>
        <v>0</v>
      </c>
      <c r="W1134">
        <f>(0.6*T1134+0.7*U1134)*$R$1064/2</f>
        <v>0</v>
      </c>
      <c r="X1134">
        <f>T1134*$R$1064/2</f>
        <v>0</v>
      </c>
      <c r="Z1134">
        <f>IF(S1134=0,0,$AD$1064*$AP$1046)</f>
        <v>0</v>
      </c>
      <c r="AA1134">
        <f>IFERROR(Z1134/$R$1064,0)</f>
        <v>0</v>
      </c>
      <c r="AB1134">
        <f>Z1134*($F$22+IF($F$22=0,0,($C$14+$C$15+IF($C$13="single",1.5,3)+3)/12))</f>
        <v>0</v>
      </c>
      <c r="AC1134">
        <f>AB1134-W1134</f>
        <v>0</v>
      </c>
      <c r="AD1134" cm="1">
        <f t="array" ref="AD1134">IFERROR(IF(AC1134&lt;0,0,AC1134/($R$1064-INDEX(hd_off,MATCH(AQ1134,hd_mark,0),0)/12)),0)</f>
        <v>0</v>
      </c>
      <c r="AE1134">
        <f>IF(S1134=0,0,$AD$1064*$AM$1046)</f>
        <v>0</v>
      </c>
      <c r="AF1134">
        <f>IFERROR(AE1134/$R$1064,0)</f>
        <v>0</v>
      </c>
      <c r="AG1134">
        <f>AE1134*($F$22+IF($F$22=0,0,($C$14+$C$15+IF($C$13="single",1.5,3)+3)/12))</f>
        <v>0</v>
      </c>
      <c r="AH1134">
        <f>AG1134-X1134</f>
        <v>0</v>
      </c>
      <c r="AI1134" cm="1">
        <f t="array" ref="AI1134">IFERROR(IF(AH1134&lt;0,0,AH1134/($R$1064-INDEX(hd_off,MATCH(AQ1134,hd_mark,0),0)/12)),0)</f>
        <v>0</v>
      </c>
      <c r="AJ1134">
        <f>MAX($F$22,$Z$1064)/$Q$1076</f>
        <v>0.30172413793103448</v>
      </c>
      <c r="AK1134">
        <f t="shared" ref="AK1134:AK1137" si="698">IF(AJ1134=0,0,IF(AJ1134&gt;2,1.25-0.125*AJ1134,1))</f>
        <v>1</v>
      </c>
      <c r="AL1134" cm="1">
        <f t="array" ref="AL1134">IFERROR(INDEX(sheath_ecap_asd,MATCH(AP1134,sheath_mark,0),0)*AK1134,0)</f>
        <v>0</v>
      </c>
      <c r="AM1134" cm="1">
        <f t="array" ref="AM1134">IFERROR(INDEX(sheath_wcap_asd,MATCH(AP1134,sheath_mark,0),0)*AK1134,0)</f>
        <v>0</v>
      </c>
      <c r="AN1134" cm="1">
        <f t="array" ref="AN1134">IFERROR(INDEX(hd_cap,MATCH(AQ1134,hd_mark,0),0),0)</f>
        <v>0</v>
      </c>
      <c r="AP1134" s="19"/>
      <c r="AQ1134" s="19"/>
      <c r="AR1134" s="100"/>
      <c r="AS1134" s="93"/>
      <c r="AT1134" s="109"/>
      <c r="AU1134" t="str">
        <f>$Q$1046</f>
        <v>L3</v>
      </c>
      <c r="AV1134">
        <f>$E$22</f>
        <v>21.375</v>
      </c>
      <c r="AW1134" cm="1">
        <f t="array" ref="AW1134">IFERROR(IF(AV1134=0,0,(INDEX($C$33:$C$38,MATCH($AZ$1064,$B$33:$B$38,0),0)*(AV1137+$BA$1064)+$AW$1064*COUNTIF(AV1134:AV1136,"&gt;0")*$C$32+$AY$1064*$C$31)*$AU$1064),0)</f>
        <v>0</v>
      </c>
      <c r="AX1134">
        <f>IF(AV1134=0,0,-(COUNTIF(AV1134:AV1136,"&gt;0")*$AW$1064*$C$32+$AY$1064*$C$31)*$H$27*$AU$1064)</f>
        <v>0</v>
      </c>
      <c r="AY1134">
        <f>IF(AV1134=0,0,$AY$1064*$H$26*$AU$1064)</f>
        <v>0</v>
      </c>
      <c r="AZ1134">
        <f>(0.6*AW1134+0.7*AX1134)*$AU$1064/2</f>
        <v>0</v>
      </c>
      <c r="BA1134">
        <f>AW1134*$AU$1064/2</f>
        <v>0</v>
      </c>
      <c r="BC1134">
        <f>IF(AV1134=0,0,$BG$1064*$AP$1046)</f>
        <v>0</v>
      </c>
      <c r="BD1134">
        <f>IFERROR(BC1134/$AU$1064,0)</f>
        <v>0</v>
      </c>
      <c r="BE1134">
        <f>BC1134*($F$22+IF($F$22=0,0,($C$14+$C$15+IF($C$13="single",1.5,3)+3)/12))</f>
        <v>0</v>
      </c>
      <c r="BF1134">
        <f>BE1134-AZ1134</f>
        <v>0</v>
      </c>
      <c r="BG1134" cm="1">
        <f t="array" ref="BG1134">IFERROR(IF(BF1134&lt;0,0,BF1134/($AU$1064-INDEX(hd_off,MATCH(BT1134,hd_mark,0),0)/12)),0)</f>
        <v>0</v>
      </c>
      <c r="BH1134">
        <f>IF(AV1134=0,0,$BG$1064*$AM$1046)</f>
        <v>0</v>
      </c>
      <c r="BI1134">
        <f>IFERROR(BH1134/$AU$1064,0)</f>
        <v>0</v>
      </c>
      <c r="BJ1134">
        <f>BH1134*($F$22+IF($F$22=0,0,($C$14+$C$15+IF($C$13="single",1.5,3)+3)/12))</f>
        <v>0</v>
      </c>
      <c r="BK1134">
        <f>BJ1134-BA1134</f>
        <v>0</v>
      </c>
      <c r="BL1134" cm="1">
        <f t="array" ref="BL1134">IFERROR(IF(BK1134&lt;0,0,BK1134/($AU$1064-INDEX(hd_off,MATCH(BT1134,hd_mark,0),0)/12)),0)</f>
        <v>0</v>
      </c>
      <c r="BM1134">
        <f>MAX($F$22,$BC$1064)/$Q$1076</f>
        <v>0.30172413793103448</v>
      </c>
      <c r="BN1134">
        <f t="shared" ref="BN1134:BN1137" si="699">IF(BM1134=0,0,IF(BM1134&gt;2,1.25-0.125*BM1134,1))</f>
        <v>1</v>
      </c>
      <c r="BO1134" cm="1">
        <f t="array" ref="BO1134">IFERROR(INDEX(sheath_ecap_asd,MATCH(BS1134,sheath_mark,0),0)*BN1134,0)</f>
        <v>0</v>
      </c>
      <c r="BP1134" cm="1">
        <f t="array" ref="BP1134">IFERROR(INDEX(sheath_wcap_asd,MATCH(BS1134,sheath_mark,0),0)*BN1134,0)</f>
        <v>0</v>
      </c>
      <c r="BQ1134" cm="1">
        <f t="array" ref="BQ1134">IFERROR(INDEX(hd_cap,MATCH(BT1134,hd_mark,0),0),0)</f>
        <v>0</v>
      </c>
      <c r="BS1134" s="19"/>
      <c r="BT1134" s="19"/>
      <c r="BU1134" s="100"/>
    </row>
    <row r="1135" x14ac:dyDescent="0.25">
      <c r="P1135" s="93"/>
      <c r="Q1135" s="109" t="s">
        <v>491</v>
      </c>
      <c r="R1135" t="str">
        <f>$Q$1047</f>
        <v>L4</v>
      </c>
      <c r="S1135">
        <f>$E$23</f>
        <v>0</v>
      </c>
      <c r="T1135" cm="1">
        <f t="array" ref="T1135">IFERROR(IF(S1135=0,0,(INDEX($C$33:$C$38,MATCH($W$1064,$B$33:$B$38,0),0)*(S1137+$X$1064)+$T$1064*COUNTIF(S1135:S1136,"&gt;0")*$C$32+$V$1064*$C$31)*$R$1064),0)</f>
        <v>0</v>
      </c>
      <c r="U1135">
        <f>IF(S1135=0,0,-(COUNTIF(S1135:S1136,"&gt;0")*$T$1064*$C$32+$V$1064*$C$31)*$H$27*$R$1064)</f>
        <v>0</v>
      </c>
      <c r="V1135">
        <f>IF(S1135=0,0,$V$1064*$H$26*$R$1064)</f>
        <v>0</v>
      </c>
      <c r="W1135">
        <f>(0.6*T1135+0.7*U1135)*$R$1064/2</f>
        <v>0</v>
      </c>
      <c r="X1135">
        <f>T1135*$R$1064/2</f>
        <v>0</v>
      </c>
      <c r="Z1135">
        <f>IF(S1135=0,0,$AD$1064*$AP$1047)</f>
        <v>0</v>
      </c>
      <c r="AA1135">
        <f>IFERROR(Z1135/$R$1064,0)</f>
        <v>0</v>
      </c>
      <c r="AB1135">
        <f>Z1135*($F$23+IF($F$23=0,0,($C$14+$C$15+IF($C$13="single",1.5,3)+3)/12))</f>
        <v>0</v>
      </c>
      <c r="AC1135">
        <f>AB1135-W1135</f>
        <v>0</v>
      </c>
      <c r="AD1135" cm="1">
        <f t="array" ref="AD1135">IFERROR(IF(AC1135&lt;0,0,AC1135/($R$1064-INDEX(hd_off,MATCH(AQ1135,hd_mark,0),0)/12)),0)</f>
        <v>0</v>
      </c>
      <c r="AE1135">
        <f>IF(S1135=0,0,$AD$1064*$AM$1047)</f>
        <v>0</v>
      </c>
      <c r="AF1135">
        <f>IFERROR(AE1135/$R$1064,0)</f>
        <v>0</v>
      </c>
      <c r="AG1135">
        <f>AE1135*($F$23+IF($F$23=0,0,($C$14+$C$15+IF($C$13="single",1.5,3)+3)/12))</f>
        <v>0</v>
      </c>
      <c r="AH1135">
        <f>AG1135-X1135</f>
        <v>0</v>
      </c>
      <c r="AI1135" cm="1">
        <f t="array" ref="AI1135">IFERROR(IF(AH1135&lt;0,0,AH1135/($R$1064-INDEX(hd_off,MATCH(AQ1135,hd_mark,0),0)/12)),0)</f>
        <v>0</v>
      </c>
      <c r="AJ1135">
        <f>MAX($F$23,$AA$1064)/$Q$1076</f>
        <v>0</v>
      </c>
      <c r="AK1135">
        <f t="shared" si="698"/>
        <v>0</v>
      </c>
      <c r="AL1135" cm="1">
        <f t="array" ref="AL1135">IFERROR(INDEX(sheath_ecap_asd,MATCH(AP1135,sheath_mark,0),0)*AK1135,0)</f>
        <v>0</v>
      </c>
      <c r="AM1135" cm="1">
        <f t="array" ref="AM1135">IFERROR(INDEX(sheath_wcap_asd,MATCH(AP1135,sheath_mark,0),0)*AK1135,0)</f>
        <v>0</v>
      </c>
      <c r="AN1135" cm="1">
        <f t="array" ref="AN1135">IFERROR(INDEX(hd_cap,MATCH(AQ1135,hd_mark,0),0),0)</f>
        <v>0</v>
      </c>
      <c r="AP1135" s="19"/>
      <c r="AQ1135" s="19"/>
      <c r="AR1135" s="100"/>
      <c r="AS1135" s="93"/>
      <c r="AT1135" s="109" t="s">
        <v>491</v>
      </c>
      <c r="AU1135" t="str">
        <f>$Q$1047</f>
        <v>L4</v>
      </c>
      <c r="AV1135">
        <f>$E$23</f>
        <v>0</v>
      </c>
      <c r="AW1135" cm="1">
        <f t="array" ref="AW1135">IFERROR(IF(AV1135=0,0,(INDEX($C$33:$C$38,MATCH($AZ$1064,$B$33:$B$38,0),0)*(AV1137+$BA$1064)+$AW$1064*COUNTIF(AV1135:AV1136,"&gt;0")*$C$32+$AY$1064*$C$31)*$AU$1064),0)</f>
        <v>0</v>
      </c>
      <c r="AX1135">
        <f>IF(AV1135=0,0,-(COUNTIF(AV1135:AV1136,"&gt;0")*$AW$1064*$C$32+$AY$1064*$C$31)*$H$27*$AU$1064)</f>
        <v>0</v>
      </c>
      <c r="AY1135">
        <f>IF(AV1135=0,0,$AY$1064*$H$26*$AU$1064)</f>
        <v>0</v>
      </c>
      <c r="AZ1135">
        <f>(0.6*AW1135+0.7*AX1135)*$AU$1064/2</f>
        <v>0</v>
      </c>
      <c r="BA1135">
        <f>AW1135*$AU$1064/2</f>
        <v>0</v>
      </c>
      <c r="BC1135">
        <f>IF(AV1135=0,0,$BG$1064*$AP$1047)</f>
        <v>0</v>
      </c>
      <c r="BD1135">
        <f>IFERROR(BC1135/$AU$1064,0)</f>
        <v>0</v>
      </c>
      <c r="BE1135">
        <f>BC1135*($F$23+IF($F$23=0,0,($C$14+$C$15+IF($C$13="single",1.5,3)+3)/12))</f>
        <v>0</v>
      </c>
      <c r="BF1135">
        <f>BE1135-AZ1135</f>
        <v>0</v>
      </c>
      <c r="BG1135" cm="1">
        <f t="array" ref="BG1135">IFERROR(IF(BF1135&lt;0,0,BF1135/($AU$1064-INDEX(hd_off,MATCH(BT1135,hd_mark,0),0)/12)),0)</f>
        <v>0</v>
      </c>
      <c r="BH1135">
        <f>IF(AV1135=0,0,$BG$1064*$AM$1047)</f>
        <v>0</v>
      </c>
      <c r="BI1135">
        <f>IFERROR(BH1135/$AU$1064,0)</f>
        <v>0</v>
      </c>
      <c r="BJ1135">
        <f>BH1135*($F$23+IF($F$23=0,0,($C$14+$C$15+IF($C$13="single",1.5,3)+3)/12))</f>
        <v>0</v>
      </c>
      <c r="BK1135">
        <f>BJ1135-BA1135</f>
        <v>0</v>
      </c>
      <c r="BL1135" cm="1">
        <f t="array" ref="BL1135">IFERROR(IF(BK1135&lt;0,0,BK1135/($AU$1064-INDEX(hd_off,MATCH(BT1135,hd_mark,0),0)/12)),0)</f>
        <v>0</v>
      </c>
      <c r="BM1135">
        <f>MAX($F$23,$BD$1064)/$Q$1076</f>
        <v>0</v>
      </c>
      <c r="BN1135">
        <f t="shared" si="699"/>
        <v>0</v>
      </c>
      <c r="BO1135" cm="1">
        <f t="array" ref="BO1135">IFERROR(INDEX(sheath_ecap_asd,MATCH(BS1135,sheath_mark,0),0)*BN1135,0)</f>
        <v>0</v>
      </c>
      <c r="BP1135" cm="1">
        <f t="array" ref="BP1135">IFERROR(INDEX(sheath_wcap_asd,MATCH(BS1135,sheath_mark,0),0)*BN1135,0)</f>
        <v>0</v>
      </c>
      <c r="BQ1135" cm="1">
        <f t="array" ref="BQ1135">IFERROR(INDEX(hd_cap,MATCH(BT1135,hd_mark,0),0),0)</f>
        <v>0</v>
      </c>
      <c r="BS1135" s="19"/>
      <c r="BT1135" s="19"/>
      <c r="BU1135" s="100"/>
    </row>
    <row r="1136" x14ac:dyDescent="0.25">
      <c r="P1136" s="93"/>
      <c r="Q1136" s="111">
        <f>$R$1064</f>
        <v>0</v>
      </c>
      <c r="R1136" t="str">
        <f>$Q$1048</f>
        <v>L5</v>
      </c>
      <c r="S1136">
        <f>$E$24</f>
        <v>0</v>
      </c>
      <c r="T1136" cm="1">
        <f t="array" ref="T1136">IFERROR(IF(S1136=0,0,(INDEX($C$33:$C$38,MATCH($W$1064,$B$33:$B$38,0),0)*(S1137+$X$1064)+$T$1064*COUNTIF(S1136:S1136,"&gt;0")*$C$32+$V$1064*$C$31)*$R$1064),0)</f>
        <v>0</v>
      </c>
      <c r="U1136">
        <f>IF(S1136=0,0,-(COUNTIF(S1136:S1136,"&gt;0")*$T$1064*$C$32+$V$1064*$C$31)*$H$27*$R$1064)</f>
        <v>0</v>
      </c>
      <c r="V1136">
        <f>IF(S1136=0,0,$V$1064*$H$26*$R$1064)</f>
        <v>0</v>
      </c>
      <c r="W1136">
        <f>(0.6*T1136+0.7*U1136)*$R$1064/2</f>
        <v>0</v>
      </c>
      <c r="X1136">
        <f>T1136*$R$1064/2</f>
        <v>0</v>
      </c>
      <c r="Z1136">
        <f>IF(S1136=0,0,$AD$1064*$AP$1048)</f>
        <v>0</v>
      </c>
      <c r="AA1136">
        <f>IFERROR(Z1136/$R$1064,0)</f>
        <v>0</v>
      </c>
      <c r="AB1136">
        <f>Z1136*($F$24+IF($F$24=0,0,($C$14+$C$15+IF($C$13="single",1.5,3)+3)/12))</f>
        <v>0</v>
      </c>
      <c r="AC1136">
        <f>AB1136-W1136</f>
        <v>0</v>
      </c>
      <c r="AD1136" cm="1">
        <f t="array" ref="AD1136">IFERROR(IF(AC1136&lt;0,0,AC1136/($R$1064-INDEX(hd_off,MATCH(AQ1136,hd_mark,0),0)/12)),0)</f>
        <v>0</v>
      </c>
      <c r="AE1136">
        <f>IF(S1136=0,0,$AD$1064*$AM$1048)</f>
        <v>0</v>
      </c>
      <c r="AF1136">
        <f>IFERROR(AE1136/$R$1064,0)</f>
        <v>0</v>
      </c>
      <c r="AG1136">
        <f>AE1136*($F$24+IF($F$24=0,0,($C$14+$C$15+IF($C$13="single",1.5,3)+3)/12))</f>
        <v>0</v>
      </c>
      <c r="AH1136">
        <f>AG1136-X1136</f>
        <v>0</v>
      </c>
      <c r="AI1136" cm="1">
        <f t="array" ref="AI1136">IFERROR(IF(AH1136&lt;0,0,AH1136/($R$1064-INDEX(hd_off,MATCH(AQ1136,hd_mark,0),0)/12)),0)</f>
        <v>0</v>
      </c>
      <c r="AJ1136">
        <f>MAX($F$24,$AB$1064)/$Q$1076</f>
        <v>0</v>
      </c>
      <c r="AK1136">
        <f t="shared" si="698"/>
        <v>0</v>
      </c>
      <c r="AL1136" cm="1">
        <f t="array" ref="AL1136">IFERROR(INDEX(sheath_ecap_asd,MATCH(AP1136,sheath_mark,0),0)*AK1136,0)</f>
        <v>0</v>
      </c>
      <c r="AM1136" cm="1">
        <f t="array" ref="AM1136">IFERROR(INDEX(sheath_wcap_asd,MATCH(AP1136,sheath_mark,0),0)*AK1136,0)</f>
        <v>0</v>
      </c>
      <c r="AN1136" cm="1">
        <f t="array" ref="AN1136">IFERROR(INDEX(hd_cap,MATCH(AQ1136,hd_mark,0),0),0)</f>
        <v>0</v>
      </c>
      <c r="AP1136" s="19"/>
      <c r="AQ1136" s="19"/>
      <c r="AR1136" s="100"/>
      <c r="AS1136" s="93"/>
      <c r="AT1136" s="111">
        <f>$R$1064</f>
        <v>0</v>
      </c>
      <c r="AU1136" t="str">
        <f>$Q$1048</f>
        <v>L5</v>
      </c>
      <c r="AV1136">
        <f>$E$24</f>
        <v>0</v>
      </c>
      <c r="AW1136" cm="1">
        <f t="array" ref="AW1136">IFERROR(IF(AV1136=0,0,(INDEX($C$33:$C$38,MATCH($AZ$1064,$B$33:$B$38,0),0)*(AV1137+$BA$1064)+$AW$1064*COUNTIF(AV1136:AV1136,"&gt;0")*$C$32+$AY$1064*$C$31)*$AU$1064),0)</f>
        <v>0</v>
      </c>
      <c r="AX1136">
        <f>IF(AV1136=0,0,-(COUNTIF(AV1136:AV1136,"&gt;0")*$AW$1064*$C$32+$AY$1064*$C$31)*$H$27*$AU$1064)</f>
        <v>0</v>
      </c>
      <c r="AY1136">
        <f>IF(AV1136=0,0,$AY$1064*$H$26*$AU$1064)</f>
        <v>0</v>
      </c>
      <c r="AZ1136">
        <f>(0.6*AW1136+0.7*AX1136)*$AU$1064/2</f>
        <v>0</v>
      </c>
      <c r="BA1136">
        <f>AW1136*$AU$1064/2</f>
        <v>0</v>
      </c>
      <c r="BC1136">
        <f>IF(AV1136=0,0,$BG$1064*$AP$1048)</f>
        <v>0</v>
      </c>
      <c r="BD1136">
        <f>IFERROR(BC1136/$AU$1064,0)</f>
        <v>0</v>
      </c>
      <c r="BE1136">
        <f>BC1136*($F$24+IF($F$24=0,0,($C$14+$C$15+IF($C$13="single",1.5,3)+3)/12))</f>
        <v>0</v>
      </c>
      <c r="BF1136">
        <f>BE1136-AZ1136</f>
        <v>0</v>
      </c>
      <c r="BG1136" cm="1">
        <f t="array" ref="BG1136">IFERROR(IF(BF1136&lt;0,0,BF1136/($AU$1064-INDEX(hd_off,MATCH(BT1136,hd_mark,0),0)/12)),0)</f>
        <v>0</v>
      </c>
      <c r="BH1136">
        <f>IF(AV1136=0,0,$BG$1064*$AM$1048)</f>
        <v>0</v>
      </c>
      <c r="BI1136">
        <f>IFERROR(BH1136/$AU$1064,0)</f>
        <v>0</v>
      </c>
      <c r="BJ1136">
        <f>BH1136*($F$24+IF($F$24=0,0,($C$14+$C$15+IF($C$13="single",1.5,3)+3)/12))</f>
        <v>0</v>
      </c>
      <c r="BK1136">
        <f>BJ1136-BA1136</f>
        <v>0</v>
      </c>
      <c r="BL1136" cm="1">
        <f t="array" ref="BL1136">IFERROR(IF(BK1136&lt;0,0,BK1136/($AU$1064-INDEX(hd_off,MATCH(BT1136,hd_mark,0),0)/12)),0)</f>
        <v>0</v>
      </c>
      <c r="BM1136">
        <f>MAX($F$24,$BE$1064)/$Q$1076</f>
        <v>0</v>
      </c>
      <c r="BN1136">
        <f t="shared" si="699"/>
        <v>0</v>
      </c>
      <c r="BO1136" cm="1">
        <f t="array" ref="BO1136">IFERROR(INDEX(sheath_ecap_asd,MATCH(BS1136,sheath_mark,0),0)*BN1136,0)</f>
        <v>0</v>
      </c>
      <c r="BP1136" cm="1">
        <f t="array" ref="BP1136">IFERROR(INDEX(sheath_wcap_asd,MATCH(BS1136,sheath_mark,0),0)*BN1136,0)</f>
        <v>0</v>
      </c>
      <c r="BQ1136" cm="1">
        <f t="array" ref="BQ1136">IFERROR(INDEX(hd_cap,MATCH(BT1136,hd_mark,0),0),0)</f>
        <v>0</v>
      </c>
      <c r="BS1136" s="19"/>
      <c r="BT1136" s="19"/>
      <c r="BU1136" s="100"/>
    </row>
    <row r="1137" x14ac:dyDescent="0.25">
      <c r="P1137" s="93"/>
      <c r="Q1137" s="109"/>
      <c r="R1137" t="str">
        <f>$Q$1049</f>
        <v>Roof</v>
      </c>
      <c r="S1137">
        <f>$E$25</f>
        <v>33.171875</v>
      </c>
      <c r="T1137" cm="1">
        <f t="array" ref="T1137">IFERROR(IF(S1137=0,0,(INDEX($C$33:$C$38,MATCH($W$1064,$B$33:$B$38,0),0)*(S1137+$X$1064)+$V$1064*$C$31)*$R$1064),0)</f>
        <v>0</v>
      </c>
      <c r="U1137">
        <f>IF(S1137=0,0,-$V$1064*$C$31*$H$27*$R$1064)</f>
        <v>0</v>
      </c>
      <c r="V1137">
        <f>IF(S1137=0,0,$V$1064*$H$26*$R$1064)</f>
        <v>0</v>
      </c>
      <c r="W1137">
        <f>(0.6*T1137+0.7*U1137)*$R$1064/2</f>
        <v>0</v>
      </c>
      <c r="X1137">
        <f>T1137*$R$1064/2</f>
        <v>0</v>
      </c>
      <c r="Z1137">
        <f>IF(S1137=0,0,$AD$1064*$AP$1049)</f>
        <v>0</v>
      </c>
      <c r="AA1137">
        <f>IFERROR(Z1137/$R$1064,0)</f>
        <v>0</v>
      </c>
      <c r="AB1137">
        <f>Z1137*($F$25+($C$16+$C$17+IF($C$13="single",1.5,3)+3)/12)</f>
        <v>0</v>
      </c>
      <c r="AC1137">
        <f>AB1137-W1137</f>
        <v>0</v>
      </c>
      <c r="AD1137" cm="1">
        <f t="array" ref="AD1137">IFERROR(IF(AC1137&lt;0,0,AC1137/($R$1064-INDEX(hd_off,MATCH(AQ1137,hd_mark,0),0)/12)),0)</f>
        <v>0</v>
      </c>
      <c r="AE1137">
        <f>IF(S1137=0,0,$AD$1064*$AM$1049)</f>
        <v>0</v>
      </c>
      <c r="AF1137">
        <f>IFERROR(AE1137/$R$1064,0)</f>
        <v>0</v>
      </c>
      <c r="AG1137">
        <f>AE1137*($F$25+($C$16+$C$17+IF($C$13="single",1.5,3)+3)/12)</f>
        <v>0</v>
      </c>
      <c r="AH1137">
        <f>AG1137-X1137</f>
        <v>0</v>
      </c>
      <c r="AI1137" cm="1">
        <f t="array" ref="AI1137">IFERROR(IF(AH1137&lt;0,0,AH1137/($R$1064-INDEX(hd_off,MATCH(AQ1137,hd_mark,0),0)/12)),0)</f>
        <v>0</v>
      </c>
      <c r="AJ1137">
        <f>MAX($F$25,$AC$1064)/$Q$1076</f>
        <v>0.29920977011494249</v>
      </c>
      <c r="AK1137">
        <f t="shared" si="698"/>
        <v>1</v>
      </c>
      <c r="AL1137" cm="1">
        <f t="array" ref="AL1137">IFERROR(INDEX(sheath_ecap_asd,MATCH(AP1137,sheath_mark,0),0)*AK1137,0)</f>
        <v>0</v>
      </c>
      <c r="AM1137" cm="1">
        <f t="array" ref="AM1137">IFERROR(INDEX(sheath_wcap_asd,MATCH(AP1137,sheath_mark,0),0)*AK1137,0)</f>
        <v>0</v>
      </c>
      <c r="AN1137" cm="1">
        <f t="array" ref="AN1137">IFERROR(INDEX(hd_cap,MATCH(AQ1137,hd_mark,0),0),0)</f>
        <v>0</v>
      </c>
      <c r="AP1137" s="19"/>
      <c r="AQ1137" s="19"/>
      <c r="AR1137" s="100"/>
      <c r="AS1137" s="93"/>
      <c r="AT1137" s="109"/>
      <c r="AU1137" t="str">
        <f>$Q$1049</f>
        <v>Roof</v>
      </c>
      <c r="AV1137">
        <f>$E$25</f>
        <v>33.171875</v>
      </c>
      <c r="AW1137" cm="1">
        <f t="array" ref="AW1137">IFERROR(IF(AV1137=0,0,(INDEX($C$33:$C$38,MATCH($AZ$1064,$B$33:$B$38,0),0)*(AV1137+$BA$1064)+$AY$1064*$C$31)*$AU$1064),0)</f>
        <v>0</v>
      </c>
      <c r="AX1137">
        <f>IF(AV1137=0,0,-$AY$1064*$C$31*$H$27*$AU$1064)</f>
        <v>0</v>
      </c>
      <c r="AY1137">
        <f>IF(AV1137=0,0,$AY$1064*$H$26*$AU$1064)</f>
        <v>0</v>
      </c>
      <c r="AZ1137">
        <f>(0.6*AW1137+0.7*AX1137)*$AU$1064/2</f>
        <v>0</v>
      </c>
      <c r="BA1137">
        <f>AW1137*$AU$1064/2</f>
        <v>0</v>
      </c>
      <c r="BC1137">
        <f>IF(AV1137=0,0,$BG$1064*$AP$1049)</f>
        <v>0</v>
      </c>
      <c r="BD1137">
        <f>IFERROR(BC1137/$AU$1064,0)</f>
        <v>0</v>
      </c>
      <c r="BE1137">
        <f>BC1137*($F$25+($C$16+$C$17+IF($C$13="single",1.5,3)+3)/12)</f>
        <v>0</v>
      </c>
      <c r="BF1137">
        <f>BE1137-AZ1137</f>
        <v>0</v>
      </c>
      <c r="BG1137" cm="1">
        <f t="array" ref="BG1137">IFERROR(IF(BF1137&lt;0,0,BF1137/($AU$1064-INDEX(hd_off,MATCH(BT1137,hd_mark,0),0)/12)),0)</f>
        <v>0</v>
      </c>
      <c r="BH1137">
        <f>IF(AV1137=0,0,$BG$1064*$AM$1049)</f>
        <v>0</v>
      </c>
      <c r="BI1137">
        <f>IFERROR(BH1137/$AU$1064,0)</f>
        <v>0</v>
      </c>
      <c r="BJ1137">
        <f>BH1137*($F$25+($C$16+$C$17+IF($C$13="single",1.5,3)+3)/12)</f>
        <v>0</v>
      </c>
      <c r="BK1137">
        <f>BJ1137-BA1137</f>
        <v>0</v>
      </c>
      <c r="BL1137" cm="1">
        <f t="array" ref="BL1137">IFERROR(IF(BK1137&lt;0,0,BK1137/($AU$1064-INDEX(hd_off,MATCH(BT1137,hd_mark,0),0)/12)),0)</f>
        <v>0</v>
      </c>
      <c r="BM1137">
        <f>MAX($F$25,$BF$1064)/$Q$1076</f>
        <v>0.29920977011494249</v>
      </c>
      <c r="BN1137">
        <f t="shared" si="699"/>
        <v>1</v>
      </c>
      <c r="BO1137" cm="1">
        <f t="array" ref="BO1137">IFERROR(INDEX(sheath_ecap_asd,MATCH(BS1137,sheath_mark,0),0)*BN1137,0)</f>
        <v>0</v>
      </c>
      <c r="BP1137" cm="1">
        <f t="array" ref="BP1137">IFERROR(INDEX(sheath_wcap_asd,MATCH(BS1137,sheath_mark,0),0)*BN1137,0)</f>
        <v>0</v>
      </c>
      <c r="BQ1137" cm="1">
        <f t="array" ref="BQ1137">IFERROR(INDEX(hd_cap,MATCH(BT1137,hd_mark,0),0),0)</f>
        <v>0</v>
      </c>
      <c r="BS1137" s="19"/>
      <c r="BT1137" s="19"/>
      <c r="BU1137" s="100"/>
    </row>
    <row r="1138" x14ac:dyDescent="0.25">
      <c r="P1138" s="93"/>
      <c r="AR1138" s="100"/>
      <c r="AS1138" s="93"/>
      <c r="BU1138" s="100"/>
    </row>
    <row r="1139" x14ac:dyDescent="0.25">
      <c r="P1139" s="93"/>
      <c r="Q1139" s="110" t="str">
        <f>$Q$1065</f>
        <v>A.12</v>
      </c>
      <c r="R1139" t="str">
        <f>$Q$1045</f>
        <v>L2</v>
      </c>
      <c r="S1139">
        <f>$E$21</f>
        <v>10.6875</v>
      </c>
      <c r="T1139" cm="1">
        <f t="array" ref="T1139">IFERROR(IF(S1139=0,0,(INDEX($C$33:$C$38,MATCH($W$1065,$B$33:$B$38,0),0)*(S1143+$X$1065)+$T$1065*COUNTIF(S1139:S1142,"&gt;0")*$C$32+$V$1065*$C$31)*$R$1065),0)</f>
        <v>0</v>
      </c>
      <c r="U1139">
        <f>IF(S1139=0,0,-(COUNTIF(S1139:S1142,"&gt;0")*$T$1065*$C$32+$V$1065*$C$31)*$H$27*$R$1065)</f>
        <v>0</v>
      </c>
      <c r="V1139">
        <f>IF(S1139=0,0,$V$1065*$H$26*$R$1065)</f>
        <v>0</v>
      </c>
      <c r="W1139">
        <f>(0.6*T1139+0.7*U1139)*$R$1065/2</f>
        <v>0</v>
      </c>
      <c r="X1139">
        <f>(0.6*T1139+0.6*V1139)*$R$1065/2</f>
        <v>0</v>
      </c>
      <c r="Z1139">
        <f>IF(S1139=0,0,$AD$1065*$AP$1045)</f>
        <v>0</v>
      </c>
      <c r="AA1139">
        <f>IFERROR(Z1139/$R$1065,0)</f>
        <v>0</v>
      </c>
      <c r="AB1139">
        <f>Z1139*($F$21+IF($F$21=0,0,($C$14+$C$15+IF($C$13="single",1.5,3)+3)/12))</f>
        <v>0</v>
      </c>
      <c r="AC1139">
        <f>AB1139-W1139</f>
        <v>0</v>
      </c>
      <c r="AD1139" cm="1">
        <f t="array" ref="AD1139">IFERROR(IF(AC1139&lt;0,0,AC1139/($R$1065-INDEX(hd_off,MATCH(AQ1139,hd_mark,0),0)/12)),0)</f>
        <v>0</v>
      </c>
      <c r="AE1139">
        <f>IF(S1139=0,0,$AD$1065*$AM$1045)</f>
        <v>0</v>
      </c>
      <c r="AF1139">
        <f>IFERROR(AE1139/$R$1065,0)</f>
        <v>0</v>
      </c>
      <c r="AG1139">
        <f>AE1139*($F$21+IF($F$21=0,0,($C$14+$C$15+IF($C$13="single",1.5,3)+3)/12))</f>
        <v>0</v>
      </c>
      <c r="AH1139">
        <f>AG1139-X1139</f>
        <v>0</v>
      </c>
      <c r="AI1139" cm="1">
        <f t="array" ref="AI1139">IFERROR(IF(AH1139&lt;0,0,AH1139/($R$1065-INDEX(hd_off,MATCH(AQ1139,hd_mark,0),0)/12)),0)</f>
        <v>0</v>
      </c>
      <c r="AJ1139">
        <f>MAX($F$21,$Y$1065)/$Q$1076</f>
        <v>0.30172413793103448</v>
      </c>
      <c r="AK1139">
        <f>IF(AJ1139=0,0,IF(AJ1139&gt;2,1.25-0.125*AJ1139,1))</f>
        <v>1</v>
      </c>
      <c r="AL1139" cm="1">
        <f t="array" ref="AL1139">IFERROR(INDEX(sheath_ecap_asd,MATCH(AP1139,sheath_mark,0),0)*AK1139,0)</f>
        <v>0</v>
      </c>
      <c r="AM1139" cm="1">
        <f t="array" ref="AM1139">IFERROR(INDEX(sheath_wcap_asd,MATCH(AP1139,sheath_mark,0),0)*AK1139,0)</f>
        <v>0</v>
      </c>
      <c r="AN1139" cm="1">
        <f t="array" ref="AN1139">IFERROR(INDEX(hd_cap,MATCH(AQ1139,hd_mark,0),0),0)</f>
        <v>0</v>
      </c>
      <c r="AP1139" s="19"/>
      <c r="AQ1139" s="19"/>
      <c r="AR1139" s="100"/>
      <c r="AS1139" s="93"/>
      <c r="AT1139" s="110" t="str">
        <f>$AT$1065</f>
        <v>1.12</v>
      </c>
      <c r="AU1139" t="str">
        <f>$Q$1045</f>
        <v>L2</v>
      </c>
      <c r="AV1139">
        <f>$E$21</f>
        <v>10.6875</v>
      </c>
      <c r="AW1139" cm="1">
        <f t="array" ref="AW1139">IFERROR(IF(AV1139=0,0,(INDEX($C$33:$C$38,MATCH($AZ$1065,$B$33:$B$38,0),0)*(AV1143+$BA$1065)+$AW$1065*COUNTIF(AV1139:AV1142,"&gt;0")*$C$32+$AY$1065*$C$31)*$AU$1065),0)</f>
        <v>0</v>
      </c>
      <c r="AX1139">
        <f>IF(AV1139=0,0,-(COUNTIF(AV1139:AV1142,"&gt;0")*$AW$1065*$C$32+$AY$1065*$C$31)*$H$27*$AU$1065)</f>
        <v>0</v>
      </c>
      <c r="AY1139">
        <f>IF(AV1139=0,0,$AY$1065*$H$26*$AU$1065)</f>
        <v>0</v>
      </c>
      <c r="AZ1139">
        <f>(0.6*AW1139+0.7*AX1139)*$AU$1065/2</f>
        <v>0</v>
      </c>
      <c r="BA1139">
        <f>(0.6*AW1139+0.6*AY1139)*$AU$1065/2</f>
        <v>0</v>
      </c>
      <c r="BC1139">
        <f>IF(AV1139=0,0,$BG$1065*$AP$1045)</f>
        <v>0</v>
      </c>
      <c r="BD1139">
        <f>IFERROR(BC1139/$AU$1065,0)</f>
        <v>0</v>
      </c>
      <c r="BE1139">
        <f>BC1139*($F$21+IF($F$21=0,0,($C$14+$C$15+IF($C$13="single",1.5,3)+3)/12))</f>
        <v>0</v>
      </c>
      <c r="BF1139">
        <f>BE1139-AZ1139</f>
        <v>0</v>
      </c>
      <c r="BG1139" cm="1">
        <f t="array" ref="BG1139">IFERROR(IF(BF1139&lt;0,0,BF1139/($AU$1065-INDEX(hd_off,MATCH(BT1139,hd_mark,0),0)/12)),0)</f>
        <v>0</v>
      </c>
      <c r="BH1139">
        <f>IF(AV1139=0,0,$BG$1065*$AM$1045)</f>
        <v>0</v>
      </c>
      <c r="BI1139">
        <f>IFERROR(BH1139/$AU$1065,0)</f>
        <v>0</v>
      </c>
      <c r="BJ1139">
        <f>BH1139*($F$21+IF($F$21=0,0,($C$14+$C$15+IF($C$13="single",1.5,3)+3)/12))</f>
        <v>0</v>
      </c>
      <c r="BK1139">
        <f>BJ1139-BA1139</f>
        <v>0</v>
      </c>
      <c r="BL1139" cm="1">
        <f t="array" ref="BL1139">IFERROR(IF(BK1139&lt;0,0,BK1139/($AU$1065-INDEX(hd_off,MATCH(BT1139,hd_mark,0),0)/12)),0)</f>
        <v>0</v>
      </c>
      <c r="BM1139">
        <f>MAX($F$21,$BB$1065)/$Q$1076</f>
        <v>0.30172413793103448</v>
      </c>
      <c r="BN1139">
        <f>IF(BM1139=0,0,IF(BM1139&gt;2,1.25-0.125*BM1139,1))</f>
        <v>1</v>
      </c>
      <c r="BO1139" cm="1">
        <f t="array" ref="BO1139">IFERROR(INDEX(sheath_ecap_asd,MATCH(BS1139,sheath_mark,0),0)*BN1139,0)</f>
        <v>0</v>
      </c>
      <c r="BP1139" cm="1">
        <f t="array" ref="BP1139">IFERROR(INDEX(sheath_wcap_asd,MATCH(BS1139,sheath_mark,0),0)*BN1139,0)</f>
        <v>0</v>
      </c>
      <c r="BQ1139" cm="1">
        <f t="array" ref="BQ1139">IFERROR(INDEX(hd_cap,MATCH(BT1139,hd_mark,0),0),0)</f>
        <v>0</v>
      </c>
      <c r="BS1139" s="19"/>
      <c r="BT1139" s="19"/>
      <c r="BU1139" s="100"/>
    </row>
    <row r="1140" x14ac:dyDescent="0.25">
      <c r="P1140" s="93"/>
      <c r="Q1140" s="109"/>
      <c r="R1140" t="str">
        <f>$Q$1046</f>
        <v>L3</v>
      </c>
      <c r="S1140">
        <f>$E$22</f>
        <v>21.375</v>
      </c>
      <c r="T1140" cm="1">
        <f t="array" ref="T1140">IFERROR(IF(S1140=0,0,(INDEX($C$33:$C$38,MATCH($W$1065,$B$33:$B$38,0),0)*(S1143+$X$1065)+$T$1065*COUNTIF(S1140:S1142,"&gt;0")*$C$32+$V$1065*$C$31)*$R$1065),0)</f>
        <v>0</v>
      </c>
      <c r="U1140">
        <f>IF(S1140=0,0,-(COUNTIF(S1140:S1142,"&gt;0")*$T$1065*$C$32+$V$1065*$C$31)*$H$27*$R$1065)</f>
        <v>0</v>
      </c>
      <c r="V1140">
        <f>IF(S1140=0,0,$V$1065*$H$26*$R$1065)</f>
        <v>0</v>
      </c>
      <c r="W1140">
        <f>(0.6*T1140+0.7*U1140)*$R$1065/2</f>
        <v>0</v>
      </c>
      <c r="X1140">
        <f>T1140*$R$1065/2</f>
        <v>0</v>
      </c>
      <c r="Z1140">
        <f>IF(S1140=0,0,$AD$1065*$AP$1046)</f>
        <v>0</v>
      </c>
      <c r="AA1140">
        <f>IFERROR(Z1140/$R$1065,0)</f>
        <v>0</v>
      </c>
      <c r="AB1140">
        <f>Z1140*($F$22+IF($F$22=0,0,($C$14+$C$15+IF($C$13="single",1.5,3)+3)/12))</f>
        <v>0</v>
      </c>
      <c r="AC1140">
        <f>AB1140-W1140</f>
        <v>0</v>
      </c>
      <c r="AD1140" cm="1">
        <f t="array" ref="AD1140">IFERROR(IF(AC1140&lt;0,0,AC1140/($R$1065-INDEX(hd_off,MATCH(AQ1140,hd_mark,0),0)/12)),0)</f>
        <v>0</v>
      </c>
      <c r="AE1140">
        <f>IF(S1140=0,0,$AD$1065*$AM$1046)</f>
        <v>0</v>
      </c>
      <c r="AF1140">
        <f>IFERROR(AE1140/$R$1065,0)</f>
        <v>0</v>
      </c>
      <c r="AG1140">
        <f>AE1140*($F$22+IF($F$22=0,0,($C$14+$C$15+IF($C$13="single",1.5,3)+3)/12))</f>
        <v>0</v>
      </c>
      <c r="AH1140">
        <f>AG1140-X1140</f>
        <v>0</v>
      </c>
      <c r="AI1140" cm="1">
        <f t="array" ref="AI1140">IFERROR(IF(AH1140&lt;0,0,AH1140/($R$1065-INDEX(hd_off,MATCH(AQ1140,hd_mark,0),0)/12)),0)</f>
        <v>0</v>
      </c>
      <c r="AJ1140">
        <f>MAX($F$22,$Z$1065)/$Q$1076</f>
        <v>0.30172413793103448</v>
      </c>
      <c r="AK1140">
        <f t="shared" ref="AK1140:AK1143" si="700">IF(AJ1140=0,0,IF(AJ1140&gt;2,1.25-0.125*AJ1140,1))</f>
        <v>1</v>
      </c>
      <c r="AL1140" cm="1">
        <f t="array" ref="AL1140">IFERROR(INDEX(sheath_ecap_asd,MATCH(AP1140,sheath_mark,0),0)*AK1140,0)</f>
        <v>0</v>
      </c>
      <c r="AM1140" cm="1">
        <f t="array" ref="AM1140">IFERROR(INDEX(sheath_wcap_asd,MATCH(AP1140,sheath_mark,0),0)*AK1140,0)</f>
        <v>0</v>
      </c>
      <c r="AN1140" cm="1">
        <f t="array" ref="AN1140">IFERROR(INDEX(hd_cap,MATCH(AQ1140,hd_mark,0),0),0)</f>
        <v>0</v>
      </c>
      <c r="AP1140" s="19"/>
      <c r="AQ1140" s="19"/>
      <c r="AR1140" s="100"/>
      <c r="AS1140" s="93"/>
      <c r="AT1140" s="109"/>
      <c r="AU1140" t="str">
        <f>$Q$1046</f>
        <v>L3</v>
      </c>
      <c r="AV1140">
        <f>$E$22</f>
        <v>21.375</v>
      </c>
      <c r="AW1140" cm="1">
        <f t="array" ref="AW1140">IFERROR(IF(AV1140=0,0,(INDEX($C$33:$C$38,MATCH($AZ$1065,$B$33:$B$38,0),0)*(AV1143+$BA$1065)+$AW$1065*COUNTIF(AV1140:AV1142,"&gt;0")*$C$32+$AY$1065*$C$31)*$AU$1065),0)</f>
        <v>0</v>
      </c>
      <c r="AX1140">
        <f>IF(AV1140=0,0,-(COUNTIF(AV1140:AV1142,"&gt;0")*$AW$1065*$C$32+$AY$1065*$C$31)*$H$27*$AU$1065)</f>
        <v>0</v>
      </c>
      <c r="AY1140">
        <f>IF(AV1140=0,0,$AY$1065*$H$26*$AU$1065)</f>
        <v>0</v>
      </c>
      <c r="AZ1140">
        <f>(0.6*AW1140+0.7*AX1140)*$AU$1065/2</f>
        <v>0</v>
      </c>
      <c r="BA1140">
        <f>AW1140*$AU$1065/2</f>
        <v>0</v>
      </c>
      <c r="BC1140">
        <f>IF(AV1140=0,0,$BG$1065*$AP$1046)</f>
        <v>0</v>
      </c>
      <c r="BD1140">
        <f>IFERROR(BC1140/$AU$1065,0)</f>
        <v>0</v>
      </c>
      <c r="BE1140">
        <f>BC1140*($F$22+IF($F$22=0,0,($C$14+$C$15+IF($C$13="single",1.5,3)+3)/12))</f>
        <v>0</v>
      </c>
      <c r="BF1140">
        <f>BE1140-AZ1140</f>
        <v>0</v>
      </c>
      <c r="BG1140" cm="1">
        <f t="array" ref="BG1140">IFERROR(IF(BF1140&lt;0,0,BF1140/($AU$1065-INDEX(hd_off,MATCH(BT1140,hd_mark,0),0)/12)),0)</f>
        <v>0</v>
      </c>
      <c r="BH1140">
        <f>IF(AV1140=0,0,$BG$1065*$AM$1046)</f>
        <v>0</v>
      </c>
      <c r="BI1140">
        <f>IFERROR(BH1140/$AU$1065,0)</f>
        <v>0</v>
      </c>
      <c r="BJ1140">
        <f>BH1140*($F$22+IF($F$22=0,0,($C$14+$C$15+IF($C$13="single",1.5,3)+3)/12))</f>
        <v>0</v>
      </c>
      <c r="BK1140">
        <f>BJ1140-BA1140</f>
        <v>0</v>
      </c>
      <c r="BL1140" cm="1">
        <f t="array" ref="BL1140">IFERROR(IF(BK1140&lt;0,0,BK1140/($AU$1065-INDEX(hd_off,MATCH(BT1140,hd_mark,0),0)/12)),0)</f>
        <v>0</v>
      </c>
      <c r="BM1140">
        <f>MAX($F$22,$BC$1065)/$Q$1076</f>
        <v>0.30172413793103448</v>
      </c>
      <c r="BN1140">
        <f t="shared" ref="BN1140:BN1143" si="701">IF(BM1140=0,0,IF(BM1140&gt;2,1.25-0.125*BM1140,1))</f>
        <v>1</v>
      </c>
      <c r="BO1140" cm="1">
        <f t="array" ref="BO1140">IFERROR(INDEX(sheath_ecap_asd,MATCH(BS1140,sheath_mark,0),0)*BN1140,0)</f>
        <v>0</v>
      </c>
      <c r="BP1140" cm="1">
        <f t="array" ref="BP1140">IFERROR(INDEX(sheath_wcap_asd,MATCH(BS1140,sheath_mark,0),0)*BN1140,0)</f>
        <v>0</v>
      </c>
      <c r="BQ1140" cm="1">
        <f t="array" ref="BQ1140">IFERROR(INDEX(hd_cap,MATCH(BT1140,hd_mark,0),0),0)</f>
        <v>0</v>
      </c>
      <c r="BS1140" s="19"/>
      <c r="BT1140" s="19"/>
      <c r="BU1140" s="100"/>
    </row>
    <row r="1141" x14ac:dyDescent="0.25">
      <c r="P1141" s="93"/>
      <c r="Q1141" s="109" t="s">
        <v>491</v>
      </c>
      <c r="R1141" t="str">
        <f>$Q$1047</f>
        <v>L4</v>
      </c>
      <c r="S1141">
        <f>$E$23</f>
        <v>0</v>
      </c>
      <c r="T1141" cm="1">
        <f t="array" ref="T1141">IFERROR(IF(S1141=0,0,(INDEX($C$33:$C$38,MATCH($W$1065,$B$33:$B$38,0),0)*(S1143+$X$1065)+$T$1065*COUNTIF(S1141:S1142,"&gt;0")*$C$32+$V$1065*$C$31)*$R$1065),0)</f>
        <v>0</v>
      </c>
      <c r="U1141">
        <f>IF(S1141=0,0,-(COUNTIF(S1141:S1142,"&gt;0")*$T$1065*$C$32+$V$1065*$C$31)*$H$27*$R$1065)</f>
        <v>0</v>
      </c>
      <c r="V1141">
        <f>IF(S1141=0,0,$V$1065*$H$26*$R$1065)</f>
        <v>0</v>
      </c>
      <c r="W1141">
        <f>(0.6*T1141+0.7*U1141)*$R$1065/2</f>
        <v>0</v>
      </c>
      <c r="X1141">
        <f>T1141*$R$1065/2</f>
        <v>0</v>
      </c>
      <c r="Z1141">
        <f>IF(S1141=0,0,$AD$1065*$AP$1047)</f>
        <v>0</v>
      </c>
      <c r="AA1141">
        <f>IFERROR(Z1141/$R$1065,0)</f>
        <v>0</v>
      </c>
      <c r="AB1141">
        <f>Z1141*($F$23+IF($F$23=0,0,($C$14+$C$15+IF($C$13="single",1.5,3)+3)/12))</f>
        <v>0</v>
      </c>
      <c r="AC1141">
        <f>AB1141-W1141</f>
        <v>0</v>
      </c>
      <c r="AD1141" cm="1">
        <f t="array" ref="AD1141">IFERROR(IF(AC1141&lt;0,0,AC1141/($R$1065-INDEX(hd_off,MATCH(AQ1141,hd_mark,0),0)/12)),0)</f>
        <v>0</v>
      </c>
      <c r="AE1141">
        <f>IF(S1141=0,0,$AD$1065*$AM$1047)</f>
        <v>0</v>
      </c>
      <c r="AF1141">
        <f>IFERROR(AE1141/$R$1065,0)</f>
        <v>0</v>
      </c>
      <c r="AG1141">
        <f>AE1141*($F$23+IF($F$23=0,0,($C$14+$C$15+IF($C$13="single",1.5,3)+3)/12))</f>
        <v>0</v>
      </c>
      <c r="AH1141">
        <f>AG1141-X1141</f>
        <v>0</v>
      </c>
      <c r="AI1141" cm="1">
        <f t="array" ref="AI1141">IFERROR(IF(AH1141&lt;0,0,AH1141/($R$1065-INDEX(hd_off,MATCH(AQ1141,hd_mark,0),0)/12)),0)</f>
        <v>0</v>
      </c>
      <c r="AJ1141">
        <f>MAX($F$23,$AA$1065)/$Q$1076</f>
        <v>0</v>
      </c>
      <c r="AK1141">
        <f t="shared" si="700"/>
        <v>0</v>
      </c>
      <c r="AL1141" cm="1">
        <f t="array" ref="AL1141">IFERROR(INDEX(sheath_ecap_asd,MATCH(AP1141,sheath_mark,0),0)*AK1141,0)</f>
        <v>0</v>
      </c>
      <c r="AM1141" cm="1">
        <f t="array" ref="AM1141">IFERROR(INDEX(sheath_wcap_asd,MATCH(AP1141,sheath_mark,0),0)*AK1141,0)</f>
        <v>0</v>
      </c>
      <c r="AN1141" cm="1">
        <f t="array" ref="AN1141">IFERROR(INDEX(hd_cap,MATCH(AQ1141,hd_mark,0),0),0)</f>
        <v>0</v>
      </c>
      <c r="AP1141" s="19"/>
      <c r="AQ1141" s="19"/>
      <c r="AR1141" s="100"/>
      <c r="AS1141" s="93"/>
      <c r="AT1141" s="109" t="s">
        <v>491</v>
      </c>
      <c r="AU1141" t="str">
        <f>$Q$1047</f>
        <v>L4</v>
      </c>
      <c r="AV1141">
        <f>$E$23</f>
        <v>0</v>
      </c>
      <c r="AW1141" cm="1">
        <f t="array" ref="AW1141">IFERROR(IF(AV1141=0,0,(INDEX($C$33:$C$38,MATCH($AZ$1065,$B$33:$B$38,0),0)*(AV1143+$BA$1065)+$AW$1065*COUNTIF(AV1141:AV1142,"&gt;0")*$C$32+$AY$1065*$C$31)*$AU$1065),0)</f>
        <v>0</v>
      </c>
      <c r="AX1141">
        <f>IF(AV1141=0,0,-(COUNTIF(AV1141:AV1142,"&gt;0")*$AW$1065*$C$32+$AY$1065*$C$31)*$H$27*$AU$1065)</f>
        <v>0</v>
      </c>
      <c r="AY1141">
        <f>IF(AV1141=0,0,$AY$1065*$H$26*$AU$1065)</f>
        <v>0</v>
      </c>
      <c r="AZ1141">
        <f>(0.6*AW1141+0.7*AX1141)*$AU$1065/2</f>
        <v>0</v>
      </c>
      <c r="BA1141">
        <f>AW1141*$AU$1065/2</f>
        <v>0</v>
      </c>
      <c r="BC1141">
        <f>IF(AV1141=0,0,$BG$1065*$AP$1047)</f>
        <v>0</v>
      </c>
      <c r="BD1141">
        <f>IFERROR(BC1141/$AU$1065,0)</f>
        <v>0</v>
      </c>
      <c r="BE1141">
        <f>BC1141*($F$23+IF($F$23=0,0,($C$14+$C$15+IF($C$13="single",1.5,3)+3)/12))</f>
        <v>0</v>
      </c>
      <c r="BF1141">
        <f>BE1141-AZ1141</f>
        <v>0</v>
      </c>
      <c r="BG1141" cm="1">
        <f t="array" ref="BG1141">IFERROR(IF(BF1141&lt;0,0,BF1141/($AU$1065-INDEX(hd_off,MATCH(BT1141,hd_mark,0),0)/12)),0)</f>
        <v>0</v>
      </c>
      <c r="BH1141">
        <f>IF(AV1141=0,0,$BG$1065*$AM$1047)</f>
        <v>0</v>
      </c>
      <c r="BI1141">
        <f>IFERROR(BH1141/$AU$1065,0)</f>
        <v>0</v>
      </c>
      <c r="BJ1141">
        <f>BH1141*($F$23+IF($F$23=0,0,($C$14+$C$15+IF($C$13="single",1.5,3)+3)/12))</f>
        <v>0</v>
      </c>
      <c r="BK1141">
        <f>BJ1141-BA1141</f>
        <v>0</v>
      </c>
      <c r="BL1141" cm="1">
        <f t="array" ref="BL1141">IFERROR(IF(BK1141&lt;0,0,BK1141/($AU$1065-INDEX(hd_off,MATCH(BT1141,hd_mark,0),0)/12)),0)</f>
        <v>0</v>
      </c>
      <c r="BM1141">
        <f>MAX($F$23,$BD$1065)/$Q$1076</f>
        <v>0</v>
      </c>
      <c r="BN1141">
        <f t="shared" si="701"/>
        <v>0</v>
      </c>
      <c r="BO1141" cm="1">
        <f t="array" ref="BO1141">IFERROR(INDEX(sheath_ecap_asd,MATCH(BS1141,sheath_mark,0),0)*BN1141,0)</f>
        <v>0</v>
      </c>
      <c r="BP1141" cm="1">
        <f t="array" ref="BP1141">IFERROR(INDEX(sheath_wcap_asd,MATCH(BS1141,sheath_mark,0),0)*BN1141,0)</f>
        <v>0</v>
      </c>
      <c r="BQ1141" cm="1">
        <f t="array" ref="BQ1141">IFERROR(INDEX(hd_cap,MATCH(BT1141,hd_mark,0),0),0)</f>
        <v>0</v>
      </c>
      <c r="BS1141" s="19"/>
      <c r="BT1141" s="19"/>
      <c r="BU1141" s="100"/>
    </row>
    <row r="1142" x14ac:dyDescent="0.25">
      <c r="P1142" s="93"/>
      <c r="Q1142" s="111">
        <f>$R$1065</f>
        <v>0</v>
      </c>
      <c r="R1142" t="str">
        <f>$Q$1048</f>
        <v>L5</v>
      </c>
      <c r="S1142">
        <f>$E$24</f>
        <v>0</v>
      </c>
      <c r="T1142" cm="1">
        <f t="array" ref="T1142">IFERROR(IF(S1142=0,0,(INDEX($C$33:$C$38,MATCH($W$1065,$B$33:$B$38,0),0)*(S1143+$X$1065)+$T$1065*COUNTIF(S1142:S1142,"&gt;0")*$C$32+$V$1065*$C$31)*$R$1065),0)</f>
        <v>0</v>
      </c>
      <c r="U1142">
        <f>IF(S1142=0,0,-(COUNTIF(S1142:S1142,"&gt;0")*$T$1065*$C$32+$V$1065*$C$31)*$H$27*$R$1065)</f>
        <v>0</v>
      </c>
      <c r="V1142">
        <f>IF(S1142=0,0,$V$1065*$H$26*$R$1065)</f>
        <v>0</v>
      </c>
      <c r="W1142">
        <f>(0.6*T1142+0.7*U1142)*$R$1065/2</f>
        <v>0</v>
      </c>
      <c r="X1142">
        <f>T1142*$R$1065/2</f>
        <v>0</v>
      </c>
      <c r="Z1142">
        <f>IF(S1142=0,0,$AD$1065*$AP$1048)</f>
        <v>0</v>
      </c>
      <c r="AA1142">
        <f>IFERROR(Z1142/$R$1065,0)</f>
        <v>0</v>
      </c>
      <c r="AB1142">
        <f>Z1142*($F$24+IF($F$24=0,0,($C$14+$C$15+IF($C$13="single",1.5,3)+3)/12))</f>
        <v>0</v>
      </c>
      <c r="AC1142">
        <f>AB1142-W1142</f>
        <v>0</v>
      </c>
      <c r="AD1142" cm="1">
        <f t="array" ref="AD1142">IFERROR(IF(AC1142&lt;0,0,AC1142/($R$1065-INDEX(hd_off,MATCH(AQ1142,hd_mark,0),0)/12)),0)</f>
        <v>0</v>
      </c>
      <c r="AE1142">
        <f>IF(S1142=0,0,$AD$1065*$AM$1048)</f>
        <v>0</v>
      </c>
      <c r="AF1142">
        <f>IFERROR(AE1142/$R$1065,0)</f>
        <v>0</v>
      </c>
      <c r="AG1142">
        <f>AE1142*($F$24+IF($F$24=0,0,($C$14+$C$15+IF($C$13="single",1.5,3)+3)/12))</f>
        <v>0</v>
      </c>
      <c r="AH1142">
        <f>AG1142-X1142</f>
        <v>0</v>
      </c>
      <c r="AI1142" cm="1">
        <f t="array" ref="AI1142">IFERROR(IF(AH1142&lt;0,0,AH1142/($R$1065-INDEX(hd_off,MATCH(AQ1142,hd_mark,0),0)/12)),0)</f>
        <v>0</v>
      </c>
      <c r="AJ1142">
        <f>MAX($F$24,$AB$1065)/$Q$1076</f>
        <v>0</v>
      </c>
      <c r="AK1142">
        <f t="shared" si="700"/>
        <v>0</v>
      </c>
      <c r="AL1142" cm="1">
        <f t="array" ref="AL1142">IFERROR(INDEX(sheath_ecap_asd,MATCH(AP1142,sheath_mark,0),0)*AK1142,0)</f>
        <v>0</v>
      </c>
      <c r="AM1142" cm="1">
        <f t="array" ref="AM1142">IFERROR(INDEX(sheath_wcap_asd,MATCH(AP1142,sheath_mark,0),0)*AK1142,0)</f>
        <v>0</v>
      </c>
      <c r="AN1142" cm="1">
        <f t="array" ref="AN1142">IFERROR(INDEX(hd_cap,MATCH(AQ1142,hd_mark,0),0),0)</f>
        <v>0</v>
      </c>
      <c r="AP1142" s="19"/>
      <c r="AQ1142" s="19"/>
      <c r="AR1142" s="100"/>
      <c r="AS1142" s="93"/>
      <c r="AT1142" s="111">
        <f>$R$1065</f>
        <v>0</v>
      </c>
      <c r="AU1142" t="str">
        <f>$Q$1048</f>
        <v>L5</v>
      </c>
      <c r="AV1142">
        <f>$E$24</f>
        <v>0</v>
      </c>
      <c r="AW1142" cm="1">
        <f t="array" ref="AW1142">IFERROR(IF(AV1142=0,0,(INDEX($C$33:$C$38,MATCH($AZ$1065,$B$33:$B$38,0),0)*(AV1143+$BA$1065)+$AW$1065*COUNTIF(AV1142:AV1142,"&gt;0")*$C$32+$AY$1065*$C$31)*$AU$1065),0)</f>
        <v>0</v>
      </c>
      <c r="AX1142">
        <f>IF(AV1142=0,0,-(COUNTIF(AV1142:AV1142,"&gt;0")*$AW$1065*$C$32+$AY$1065*$C$31)*$H$27*$AU$1065)</f>
        <v>0</v>
      </c>
      <c r="AY1142">
        <f>IF(AV1142=0,0,$AY$1065*$H$26*$AU$1065)</f>
        <v>0</v>
      </c>
      <c r="AZ1142">
        <f>(0.6*AW1142+0.7*AX1142)*$AU$1065/2</f>
        <v>0</v>
      </c>
      <c r="BA1142">
        <f>AW1142*$AU$1065/2</f>
        <v>0</v>
      </c>
      <c r="BC1142">
        <f>IF(AV1142=0,0,$BG$1065*$AP$1048)</f>
        <v>0</v>
      </c>
      <c r="BD1142">
        <f>IFERROR(BC1142/$AU$1065,0)</f>
        <v>0</v>
      </c>
      <c r="BE1142">
        <f>BC1142*($F$24+IF($F$24=0,0,($C$14+$C$15+IF($C$13="single",1.5,3)+3)/12))</f>
        <v>0</v>
      </c>
      <c r="BF1142">
        <f>BE1142-AZ1142</f>
        <v>0</v>
      </c>
      <c r="BG1142" cm="1">
        <f t="array" ref="BG1142">IFERROR(IF(BF1142&lt;0,0,BF1142/($AU$1065-INDEX(hd_off,MATCH(BT1142,hd_mark,0),0)/12)),0)</f>
        <v>0</v>
      </c>
      <c r="BH1142">
        <f>IF(AV1142=0,0,$BG$1065*$AM$1048)</f>
        <v>0</v>
      </c>
      <c r="BI1142">
        <f>IFERROR(BH1142/$AU$1065,0)</f>
        <v>0</v>
      </c>
      <c r="BJ1142">
        <f>BH1142*($F$24+IF($F$24=0,0,($C$14+$C$15+IF($C$13="single",1.5,3)+3)/12))</f>
        <v>0</v>
      </c>
      <c r="BK1142">
        <f>BJ1142-BA1142</f>
        <v>0</v>
      </c>
      <c r="BL1142" cm="1">
        <f t="array" ref="BL1142">IFERROR(IF(BK1142&lt;0,0,BK1142/($AU$1065-INDEX(hd_off,MATCH(BT1142,hd_mark,0),0)/12)),0)</f>
        <v>0</v>
      </c>
      <c r="BM1142">
        <f>MAX($F$24,$BE$1065)/$Q$1076</f>
        <v>0</v>
      </c>
      <c r="BN1142">
        <f t="shared" si="701"/>
        <v>0</v>
      </c>
      <c r="BO1142" cm="1">
        <f t="array" ref="BO1142">IFERROR(INDEX(sheath_ecap_asd,MATCH(BS1142,sheath_mark,0),0)*BN1142,0)</f>
        <v>0</v>
      </c>
      <c r="BP1142" cm="1">
        <f t="array" ref="BP1142">IFERROR(INDEX(sheath_wcap_asd,MATCH(BS1142,sheath_mark,0),0)*BN1142,0)</f>
        <v>0</v>
      </c>
      <c r="BQ1142" cm="1">
        <f t="array" ref="BQ1142">IFERROR(INDEX(hd_cap,MATCH(BT1142,hd_mark,0),0),0)</f>
        <v>0</v>
      </c>
      <c r="BS1142" s="19"/>
      <c r="BT1142" s="19"/>
      <c r="BU1142" s="100"/>
    </row>
    <row r="1143" x14ac:dyDescent="0.25">
      <c r="P1143" s="93"/>
      <c r="Q1143" s="109"/>
      <c r="R1143" t="str">
        <f>$Q$1049</f>
        <v>Roof</v>
      </c>
      <c r="S1143">
        <f>$E$25</f>
        <v>33.171875</v>
      </c>
      <c r="T1143" cm="1">
        <f t="array" ref="T1143">IFERROR(IF(S1143=0,0,(INDEX($C$33:$C$38,MATCH($W$1065,$B$33:$B$38,0),0)*(S1143+$X$1065)+$V$1065*$C$31)*$R$1065),0)</f>
        <v>0</v>
      </c>
      <c r="U1143">
        <f>IF(S1143=0,0,-$V$1065*$C$31*$H$27*$R$1065)</f>
        <v>0</v>
      </c>
      <c r="V1143">
        <f>IF(S1143=0,0,$V$1065*$H$26*$R$1065)</f>
        <v>0</v>
      </c>
      <c r="W1143">
        <f>(0.6*T1143+0.7*U1143)*$R$1065/2</f>
        <v>0</v>
      </c>
      <c r="X1143">
        <f>T1143*$R$1065/2</f>
        <v>0</v>
      </c>
      <c r="Z1143">
        <f>IF(S1143=0,0,$AD$1065*$AP$1049)</f>
        <v>0</v>
      </c>
      <c r="AA1143">
        <f>IFERROR(Z1143/$R$1065,0)</f>
        <v>0</v>
      </c>
      <c r="AB1143">
        <f>Z1143*($F$25+($C$16+$C$17+IF($C$13="single",1.5,3)+3)/12)</f>
        <v>0</v>
      </c>
      <c r="AC1143">
        <f>AB1143-W1143</f>
        <v>0</v>
      </c>
      <c r="AD1143" cm="1">
        <f t="array" ref="AD1143">IFERROR(IF(AC1143&lt;0,0,AC1143/($R$1065-INDEX(hd_off,MATCH(AQ1143,hd_mark,0),0)/12)),0)</f>
        <v>0</v>
      </c>
      <c r="AE1143">
        <f>IF(S1143=0,0,$AD$1065*$AM$1049)</f>
        <v>0</v>
      </c>
      <c r="AF1143">
        <f>IFERROR(AE1143/$R$1065,0)</f>
        <v>0</v>
      </c>
      <c r="AG1143">
        <f>AE1143*($F$25+($C$16+$C$17+IF($C$13="single",1.5,3)+3)/12)</f>
        <v>0</v>
      </c>
      <c r="AH1143">
        <f>AG1143-X1143</f>
        <v>0</v>
      </c>
      <c r="AI1143" cm="1">
        <f t="array" ref="AI1143">IFERROR(IF(AH1143&lt;0,0,AH1143/($R$1065-INDEX(hd_off,MATCH(AQ1143,hd_mark,0),0)/12)),0)</f>
        <v>0</v>
      </c>
      <c r="AJ1143">
        <f>MAX($F$25,$AC$1065)/$Q$1076</f>
        <v>0.29920977011494249</v>
      </c>
      <c r="AK1143">
        <f t="shared" si="700"/>
        <v>1</v>
      </c>
      <c r="AL1143" cm="1">
        <f t="array" ref="AL1143">IFERROR(INDEX(sheath_ecap_asd,MATCH(AP1143,sheath_mark,0),0)*AK1143,0)</f>
        <v>0</v>
      </c>
      <c r="AM1143" cm="1">
        <f t="array" ref="AM1143">IFERROR(INDEX(sheath_wcap_asd,MATCH(AP1143,sheath_mark,0),0)*AK1143,0)</f>
        <v>0</v>
      </c>
      <c r="AN1143" cm="1">
        <f t="array" ref="AN1143">IFERROR(INDEX(hd_cap,MATCH(AQ1143,hd_mark,0),0),0)</f>
        <v>0</v>
      </c>
      <c r="AP1143" s="19"/>
      <c r="AQ1143" s="19"/>
      <c r="AR1143" s="100"/>
      <c r="AS1143" s="93"/>
      <c r="AT1143" s="109"/>
      <c r="AU1143" t="str">
        <f>$Q$1049</f>
        <v>Roof</v>
      </c>
      <c r="AV1143">
        <f>$E$25</f>
        <v>33.171875</v>
      </c>
      <c r="AW1143" cm="1">
        <f t="array" ref="AW1143">IFERROR(IF(AV1143=0,0,(INDEX($C$33:$C$38,MATCH($AZ$1065,$B$33:$B$38,0),0)*(AV1143+$BA$1065)+$AY$1065*$C$31)*$AU$1065),0)</f>
        <v>0</v>
      </c>
      <c r="AX1143">
        <f>IF(AV1143=0,0,-$AY$1065*$C$31*$H$27*$AU$1065)</f>
        <v>0</v>
      </c>
      <c r="AY1143">
        <f>IF(AV1143=0,0,$AY$1065*$H$26*$AU$1065)</f>
        <v>0</v>
      </c>
      <c r="AZ1143">
        <f>(0.6*AW1143+0.7*AX1143)*$AU$1065/2</f>
        <v>0</v>
      </c>
      <c r="BA1143">
        <f>AW1143*$AU$1065/2</f>
        <v>0</v>
      </c>
      <c r="BC1143">
        <f>IF(AV1143=0,0,$BG$1065*$AP$1049)</f>
        <v>0</v>
      </c>
      <c r="BD1143">
        <f>IFERROR(BC1143/$AU$1065,0)</f>
        <v>0</v>
      </c>
      <c r="BE1143">
        <f>BC1143*($F$25+($C$16+$C$17+IF($C$13="single",1.5,3)+3)/12)</f>
        <v>0</v>
      </c>
      <c r="BF1143">
        <f>BE1143-AZ1143</f>
        <v>0</v>
      </c>
      <c r="BG1143" cm="1">
        <f t="array" ref="BG1143">IFERROR(IF(BF1143&lt;0,0,BF1143/($AU$1065-INDEX(hd_off,MATCH(BT1143,hd_mark,0),0)/12)),0)</f>
        <v>0</v>
      </c>
      <c r="BH1143">
        <f>IF(AV1143=0,0,$BG$1065*$AM$1049)</f>
        <v>0</v>
      </c>
      <c r="BI1143">
        <f>IFERROR(BH1143/$AU$1065,0)</f>
        <v>0</v>
      </c>
      <c r="BJ1143">
        <f>BH1143*($F$25+($C$16+$C$17+IF($C$13="single",1.5,3)+3)/12)</f>
        <v>0</v>
      </c>
      <c r="BK1143">
        <f>BJ1143-BA1143</f>
        <v>0</v>
      </c>
      <c r="BL1143" cm="1">
        <f t="array" ref="BL1143">IFERROR(IF(BK1143&lt;0,0,BK1143/($AU$1065-INDEX(hd_off,MATCH(BT1143,hd_mark,0),0)/12)),0)</f>
        <v>0</v>
      </c>
      <c r="BM1143">
        <f>MAX($F$25,$BF$1065)/$Q$1076</f>
        <v>0.29920977011494249</v>
      </c>
      <c r="BN1143">
        <f t="shared" si="701"/>
        <v>1</v>
      </c>
      <c r="BO1143" cm="1">
        <f t="array" ref="BO1143">IFERROR(INDEX(sheath_ecap_asd,MATCH(BS1143,sheath_mark,0),0)*BN1143,0)</f>
        <v>0</v>
      </c>
      <c r="BP1143" cm="1">
        <f t="array" ref="BP1143">IFERROR(INDEX(sheath_wcap_asd,MATCH(BS1143,sheath_mark,0),0)*BN1143,0)</f>
        <v>0</v>
      </c>
      <c r="BQ1143" cm="1">
        <f t="array" ref="BQ1143">IFERROR(INDEX(hd_cap,MATCH(BT1143,hd_mark,0),0),0)</f>
        <v>0</v>
      </c>
      <c r="BS1143" s="19"/>
      <c r="BT1143" s="19"/>
      <c r="BU1143" s="100"/>
    </row>
    <row r="1144" x14ac:dyDescent="0.25">
      <c r="P1144" s="93"/>
      <c r="AR1144" s="100"/>
      <c r="AS1144" s="93"/>
      <c r="BU1144" s="100"/>
    </row>
    <row r="1145" x14ac:dyDescent="0.25">
      <c r="P1145" s="93"/>
      <c r="Q1145" s="110" t="str">
        <f>$Q$1066</f>
        <v>A.13</v>
      </c>
      <c r="R1145" t="str">
        <f>$Q$1045</f>
        <v>L2</v>
      </c>
      <c r="S1145">
        <f>$E$21</f>
        <v>10.6875</v>
      </c>
      <c r="T1145" cm="1">
        <f t="array" ref="T1145">IFERROR(IF(S1145=0,0,(INDEX($C$33:$C$38,MATCH($W$1066,$B$33:$B$38,0),0)*(S1149+$X$1066)+$T$1066*COUNTIF(S1145:S1148,"&gt;0")*$C$32+$V$1066*$C$31)*$R$1066),0)</f>
        <v>0</v>
      </c>
      <c r="U1145">
        <f>IF(S1145=0,0,-(COUNTIF(S1145:S1148,"&gt;0")*$T$1066*$C$32+$V$1066*$C$31)*$H$27*$R$1066)</f>
        <v>0</v>
      </c>
      <c r="V1145">
        <f>IF(S1145=0,0,$V$1066*$H$26*$R$1066)</f>
        <v>0</v>
      </c>
      <c r="W1145">
        <f>(0.6*T1145+0.7*U1145)*$R$1066/2</f>
        <v>0</v>
      </c>
      <c r="X1145">
        <f>(0.6*T1145+0.6*V1145)*$R$1066/2</f>
        <v>0</v>
      </c>
      <c r="Z1145">
        <f>IF(S1145=0,0,$AD$1066*$AP$1045)</f>
        <v>0</v>
      </c>
      <c r="AA1145">
        <f>IFERROR(Z1145/$R$1066,0)</f>
        <v>0</v>
      </c>
      <c r="AB1145">
        <f>Z1145*($F$21+IF($F$21=0,0,($C$14+$C$15+IF($C$13="single",1.5,3)+3)/12))</f>
        <v>0</v>
      </c>
      <c r="AC1145">
        <f>AB1145-W1145</f>
        <v>0</v>
      </c>
      <c r="AD1145" cm="1">
        <f t="array" ref="AD1145">IFERROR(IF(AC1145&lt;0,0,AC1145/($R$1066-INDEX(hd_off,MATCH(AQ1145,hd_mark,0),0)/12)),0)</f>
        <v>0</v>
      </c>
      <c r="AE1145">
        <f>IF(S1145=0,0,$AD$1066*$AM$1045)</f>
        <v>0</v>
      </c>
      <c r="AF1145">
        <f>IFERROR(AE1145/$R$1066,0)</f>
        <v>0</v>
      </c>
      <c r="AG1145">
        <f>AE1145*($F$21+IF($F$21=0,0,($C$14+$C$15+IF($C$13="single",1.5,3)+3)/12))</f>
        <v>0</v>
      </c>
      <c r="AH1145">
        <f>AG1145-X1145</f>
        <v>0</v>
      </c>
      <c r="AI1145" cm="1">
        <f t="array" ref="AI1145">IFERROR(IF(AH1145&lt;0,0,AH1145/($R$1066-INDEX(hd_off,MATCH(AQ1145,hd_mark,0),0)/12)),0)</f>
        <v>0</v>
      </c>
      <c r="AJ1145">
        <f>MAX($F$21,$Y$1066)/$Q$1076</f>
        <v>0.30172413793103448</v>
      </c>
      <c r="AK1145">
        <f>IF(AJ1145=0,0,IF(AJ1145&gt;2,1.25-0.125*AJ1145,1))</f>
        <v>1</v>
      </c>
      <c r="AL1145" cm="1">
        <f t="array" ref="AL1145">IFERROR(INDEX(sheath_ecap_asd,MATCH(AP1145,sheath_mark,0),0)*AK1145,0)</f>
        <v>0</v>
      </c>
      <c r="AM1145" cm="1">
        <f t="array" ref="AM1145">IFERROR(INDEX(sheath_wcap_asd,MATCH(AP1145,sheath_mark,0),0)*AK1145,0)</f>
        <v>0</v>
      </c>
      <c r="AN1145" cm="1">
        <f t="array" ref="AN1145">IFERROR(INDEX(hd_cap,MATCH(AQ1145,hd_mark,0),0),0)</f>
        <v>0</v>
      </c>
      <c r="AP1145" s="19"/>
      <c r="AQ1145" s="19"/>
      <c r="AR1145" s="100"/>
      <c r="AS1145" s="93"/>
      <c r="AT1145" s="110" t="str">
        <f>$AT$1066</f>
        <v>1.13</v>
      </c>
      <c r="AU1145" t="str">
        <f>$Q$1045</f>
        <v>L2</v>
      </c>
      <c r="AV1145">
        <f>$E$21</f>
        <v>10.6875</v>
      </c>
      <c r="AW1145" cm="1">
        <f t="array" ref="AW1145">IFERROR(IF(AV1145=0,0,(INDEX($C$33:$C$38,MATCH($AZ$1066,$B$33:$B$38,0),0)*(AV1149+$BA$1066)+$AW$1066*COUNTIF(AV1145:AV1148,"&gt;0")*$C$32+$AY$1066*$C$31)*$AU$1066),0)</f>
        <v>0</v>
      </c>
      <c r="AX1145">
        <f>IF(AV1145=0,0,-(COUNTIF(AV1145:AV1148,"&gt;0")*$AW$1066*$C$32+$AY$1066*$C$31)*$H$27*$AU$1066)</f>
        <v>0</v>
      </c>
      <c r="AY1145">
        <f>IF(AV1145=0,0,$AY$1066*$H$26*$AU$1066)</f>
        <v>0</v>
      </c>
      <c r="AZ1145">
        <f>(0.6*AW1145+0.7*AX1145)*$AU$1066/2</f>
        <v>0</v>
      </c>
      <c r="BA1145">
        <f>(0.6*AW1145+0.6*AY1145)*$AU$1066/2</f>
        <v>0</v>
      </c>
      <c r="BC1145">
        <f>IF(AV1145=0,0,$BG$1066*$AP$1045)</f>
        <v>0</v>
      </c>
      <c r="BD1145">
        <f>IFERROR(BC1145/$AU$1066,0)</f>
        <v>0</v>
      </c>
      <c r="BE1145">
        <f>BC1145*($F$21+IF($F$21=0,0,($C$14+$C$15+IF($C$13="single",1.5,3)+3)/12))</f>
        <v>0</v>
      </c>
      <c r="BF1145">
        <f>BE1145-AZ1145</f>
        <v>0</v>
      </c>
      <c r="BG1145" cm="1">
        <f t="array" ref="BG1145">IFERROR(IF(BF1145&lt;0,0,BF1145/($AU$1066-INDEX(hd_off,MATCH(BT1145,hd_mark,0),0)/12)),0)</f>
        <v>0</v>
      </c>
      <c r="BH1145">
        <f>IF(AV1145=0,0,$BG$1066*$AM$1045)</f>
        <v>0</v>
      </c>
      <c r="BI1145">
        <f>IFERROR(BH1145/$AU$1066,0)</f>
        <v>0</v>
      </c>
      <c r="BJ1145">
        <f>BH1145*($F$21+IF($F$21=0,0,($C$14+$C$15+IF($C$13="single",1.5,3)+3)/12))</f>
        <v>0</v>
      </c>
      <c r="BK1145">
        <f>BJ1145-BA1145</f>
        <v>0</v>
      </c>
      <c r="BL1145" cm="1">
        <f t="array" ref="BL1145">IFERROR(IF(BK1145&lt;0,0,BK1145/($AU$1066-INDEX(hd_off,MATCH(BT1145,hd_mark,0),0)/12)),0)</f>
        <v>0</v>
      </c>
      <c r="BM1145">
        <f>MAX($F$21,$BB$1066)/$Q$1076</f>
        <v>0.30172413793103448</v>
      </c>
      <c r="BN1145">
        <f>IF(BM1145=0,0,IF(BM1145&gt;2,1.25-0.125*BM1145,1))</f>
        <v>1</v>
      </c>
      <c r="BO1145" cm="1">
        <f t="array" ref="BO1145">IFERROR(INDEX(sheath_ecap_asd,MATCH(BS1145,sheath_mark,0),0)*BN1145,0)</f>
        <v>0</v>
      </c>
      <c r="BP1145" cm="1">
        <f t="array" ref="BP1145">IFERROR(INDEX(sheath_wcap_asd,MATCH(BS1145,sheath_mark,0),0)*BN1145,0)</f>
        <v>0</v>
      </c>
      <c r="BQ1145" cm="1">
        <f t="array" ref="BQ1145">IFERROR(INDEX(hd_cap,MATCH(BT1145,hd_mark,0),0),0)</f>
        <v>0</v>
      </c>
      <c r="BS1145" s="19"/>
      <c r="BT1145" s="19"/>
      <c r="BU1145" s="100"/>
    </row>
    <row r="1146" x14ac:dyDescent="0.25">
      <c r="P1146" s="93"/>
      <c r="Q1146" s="109"/>
      <c r="R1146" t="str">
        <f>$Q$1046</f>
        <v>L3</v>
      </c>
      <c r="S1146">
        <f>$E$22</f>
        <v>21.375</v>
      </c>
      <c r="T1146" cm="1">
        <f t="array" ref="T1146">IFERROR(IF(S1146=0,0,(INDEX($C$33:$C$38,MATCH($W$1066,$B$33:$B$38,0),0)*(S1149+$X$1066)+$T$1066*COUNTIF(S1146:S1148,"&gt;0")*$C$32+$V$1066*$C$31)*$R$1066),0)</f>
        <v>0</v>
      </c>
      <c r="U1146">
        <f>IF(S1146=0,0,-(COUNTIF(S1146:S1148,"&gt;0")*$T$1066*$C$32+$V$1066*$C$31)*$H$27*$R$1066)</f>
        <v>0</v>
      </c>
      <c r="V1146">
        <f>IF(S1146=0,0,$V$1066*$H$26*$R$1066)</f>
        <v>0</v>
      </c>
      <c r="W1146">
        <f>(0.6*T1146+0.7*U1146)*$R$1066/2</f>
        <v>0</v>
      </c>
      <c r="X1146">
        <f>T1146*$R$1066/2</f>
        <v>0</v>
      </c>
      <c r="Z1146">
        <f>IF(S1146=0,0,$AD$1066*$AP$1046)</f>
        <v>0</v>
      </c>
      <c r="AA1146">
        <f>IFERROR(Z1146/$R$1066,0)</f>
        <v>0</v>
      </c>
      <c r="AB1146">
        <f>Z1146*($F$22+IF($F$22=0,0,($C$14+$C$15+IF($C$13="single",1.5,3)+3)/12))</f>
        <v>0</v>
      </c>
      <c r="AC1146">
        <f>AB1146-W1146</f>
        <v>0</v>
      </c>
      <c r="AD1146" cm="1">
        <f t="array" ref="AD1146">IFERROR(IF(AC1146&lt;0,0,AC1146/($R$1066-INDEX(hd_off,MATCH(AQ1146,hd_mark,0),0)/12)),0)</f>
        <v>0</v>
      </c>
      <c r="AE1146">
        <f>IF(S1146=0,0,$AD$1066*$AM$1046)</f>
        <v>0</v>
      </c>
      <c r="AF1146">
        <f>IFERROR(AE1146/$R$1066,0)</f>
        <v>0</v>
      </c>
      <c r="AG1146">
        <f>AE1146*($F$22+IF($F$22=0,0,($C$14+$C$15+IF($C$13="single",1.5,3)+3)/12))</f>
        <v>0</v>
      </c>
      <c r="AH1146">
        <f>AG1146-X1146</f>
        <v>0</v>
      </c>
      <c r="AI1146" cm="1">
        <f t="array" ref="AI1146">IFERROR(IF(AH1146&lt;0,0,AH1146/($R$1066-INDEX(hd_off,MATCH(AQ1146,hd_mark,0),0)/12)),0)</f>
        <v>0</v>
      </c>
      <c r="AJ1146">
        <f>MAX($F$22,$Z$1066)/$Q$1076</f>
        <v>0.30172413793103448</v>
      </c>
      <c r="AK1146">
        <f t="shared" ref="AK1146:AK1149" si="702">IF(AJ1146=0,0,IF(AJ1146&gt;2,1.25-0.125*AJ1146,1))</f>
        <v>1</v>
      </c>
      <c r="AL1146" cm="1">
        <f t="array" ref="AL1146">IFERROR(INDEX(sheath_ecap_asd,MATCH(AP1146,sheath_mark,0),0)*AK1146,0)</f>
        <v>0</v>
      </c>
      <c r="AM1146" cm="1">
        <f t="array" ref="AM1146">IFERROR(INDEX(sheath_wcap_asd,MATCH(AP1146,sheath_mark,0),0)*AK1146,0)</f>
        <v>0</v>
      </c>
      <c r="AN1146" cm="1">
        <f t="array" ref="AN1146">IFERROR(INDEX(hd_cap,MATCH(AQ1146,hd_mark,0),0),0)</f>
        <v>0</v>
      </c>
      <c r="AP1146" s="19"/>
      <c r="AQ1146" s="19"/>
      <c r="AR1146" s="100"/>
      <c r="AS1146" s="93"/>
      <c r="AT1146" s="109"/>
      <c r="AU1146" t="str">
        <f>$Q$1046</f>
        <v>L3</v>
      </c>
      <c r="AV1146">
        <f>$E$22</f>
        <v>21.375</v>
      </c>
      <c r="AW1146" cm="1">
        <f t="array" ref="AW1146">IFERROR(IF(AV1146=0,0,(INDEX($C$33:$C$38,MATCH($AZ$1066,$B$33:$B$38,0),0)*(AV1149+$BA$1066)+$AW$1066*COUNTIF(AV1146:AV1148,"&gt;0")*$C$32+$AY$1066*$C$31)*$AU$1066),0)</f>
        <v>0</v>
      </c>
      <c r="AX1146">
        <f>IF(AV1146=0,0,-(COUNTIF(AV1146:AV1148,"&gt;0")*$AW$1066*$C$32+$AY$1066*$C$31)*$H$27*$AU$1066)</f>
        <v>0</v>
      </c>
      <c r="AY1146">
        <f>IF(AV1146=0,0,$AY$1066*$H$26*$AU$1066)</f>
        <v>0</v>
      </c>
      <c r="AZ1146">
        <f>(0.6*AW1146+0.7*AX1146)*$AU$1066/2</f>
        <v>0</v>
      </c>
      <c r="BA1146">
        <f>AW1146*$AU$1066/2</f>
        <v>0</v>
      </c>
      <c r="BC1146">
        <f>IF(AV1146=0,0,$BG$1066*$AP$1046)</f>
        <v>0</v>
      </c>
      <c r="BD1146">
        <f>IFERROR(BC1146/$AU$1066,0)</f>
        <v>0</v>
      </c>
      <c r="BE1146">
        <f>BC1146*($F$22+IF($F$22=0,0,($C$14+$C$15+IF($C$13="single",1.5,3)+3)/12))</f>
        <v>0</v>
      </c>
      <c r="BF1146">
        <f>BE1146-AZ1146</f>
        <v>0</v>
      </c>
      <c r="BG1146" cm="1">
        <f t="array" ref="BG1146">IFERROR(IF(BF1146&lt;0,0,BF1146/($AU$1066-INDEX(hd_off,MATCH(BT1146,hd_mark,0),0)/12)),0)</f>
        <v>0</v>
      </c>
      <c r="BH1146">
        <f>IF(AV1146=0,0,$BG$1066*$AM$1046)</f>
        <v>0</v>
      </c>
      <c r="BI1146">
        <f>IFERROR(BH1146/$AU$1066,0)</f>
        <v>0</v>
      </c>
      <c r="BJ1146">
        <f>BH1146*($F$22+IF($F$22=0,0,($C$14+$C$15+IF($C$13="single",1.5,3)+3)/12))</f>
        <v>0</v>
      </c>
      <c r="BK1146">
        <f>BJ1146-BA1146</f>
        <v>0</v>
      </c>
      <c r="BL1146" cm="1">
        <f t="array" ref="BL1146">IFERROR(IF(BK1146&lt;0,0,BK1146/($AU$1066-INDEX(hd_off,MATCH(BT1146,hd_mark,0),0)/12)),0)</f>
        <v>0</v>
      </c>
      <c r="BM1146">
        <f>MAX($F$22,$BC$1066)/$Q$1076</f>
        <v>0.30172413793103448</v>
      </c>
      <c r="BN1146">
        <f t="shared" ref="BN1146:BN1149" si="703">IF(BM1146=0,0,IF(BM1146&gt;2,1.25-0.125*BM1146,1))</f>
        <v>1</v>
      </c>
      <c r="BO1146" cm="1">
        <f t="array" ref="BO1146">IFERROR(INDEX(sheath_ecap_asd,MATCH(BS1146,sheath_mark,0),0)*BN1146,0)</f>
        <v>0</v>
      </c>
      <c r="BP1146" cm="1">
        <f t="array" ref="BP1146">IFERROR(INDEX(sheath_wcap_asd,MATCH(BS1146,sheath_mark,0),0)*BN1146,0)</f>
        <v>0</v>
      </c>
      <c r="BQ1146" cm="1">
        <f t="array" ref="BQ1146">IFERROR(INDEX(hd_cap,MATCH(BT1146,hd_mark,0),0),0)</f>
        <v>0</v>
      </c>
      <c r="BS1146" s="19"/>
      <c r="BT1146" s="19"/>
      <c r="BU1146" s="100"/>
    </row>
    <row r="1147" x14ac:dyDescent="0.25">
      <c r="P1147" s="93"/>
      <c r="Q1147" s="109" t="s">
        <v>491</v>
      </c>
      <c r="R1147" t="str">
        <f>$Q$1047</f>
        <v>L4</v>
      </c>
      <c r="S1147">
        <f>$E$23</f>
        <v>0</v>
      </c>
      <c r="T1147" cm="1">
        <f t="array" ref="T1147">IFERROR(IF(S1147=0,0,(INDEX($C$33:$C$38,MATCH($W$1066,$B$33:$B$38,0),0)*(S1149+$X$1066)+$T$1066*COUNTIF(S1147:S1148,"&gt;0")*$C$32+$V$1066*$C$31)*$R$1066),0)</f>
        <v>0</v>
      </c>
      <c r="U1147">
        <f>IF(S1147=0,0,-(COUNTIF(S1147:S1148,"&gt;0")*$T$1066*$C$32+$V$1066*$C$31)*$H$27*$R$1066)</f>
        <v>0</v>
      </c>
      <c r="V1147">
        <f>IF(S1147=0,0,$V$1066*$H$26*$R$1066)</f>
        <v>0</v>
      </c>
      <c r="W1147">
        <f>(0.6*T1147+0.7*U1147)*$R$1066/2</f>
        <v>0</v>
      </c>
      <c r="X1147">
        <f>T1147*$R$1066/2</f>
        <v>0</v>
      </c>
      <c r="Z1147">
        <f>IF(S1147=0,0,$AD$1066*$AP$1047)</f>
        <v>0</v>
      </c>
      <c r="AA1147">
        <f>IFERROR(Z1147/$R$1066,0)</f>
        <v>0</v>
      </c>
      <c r="AB1147">
        <f>Z1147*($F$23+IF($F$23=0,0,($C$14+$C$15+IF($C$13="single",1.5,3)+3)/12))</f>
        <v>0</v>
      </c>
      <c r="AC1147">
        <f>AB1147-W1147</f>
        <v>0</v>
      </c>
      <c r="AD1147" cm="1">
        <f t="array" ref="AD1147">IFERROR(IF(AC1147&lt;0,0,AC1147/($R$1066-INDEX(hd_off,MATCH(AQ1147,hd_mark,0),0)/12)),0)</f>
        <v>0</v>
      </c>
      <c r="AE1147">
        <f>IF(S1147=0,0,$AD$1066*$AM$1047)</f>
        <v>0</v>
      </c>
      <c r="AF1147">
        <f>IFERROR(AE1147/$R$1066,0)</f>
        <v>0</v>
      </c>
      <c r="AG1147">
        <f>AE1147*($F$23+IF($F$23=0,0,($C$14+$C$15+IF($C$13="single",1.5,3)+3)/12))</f>
        <v>0</v>
      </c>
      <c r="AH1147">
        <f>AG1147-X1147</f>
        <v>0</v>
      </c>
      <c r="AI1147" cm="1">
        <f t="array" ref="AI1147">IFERROR(IF(AH1147&lt;0,0,AH1147/($R$1066-INDEX(hd_off,MATCH(AQ1147,hd_mark,0),0)/12)),0)</f>
        <v>0</v>
      </c>
      <c r="AJ1147">
        <f>MAX($F$23,$AA$1066)/$Q$1076</f>
        <v>0</v>
      </c>
      <c r="AK1147">
        <f t="shared" si="702"/>
        <v>0</v>
      </c>
      <c r="AL1147" cm="1">
        <f t="array" ref="AL1147">IFERROR(INDEX(sheath_ecap_asd,MATCH(AP1147,sheath_mark,0),0)*AK1147,0)</f>
        <v>0</v>
      </c>
      <c r="AM1147" cm="1">
        <f t="array" ref="AM1147">IFERROR(INDEX(sheath_wcap_asd,MATCH(AP1147,sheath_mark,0),0)*AK1147,0)</f>
        <v>0</v>
      </c>
      <c r="AN1147" cm="1">
        <f t="array" ref="AN1147">IFERROR(INDEX(hd_cap,MATCH(AQ1147,hd_mark,0),0),0)</f>
        <v>0</v>
      </c>
      <c r="AP1147" s="19"/>
      <c r="AQ1147" s="19"/>
      <c r="AR1147" s="100"/>
      <c r="AS1147" s="93"/>
      <c r="AT1147" s="109" t="s">
        <v>491</v>
      </c>
      <c r="AU1147" t="str">
        <f>$Q$1047</f>
        <v>L4</v>
      </c>
      <c r="AV1147">
        <f>$E$23</f>
        <v>0</v>
      </c>
      <c r="AW1147" cm="1">
        <f t="array" ref="AW1147">IFERROR(IF(AV1147=0,0,(INDEX($C$33:$C$38,MATCH($AZ$1066,$B$33:$B$38,0),0)*(AV1149+$BA$1066)+$AW$1066*COUNTIF(AV1147:AV1148,"&gt;0")*$C$32+$AY$1066*$C$31)*$AU$1066),0)</f>
        <v>0</v>
      </c>
      <c r="AX1147">
        <f>IF(AV1147=0,0,-(COUNTIF(AV1147:AV1148,"&gt;0")*$AW$1066*$C$32+$AY$1066*$C$31)*$H$27*$AU$1066)</f>
        <v>0</v>
      </c>
      <c r="AY1147">
        <f>IF(AV1147=0,0,$AY$1066*$H$26*$AU$1066)</f>
        <v>0</v>
      </c>
      <c r="AZ1147">
        <f>(0.6*AW1147+0.7*AX1147)*$AU$1066/2</f>
        <v>0</v>
      </c>
      <c r="BA1147">
        <f>AW1147*$AU$1066/2</f>
        <v>0</v>
      </c>
      <c r="BC1147">
        <f>IF(AV1147=0,0,$BG$1066*$AP$1047)</f>
        <v>0</v>
      </c>
      <c r="BD1147">
        <f>IFERROR(BC1147/$AU$1066,0)</f>
        <v>0</v>
      </c>
      <c r="BE1147">
        <f>BC1147*($F$23+IF($F$23=0,0,($C$14+$C$15+IF($C$13="single",1.5,3)+3)/12))</f>
        <v>0</v>
      </c>
      <c r="BF1147">
        <f>BE1147-AZ1147</f>
        <v>0</v>
      </c>
      <c r="BG1147" cm="1">
        <f t="array" ref="BG1147">IFERROR(IF(BF1147&lt;0,0,BF1147/($AU$1066-INDEX(hd_off,MATCH(BT1147,hd_mark,0),0)/12)),0)</f>
        <v>0</v>
      </c>
      <c r="BH1147">
        <f>IF(AV1147=0,0,$BG$1066*$AM$1047)</f>
        <v>0</v>
      </c>
      <c r="BI1147">
        <f>IFERROR(BH1147/$AU$1066,0)</f>
        <v>0</v>
      </c>
      <c r="BJ1147">
        <f>BH1147*($F$23+IF($F$23=0,0,($C$14+$C$15+IF($C$13="single",1.5,3)+3)/12))</f>
        <v>0</v>
      </c>
      <c r="BK1147">
        <f>BJ1147-BA1147</f>
        <v>0</v>
      </c>
      <c r="BL1147" cm="1">
        <f t="array" ref="BL1147">IFERROR(IF(BK1147&lt;0,0,BK1147/($AU$1066-INDEX(hd_off,MATCH(BT1147,hd_mark,0),0)/12)),0)</f>
        <v>0</v>
      </c>
      <c r="BM1147">
        <f>MAX($F$23,$BD$1066)/$Q$1076</f>
        <v>0</v>
      </c>
      <c r="BN1147">
        <f t="shared" si="703"/>
        <v>0</v>
      </c>
      <c r="BO1147" cm="1">
        <f t="array" ref="BO1147">IFERROR(INDEX(sheath_ecap_asd,MATCH(BS1147,sheath_mark,0),0)*BN1147,0)</f>
        <v>0</v>
      </c>
      <c r="BP1147" cm="1">
        <f t="array" ref="BP1147">IFERROR(INDEX(sheath_wcap_asd,MATCH(BS1147,sheath_mark,0),0)*BN1147,0)</f>
        <v>0</v>
      </c>
      <c r="BQ1147" cm="1">
        <f t="array" ref="BQ1147">IFERROR(INDEX(hd_cap,MATCH(BT1147,hd_mark,0),0),0)</f>
        <v>0</v>
      </c>
      <c r="BS1147" s="19"/>
      <c r="BT1147" s="19"/>
      <c r="BU1147" s="100"/>
    </row>
    <row r="1148" x14ac:dyDescent="0.25">
      <c r="P1148" s="93"/>
      <c r="Q1148" s="111">
        <f>$R$1066</f>
        <v>0</v>
      </c>
      <c r="R1148" t="str">
        <f>$Q$1048</f>
        <v>L5</v>
      </c>
      <c r="S1148">
        <f>$E$24</f>
        <v>0</v>
      </c>
      <c r="T1148" cm="1">
        <f t="array" ref="T1148">IFERROR(IF(S1148=0,0,(INDEX($C$33:$C$38,MATCH($W$1066,$B$33:$B$38,0),0)*(S1149+$X$1066)+$T$1066*COUNTIF(S1148:S1148,"&gt;0")*$C$32+$V$1066*$C$31)*$R$1066),0)</f>
        <v>0</v>
      </c>
      <c r="U1148">
        <f>IF(S1148=0,0,-(COUNTIF(S1148:S1148,"&gt;0")*$T$1066*$C$32+$V$1066*$C$31)*$H$27*$R$1066)</f>
        <v>0</v>
      </c>
      <c r="V1148">
        <f>IF(S1148=0,0,$V$1066*$H$26*$R$1066)</f>
        <v>0</v>
      </c>
      <c r="W1148">
        <f>(0.6*T1148+0.7*U1148)*$R$1066/2</f>
        <v>0</v>
      </c>
      <c r="X1148">
        <f>T1148*$R$1066/2</f>
        <v>0</v>
      </c>
      <c r="Z1148">
        <f>IF(S1148=0,0,$AD$1066*$AP$1048)</f>
        <v>0</v>
      </c>
      <c r="AA1148">
        <f>IFERROR(Z1148/$R$1066,0)</f>
        <v>0</v>
      </c>
      <c r="AB1148">
        <f>Z1148*($F$24+IF($F$24=0,0,($C$14+$C$15+IF($C$13="single",1.5,3)+3)/12))</f>
        <v>0</v>
      </c>
      <c r="AC1148">
        <f>AB1148-W1148</f>
        <v>0</v>
      </c>
      <c r="AD1148" cm="1">
        <f t="array" ref="AD1148">IFERROR(IF(AC1148&lt;0,0,AC1148/($R$1066-INDEX(hd_off,MATCH(AQ1148,hd_mark,0),0)/12)),0)</f>
        <v>0</v>
      </c>
      <c r="AE1148">
        <f>IF(S1148=0,0,$AD$1066*$AM$1048)</f>
        <v>0</v>
      </c>
      <c r="AF1148">
        <f>IFERROR(AE1148/$R$1066,0)</f>
        <v>0</v>
      </c>
      <c r="AG1148">
        <f>AE1148*($F$24+IF($F$24=0,0,($C$14+$C$15+IF($C$13="single",1.5,3)+3)/12))</f>
        <v>0</v>
      </c>
      <c r="AH1148">
        <f>AG1148-X1148</f>
        <v>0</v>
      </c>
      <c r="AI1148" cm="1">
        <f t="array" ref="AI1148">IFERROR(IF(AH1148&lt;0,0,AH1148/($R$1066-INDEX(hd_off,MATCH(AQ1148,hd_mark,0),0)/12)),0)</f>
        <v>0</v>
      </c>
      <c r="AJ1148">
        <f>MAX($F$24,$AB$1066)/$Q$1076</f>
        <v>0</v>
      </c>
      <c r="AK1148">
        <f t="shared" si="702"/>
        <v>0</v>
      </c>
      <c r="AL1148" cm="1">
        <f t="array" ref="AL1148">IFERROR(INDEX(sheath_ecap_asd,MATCH(AP1148,sheath_mark,0),0)*AK1148,0)</f>
        <v>0</v>
      </c>
      <c r="AM1148" cm="1">
        <f t="array" ref="AM1148">IFERROR(INDEX(sheath_wcap_asd,MATCH(AP1148,sheath_mark,0),0)*AK1148,0)</f>
        <v>0</v>
      </c>
      <c r="AN1148" cm="1">
        <f t="array" ref="AN1148">IFERROR(INDEX(hd_cap,MATCH(AQ1148,hd_mark,0),0),0)</f>
        <v>0</v>
      </c>
      <c r="AP1148" s="19"/>
      <c r="AQ1148" s="19"/>
      <c r="AR1148" s="100"/>
      <c r="AS1148" s="93"/>
      <c r="AT1148" s="111">
        <f>$R$1066</f>
        <v>0</v>
      </c>
      <c r="AU1148" t="str">
        <f>$Q$1048</f>
        <v>L5</v>
      </c>
      <c r="AV1148">
        <f>$E$24</f>
        <v>0</v>
      </c>
      <c r="AW1148" cm="1">
        <f t="array" ref="AW1148">IFERROR(IF(AV1148=0,0,(INDEX($C$33:$C$38,MATCH($AZ$1066,$B$33:$B$38,0),0)*(AV1149+$BA$1066)+$AW$1066*COUNTIF(AV1148:AV1148,"&gt;0")*$C$32+$AY$1066*$C$31)*$AU$1066),0)</f>
        <v>0</v>
      </c>
      <c r="AX1148">
        <f>IF(AV1148=0,0,-(COUNTIF(AV1148:AV1148,"&gt;0")*$AW$1066*$C$32+$AY$1066*$C$31)*$H$27*$AU$1066)</f>
        <v>0</v>
      </c>
      <c r="AY1148">
        <f>IF(AV1148=0,0,$AY$1066*$H$26*$AU$1066)</f>
        <v>0</v>
      </c>
      <c r="AZ1148">
        <f>(0.6*AW1148+0.7*AX1148)*$AU$1066/2</f>
        <v>0</v>
      </c>
      <c r="BA1148">
        <f>AW1148*$AU$1066/2</f>
        <v>0</v>
      </c>
      <c r="BC1148">
        <f>IF(AV1148=0,0,$BG$1066*$AP$1048)</f>
        <v>0</v>
      </c>
      <c r="BD1148">
        <f>IFERROR(BC1148/$AU$1066,0)</f>
        <v>0</v>
      </c>
      <c r="BE1148">
        <f>BC1148*($F$24+IF($F$24=0,0,($C$14+$C$15+IF($C$13="single",1.5,3)+3)/12))</f>
        <v>0</v>
      </c>
      <c r="BF1148">
        <f>BE1148-AZ1148</f>
        <v>0</v>
      </c>
      <c r="BG1148" cm="1">
        <f t="array" ref="BG1148">IFERROR(IF(BF1148&lt;0,0,BF1148/($AU$1066-INDEX(hd_off,MATCH(BT1148,hd_mark,0),0)/12)),0)</f>
        <v>0</v>
      </c>
      <c r="BH1148">
        <f>IF(AV1148=0,0,$BG$1066*$AM$1048)</f>
        <v>0</v>
      </c>
      <c r="BI1148">
        <f>IFERROR(BH1148/$AU$1066,0)</f>
        <v>0</v>
      </c>
      <c r="BJ1148">
        <f>BH1148*($F$24+IF($F$24=0,0,($C$14+$C$15+IF($C$13="single",1.5,3)+3)/12))</f>
        <v>0</v>
      </c>
      <c r="BK1148">
        <f>BJ1148-BA1148</f>
        <v>0</v>
      </c>
      <c r="BL1148" cm="1">
        <f t="array" ref="BL1148">IFERROR(IF(BK1148&lt;0,0,BK1148/($AU$1066-INDEX(hd_off,MATCH(BT1148,hd_mark,0),0)/12)),0)</f>
        <v>0</v>
      </c>
      <c r="BM1148">
        <f>MAX($F$24,$BE$1066)/$Q$1076</f>
        <v>0</v>
      </c>
      <c r="BN1148">
        <f t="shared" si="703"/>
        <v>0</v>
      </c>
      <c r="BO1148" cm="1">
        <f t="array" ref="BO1148">IFERROR(INDEX(sheath_ecap_asd,MATCH(BS1148,sheath_mark,0),0)*BN1148,0)</f>
        <v>0</v>
      </c>
      <c r="BP1148" cm="1">
        <f t="array" ref="BP1148">IFERROR(INDEX(sheath_wcap_asd,MATCH(BS1148,sheath_mark,0),0)*BN1148,0)</f>
        <v>0</v>
      </c>
      <c r="BQ1148" cm="1">
        <f t="array" ref="BQ1148">IFERROR(INDEX(hd_cap,MATCH(BT1148,hd_mark,0),0),0)</f>
        <v>0</v>
      </c>
      <c r="BS1148" s="19"/>
      <c r="BT1148" s="19"/>
      <c r="BU1148" s="100"/>
    </row>
    <row r="1149" x14ac:dyDescent="0.25">
      <c r="P1149" s="93"/>
      <c r="Q1149" s="109"/>
      <c r="R1149" t="str">
        <f>$Q$1049</f>
        <v>Roof</v>
      </c>
      <c r="S1149">
        <f>$E$25</f>
        <v>33.171875</v>
      </c>
      <c r="T1149" cm="1">
        <f t="array" ref="T1149">IFERROR(IF(S1149=0,0,(INDEX($C$33:$C$38,MATCH($W$1066,$B$33:$B$38,0),0)*(S1149+$X$1066)+$V$1066*$C$31)*$R$1066),0)</f>
        <v>0</v>
      </c>
      <c r="U1149">
        <f>IF(S1149=0,0,-$V$1066*$C$31*$H$27*$R$1066)</f>
        <v>0</v>
      </c>
      <c r="V1149">
        <f>IF(S1149=0,0,$V$1066*$H$26*$R$1066)</f>
        <v>0</v>
      </c>
      <c r="W1149">
        <f>(0.6*T1149+0.7*U1149)*$R$1066/2</f>
        <v>0</v>
      </c>
      <c r="X1149">
        <f>T1149*$R$1066/2</f>
        <v>0</v>
      </c>
      <c r="Z1149">
        <f>IF(S1149=0,0,$AD$1066*$AP$1049)</f>
        <v>0</v>
      </c>
      <c r="AA1149">
        <f>IFERROR(Z1149/$R$1066,0)</f>
        <v>0</v>
      </c>
      <c r="AB1149">
        <f>Z1149*($F$25+($C$16+$C$17+IF($C$13="single",1.5,3)+3)/12)</f>
        <v>0</v>
      </c>
      <c r="AC1149">
        <f>AB1149-W1149</f>
        <v>0</v>
      </c>
      <c r="AD1149" cm="1">
        <f t="array" ref="AD1149">IFERROR(IF(AC1149&lt;0,0,AC1149/($R$1066-INDEX(hd_off,MATCH(AQ1149,hd_mark,0),0)/12)),0)</f>
        <v>0</v>
      </c>
      <c r="AE1149">
        <f>IF(S1149=0,0,$AD$1066*$AM$1049)</f>
        <v>0</v>
      </c>
      <c r="AF1149">
        <f>IFERROR(AE1149/$R$1066,0)</f>
        <v>0</v>
      </c>
      <c r="AG1149">
        <f>AE1149*($F$25+($C$16+$C$17+IF($C$13="single",1.5,3)+3)/12)</f>
        <v>0</v>
      </c>
      <c r="AH1149">
        <f>AG1149-X1149</f>
        <v>0</v>
      </c>
      <c r="AI1149" cm="1">
        <f t="array" ref="AI1149">IFERROR(IF(AH1149&lt;0,0,AH1149/($R$1066-INDEX(hd_off,MATCH(AQ1149,hd_mark,0),0)/12)),0)</f>
        <v>0</v>
      </c>
      <c r="AJ1149">
        <f>MAX($F$25,$AC$1066)/$Q$1076</f>
        <v>0.29920977011494249</v>
      </c>
      <c r="AK1149">
        <f t="shared" si="702"/>
        <v>1</v>
      </c>
      <c r="AL1149" cm="1">
        <f t="array" ref="AL1149">IFERROR(INDEX(sheath_ecap_asd,MATCH(AP1149,sheath_mark,0),0)*AK1149,0)</f>
        <v>0</v>
      </c>
      <c r="AM1149" cm="1">
        <f t="array" ref="AM1149">IFERROR(INDEX(sheath_wcap_asd,MATCH(AP1149,sheath_mark,0),0)*AK1149,0)</f>
        <v>0</v>
      </c>
      <c r="AN1149" cm="1">
        <f t="array" ref="AN1149">IFERROR(INDEX(hd_cap,MATCH(AQ1149,hd_mark,0),0),0)</f>
        <v>0</v>
      </c>
      <c r="AP1149" s="19"/>
      <c r="AQ1149" s="19"/>
      <c r="AR1149" s="100"/>
      <c r="AS1149" s="93"/>
      <c r="AT1149" s="109"/>
      <c r="AU1149" t="str">
        <f>$Q$1049</f>
        <v>Roof</v>
      </c>
      <c r="AV1149">
        <f>$E$25</f>
        <v>33.171875</v>
      </c>
      <c r="AW1149" cm="1">
        <f t="array" ref="AW1149">IFERROR(IF(AV1149=0,0,(INDEX($C$33:$C$38,MATCH($AZ$1066,$B$33:$B$38,0),0)*(AV1149+$BA$1066)+$AY$1066*$C$31)*$AU$1066),0)</f>
        <v>0</v>
      </c>
      <c r="AX1149">
        <f>IF(AV1149=0,0,-$AY$1066*$C$31*$H$27*$AU$1066)</f>
        <v>0</v>
      </c>
      <c r="AY1149">
        <f>IF(AV1149=0,0,$AY$1066*$H$26*$AU$1066)</f>
        <v>0</v>
      </c>
      <c r="AZ1149">
        <f>(0.6*AW1149+0.7*AX1149)*$AU$1066/2</f>
        <v>0</v>
      </c>
      <c r="BA1149">
        <f>AW1149*$AU$1066/2</f>
        <v>0</v>
      </c>
      <c r="BC1149">
        <f>IF(AV1149=0,0,$BG$1066*$AP$1049)</f>
        <v>0</v>
      </c>
      <c r="BD1149">
        <f>IFERROR(BC1149/$AU$1066,0)</f>
        <v>0</v>
      </c>
      <c r="BE1149">
        <f>BC1149*($F$25+($C$16+$C$17+IF($C$13="single",1.5,3)+3)/12)</f>
        <v>0</v>
      </c>
      <c r="BF1149">
        <f>BE1149-AZ1149</f>
        <v>0</v>
      </c>
      <c r="BG1149" cm="1">
        <f t="array" ref="BG1149">IFERROR(IF(BF1149&lt;0,0,BF1149/($AU$1066-INDEX(hd_off,MATCH(BT1149,hd_mark,0),0)/12)),0)</f>
        <v>0</v>
      </c>
      <c r="BH1149">
        <f>IF(AV1149=0,0,$BG$1066*$AM$1049)</f>
        <v>0</v>
      </c>
      <c r="BI1149">
        <f>IFERROR(BH1149/$AU$1066,0)</f>
        <v>0</v>
      </c>
      <c r="BJ1149">
        <f>BH1149*($F$25+($C$16+$C$17+IF($C$13="single",1.5,3)+3)/12)</f>
        <v>0</v>
      </c>
      <c r="BK1149">
        <f>BJ1149-BA1149</f>
        <v>0</v>
      </c>
      <c r="BL1149" cm="1">
        <f t="array" ref="BL1149">IFERROR(IF(BK1149&lt;0,0,BK1149/($AU$1066-INDEX(hd_off,MATCH(BT1149,hd_mark,0),0)/12)),0)</f>
        <v>0</v>
      </c>
      <c r="BM1149">
        <f>MAX($F$25,$BF$1066)/$Q$1076</f>
        <v>0.29920977011494249</v>
      </c>
      <c r="BN1149">
        <f t="shared" si="703"/>
        <v>1</v>
      </c>
      <c r="BO1149" cm="1">
        <f t="array" ref="BO1149">IFERROR(INDEX(sheath_ecap_asd,MATCH(BS1149,sheath_mark,0),0)*BN1149,0)</f>
        <v>0</v>
      </c>
      <c r="BP1149" cm="1">
        <f t="array" ref="BP1149">IFERROR(INDEX(sheath_wcap_asd,MATCH(BS1149,sheath_mark,0),0)*BN1149,0)</f>
        <v>0</v>
      </c>
      <c r="BQ1149" cm="1">
        <f t="array" ref="BQ1149">IFERROR(INDEX(hd_cap,MATCH(BT1149,hd_mark,0),0),0)</f>
        <v>0</v>
      </c>
      <c r="BS1149" s="19"/>
      <c r="BT1149" s="19"/>
      <c r="BU1149" s="100"/>
    </row>
    <row r="1150" x14ac:dyDescent="0.25">
      <c r="P1150" s="93"/>
      <c r="AR1150" s="100"/>
      <c r="AS1150" s="93"/>
      <c r="BU1150" s="100"/>
    </row>
    <row r="1151" x14ac:dyDescent="0.25">
      <c r="P1151" s="93"/>
      <c r="Q1151" s="110" t="str">
        <f>$Q$1067</f>
        <v>A.14</v>
      </c>
      <c r="R1151" t="str">
        <f>$Q$1045</f>
        <v>L2</v>
      </c>
      <c r="S1151">
        <f>$E$21</f>
        <v>10.6875</v>
      </c>
      <c r="T1151" cm="1">
        <f t="array" ref="T1151">IFERROR(IF(S1151=0,0,(INDEX($C$33:$C$38,MATCH($W$1067,$B$33:$B$38,0),0)*(S1155+$X$1067)+$T$1067*COUNTIF(S1151:S1167,"&gt;0")*$C$32+$V$1067*$C$31)*$R$1067),0)</f>
        <v>0</v>
      </c>
      <c r="U1151">
        <f>IF(S1151=0,0,-(COUNTIF(S1151:S1167,"&gt;0")*$T$1067*$C$32+$V$1067*$C$31)*$H$27*$R$1067)</f>
        <v>0</v>
      </c>
      <c r="V1151">
        <f>IF(S1151=0,0,$V$1067*$H$26*$R$1067)</f>
        <v>0</v>
      </c>
      <c r="W1151">
        <f>(0.6*T1151+0.7*U1151)*$R$1067/2</f>
        <v>0</v>
      </c>
      <c r="X1151">
        <f>(0.6*T1151+0.6*V1151)*$R$1067/2</f>
        <v>0</v>
      </c>
      <c r="Z1151">
        <f>IF(S1151=0,0,$AD$1067*$AP$1045)</f>
        <v>0</v>
      </c>
      <c r="AA1151">
        <f>IFERROR(Z1151/$R$1067,0)</f>
        <v>0</v>
      </c>
      <c r="AB1151">
        <f>Z1151*($F$21+IF($F$21=0,0,($C$14+$C$15+IF($C$13="single",1.5,3)+3)/12))</f>
        <v>0</v>
      </c>
      <c r="AC1151">
        <f>AB1151-W1151</f>
        <v>0</v>
      </c>
      <c r="AD1151" cm="1">
        <f t="array" ref="AD1151">IFERROR(IF(AC1151&lt;0,0,AC1151/($R$1067-INDEX(hd_off,MATCH(AQ1151,hd_mark,0),0)/12)),0)</f>
        <v>0</v>
      </c>
      <c r="AE1151">
        <f>IF(S1151=0,0,$AD$1067*$AM$1045)</f>
        <v>0</v>
      </c>
      <c r="AF1151">
        <f>IFERROR(AE1151/$R$1067,0)</f>
        <v>0</v>
      </c>
      <c r="AG1151">
        <f>AE1151*($F$21+IF($F$21=0,0,($C$14+$C$15+IF($C$13="single",1.5,3)+3)/12))</f>
        <v>0</v>
      </c>
      <c r="AH1151">
        <f>AG1151-X1151</f>
        <v>0</v>
      </c>
      <c r="AI1151" cm="1">
        <f t="array" ref="AI1151">IFERROR(IF(AH1151&lt;0,0,AH1151/($R$1067-INDEX(hd_off,MATCH(AQ1151,hd_mark,0),0)/12)),0)</f>
        <v>0</v>
      </c>
      <c r="AJ1151">
        <f>MAX($F$21,$Y$1067)/$Q$1076</f>
        <v>0.30172413793103448</v>
      </c>
      <c r="AK1151">
        <f>IF(AJ1151=0,0,IF(AJ1151&gt;2,1.25-0.125*AJ1151,1))</f>
        <v>1</v>
      </c>
      <c r="AL1151" cm="1">
        <f t="array" ref="AL1151">IFERROR(INDEX(sheath_ecap_asd,MATCH(AP1151,sheath_mark,0),0)*AK1151,0)</f>
        <v>0</v>
      </c>
      <c r="AM1151" cm="1">
        <f t="array" ref="AM1151">IFERROR(INDEX(sheath_wcap_asd,MATCH(AP1151,sheath_mark,0),0)*AK1151,0)</f>
        <v>0</v>
      </c>
      <c r="AN1151" cm="1">
        <f t="array" ref="AN1151">IFERROR(INDEX(hd_cap,MATCH(AQ1151,hd_mark,0),0),0)</f>
        <v>0</v>
      </c>
      <c r="AP1151" s="19"/>
      <c r="AQ1151" s="19"/>
      <c r="AR1151" s="100"/>
      <c r="AS1151" s="93"/>
      <c r="AT1151" s="110" t="str">
        <f>$AT$1067</f>
        <v>1.14</v>
      </c>
      <c r="AU1151" t="str">
        <f>$Q$1045</f>
        <v>L2</v>
      </c>
      <c r="AV1151">
        <f>$E$21</f>
        <v>10.6875</v>
      </c>
      <c r="AW1151" cm="1">
        <f t="array" ref="AW1151">IFERROR(IF(AV1151=0,0,(INDEX($C$33:$C$38,MATCH($AZ$1067,$B$33:$B$38,0),0)*(AV1155+$BA$1067)+$AW$1067*COUNTIF(AV1151:AV1167,"&gt;0")*$C$32+$AY$1067*$C$31)*$AU$1067),0)</f>
        <v>0</v>
      </c>
      <c r="AX1151">
        <f>IF(AV1151=0,0,-(COUNTIF(AV1151:AV1167,"&gt;0")*$AW$1067*$C$32+$AY$1067*$C$31)*$H$27*$AU$1067)</f>
        <v>0</v>
      </c>
      <c r="AY1151">
        <f>IF(AV1151=0,0,$AY$1067*$H$26*$AU$1067)</f>
        <v>0</v>
      </c>
      <c r="AZ1151">
        <f>(0.6*AW1151+0.7*AX1151)*$AU$1067/2</f>
        <v>0</v>
      </c>
      <c r="BA1151">
        <f>(0.6*AW1151+0.6*AY1151)*$AU$1067/2</f>
        <v>0</v>
      </c>
      <c r="BC1151">
        <f>IF(AV1151=0,0,$BG$1067*$AP$1045)</f>
        <v>0</v>
      </c>
      <c r="BD1151">
        <f>IFERROR(BC1151/$AU$1067,0)</f>
        <v>0</v>
      </c>
      <c r="BE1151">
        <f>BC1151*($F$21+IF($F$21=0,0,($C$14+$C$15+IF($C$13="single",1.5,3)+3)/12))</f>
        <v>0</v>
      </c>
      <c r="BF1151">
        <f>BE1151-AZ1151</f>
        <v>0</v>
      </c>
      <c r="BG1151" cm="1">
        <f t="array" ref="BG1151">IFERROR(IF(BF1151&lt;0,0,BF1151/($AU$1067-INDEX(hd_off,MATCH(BT1151,hd_mark,0),0)/12)),0)</f>
        <v>0</v>
      </c>
      <c r="BH1151">
        <f>IF(AV1151=0,0,$BG$1067*$AM$1045)</f>
        <v>0</v>
      </c>
      <c r="BI1151">
        <f>IFERROR(BH1151/$AU$1067,0)</f>
        <v>0</v>
      </c>
      <c r="BJ1151">
        <f>BH1151*($F$21+IF($F$21=0,0,($C$14+$C$15+IF($C$13="single",1.5,3)+3)/12))</f>
        <v>0</v>
      </c>
      <c r="BK1151">
        <f>BJ1151-BA1151</f>
        <v>0</v>
      </c>
      <c r="BL1151" cm="1">
        <f t="array" ref="BL1151">IFERROR(IF(BK1151&lt;0,0,BK1151/($AU$1067-INDEX(hd_off,MATCH(BT1151,hd_mark,0),0)/12)),0)</f>
        <v>0</v>
      </c>
      <c r="BM1151">
        <f>MAX($F$21,$BB$1067)/$Q$1076</f>
        <v>0.30172413793103448</v>
      </c>
      <c r="BN1151">
        <f>IF(BM1151=0,0,IF(BM1151&gt;2,1.25-0.125*BM1151,1))</f>
        <v>1</v>
      </c>
      <c r="BO1151" cm="1">
        <f t="array" ref="BO1151">IFERROR(INDEX(sheath_ecap_asd,MATCH(BS1151,sheath_mark,0),0)*BN1151,0)</f>
        <v>0</v>
      </c>
      <c r="BP1151" cm="1">
        <f t="array" ref="BP1151">IFERROR(INDEX(sheath_wcap_asd,MATCH(BS1151,sheath_mark,0),0)*BN1151,0)</f>
        <v>0</v>
      </c>
      <c r="BQ1151" cm="1">
        <f t="array" ref="BQ1151">IFERROR(INDEX(hd_cap,MATCH(BT1151,hd_mark,0),0),0)</f>
        <v>0</v>
      </c>
      <c r="BS1151" s="19"/>
      <c r="BT1151" s="19"/>
      <c r="BU1151" s="100"/>
    </row>
    <row r="1152" x14ac:dyDescent="0.25">
      <c r="P1152" s="93"/>
      <c r="Q1152" s="109"/>
      <c r="R1152" t="str">
        <f>$Q$1046</f>
        <v>L3</v>
      </c>
      <c r="S1152">
        <f>$E$22</f>
        <v>21.375</v>
      </c>
      <c r="T1152" cm="1">
        <f t="array" ref="T1152">IFERROR(IF(S1152=0,0,(INDEX($C$33:$C$38,MATCH($W$1067,$B$33:$B$38,0),0)*(S1155+$X$1067)+$T$1067*COUNTIF(S1152:S1167,"&gt;0")*$C$32+$V$1067*$C$31)*$R$1067),0)</f>
        <v>0</v>
      </c>
      <c r="U1152">
        <f>IF(S1152=0,0,-(COUNTIF(S1152:S1167,"&gt;0")*$T$1067*$C$32+$V$1067*$C$31)*$H$27*$R$1067)</f>
        <v>0</v>
      </c>
      <c r="V1152">
        <f>IF(S1152=0,0,$V$1067*$H$26*$R$1067)</f>
        <v>0</v>
      </c>
      <c r="W1152">
        <f>(0.6*T1152+0.7*U1152)*$R$1067/2</f>
        <v>0</v>
      </c>
      <c r="X1152">
        <f>T1152*$R$1067/2</f>
        <v>0</v>
      </c>
      <c r="Z1152">
        <f>IF(S1152=0,0,$AD$1067*$AP$1046)</f>
        <v>0</v>
      </c>
      <c r="AA1152">
        <f>IFERROR(Z1152/$R$1067,0)</f>
        <v>0</v>
      </c>
      <c r="AB1152">
        <f>Z1152*($F$22+IF($F$22=0,0,($C$14+$C$15+IF($C$13="single",1.5,3)+3)/12))</f>
        <v>0</v>
      </c>
      <c r="AC1152">
        <f>AB1152-W1152</f>
        <v>0</v>
      </c>
      <c r="AD1152" cm="1">
        <f t="array" ref="AD1152">IFERROR(IF(AC1152&lt;0,0,AC1152/($R$1067-INDEX(hd_off,MATCH(AQ1152,hd_mark,0),0)/12)),0)</f>
        <v>0</v>
      </c>
      <c r="AE1152">
        <f>IF(S1152=0,0,$AD$1067*$AM$1046)</f>
        <v>0</v>
      </c>
      <c r="AF1152">
        <f>IFERROR(AE1152/$R$1067,0)</f>
        <v>0</v>
      </c>
      <c r="AG1152">
        <f>AE1152*($F$22+IF($F$22=0,0,($C$14+$C$15+IF($C$13="single",1.5,3)+3)/12))</f>
        <v>0</v>
      </c>
      <c r="AH1152">
        <f>AG1152-X1152</f>
        <v>0</v>
      </c>
      <c r="AI1152" cm="1">
        <f t="array" ref="AI1152">IFERROR(IF(AH1152&lt;0,0,AH1152/($R$1067-INDEX(hd_off,MATCH(AQ1152,hd_mark,0),0)/12)),0)</f>
        <v>0</v>
      </c>
      <c r="AJ1152">
        <f>MAX($F$22,$Z$1067)/$Q$1076</f>
        <v>0.30172413793103448</v>
      </c>
      <c r="AK1152">
        <f t="shared" ref="AK1152:AK1155" si="704">IF(AJ1152=0,0,IF(AJ1152&gt;2,1.25-0.125*AJ1152,1))</f>
        <v>1</v>
      </c>
      <c r="AL1152" cm="1">
        <f t="array" ref="AL1152">IFERROR(INDEX(sheath_ecap_asd,MATCH(AP1152,sheath_mark,0),0)*AK1152,0)</f>
        <v>0</v>
      </c>
      <c r="AM1152" cm="1">
        <f t="array" ref="AM1152">IFERROR(INDEX(sheath_wcap_asd,MATCH(AP1152,sheath_mark,0),0)*AK1152,0)</f>
        <v>0</v>
      </c>
      <c r="AN1152" cm="1">
        <f t="array" ref="AN1152">IFERROR(INDEX(hd_cap,MATCH(AQ1152,hd_mark,0),0),0)</f>
        <v>0</v>
      </c>
      <c r="AP1152" s="19"/>
      <c r="AQ1152" s="19"/>
      <c r="AR1152" s="100"/>
      <c r="AS1152" s="93"/>
      <c r="AT1152" s="109"/>
      <c r="AU1152" t="str">
        <f>$Q$1046</f>
        <v>L3</v>
      </c>
      <c r="AV1152">
        <f>$E$22</f>
        <v>21.375</v>
      </c>
      <c r="AW1152" cm="1">
        <f t="array" ref="AW1152">IFERROR(IF(AV1152=0,0,(INDEX($C$33:$C$38,MATCH($AZ$1067,$B$33:$B$38,0),0)*(AV1155+$BA$1067)+$AW$1067*COUNTIF(AV1152:AV1167,"&gt;0")*$C$32+$AY$1067*$C$31)*$AU$1067),0)</f>
        <v>0</v>
      </c>
      <c r="AX1152">
        <f>IF(AV1152=0,0,-(COUNTIF(AV1152:AV1167,"&gt;0")*$AW$1067*$C$32+$AY$1067*$C$31)*$H$27*$AU$1067)</f>
        <v>0</v>
      </c>
      <c r="AY1152">
        <f>IF(AV1152=0,0,$AY$1067*$H$26*$AU$1067)</f>
        <v>0</v>
      </c>
      <c r="AZ1152">
        <f>(0.6*AW1152+0.7*AX1152)*$AU$1067/2</f>
        <v>0</v>
      </c>
      <c r="BA1152">
        <f>AW1152*$AU$1067/2</f>
        <v>0</v>
      </c>
      <c r="BC1152">
        <f>IF(AV1152=0,0,$BG$1067*$AP$1046)</f>
        <v>0</v>
      </c>
      <c r="BD1152">
        <f>IFERROR(BC1152/$AU$1067,0)</f>
        <v>0</v>
      </c>
      <c r="BE1152">
        <f>BC1152*($F$22+IF($F$22=0,0,($C$14+$C$15+IF($C$13="single",1.5,3)+3)/12))</f>
        <v>0</v>
      </c>
      <c r="BF1152">
        <f>BE1152-AZ1152</f>
        <v>0</v>
      </c>
      <c r="BG1152" cm="1">
        <f t="array" ref="BG1152">IFERROR(IF(BF1152&lt;0,0,BF1152/($AU$1067-INDEX(hd_off,MATCH(BT1152,hd_mark,0),0)/12)),0)</f>
        <v>0</v>
      </c>
      <c r="BH1152">
        <f>IF(AV1152=0,0,$BG$1067*$AM$1046)</f>
        <v>0</v>
      </c>
      <c r="BI1152">
        <f>IFERROR(BH1152/$AU$1067,0)</f>
        <v>0</v>
      </c>
      <c r="BJ1152">
        <f>BH1152*($F$22+IF($F$22=0,0,($C$14+$C$15+IF($C$13="single",1.5,3)+3)/12))</f>
        <v>0</v>
      </c>
      <c r="BK1152">
        <f>BJ1152-BA1152</f>
        <v>0</v>
      </c>
      <c r="BL1152" cm="1">
        <f t="array" ref="BL1152">IFERROR(IF(BK1152&lt;0,0,BK1152/($AU$1067-INDEX(hd_off,MATCH(BT1152,hd_mark,0),0)/12)),0)</f>
        <v>0</v>
      </c>
      <c r="BM1152">
        <f>MAX($F$22,$BC$1067)/$Q$1076</f>
        <v>0.30172413793103448</v>
      </c>
      <c r="BN1152">
        <f t="shared" ref="BN1152:BN1153" si="705">IF(BM1152=0,0,IF(BM1152&gt;2,1.25-0.125*BM1152,1))</f>
        <v>1</v>
      </c>
      <c r="BO1152" cm="1">
        <f t="array" ref="BO1152">IFERROR(INDEX(sheath_ecap_asd,MATCH(BS1152,sheath_mark,0),0)*BN1152,0)</f>
        <v>0</v>
      </c>
      <c r="BP1152" cm="1">
        <f t="array" ref="BP1152">IFERROR(INDEX(sheath_wcap_asd,MATCH(BS1152,sheath_mark,0),0)*BN1152,0)</f>
        <v>0</v>
      </c>
      <c r="BQ1152" cm="1">
        <f t="array" ref="BQ1152">IFERROR(INDEX(hd_cap,MATCH(BT1152,hd_mark,0),0),0)</f>
        <v>0</v>
      </c>
      <c r="BS1152" s="19"/>
      <c r="BT1152" s="19"/>
      <c r="BU1152" s="100"/>
    </row>
    <row r="1153" x14ac:dyDescent="0.25">
      <c r="P1153" s="93"/>
      <c r="Q1153" s="109" t="s">
        <v>491</v>
      </c>
      <c r="R1153" t="str">
        <f>$Q$1047</f>
        <v>L4</v>
      </c>
      <c r="S1153">
        <f>$E$23</f>
        <v>0</v>
      </c>
      <c r="T1153" cm="1">
        <f t="array" ref="T1153">IFERROR(IF(S1153=0,0,(INDEX($C$33:$C$38,MATCH($W$1067,$B$33:$B$38,0),0)*(S1155+$X$1067)+$T$1067*COUNTIF(S1153:S1167,"&gt;0")*$C$32+$V$1067*$C$31)*$R$1067),0)</f>
        <v>0</v>
      </c>
      <c r="U1153">
        <f>IF(S1153=0,0,-(COUNTIF(S1153:S1167,"&gt;0")*$T$1067*$C$32+$V$1067*$C$31)*$H$27*$R$1067)</f>
        <v>0</v>
      </c>
      <c r="V1153">
        <f>IF(S1153=0,0,$V$1067*$H$26*$R$1067)</f>
        <v>0</v>
      </c>
      <c r="W1153">
        <f>(0.6*T1153+0.7*U1153)*$R$1067/2</f>
        <v>0</v>
      </c>
      <c r="X1153">
        <f>T1153*$R$1067/2</f>
        <v>0</v>
      </c>
      <c r="Z1153">
        <f>IF(S1153=0,0,$AD$1067*$AP$1047)</f>
        <v>0</v>
      </c>
      <c r="AA1153">
        <f>IFERROR(Z1153/$R$1067,0)</f>
        <v>0</v>
      </c>
      <c r="AB1153">
        <f>Z1153*($F$23+IF($F$23=0,0,($C$14+$C$15+IF($C$13="single",1.5,3)+3)/12))</f>
        <v>0</v>
      </c>
      <c r="AC1153">
        <f>AB1153-W1153</f>
        <v>0</v>
      </c>
      <c r="AD1153" cm="1">
        <f t="array" ref="AD1153">IFERROR(IF(AC1153&lt;0,0,AC1153/($R$1067-INDEX(hd_off,MATCH(AQ1153,hd_mark,0),0)/12)),0)</f>
        <v>0</v>
      </c>
      <c r="AE1153">
        <f>IF(S1153=0,0,$AD$1067*$AM$1047)</f>
        <v>0</v>
      </c>
      <c r="AF1153">
        <f>IFERROR(AE1153/$R$1067,0)</f>
        <v>0</v>
      </c>
      <c r="AG1153">
        <f>AE1153*($F$23+IF($F$23=0,0,($C$14+$C$15+IF($C$13="single",1.5,3)+3)/12))</f>
        <v>0</v>
      </c>
      <c r="AH1153">
        <f>AG1153-X1153</f>
        <v>0</v>
      </c>
      <c r="AI1153" cm="1">
        <f t="array" ref="AI1153">IFERROR(IF(AH1153&lt;0,0,AH1153/($R$1067-INDEX(hd_off,MATCH(AQ1153,hd_mark,0),0)/12)),0)</f>
        <v>0</v>
      </c>
      <c r="AJ1153">
        <f>MAX($F$23,$AA$1067)/$Q$1076</f>
        <v>0</v>
      </c>
      <c r="AK1153">
        <f t="shared" si="704"/>
        <v>0</v>
      </c>
      <c r="AL1153" cm="1">
        <f t="array" ref="AL1153">IFERROR(INDEX(sheath_ecap_asd,MATCH(AP1153,sheath_mark,0),0)*AK1153,0)</f>
        <v>0</v>
      </c>
      <c r="AM1153" cm="1">
        <f t="array" ref="AM1153">IFERROR(INDEX(sheath_wcap_asd,MATCH(AP1153,sheath_mark,0),0)*AK1153,0)</f>
        <v>0</v>
      </c>
      <c r="AN1153" cm="1">
        <f t="array" ref="AN1153">IFERROR(INDEX(hd_cap,MATCH(AQ1153,hd_mark,0),0),0)</f>
        <v>0</v>
      </c>
      <c r="AP1153" s="19"/>
      <c r="AQ1153" s="19"/>
      <c r="AR1153" s="100"/>
      <c r="AS1153" s="93"/>
      <c r="AT1153" s="109" t="s">
        <v>491</v>
      </c>
      <c r="AU1153" t="str">
        <f>$Q$1047</f>
        <v>L4</v>
      </c>
      <c r="AV1153">
        <f>$E$23</f>
        <v>0</v>
      </c>
      <c r="AW1153" cm="1">
        <f t="array" ref="AW1153">IFERROR(IF(AV1153=0,0,(INDEX($C$33:$C$38,MATCH($AZ$1067,$B$33:$B$38,0),0)*(AV1155+$BA$1067)+$AW$1067*COUNTIF(AV1153:AV1167,"&gt;0")*$C$32+$AY$1067*$C$31)*$AU$1067),0)</f>
        <v>0</v>
      </c>
      <c r="AX1153">
        <f>IF(AV1153=0,0,-(COUNTIF(AV1153:AV1167,"&gt;0")*$AW$1067*$C$32+$AY$1067*$C$31)*$H$27*$AU$1067)</f>
        <v>0</v>
      </c>
      <c r="AY1153">
        <f>IF(AV1153=0,0,$AY$1067*$H$26*$AU$1067)</f>
        <v>0</v>
      </c>
      <c r="AZ1153">
        <f>(0.6*AW1153+0.7*AX1153)*$AU$1067/2</f>
        <v>0</v>
      </c>
      <c r="BA1153">
        <f>AW1153*$AU$1067/2</f>
        <v>0</v>
      </c>
      <c r="BC1153">
        <f>IF(AV1153=0,0,$BG$1067*$AP$1047)</f>
        <v>0</v>
      </c>
      <c r="BD1153">
        <f>IFERROR(BC1153/$AU$1067,0)</f>
        <v>0</v>
      </c>
      <c r="BE1153">
        <f>BC1153*($F$23+IF($F$23=0,0,($C$14+$C$15+IF($C$13="single",1.5,3)+3)/12))</f>
        <v>0</v>
      </c>
      <c r="BF1153">
        <f>BE1153-AZ1153</f>
        <v>0</v>
      </c>
      <c r="BG1153" cm="1">
        <f t="array" ref="BG1153">IFERROR(IF(BF1153&lt;0,0,BF1153/($AU$1067-INDEX(hd_off,MATCH(BT1153,hd_mark,0),0)/12)),0)</f>
        <v>0</v>
      </c>
      <c r="BH1153">
        <f>IF(AV1153=0,0,$BG$1067*$AM$1047)</f>
        <v>0</v>
      </c>
      <c r="BI1153">
        <f>IFERROR(BH1153/$AU$1067,0)</f>
        <v>0</v>
      </c>
      <c r="BJ1153">
        <f>BH1153*($F$23+IF($F$23=0,0,($C$14+$C$15+IF($C$13="single",1.5,3)+3)/12))</f>
        <v>0</v>
      </c>
      <c r="BK1153">
        <f>BJ1153-BA1153</f>
        <v>0</v>
      </c>
      <c r="BL1153" cm="1">
        <f t="array" ref="BL1153">IFERROR(IF(BK1153&lt;0,0,BK1153/($AU$1067-INDEX(hd_off,MATCH(BT1153,hd_mark,0),0)/12)),0)</f>
        <v>0</v>
      </c>
      <c r="BM1153">
        <f>MAX($F$23,$BD$1067)/$Q$1076</f>
        <v>0</v>
      </c>
      <c r="BN1153">
        <f t="shared" si="705"/>
        <v>0</v>
      </c>
      <c r="BO1153" cm="1">
        <f t="array" ref="BO1153">IFERROR(INDEX(sheath_ecap_asd,MATCH(BS1153,sheath_mark,0),0)*BN1153,0)</f>
        <v>0</v>
      </c>
      <c r="BP1153" cm="1">
        <f t="array" ref="BP1153">IFERROR(INDEX(sheath_wcap_asd,MATCH(BS1153,sheath_mark,0),0)*BN1153,0)</f>
        <v>0</v>
      </c>
      <c r="BQ1153" cm="1">
        <f t="array" ref="BQ1153">IFERROR(INDEX(hd_cap,MATCH(BT1153,hd_mark,0),0),0)</f>
        <v>0</v>
      </c>
      <c r="BS1153" s="19"/>
      <c r="BT1153" s="19"/>
      <c r="BU1153" s="100"/>
    </row>
    <row r="1154" x14ac:dyDescent="0.25">
      <c r="P1154" s="93"/>
      <c r="Q1154" s="111">
        <f>$R$1067</f>
        <v>0</v>
      </c>
      <c r="R1154" t="str">
        <f>$Q$1048</f>
        <v>L5</v>
      </c>
      <c r="S1154">
        <f>$E$24</f>
        <v>0</v>
      </c>
      <c r="T1154" cm="1">
        <f t="array" ref="T1154">IFERROR(IF(S1167=0,0,(INDEX($C$33:$C$38,MATCH($W$1067,$B$33:$B$38,0),0)*(S1155+$X$1067)+$T$1067*COUNTIF(S1167:S1167,"&gt;0")*$C$32+$V$1067*$C$31)*$R$1067),0)</f>
        <v>0</v>
      </c>
      <c r="U1154">
        <f>IF(S1167=0,0,-(COUNTIF(S1167:S1167,"&gt;0")*$T$1067*$C$32+$V$1067*$C$31)*$H$27*$R$1067)</f>
        <v>0</v>
      </c>
      <c r="V1154">
        <f>IF(S1167=0,0,$V$1067*$H$26*$R$1067)</f>
        <v>0</v>
      </c>
      <c r="W1154">
        <f>(0.6*T1167+0.7*U1167)*$R$1067/2</f>
        <v>0</v>
      </c>
      <c r="X1154">
        <f>T1167*$R$1067/2</f>
        <v>0</v>
      </c>
      <c r="Z1154">
        <f>IF(S1167=0,0,$AD$1067*$AP$1048)</f>
        <v>0</v>
      </c>
      <c r="AA1154">
        <f>IFERROR(Z1167/$R$1067,0)</f>
        <v>0</v>
      </c>
      <c r="AB1154">
        <f>Z1167*($F$24+IF($F$24=0,0,($C$14+$C$15+IF($C$13="single",1.5,3)+3)/12))</f>
        <v>0</v>
      </c>
      <c r="AC1154">
        <f>AB1167-W1167</f>
        <v>0</v>
      </c>
      <c r="AD1154" cm="1">
        <f t="array" ref="AD1154">IFERROR(IF(AC1167&lt;0,0,AC1167/($R$1067-INDEX(hd_off,MATCH(AQ1167,hd_mark,0),0)/12)),0)</f>
        <v>0</v>
      </c>
      <c r="AE1154">
        <f>IF(S1167=0,0,$AD$1067*$AM$1048)</f>
        <v>0</v>
      </c>
      <c r="AF1154">
        <f>IFERROR(AE1167/$R$1067,0)</f>
        <v>0</v>
      </c>
      <c r="AG1154">
        <f>AE1167*($F$24+IF($F$24=0,0,($C$14+$C$15+IF($C$13="single",1.5,3)+3)/12))</f>
        <v>0</v>
      </c>
      <c r="AH1154">
        <f>AG1167-X1167</f>
        <v>0</v>
      </c>
      <c r="AI1154" cm="1">
        <f t="array" ref="AI1154">IFERROR(IF(AH1167&lt;0,0,AH1167/($R$1067-INDEX(hd_off,MATCH(AQ1167,hd_mark,0),0)/12)),0)</f>
        <v>0</v>
      </c>
      <c r="AJ1154">
        <f>MAX($F$24,$AB$1067)/$Q$1076</f>
        <v>0</v>
      </c>
      <c r="AK1154">
        <f>IF(AJ1167=0,0,IF(AJ1167&gt;2,1.25-0.125*AJ1167,1))</f>
        <v>1</v>
      </c>
      <c r="AL1154" cm="1">
        <f t="array" ref="AL1154">IFERROR(INDEX(sheath_ecap_asd,MATCH(AP1167,sheath_mark,0),0)*AK1167,0)</f>
        <v>0</v>
      </c>
      <c r="AM1154" cm="1">
        <f t="array" ref="AM1154">IFERROR(INDEX(sheath_wcap_asd,MATCH(AP1167,sheath_mark,0),0)*AK1167,0)</f>
        <v>0</v>
      </c>
      <c r="AN1154" cm="1">
        <f t="array" ref="AN1154">IFERROR(INDEX(hd_cap,MATCH(AQ1167,hd_mark,0),0),0)</f>
        <v>0</v>
      </c>
      <c r="AP1154" s="19"/>
      <c r="AQ1154" s="19"/>
      <c r="AR1154" s="100"/>
      <c r="AS1154" s="93"/>
      <c r="AT1154" s="111">
        <f>$R$1067</f>
        <v>0</v>
      </c>
      <c r="AU1154" t="str">
        <f>$Q$1048</f>
        <v>L5</v>
      </c>
      <c r="AV1154">
        <f>$E$24</f>
        <v>0</v>
      </c>
      <c r="AW1154" cm="1">
        <f t="array" ref="AW1154">IFERROR(IF(AV1167=0,0,(INDEX($C$33:$C$38,MATCH($AZ$1067,$B$33:$B$38,0),0)*(AV1155+$BA$1067)+$AW$1067*COUNTIF(AV1167:AV1167,"&gt;0")*$C$32+$AY$1067*$C$31)*$AU$1067),0)</f>
        <v>0</v>
      </c>
      <c r="AX1154">
        <f>IF(AV1167=0,0,-(COUNTIF(AV1167:AV1167,"&gt;0")*$AW$1067*$C$32+$AY$1067*$C$31)*$H$27*$AU$1067)</f>
        <v>0</v>
      </c>
      <c r="AY1154">
        <f>IF(AV1167=0,0,$AY$1067*$H$26*$AU$1067)</f>
        <v>0</v>
      </c>
      <c r="AZ1154">
        <f>(0.6*AW1167+0.7*AX1167)*$AU$1067/2</f>
        <v>0</v>
      </c>
      <c r="BA1154">
        <f>AW1167*$AU$1067/2</f>
        <v>0</v>
      </c>
      <c r="BC1154">
        <f>IF(AV1167=0,0,$BG$1067*$AP$1048)</f>
        <v>0</v>
      </c>
      <c r="BD1154">
        <f>IFERROR(BC1167/$AU$1067,0)</f>
        <v>0</v>
      </c>
      <c r="BE1154">
        <f>BC1167*($F$24+IF($F$24=0,0,($C$14+$C$15+IF($C$13="single",1.5,3)+3)/12))</f>
        <v>0</v>
      </c>
      <c r="BF1154">
        <f>BE1167-AZ1167</f>
        <v>0</v>
      </c>
      <c r="BG1154" cm="1">
        <f t="array" ref="BG1154">IFERROR(IF(BF1167&lt;0,0,BF1167/($AU$1067-INDEX(hd_off,MATCH(BT1167,hd_mark,0),0)/12)),0)</f>
        <v>0</v>
      </c>
      <c r="BH1154">
        <f>IF(AV1167=0,0,$BG$1067*$AM$1048)</f>
        <v>0</v>
      </c>
      <c r="BI1154">
        <f>IFERROR(BH1167/$AU$1067,0)</f>
        <v>0</v>
      </c>
      <c r="BJ1154">
        <f>BH1167*($F$24+IF($F$24=0,0,($C$14+$C$15+IF($C$13="single",1.5,3)+3)/12))</f>
        <v>0</v>
      </c>
      <c r="BK1154">
        <f>BJ1167-BA1167</f>
        <v>0</v>
      </c>
      <c r="BL1154" cm="1">
        <f t="array" ref="BL1154">IFERROR(IF(BK1167&lt;0,0,BK1167/($AU$1067-INDEX(hd_off,MATCH(BT1167,hd_mark,0),0)/12)),0)</f>
        <v>0</v>
      </c>
      <c r="BM1154">
        <f>MAX($F$24,$BE$1067)/$Q$1076</f>
        <v>0</v>
      </c>
      <c r="BN1154">
        <f>IF(BM1167=0,0,IF(BM1167&gt;2,1.25-0.125*BM1167,1))</f>
        <v>0</v>
      </c>
      <c r="BO1154" cm="1">
        <f t="array" ref="BO1154">IFERROR(INDEX(sheath_ecap_asd,MATCH(BS1167,sheath_mark,0),0)*BN1167,0)</f>
        <v>0</v>
      </c>
      <c r="BP1154" cm="1">
        <f t="array" ref="BP1154">IFERROR(INDEX(sheath_wcap_asd,MATCH(BS1167,sheath_mark,0),0)*BN1167,0)</f>
        <v>0</v>
      </c>
      <c r="BQ1154" cm="1">
        <f t="array" ref="BQ1154">IFERROR(INDEX(hd_cap,MATCH(BT1167,hd_mark,0),0),0)</f>
        <v>0</v>
      </c>
      <c r="BS1154" s="19"/>
      <c r="BT1154" s="19"/>
      <c r="BU1154" s="100"/>
    </row>
    <row r="1155" x14ac:dyDescent="0.25">
      <c r="P1155" s="93"/>
      <c r="Q1155" s="109"/>
      <c r="R1155" t="str">
        <f>$Q$1049</f>
        <v>Roof</v>
      </c>
      <c r="S1155">
        <f>$E$25</f>
        <v>33.171875</v>
      </c>
      <c r="T1155" cm="1">
        <f t="array" ref="T1155">IFERROR(IF(S1155=0,0,(INDEX($C$33:$C$38,MATCH($W$1067,$B$33:$B$38,0),0)*(S1155+$X$1067)+$V$1067*$C$31)*$R$1067),0)</f>
        <v>0</v>
      </c>
      <c r="U1155">
        <f>IF(S1155=0,0,-$V$1067*$C$31*$H$27*$R$1067)</f>
        <v>0</v>
      </c>
      <c r="V1155">
        <f>IF(S1155=0,0,$V$1067*$H$26*$R$1067)</f>
        <v>0</v>
      </c>
      <c r="W1155">
        <f>(0.6*T1155+0.7*U1155)*$R$1067/2</f>
        <v>0</v>
      </c>
      <c r="X1155">
        <f>T1155*$R$1067/2</f>
        <v>0</v>
      </c>
      <c r="Z1155">
        <f>IF(S1155=0,0,$AD$1067*$AP$1049)</f>
        <v>0</v>
      </c>
      <c r="AA1155">
        <f>IFERROR(Z1155/$R$1067,0)</f>
        <v>0</v>
      </c>
      <c r="AB1155">
        <f>Z1155*($F$25+($C$16+$C$17+IF($C$13="single",1.5,3)+3)/12)</f>
        <v>0</v>
      </c>
      <c r="AC1155">
        <f>AB1155-W1155</f>
        <v>0</v>
      </c>
      <c r="AD1155" cm="1">
        <f t="array" ref="AD1155">IFERROR(IF(AC1155&lt;0,0,AC1155/($R$1067-INDEX(hd_off,MATCH(AQ1155,hd_mark,0),0)/12)),0)</f>
        <v>0</v>
      </c>
      <c r="AE1155">
        <f>IF(S1155=0,0,$AD$1067*$AM$1049)</f>
        <v>0</v>
      </c>
      <c r="AF1155">
        <f>IFERROR(AE1155/$R$1067,0)</f>
        <v>0</v>
      </c>
      <c r="AG1155">
        <f>AE1155*($F$25+($C$16+$C$17+IF($C$13="single",1.5,3)+3)/12)</f>
        <v>0</v>
      </c>
      <c r="AH1155">
        <f>AG1155-X1155</f>
        <v>0</v>
      </c>
      <c r="AI1155" cm="1">
        <f t="array" ref="AI1155">IFERROR(IF(AH1155&lt;0,0,AH1155/($R$1067-INDEX(hd_off,MATCH(AQ1155,hd_mark,0),0)/12)),0)</f>
        <v>0</v>
      </c>
      <c r="AJ1155">
        <f>MAX($F$25,$AC$1067)/$Q$1076</f>
        <v>0.29920977011494249</v>
      </c>
      <c r="AK1155">
        <f t="shared" si="704"/>
        <v>1</v>
      </c>
      <c r="AL1155" cm="1">
        <f t="array" ref="AL1155">IFERROR(INDEX(sheath_ecap_asd,MATCH(AP1155,sheath_mark,0),0)*AK1155,0)</f>
        <v>0</v>
      </c>
      <c r="AM1155" cm="1">
        <f t="array" ref="AM1155">IFERROR(INDEX(sheath_wcap_asd,MATCH(AP1155,sheath_mark,0),0)*AK1155,0)</f>
        <v>0</v>
      </c>
      <c r="AN1155" cm="1">
        <f t="array" ref="AN1155">IFERROR(INDEX(hd_cap,MATCH(AQ1155,hd_mark,0),0),0)</f>
        <v>0</v>
      </c>
      <c r="AP1155" s="19"/>
      <c r="AQ1155" s="19"/>
      <c r="AR1155" s="100"/>
      <c r="AS1155" s="93"/>
      <c r="AT1155" s="109"/>
      <c r="AU1155" t="str">
        <f>$Q$1049</f>
        <v>Roof</v>
      </c>
      <c r="AV1155">
        <f>$E$25</f>
        <v>33.171875</v>
      </c>
      <c r="AW1155" cm="1">
        <f t="array" ref="AW1155">IFERROR(IF(AV1155=0,0,(INDEX($C$33:$C$38,MATCH($AZ$1067,$B$33:$B$38,0),0)*(AV1155+$BA$1067)+$AY$1067*$C$31)*$AU$1067),0)</f>
        <v>0</v>
      </c>
      <c r="AX1155">
        <f>IF(AV1155=0,0,-$AY$1067*$C$31*$H$27*$AU$1067)</f>
        <v>0</v>
      </c>
      <c r="AY1155">
        <f>IF(AV1155=0,0,$AY$1067*$H$26*$AU$1067)</f>
        <v>0</v>
      </c>
      <c r="AZ1155">
        <f>(0.6*AW1155+0.7*AX1155)*$AU$1067/2</f>
        <v>0</v>
      </c>
      <c r="BA1155">
        <f>AW1155*$AU$1067/2</f>
        <v>0</v>
      </c>
      <c r="BC1155">
        <f>IF(AV1155=0,0,$BG$1067*$AP$1049)</f>
        <v>0</v>
      </c>
      <c r="BD1155">
        <f>IFERROR(BC1155/$AU$1067,0)</f>
        <v>0</v>
      </c>
      <c r="BE1155">
        <f>BC1155*($F$25+($C$16+$C$17+IF($C$13="single",1.5,3)+3)/12)</f>
        <v>0</v>
      </c>
      <c r="BF1155">
        <f>BE1155-AZ1155</f>
        <v>0</v>
      </c>
      <c r="BG1155" cm="1">
        <f t="array" ref="BG1155">IFERROR(IF(BF1155&lt;0,0,BF1155/($AU$1067-INDEX(hd_off,MATCH(BT1155,hd_mark,0),0)/12)),0)</f>
        <v>0</v>
      </c>
      <c r="BH1155">
        <f>IF(AV1155=0,0,$BG$1067*$AM$1049)</f>
        <v>0</v>
      </c>
      <c r="BI1155">
        <f>IFERROR(BH1155/$AU$1067,0)</f>
        <v>0</v>
      </c>
      <c r="BJ1155">
        <f>BH1155*($F$25+($C$16+$C$17+IF($C$13="single",1.5,3)+3)/12)</f>
        <v>0</v>
      </c>
      <c r="BK1155">
        <f>BJ1155-BA1155</f>
        <v>0</v>
      </c>
      <c r="BL1155" cm="1">
        <f t="array" ref="BL1155">IFERROR(IF(BK1155&lt;0,0,BK1155/($AU$1067-INDEX(hd_off,MATCH(BT1155,hd_mark,0),0)/12)),0)</f>
        <v>0</v>
      </c>
      <c r="BM1155">
        <f>MAX($F$25,$BF$1067)/$Q$1076</f>
        <v>0.29920977011494249</v>
      </c>
      <c r="BN1155">
        <f t="shared" ref="BN1155" si="706">IF(BM1155=0,0,IF(BM1155&gt;2,1.25-0.125*BM1155,1))</f>
        <v>1</v>
      </c>
      <c r="BO1155" cm="1">
        <f t="array" ref="BO1155">IFERROR(INDEX(sheath_ecap_asd,MATCH(BS1155,sheath_mark,0),0)*BN1155,0)</f>
        <v>0</v>
      </c>
      <c r="BP1155" cm="1">
        <f t="array" ref="BP1155">IFERROR(INDEX(sheath_wcap_asd,MATCH(BS1155,sheath_mark,0),0)*BN1155,0)</f>
        <v>0</v>
      </c>
      <c r="BQ1155" cm="1">
        <f t="array" ref="BQ1155">IFERROR(INDEX(hd_cap,MATCH(BT1155,hd_mark,0),0),0)</f>
        <v>0</v>
      </c>
      <c r="BS1155" s="19"/>
      <c r="BT1155" s="19"/>
      <c r="BU1155" s="100"/>
    </row>
    <row r="1156" x14ac:dyDescent="0.25">
      <c r="P1156" s="93"/>
      <c r="AR1156" s="100"/>
      <c r="AS1156" s="93"/>
      <c r="BU1156" s="100"/>
    </row>
    <row r="1157" x14ac:dyDescent="0.25">
      <c r="P1157" s="93"/>
      <c r="Q1157" s="110" t="str">
        <f>$Q$1068</f>
        <v>A.15</v>
      </c>
      <c r="R1157" t="str">
        <f>$Q$1045</f>
        <v>L2</v>
      </c>
      <c r="S1157">
        <f>$E$21</f>
        <v>10.6875</v>
      </c>
      <c r="T1157" cm="1">
        <f t="array" ref="T1157">IFERROR(IF(S1157=0,0,(INDEX($C$33:$C$38,MATCH($W$1068,$B$33:$B$38,0),0)*(S1161+$X$1068)+$T$1068*COUNTIF(S1157:S1160,"&gt;0")*$C$32+$V$1068*$C$31)*$R$1068),0)</f>
        <v>0</v>
      </c>
      <c r="U1157">
        <f>IF(S1157=0,0,-(COUNTIF(S1157:S1160,"&gt;0")*$T$1068*$C$32+$V$1068*$C$31)*$H$27*$R$1068)</f>
        <v>0</v>
      </c>
      <c r="V1157">
        <f>IF(S1157=0,0,$V$1068*$H$26*$R$1068)</f>
        <v>0</v>
      </c>
      <c r="W1157">
        <f>(0.6*T1157+0.7*U1157)*$R$1068/2</f>
        <v>0</v>
      </c>
      <c r="X1157">
        <f>(0.6*T1157+0.6*V1157)*$R$1068/2</f>
        <v>0</v>
      </c>
      <c r="Z1157">
        <f>IF(S1157=0,0,$AD$1068*$AP$1045)</f>
        <v>0</v>
      </c>
      <c r="AA1157">
        <f>IFERROR(Z1157/$R$1068,0)</f>
        <v>0</v>
      </c>
      <c r="AB1157">
        <f>Z1157*($F$21+IF($F$21=0,0,($C$14+$C$15+IF($C$13="single",1.5,3)+3)/12))</f>
        <v>0</v>
      </c>
      <c r="AC1157">
        <f>AB1157-W1157</f>
        <v>0</v>
      </c>
      <c r="AD1157" cm="1">
        <f t="array" ref="AD1157">IFERROR(IF(AC1157&lt;0,0,AC1157/($R$1068-INDEX(hd_off,MATCH(AQ1157,hd_mark,0),0)/12)),0)</f>
        <v>0</v>
      </c>
      <c r="AE1157">
        <f>IF(S1157=0,0,$AD$1068*$AM$1045)</f>
        <v>0</v>
      </c>
      <c r="AF1157">
        <f>IFERROR(AE1157/$R$1068,0)</f>
        <v>0</v>
      </c>
      <c r="AG1157">
        <f>AE1157*($F$21+IF($F$21=0,0,($C$14+$C$15+IF($C$13="single",1.5,3)+3)/12))</f>
        <v>0</v>
      </c>
      <c r="AH1157">
        <f>AG1157-X1157</f>
        <v>0</v>
      </c>
      <c r="AI1157" cm="1">
        <f t="array" ref="AI1157">IFERROR(IF(AH1157&lt;0,0,AH1157/($R$1068-INDEX(hd_off,MATCH(AQ1157,hd_mark,0),0)/12)),0)</f>
        <v>0</v>
      </c>
      <c r="AJ1157">
        <f>MAX($F$21,$Y$1068)/$Q$1076</f>
        <v>0.30172413793103448</v>
      </c>
      <c r="AK1157">
        <f>IF(AJ1157=0,0,IF(AJ1157&gt;2,1.25-0.125*AJ1157,1))</f>
        <v>1</v>
      </c>
      <c r="AL1157" cm="1">
        <f t="array" ref="AL1157">IFERROR(INDEX(sheath_ecap_asd,MATCH(AP1157,sheath_mark,0),0)*AK1157,0)</f>
        <v>0</v>
      </c>
      <c r="AM1157" cm="1">
        <f t="array" ref="AM1157">IFERROR(INDEX(sheath_wcap_asd,MATCH(AP1157,sheath_mark,0),0)*AK1157,0)</f>
        <v>0</v>
      </c>
      <c r="AN1157" cm="1">
        <f t="array" ref="AN1157">IFERROR(INDEX(hd_cap,MATCH(AQ1157,hd_mark,0),0),0)</f>
        <v>0</v>
      </c>
      <c r="AP1157" s="19"/>
      <c r="AQ1157" s="19"/>
      <c r="AR1157" s="100"/>
      <c r="AS1157" s="93"/>
      <c r="AT1157" s="110" t="str">
        <f>$AT$1068</f>
        <v>1.15</v>
      </c>
      <c r="AU1157" t="str">
        <f>$Q$1045</f>
        <v>L2</v>
      </c>
      <c r="AV1157">
        <f>$E$21</f>
        <v>10.6875</v>
      </c>
      <c r="AW1157" cm="1">
        <f t="array" ref="AW1157">IFERROR(IF(AV1157=0,0,(INDEX($C$33:$C$38,MATCH($AZ$1068,$B$33:$B$38,0),0)*(AV1161+$BA$1068)+$AW$1068*COUNTIF(AV1157:AV1160,"&gt;0")*$C$32+$AY$1068*$C$31)*$AU$1068),0)</f>
        <v>0</v>
      </c>
      <c r="AX1157">
        <f>IF(AV1157=0,0,-(COUNTIF(AV1157:AV1160,"&gt;0")*$AW$1068*$C$32+$AY$1068*$C$31)*$H$27*$AU$1068)</f>
        <v>0</v>
      </c>
      <c r="AY1157">
        <f>IF(AV1157=0,0,$AY$1068*$H$26*$AU$1068)</f>
        <v>0</v>
      </c>
      <c r="AZ1157">
        <f>(0.6*AW1157+0.7*AX1157)*$AU$1068/2</f>
        <v>0</v>
      </c>
      <c r="BA1157">
        <f>(0.6*AW1157+0.6*AY1157)*$AU$1068/2</f>
        <v>0</v>
      </c>
      <c r="BC1157">
        <f>IF(AV1157=0,0,$BG$1068*$AP$1045)</f>
        <v>0</v>
      </c>
      <c r="BD1157">
        <f>IFERROR(BC1157/$AU$1068,0)</f>
        <v>0</v>
      </c>
      <c r="BE1157">
        <f>BC1157*($F$21+IF($F$21=0,0,($C$14+$C$15+IF($C$13="single",1.5,3)+3)/12))</f>
        <v>0</v>
      </c>
      <c r="BF1157">
        <f>BE1157-AZ1157</f>
        <v>0</v>
      </c>
      <c r="BG1157" cm="1">
        <f t="array" ref="BG1157">IFERROR(IF(BF1157&lt;0,0,BF1157/($AU$1068-INDEX(hd_off,MATCH(BT1157,hd_mark,0),0)/12)),0)</f>
        <v>0</v>
      </c>
      <c r="BH1157">
        <f>IF(AV1157=0,0,$BG$1068*$AM$1045)</f>
        <v>0</v>
      </c>
      <c r="BI1157">
        <f>IFERROR(BH1157/$AU$1068,0)</f>
        <v>0</v>
      </c>
      <c r="BJ1157">
        <f>BH1157*($F$21+IF($F$21=0,0,($C$14+$C$15+IF($C$13="single",1.5,3)+3)/12))</f>
        <v>0</v>
      </c>
      <c r="BK1157">
        <f>BJ1157-BA1157</f>
        <v>0</v>
      </c>
      <c r="BL1157" cm="1">
        <f t="array" ref="BL1157">IFERROR(IF(BK1157&lt;0,0,BK1157/($AU$1068-INDEX(hd_off,MATCH(BT1157,hd_mark,0),0)/12)),0)</f>
        <v>0</v>
      </c>
      <c r="BM1157">
        <f>MAX($F$21,$BB$1068)/$Q$1076</f>
        <v>0.30172413793103448</v>
      </c>
      <c r="BN1157">
        <f>IF(BM1157=0,0,IF(BM1157&gt;2,1.25-0.125*BM1157,1))</f>
        <v>1</v>
      </c>
      <c r="BO1157" cm="1">
        <f t="array" ref="BO1157">IFERROR(INDEX(sheath_ecap_asd,MATCH(BS1157,sheath_mark,0),0)*BN1157,0)</f>
        <v>0</v>
      </c>
      <c r="BP1157" cm="1">
        <f t="array" ref="BP1157">IFERROR(INDEX(sheath_wcap_asd,MATCH(BS1157,sheath_mark,0),0)*BN1157,0)</f>
        <v>0</v>
      </c>
      <c r="BQ1157" cm="1">
        <f t="array" ref="BQ1157">IFERROR(INDEX(hd_cap,MATCH(BT1157,hd_mark,0),0),0)</f>
        <v>0</v>
      </c>
      <c r="BS1157" s="19"/>
      <c r="BT1157" s="19"/>
      <c r="BU1157" s="100"/>
    </row>
    <row r="1158" x14ac:dyDescent="0.25">
      <c r="P1158" s="93"/>
      <c r="Q1158" s="109"/>
      <c r="R1158" t="str">
        <f>$Q$1046</f>
        <v>L3</v>
      </c>
      <c r="S1158">
        <f>$E$22</f>
        <v>21.375</v>
      </c>
      <c r="T1158" cm="1">
        <f t="array" ref="T1158">IFERROR(IF(S1158=0,0,(INDEX($C$33:$C$38,MATCH($W$1068,$B$33:$B$38,0),0)*(S1161+$X$1068)+$T$1068*COUNTIF(S1158:S1160,"&gt;0")*$C$32+$V$1068*$C$31)*$R$1068),0)</f>
        <v>0</v>
      </c>
      <c r="U1158">
        <f>IF(S1158=0,0,-(COUNTIF(S1158:S1160,"&gt;0")*$T$1068*$C$32+$V$1068*$C$31)*$H$27*$R$1068)</f>
        <v>0</v>
      </c>
      <c r="V1158">
        <f>IF(S1158=0,0,$V$1068*$H$26*$R$1068)</f>
        <v>0</v>
      </c>
      <c r="W1158">
        <f>(0.6*T1158+0.7*U1158)*$R$1068/2</f>
        <v>0</v>
      </c>
      <c r="X1158">
        <f>T1158*$R$1068/2</f>
        <v>0</v>
      </c>
      <c r="Z1158">
        <f>IF(S1158=0,0,$AD$1068*$AP$1046)</f>
        <v>0</v>
      </c>
      <c r="AA1158">
        <f>IFERROR(Z1158/$R$1068,0)</f>
        <v>0</v>
      </c>
      <c r="AB1158">
        <f>Z1158*($F$22+IF($F$22=0,0,($C$14+$C$15+IF($C$13="single",1.5,3)+3)/12))</f>
        <v>0</v>
      </c>
      <c r="AC1158">
        <f>AB1158-W1158</f>
        <v>0</v>
      </c>
      <c r="AD1158" cm="1">
        <f t="array" ref="AD1158">IFERROR(IF(AC1158&lt;0,0,AC1158/($R$1068-INDEX(hd_off,MATCH(AQ1158,hd_mark,0),0)/12)),0)</f>
        <v>0</v>
      </c>
      <c r="AE1158">
        <f>IF(S1158=0,0,$AD$1068*$AM$1046)</f>
        <v>0</v>
      </c>
      <c r="AF1158">
        <f>IFERROR(AE1158/$R$1068,0)</f>
        <v>0</v>
      </c>
      <c r="AG1158">
        <f>AE1158*($F$22+IF($F$22=0,0,($C$14+$C$15+IF($C$13="single",1.5,3)+3)/12))</f>
        <v>0</v>
      </c>
      <c r="AH1158">
        <f>AG1158-X1158</f>
        <v>0</v>
      </c>
      <c r="AI1158" cm="1">
        <f t="array" ref="AI1158">IFERROR(IF(AH1158&lt;0,0,AH1158/($R$1068-INDEX(hd_off,MATCH(AQ1158,hd_mark,0),0)/12)),0)</f>
        <v>0</v>
      </c>
      <c r="AJ1158">
        <f>MAX($F$22,$Z$1068)/$Q$1076</f>
        <v>0.30172413793103448</v>
      </c>
      <c r="AK1158">
        <f t="shared" ref="AK1158:AK1161" si="707">IF(AJ1158=0,0,IF(AJ1158&gt;2,1.25-0.125*AJ1158,1))</f>
        <v>1</v>
      </c>
      <c r="AL1158" cm="1">
        <f t="array" ref="AL1158">IFERROR(INDEX(sheath_ecap_asd,MATCH(AP1158,sheath_mark,0),0)*AK1158,0)</f>
        <v>0</v>
      </c>
      <c r="AM1158" cm="1">
        <f t="array" ref="AM1158">IFERROR(INDEX(sheath_wcap_asd,MATCH(AP1158,sheath_mark,0),0)*AK1158,0)</f>
        <v>0</v>
      </c>
      <c r="AN1158" cm="1">
        <f t="array" ref="AN1158">IFERROR(INDEX(hd_cap,MATCH(AQ1158,hd_mark,0),0),0)</f>
        <v>0</v>
      </c>
      <c r="AP1158" s="19"/>
      <c r="AQ1158" s="19"/>
      <c r="AR1158" s="100"/>
      <c r="AS1158" s="93"/>
      <c r="AT1158" s="109"/>
      <c r="AU1158" t="str">
        <f>$Q$1046</f>
        <v>L3</v>
      </c>
      <c r="AV1158">
        <f>$E$22</f>
        <v>21.375</v>
      </c>
      <c r="AW1158" cm="1">
        <f t="array" ref="AW1158">IFERROR(IF(AV1158=0,0,(INDEX($C$33:$C$38,MATCH($AZ$1068,$B$33:$B$38,0),0)*(AV1161+$BA$1068)+$AW$1068*COUNTIF(AV1158:AV1160,"&gt;0")*$C$32+$AY$1068*$C$31)*$AU$1068),0)</f>
        <v>0</v>
      </c>
      <c r="AX1158">
        <f>IF(AV1158=0,0,-(COUNTIF(AV1158:AV1160,"&gt;0")*$AW$1068*$C$32+$AY$1068*$C$31)*$H$27*$AU$1068)</f>
        <v>0</v>
      </c>
      <c r="AY1158">
        <f>IF(AV1158=0,0,$AY$1068*$H$26*$AU$1068)</f>
        <v>0</v>
      </c>
      <c r="AZ1158">
        <f>(0.6*AW1158+0.7*AX1158)*$AU$1068/2</f>
        <v>0</v>
      </c>
      <c r="BA1158">
        <f>AW1158*$AU$1068/2</f>
        <v>0</v>
      </c>
      <c r="BC1158">
        <f>IF(AV1158=0,0,$BG$1068*$AP$1046)</f>
        <v>0</v>
      </c>
      <c r="BD1158">
        <f>IFERROR(BC1158/$AU$1068,0)</f>
        <v>0</v>
      </c>
      <c r="BE1158">
        <f>BC1158*($F$22+IF($F$22=0,0,($C$14+$C$15+IF($C$13="single",1.5,3)+3)/12))</f>
        <v>0</v>
      </c>
      <c r="BF1158">
        <f>BE1158-AZ1158</f>
        <v>0</v>
      </c>
      <c r="BG1158" cm="1">
        <f t="array" ref="BG1158">IFERROR(IF(BF1158&lt;0,0,BF1158/($AU$1068-INDEX(hd_off,MATCH(BT1158,hd_mark,0),0)/12)),0)</f>
        <v>0</v>
      </c>
      <c r="BH1158">
        <f>IF(AV1158=0,0,$BG$1068*$AM$1046)</f>
        <v>0</v>
      </c>
      <c r="BI1158">
        <f>IFERROR(BH1158/$AU$1068,0)</f>
        <v>0</v>
      </c>
      <c r="BJ1158">
        <f>BH1158*($F$22+IF($F$22=0,0,($C$14+$C$15+IF($C$13="single",1.5,3)+3)/12))</f>
        <v>0</v>
      </c>
      <c r="BK1158">
        <f>BJ1158-BA1158</f>
        <v>0</v>
      </c>
      <c r="BL1158" cm="1">
        <f t="array" ref="BL1158">IFERROR(IF(BK1158&lt;0,0,BK1158/($AU$1068-INDEX(hd_off,MATCH(BT1158,hd_mark,0),0)/12)),0)</f>
        <v>0</v>
      </c>
      <c r="BM1158">
        <f>MAX($F$22,$BC$1068)/$Q$1076</f>
        <v>0.30172413793103448</v>
      </c>
      <c r="BN1158">
        <f t="shared" ref="BN1158:BN1161" si="708">IF(BM1158=0,0,IF(BM1158&gt;2,1.25-0.125*BM1158,1))</f>
        <v>1</v>
      </c>
      <c r="BO1158" cm="1">
        <f t="array" ref="BO1158">IFERROR(INDEX(sheath_ecap_asd,MATCH(BS1158,sheath_mark,0),0)*BN1158,0)</f>
        <v>0</v>
      </c>
      <c r="BP1158" cm="1">
        <f t="array" ref="BP1158">IFERROR(INDEX(sheath_wcap_asd,MATCH(BS1158,sheath_mark,0),0)*BN1158,0)</f>
        <v>0</v>
      </c>
      <c r="BQ1158" cm="1">
        <f t="array" ref="BQ1158">IFERROR(INDEX(hd_cap,MATCH(BT1158,hd_mark,0),0),0)</f>
        <v>0</v>
      </c>
      <c r="BS1158" s="19"/>
      <c r="BT1158" s="19"/>
      <c r="BU1158" s="100"/>
    </row>
    <row r="1159" x14ac:dyDescent="0.25">
      <c r="P1159" s="93"/>
      <c r="Q1159" s="109" t="s">
        <v>491</v>
      </c>
      <c r="R1159" t="str">
        <f>$Q$1047</f>
        <v>L4</v>
      </c>
      <c r="S1159">
        <f>$E$23</f>
        <v>0</v>
      </c>
      <c r="T1159" cm="1">
        <f t="array" ref="T1159">IFERROR(IF(S1159=0,0,(INDEX($C$33:$C$38,MATCH($W$1068,$B$33:$B$38,0),0)*(S1161+$X$1068)+$T$1068*COUNTIF(S1159:S1160,"&gt;0")*$C$32+$V$1068*$C$31)*$R$1068),0)</f>
        <v>0</v>
      </c>
      <c r="U1159">
        <f>IF(S1159=0,0,-(COUNTIF(S1159:S1160,"&gt;0")*$T$1068*$C$32+$V$1068*$C$31)*$H$27*$R$1068)</f>
        <v>0</v>
      </c>
      <c r="V1159">
        <f>IF(S1159=0,0,$V$1068*$H$26*$R$1068)</f>
        <v>0</v>
      </c>
      <c r="W1159">
        <f>(0.6*T1159+0.7*U1159)*$R$1068/2</f>
        <v>0</v>
      </c>
      <c r="X1159">
        <f>T1159*$R$1068/2</f>
        <v>0</v>
      </c>
      <c r="Z1159">
        <f>IF(S1159=0,0,$AD$1068*$AP$1047)</f>
        <v>0</v>
      </c>
      <c r="AA1159">
        <f>IFERROR(Z1159/$R$1068,0)</f>
        <v>0</v>
      </c>
      <c r="AB1159">
        <f>Z1159*($F$23+IF($F$23=0,0,($C$14+$C$15+IF($C$13="single",1.5,3)+3)/12))</f>
        <v>0</v>
      </c>
      <c r="AC1159">
        <f>AB1159-W1159</f>
        <v>0</v>
      </c>
      <c r="AD1159" cm="1">
        <f t="array" ref="AD1159">IFERROR(IF(AC1159&lt;0,0,AC1159/($R$1068-INDEX(hd_off,MATCH(AQ1159,hd_mark,0),0)/12)),0)</f>
        <v>0</v>
      </c>
      <c r="AE1159">
        <f>IF(S1159=0,0,$AD$1068*$AM$1047)</f>
        <v>0</v>
      </c>
      <c r="AF1159">
        <f>IFERROR(AE1159/$R$1068,0)</f>
        <v>0</v>
      </c>
      <c r="AG1159">
        <f>AE1159*($F$23+IF($F$23=0,0,($C$14+$C$15+IF($C$13="single",1.5,3)+3)/12))</f>
        <v>0</v>
      </c>
      <c r="AH1159">
        <f>AG1159-X1159</f>
        <v>0</v>
      </c>
      <c r="AI1159" cm="1">
        <f t="array" ref="AI1159">IFERROR(IF(AH1159&lt;0,0,AH1159/($R$1068-INDEX(hd_off,MATCH(AQ1159,hd_mark,0),0)/12)),0)</f>
        <v>0</v>
      </c>
      <c r="AJ1159">
        <f>MAX($F$23,$AA$1068)/$Q$1076</f>
        <v>0</v>
      </c>
      <c r="AK1159">
        <f t="shared" si="707"/>
        <v>0</v>
      </c>
      <c r="AL1159" cm="1">
        <f t="array" ref="AL1159">IFERROR(INDEX(sheath_ecap_asd,MATCH(AP1159,sheath_mark,0),0)*AK1159,0)</f>
        <v>0</v>
      </c>
      <c r="AM1159" cm="1">
        <f t="array" ref="AM1159">IFERROR(INDEX(sheath_wcap_asd,MATCH(AP1159,sheath_mark,0),0)*AK1159,0)</f>
        <v>0</v>
      </c>
      <c r="AN1159" cm="1">
        <f t="array" ref="AN1159">IFERROR(INDEX(hd_cap,MATCH(AQ1159,hd_mark,0),0),0)</f>
        <v>0</v>
      </c>
      <c r="AP1159" s="19"/>
      <c r="AQ1159" s="19"/>
      <c r="AR1159" s="100"/>
      <c r="AS1159" s="93"/>
      <c r="AT1159" s="109" t="s">
        <v>491</v>
      </c>
      <c r="AU1159" t="str">
        <f>$Q$1047</f>
        <v>L4</v>
      </c>
      <c r="AV1159">
        <f>$E$23</f>
        <v>0</v>
      </c>
      <c r="AW1159" cm="1">
        <f t="array" ref="AW1159">IFERROR(IF(AV1159=0,0,(INDEX($C$33:$C$38,MATCH($AZ$1068,$B$33:$B$38,0),0)*(AV1161+$BA$1068)+$AW$1068*COUNTIF(AV1159:AV1160,"&gt;0")*$C$32+$AY$1068*$C$31)*$AU$1068),0)</f>
        <v>0</v>
      </c>
      <c r="AX1159">
        <f>IF(AV1159=0,0,-(COUNTIF(AV1159:AV1160,"&gt;0")*$AW$1068*$C$32+$AY$1068*$C$31)*$H$27*$AU$1068)</f>
        <v>0</v>
      </c>
      <c r="AY1159">
        <f>IF(AV1159=0,0,$AY$1068*$H$26*$AU$1068)</f>
        <v>0</v>
      </c>
      <c r="AZ1159">
        <f>(0.6*AW1159+0.7*AX1159)*$AU$1068/2</f>
        <v>0</v>
      </c>
      <c r="BA1159">
        <f>AW1159*$AU$1068/2</f>
        <v>0</v>
      </c>
      <c r="BC1159">
        <f>IF(AV1159=0,0,$BG$1068*$AP$1047)</f>
        <v>0</v>
      </c>
      <c r="BD1159">
        <f>IFERROR(BC1159/$AU$1068,0)</f>
        <v>0</v>
      </c>
      <c r="BE1159">
        <f>BC1159*($F$23+IF($F$23=0,0,($C$14+$C$15+IF($C$13="single",1.5,3)+3)/12))</f>
        <v>0</v>
      </c>
      <c r="BF1159">
        <f>BE1159-AZ1159</f>
        <v>0</v>
      </c>
      <c r="BG1159" cm="1">
        <f t="array" ref="BG1159">IFERROR(IF(BF1159&lt;0,0,BF1159/($AU$1068-INDEX(hd_off,MATCH(BT1159,hd_mark,0),0)/12)),0)</f>
        <v>0</v>
      </c>
      <c r="BH1159">
        <f>IF(AV1159=0,0,$BG$1068*$AM$1047)</f>
        <v>0</v>
      </c>
      <c r="BI1159">
        <f>IFERROR(BH1159/$AU$1068,0)</f>
        <v>0</v>
      </c>
      <c r="BJ1159">
        <f>BH1159*($F$23+IF($F$23=0,0,($C$14+$C$15+IF($C$13="single",1.5,3)+3)/12))</f>
        <v>0</v>
      </c>
      <c r="BK1159">
        <f>BJ1159-BA1159</f>
        <v>0</v>
      </c>
      <c r="BL1159" cm="1">
        <f t="array" ref="BL1159">IFERROR(IF(BK1159&lt;0,0,BK1159/($AU$1068-INDEX(hd_off,MATCH(BT1159,hd_mark,0),0)/12)),0)</f>
        <v>0</v>
      </c>
      <c r="BM1159">
        <f>MAX($F$23,$BD$1068)/$Q$1076</f>
        <v>0</v>
      </c>
      <c r="BN1159">
        <f t="shared" si="708"/>
        <v>0</v>
      </c>
      <c r="BO1159" cm="1">
        <f t="array" ref="BO1159">IFERROR(INDEX(sheath_ecap_asd,MATCH(BS1159,sheath_mark,0),0)*BN1159,0)</f>
        <v>0</v>
      </c>
      <c r="BP1159" cm="1">
        <f t="array" ref="BP1159">IFERROR(INDEX(sheath_wcap_asd,MATCH(BS1159,sheath_mark,0),0)*BN1159,0)</f>
        <v>0</v>
      </c>
      <c r="BQ1159" cm="1">
        <f t="array" ref="BQ1159">IFERROR(INDEX(hd_cap,MATCH(BT1159,hd_mark,0),0),0)</f>
        <v>0</v>
      </c>
      <c r="BS1159" s="19"/>
      <c r="BT1159" s="19"/>
      <c r="BU1159" s="100"/>
    </row>
    <row r="1160" x14ac:dyDescent="0.25">
      <c r="P1160" s="93"/>
      <c r="Q1160" s="111">
        <f>$R$1068</f>
        <v>0</v>
      </c>
      <c r="R1160" t="str">
        <f>$Q$1048</f>
        <v>L5</v>
      </c>
      <c r="S1160">
        <f>$E$24</f>
        <v>0</v>
      </c>
      <c r="T1160" cm="1">
        <f t="array" ref="T1160">IFERROR(IF(S1160=0,0,(INDEX($C$33:$C$38,MATCH($W$1068,$B$33:$B$38,0),0)*(S1161+$X$1068)+$T$1068*COUNTIF(S1160:S1160,"&gt;0")*$C$32+$V$1068*$C$31)*$R$1068),0)</f>
        <v>0</v>
      </c>
      <c r="U1160">
        <f>IF(S1160=0,0,-(COUNTIF(S1160:S1160,"&gt;0")*$T$1068*$C$32+$V$1068*$C$31)*$H$27*$R$1068)</f>
        <v>0</v>
      </c>
      <c r="V1160">
        <f>IF(S1160=0,0,$V$1068*$H$26*$R$1068)</f>
        <v>0</v>
      </c>
      <c r="W1160">
        <f>(0.6*T1160+0.7*U1160)*$R$1068/2</f>
        <v>0</v>
      </c>
      <c r="X1160">
        <f>T1160*$R$1068/2</f>
        <v>0</v>
      </c>
      <c r="Z1160">
        <f>IF(S1160=0,0,$AD$1068*$AP$1048)</f>
        <v>0</v>
      </c>
      <c r="AA1160">
        <f>IFERROR(Z1160/$R$1068,0)</f>
        <v>0</v>
      </c>
      <c r="AB1160">
        <f>Z1160*($F$24+IF($F$24=0,0,($C$14+$C$15+IF($C$13="single",1.5,3)+3)/12))</f>
        <v>0</v>
      </c>
      <c r="AC1160">
        <f>AB1160-W1160</f>
        <v>0</v>
      </c>
      <c r="AD1160" cm="1">
        <f t="array" ref="AD1160">IFERROR(IF(AC1160&lt;0,0,AC1160/($R$1068-INDEX(hd_off,MATCH(AQ1160,hd_mark,0),0)/12)),0)</f>
        <v>0</v>
      </c>
      <c r="AE1160">
        <f>IF(S1160=0,0,$AD$1068*$AM$1048)</f>
        <v>0</v>
      </c>
      <c r="AF1160">
        <f>IFERROR(AE1160/$R$1068,0)</f>
        <v>0</v>
      </c>
      <c r="AG1160">
        <f>AE1160*($F$24+IF($F$24=0,0,($C$14+$C$15+IF($C$13="single",1.5,3)+3)/12))</f>
        <v>0</v>
      </c>
      <c r="AH1160">
        <f>AG1160-X1160</f>
        <v>0</v>
      </c>
      <c r="AI1160" cm="1">
        <f t="array" ref="AI1160">IFERROR(IF(AH1160&lt;0,0,AH1160/($R$1068-INDEX(hd_off,MATCH(AQ1160,hd_mark,0),0)/12)),0)</f>
        <v>0</v>
      </c>
      <c r="AJ1160">
        <f>MAX($F$24,$AB$1068)/$Q$1076</f>
        <v>0</v>
      </c>
      <c r="AK1160">
        <f t="shared" si="707"/>
        <v>0</v>
      </c>
      <c r="AL1160" cm="1">
        <f t="array" ref="AL1160">IFERROR(INDEX(sheath_ecap_asd,MATCH(AP1160,sheath_mark,0),0)*AK1160,0)</f>
        <v>0</v>
      </c>
      <c r="AM1160" cm="1">
        <f t="array" ref="AM1160">IFERROR(INDEX(sheath_wcap_asd,MATCH(AP1160,sheath_mark,0),0)*AK1160,0)</f>
        <v>0</v>
      </c>
      <c r="AN1160" cm="1">
        <f t="array" ref="AN1160">IFERROR(INDEX(hd_cap,MATCH(AQ1160,hd_mark,0),0),0)</f>
        <v>0</v>
      </c>
      <c r="AP1160" s="19"/>
      <c r="AQ1160" s="19"/>
      <c r="AR1160" s="100"/>
      <c r="AS1160" s="93"/>
      <c r="AT1160" s="111">
        <f>$R$1068</f>
        <v>0</v>
      </c>
      <c r="AU1160" t="str">
        <f>$Q$1048</f>
        <v>L5</v>
      </c>
      <c r="AV1160">
        <f>$E$24</f>
        <v>0</v>
      </c>
      <c r="AW1160" cm="1">
        <f t="array" ref="AW1160">IFERROR(IF(AV1160=0,0,(INDEX($C$33:$C$38,MATCH($AZ$1068,$B$33:$B$38,0),0)*(AV1161+$BA$1068)+$AW$1068*COUNTIF(AV1160:AV1160,"&gt;0")*$C$32+$AY$1068*$C$31)*$AU$1068),0)</f>
        <v>0</v>
      </c>
      <c r="AX1160">
        <f>IF(AV1160=0,0,-(COUNTIF(AV1160:AV1160,"&gt;0")*$AW$1068*$C$32+$AY$1068*$C$31)*$H$27*$AU$1068)</f>
        <v>0</v>
      </c>
      <c r="AY1160">
        <f>IF(AV1160=0,0,$AY$1068*$H$26*$AU$1068)</f>
        <v>0</v>
      </c>
      <c r="AZ1160">
        <f>(0.6*AW1160+0.7*AX1160)*$AU$1068/2</f>
        <v>0</v>
      </c>
      <c r="BA1160">
        <f>AW1160*$AU$1068/2</f>
        <v>0</v>
      </c>
      <c r="BC1160">
        <f>IF(AV1160=0,0,$BG$1068*$AP$1048)</f>
        <v>0</v>
      </c>
      <c r="BD1160">
        <f>IFERROR(BC1160/$AU$1068,0)</f>
        <v>0</v>
      </c>
      <c r="BE1160">
        <f>BC1160*($F$24+IF($F$24=0,0,($C$14+$C$15+IF($C$13="single",1.5,3)+3)/12))</f>
        <v>0</v>
      </c>
      <c r="BF1160">
        <f>BE1160-AZ1160</f>
        <v>0</v>
      </c>
      <c r="BG1160" cm="1">
        <f t="array" ref="BG1160">IFERROR(IF(BF1160&lt;0,0,BF1160/($AU$1068-INDEX(hd_off,MATCH(BT1160,hd_mark,0),0)/12)),0)</f>
        <v>0</v>
      </c>
      <c r="BH1160">
        <f>IF(AV1160=0,0,$BG$1068*$AM$1048)</f>
        <v>0</v>
      </c>
      <c r="BI1160">
        <f>IFERROR(BH1160/$AU$1068,0)</f>
        <v>0</v>
      </c>
      <c r="BJ1160">
        <f>BH1160*($F$24+IF($F$24=0,0,($C$14+$C$15+IF($C$13="single",1.5,3)+3)/12))</f>
        <v>0</v>
      </c>
      <c r="BK1160">
        <f>BJ1160-BA1160</f>
        <v>0</v>
      </c>
      <c r="BL1160" cm="1">
        <f t="array" ref="BL1160">IFERROR(IF(BK1160&lt;0,0,BK1160/($AU$1068-INDEX(hd_off,MATCH(BT1160,hd_mark,0),0)/12)),0)</f>
        <v>0</v>
      </c>
      <c r="BM1160">
        <f>MAX($F$24,$BE$1068)/$Q$1076</f>
        <v>0</v>
      </c>
      <c r="BN1160">
        <f t="shared" si="708"/>
        <v>0</v>
      </c>
      <c r="BO1160" cm="1">
        <f t="array" ref="BO1160">IFERROR(INDEX(sheath_ecap_asd,MATCH(BS1160,sheath_mark,0),0)*BN1160,0)</f>
        <v>0</v>
      </c>
      <c r="BP1160" cm="1">
        <f t="array" ref="BP1160">IFERROR(INDEX(sheath_wcap_asd,MATCH(BS1160,sheath_mark,0),0)*BN1160,0)</f>
        <v>0</v>
      </c>
      <c r="BQ1160" cm="1">
        <f t="array" ref="BQ1160">IFERROR(INDEX(hd_cap,MATCH(BT1160,hd_mark,0),0),0)</f>
        <v>0</v>
      </c>
      <c r="BS1160" s="19"/>
      <c r="BT1160" s="19"/>
      <c r="BU1160" s="100"/>
    </row>
    <row r="1161" x14ac:dyDescent="0.25">
      <c r="P1161" s="93"/>
      <c r="Q1161" s="109"/>
      <c r="R1161" t="str">
        <f>$Q$1049</f>
        <v>Roof</v>
      </c>
      <c r="S1161">
        <f>$E$25</f>
        <v>33.171875</v>
      </c>
      <c r="T1161" cm="1">
        <f t="array" ref="T1161">IFERROR(IF(S1161=0,0,(INDEX($C$33:$C$38,MATCH($W$1068,$B$33:$B$38,0),0)*(S1161+$X$1068)+$V$1068*$C$31)*$R$1068),0)</f>
        <v>0</v>
      </c>
      <c r="U1161">
        <f>IF(S1161=0,0,-$V$1068*$C$31*$H$27*$R$1068)</f>
        <v>0</v>
      </c>
      <c r="V1161">
        <f>IF(S1161=0,0,$V$1068*$H$26*$R$1068)</f>
        <v>0</v>
      </c>
      <c r="W1161">
        <f>(0.6*T1161+0.7*U1161)*$R$1068/2</f>
        <v>0</v>
      </c>
      <c r="X1161">
        <f>T1161*$R$1068/2</f>
        <v>0</v>
      </c>
      <c r="Z1161">
        <f>IF(S1161=0,0,$AD$1068*$AP$1049)</f>
        <v>0</v>
      </c>
      <c r="AA1161">
        <f>IFERROR(Z1161/$R$1068,0)</f>
        <v>0</v>
      </c>
      <c r="AB1161">
        <f>Z1161*($F$25+($C$16+$C$17+IF($C$13="single",1.5,3)+3)/12)</f>
        <v>0</v>
      </c>
      <c r="AC1161">
        <f>AB1161-W1161</f>
        <v>0</v>
      </c>
      <c r="AD1161" cm="1">
        <f t="array" ref="AD1161">IFERROR(IF(AC1161&lt;0,0,AC1161/($R$1068-INDEX(hd_off,MATCH(AQ1161,hd_mark,0),0)/12)),0)</f>
        <v>0</v>
      </c>
      <c r="AE1161">
        <f>IF(S1161=0,0,$AD$1068*$AM$1049)</f>
        <v>0</v>
      </c>
      <c r="AF1161">
        <f>IFERROR(AE1161/$R$1068,0)</f>
        <v>0</v>
      </c>
      <c r="AG1161">
        <f>AE1161*($F$25+($C$16+$C$17+IF($C$13="single",1.5,3)+3)/12)</f>
        <v>0</v>
      </c>
      <c r="AH1161">
        <f>AG1161-X1161</f>
        <v>0</v>
      </c>
      <c r="AI1161" cm="1">
        <f t="array" ref="AI1161">IFERROR(IF(AH1161&lt;0,0,AH1161/($R$1068-INDEX(hd_off,MATCH(AQ1161,hd_mark,0),0)/12)),0)</f>
        <v>0</v>
      </c>
      <c r="AJ1161">
        <f>MAX($F$25,$AC$1068)/$Q$1076</f>
        <v>0.29920977011494249</v>
      </c>
      <c r="AK1161">
        <f t="shared" si="707"/>
        <v>1</v>
      </c>
      <c r="AL1161" cm="1">
        <f t="array" ref="AL1161">IFERROR(INDEX(sheath_ecap_asd,MATCH(AP1161,sheath_mark,0),0)*AK1161,0)</f>
        <v>0</v>
      </c>
      <c r="AM1161" cm="1">
        <f t="array" ref="AM1161">IFERROR(INDEX(sheath_wcap_asd,MATCH(AP1161,sheath_mark,0),0)*AK1161,0)</f>
        <v>0</v>
      </c>
      <c r="AN1161" cm="1">
        <f t="array" ref="AN1161">IFERROR(INDEX(hd_cap,MATCH(AQ1161,hd_mark,0),0),0)</f>
        <v>0</v>
      </c>
      <c r="AP1161" s="19"/>
      <c r="AQ1161" s="19"/>
      <c r="AR1161" s="100"/>
      <c r="AS1161" s="93"/>
      <c r="AT1161" s="109"/>
      <c r="AU1161" t="str">
        <f>$Q$1049</f>
        <v>Roof</v>
      </c>
      <c r="AV1161">
        <f>$E$25</f>
        <v>33.171875</v>
      </c>
      <c r="AW1161" cm="1">
        <f t="array" ref="AW1161">IFERROR(IF(AV1161=0,0,(INDEX($C$33:$C$38,MATCH($AZ$1068,$B$33:$B$38,0),0)*(AV1161+$BA$1068)+$AY$1068*$C$31)*$AU$1068),0)</f>
        <v>0</v>
      </c>
      <c r="AX1161">
        <f>IF(AV1161=0,0,-$AY$1068*$C$31*$H$27*$AU$1068)</f>
        <v>0</v>
      </c>
      <c r="AY1161">
        <f>IF(AV1161=0,0,$AY$1068*$H$26*$AU$1068)</f>
        <v>0</v>
      </c>
      <c r="AZ1161">
        <f>(0.6*AW1161+0.7*AX1161)*$AU$1068/2</f>
        <v>0</v>
      </c>
      <c r="BA1161">
        <f>AW1161*$AU$1068/2</f>
        <v>0</v>
      </c>
      <c r="BC1161">
        <f>IF(AV1161=0,0,$BG$1068*$AP$1049)</f>
        <v>0</v>
      </c>
      <c r="BD1161">
        <f>IFERROR(BC1161/$AU$1068,0)</f>
        <v>0</v>
      </c>
      <c r="BE1161">
        <f>BC1161*($F$25+($C$16+$C$17+IF($C$13="single",1.5,3)+3)/12)</f>
        <v>0</v>
      </c>
      <c r="BF1161">
        <f>BE1161-AZ1161</f>
        <v>0</v>
      </c>
      <c r="BG1161" cm="1">
        <f t="array" ref="BG1161">IFERROR(IF(BF1161&lt;0,0,BF1161/($AU$1068-INDEX(hd_off,MATCH(BT1161,hd_mark,0),0)/12)),0)</f>
        <v>0</v>
      </c>
      <c r="BH1161">
        <f>IF(AV1161=0,0,$BG$1068*$AM$1049)</f>
        <v>0</v>
      </c>
      <c r="BI1161">
        <f>IFERROR(BH1161/$AU$1068,0)</f>
        <v>0</v>
      </c>
      <c r="BJ1161">
        <f>BH1161*($F$25+($C$16+$C$17+IF($C$13="single",1.5,3)+3)/12)</f>
        <v>0</v>
      </c>
      <c r="BK1161">
        <f>BJ1161-BA1161</f>
        <v>0</v>
      </c>
      <c r="BL1161" cm="1">
        <f t="array" ref="BL1161">IFERROR(IF(BK1161&lt;0,0,BK1161/($AU$1068-INDEX(hd_off,MATCH(BT1161,hd_mark,0),0)/12)),0)</f>
        <v>0</v>
      </c>
      <c r="BM1161">
        <f>MAX($F$25,$BF$1068)/$Q$1076</f>
        <v>0.29920977011494249</v>
      </c>
      <c r="BN1161">
        <f t="shared" si="708"/>
        <v>1</v>
      </c>
      <c r="BO1161" cm="1">
        <f t="array" ref="BO1161">IFERROR(INDEX(sheath_ecap_asd,MATCH(BS1161,sheath_mark,0),0)*BN1161,0)</f>
        <v>0</v>
      </c>
      <c r="BP1161" cm="1">
        <f t="array" ref="BP1161">IFERROR(INDEX(sheath_wcap_asd,MATCH(BS1161,sheath_mark,0),0)*BN1161,0)</f>
        <v>0</v>
      </c>
      <c r="BQ1161" cm="1">
        <f t="array" ref="BQ1161">IFERROR(INDEX(hd_cap,MATCH(BT1161,hd_mark,0),0),0)</f>
        <v>0</v>
      </c>
      <c r="BS1161" s="19"/>
      <c r="BT1161" s="19"/>
      <c r="BU1161" s="100"/>
    </row>
    <row r="1162" x14ac:dyDescent="0.25">
      <c r="P1162" s="93"/>
      <c r="AR1162" s="100"/>
      <c r="AS1162" s="93"/>
      <c r="BU1162" s="100"/>
    </row>
    <row r="1163" x14ac:dyDescent="0.25">
      <c r="P1163" s="93"/>
      <c r="Q1163" s="110" t="str">
        <f>$Q$1069</f>
        <v>A.16</v>
      </c>
      <c r="R1163" t="str">
        <f>$Q$1045</f>
        <v>L2</v>
      </c>
      <c r="S1163">
        <f>$E$21</f>
        <v>10.6875</v>
      </c>
      <c r="T1163" cm="1">
        <f t="array" ref="T1163">IFERROR(IF(S1163=0,0,(INDEX($C$33:$C$38,MATCH($W$1069,$B$33:$B$38,0),0)*(S1167+$X$1069)+$T$1069*COUNTIF(S1163:S1166,"&gt;0")*$C$32+$V$1069*$C$31)*$R$1069),0)</f>
        <v>0</v>
      </c>
      <c r="U1163">
        <f>IF(S1163=0,0,-(COUNTIF(S1163:S1166,"&gt;0")*$T$1069*$C$32+$V$1069*$C$31)*$H$27*$R$1069)</f>
        <v>0</v>
      </c>
      <c r="V1163">
        <f>IF(S1163=0,0,$V$1069*$H$26*$R$1069)</f>
        <v>0</v>
      </c>
      <c r="W1163">
        <f>(0.6*T1163+0.7*U1163)*$R$1069/2</f>
        <v>0</v>
      </c>
      <c r="X1163">
        <f>(0.6*T1163+0.6*V1163)*$R$1069/2</f>
        <v>0</v>
      </c>
      <c r="Z1163">
        <f>IF(S1163=0,0,$AD$1069*$AP$1045)</f>
        <v>0</v>
      </c>
      <c r="AA1163">
        <f>IFERROR(Z1163/$R$1069,0)</f>
        <v>0</v>
      </c>
      <c r="AB1163">
        <f>Z1163*($F$21+IF($F$21=0,0,($C$14+$C$15+IF($C$13="single",1.5,3)+3)/12))</f>
        <v>0</v>
      </c>
      <c r="AC1163">
        <f>AB1163-W1163</f>
        <v>0</v>
      </c>
      <c r="AD1163" cm="1">
        <f t="array" ref="AD1163">IFERROR(IF(AC1163&lt;0,0,AC1163/($R$1069-INDEX(hd_off,MATCH(AQ1163,hd_mark,0),0)/12)),0)</f>
        <v>0</v>
      </c>
      <c r="AE1163">
        <f>IF(S1163=0,0,$AD$1069*$AM$1045)</f>
        <v>0</v>
      </c>
      <c r="AF1163">
        <f>IFERROR(AE1163/$R$1069,0)</f>
        <v>0</v>
      </c>
      <c r="AG1163">
        <f>AE1163*($F$21+IF($F$21=0,0,($C$14+$C$15+IF($C$13="single",1.5,3)+3)/12))</f>
        <v>0</v>
      </c>
      <c r="AH1163">
        <f>AG1163-X1163</f>
        <v>0</v>
      </c>
      <c r="AI1163" cm="1">
        <f t="array" ref="AI1163">IFERROR(IF(AH1163&lt;0,0,AH1163/($R$1069-INDEX(hd_off,MATCH(AQ1163,hd_mark,0),0)/12)),0)</f>
        <v>0</v>
      </c>
      <c r="AJ1163">
        <f>MAX($F$21,$Y$1069)/$Q$1076</f>
        <v>0.30172413793103448</v>
      </c>
      <c r="AK1163">
        <f>IF(AJ1163=0,0,IF(AJ1163&gt;2,1.25-0.125*AJ1163,1))</f>
        <v>1</v>
      </c>
      <c r="AL1163" cm="1">
        <f t="array" ref="AL1163">IFERROR(INDEX(sheath_ecap_asd,MATCH(AP1163,sheath_mark,0),0)*AK1163,0)</f>
        <v>0</v>
      </c>
      <c r="AM1163" cm="1">
        <f t="array" ref="AM1163">IFERROR(INDEX(sheath_wcap_asd,MATCH(AP1163,sheath_mark,0),0)*AK1163,0)</f>
        <v>0</v>
      </c>
      <c r="AN1163" cm="1">
        <f t="array" ref="AN1163">IFERROR(INDEX(hd_cap,MATCH(AQ1163,hd_mark,0),0),0)</f>
        <v>0</v>
      </c>
      <c r="AP1163" s="19"/>
      <c r="AQ1163" s="19"/>
      <c r="AR1163" s="100"/>
      <c r="AS1163" s="93"/>
      <c r="AT1163" s="110" t="str">
        <f>$AT$1069</f>
        <v>1.16</v>
      </c>
      <c r="AU1163" t="str">
        <f>$Q$1045</f>
        <v>L2</v>
      </c>
      <c r="AV1163">
        <f>$E$21</f>
        <v>10.6875</v>
      </c>
      <c r="AW1163" cm="1">
        <f t="array" ref="AW1163">IFERROR(IF(AV1163=0,0,(INDEX($C$33:$C$38,MATCH($AZ$1069,$B$33:$B$38,0),0)*(AV1167+$BA$1069)+$AW$1069*COUNTIF(AV1163:AV1166,"&gt;0")*$C$32+$AY$1069*$C$31)*$AU$1069),0)</f>
        <v>0</v>
      </c>
      <c r="AX1163">
        <f>IF(AV1163=0,0,-(COUNTIF(AV1163:AV1166,"&gt;0")*$AW$1069*$C$32+$AY$1069*$C$31)*$H$27*$AU$1069)</f>
        <v>0</v>
      </c>
      <c r="AY1163">
        <f>IF(AV1163=0,0,$AY$1069*$H$26*$AU$1069)</f>
        <v>0</v>
      </c>
      <c r="AZ1163">
        <f>(0.6*AW1163+0.7*AX1163)*$AU$1069/2</f>
        <v>0</v>
      </c>
      <c r="BA1163">
        <f>(0.6*AW1163+0.6*AY1163)*$AU$1069/2</f>
        <v>0</v>
      </c>
      <c r="BC1163">
        <f>IF(AV1163=0,0,$BG$1069*$AP$1045)</f>
        <v>0</v>
      </c>
      <c r="BD1163">
        <f>IFERROR(BC1163/$AU$1069,0)</f>
        <v>0</v>
      </c>
      <c r="BE1163">
        <f>BC1163*($F$21+IF($F$21=0,0,($C$14+$C$15+IF($C$13="single",1.5,3)+3)/12))</f>
        <v>0</v>
      </c>
      <c r="BF1163">
        <f>BE1163-AZ1163</f>
        <v>0</v>
      </c>
      <c r="BG1163" cm="1">
        <f t="array" ref="BG1163">IFERROR(IF(BF1163&lt;0,0,BF1163/($AU$1069-INDEX(hd_off,MATCH(BT1163,hd_mark,0),0)/12)),0)</f>
        <v>0</v>
      </c>
      <c r="BH1163">
        <f>IF(AV1163=0,0,$BG$1069*$AM$1045)</f>
        <v>0</v>
      </c>
      <c r="BI1163">
        <f>IFERROR(BH1163/$AU$1069,0)</f>
        <v>0</v>
      </c>
      <c r="BJ1163">
        <f>BH1163*($F$21+IF($F$21=0,0,($C$14+$C$15+IF($C$13="single",1.5,3)+3)/12))</f>
        <v>0</v>
      </c>
      <c r="BK1163">
        <f>BJ1163-BA1163</f>
        <v>0</v>
      </c>
      <c r="BL1163" cm="1">
        <f t="array" ref="BL1163">IFERROR(IF(BK1163&lt;0,0,BK1163/($AU$1069-INDEX(hd_off,MATCH(BT1163,hd_mark,0),0)/12)),0)</f>
        <v>0</v>
      </c>
      <c r="BM1163">
        <f>MAX($F$21,$BB$1069)/$Q$1076</f>
        <v>0.30172413793103448</v>
      </c>
      <c r="BN1163">
        <f>IF(BM1163=0,0,IF(BM1163&gt;2,1.25-0.125*BM1163,1))</f>
        <v>1</v>
      </c>
      <c r="BO1163" cm="1">
        <f t="array" ref="BO1163">IFERROR(INDEX(sheath_ecap_asd,MATCH(BS1163,sheath_mark,0),0)*BN1163,0)</f>
        <v>0</v>
      </c>
      <c r="BP1163" cm="1">
        <f t="array" ref="BP1163">IFERROR(INDEX(sheath_wcap_asd,MATCH(BS1163,sheath_mark,0),0)*BN1163,0)</f>
        <v>0</v>
      </c>
      <c r="BQ1163" cm="1">
        <f t="array" ref="BQ1163">IFERROR(INDEX(hd_cap,MATCH(BT1163,hd_mark,0),0),0)</f>
        <v>0</v>
      </c>
      <c r="BS1163" s="19"/>
      <c r="BT1163" s="19"/>
      <c r="BU1163" s="100"/>
    </row>
    <row r="1164" x14ac:dyDescent="0.25">
      <c r="P1164" s="93"/>
      <c r="Q1164" s="109"/>
      <c r="R1164" t="str">
        <f>$Q$1046</f>
        <v>L3</v>
      </c>
      <c r="S1164">
        <f>$E$22</f>
        <v>21.375</v>
      </c>
      <c r="T1164" cm="1">
        <f t="array" ref="T1164">IFERROR(IF(S1164=0,0,(INDEX($C$33:$C$38,MATCH($W$1069,$B$33:$B$38,0),0)*(S1167+$X$1069)+$T$1069*COUNTIF(S1164:S1166,"&gt;0")*$C$32+$V$1069*$C$31)*$R$1069),0)</f>
        <v>0</v>
      </c>
      <c r="U1164">
        <f>IF(S1164=0,0,-(COUNTIF(S1164:S1166,"&gt;0")*$T$1069*$C$32+$V$1069*$C$31)*$H$27*$R$1069)</f>
        <v>0</v>
      </c>
      <c r="V1164">
        <f>IF(S1164=0,0,$V$1069*$H$26*$R$1069)</f>
        <v>0</v>
      </c>
      <c r="W1164">
        <f>(0.6*T1164+0.7*U1164)*$R$1069/2</f>
        <v>0</v>
      </c>
      <c r="X1164">
        <f>T1164*$R$1069/2</f>
        <v>0</v>
      </c>
      <c r="Z1164">
        <f>IF(S1164=0,0,$AD$1069*$AP$1046)</f>
        <v>0</v>
      </c>
      <c r="AA1164">
        <f>IFERROR(Z1164/$R$1069,0)</f>
        <v>0</v>
      </c>
      <c r="AB1164">
        <f>Z1164*($F$22+IF($F$22=0,0,($C$14+$C$15+IF($C$13="single",1.5,3)+3)/12))</f>
        <v>0</v>
      </c>
      <c r="AC1164">
        <f>AB1164-W1164</f>
        <v>0</v>
      </c>
      <c r="AD1164" cm="1">
        <f t="array" ref="AD1164">IFERROR(IF(AC1164&lt;0,0,AC1164/($R$1069-INDEX(hd_off,MATCH(AQ1164,hd_mark,0),0)/12)),0)</f>
        <v>0</v>
      </c>
      <c r="AE1164">
        <f>IF(S1164=0,0,$AD$1069*$AM$1046)</f>
        <v>0</v>
      </c>
      <c r="AF1164">
        <f>IFERROR(AE1164/$R$1069,0)</f>
        <v>0</v>
      </c>
      <c r="AG1164">
        <f>AE1164*($F$22+IF($F$22=0,0,($C$14+$C$15+IF($C$13="single",1.5,3)+3)/12))</f>
        <v>0</v>
      </c>
      <c r="AH1164">
        <f>AG1164-X1164</f>
        <v>0</v>
      </c>
      <c r="AI1164" cm="1">
        <f t="array" ref="AI1164">IFERROR(IF(AH1164&lt;0,0,AH1164/($R$1069-INDEX(hd_off,MATCH(AQ1164,hd_mark,0),0)/12)),0)</f>
        <v>0</v>
      </c>
      <c r="AJ1164">
        <f>MAX($F$22,$Z$1069)/$Q$1076</f>
        <v>0.30172413793103448</v>
      </c>
      <c r="AK1164">
        <f t="shared" ref="AK1164:AK1167" si="709">IF(AJ1164=0,0,IF(AJ1164&gt;2,1.25-0.125*AJ1164,1))</f>
        <v>1</v>
      </c>
      <c r="AL1164" cm="1">
        <f t="array" ref="AL1164">IFERROR(INDEX(sheath_ecap_asd,MATCH(AP1164,sheath_mark,0),0)*AK1164,0)</f>
        <v>0</v>
      </c>
      <c r="AM1164" cm="1">
        <f t="array" ref="AM1164">IFERROR(INDEX(sheath_wcap_asd,MATCH(AP1164,sheath_mark,0),0)*AK1164,0)</f>
        <v>0</v>
      </c>
      <c r="AN1164" cm="1">
        <f t="array" ref="AN1164">IFERROR(INDEX(hd_cap,MATCH(AQ1164,hd_mark,0),0),0)</f>
        <v>0</v>
      </c>
      <c r="AP1164" s="19"/>
      <c r="AQ1164" s="19"/>
      <c r="AR1164" s="100"/>
      <c r="AS1164" s="93"/>
      <c r="AT1164" s="109"/>
      <c r="AU1164" t="str">
        <f>$Q$1046</f>
        <v>L3</v>
      </c>
      <c r="AV1164">
        <f>$E$22</f>
        <v>21.375</v>
      </c>
      <c r="AW1164" cm="1">
        <f t="array" ref="AW1164">IFERROR(IF(AV1164=0,0,(INDEX($C$33:$C$38,MATCH($AZ$1069,$B$33:$B$38,0),0)*(AV1167+$BA$1069)+$AW$1069*COUNTIF(AV1164:AV1166,"&gt;0")*$C$32+$AY$1069*$C$31)*$AU$1069),0)</f>
        <v>0</v>
      </c>
      <c r="AX1164">
        <f>IF(AV1164=0,0,-(COUNTIF(AV1164:AV1166,"&gt;0")*$AW$1069*$C$32+$AY$1069*$C$31)*$H$27*$AU$1069)</f>
        <v>0</v>
      </c>
      <c r="AY1164">
        <f>IF(AV1164=0,0,$AY$1069*$H$26*$AU$1069)</f>
        <v>0</v>
      </c>
      <c r="AZ1164">
        <f>(0.6*AW1164+0.7*AX1164)*$AU$1069/2</f>
        <v>0</v>
      </c>
      <c r="BA1164">
        <f>AW1164*$AU$1069/2</f>
        <v>0</v>
      </c>
      <c r="BC1164">
        <f>IF(AV1164=0,0,$BG$1069*$AP$1046)</f>
        <v>0</v>
      </c>
      <c r="BD1164">
        <f>IFERROR(BC1164/$AU$1069,0)</f>
        <v>0</v>
      </c>
      <c r="BE1164">
        <f>BC1164*($F$22+IF($F$22=0,0,($C$14+$C$15+IF($C$13="single",1.5,3)+3)/12))</f>
        <v>0</v>
      </c>
      <c r="BF1164">
        <f>BE1164-AZ1164</f>
        <v>0</v>
      </c>
      <c r="BG1164" cm="1">
        <f t="array" ref="BG1164">IFERROR(IF(BF1164&lt;0,0,BF1164/($AU$1069-INDEX(hd_off,MATCH(BT1164,hd_mark,0),0)/12)),0)</f>
        <v>0</v>
      </c>
      <c r="BH1164">
        <f>IF(AV1164=0,0,$BG$1069*$AM$1046)</f>
        <v>0</v>
      </c>
      <c r="BI1164">
        <f>IFERROR(BH1164/$AU$1069,0)</f>
        <v>0</v>
      </c>
      <c r="BJ1164">
        <f>BH1164*($F$22+IF($F$22=0,0,($C$14+$C$15+IF($C$13="single",1.5,3)+3)/12))</f>
        <v>0</v>
      </c>
      <c r="BK1164">
        <f>BJ1164-BA1164</f>
        <v>0</v>
      </c>
      <c r="BL1164" cm="1">
        <f t="array" ref="BL1164">IFERROR(IF(BK1164&lt;0,0,BK1164/($AU$1069-INDEX(hd_off,MATCH(BT1164,hd_mark,0),0)/12)),0)</f>
        <v>0</v>
      </c>
      <c r="BM1164">
        <f>MAX($F$22,$BC$1069)/$Q$1076</f>
        <v>0.30172413793103448</v>
      </c>
      <c r="BN1164">
        <f t="shared" ref="BN1164:BN1166" si="710">IF(BM1164=0,0,IF(BM1164&gt;2,1.25-0.125*BM1164,1))</f>
        <v>1</v>
      </c>
      <c r="BO1164" cm="1">
        <f t="array" ref="BO1164">IFERROR(INDEX(sheath_ecap_asd,MATCH(BS1164,sheath_mark,0),0)*BN1164,0)</f>
        <v>0</v>
      </c>
      <c r="BP1164" cm="1">
        <f t="array" ref="BP1164">IFERROR(INDEX(sheath_wcap_asd,MATCH(BS1164,sheath_mark,0),0)*BN1164,0)</f>
        <v>0</v>
      </c>
      <c r="BQ1164" cm="1">
        <f t="array" ref="BQ1164">IFERROR(INDEX(hd_cap,MATCH(BT1164,hd_mark,0),0),0)</f>
        <v>0</v>
      </c>
      <c r="BS1164" s="19"/>
      <c r="BT1164" s="19"/>
      <c r="BU1164" s="100"/>
    </row>
    <row r="1165" x14ac:dyDescent="0.25">
      <c r="P1165" s="93"/>
      <c r="Q1165" s="109" t="s">
        <v>491</v>
      </c>
      <c r="R1165" t="str">
        <f>$Q$1047</f>
        <v>L4</v>
      </c>
      <c r="S1165">
        <f>$E$23</f>
        <v>0</v>
      </c>
      <c r="T1165" cm="1">
        <f t="array" ref="T1165">IFERROR(IF(S1165=0,0,(INDEX($C$33:$C$38,MATCH($W$1069,$B$33:$B$38,0),0)*(S1167+$X$1069)+$T$1069*COUNTIF(S1165:S1166,"&gt;0")*$C$32+$V$1069*$C$31)*$R$1069),0)</f>
        <v>0</v>
      </c>
      <c r="U1165">
        <f>IF(S1165=0,0,-(COUNTIF(S1165:S1166,"&gt;0")*$T$1069*$C$32+$V$1069*$C$31)*$H$27*$R$1069)</f>
        <v>0</v>
      </c>
      <c r="V1165">
        <f>IF(S1165=0,0,$V$1069*$H$26*$R$1069)</f>
        <v>0</v>
      </c>
      <c r="W1165">
        <f>(0.6*T1165+0.7*U1165)*$R$1069/2</f>
        <v>0</v>
      </c>
      <c r="X1165">
        <f>T1165*$R$1069/2</f>
        <v>0</v>
      </c>
      <c r="Z1165">
        <f>IF(S1165=0,0,$AD$1069*$AP$1047)</f>
        <v>0</v>
      </c>
      <c r="AA1165">
        <f>IFERROR(Z1165/$R$1069,0)</f>
        <v>0</v>
      </c>
      <c r="AB1165">
        <f>Z1165*($F$23+IF($F$23=0,0,($C$14+$C$15+IF($C$13="single",1.5,3)+3)/12))</f>
        <v>0</v>
      </c>
      <c r="AC1165">
        <f>AB1165-W1165</f>
        <v>0</v>
      </c>
      <c r="AD1165" cm="1">
        <f t="array" ref="AD1165">IFERROR(IF(AC1165&lt;0,0,AC1165/($R$1069-INDEX(hd_off,MATCH(AQ1165,hd_mark,0),0)/12)),0)</f>
        <v>0</v>
      </c>
      <c r="AE1165">
        <f>IF(S1165=0,0,$AD$1069*$AM$1047)</f>
        <v>0</v>
      </c>
      <c r="AF1165">
        <f>IFERROR(AE1165/$R$1069,0)</f>
        <v>0</v>
      </c>
      <c r="AG1165">
        <f>AE1165*($F$23+IF($F$23=0,0,($C$14+$C$15+IF($C$13="single",1.5,3)+3)/12))</f>
        <v>0</v>
      </c>
      <c r="AH1165">
        <f>AG1165-X1165</f>
        <v>0</v>
      </c>
      <c r="AI1165" cm="1">
        <f t="array" ref="AI1165">IFERROR(IF(AH1165&lt;0,0,AH1165/($R$1069-INDEX(hd_off,MATCH(AQ1165,hd_mark,0),0)/12)),0)</f>
        <v>0</v>
      </c>
      <c r="AJ1165">
        <f>MAX($F$23,$AA$1069)/$Q$1076</f>
        <v>0</v>
      </c>
      <c r="AK1165">
        <f t="shared" si="709"/>
        <v>0</v>
      </c>
      <c r="AL1165" cm="1">
        <f t="array" ref="AL1165">IFERROR(INDEX(sheath_ecap_asd,MATCH(AP1165,sheath_mark,0),0)*AK1165,0)</f>
        <v>0</v>
      </c>
      <c r="AM1165" cm="1">
        <f t="array" ref="AM1165">IFERROR(INDEX(sheath_wcap_asd,MATCH(AP1165,sheath_mark,0),0)*AK1165,0)</f>
        <v>0</v>
      </c>
      <c r="AN1165" cm="1">
        <f t="array" ref="AN1165">IFERROR(INDEX(hd_cap,MATCH(AQ1165,hd_mark,0),0),0)</f>
        <v>0</v>
      </c>
      <c r="AP1165" s="19"/>
      <c r="AQ1165" s="19"/>
      <c r="AR1165" s="100"/>
      <c r="AS1165" s="93"/>
      <c r="AT1165" s="109" t="s">
        <v>491</v>
      </c>
      <c r="AU1165" t="str">
        <f>$Q$1047</f>
        <v>L4</v>
      </c>
      <c r="AV1165">
        <f>$E$23</f>
        <v>0</v>
      </c>
      <c r="AW1165" cm="1">
        <f t="array" ref="AW1165">IFERROR(IF(AV1165=0,0,(INDEX($C$33:$C$38,MATCH($AZ$1069,$B$33:$B$38,0),0)*(AV1167+$BA$1069)+$AW$1069*COUNTIF(AV1165:AV1166,"&gt;0")*$C$32+$AY$1069*$C$31)*$AU$1069),0)</f>
        <v>0</v>
      </c>
      <c r="AX1165">
        <f>IF(AV1165=0,0,-(COUNTIF(AV1165:AV1166,"&gt;0")*$AW$1069*$C$32+$AY$1069*$C$31)*$H$27*$AU$1069)</f>
        <v>0</v>
      </c>
      <c r="AY1165">
        <f>IF(AV1165=0,0,$AY$1069*$H$26*$AU$1069)</f>
        <v>0</v>
      </c>
      <c r="AZ1165">
        <f>(0.6*AW1165+0.7*AX1165)*$AU$1069/2</f>
        <v>0</v>
      </c>
      <c r="BA1165">
        <f>AW1165*$AU$1069/2</f>
        <v>0</v>
      </c>
      <c r="BC1165">
        <f>IF(AV1165=0,0,$BG$1069*$AP$1047)</f>
        <v>0</v>
      </c>
      <c r="BD1165">
        <f>IFERROR(BC1165/$AU$1069,0)</f>
        <v>0</v>
      </c>
      <c r="BE1165">
        <f>BC1165*($F$23+IF($F$23=0,0,($C$14+$C$15+IF($C$13="single",1.5,3)+3)/12))</f>
        <v>0</v>
      </c>
      <c r="BF1165">
        <f>BE1165-AZ1165</f>
        <v>0</v>
      </c>
      <c r="BG1165" cm="1">
        <f t="array" ref="BG1165">IFERROR(IF(BF1165&lt;0,0,BF1165/($AU$1069-INDEX(hd_off,MATCH(BT1165,hd_mark,0),0)/12)),0)</f>
        <v>0</v>
      </c>
      <c r="BH1165">
        <f>IF(AV1165=0,0,$BG$1069*$AM$1047)</f>
        <v>0</v>
      </c>
      <c r="BI1165">
        <f>IFERROR(BH1165/$AU$1069,0)</f>
        <v>0</v>
      </c>
      <c r="BJ1165">
        <f>BH1165*($F$23+IF($F$23=0,0,($C$14+$C$15+IF($C$13="single",1.5,3)+3)/12))</f>
        <v>0</v>
      </c>
      <c r="BK1165">
        <f>BJ1165-BA1165</f>
        <v>0</v>
      </c>
      <c r="BL1165" cm="1">
        <f t="array" ref="BL1165">IFERROR(IF(BK1165&lt;0,0,BK1165/($AU$1069-INDEX(hd_off,MATCH(BT1165,hd_mark,0),0)/12)),0)</f>
        <v>0</v>
      </c>
      <c r="BM1165">
        <f>MAX($F$23,$BD$1069)/$Q$1076</f>
        <v>0</v>
      </c>
      <c r="BN1165">
        <f t="shared" si="710"/>
        <v>0</v>
      </c>
      <c r="BO1165" cm="1">
        <f t="array" ref="BO1165">IFERROR(INDEX(sheath_ecap_asd,MATCH(BS1165,sheath_mark,0),0)*BN1165,0)</f>
        <v>0</v>
      </c>
      <c r="BP1165" cm="1">
        <f t="array" ref="BP1165">IFERROR(INDEX(sheath_wcap_asd,MATCH(BS1165,sheath_mark,0),0)*BN1165,0)</f>
        <v>0</v>
      </c>
      <c r="BQ1165" cm="1">
        <f t="array" ref="BQ1165">IFERROR(INDEX(hd_cap,MATCH(BT1165,hd_mark,0),0),0)</f>
        <v>0</v>
      </c>
      <c r="BS1165" s="19"/>
      <c r="BT1165" s="19"/>
      <c r="BU1165" s="100"/>
    </row>
    <row r="1166" x14ac:dyDescent="0.25">
      <c r="P1166" s="93"/>
      <c r="Q1166" s="111">
        <f>$R$1069</f>
        <v>0</v>
      </c>
      <c r="R1166" t="str">
        <f>$Q$1048</f>
        <v>L5</v>
      </c>
      <c r="S1166">
        <f>$E$24</f>
        <v>0</v>
      </c>
      <c r="T1166" cm="1">
        <f t="array" ref="T1166">IFERROR(IF(S1166=0,0,(INDEX($C$33:$C$38,MATCH($W$1069,$B$33:$B$38,0),0)*(S1167+$X$1069)+$T$1069*COUNTIF(S1166:S1166,"&gt;0")*$C$32+$V$1069*$C$31)*$R$1069),0)</f>
        <v>0</v>
      </c>
      <c r="U1166">
        <f>IF(S1166=0,0,-(COUNTIF(S1166:S1166,"&gt;0")*$T$1069*$C$32+$V$1069*$C$31)*$H$27*$R$1069)</f>
        <v>0</v>
      </c>
      <c r="V1166">
        <f>IF(S1166=0,0,$V$1069*$H$26*$R$1069)</f>
        <v>0</v>
      </c>
      <c r="W1166">
        <f>(0.6*T1166+0.7*U1166)*$R$1069/2</f>
        <v>0</v>
      </c>
      <c r="X1166">
        <f>T1166*$R$1069/2</f>
        <v>0</v>
      </c>
      <c r="Z1166">
        <f>IF(S1166=0,0,$AD$1069*$AP$1048)</f>
        <v>0</v>
      </c>
      <c r="AA1166">
        <f>IFERROR(Z1166/$R$1069,0)</f>
        <v>0</v>
      </c>
      <c r="AB1166">
        <f>Z1166*($F$24+IF($F$24=0,0,($C$14+$C$15+IF($C$13="single",1.5,3)+3)/12))</f>
        <v>0</v>
      </c>
      <c r="AC1166">
        <f>AB1166-W1166</f>
        <v>0</v>
      </c>
      <c r="AD1166" cm="1">
        <f t="array" ref="AD1166">IFERROR(IF(AC1166&lt;0,0,AC1166/($R$1069-INDEX(hd_off,MATCH(AQ1166,hd_mark,0),0)/12)),0)</f>
        <v>0</v>
      </c>
      <c r="AE1166">
        <f>IF(S1166=0,0,$AD$1069*$AM$1048)</f>
        <v>0</v>
      </c>
      <c r="AF1166">
        <f>IFERROR(AE1166/$R$1069,0)</f>
        <v>0</v>
      </c>
      <c r="AG1166">
        <f>AE1166*($F$24+IF($F$24=0,0,($C$14+$C$15+IF($C$13="single",1.5,3)+3)/12))</f>
        <v>0</v>
      </c>
      <c r="AH1166">
        <f>AG1166-X1166</f>
        <v>0</v>
      </c>
      <c r="AI1166" cm="1">
        <f t="array" ref="AI1166">IFERROR(IF(AH1166&lt;0,0,AH1166/($R$1069-INDEX(hd_off,MATCH(AQ1166,hd_mark,0),0)/12)),0)</f>
        <v>0</v>
      </c>
      <c r="AJ1166">
        <f>MAX($F$24,$AB$1069)/$Q$1076</f>
        <v>0</v>
      </c>
      <c r="AK1166">
        <f t="shared" si="709"/>
        <v>0</v>
      </c>
      <c r="AL1166" cm="1">
        <f t="array" ref="AL1166">IFERROR(INDEX(sheath_ecap_asd,MATCH(AP1166,sheath_mark,0),0)*AK1166,0)</f>
        <v>0</v>
      </c>
      <c r="AM1166" cm="1">
        <f t="array" ref="AM1166">IFERROR(INDEX(sheath_wcap_asd,MATCH(AP1166,sheath_mark,0),0)*AK1166,0)</f>
        <v>0</v>
      </c>
      <c r="AN1166" cm="1">
        <f t="array" ref="AN1166">IFERROR(INDEX(hd_cap,MATCH(AQ1166,hd_mark,0),0),0)</f>
        <v>0</v>
      </c>
      <c r="AP1166" s="19"/>
      <c r="AQ1166" s="19"/>
      <c r="AR1166" s="100"/>
      <c r="AS1166" s="93"/>
      <c r="AT1166" s="111">
        <f>$R$1069</f>
        <v>0</v>
      </c>
      <c r="AU1166" t="str">
        <f>$Q$1048</f>
        <v>L5</v>
      </c>
      <c r="AV1166">
        <f>$E$24</f>
        <v>0</v>
      </c>
      <c r="AW1166" cm="1">
        <f t="array" ref="AW1166">IFERROR(IF(AV1166=0,0,(INDEX($C$33:$C$38,MATCH($AZ$1069,$B$33:$B$38,0),0)*(AV1167+$BA$1069)+$AW$1069*COUNTIF(AV1166:AV1166,"&gt;0")*$C$32+$AY$1069*$C$31)*$AU$1069),0)</f>
        <v>0</v>
      </c>
      <c r="AX1166">
        <f>IF(AV1166=0,0,-(COUNTIF(AV1166:AV1166,"&gt;0")*$AW$1069*$C$32+$AY$1069*$C$31)*$H$27*$AU$1069)</f>
        <v>0</v>
      </c>
      <c r="AY1166">
        <f>IF(AV1166=0,0,$AY$1069*$H$26*$AU$1069)</f>
        <v>0</v>
      </c>
      <c r="AZ1166">
        <f>(0.6*AW1166+0.7*AX1166)*$AU$1069/2</f>
        <v>0</v>
      </c>
      <c r="BA1166">
        <f>AW1166*$AU$1069/2</f>
        <v>0</v>
      </c>
      <c r="BC1166">
        <f>IF(AV1166=0,0,$BG$1069*$AP$1048)</f>
        <v>0</v>
      </c>
      <c r="BD1166">
        <f>IFERROR(BC1166/$AU$1069,0)</f>
        <v>0</v>
      </c>
      <c r="BE1166">
        <f>BC1166*($F$24+IF($F$24=0,0,($C$14+$C$15+IF($C$13="single",1.5,3)+3)/12))</f>
        <v>0</v>
      </c>
      <c r="BF1166">
        <f>BE1166-AZ1166</f>
        <v>0</v>
      </c>
      <c r="BG1166" cm="1">
        <f t="array" ref="BG1166">IFERROR(IF(BF1166&lt;0,0,BF1166/($AU$1069-INDEX(hd_off,MATCH(BT1166,hd_mark,0),0)/12)),0)</f>
        <v>0</v>
      </c>
      <c r="BH1166">
        <f>IF(AV1166=0,0,$BG$1069*$AM$1048)</f>
        <v>0</v>
      </c>
      <c r="BI1166">
        <f>IFERROR(BH1166/$AU$1069,0)</f>
        <v>0</v>
      </c>
      <c r="BJ1166">
        <f>BH1166*($F$24+IF($F$24=0,0,($C$14+$C$15+IF($C$13="single",1.5,3)+3)/12))</f>
        <v>0</v>
      </c>
      <c r="BK1166">
        <f>BJ1166-BA1166</f>
        <v>0</v>
      </c>
      <c r="BL1166" cm="1">
        <f t="array" ref="BL1166">IFERROR(IF(BK1166&lt;0,0,BK1166/($AU$1069-INDEX(hd_off,MATCH(BT1166,hd_mark,0),0)/12)),0)</f>
        <v>0</v>
      </c>
      <c r="BM1166">
        <f>MAX($F$24,$BE$1069)/$Q$1076</f>
        <v>0</v>
      </c>
      <c r="BN1166">
        <f t="shared" si="710"/>
        <v>0</v>
      </c>
      <c r="BO1166" cm="1">
        <f t="array" ref="BO1166">IFERROR(INDEX(sheath_ecap_asd,MATCH(BS1166,sheath_mark,0),0)*BN1166,0)</f>
        <v>0</v>
      </c>
      <c r="BP1166" cm="1">
        <f t="array" ref="BP1166">IFERROR(INDEX(sheath_wcap_asd,MATCH(BS1166,sheath_mark,0),0)*BN1166,0)</f>
        <v>0</v>
      </c>
      <c r="BQ1166" cm="1">
        <f t="array" ref="BQ1166">IFERROR(INDEX(hd_cap,MATCH(BT1166,hd_mark,0),0),0)</f>
        <v>0</v>
      </c>
      <c r="BS1166" s="19"/>
      <c r="BT1166" s="19"/>
      <c r="BU1166" s="100"/>
    </row>
    <row r="1167" x14ac:dyDescent="0.25">
      <c r="P1167" s="93"/>
      <c r="Q1167" s="109"/>
      <c r="R1167" t="str">
        <f>$Q$1049</f>
        <v>Roof</v>
      </c>
      <c r="S1167">
        <f>$E$25</f>
        <v>33.171875</v>
      </c>
      <c r="T1167" cm="1">
        <f t="array" ref="T1167">IFERROR(IF(S1167=0,0,(INDEX($C$33:$C$38,MATCH($W$1069,$B$33:$B$38,0),0)*(S1167+$X$1069)+$V$1069*$C$31)*$R$1069),0)</f>
        <v>0</v>
      </c>
      <c r="U1167">
        <f>IF(S1167=0,0,-$V$1069*$C$31*$H$27*$R$1069)</f>
        <v>0</v>
      </c>
      <c r="V1167">
        <f>IF(S1167=0,0,$V$1069*$H$26*$R$1069)</f>
        <v>0</v>
      </c>
      <c r="W1167">
        <f>(0.6*T1167+0.7*U1167)*$R$1069/2</f>
        <v>0</v>
      </c>
      <c r="X1167">
        <f>T1167*$R$1069/2</f>
        <v>0</v>
      </c>
      <c r="Z1167">
        <f>IF(S1167=0,0,$AD$1069*$AP$1049)</f>
        <v>0</v>
      </c>
      <c r="AA1167">
        <f>IFERROR(Z1167/$R$1069,0)</f>
        <v>0</v>
      </c>
      <c r="AB1167">
        <f>Z1167*($F$25+($C$16+$C$17+IF($C$13="single",1.5,3)+3)/12)</f>
        <v>0</v>
      </c>
      <c r="AC1167">
        <f>AB1167-W1167</f>
        <v>0</v>
      </c>
      <c r="AD1167" cm="1">
        <f t="array" ref="AD1167">IFERROR(IF(AC1167&lt;0,0,AC1167/($R$1069-INDEX(hd_off,MATCH(AQ1167,hd_mark,0),0)/12)),0)</f>
        <v>0</v>
      </c>
      <c r="AE1167">
        <f>IF(S1167=0,0,$AD$1069*$AM$1049)</f>
        <v>0</v>
      </c>
      <c r="AF1167">
        <f>IFERROR(AE1167/$R$1069,0)</f>
        <v>0</v>
      </c>
      <c r="AG1167">
        <f>AE1167*($F$25+($C$16+$C$17+IF($C$13="single",1.5,3)+3)/12)</f>
        <v>0</v>
      </c>
      <c r="AH1167">
        <f>AG1167-X1167</f>
        <v>0</v>
      </c>
      <c r="AI1167" cm="1">
        <f t="array" ref="AI1167">IFERROR(IF(AH1167&lt;0,0,AH1167/($R$1069-INDEX(hd_off,MATCH(AQ1167,hd_mark,0),0)/12)),0)</f>
        <v>0</v>
      </c>
      <c r="AJ1167">
        <f>MAX($F$25,$AC$1069)/$Q$1076</f>
        <v>0.29920977011494249</v>
      </c>
      <c r="AK1167">
        <f t="shared" si="709"/>
        <v>1</v>
      </c>
      <c r="AL1167" cm="1">
        <f t="array" ref="AL1167">IFERROR(INDEX(sheath_ecap_asd,MATCH(AP1167,sheath_mark,0),0)*AK1167,0)</f>
        <v>0</v>
      </c>
      <c r="AM1167" cm="1">
        <f t="array" ref="AM1167">IFERROR(INDEX(sheath_wcap_asd,MATCH(AP1167,sheath_mark,0),0)*AK1167,0)</f>
        <v>0</v>
      </c>
      <c r="AN1167" cm="1">
        <f t="array" ref="AN1167">IFERROR(INDEX(hd_cap,MATCH(AQ1167,hd_mark,0),0),0)</f>
        <v>0</v>
      </c>
      <c r="AP1167" s="19"/>
      <c r="AQ1167" s="19"/>
      <c r="AR1167" s="100"/>
      <c r="AS1167" s="93"/>
      <c r="BU1167" s="100"/>
    </row>
    <row r="1168" x14ac:dyDescent="0.25">
      <c r="B1168" s="1" t="s">
        <v>569</v>
      </c>
      <c r="C1168">
        <f>E16+H16*12</f>
        <v>32.4375</v>
      </c>
      <c r="E1168" s="19">
        <v>24</v>
      </c>
      <c r="F1168" s="19">
        <f>32+5.625/12</f>
        <v>32.46875</v>
      </c>
      <c r="G1168" s="19">
        <f>33+10.5/12</f>
        <v>33.875</v>
      </c>
      <c r="H1168">
        <f>(G16-F16)/2</f>
        <v>0.703125</v>
      </c>
      <c r="P1168" s="93"/>
      <c r="Q1168" t="s">
        <v>524</v>
      </c>
      <c r="R1168" s="2" t="str">
        <f>$B$51</f>
        <v>A</v>
      </c>
      <c r="AR1168" s="100"/>
      <c r="AS1168" s="93"/>
      <c r="AT1168" t="s">
        <v>524</v>
      </c>
      <c r="AU1168" s="2">
        <f>H51</f>
        <v>1</v>
      </c>
      <c r="BU1168" s="100"/>
    </row>
    <row r="1169" x14ac:dyDescent="0.25">
      <c r="B1169" s="1" t="s">
        <v>500</v>
      </c>
      <c r="C1169" s="19">
        <v>0.5</v>
      </c>
      <c r="P1169" s="93"/>
      <c r="AR1169" s="100"/>
      <c r="AS1169" s="93"/>
      <c r="BU1169" s="100"/>
    </row>
    <row r="1170" x14ac:dyDescent="0.25">
      <c r="P1170" s="93"/>
      <c r="R1170" t="s">
        <v>482</v>
      </c>
      <c r="Z1170" t="s">
        <v>483</v>
      </c>
      <c r="AH1170" t="s">
        <v>502</v>
      </c>
      <c r="AJ1170" t="s">
        <v>454</v>
      </c>
      <c r="AR1170" s="100"/>
      <c r="AS1170" s="93"/>
      <c r="AU1170" t="s">
        <v>482</v>
      </c>
      <c r="BC1170" t="s">
        <v>483</v>
      </c>
      <c r="BK1170" t="s">
        <v>502</v>
      </c>
      <c r="BM1170" t="s">
        <v>454</v>
      </c>
      <c r="BU1170" s="100"/>
    </row>
    <row r="1171" x14ac:dyDescent="0.25">
      <c r="B1171" t="s">
        <v>448</v>
      </c>
      <c r="C1171" t="s">
        <v>272</v>
      </c>
      <c r="D1171" t="s">
        <v>193</v>
      </c>
      <c r="E1171" s="70" t="s">
        <v>454</v>
      </c>
      <c r="F1171" s="71" t="s">
        <v>501</v>
      </c>
      <c r="H1171" t="s">
        <v>475</v>
      </c>
      <c r="J1171" t="s">
        <v>476</v>
      </c>
      <c r="P1171" s="93"/>
      <c r="R1171" t="s">
        <v>480</v>
      </c>
      <c r="S1171" t="s">
        <v>481</v>
      </c>
      <c r="T1171" t="s">
        <v>486</v>
      </c>
      <c r="U1171" t="s">
        <v>487</v>
      </c>
      <c r="V1171" t="s">
        <v>484</v>
      </c>
      <c r="W1171" t="s">
        <v>485</v>
      </c>
      <c r="X1171" t="s">
        <v>488</v>
      </c>
      <c r="Y1171" t="s">
        <v>489</v>
      </c>
      <c r="Z1171" t="s">
        <v>480</v>
      </c>
      <c r="AA1171" t="s">
        <v>481</v>
      </c>
      <c r="AB1171" t="s">
        <v>486</v>
      </c>
      <c r="AC1171" t="s">
        <v>487</v>
      </c>
      <c r="AD1171" t="s">
        <v>484</v>
      </c>
      <c r="AE1171" t="s">
        <v>485</v>
      </c>
      <c r="AF1171" t="s">
        <v>488</v>
      </c>
      <c r="AG1171" t="s">
        <v>489</v>
      </c>
      <c r="AH1171" t="s">
        <v>312</v>
      </c>
      <c r="AI1171" t="s">
        <v>258</v>
      </c>
      <c r="AJ1171" t="s">
        <v>486</v>
      </c>
      <c r="AK1171" t="s">
        <v>490</v>
      </c>
      <c r="AL1171" t="s">
        <v>487</v>
      </c>
      <c r="AM1171" t="s">
        <v>490</v>
      </c>
      <c r="AN1171" t="s">
        <v>488</v>
      </c>
      <c r="AO1171" t="s">
        <v>490</v>
      </c>
      <c r="AP1171" t="s">
        <v>489</v>
      </c>
      <c r="AQ1171" t="s">
        <v>490</v>
      </c>
      <c r="AR1171" s="100"/>
      <c r="AS1171" s="93"/>
      <c r="AU1171" t="s">
        <v>480</v>
      </c>
      <c r="AV1171" t="s">
        <v>481</v>
      </c>
      <c r="AW1171" t="s">
        <v>486</v>
      </c>
      <c r="AX1171" t="s">
        <v>487</v>
      </c>
      <c r="AY1171" t="s">
        <v>484</v>
      </c>
      <c r="AZ1171" t="s">
        <v>485</v>
      </c>
      <c r="BA1171" t="s">
        <v>488</v>
      </c>
      <c r="BB1171" t="s">
        <v>489</v>
      </c>
      <c r="BC1171" t="s">
        <v>480</v>
      </c>
      <c r="BD1171" t="s">
        <v>481</v>
      </c>
      <c r="BE1171" t="s">
        <v>486</v>
      </c>
      <c r="BF1171" t="s">
        <v>487</v>
      </c>
      <c r="BG1171" t="s">
        <v>484</v>
      </c>
      <c r="BH1171" t="s">
        <v>485</v>
      </c>
      <c r="BI1171" t="s">
        <v>488</v>
      </c>
      <c r="BJ1171" t="s">
        <v>489</v>
      </c>
      <c r="BK1171" t="s">
        <v>312</v>
      </c>
      <c r="BL1171" t="s">
        <v>258</v>
      </c>
      <c r="BM1171" t="s">
        <v>486</v>
      </c>
      <c r="BN1171" t="s">
        <v>490</v>
      </c>
      <c r="BO1171" t="s">
        <v>487</v>
      </c>
      <c r="BP1171" t="s">
        <v>490</v>
      </c>
      <c r="BQ1171" t="s">
        <v>488</v>
      </c>
      <c r="BR1171" t="s">
        <v>490</v>
      </c>
      <c r="BS1171" t="s">
        <v>489</v>
      </c>
      <c r="BT1171" t="s">
        <v>490</v>
      </c>
      <c r="BU1171" s="100"/>
    </row>
    <row r="1172" x14ac:dyDescent="0.25">
      <c r="B1172" t="s">
        <v>449</v>
      </c>
      <c r="C1172" s="19">
        <v>0</v>
      </c>
      <c r="D1172" s="19">
        <v>0</v>
      </c>
      <c r="E1172" s="66">
        <f>C20+D20/12</f>
        <v>0</v>
      </c>
      <c r="F1172" s="67">
        <v>0</v>
      </c>
      <c r="H1172" s="19">
        <v>0</v>
      </c>
      <c r="I1172" s="64" t="s">
        <v>196</v>
      </c>
      <c r="J1172" s="19">
        <v>0</v>
      </c>
      <c r="K1172" s="19">
        <v>0</v>
      </c>
      <c r="L1172" s="19">
        <v>0</v>
      </c>
      <c r="M1172" s="19">
        <v>0</v>
      </c>
      <c r="P1172" s="93"/>
      <c r="Q1172" t="s">
        <v>449</v>
      </c>
      <c r="R1172" s="19">
        <f>$H$20</f>
        <v>0</v>
      </c>
      <c r="S1172">
        <f>R1172*0.6</f>
        <v>0</v>
      </c>
      <c r="T1172">
        <f>$C$51/2*R1172</f>
        <v>0</v>
      </c>
      <c r="U1172">
        <f>T1172*0.6</f>
        <v>0</v>
      </c>
      <c r="V1172" s="19">
        <v>0</v>
      </c>
      <c r="W1172">
        <f>V1172*0.7</f>
        <v>0</v>
      </c>
      <c r="X1172">
        <f>$C$51/2*V1172</f>
        <v>0</v>
      </c>
      <c r="Y1172">
        <f>X1172*0.7</f>
        <v>0</v>
      </c>
      <c r="Z1172" s="19">
        <f>$H$20</f>
        <v>0</v>
      </c>
      <c r="AA1172">
        <f>Z1172*0.6</f>
        <v>0</v>
      </c>
      <c r="AB1172">
        <f>$D$51/2*Z1172</f>
        <v>0</v>
      </c>
      <c r="AC1172">
        <f t="shared" ref="AC1172:AC1178" si="711">0.6*AB1172</f>
        <v>0</v>
      </c>
      <c r="AD1172" s="19">
        <v>0</v>
      </c>
      <c r="AE1172">
        <f>AD1172*0.7</f>
        <v>0</v>
      </c>
      <c r="AF1172">
        <f>$D$51/2*AD1172</f>
        <v>0</v>
      </c>
      <c r="AG1172">
        <f>AF1172*0.7</f>
        <v>0</v>
      </c>
      <c r="AH1172" s="19">
        <v>0</v>
      </c>
      <c r="AI1172" s="19">
        <v>0</v>
      </c>
      <c r="AJ1172" s="17">
        <f>T1172+AB1172+AH1172</f>
        <v>0</v>
      </c>
      <c r="AK1172" s="17">
        <f>AK1173+AJ1172</f>
        <v>13166</v>
      </c>
      <c r="AL1172" s="17">
        <f>AJ1172*0.6</f>
        <v>0</v>
      </c>
      <c r="AM1172" s="17">
        <f>AM1173+AL1172</f>
        <v>7899.5999999999995</v>
      </c>
      <c r="AN1172" s="17">
        <f>X1172+AF1172+AI1172</f>
        <v>0</v>
      </c>
      <c r="AO1172" s="17">
        <f t="shared" ref="AO1172:AQ1175" si="712">AN1172+AO1173</f>
        <v>1302.0999999999999</v>
      </c>
      <c r="AP1172" s="17">
        <f>AN1172*0.7</f>
        <v>0</v>
      </c>
      <c r="AQ1172" s="17">
        <f>AP1172+AQ1173</f>
        <v>911.46999999999991</v>
      </c>
      <c r="AR1172" s="100"/>
      <c r="AS1172" s="93"/>
      <c r="AT1172" t="s">
        <v>449</v>
      </c>
      <c r="AU1172" s="19">
        <f>$H$20</f>
        <v>0</v>
      </c>
      <c r="AV1172">
        <f>AU1172*0.6</f>
        <v>0</v>
      </c>
      <c r="AW1172">
        <f t="shared" ref="AW1172:AW1178" si="713">$I$51/2*AU1172</f>
        <v>0</v>
      </c>
      <c r="AX1172">
        <f>AW1172*0.6</f>
        <v>0</v>
      </c>
      <c r="AY1172" s="19">
        <v>0</v>
      </c>
      <c r="AZ1172">
        <f>AY1172*0.7</f>
        <v>0</v>
      </c>
      <c r="BA1172">
        <f t="shared" ref="BA1172:BA1177" si="714">$I$51/2*AY1172</f>
        <v>0</v>
      </c>
      <c r="BB1172">
        <f>BA1172*0.7</f>
        <v>0</v>
      </c>
      <c r="BC1172" s="19">
        <f>$H$20</f>
        <v>0</v>
      </c>
      <c r="BD1172">
        <f>BC1172*0.6</f>
        <v>0</v>
      </c>
      <c r="BE1172">
        <f t="shared" ref="BE1172:BE1178" si="715">$J$51/2*BC1172</f>
        <v>0</v>
      </c>
      <c r="BF1172">
        <f t="shared" ref="BF1172:BF1178" si="716">0.6*BE1172</f>
        <v>0</v>
      </c>
      <c r="BG1172" s="19">
        <v>0</v>
      </c>
      <c r="BH1172">
        <f>BG1172*0.7</f>
        <v>0</v>
      </c>
      <c r="BI1172">
        <f t="shared" ref="BI1172:BI1177" si="717">$J$51/2*BG1172</f>
        <v>0</v>
      </c>
      <c r="BJ1172">
        <f>BI1172*0.7</f>
        <v>0</v>
      </c>
      <c r="BK1172" s="19">
        <v>0</v>
      </c>
      <c r="BL1172" s="19">
        <v>0</v>
      </c>
      <c r="BM1172" s="17">
        <f>AW1172+BE1172+BK1172</f>
        <v>0</v>
      </c>
      <c r="BN1172" s="17">
        <f>BN1173+BM1172</f>
        <v>12258</v>
      </c>
      <c r="BO1172" s="17">
        <f>BM1172*0.6</f>
        <v>0</v>
      </c>
      <c r="BP1172" s="17">
        <f>BP1173+BO1172</f>
        <v>7354.7999999999993</v>
      </c>
      <c r="BQ1172" s="17">
        <f>BA1172+BI1172+BL1172</f>
        <v>0</v>
      </c>
      <c r="BR1172" s="17">
        <f t="shared" ref="BR1172:BR1175" si="718">BQ1172+BR1173</f>
        <v>1212.3</v>
      </c>
      <c r="BS1172" s="17">
        <f>BQ1172*0.7</f>
        <v>0</v>
      </c>
      <c r="BT1172" s="17">
        <f>BS1172+BT1173</f>
        <v>848.6099999999999</v>
      </c>
      <c r="BU1172" s="100"/>
    </row>
    <row r="1173" x14ac:dyDescent="0.25">
      <c r="B1173" t="s">
        <v>450</v>
      </c>
      <c r="C1173" s="19">
        <v>10</v>
      </c>
      <c r="D1173" s="19">
        <v>8.25</v>
      </c>
      <c r="E1173" s="66">
        <f>C21+D21/12</f>
        <v>10.6875</v>
      </c>
      <c r="F1173" s="67">
        <f>IF(E21&gt;0,E21-(C15+C14+2*1.5+IF(C13="single",1.5,3))/12-_xlfn.XLOOKUP(E21,E20,E20,,-1),0)</f>
        <v>8.75</v>
      </c>
      <c r="H1173" s="19">
        <v>236</v>
      </c>
      <c r="I1173" s="64" t="s">
        <v>196</v>
      </c>
      <c r="J1173" s="19">
        <v>33.799999999999997</v>
      </c>
      <c r="K1173" s="19">
        <v>65.599999999999994</v>
      </c>
      <c r="L1173" s="19">
        <v>19.3</v>
      </c>
      <c r="M1173" s="19">
        <v>119.6</v>
      </c>
      <c r="P1173" s="93"/>
      <c r="Q1173" t="s">
        <v>450</v>
      </c>
      <c r="R1173" s="19">
        <f>$H$21</f>
        <v>236</v>
      </c>
      <c r="S1173">
        <f t="shared" ref="S1173:S1178" si="719">R1173*0.6</f>
        <v>141.6</v>
      </c>
      <c r="T1173">
        <f t="shared" ref="T1173:T1177" si="720">$C$51/2*R1173</f>
        <v>0</v>
      </c>
      <c r="U1173">
        <f>T1173*0.6</f>
        <v>0</v>
      </c>
      <c r="V1173" s="19">
        <v>33.799999999999997</v>
      </c>
      <c r="W1173">
        <f t="shared" ref="W1173:W1177" si="721">V1173*0.7</f>
        <v>23.659999999999997</v>
      </c>
      <c r="X1173">
        <f t="shared" ref="X1173:X1177" si="722">$C$51/2*V1173</f>
        <v>0</v>
      </c>
      <c r="Y1173">
        <f t="shared" ref="Y1173:Y1177" si="723">X1173*0.7</f>
        <v>0</v>
      </c>
      <c r="Z1173" s="19">
        <f>$H$21</f>
        <v>236</v>
      </c>
      <c r="AA1173">
        <f t="shared" ref="AA1173:AA1177" si="724">Z1173*0.6</f>
        <v>141.6</v>
      </c>
      <c r="AB1173">
        <f t="shared" ref="AB1173:AB1177" si="725">$D$51/2*Z1173</f>
        <v>3422</v>
      </c>
      <c r="AC1173">
        <f t="shared" si="711"/>
        <v>2053.1999999999998</v>
      </c>
      <c r="AD1173" s="19">
        <v>33.799999999999997</v>
      </c>
      <c r="AE1173">
        <f t="shared" ref="AE1173:AE1177" si="726">AD1173*0.7</f>
        <v>23.659999999999997</v>
      </c>
      <c r="AF1173">
        <f t="shared" ref="AF1173:AF1177" si="727">$D$51/2*AD1173</f>
        <v>490.09999999999997</v>
      </c>
      <c r="AG1173">
        <f t="shared" ref="AG1173:AG1177" si="728">AF1173*0.7</f>
        <v>343.06999999999994</v>
      </c>
      <c r="AH1173" s="19">
        <v>0</v>
      </c>
      <c r="AI1173" s="19">
        <v>0</v>
      </c>
      <c r="AJ1173" s="17">
        <f>T1173+AB1173+AH1173</f>
        <v>3422</v>
      </c>
      <c r="AK1173" s="17">
        <f>AK1174+AJ1173</f>
        <v>13166</v>
      </c>
      <c r="AL1173" s="17">
        <f t="shared" ref="AL1173:AL1177" si="729">AJ1173*0.6</f>
        <v>2053.1999999999998</v>
      </c>
      <c r="AM1173" s="17">
        <f t="shared" ref="AM1173:AM1175" si="730">AM1174+AL1173</f>
        <v>7899.5999999999995</v>
      </c>
      <c r="AN1173" s="17">
        <f t="shared" ref="AN1173:AN1176" si="731">X1173+AF1173+AI1173</f>
        <v>490.09999999999997</v>
      </c>
      <c r="AO1173" s="17">
        <f t="shared" si="712"/>
        <v>1302.0999999999999</v>
      </c>
      <c r="AP1173" s="17">
        <f t="shared" ref="AP1173:AP1176" si="732">AN1173*0.7</f>
        <v>343.06999999999994</v>
      </c>
      <c r="AQ1173" s="17">
        <f t="shared" si="712"/>
        <v>911.46999999999991</v>
      </c>
      <c r="AR1173" s="100"/>
      <c r="AS1173" s="93"/>
      <c r="AT1173" t="s">
        <v>450</v>
      </c>
      <c r="AU1173" s="19">
        <f>$H$21</f>
        <v>236</v>
      </c>
      <c r="AV1173">
        <f t="shared" ref="AV1173:AV1178" si="733">AU1173*0.6</f>
        <v>141.6</v>
      </c>
      <c r="AW1173">
        <f t="shared" si="713"/>
        <v>0</v>
      </c>
      <c r="AX1173">
        <f>AW1173*0.6</f>
        <v>0</v>
      </c>
      <c r="AY1173" s="19">
        <v>33.799999999999997</v>
      </c>
      <c r="AZ1173">
        <f t="shared" ref="AZ1173:AZ1177" si="734">AY1173*0.7</f>
        <v>23.659999999999997</v>
      </c>
      <c r="BA1173">
        <f t="shared" si="714"/>
        <v>0</v>
      </c>
      <c r="BB1173">
        <f t="shared" ref="BB1173:BB1177" si="735">BA1173*0.7</f>
        <v>0</v>
      </c>
      <c r="BC1173" s="19">
        <f>$H$21</f>
        <v>236</v>
      </c>
      <c r="BD1173">
        <f t="shared" ref="BD1173:BD1177" si="736">BC1173*0.6</f>
        <v>141.6</v>
      </c>
      <c r="BE1173">
        <f t="shared" si="715"/>
        <v>3186</v>
      </c>
      <c r="BF1173">
        <f t="shared" si="716"/>
        <v>1911.6</v>
      </c>
      <c r="BG1173" s="19">
        <v>33.799999999999997</v>
      </c>
      <c r="BH1173">
        <f t="shared" ref="BH1173:BH1177" si="737">BG1173*0.7</f>
        <v>23.659999999999997</v>
      </c>
      <c r="BI1173">
        <f t="shared" si="717"/>
        <v>456.29999999999995</v>
      </c>
      <c r="BJ1173">
        <f t="shared" ref="BJ1173:BJ1177" si="738">BI1173*0.7</f>
        <v>319.40999999999997</v>
      </c>
      <c r="BK1173" s="19">
        <v>0</v>
      </c>
      <c r="BL1173" s="19">
        <v>0</v>
      </c>
      <c r="BM1173" s="17">
        <f>AW1173+BE1173+BK1173</f>
        <v>3186</v>
      </c>
      <c r="BN1173" s="17">
        <f>BN1174+BM1173</f>
        <v>12258</v>
      </c>
      <c r="BO1173" s="17">
        <f t="shared" ref="BO1173" si="739">BM1173*0.6</f>
        <v>1911.6</v>
      </c>
      <c r="BP1173" s="17">
        <f t="shared" ref="BP1173:BP1175" si="740">BP1174+BO1173</f>
        <v>7354.7999999999993</v>
      </c>
      <c r="BQ1173" s="17">
        <f t="shared" ref="BQ1173:BQ1176" si="741">BA1173+BI1173+BL1173</f>
        <v>456.29999999999995</v>
      </c>
      <c r="BR1173" s="17">
        <f t="shared" si="718"/>
        <v>1212.3</v>
      </c>
      <c r="BS1173" s="17">
        <f t="shared" ref="BS1173:BS1176" si="742">BQ1173*0.7</f>
        <v>319.40999999999997</v>
      </c>
      <c r="BT1173" s="17">
        <f t="shared" ref="BT1173:BT1175" si="743">BS1173+BT1174</f>
        <v>848.6099999999999</v>
      </c>
      <c r="BU1173" s="100"/>
    </row>
    <row r="1174" x14ac:dyDescent="0.25">
      <c r="B1174" t="s">
        <v>451</v>
      </c>
      <c r="C1174" s="19">
        <v>21</v>
      </c>
      <c r="D1174" s="19">
        <v>4.5</v>
      </c>
      <c r="E1174" s="66">
        <f t="shared" ref="E22:E25" si="744">C22+D22/12</f>
        <v>21.375</v>
      </c>
      <c r="F1174" s="67">
        <f>IF(E22&gt;0,E22-(C15+C14+2*1.5+IF(C13="single",1.5,3))/12-_xlfn.XLOOKUP(E22,E20:E21,E20:E21,,-1),0)</f>
        <v>8.75</v>
      </c>
      <c r="H1174" s="19">
        <v>229</v>
      </c>
      <c r="I1174" s="64" t="s">
        <v>196</v>
      </c>
      <c r="J1174" s="19">
        <v>37.1</v>
      </c>
      <c r="K1174" s="19">
        <v>71.8</v>
      </c>
      <c r="L1174" s="19">
        <v>21.1</v>
      </c>
      <c r="M1174" s="19">
        <v>131.1</v>
      </c>
      <c r="P1174" s="93"/>
      <c r="Q1174" t="s">
        <v>451</v>
      </c>
      <c r="R1174" s="19">
        <f>$H$22</f>
        <v>229</v>
      </c>
      <c r="S1174">
        <f t="shared" si="719"/>
        <v>137.4</v>
      </c>
      <c r="T1174">
        <f t="shared" si="720"/>
        <v>0</v>
      </c>
      <c r="U1174">
        <f t="shared" ref="U1174:U1178" si="745">T1174*0.6</f>
        <v>0</v>
      </c>
      <c r="V1174" s="19">
        <v>37.1</v>
      </c>
      <c r="W1174">
        <f t="shared" si="721"/>
        <v>25.97</v>
      </c>
      <c r="X1174">
        <f>$C$51/2*V1174</f>
        <v>0</v>
      </c>
      <c r="Y1174">
        <f t="shared" si="723"/>
        <v>0</v>
      </c>
      <c r="Z1174" s="19">
        <f>$H$22</f>
        <v>229</v>
      </c>
      <c r="AA1174">
        <f t="shared" si="724"/>
        <v>137.4</v>
      </c>
      <c r="AB1174">
        <f t="shared" si="725"/>
        <v>3320.5</v>
      </c>
      <c r="AC1174">
        <f t="shared" si="711"/>
        <v>1992.3</v>
      </c>
      <c r="AD1174" s="19">
        <v>37.1</v>
      </c>
      <c r="AE1174">
        <f t="shared" si="726"/>
        <v>25.97</v>
      </c>
      <c r="AF1174">
        <f t="shared" si="727"/>
        <v>537.95000000000005</v>
      </c>
      <c r="AG1174">
        <f t="shared" si="728"/>
        <v>376.565</v>
      </c>
      <c r="AH1174" s="19">
        <v>0</v>
      </c>
      <c r="AI1174" s="19">
        <v>0</v>
      </c>
      <c r="AJ1174" s="17">
        <f t="shared" ref="AJ1174:AJ1176" si="746">T1174+AB1174+AH1174</f>
        <v>3320.5</v>
      </c>
      <c r="AK1174" s="17">
        <f>AK1175+AJ1174</f>
        <v>9744</v>
      </c>
      <c r="AL1174" s="17">
        <f>AJ1174*0.6</f>
        <v>1992.3</v>
      </c>
      <c r="AM1174" s="17">
        <f t="shared" si="730"/>
        <v>5846.4</v>
      </c>
      <c r="AN1174" s="17">
        <f t="shared" si="731"/>
        <v>537.95000000000005</v>
      </c>
      <c r="AO1174" s="17">
        <f t="shared" si="712"/>
        <v>812</v>
      </c>
      <c r="AP1174" s="17">
        <f t="shared" si="732"/>
        <v>376.565</v>
      </c>
      <c r="AQ1174" s="17">
        <f t="shared" si="712"/>
        <v>568.4</v>
      </c>
      <c r="AR1174" s="100"/>
      <c r="AS1174" s="93"/>
      <c r="AT1174" t="s">
        <v>451</v>
      </c>
      <c r="AU1174" s="19">
        <f>$H$22</f>
        <v>229</v>
      </c>
      <c r="AV1174">
        <f t="shared" si="733"/>
        <v>137.4</v>
      </c>
      <c r="AW1174">
        <f t="shared" si="713"/>
        <v>0</v>
      </c>
      <c r="AX1174">
        <f t="shared" ref="AX1174:AX1178" si="747">AW1174*0.6</f>
        <v>0</v>
      </c>
      <c r="AY1174" s="19">
        <v>37.1</v>
      </c>
      <c r="AZ1174">
        <f t="shared" si="734"/>
        <v>25.97</v>
      </c>
      <c r="BA1174">
        <f t="shared" si="714"/>
        <v>0</v>
      </c>
      <c r="BB1174">
        <f t="shared" si="735"/>
        <v>0</v>
      </c>
      <c r="BC1174" s="19">
        <f>$H$22</f>
        <v>229</v>
      </c>
      <c r="BD1174">
        <f t="shared" si="736"/>
        <v>137.4</v>
      </c>
      <c r="BE1174">
        <f t="shared" si="715"/>
        <v>3091.5</v>
      </c>
      <c r="BF1174">
        <f t="shared" si="716"/>
        <v>1854.8999999999999</v>
      </c>
      <c r="BG1174" s="19">
        <v>37.1</v>
      </c>
      <c r="BH1174">
        <f t="shared" si="737"/>
        <v>25.97</v>
      </c>
      <c r="BI1174">
        <f t="shared" si="717"/>
        <v>500.85</v>
      </c>
      <c r="BJ1174">
        <f t="shared" si="738"/>
        <v>350.59499999999997</v>
      </c>
      <c r="BK1174" s="19">
        <v>0</v>
      </c>
      <c r="BL1174" s="19">
        <v>0</v>
      </c>
      <c r="BM1174" s="17">
        <f t="shared" ref="BM1174:BM1176" si="748">AW1174+BE1174+BK1174</f>
        <v>3091.5</v>
      </c>
      <c r="BN1174" s="17">
        <f>BN1175+BM1174</f>
        <v>9072</v>
      </c>
      <c r="BO1174" s="17">
        <f>BM1174*0.6</f>
        <v>1854.8999999999999</v>
      </c>
      <c r="BP1174" s="17">
        <f t="shared" si="740"/>
        <v>5443.2</v>
      </c>
      <c r="BQ1174" s="17">
        <f t="shared" si="741"/>
        <v>500.85</v>
      </c>
      <c r="BR1174" s="17">
        <f t="shared" si="718"/>
        <v>756</v>
      </c>
      <c r="BS1174" s="17">
        <f t="shared" si="742"/>
        <v>350.59499999999997</v>
      </c>
      <c r="BT1174" s="17">
        <f t="shared" si="743"/>
        <v>529.19999999999993</v>
      </c>
      <c r="BU1174" s="100"/>
    </row>
    <row r="1175" x14ac:dyDescent="0.25">
      <c r="B1175" t="s">
        <v>452</v>
      </c>
      <c r="C1175" s="19">
        <v>0</v>
      </c>
      <c r="D1175" s="19">
        <v>0</v>
      </c>
      <c r="E1175" s="66">
        <f t="shared" si="744"/>
        <v>0</v>
      </c>
      <c r="F1175" s="67">
        <f>IF(E23&gt;0,E23-(C15+C14+2*1.5+IF(C13="single",1.5,3))/12-_xlfn.XLOOKUP(E23,E20:E22,E20:E22,,-1),0)</f>
        <v>0</v>
      </c>
      <c r="H1175" s="19">
        <v>0</v>
      </c>
      <c r="I1175" s="64" t="s">
        <v>196</v>
      </c>
      <c r="J1175" s="19">
        <v>0</v>
      </c>
      <c r="K1175" s="19">
        <v>0</v>
      </c>
      <c r="L1175" s="19">
        <v>0</v>
      </c>
      <c r="M1175" s="19">
        <v>0</v>
      </c>
      <c r="P1175" s="93"/>
      <c r="Q1175" t="s">
        <v>452</v>
      </c>
      <c r="R1175" s="19">
        <f>$H$23</f>
        <v>0</v>
      </c>
      <c r="S1175">
        <f t="shared" si="719"/>
        <v>0</v>
      </c>
      <c r="T1175">
        <f t="shared" si="720"/>
        <v>0</v>
      </c>
      <c r="U1175">
        <f t="shared" si="745"/>
        <v>0</v>
      </c>
      <c r="V1175" s="19">
        <v>0</v>
      </c>
      <c r="W1175">
        <f t="shared" si="721"/>
        <v>0</v>
      </c>
      <c r="X1175">
        <f t="shared" si="722"/>
        <v>0</v>
      </c>
      <c r="Y1175">
        <f t="shared" si="723"/>
        <v>0</v>
      </c>
      <c r="Z1175" s="19">
        <f>$H$23</f>
        <v>0</v>
      </c>
      <c r="AA1175">
        <f t="shared" si="724"/>
        <v>0</v>
      </c>
      <c r="AB1175">
        <f t="shared" si="725"/>
        <v>0</v>
      </c>
      <c r="AC1175">
        <f t="shared" si="711"/>
        <v>0</v>
      </c>
      <c r="AD1175" s="19">
        <v>0</v>
      </c>
      <c r="AE1175">
        <f t="shared" si="726"/>
        <v>0</v>
      </c>
      <c r="AF1175">
        <f t="shared" si="727"/>
        <v>0</v>
      </c>
      <c r="AG1175">
        <f t="shared" si="728"/>
        <v>0</v>
      </c>
      <c r="AH1175" s="19">
        <v>0</v>
      </c>
      <c r="AI1175" s="19">
        <v>0</v>
      </c>
      <c r="AJ1175" s="17">
        <f t="shared" si="746"/>
        <v>0</v>
      </c>
      <c r="AK1175" s="17">
        <f>AK1176+AJ1175</f>
        <v>6423.5</v>
      </c>
      <c r="AL1175" s="17">
        <f>AJ1175*0.6</f>
        <v>0</v>
      </c>
      <c r="AM1175" s="17">
        <f t="shared" si="730"/>
        <v>3854.1</v>
      </c>
      <c r="AN1175" s="17">
        <f t="shared" si="731"/>
        <v>0</v>
      </c>
      <c r="AO1175" s="17">
        <f t="shared" si="712"/>
        <v>274.04999999999995</v>
      </c>
      <c r="AP1175" s="17">
        <f t="shared" si="732"/>
        <v>0</v>
      </c>
      <c r="AQ1175" s="17">
        <f t="shared" si="712"/>
        <v>191.83499999999995</v>
      </c>
      <c r="AR1175" s="100"/>
      <c r="AS1175" s="93"/>
      <c r="AT1175" t="s">
        <v>452</v>
      </c>
      <c r="AU1175" s="19">
        <f>$H$23</f>
        <v>0</v>
      </c>
      <c r="AV1175">
        <f t="shared" si="733"/>
        <v>0</v>
      </c>
      <c r="AW1175">
        <f t="shared" si="713"/>
        <v>0</v>
      </c>
      <c r="AX1175">
        <f t="shared" si="747"/>
        <v>0</v>
      </c>
      <c r="AY1175" s="19">
        <v>0</v>
      </c>
      <c r="AZ1175">
        <f t="shared" si="734"/>
        <v>0</v>
      </c>
      <c r="BA1175">
        <f t="shared" si="714"/>
        <v>0</v>
      </c>
      <c r="BB1175">
        <f t="shared" si="735"/>
        <v>0</v>
      </c>
      <c r="BC1175" s="19">
        <f>$H$23</f>
        <v>0</v>
      </c>
      <c r="BD1175">
        <f t="shared" si="736"/>
        <v>0</v>
      </c>
      <c r="BE1175">
        <f t="shared" si="715"/>
        <v>0</v>
      </c>
      <c r="BF1175">
        <f t="shared" si="716"/>
        <v>0</v>
      </c>
      <c r="BG1175" s="19">
        <v>0</v>
      </c>
      <c r="BH1175">
        <f t="shared" si="737"/>
        <v>0</v>
      </c>
      <c r="BI1175">
        <f t="shared" si="717"/>
        <v>0</v>
      </c>
      <c r="BJ1175">
        <f t="shared" si="738"/>
        <v>0</v>
      </c>
      <c r="BK1175" s="19">
        <v>0</v>
      </c>
      <c r="BL1175" s="19">
        <v>0</v>
      </c>
      <c r="BM1175" s="17">
        <f t="shared" si="748"/>
        <v>0</v>
      </c>
      <c r="BN1175" s="17">
        <f>BN1176+BM1175</f>
        <v>5980.5</v>
      </c>
      <c r="BO1175" s="17">
        <f>BM1175*0.6</f>
        <v>0</v>
      </c>
      <c r="BP1175" s="17">
        <f t="shared" si="740"/>
        <v>3588.2999999999997</v>
      </c>
      <c r="BQ1175" s="17">
        <f t="shared" si="741"/>
        <v>0</v>
      </c>
      <c r="BR1175" s="17">
        <f t="shared" si="718"/>
        <v>255.14999999999998</v>
      </c>
      <c r="BS1175" s="17">
        <f t="shared" si="742"/>
        <v>0</v>
      </c>
      <c r="BT1175" s="17">
        <f t="shared" si="743"/>
        <v>178.60499999999996</v>
      </c>
      <c r="BU1175" s="100"/>
    </row>
    <row r="1176" x14ac:dyDescent="0.25">
      <c r="B1176" t="s">
        <v>453</v>
      </c>
      <c r="C1176" s="19">
        <v>0</v>
      </c>
      <c r="D1176" s="19">
        <v>0</v>
      </c>
      <c r="E1176" s="66">
        <f t="shared" si="744"/>
        <v>0</v>
      </c>
      <c r="F1176" s="67">
        <f>IF(E24&gt;0,E24-(C15+C14+2*1.5+IF(C13="single",1.5,3))/12-_xlfn.XLOOKUP(E24,E20:E23,E20:E23,,-1),0)</f>
        <v>0</v>
      </c>
      <c r="H1176" s="19">
        <v>0</v>
      </c>
      <c r="I1176" s="64" t="s">
        <v>196</v>
      </c>
      <c r="J1176" s="19">
        <v>0</v>
      </c>
      <c r="K1176" s="19">
        <v>0</v>
      </c>
      <c r="L1176" s="19">
        <v>0</v>
      </c>
      <c r="M1176" s="19">
        <v>0</v>
      </c>
      <c r="P1176" s="93"/>
      <c r="Q1176" t="s">
        <v>453</v>
      </c>
      <c r="R1176" s="19">
        <f>$H$24</f>
        <v>0</v>
      </c>
      <c r="S1176">
        <f t="shared" si="719"/>
        <v>0</v>
      </c>
      <c r="T1176">
        <f t="shared" si="720"/>
        <v>0</v>
      </c>
      <c r="U1176">
        <f t="shared" si="745"/>
        <v>0</v>
      </c>
      <c r="V1176" s="19">
        <v>0</v>
      </c>
      <c r="W1176">
        <f t="shared" si="721"/>
        <v>0</v>
      </c>
      <c r="X1176">
        <f t="shared" si="722"/>
        <v>0</v>
      </c>
      <c r="Y1176">
        <f t="shared" si="723"/>
        <v>0</v>
      </c>
      <c r="Z1176" s="19">
        <f>$H$24</f>
        <v>0</v>
      </c>
      <c r="AA1176">
        <f t="shared" si="724"/>
        <v>0</v>
      </c>
      <c r="AB1176">
        <f t="shared" si="725"/>
        <v>0</v>
      </c>
      <c r="AC1176">
        <f t="shared" si="711"/>
        <v>0</v>
      </c>
      <c r="AD1176" s="19">
        <v>0</v>
      </c>
      <c r="AE1176">
        <f t="shared" si="726"/>
        <v>0</v>
      </c>
      <c r="AF1176">
        <f t="shared" si="727"/>
        <v>0</v>
      </c>
      <c r="AG1176">
        <f t="shared" si="728"/>
        <v>0</v>
      </c>
      <c r="AH1176" s="19">
        <v>0</v>
      </c>
      <c r="AI1176" s="19">
        <v>0</v>
      </c>
      <c r="AJ1176" s="17">
        <f t="shared" si="746"/>
        <v>0</v>
      </c>
      <c r="AK1176" s="17">
        <f>AK1177+IF(AJ1176=0,0,AJ1176)</f>
        <v>6423.5</v>
      </c>
      <c r="AL1176" s="17">
        <f t="shared" si="729"/>
        <v>0</v>
      </c>
      <c r="AM1176" s="17">
        <f>AM1177+AL1176</f>
        <v>3854.1</v>
      </c>
      <c r="AN1176" s="17">
        <f t="shared" si="731"/>
        <v>0</v>
      </c>
      <c r="AO1176" s="17">
        <f>AN1176+AO1177</f>
        <v>274.04999999999995</v>
      </c>
      <c r="AP1176" s="17">
        <f t="shared" si="732"/>
        <v>0</v>
      </c>
      <c r="AQ1176" s="17">
        <f>AP1176+AQ1177</f>
        <v>191.83499999999995</v>
      </c>
      <c r="AR1176" s="100"/>
      <c r="AS1176" s="93"/>
      <c r="AT1176" t="s">
        <v>453</v>
      </c>
      <c r="AU1176" s="19">
        <f>$H$24</f>
        <v>0</v>
      </c>
      <c r="AV1176">
        <f t="shared" si="733"/>
        <v>0</v>
      </c>
      <c r="AW1176">
        <f t="shared" si="713"/>
        <v>0</v>
      </c>
      <c r="AX1176">
        <f t="shared" si="747"/>
        <v>0</v>
      </c>
      <c r="AY1176" s="19">
        <v>0</v>
      </c>
      <c r="AZ1176">
        <f t="shared" si="734"/>
        <v>0</v>
      </c>
      <c r="BA1176">
        <f t="shared" si="714"/>
        <v>0</v>
      </c>
      <c r="BB1176">
        <f t="shared" si="735"/>
        <v>0</v>
      </c>
      <c r="BC1176" s="19">
        <f>$H$24</f>
        <v>0</v>
      </c>
      <c r="BD1176">
        <f t="shared" si="736"/>
        <v>0</v>
      </c>
      <c r="BE1176">
        <f t="shared" si="715"/>
        <v>0</v>
      </c>
      <c r="BF1176">
        <f t="shared" si="716"/>
        <v>0</v>
      </c>
      <c r="BG1176" s="19">
        <v>0</v>
      </c>
      <c r="BH1176">
        <f t="shared" si="737"/>
        <v>0</v>
      </c>
      <c r="BI1176">
        <f t="shared" si="717"/>
        <v>0</v>
      </c>
      <c r="BJ1176">
        <f t="shared" si="738"/>
        <v>0</v>
      </c>
      <c r="BK1176" s="19">
        <v>0</v>
      </c>
      <c r="BL1176" s="19">
        <v>0</v>
      </c>
      <c r="BM1176" s="17">
        <f t="shared" si="748"/>
        <v>0</v>
      </c>
      <c r="BN1176" s="17">
        <f>BN1177+IF(BM1176=0,0,BM1176)</f>
        <v>5980.5</v>
      </c>
      <c r="BO1176" s="17">
        <f t="shared" ref="BO1176:BO1177" si="749">BM1176*0.6</f>
        <v>0</v>
      </c>
      <c r="BP1176" s="17">
        <f>BP1177+BO1176</f>
        <v>3588.2999999999997</v>
      </c>
      <c r="BQ1176" s="17">
        <f t="shared" si="741"/>
        <v>0</v>
      </c>
      <c r="BR1176" s="17">
        <f>BQ1176+BR1177</f>
        <v>255.14999999999998</v>
      </c>
      <c r="BS1176" s="17">
        <f t="shared" si="742"/>
        <v>0</v>
      </c>
      <c r="BT1176" s="17">
        <f>BS1176+BT1177</f>
        <v>178.60499999999996</v>
      </c>
      <c r="BU1176" s="100"/>
    </row>
    <row r="1177" x14ac:dyDescent="0.25">
      <c r="B1177" t="s">
        <v>275</v>
      </c>
      <c r="C1177" s="19">
        <f>(33+32)/2</f>
        <v>32.5</v>
      </c>
      <c r="D1177" s="19">
        <f>(10.5+5.625)/2</f>
        <v>8.0625</v>
      </c>
      <c r="E1177" s="68">
        <f t="shared" si="744"/>
        <v>33.171875</v>
      </c>
      <c r="F1177" s="69">
        <f>E25-(C17+C16+2*1.5+IF(C13="single",1.5,3))/12-_xlfn.XLOOKUP(E25,E20:E24,E20:E24,,-1)</f>
        <v>8.6770833333333321</v>
      </c>
      <c r="H1177" s="19">
        <v>443</v>
      </c>
      <c r="I1177" s="64" t="s">
        <v>196</v>
      </c>
      <c r="J1177" s="19">
        <v>18.899999999999999</v>
      </c>
      <c r="K1177" s="19">
        <v>36.6</v>
      </c>
      <c r="L1177" s="19">
        <v>10.8</v>
      </c>
      <c r="M1177" s="19">
        <v>66.7</v>
      </c>
      <c r="P1177" s="93"/>
      <c r="Q1177" t="s">
        <v>275</v>
      </c>
      <c r="R1177" s="19">
        <f>$H$25</f>
        <v>443</v>
      </c>
      <c r="S1177">
        <f t="shared" si="719"/>
        <v>265.8</v>
      </c>
      <c r="T1177">
        <f t="shared" si="720"/>
        <v>0</v>
      </c>
      <c r="U1177">
        <f t="shared" si="745"/>
        <v>0</v>
      </c>
      <c r="V1177" s="19">
        <v>18.899999999999999</v>
      </c>
      <c r="W1177">
        <f t="shared" si="721"/>
        <v>13.229999999999999</v>
      </c>
      <c r="X1177">
        <f t="shared" si="722"/>
        <v>0</v>
      </c>
      <c r="Y1177">
        <f t="shared" si="723"/>
        <v>0</v>
      </c>
      <c r="Z1177" s="19">
        <f>$H$25</f>
        <v>443</v>
      </c>
      <c r="AA1177">
        <f t="shared" si="724"/>
        <v>265.8</v>
      </c>
      <c r="AB1177">
        <f t="shared" si="725"/>
        <v>6423.5</v>
      </c>
      <c r="AC1177">
        <f t="shared" si="711"/>
        <v>3854.1</v>
      </c>
      <c r="AD1177" s="19">
        <v>18.899999999999999</v>
      </c>
      <c r="AE1177">
        <f t="shared" si="726"/>
        <v>13.229999999999999</v>
      </c>
      <c r="AF1177">
        <f t="shared" si="727"/>
        <v>274.04999999999995</v>
      </c>
      <c r="AG1177">
        <f t="shared" si="728"/>
        <v>191.83499999999995</v>
      </c>
      <c r="AH1177" s="19">
        <v>0</v>
      </c>
      <c r="AI1177" s="19">
        <v>0</v>
      </c>
      <c r="AJ1177" s="17">
        <f>T1177+AB1177+AH1177</f>
        <v>6423.5</v>
      </c>
      <c r="AK1177" s="17">
        <f>AJ1177</f>
        <v>6423.5</v>
      </c>
      <c r="AL1177" s="17">
        <f t="shared" si="729"/>
        <v>3854.1</v>
      </c>
      <c r="AM1177" s="17">
        <f>AL1177</f>
        <v>3854.1</v>
      </c>
      <c r="AN1177" s="17">
        <f>X1177+AF1177+AI1177</f>
        <v>274.04999999999995</v>
      </c>
      <c r="AO1177" s="17">
        <f>AN1177</f>
        <v>274.04999999999995</v>
      </c>
      <c r="AP1177" s="17">
        <f>AN1177*0.7</f>
        <v>191.83499999999995</v>
      </c>
      <c r="AQ1177" s="17">
        <f>AP1177</f>
        <v>191.83499999999995</v>
      </c>
      <c r="AR1177" s="100"/>
      <c r="AS1177" s="93"/>
      <c r="AT1177" t="s">
        <v>275</v>
      </c>
      <c r="AU1177" s="19">
        <f>$H$25</f>
        <v>443</v>
      </c>
      <c r="AV1177">
        <f t="shared" si="733"/>
        <v>265.8</v>
      </c>
      <c r="AW1177">
        <f t="shared" si="713"/>
        <v>0</v>
      </c>
      <c r="AX1177">
        <f t="shared" si="747"/>
        <v>0</v>
      </c>
      <c r="AY1177" s="19">
        <v>18.899999999999999</v>
      </c>
      <c r="AZ1177">
        <f t="shared" si="734"/>
        <v>13.229999999999999</v>
      </c>
      <c r="BA1177">
        <f t="shared" si="714"/>
        <v>0</v>
      </c>
      <c r="BB1177">
        <f t="shared" si="735"/>
        <v>0</v>
      </c>
      <c r="BC1177" s="19">
        <f>$H$25</f>
        <v>443</v>
      </c>
      <c r="BD1177">
        <f t="shared" si="736"/>
        <v>265.8</v>
      </c>
      <c r="BE1177">
        <f t="shared" si="715"/>
        <v>5980.5</v>
      </c>
      <c r="BF1177">
        <f t="shared" si="716"/>
        <v>3588.2999999999997</v>
      </c>
      <c r="BG1177" s="19">
        <v>18.899999999999999</v>
      </c>
      <c r="BH1177">
        <f t="shared" si="737"/>
        <v>13.229999999999999</v>
      </c>
      <c r="BI1177">
        <f t="shared" si="717"/>
        <v>255.14999999999998</v>
      </c>
      <c r="BJ1177">
        <f t="shared" si="738"/>
        <v>178.60499999999996</v>
      </c>
      <c r="BK1177" s="19">
        <v>0</v>
      </c>
      <c r="BL1177" s="19">
        <v>0</v>
      </c>
      <c r="BM1177" s="17">
        <f>AW1177+BE1177+BK1177</f>
        <v>5980.5</v>
      </c>
      <c r="BN1177" s="17">
        <f>BM1177</f>
        <v>5980.5</v>
      </c>
      <c r="BO1177" s="17">
        <f t="shared" si="749"/>
        <v>3588.2999999999997</v>
      </c>
      <c r="BP1177" s="17">
        <f>BO1177</f>
        <v>3588.2999999999997</v>
      </c>
      <c r="BQ1177" s="17">
        <f>BA1177+BI1177+BL1177</f>
        <v>255.14999999999998</v>
      </c>
      <c r="BR1177" s="17">
        <f>BQ1177</f>
        <v>255.14999999999998</v>
      </c>
      <c r="BS1177" s="17">
        <f>BQ1177*0.7</f>
        <v>178.60499999999996</v>
      </c>
      <c r="BT1177" s="17">
        <f>BS1177</f>
        <v>178.60499999999996</v>
      </c>
      <c r="BU1177" s="100"/>
    </row>
    <row r="1178" x14ac:dyDescent="0.25">
      <c r="B1178" t="s">
        <v>530</v>
      </c>
      <c r="E1178" s="73"/>
      <c r="F1178" s="73"/>
      <c r="H1178" s="19">
        <v>-22.9</v>
      </c>
      <c r="I1178" s="64" t="s">
        <v>270</v>
      </c>
      <c r="P1178" s="93"/>
      <c r="R1178" s="19">
        <f>$H$26</f>
        <v>-22.9</v>
      </c>
      <c r="S1178">
        <f t="shared" si="719"/>
        <v>-13.739999999999998</v>
      </c>
      <c r="T1178">
        <f>$I$51/2*R1178</f>
        <v>0</v>
      </c>
      <c r="U1178">
        <f t="shared" si="745"/>
        <v>0</v>
      </c>
      <c r="Z1178" s="19">
        <f>$H$26</f>
        <v>-22.9</v>
      </c>
      <c r="AA1178">
        <f>Z1178*0.6</f>
        <v>-13.739999999999998</v>
      </c>
      <c r="AB1178">
        <f>$J$51/2*Z1178</f>
        <v>-309.14999999999998</v>
      </c>
      <c r="AC1178">
        <f t="shared" si="711"/>
        <v>-185.48999999999998</v>
      </c>
      <c r="AR1178" s="100"/>
      <c r="AS1178" s="93"/>
      <c r="AU1178" s="19">
        <f>$H$26</f>
        <v>-22.9</v>
      </c>
      <c r="AV1178">
        <f t="shared" si="733"/>
        <v>-13.739999999999998</v>
      </c>
      <c r="AW1178">
        <f t="shared" si="713"/>
        <v>0</v>
      </c>
      <c r="AX1178">
        <f t="shared" si="747"/>
        <v>0</v>
      </c>
      <c r="BC1178" s="19">
        <f>$H$26</f>
        <v>-22.9</v>
      </c>
      <c r="BD1178">
        <f>BC1178*0.6</f>
        <v>-13.739999999999998</v>
      </c>
      <c r="BE1178">
        <f t="shared" si="715"/>
        <v>-309.14999999999998</v>
      </c>
      <c r="BF1178">
        <f t="shared" si="716"/>
        <v>-185.48999999999998</v>
      </c>
      <c r="BU1178" s="100"/>
    </row>
    <row r="1179" x14ac:dyDescent="0.25">
      <c r="B1179" t="s">
        <v>531</v>
      </c>
      <c r="C1179" s="1" t="s">
        <v>533</v>
      </c>
      <c r="D1179" s="19">
        <v>0.18</v>
      </c>
      <c r="E1179" s="73"/>
      <c r="F1179" s="73"/>
      <c r="H1179">
        <f>0.2*D27</f>
        <v>3.5999999999999997E-2</v>
      </c>
      <c r="I1179" s="64" t="s">
        <v>534</v>
      </c>
      <c r="P1179" s="93"/>
      <c r="Q1179" s="1"/>
      <c r="AR1179" s="100"/>
      <c r="AS1179" s="93"/>
      <c r="AT1179" s="1"/>
      <c r="BU1179" s="100"/>
    </row>
    <row r="1180" x14ac:dyDescent="0.25">
      <c r="P1180" s="93"/>
      <c r="Y1180" s="112" t="s">
        <v>752</v>
      </c>
      <c r="Z1180" s="112"/>
      <c r="AA1180" s="112"/>
      <c r="AB1180" s="112"/>
      <c r="AC1180" s="112"/>
      <c r="AR1180" s="100"/>
      <c r="AS1180" s="93"/>
      <c r="BB1180" s="112" t="s">
        <v>752</v>
      </c>
      <c r="BC1180" s="112"/>
      <c r="BD1180" s="112"/>
      <c r="BE1180" s="112"/>
      <c r="BF1180" s="112"/>
      <c r="BU1180" s="100"/>
    </row>
    <row r="1181" x14ac:dyDescent="0.25">
      <c r="B1181" t="s">
        <v>513</v>
      </c>
      <c r="P1181" s="93"/>
      <c r="Q1181" t="s">
        <v>479</v>
      </c>
      <c r="R1181" t="s">
        <v>491</v>
      </c>
      <c r="S1181" t="s">
        <v>508</v>
      </c>
      <c r="T1181" t="s">
        <v>507</v>
      </c>
      <c r="U1181" t="s">
        <v>535</v>
      </c>
      <c r="V1181" t="s">
        <v>536</v>
      </c>
      <c r="W1181" t="s">
        <v>479</v>
      </c>
      <c r="X1181" t="s">
        <v>537</v>
      </c>
      <c r="Y1181" t="s">
        <v>450</v>
      </c>
      <c r="Z1181" t="s">
        <v>451</v>
      </c>
      <c r="AA1181" t="s">
        <v>452</v>
      </c>
      <c r="AB1181" t="s">
        <v>453</v>
      </c>
      <c r="AC1181" t="s">
        <v>753</v>
      </c>
      <c r="AD1181" t="s">
        <v>519</v>
      </c>
      <c r="AR1181" s="100"/>
      <c r="AS1181" s="93"/>
      <c r="AT1181" t="s">
        <v>479</v>
      </c>
      <c r="AU1181" t="s">
        <v>491</v>
      </c>
      <c r="AV1181" t="s">
        <v>508</v>
      </c>
      <c r="AW1181" t="s">
        <v>507</v>
      </c>
      <c r="AX1181" t="s">
        <v>535</v>
      </c>
      <c r="AY1181" t="s">
        <v>536</v>
      </c>
      <c r="AZ1181" t="s">
        <v>479</v>
      </c>
      <c r="BA1181" t="s">
        <v>537</v>
      </c>
      <c r="BB1181" t="s">
        <v>450</v>
      </c>
      <c r="BC1181" t="s">
        <v>451</v>
      </c>
      <c r="BD1181" t="s">
        <v>452</v>
      </c>
      <c r="BE1181" t="s">
        <v>453</v>
      </c>
      <c r="BF1181" t="s">
        <v>753</v>
      </c>
      <c r="BG1181" t="s">
        <v>519</v>
      </c>
      <c r="BU1181" s="100"/>
    </row>
    <row r="1182" x14ac:dyDescent="0.25">
      <c r="B1182" s="1" t="s">
        <v>275</v>
      </c>
      <c r="C1182" s="19">
        <v>20</v>
      </c>
      <c r="D1182" t="s">
        <v>567</v>
      </c>
      <c r="P1182" s="93"/>
      <c r="Q1182" s="109" t="str">
        <f>R1168&amp;".01"</f>
        <v>A.01</v>
      </c>
      <c r="R1182" s="19">
        <v>29</v>
      </c>
      <c r="S1182" s="19">
        <v>12</v>
      </c>
      <c r="T1182">
        <f>S1182/2</f>
        <v>6</v>
      </c>
      <c r="U1182" s="19">
        <v>4</v>
      </c>
      <c r="V1182">
        <f>U1182/2</f>
        <v>2</v>
      </c>
      <c r="W1182" s="19" t="s">
        <v>515</v>
      </c>
      <c r="X1182" s="19">
        <v>6</v>
      </c>
      <c r="Y1182" s="19"/>
      <c r="Z1182" s="19"/>
      <c r="AA1182" s="19"/>
      <c r="AB1182" s="19"/>
      <c r="AC1182" s="19"/>
      <c r="AD1182" s="108">
        <f>R1182/R1198</f>
        <v>1</v>
      </c>
      <c r="AR1182" s="100"/>
      <c r="AS1182" s="93"/>
      <c r="AT1182" s="109" t="str">
        <f>AU$1168&amp;".01"</f>
        <v>1.01</v>
      </c>
      <c r="AU1182" s="19">
        <v>29</v>
      </c>
      <c r="AV1182" s="19">
        <v>12</v>
      </c>
      <c r="AW1182">
        <f>AV1182/2</f>
        <v>6</v>
      </c>
      <c r="AX1182" s="19">
        <v>4</v>
      </c>
      <c r="AY1182">
        <f>AX1182/2</f>
        <v>2</v>
      </c>
      <c r="AZ1182" s="19" t="s">
        <v>515</v>
      </c>
      <c r="BA1182" s="19">
        <v>6</v>
      </c>
      <c r="BB1182" s="19"/>
      <c r="BC1182" s="19"/>
      <c r="BD1182" s="19"/>
      <c r="BE1182" s="19"/>
      <c r="BF1182" s="19"/>
      <c r="BG1182" s="108">
        <f>AU1182/AU1198</f>
        <v>1</v>
      </c>
      <c r="BU1182" s="100"/>
    </row>
    <row r="1183" x14ac:dyDescent="0.25">
      <c r="B1183" s="1"/>
      <c r="C1183">
        <f>0.9*C30</f>
        <v>18</v>
      </c>
      <c r="D1183" t="s">
        <v>532</v>
      </c>
      <c r="P1183" s="93"/>
      <c r="Q1183" s="109" t="str">
        <f>R1168&amp;".02"</f>
        <v>A.02</v>
      </c>
      <c r="R1183" s="19"/>
      <c r="S1183" s="19"/>
      <c r="T1183">
        <f t="shared" ref="T1183:T1197" si="750">S1183/2</f>
        <v>0</v>
      </c>
      <c r="U1183" s="19"/>
      <c r="V1183">
        <f t="shared" ref="V1183:V1197" si="751">U1183/2</f>
        <v>0</v>
      </c>
      <c r="W1183" s="19"/>
      <c r="X1183" s="19"/>
      <c r="Y1183" s="19"/>
      <c r="Z1183" s="19"/>
      <c r="AA1183" s="19"/>
      <c r="AB1183" s="19"/>
      <c r="AC1183" s="19"/>
      <c r="AR1183" s="100"/>
      <c r="AS1183" s="93"/>
      <c r="AT1183" s="109" t="str">
        <f>AU$1168&amp;".02"</f>
        <v>1.02</v>
      </c>
      <c r="AU1183" s="19"/>
      <c r="AV1183" s="19"/>
      <c r="AW1183">
        <f t="shared" ref="AW1183:AW1197" si="752">AV1183/2</f>
        <v>0</v>
      </c>
      <c r="AX1183" s="19"/>
      <c r="AY1183">
        <f t="shared" ref="AY1183:AY1197" si="753">AX1183/2</f>
        <v>0</v>
      </c>
      <c r="AZ1183" s="19"/>
      <c r="BA1183" s="19"/>
      <c r="BB1183" s="19"/>
      <c r="BC1183" s="19"/>
      <c r="BD1183" s="19"/>
      <c r="BE1183" s="19"/>
      <c r="BF1183" s="19"/>
      <c r="BU1183" s="100"/>
    </row>
    <row r="1184" x14ac:dyDescent="0.25">
      <c r="B1184" s="1" t="s">
        <v>514</v>
      </c>
      <c r="C1184" s="19">
        <v>26</v>
      </c>
      <c r="D1184" t="s">
        <v>512</v>
      </c>
      <c r="P1184" s="93"/>
      <c r="Q1184" s="109" t="str">
        <f>R1168&amp;".03"</f>
        <v>A.03</v>
      </c>
      <c r="R1184" s="19"/>
      <c r="S1184" s="19"/>
      <c r="T1184">
        <f t="shared" si="750"/>
        <v>0</v>
      </c>
      <c r="U1184" s="19"/>
      <c r="V1184">
        <f t="shared" si="751"/>
        <v>0</v>
      </c>
      <c r="W1184" s="19"/>
      <c r="X1184" s="19"/>
      <c r="Y1184" s="19"/>
      <c r="Z1184" s="19"/>
      <c r="AA1184" s="19"/>
      <c r="AB1184" s="19"/>
      <c r="AC1184" s="19"/>
      <c r="AR1184" s="100"/>
      <c r="AS1184" s="93"/>
      <c r="AT1184" s="109" t="str">
        <f>AU$1168&amp;".03"</f>
        <v>1.03</v>
      </c>
      <c r="AU1184" s="19"/>
      <c r="AV1184" s="19"/>
      <c r="AW1184">
        <f t="shared" si="752"/>
        <v>0</v>
      </c>
      <c r="AX1184" s="19"/>
      <c r="AY1184">
        <f t="shared" si="753"/>
        <v>0</v>
      </c>
      <c r="AZ1184" s="19"/>
      <c r="BA1184" s="19"/>
      <c r="BB1184" s="19"/>
      <c r="BC1184" s="19"/>
      <c r="BD1184" s="19"/>
      <c r="BE1184" s="19"/>
      <c r="BF1184" s="19"/>
      <c r="BU1184" s="100"/>
    </row>
    <row r="1185" x14ac:dyDescent="0.25">
      <c r="B1185" s="1" t="s">
        <v>477</v>
      </c>
      <c r="C1185" s="19">
        <v>11</v>
      </c>
      <c r="D1185" t="s">
        <v>509</v>
      </c>
      <c r="P1185" s="93"/>
      <c r="Q1185" s="109" t="str">
        <f>R1168&amp;".04"</f>
        <v>A.04</v>
      </c>
      <c r="R1185" s="19"/>
      <c r="S1185" s="19"/>
      <c r="T1185">
        <f t="shared" si="750"/>
        <v>0</v>
      </c>
      <c r="U1185" s="19"/>
      <c r="V1185">
        <f t="shared" si="751"/>
        <v>0</v>
      </c>
      <c r="W1185" s="19"/>
      <c r="X1185" s="19"/>
      <c r="Y1185" s="19"/>
      <c r="Z1185" s="19"/>
      <c r="AA1185" s="19"/>
      <c r="AB1185" s="19"/>
      <c r="AC1185" s="19"/>
      <c r="AR1185" s="100"/>
      <c r="AS1185" s="93"/>
      <c r="AT1185" s="109" t="str">
        <f>AU$1168&amp;".04"</f>
        <v>1.04</v>
      </c>
      <c r="AU1185" s="19"/>
      <c r="AV1185" s="19"/>
      <c r="AW1185">
        <f t="shared" si="752"/>
        <v>0</v>
      </c>
      <c r="AX1185" s="19"/>
      <c r="AY1185">
        <f t="shared" si="753"/>
        <v>0</v>
      </c>
      <c r="AZ1185" s="19"/>
      <c r="BA1185" s="19"/>
      <c r="BB1185" s="19"/>
      <c r="BC1185" s="19"/>
      <c r="BD1185" s="19"/>
      <c r="BE1185" s="19"/>
      <c r="BF1185" s="19"/>
      <c r="BU1185" s="100"/>
    </row>
    <row r="1186" x14ac:dyDescent="0.25">
      <c r="B1186" s="1" t="s">
        <v>478</v>
      </c>
      <c r="C1186" s="19">
        <v>13</v>
      </c>
      <c r="D1186" t="s">
        <v>510</v>
      </c>
      <c r="P1186" s="93"/>
      <c r="Q1186" s="109" t="str">
        <f>R1168&amp;".05"</f>
        <v>A.05</v>
      </c>
      <c r="R1186" s="19"/>
      <c r="S1186" s="19"/>
      <c r="T1186">
        <f t="shared" si="750"/>
        <v>0</v>
      </c>
      <c r="U1186" s="19"/>
      <c r="V1186">
        <f t="shared" si="751"/>
        <v>0</v>
      </c>
      <c r="W1186" s="19"/>
      <c r="X1186" s="19"/>
      <c r="Y1186" s="19"/>
      <c r="Z1186" s="19"/>
      <c r="AA1186" s="19"/>
      <c r="AB1186" s="19"/>
      <c r="AC1186" s="19"/>
      <c r="AR1186" s="100"/>
      <c r="AS1186" s="93"/>
      <c r="AT1186" s="109" t="str">
        <f>AU$1168&amp;".05"</f>
        <v>1.05</v>
      </c>
      <c r="AU1186" s="19"/>
      <c r="AV1186" s="19"/>
      <c r="AW1186">
        <f t="shared" si="752"/>
        <v>0</v>
      </c>
      <c r="AX1186" s="19"/>
      <c r="AY1186">
        <f t="shared" si="753"/>
        <v>0</v>
      </c>
      <c r="AZ1186" s="19"/>
      <c r="BA1186" s="19"/>
      <c r="BB1186" s="19"/>
      <c r="BC1186" s="19"/>
      <c r="BD1186" s="19"/>
      <c r="BE1186" s="19"/>
      <c r="BF1186" s="19"/>
      <c r="BU1186" s="100"/>
    </row>
    <row r="1187" x14ac:dyDescent="0.25">
      <c r="B1187" s="1" t="s">
        <v>515</v>
      </c>
      <c r="C1187" s="19">
        <v>18</v>
      </c>
      <c r="D1187" t="s">
        <v>511</v>
      </c>
      <c r="P1187" s="93"/>
      <c r="Q1187" s="109" t="str">
        <f>R1168&amp;".06"</f>
        <v>A.06</v>
      </c>
      <c r="R1187" s="19"/>
      <c r="S1187" s="19"/>
      <c r="T1187">
        <f t="shared" si="750"/>
        <v>0</v>
      </c>
      <c r="U1187" s="19"/>
      <c r="V1187">
        <f t="shared" si="751"/>
        <v>0</v>
      </c>
      <c r="W1187" s="19"/>
      <c r="X1187" s="19"/>
      <c r="Y1187" s="19"/>
      <c r="Z1187" s="19"/>
      <c r="AA1187" s="19"/>
      <c r="AB1187" s="19"/>
      <c r="AC1187" s="19"/>
      <c r="AR1187" s="100"/>
      <c r="AS1187" s="93"/>
      <c r="AT1187" s="109" t="str">
        <f>AU$1168&amp;".06"</f>
        <v>1.06</v>
      </c>
      <c r="AU1187" s="19"/>
      <c r="AV1187" s="19"/>
      <c r="AW1187">
        <f t="shared" si="752"/>
        <v>0</v>
      </c>
      <c r="AX1187" s="19"/>
      <c r="AY1187">
        <f t="shared" si="753"/>
        <v>0</v>
      </c>
      <c r="AZ1187" s="19"/>
      <c r="BA1187" s="19"/>
      <c r="BB1187" s="19"/>
      <c r="BC1187" s="19"/>
      <c r="BD1187" s="19"/>
      <c r="BE1187" s="19"/>
      <c r="BF1187" s="19"/>
      <c r="BU1187" s="100"/>
    </row>
    <row r="1188" x14ac:dyDescent="0.25">
      <c r="B1188" s="1" t="s">
        <v>516</v>
      </c>
      <c r="P1188" s="93"/>
      <c r="Q1188" s="109" t="str">
        <f>R1168&amp;".07"</f>
        <v>A.07</v>
      </c>
      <c r="R1188" s="19"/>
      <c r="S1188" s="19"/>
      <c r="T1188">
        <f t="shared" si="750"/>
        <v>0</v>
      </c>
      <c r="U1188" s="19"/>
      <c r="V1188">
        <f t="shared" si="751"/>
        <v>0</v>
      </c>
      <c r="W1188" s="19"/>
      <c r="X1188" s="19"/>
      <c r="Y1188" s="19"/>
      <c r="Z1188" s="19"/>
      <c r="AA1188" s="19"/>
      <c r="AB1188" s="19"/>
      <c r="AC1188" s="19"/>
      <c r="AF1188" s="109"/>
      <c r="AR1188" s="100"/>
      <c r="AS1188" s="93"/>
      <c r="AT1188" s="109" t="str">
        <f>AU$1168&amp;".07"</f>
        <v>1.07</v>
      </c>
      <c r="AU1188" s="19"/>
      <c r="AV1188" s="19"/>
      <c r="AW1188">
        <f t="shared" si="752"/>
        <v>0</v>
      </c>
      <c r="AX1188" s="19"/>
      <c r="AY1188">
        <f t="shared" si="753"/>
        <v>0</v>
      </c>
      <c r="AZ1188" s="19"/>
      <c r="BA1188" s="19"/>
      <c r="BB1188" s="19"/>
      <c r="BC1188" s="19"/>
      <c r="BD1188" s="19"/>
      <c r="BE1188" s="19"/>
      <c r="BF1188" s="19"/>
      <c r="BI1188" s="109"/>
      <c r="BU1188" s="100"/>
    </row>
    <row r="1189" x14ac:dyDescent="0.25">
      <c r="B1189" s="1" t="s">
        <v>517</v>
      </c>
      <c r="P1189" s="93"/>
      <c r="Q1189" s="109" t="str">
        <f>R1168&amp;".08"</f>
        <v>A.08</v>
      </c>
      <c r="R1189" s="19"/>
      <c r="S1189" s="19"/>
      <c r="T1189">
        <f t="shared" si="750"/>
        <v>0</v>
      </c>
      <c r="U1189" s="19"/>
      <c r="V1189">
        <f t="shared" si="751"/>
        <v>0</v>
      </c>
      <c r="W1189" s="19"/>
      <c r="X1189" s="19"/>
      <c r="Y1189" s="19"/>
      <c r="Z1189" s="19"/>
      <c r="AA1189" s="19"/>
      <c r="AB1189" s="19"/>
      <c r="AC1189" s="19"/>
      <c r="AF1189" s="109"/>
      <c r="AR1189" s="100"/>
      <c r="AS1189" s="93"/>
      <c r="AT1189" s="109" t="str">
        <f>AU$1168&amp;".08"</f>
        <v>1.08</v>
      </c>
      <c r="AU1189" s="19"/>
      <c r="AV1189" s="19"/>
      <c r="AW1189">
        <f t="shared" si="752"/>
        <v>0</v>
      </c>
      <c r="AX1189" s="19"/>
      <c r="AY1189">
        <f t="shared" si="753"/>
        <v>0</v>
      </c>
      <c r="AZ1189" s="19"/>
      <c r="BA1189" s="19"/>
      <c r="BB1189" s="19"/>
      <c r="BC1189" s="19"/>
      <c r="BD1189" s="19"/>
      <c r="BE1189" s="19"/>
      <c r="BF1189" s="19"/>
      <c r="BI1189" s="109"/>
      <c r="BU1189" s="100"/>
    </row>
    <row r="1190" x14ac:dyDescent="0.25">
      <c r="B1190" s="1" t="s">
        <v>518</v>
      </c>
      <c r="P1190" s="93"/>
      <c r="Q1190" s="109" t="str">
        <f>R1168&amp;".09"</f>
        <v>A.09</v>
      </c>
      <c r="R1190" s="19"/>
      <c r="S1190" s="19"/>
      <c r="T1190">
        <f t="shared" si="750"/>
        <v>0</v>
      </c>
      <c r="U1190" s="19"/>
      <c r="V1190">
        <f t="shared" si="751"/>
        <v>0</v>
      </c>
      <c r="W1190" s="19"/>
      <c r="X1190" s="19"/>
      <c r="Y1190" s="19"/>
      <c r="Z1190" s="19"/>
      <c r="AA1190" s="19"/>
      <c r="AB1190" s="19"/>
      <c r="AC1190" s="19"/>
      <c r="AF1190" s="109"/>
      <c r="AR1190" s="100"/>
      <c r="AS1190" s="93"/>
      <c r="AT1190" s="109" t="str">
        <f>AU$1168&amp;".09"</f>
        <v>1.09</v>
      </c>
      <c r="AU1190" s="19"/>
      <c r="AV1190" s="19"/>
      <c r="AW1190">
        <f t="shared" si="752"/>
        <v>0</v>
      </c>
      <c r="AX1190" s="19"/>
      <c r="AY1190">
        <f t="shared" si="753"/>
        <v>0</v>
      </c>
      <c r="AZ1190" s="19"/>
      <c r="BA1190" s="19"/>
      <c r="BB1190" s="19"/>
      <c r="BC1190" s="19"/>
      <c r="BD1190" s="19"/>
      <c r="BE1190" s="19"/>
      <c r="BF1190" s="19"/>
      <c r="BI1190" s="109"/>
      <c r="BU1190" s="100"/>
    </row>
    <row r="1191" x14ac:dyDescent="0.25">
      <c r="P1191" s="93"/>
      <c r="Q1191" s="109" t="str">
        <f>R1168&amp;".10"</f>
        <v>A.10</v>
      </c>
      <c r="R1191" s="19"/>
      <c r="S1191" s="19"/>
      <c r="T1191">
        <f t="shared" si="750"/>
        <v>0</v>
      </c>
      <c r="U1191" s="19"/>
      <c r="V1191">
        <f t="shared" si="751"/>
        <v>0</v>
      </c>
      <c r="W1191" s="19"/>
      <c r="X1191" s="19"/>
      <c r="Y1191" s="19"/>
      <c r="Z1191" s="19"/>
      <c r="AA1191" s="19"/>
      <c r="AB1191" s="19"/>
      <c r="AC1191" s="19"/>
      <c r="AF1191" s="109"/>
      <c r="AR1191" s="100"/>
      <c r="AS1191" s="93"/>
      <c r="AT1191" s="109" t="str">
        <f>AU$1168&amp;".10"</f>
        <v>1.10</v>
      </c>
      <c r="AU1191" s="19"/>
      <c r="AV1191" s="19"/>
      <c r="AW1191">
        <f t="shared" si="752"/>
        <v>0</v>
      </c>
      <c r="AX1191" s="19"/>
      <c r="AY1191">
        <f t="shared" si="753"/>
        <v>0</v>
      </c>
      <c r="AZ1191" s="19"/>
      <c r="BA1191" s="19"/>
      <c r="BB1191" s="19"/>
      <c r="BC1191" s="19"/>
      <c r="BD1191" s="19"/>
      <c r="BE1191" s="19"/>
      <c r="BF1191" s="19"/>
      <c r="BI1191" s="109"/>
      <c r="BU1191" s="100"/>
    </row>
    <row r="1192" x14ac:dyDescent="0.25">
      <c r="C1192" s="112" t="s">
        <v>495</v>
      </c>
      <c r="D1192" s="112"/>
      <c r="E1192" s="112"/>
      <c r="I1192" s="112" t="s">
        <v>495</v>
      </c>
      <c r="J1192" s="112"/>
      <c r="K1192" s="112"/>
      <c r="P1192" s="93"/>
      <c r="Q1192" s="109" t="str">
        <f>R1168&amp;".11"</f>
        <v>A.11</v>
      </c>
      <c r="R1192" s="19"/>
      <c r="S1192" s="19"/>
      <c r="T1192">
        <f t="shared" si="750"/>
        <v>0</v>
      </c>
      <c r="U1192" s="19"/>
      <c r="V1192">
        <f t="shared" si="751"/>
        <v>0</v>
      </c>
      <c r="W1192" s="19"/>
      <c r="X1192" s="19"/>
      <c r="Y1192" s="19"/>
      <c r="Z1192" s="19"/>
      <c r="AA1192" s="19"/>
      <c r="AB1192" s="19"/>
      <c r="AC1192" s="19"/>
      <c r="AF1192" s="109"/>
      <c r="AR1192" s="100"/>
      <c r="AS1192" s="93"/>
      <c r="AT1192" s="109" t="str">
        <f>AU$1168&amp;".11"</f>
        <v>1.11</v>
      </c>
      <c r="AU1192" s="19"/>
      <c r="AV1192" s="19"/>
      <c r="AW1192">
        <f t="shared" si="752"/>
        <v>0</v>
      </c>
      <c r="AX1192" s="19"/>
      <c r="AY1192">
        <f t="shared" si="753"/>
        <v>0</v>
      </c>
      <c r="AZ1192" s="19"/>
      <c r="BA1192" s="19"/>
      <c r="BB1192" s="19"/>
      <c r="BC1192" s="19"/>
      <c r="BD1192" s="19"/>
      <c r="BE1192" s="19"/>
      <c r="BF1192" s="19"/>
      <c r="BI1192" s="109"/>
      <c r="BU1192" s="100"/>
    </row>
    <row r="1193" x14ac:dyDescent="0.25">
      <c r="B1193" t="s">
        <v>474</v>
      </c>
      <c r="C1193" t="s">
        <v>492</v>
      </c>
      <c r="D1193" t="s">
        <v>493</v>
      </c>
      <c r="E1193" t="s">
        <v>494</v>
      </c>
      <c r="H1193" t="s">
        <v>455</v>
      </c>
      <c r="I1193" t="s">
        <v>492</v>
      </c>
      <c r="J1193" t="s">
        <v>493</v>
      </c>
      <c r="K1193" t="s">
        <v>494</v>
      </c>
      <c r="P1193" s="93"/>
      <c r="Q1193" s="109" t="str">
        <f>R1168&amp;".12"</f>
        <v>A.12</v>
      </c>
      <c r="R1193" s="19"/>
      <c r="S1193" s="19"/>
      <c r="T1193">
        <f t="shared" si="750"/>
        <v>0</v>
      </c>
      <c r="U1193" s="19"/>
      <c r="V1193">
        <f t="shared" si="751"/>
        <v>0</v>
      </c>
      <c r="W1193" s="19"/>
      <c r="X1193" s="19"/>
      <c r="Y1193" s="19"/>
      <c r="Z1193" s="19"/>
      <c r="AA1193" s="19"/>
      <c r="AB1193" s="19"/>
      <c r="AC1193" s="19"/>
      <c r="AF1193" s="109"/>
      <c r="AR1193" s="100"/>
      <c r="AS1193" s="93"/>
      <c r="AT1193" s="109" t="str">
        <f>AU$1168&amp;".12"</f>
        <v>1.12</v>
      </c>
      <c r="AU1193" s="19"/>
      <c r="AV1193" s="19"/>
      <c r="AW1193">
        <f t="shared" si="752"/>
        <v>0</v>
      </c>
      <c r="AX1193" s="19"/>
      <c r="AY1193">
        <f t="shared" si="753"/>
        <v>0</v>
      </c>
      <c r="AZ1193" s="19"/>
      <c r="BA1193" s="19"/>
      <c r="BB1193" s="19"/>
      <c r="BC1193" s="19"/>
      <c r="BD1193" s="19"/>
      <c r="BE1193" s="19"/>
      <c r="BF1193" s="19"/>
      <c r="BI1193" s="109"/>
      <c r="BU1193" s="100"/>
    </row>
    <row r="1194" x14ac:dyDescent="0.25">
      <c r="B1194" t="s">
        <v>274</v>
      </c>
      <c r="C1194" s="19">
        <v>0</v>
      </c>
      <c r="D1194" s="19">
        <v>29</v>
      </c>
      <c r="E1194">
        <f>C51+D51</f>
        <v>29</v>
      </c>
      <c r="H1194">
        <v>1</v>
      </c>
      <c r="I1194" s="19">
        <v>0</v>
      </c>
      <c r="J1194" s="19">
        <v>27</v>
      </c>
      <c r="K1194">
        <f>I51+J51</f>
        <v>27</v>
      </c>
      <c r="P1194" s="93"/>
      <c r="Q1194" s="109" t="str">
        <f>R1168&amp;".13"</f>
        <v>A.13</v>
      </c>
      <c r="R1194" s="19"/>
      <c r="S1194" s="19"/>
      <c r="T1194">
        <f t="shared" si="750"/>
        <v>0</v>
      </c>
      <c r="U1194" s="19"/>
      <c r="V1194">
        <f t="shared" si="751"/>
        <v>0</v>
      </c>
      <c r="W1194" s="19"/>
      <c r="X1194" s="19"/>
      <c r="Y1194" s="19"/>
      <c r="Z1194" s="19"/>
      <c r="AA1194" s="19"/>
      <c r="AB1194" s="19"/>
      <c r="AC1194" s="19"/>
      <c r="AF1194" s="109"/>
      <c r="AR1194" s="100"/>
      <c r="AS1194" s="93"/>
      <c r="AT1194" s="109" t="str">
        <f>AU$1168&amp;".13"</f>
        <v>1.13</v>
      </c>
      <c r="AU1194" s="19"/>
      <c r="AV1194" s="19"/>
      <c r="AW1194">
        <f t="shared" si="752"/>
        <v>0</v>
      </c>
      <c r="AX1194" s="19"/>
      <c r="AY1194">
        <f t="shared" si="753"/>
        <v>0</v>
      </c>
      <c r="AZ1194" s="19"/>
      <c r="BA1194" s="19"/>
      <c r="BB1194" s="19"/>
      <c r="BC1194" s="19"/>
      <c r="BD1194" s="19"/>
      <c r="BE1194" s="19"/>
      <c r="BF1194" s="19"/>
      <c r="BI1194" s="109"/>
      <c r="BU1194" s="100"/>
    </row>
    <row r="1195" x14ac:dyDescent="0.25">
      <c r="B1195" t="s">
        <v>279</v>
      </c>
      <c r="C1195" s="19">
        <v>29</v>
      </c>
      <c r="D1195" s="19">
        <v>6</v>
      </c>
      <c r="E1195">
        <f t="shared" ref="E43:E67" si="754">C43+D43</f>
        <v>35</v>
      </c>
      <c r="H1195">
        <v>2</v>
      </c>
      <c r="I1195" s="19">
        <v>27</v>
      </c>
      <c r="J1195" s="19">
        <v>14</v>
      </c>
      <c r="K1195">
        <f t="shared" ref="K43:K67" si="755">I43+J43</f>
        <v>41</v>
      </c>
      <c r="P1195" s="93"/>
      <c r="Q1195" s="109" t="str">
        <f>R1168&amp;".14"</f>
        <v>A.14</v>
      </c>
      <c r="R1195" s="19"/>
      <c r="S1195" s="19"/>
      <c r="T1195">
        <f t="shared" si="750"/>
        <v>0</v>
      </c>
      <c r="U1195" s="19"/>
      <c r="V1195">
        <f t="shared" si="751"/>
        <v>0</v>
      </c>
      <c r="W1195" s="19"/>
      <c r="X1195" s="19"/>
      <c r="Y1195" s="19"/>
      <c r="Z1195" s="19"/>
      <c r="AA1195" s="19"/>
      <c r="AB1195" s="19"/>
      <c r="AC1195" s="19"/>
      <c r="AF1195" s="109"/>
      <c r="AR1195" s="100"/>
      <c r="AS1195" s="93"/>
      <c r="AT1195" s="109" t="str">
        <f>AU$1168&amp;".14"</f>
        <v>1.14</v>
      </c>
      <c r="AU1195" s="19"/>
      <c r="AV1195" s="19"/>
      <c r="AW1195">
        <f t="shared" si="752"/>
        <v>0</v>
      </c>
      <c r="AX1195" s="19"/>
      <c r="AY1195">
        <f t="shared" si="753"/>
        <v>0</v>
      </c>
      <c r="AZ1195" s="19"/>
      <c r="BA1195" s="19"/>
      <c r="BB1195" s="19"/>
      <c r="BC1195" s="19"/>
      <c r="BD1195" s="19"/>
      <c r="BE1195" s="19"/>
      <c r="BF1195" s="19"/>
      <c r="BI1195" s="109"/>
      <c r="BU1195" s="100"/>
    </row>
    <row r="1196" x14ac:dyDescent="0.25">
      <c r="B1196" t="s">
        <v>283</v>
      </c>
      <c r="C1196" s="19">
        <v>6</v>
      </c>
      <c r="D1196" s="19">
        <v>29</v>
      </c>
      <c r="E1196">
        <f t="shared" si="754"/>
        <v>35</v>
      </c>
      <c r="H1196">
        <v>3</v>
      </c>
      <c r="I1196" s="19">
        <v>14</v>
      </c>
      <c r="J1196" s="19">
        <v>13</v>
      </c>
      <c r="K1196">
        <f t="shared" si="755"/>
        <v>27</v>
      </c>
      <c r="P1196" s="93"/>
      <c r="Q1196" s="109" t="str">
        <f>R1168&amp;".15"</f>
        <v>A.15</v>
      </c>
      <c r="R1196" s="19"/>
      <c r="S1196" s="19"/>
      <c r="T1196">
        <f t="shared" si="750"/>
        <v>0</v>
      </c>
      <c r="U1196" s="19"/>
      <c r="V1196">
        <f t="shared" si="751"/>
        <v>0</v>
      </c>
      <c r="W1196" s="19"/>
      <c r="X1196" s="19"/>
      <c r="Y1196" s="19"/>
      <c r="Z1196" s="19"/>
      <c r="AA1196" s="19"/>
      <c r="AB1196" s="19"/>
      <c r="AC1196" s="19"/>
      <c r="AF1196" s="109"/>
      <c r="AR1196" s="100"/>
      <c r="AS1196" s="93"/>
      <c r="AT1196" s="109" t="str">
        <f>AU$1168&amp;".15"</f>
        <v>1.15</v>
      </c>
      <c r="AU1196" s="19"/>
      <c r="AV1196" s="19"/>
      <c r="AW1196">
        <f t="shared" si="752"/>
        <v>0</v>
      </c>
      <c r="AX1196" s="19"/>
      <c r="AY1196">
        <f t="shared" si="753"/>
        <v>0</v>
      </c>
      <c r="AZ1196" s="19"/>
      <c r="BA1196" s="19"/>
      <c r="BB1196" s="19"/>
      <c r="BC1196" s="19"/>
      <c r="BD1196" s="19"/>
      <c r="BE1196" s="19"/>
      <c r="BF1196" s="19"/>
      <c r="BI1196" s="109"/>
      <c r="BU1196" s="100"/>
    </row>
    <row r="1197" x14ac:dyDescent="0.25">
      <c r="B1197" t="s">
        <v>287</v>
      </c>
      <c r="C1197" s="19">
        <v>26</v>
      </c>
      <c r="D1197" s="19">
        <v>26</v>
      </c>
      <c r="E1197">
        <f t="shared" si="754"/>
        <v>52</v>
      </c>
      <c r="F1197" t="s">
        <v>506</v>
      </c>
      <c r="H1197">
        <v>4</v>
      </c>
      <c r="I1197" s="19">
        <v>13</v>
      </c>
      <c r="J1197" s="19">
        <v>27</v>
      </c>
      <c r="K1197">
        <f t="shared" si="755"/>
        <v>40</v>
      </c>
      <c r="P1197" s="93"/>
      <c r="Q1197" s="109" t="str">
        <f>R1168&amp;".16"</f>
        <v>A.16</v>
      </c>
      <c r="R1197" s="19"/>
      <c r="S1197" s="19"/>
      <c r="T1197">
        <f t="shared" si="750"/>
        <v>0</v>
      </c>
      <c r="U1197" s="19"/>
      <c r="V1197">
        <f t="shared" si="751"/>
        <v>0</v>
      </c>
      <c r="W1197" s="19"/>
      <c r="X1197" s="19"/>
      <c r="Y1197" s="19"/>
      <c r="Z1197" s="19"/>
      <c r="AA1197" s="19"/>
      <c r="AB1197" s="19"/>
      <c r="AC1197" s="19"/>
      <c r="AF1197" s="109"/>
      <c r="AR1197" s="100"/>
      <c r="AS1197" s="93"/>
      <c r="AT1197" s="109" t="str">
        <f>AU$1168&amp;".16"</f>
        <v>1.16</v>
      </c>
      <c r="AU1197" s="19"/>
      <c r="AV1197" s="19"/>
      <c r="AW1197">
        <f t="shared" si="752"/>
        <v>0</v>
      </c>
      <c r="AX1197" s="19"/>
      <c r="AY1197">
        <f t="shared" si="753"/>
        <v>0</v>
      </c>
      <c r="AZ1197" s="19"/>
      <c r="BA1197" s="19"/>
      <c r="BB1197" s="19"/>
      <c r="BC1197" s="19"/>
      <c r="BD1197" s="19"/>
      <c r="BE1197" s="19"/>
      <c r="BF1197" s="19"/>
      <c r="BI1197" s="109"/>
      <c r="BU1197" s="100"/>
    </row>
    <row r="1198" x14ac:dyDescent="0.25">
      <c r="B1198" t="s">
        <v>288</v>
      </c>
      <c r="C1198" s="19">
        <v>29</v>
      </c>
      <c r="D1198" s="19">
        <v>0</v>
      </c>
      <c r="E1198">
        <f t="shared" si="754"/>
        <v>29</v>
      </c>
      <c r="H1198">
        <v>5</v>
      </c>
      <c r="I1198" s="19">
        <v>27</v>
      </c>
      <c r="J1198" s="19">
        <v>11</v>
      </c>
      <c r="K1198">
        <f t="shared" si="755"/>
        <v>38</v>
      </c>
      <c r="P1198" s="93"/>
      <c r="R1198">
        <f>SUM(R1182:R1197)</f>
        <v>29</v>
      </c>
      <c r="AR1198" s="100"/>
      <c r="AS1198" s="93"/>
      <c r="AU1198">
        <f>SUM(AU1182:AU1197)</f>
        <v>29</v>
      </c>
      <c r="BU1198" s="100"/>
    </row>
    <row r="1199" x14ac:dyDescent="0.25">
      <c r="B1199" t="s">
        <v>293</v>
      </c>
      <c r="C1199" s="19">
        <v>17</v>
      </c>
      <c r="D1199" s="19">
        <v>27</v>
      </c>
      <c r="E1199">
        <f t="shared" si="754"/>
        <v>44</v>
      </c>
      <c r="H1199">
        <v>6</v>
      </c>
      <c r="I1199" s="19">
        <v>11</v>
      </c>
      <c r="J1199" s="19">
        <v>6</v>
      </c>
      <c r="K1199">
        <f t="shared" si="755"/>
        <v>17</v>
      </c>
      <c r="P1199" s="93"/>
      <c r="AP1199" t="s">
        <v>746</v>
      </c>
      <c r="AR1199" s="100"/>
      <c r="AS1199" s="93"/>
      <c r="BS1199" t="s">
        <v>746</v>
      </c>
      <c r="BU1199" s="100"/>
    </row>
    <row r="1200" x14ac:dyDescent="0.25">
      <c r="B1200" t="s">
        <v>456</v>
      </c>
      <c r="C1200" s="19">
        <v>27</v>
      </c>
      <c r="D1200" s="19">
        <v>27</v>
      </c>
      <c r="E1200">
        <f t="shared" si="754"/>
        <v>54</v>
      </c>
      <c r="H1200">
        <v>7</v>
      </c>
      <c r="I1200" s="19">
        <v>6</v>
      </c>
      <c r="J1200" s="19">
        <v>11</v>
      </c>
      <c r="K1200">
        <f t="shared" si="755"/>
        <v>17</v>
      </c>
      <c r="P1200" s="93"/>
      <c r="Q1200" t="s">
        <v>525</v>
      </c>
      <c r="R1200" t="s">
        <v>263</v>
      </c>
      <c r="S1200" t="s">
        <v>526</v>
      </c>
      <c r="T1200" t="s">
        <v>570</v>
      </c>
      <c r="U1200" t="s">
        <v>571</v>
      </c>
      <c r="V1200" t="s">
        <v>572</v>
      </c>
      <c r="W1200" t="s">
        <v>539</v>
      </c>
      <c r="X1200" t="s">
        <v>538</v>
      </c>
      <c r="Z1200" t="s">
        <v>522</v>
      </c>
      <c r="AA1200" t="s">
        <v>523</v>
      </c>
      <c r="AB1200" t="s">
        <v>541</v>
      </c>
      <c r="AC1200" t="s">
        <v>540</v>
      </c>
      <c r="AD1200" t="s">
        <v>542</v>
      </c>
      <c r="AE1200" t="s">
        <v>520</v>
      </c>
      <c r="AF1200" t="s">
        <v>521</v>
      </c>
      <c r="AG1200" t="s">
        <v>527</v>
      </c>
      <c r="AH1200" t="s">
        <v>528</v>
      </c>
      <c r="AI1200" t="s">
        <v>543</v>
      </c>
      <c r="AJ1200" t="s">
        <v>744</v>
      </c>
      <c r="AK1200" t="s">
        <v>745</v>
      </c>
      <c r="AL1200" t="s">
        <v>749</v>
      </c>
      <c r="AM1200" t="s">
        <v>750</v>
      </c>
      <c r="AN1200" t="s">
        <v>751</v>
      </c>
      <c r="AP1200" t="s">
        <v>747</v>
      </c>
      <c r="AQ1200" t="s">
        <v>748</v>
      </c>
      <c r="AR1200" s="100"/>
      <c r="AS1200" s="93"/>
      <c r="AT1200" t="s">
        <v>525</v>
      </c>
      <c r="AU1200" t="s">
        <v>263</v>
      </c>
      <c r="AV1200" t="s">
        <v>526</v>
      </c>
      <c r="AW1200" t="s">
        <v>570</v>
      </c>
      <c r="AX1200" t="s">
        <v>571</v>
      </c>
      <c r="AY1200" t="s">
        <v>572</v>
      </c>
      <c r="AZ1200" t="s">
        <v>539</v>
      </c>
      <c r="BA1200" t="s">
        <v>538</v>
      </c>
      <c r="BC1200" t="s">
        <v>522</v>
      </c>
      <c r="BD1200" t="s">
        <v>523</v>
      </c>
      <c r="BE1200" t="s">
        <v>541</v>
      </c>
      <c r="BF1200" t="s">
        <v>540</v>
      </c>
      <c r="BG1200" t="s">
        <v>542</v>
      </c>
      <c r="BH1200" t="s">
        <v>520</v>
      </c>
      <c r="BI1200" t="s">
        <v>521</v>
      </c>
      <c r="BJ1200" t="s">
        <v>527</v>
      </c>
      <c r="BK1200" t="s">
        <v>528</v>
      </c>
      <c r="BL1200" t="s">
        <v>543</v>
      </c>
      <c r="BM1200" t="s">
        <v>744</v>
      </c>
      <c r="BN1200" t="s">
        <v>745</v>
      </c>
      <c r="BO1200" t="s">
        <v>749</v>
      </c>
      <c r="BP1200" t="s">
        <v>750</v>
      </c>
      <c r="BQ1200" t="s">
        <v>751</v>
      </c>
      <c r="BS1200" t="s">
        <v>747</v>
      </c>
      <c r="BT1200" t="s">
        <v>748</v>
      </c>
      <c r="BU1200" s="100"/>
    </row>
    <row r="1201" x14ac:dyDescent="0.25">
      <c r="B1201" t="s">
        <v>457</v>
      </c>
      <c r="C1201" s="19">
        <v>27</v>
      </c>
      <c r="D1201" s="19">
        <v>27</v>
      </c>
      <c r="E1201">
        <f t="shared" si="754"/>
        <v>54</v>
      </c>
      <c r="H1201">
        <v>8</v>
      </c>
      <c r="I1201" s="19">
        <v>20</v>
      </c>
      <c r="J1201" s="19">
        <v>0</v>
      </c>
      <c r="K1201">
        <f t="shared" si="755"/>
        <v>20</v>
      </c>
      <c r="L1201" t="s">
        <v>506</v>
      </c>
      <c r="P1201" s="93"/>
      <c r="Q1201" s="110" t="str">
        <f>$Q$1182</f>
        <v>A.01</v>
      </c>
      <c r="R1201" t="str">
        <f>$Q$1173</f>
        <v>L2</v>
      </c>
      <c r="S1201">
        <f>$E$21</f>
        <v>10.6875</v>
      </c>
      <c r="T1201" cm="1">
        <f t="array" ref="T1201">IFERROR(IF(S1201=0,0,(INDEX($C$33:$C$38,MATCH($W$1182,$B$33:$B$38,0),0)*(S1205+$X$1182)+$T$1182*COUNTIF(S1201:S1204,"&gt;0")*$C$32+$V$1182*$C$31)*$R$1182),0)</f>
        <v>30539.71875</v>
      </c>
      <c r="U1201">
        <f>IF(S1201=0,0,-(COUNTIF(S1201:S1204,"&gt;0")*$T$1182*$C$32+$V$1182*$C$31)*$H$27*$R$1182)</f>
        <v>-363.31199999999995</v>
      </c>
      <c r="V1201">
        <f>IF(S1201=0,0,$V$1182*$H$26*$R$1182)</f>
        <v>-1328.1999999999998</v>
      </c>
      <c r="W1201">
        <f>(0.6*T1201+0.7*U1201)*$R$1182/2</f>
        <v>262007.93632499999</v>
      </c>
      <c r="X1201">
        <f>(0.6*T1201+0.6*V1201)*$R$1182/2</f>
        <v>254140.21312500001</v>
      </c>
      <c r="Z1201">
        <f>IF(S1201=0,0,$AD$1182*$AP$1173)</f>
        <v>343.06999999999994</v>
      </c>
      <c r="AA1201">
        <f>IFERROR(Z1201/$R$1182,0)</f>
        <v>11.829999999999998</v>
      </c>
      <c r="AB1201">
        <f>Z1201*($F$21+IF($F$21=0,0,($C$14+$C$15+IF($C$13="single",1.5,3)+3)/12))</f>
        <v>3666.5606249999992</v>
      </c>
      <c r="AC1201">
        <f>AB1201-W1201</f>
        <v>-258341.37569999998</v>
      </c>
      <c r="AD1201" cm="1">
        <f t="array" ref="AD1201">IFERROR(IF(AC1201&lt;0,0,AC1201/($R$1182-INDEX(hd_off,MATCH(AQ1201,hd_mark,0),0)/12)),0)</f>
        <v>0</v>
      </c>
      <c r="AE1201">
        <f>IF(S1201=0,0,$AD$1182*$AM$1173)</f>
        <v>7899.5999999999995</v>
      </c>
      <c r="AF1201">
        <f>IFERROR(AE1201/$R$1182,0)</f>
        <v>272.39999999999998</v>
      </c>
      <c r="AG1201">
        <f>AE1201*($F$21+IF($F$21=0,0,($C$14+$C$15+IF($C$13="single",1.5,3)+3)/12))</f>
        <v>84426.974999999991</v>
      </c>
      <c r="AH1201">
        <f>AG1201-X1201</f>
        <v>-169713.23812500003</v>
      </c>
      <c r="AI1201" cm="1">
        <f t="array" ref="AI1201">IFERROR(IF(AH1201&lt;0,0,AH1201/($R$1182-INDEX(hd_off,MATCH(AQ1201,hd_mark,0),0)/12)),0)</f>
        <v>0</v>
      </c>
      <c r="AJ1201">
        <f>MAX($F$21,$Y$1182)/$Q$1204</f>
        <v>0.30172413793103448</v>
      </c>
      <c r="AK1201">
        <f>IF(AJ1201=0,0,IF(AJ1201&gt;2,1.25-0.125*AJ1201,1))</f>
        <v>1</v>
      </c>
      <c r="AL1201" cm="1">
        <f t="array" ref="AL1201">IFERROR(INDEX(sheath_ecap_asd,MATCH(AP1201,sheath_mark,0),0)*AK1201,0)</f>
        <v>239.85714285714286</v>
      </c>
      <c r="AM1201" cm="1">
        <f t="array" ref="AM1201">IFERROR(INDEX(sheath_wcap_asd,MATCH(AP1201,sheath_mark,0),0)*AK1201,0)</f>
        <v>335.8</v>
      </c>
      <c r="AN1201" cm="1">
        <f t="array" ref="AN1201">IFERROR(INDEX(hd_cap,MATCH(AQ1201,hd_mark,0),0),0)</f>
        <v>0</v>
      </c>
      <c r="AP1201" s="19">
        <v>21</v>
      </c>
      <c r="AQ1201" s="19"/>
      <c r="AR1201" s="100"/>
      <c r="AS1201" s="93"/>
      <c r="AT1201" s="110" t="str">
        <f>$AT$1182</f>
        <v>1.01</v>
      </c>
      <c r="AU1201" t="str">
        <f>$Q$1173</f>
        <v>L2</v>
      </c>
      <c r="AV1201">
        <f>$E$21</f>
        <v>10.6875</v>
      </c>
      <c r="AW1201" cm="1">
        <f t="array" ref="AW1201">IFERROR(IF(AV1201=0,0,(INDEX($C$33:$C$38,MATCH($AZ$1182,$B$33:$B$38,0),0)*(AV1205+$BA$1182)+$AW$1182*COUNTIF(AV1201:AV1204,"&gt;0")*$C$32+$AY$1182*$C$31)*$AU$1182),0)</f>
        <v>30539.71875</v>
      </c>
      <c r="AX1201">
        <f>IF(AV1201=0,0,-(COUNTIF(AV1201:AV1204,"&gt;0")*$AW$1182*$C$32+$AY$1182*$C$31)*$H$27*$AU$1182)</f>
        <v>-363.31199999999995</v>
      </c>
      <c r="AY1201">
        <f>IF(AV1201=0,0,$AY$1182*$H$26*$AU$1182)</f>
        <v>-1328.1999999999998</v>
      </c>
      <c r="AZ1201">
        <f>(0.6*AW1201+0.7*AX1201)*$AU$1182/2</f>
        <v>262007.93632499999</v>
      </c>
      <c r="BA1201">
        <f>(0.6*AW1201+0.6*AY1201)*$AU$1182/2</f>
        <v>254140.21312500001</v>
      </c>
      <c r="BC1201">
        <f>IF(AV1201=0,0,$BG$1182*$AP$1173)</f>
        <v>343.06999999999994</v>
      </c>
      <c r="BD1201">
        <f>IFERROR(BC1201/$AU$1182,0)</f>
        <v>11.829999999999998</v>
      </c>
      <c r="BE1201">
        <f>BC1201*($F$21+IF($F$21=0,0,($C$14+$C$15+IF($C$13="single",1.5,3)+3)/12))</f>
        <v>3666.5606249999992</v>
      </c>
      <c r="BF1201">
        <f>BE1201-AZ1201</f>
        <v>-258341.37569999998</v>
      </c>
      <c r="BG1201" cm="1">
        <f t="array" ref="BG1201">IFERROR(IF(BF1201&lt;0,0,BF1201/($AU$1182-INDEX(hd_off,MATCH(BT1201,hd_mark,0),0)/12)),0)</f>
        <v>0</v>
      </c>
      <c r="BH1201">
        <f>IF(AV1201=0,0,$BG$1182*$AM$1173)</f>
        <v>7899.5999999999995</v>
      </c>
      <c r="BI1201">
        <f>IFERROR(BH1201/$AU$1182,0)</f>
        <v>272.39999999999998</v>
      </c>
      <c r="BJ1201">
        <f>BH1201*($F$21+IF($F$21=0,0,($C$14+$C$15+IF($C$13="single",1.5,3)+3)/12))</f>
        <v>84426.974999999991</v>
      </c>
      <c r="BK1201">
        <f>BJ1201-BA1201</f>
        <v>-169713.23812500003</v>
      </c>
      <c r="BL1201" cm="1">
        <f t="array" ref="BL1201">IFERROR(IF(BK1201&lt;0,0,BK1201/($AU$1182-INDEX(hd_off,MATCH(BT1201,hd_mark,0),0)/12)),0)</f>
        <v>0</v>
      </c>
      <c r="BM1201">
        <f>MAX($F$21,$BB$1182)/$Q$1204</f>
        <v>0.30172413793103448</v>
      </c>
      <c r="BN1201">
        <f>IF(BM1201=0,0,IF(BM1201&gt;2,1.25-0.125*BM1201,1))</f>
        <v>1</v>
      </c>
      <c r="BO1201" cm="1">
        <f t="array" ref="BO1201">IFERROR(INDEX(sheath_ecap_asd,MATCH(BS1201,sheath_mark,0),0)*BN1201,0)</f>
        <v>239.85714285714286</v>
      </c>
      <c r="BP1201" cm="1">
        <f t="array" ref="BP1201">IFERROR(INDEX(sheath_wcap_asd,MATCH(BS1201,sheath_mark,0),0)*BN1201,0)</f>
        <v>335.8</v>
      </c>
      <c r="BQ1201" cm="1">
        <f t="array" ref="BQ1201">IFERROR(INDEX(hd_cap,MATCH(BT1201,hd_mark,0),0),0)</f>
        <v>0</v>
      </c>
      <c r="BS1201" s="19">
        <v>21</v>
      </c>
      <c r="BT1201" s="19"/>
      <c r="BU1201" s="100"/>
    </row>
    <row r="1202" x14ac:dyDescent="0.25">
      <c r="B1202" t="s">
        <v>458</v>
      </c>
      <c r="C1202" s="19">
        <v>27</v>
      </c>
      <c r="D1202" s="19">
        <v>27</v>
      </c>
      <c r="E1202">
        <f t="shared" si="754"/>
        <v>54</v>
      </c>
      <c r="H1202">
        <v>9</v>
      </c>
      <c r="I1202" s="19">
        <v>30</v>
      </c>
      <c r="J1202" s="19">
        <v>0</v>
      </c>
      <c r="K1202">
        <f t="shared" si="755"/>
        <v>30</v>
      </c>
      <c r="P1202" s="93"/>
      <c r="Q1202" s="109"/>
      <c r="R1202" t="str">
        <f>$Q$1174</f>
        <v>L3</v>
      </c>
      <c r="S1202">
        <f>$E$22</f>
        <v>21.375</v>
      </c>
      <c r="T1202" cm="1">
        <f t="array" ref="T1202">IFERROR(IF(S1202=0,0,(INDEX($C$33:$C$38,MATCH($W$1182,$B$33:$B$38,0),0)*(S1205+$X$1182)+$T$1182*COUNTIF(S1202:S1204,"&gt;0")*$C$32+$V$1182*$C$31)*$R$1182),0)</f>
        <v>26015.71875</v>
      </c>
      <c r="U1202">
        <f>IF(S1202=0,0,-(COUNTIF(S1202:S1204,"&gt;0")*$T$1182*$C$32+$V$1182*$C$31)*$H$27*$R$1182)</f>
        <v>-200.44799999999998</v>
      </c>
      <c r="V1202">
        <f>IF(S1202=0,0,$V$1182*$H$26*$R$1182)</f>
        <v>-1328.1999999999998</v>
      </c>
      <c r="W1202">
        <f t="shared" ref="W1202:W1204" si="756">(0.6*T1202+0.7*U1202)*$R$1182/2</f>
        <v>224302.20592500002</v>
      </c>
      <c r="X1202">
        <f>T1202*$R$1182/2</f>
        <v>377227.921875</v>
      </c>
      <c r="Z1202">
        <f>IF(S1202=0,0,$AD$1182*$AP$1174)</f>
        <v>376.565</v>
      </c>
      <c r="AA1202">
        <f>IFERROR(Z1202/$R$1182,0)</f>
        <v>12.984999999999999</v>
      </c>
      <c r="AB1202">
        <f>Z1202*($F$22+IF($F$22=0,0,($C$14+$C$15+IF($C$13="single",1.5,3)+3)/12))</f>
        <v>4024.5384374999999</v>
      </c>
      <c r="AC1202">
        <f>AB1202-W1202</f>
        <v>-220277.6674875</v>
      </c>
      <c r="AD1202" cm="1">
        <f t="array" ref="AD1202">IFERROR(IF(AC1202&lt;0,0,AC1202/($R$1182-INDEX(hd_off,MATCH(AQ1202,hd_mark,0),0)/12)),0)</f>
        <v>0</v>
      </c>
      <c r="AE1202">
        <f>IF(S1202=0,0,$AD$1182*$AM$1174)</f>
        <v>5846.4</v>
      </c>
      <c r="AF1202">
        <f>IFERROR(AE1202/$R$1182,0)</f>
        <v>201.6</v>
      </c>
      <c r="AG1202">
        <f>AE1202*($F$22+IF($F$22=0,0,($C$14+$C$15+IF($C$13="single",1.5,3)+3)/12))</f>
        <v>62483.399999999994</v>
      </c>
      <c r="AH1202">
        <f>AG1202-X1202</f>
        <v>-314744.52187499998</v>
      </c>
      <c r="AI1202" cm="1">
        <f t="array" ref="AI1202">IFERROR(IF(AH1202&lt;0,0,AH1202/($R$1182-INDEX(hd_off,MATCH(AQ1202,hd_mark,0),0)/12)),0)</f>
        <v>0</v>
      </c>
      <c r="AJ1202">
        <f>MAX($F$22,$Z$1182)/$Q$1204</f>
        <v>0.30172413793103448</v>
      </c>
      <c r="AK1202">
        <f t="shared" ref="AK1202:AK1205" si="757">IF(AJ1202=0,0,IF(AJ1202&gt;2,1.25-0.125*AJ1202,1))</f>
        <v>1</v>
      </c>
      <c r="AL1202" cm="1">
        <f t="array" ref="AL1202">IFERROR(INDEX(sheath_ecap_asd,MATCH(AP1202,sheath_mark,0),0)*AK1202,0)</f>
        <v>239.85714285714286</v>
      </c>
      <c r="AM1202" cm="1">
        <f t="array" ref="AM1202">IFERROR(INDEX(sheath_wcap_asd,MATCH(AP1202,sheath_mark,0),0)*AK1202,0)</f>
        <v>335.8</v>
      </c>
      <c r="AN1202" cm="1">
        <f t="array" ref="AN1202">IFERROR(INDEX(hd_cap,MATCH(AQ1202,hd_mark,0),0),0)</f>
        <v>0</v>
      </c>
      <c r="AP1202" s="19">
        <v>21</v>
      </c>
      <c r="AQ1202" s="19"/>
      <c r="AR1202" s="100"/>
      <c r="AS1202" s="93"/>
      <c r="AT1202" s="109"/>
      <c r="AU1202" t="str">
        <f>$Q$1174</f>
        <v>L3</v>
      </c>
      <c r="AV1202">
        <f>$E$22</f>
        <v>21.375</v>
      </c>
      <c r="AW1202" cm="1">
        <f t="array" ref="AW1202">IFERROR(IF(AV1202=0,0,(INDEX($C$33:$C$38,MATCH($AZ$1182,$B$33:$B$38,0),0)*(AV1205+$BA$1182)+$AW$1182*COUNTIF(AV1202:AV1204,"&gt;0")*$C$32+$AY$1182*$C$31)*$AU$1182),0)</f>
        <v>26015.71875</v>
      </c>
      <c r="AX1202">
        <f>IF(AV1202=0,0,-(COUNTIF(AV1202:AV1204,"&gt;0")*$AW$1182*$C$32+$AY$1182*$C$31)*$H$27*$AU$1182)</f>
        <v>-200.44799999999998</v>
      </c>
      <c r="AY1202">
        <f>IF(AV1202=0,0,$AY$1182*$H$26*$AU$1182)</f>
        <v>-1328.1999999999998</v>
      </c>
      <c r="AZ1202">
        <f>(0.6*AW1202+0.7*AX1202)*$AU$1182/2</f>
        <v>224302.20592500002</v>
      </c>
      <c r="BA1202">
        <f>AW1202*$AU$1182/2</f>
        <v>377227.921875</v>
      </c>
      <c r="BC1202">
        <f>IF(AV1202=0,0,$BG$1182*$AP$1174)</f>
        <v>376.565</v>
      </c>
      <c r="BD1202">
        <f>IFERROR(BC1202/$AU$1182,0)</f>
        <v>12.984999999999999</v>
      </c>
      <c r="BE1202">
        <f>BC1202*($F$22+IF($F$22=0,0,($C$14+$C$15+IF($C$13="single",1.5,3)+3)/12))</f>
        <v>4024.5384374999999</v>
      </c>
      <c r="BF1202">
        <f>BE1202-AZ1202</f>
        <v>-220277.6674875</v>
      </c>
      <c r="BG1202" cm="1">
        <f t="array" ref="BG1202">IFERROR(IF(BF1202&lt;0,0,BF1202/($AU$1182-INDEX(hd_off,MATCH(BT1202,hd_mark,0),0)/12)),0)</f>
        <v>0</v>
      </c>
      <c r="BH1202">
        <f>IF(AV1202=0,0,$BG$1182*$AM$1174)</f>
        <v>5846.4</v>
      </c>
      <c r="BI1202">
        <f>IFERROR(BH1202/$AU$1182,0)</f>
        <v>201.6</v>
      </c>
      <c r="BJ1202">
        <f>BH1202*($F$22+IF($F$22=0,0,($C$14+$C$15+IF($C$13="single",1.5,3)+3)/12))</f>
        <v>62483.399999999994</v>
      </c>
      <c r="BK1202">
        <f>BJ1202-BA1202</f>
        <v>-314744.52187499998</v>
      </c>
      <c r="BL1202" cm="1">
        <f t="array" ref="BL1202">IFERROR(IF(BK1202&lt;0,0,BK1202/($AU$1182-INDEX(hd_off,MATCH(BT1202,hd_mark,0),0)/12)),0)</f>
        <v>0</v>
      </c>
      <c r="BM1202">
        <f>MAX($F$22,$BC$1182)/$Q$1204</f>
        <v>0.30172413793103448</v>
      </c>
      <c r="BN1202">
        <f t="shared" ref="BN1202:BN1205" si="758">IF(BM1202=0,0,IF(BM1202&gt;2,1.25-0.125*BM1202,1))</f>
        <v>1</v>
      </c>
      <c r="BO1202" cm="1">
        <f t="array" ref="BO1202">IFERROR(INDEX(sheath_ecap_asd,MATCH(BS1202,sheath_mark,0),0)*BN1202,0)</f>
        <v>239.85714285714286</v>
      </c>
      <c r="BP1202" cm="1">
        <f t="array" ref="BP1202">IFERROR(INDEX(sheath_wcap_asd,MATCH(BS1202,sheath_mark,0),0)*BN1202,0)</f>
        <v>335.8</v>
      </c>
      <c r="BQ1202" cm="1">
        <f t="array" ref="BQ1202">IFERROR(INDEX(hd_cap,MATCH(BT1202,hd_mark,0),0),0)</f>
        <v>0</v>
      </c>
      <c r="BS1202" s="19">
        <v>21</v>
      </c>
      <c r="BT1202" s="19"/>
      <c r="BU1202" s="100"/>
    </row>
    <row r="1203" x14ac:dyDescent="0.25">
      <c r="B1203" t="s">
        <v>459</v>
      </c>
      <c r="C1203" s="19">
        <v>27</v>
      </c>
      <c r="D1203" s="19">
        <v>41</v>
      </c>
      <c r="E1203">
        <f t="shared" si="754"/>
        <v>68</v>
      </c>
      <c r="F1203" t="s">
        <v>506</v>
      </c>
      <c r="H1203">
        <v>10</v>
      </c>
      <c r="I1203" s="19">
        <v>30</v>
      </c>
      <c r="J1203" s="19">
        <v>0</v>
      </c>
      <c r="K1203">
        <f t="shared" si="755"/>
        <v>30</v>
      </c>
      <c r="P1203" s="93"/>
      <c r="Q1203" s="109" t="s">
        <v>491</v>
      </c>
      <c r="R1203" t="str">
        <f>$Q$1175</f>
        <v>L4</v>
      </c>
      <c r="S1203">
        <f>$E$23</f>
        <v>0</v>
      </c>
      <c r="T1203" cm="1">
        <f t="array" ref="T1203">IFERROR(IF(S1203=0,0,(INDEX($C$33:$C$38,MATCH($W$1182,$B$33:$B$38,0),0)*(S1205+$X$1182)+$T$1182*COUNTIF(S1203:S1204,"&gt;0")*$C$32+$V$1182*$C$31)*$R$1182),0)</f>
        <v>0</v>
      </c>
      <c r="U1203">
        <f>IF(S1203=0,0,-(COUNTIF(S1203:S1204,"&gt;0")*$T$1182*$C$32+$V$1182*$C$31)*$H$27*$R$1182)</f>
        <v>0</v>
      </c>
      <c r="V1203">
        <f>IF(S1203=0,0,$V$1182*$H$26*$R$1182)</f>
        <v>0</v>
      </c>
      <c r="W1203">
        <f t="shared" si="756"/>
        <v>0</v>
      </c>
      <c r="X1203">
        <f>T1203*$R$1182/2</f>
        <v>0</v>
      </c>
      <c r="Z1203">
        <f>IF(S1203=0,0,$AD$1182*$AP$1175)</f>
        <v>0</v>
      </c>
      <c r="AA1203">
        <f>IFERROR(Z1203/$R$1182,0)</f>
        <v>0</v>
      </c>
      <c r="AB1203">
        <f>Z1203*($F$23+IF($F$23=0,0,($C$14+$C$15+IF($C$13="single",1.5,3)+3)/12))</f>
        <v>0</v>
      </c>
      <c r="AC1203">
        <f>AB1203-W1203</f>
        <v>0</v>
      </c>
      <c r="AD1203" cm="1">
        <f t="array" ref="AD1203">IFERROR(IF(AC1203&lt;0,0,AC1203/($R$1182-INDEX(hd_off,MATCH(AQ1203,hd_mark,0),0)/12)),0)</f>
        <v>0</v>
      </c>
      <c r="AE1203">
        <f>IF(S1203=0,0,$AD$1182*$AM$1175)</f>
        <v>0</v>
      </c>
      <c r="AF1203">
        <f>IFERROR(AE1203/$R$1182,0)</f>
        <v>0</v>
      </c>
      <c r="AG1203">
        <f>AE1203*($F$23+IF($F$23=0,0,($C$14+$C$15+IF($C$13="single",1.5,3)+3)/12))</f>
        <v>0</v>
      </c>
      <c r="AH1203">
        <f>AG1203-X1203</f>
        <v>0</v>
      </c>
      <c r="AI1203" cm="1">
        <f t="array" ref="AI1203">IFERROR(IF(AH1203&lt;0,0,AH1203/($R$1182-INDEX(hd_off,MATCH(AQ1203,hd_mark,0),0)/12)),0)</f>
        <v>0</v>
      </c>
      <c r="AJ1203">
        <f>MAX($F$23,$AA$1182)/$Q$1204</f>
        <v>0</v>
      </c>
      <c r="AK1203">
        <f t="shared" si="757"/>
        <v>0</v>
      </c>
      <c r="AL1203" cm="1">
        <f t="array" ref="AL1203">IFERROR(INDEX(sheath_ecap_asd,MATCH(AP1203,sheath_mark,0),0)*AK1203,0)</f>
        <v>0</v>
      </c>
      <c r="AM1203" cm="1">
        <f t="array" ref="AM1203">IFERROR(INDEX(sheath_wcap_asd,MATCH(AP1203,sheath_mark,0),0)*AK1203,0)</f>
        <v>0</v>
      </c>
      <c r="AN1203" cm="1">
        <f t="array" ref="AN1203">IFERROR(INDEX(hd_cap,MATCH(AQ1203,hd_mark,0),0),0)</f>
        <v>0</v>
      </c>
      <c r="AP1203" s="19"/>
      <c r="AQ1203" s="19"/>
      <c r="AR1203" s="100"/>
      <c r="AS1203" s="93"/>
      <c r="AT1203" s="109" t="s">
        <v>491</v>
      </c>
      <c r="AU1203" t="str">
        <f>$Q$1175</f>
        <v>L4</v>
      </c>
      <c r="AV1203">
        <f>$E$23</f>
        <v>0</v>
      </c>
      <c r="AW1203" cm="1">
        <f t="array" ref="AW1203">IFERROR(IF(AV1203=0,0,(INDEX($C$33:$C$38,MATCH($AZ$1182,$B$33:$B$38,0),0)*(AV1205+$BA$1182)+$AW$1182*COUNTIF(AV1203:AV1204,"&gt;0")*$C$32+$AY$1182*$C$31)*$AU$1182),0)</f>
        <v>0</v>
      </c>
      <c r="AX1203">
        <f>IF(AV1203=0,0,-(COUNTIF(AV1203:AV1204,"&gt;0")*$AW$1182*$C$32+$AY$1182*$C$31)*$H$27*$AU$1182)</f>
        <v>0</v>
      </c>
      <c r="AY1203">
        <f>IF(AV1203=0,0,$AY$1182*$H$26*$AU$1182)</f>
        <v>0</v>
      </c>
      <c r="AZ1203">
        <f>(0.6*AW1203+0.7*AX1203)*$AU$1182/2</f>
        <v>0</v>
      </c>
      <c r="BA1203">
        <f>AW1203*$AU$1182/2</f>
        <v>0</v>
      </c>
      <c r="BC1203">
        <f>IF(AV1203=0,0,$BG$1182*$AP$1175)</f>
        <v>0</v>
      </c>
      <c r="BD1203">
        <f>IFERROR(BC1203/$AU$1182,0)</f>
        <v>0</v>
      </c>
      <c r="BE1203">
        <f>BC1203*($F$23+IF($F$23=0,0,($C$14+$C$15+IF($C$13="single",1.5,3)+3)/12))</f>
        <v>0</v>
      </c>
      <c r="BF1203">
        <f>BE1203-AZ1203</f>
        <v>0</v>
      </c>
      <c r="BG1203" cm="1">
        <f t="array" ref="BG1203">IFERROR(IF(BF1203&lt;0,0,BF1203/($AU$1182-INDEX(hd_off,MATCH(BT1203,hd_mark,0),0)/12)),0)</f>
        <v>0</v>
      </c>
      <c r="BH1203">
        <f>IF(AV1203=0,0,$BG$1182*$AM$1175)</f>
        <v>0</v>
      </c>
      <c r="BI1203">
        <f>IFERROR(BH1203/$AU$1182,0)</f>
        <v>0</v>
      </c>
      <c r="BJ1203">
        <f>BH1203*($F$23+IF($F$23=0,0,($C$14+$C$15+IF($C$13="single",1.5,3)+3)/12))</f>
        <v>0</v>
      </c>
      <c r="BK1203">
        <f>BJ1203-BA1203</f>
        <v>0</v>
      </c>
      <c r="BL1203" cm="1">
        <f t="array" ref="BL1203">IFERROR(IF(BK1203&lt;0,0,BK1203/($AU$1182-INDEX(hd_off,MATCH(BT1203,hd_mark,0),0)/12)),0)</f>
        <v>0</v>
      </c>
      <c r="BM1203">
        <f>MAX($F$23,$BD$1182)/$Q$1204</f>
        <v>0</v>
      </c>
      <c r="BN1203">
        <f t="shared" si="758"/>
        <v>0</v>
      </c>
      <c r="BO1203" cm="1">
        <f t="array" ref="BO1203">IFERROR(INDEX(sheath_ecap_asd,MATCH(BS1203,sheath_mark,0),0)*BN1203,0)</f>
        <v>0</v>
      </c>
      <c r="BP1203" cm="1">
        <f t="array" ref="BP1203">IFERROR(INDEX(sheath_wcap_asd,MATCH(BS1203,sheath_mark,0),0)*BN1203,0)</f>
        <v>0</v>
      </c>
      <c r="BQ1203" cm="1">
        <f t="array" ref="BQ1203">IFERROR(INDEX(hd_cap,MATCH(BT1203,hd_mark,0),0),0)</f>
        <v>0</v>
      </c>
      <c r="BS1203" s="19"/>
      <c r="BT1203" s="19"/>
      <c r="BU1203" s="100"/>
    </row>
    <row r="1204" x14ac:dyDescent="0.25">
      <c r="B1204" t="s">
        <v>171</v>
      </c>
      <c r="C1204" s="19">
        <v>0</v>
      </c>
      <c r="D1204" s="19">
        <v>29</v>
      </c>
      <c r="E1204">
        <f t="shared" si="754"/>
        <v>29</v>
      </c>
      <c r="H1204">
        <v>11</v>
      </c>
      <c r="I1204" s="19">
        <v>0</v>
      </c>
      <c r="J1204" s="19">
        <v>27</v>
      </c>
      <c r="K1204">
        <f t="shared" si="755"/>
        <v>27</v>
      </c>
      <c r="P1204" s="93"/>
      <c r="Q1204" s="111">
        <f>$R$1182</f>
        <v>29</v>
      </c>
      <c r="R1204" t="str">
        <f>$Q$1176</f>
        <v>L5</v>
      </c>
      <c r="S1204">
        <f>$E$24</f>
        <v>0</v>
      </c>
      <c r="T1204" cm="1">
        <f t="array" ref="T1204">IFERROR(IF(S1204=0,0,(INDEX($C$33:$C$38,MATCH($W$1182,$B$33:$B$38,0),0)*(S1205+$X$1182)+$T$1182*COUNTIF(S1204:S1204,"&gt;0")*$C$32+$V$1182*$C$31)*$R$1182),0)</f>
        <v>0</v>
      </c>
      <c r="U1204">
        <f>IF(S1204=0,0,-(COUNTIF(S1204:S1204,"&gt;0")*$T$1182*$C$32+$V$1182*$C$31)*$H$27*$R$1182)</f>
        <v>0</v>
      </c>
      <c r="V1204">
        <f>IF(S1204=0,0,$V$1182*$H$26*$R$1182)</f>
        <v>0</v>
      </c>
      <c r="W1204">
        <f t="shared" si="756"/>
        <v>0</v>
      </c>
      <c r="X1204">
        <f>T1204*$R$1182/2</f>
        <v>0</v>
      </c>
      <c r="Z1204">
        <f>IF(S1204=0,0,$AD$1182*$AP$1176)</f>
        <v>0</v>
      </c>
      <c r="AA1204">
        <f>IFERROR(Z1204/$R$1182,0)</f>
        <v>0</v>
      </c>
      <c r="AB1204">
        <f>Z1204*($F$24+IF($F$24=0,0,($C$14+$C$15+IF($C$13="single",1.5,3)+3)/12))</f>
        <v>0</v>
      </c>
      <c r="AC1204">
        <f>AB1204-W1204</f>
        <v>0</v>
      </c>
      <c r="AD1204" cm="1">
        <f t="array" ref="AD1204">IFERROR(IF(AC1204&lt;0,0,AC1204/($R$1182-INDEX(hd_off,MATCH(AQ1204,hd_mark,0),0)/12)),0)</f>
        <v>0</v>
      </c>
      <c r="AE1204">
        <f>IF(S1204=0,0,$AD$1182*$AM$1176)</f>
        <v>0</v>
      </c>
      <c r="AF1204">
        <f>IFERROR(AE1204/$R$1182,0)</f>
        <v>0</v>
      </c>
      <c r="AG1204">
        <f>AE1204*($F$24+IF($F$24=0,0,($C$14+$C$15+IF($C$13="single",1.5,3)+3)/12))</f>
        <v>0</v>
      </c>
      <c r="AH1204">
        <f>AG1204-X1204</f>
        <v>0</v>
      </c>
      <c r="AI1204" cm="1">
        <f t="array" ref="AI1204">IFERROR(IF(AH1204&lt;0,0,AH1204/($R$1182-INDEX(hd_off,MATCH(AQ1204,hd_mark,0),0)/12)),0)</f>
        <v>0</v>
      </c>
      <c r="AJ1204">
        <f>MAX($F$24,$AB$1182)/$Q$1204</f>
        <v>0</v>
      </c>
      <c r="AK1204">
        <f t="shared" si="757"/>
        <v>0</v>
      </c>
      <c r="AL1204" cm="1">
        <f t="array" ref="AL1204">IFERROR(INDEX(sheath_ecap_asd,MATCH(AP1204,sheath_mark,0),0)*AK1204,0)</f>
        <v>0</v>
      </c>
      <c r="AM1204" cm="1">
        <f t="array" ref="AM1204">IFERROR(INDEX(sheath_wcap_asd,MATCH(AP1204,sheath_mark,0),0)*AK1204,0)</f>
        <v>0</v>
      </c>
      <c r="AN1204" cm="1">
        <f t="array" ref="AN1204">IFERROR(INDEX(hd_cap,MATCH(AQ1204,hd_mark,0),0),0)</f>
        <v>0</v>
      </c>
      <c r="AP1204" s="19"/>
      <c r="AQ1204" s="19"/>
      <c r="AR1204" s="100"/>
      <c r="AS1204" s="93"/>
      <c r="AT1204" s="111">
        <f>$R$1182</f>
        <v>29</v>
      </c>
      <c r="AU1204" t="str">
        <f>$Q$1176</f>
        <v>L5</v>
      </c>
      <c r="AV1204">
        <f>$E$24</f>
        <v>0</v>
      </c>
      <c r="AW1204" cm="1">
        <f t="array" ref="AW1204">IFERROR(IF(AV1204=0,0,(INDEX($C$33:$C$38,MATCH($AZ$1182,$B$33:$B$38,0),0)*(AV1205+$BA$1182)+$AW$1182*COUNTIF(AV1204:AV1204,"&gt;0")*$C$32+$AY$1182*$C$31)*$AU$1182),0)</f>
        <v>0</v>
      </c>
      <c r="AX1204">
        <f>IF(AV1204=0,0,-(COUNTIF(AV1204:AV1204,"&gt;0")*$AW$1182*$C$32+$AY$1182*$C$31)*$H$27*$AU$1182)</f>
        <v>0</v>
      </c>
      <c r="AY1204">
        <f>IF(AV1204=0,0,$AY$1182*$H$26*$AU$1182)</f>
        <v>0</v>
      </c>
      <c r="AZ1204">
        <f>(0.6*AW1204+0.7*AX1204)*$AU$1182/2</f>
        <v>0</v>
      </c>
      <c r="BA1204">
        <f>AW1204*$AU$1182/2</f>
        <v>0</v>
      </c>
      <c r="BC1204">
        <f>IF(AV1204=0,0,$BG$1182*$AP$1176)</f>
        <v>0</v>
      </c>
      <c r="BD1204">
        <f>IFERROR(BC1204/$AU$1182,0)</f>
        <v>0</v>
      </c>
      <c r="BE1204">
        <f>BC1204*($F$24+IF($F$24=0,0,($C$14+$C$15+IF($C$13="single",1.5,3)+3)/12))</f>
        <v>0</v>
      </c>
      <c r="BF1204">
        <f>BE1204-AZ1204</f>
        <v>0</v>
      </c>
      <c r="BG1204" cm="1">
        <f t="array" ref="BG1204">IFERROR(IF(BF1204&lt;0,0,BF1204/($AU$1182-INDEX(hd_off,MATCH(BT1204,hd_mark,0),0)/12)),0)</f>
        <v>0</v>
      </c>
      <c r="BH1204">
        <f>IF(AV1204=0,0,$BG$1182*$AM$1176)</f>
        <v>0</v>
      </c>
      <c r="BI1204">
        <f>IFERROR(BH1204/$AU$1182,0)</f>
        <v>0</v>
      </c>
      <c r="BJ1204">
        <f>BH1204*($F$24+IF($F$24=0,0,($C$14+$C$15+IF($C$13="single",1.5,3)+3)/12))</f>
        <v>0</v>
      </c>
      <c r="BK1204">
        <f>BJ1204-BA1204</f>
        <v>0</v>
      </c>
      <c r="BL1204" cm="1">
        <f t="array" ref="BL1204">IFERROR(IF(BK1204&lt;0,0,BK1204/($AU$1182-INDEX(hd_off,MATCH(BT1204,hd_mark,0),0)/12)),0)</f>
        <v>0</v>
      </c>
      <c r="BM1204">
        <f>MAX($F$24,$BE$1182)/$Q$1204</f>
        <v>0</v>
      </c>
      <c r="BN1204">
        <f t="shared" si="758"/>
        <v>0</v>
      </c>
      <c r="BO1204" cm="1">
        <f t="array" ref="BO1204">IFERROR(INDEX(sheath_ecap_asd,MATCH(BS1204,sheath_mark,0),0)*BN1204,0)</f>
        <v>0</v>
      </c>
      <c r="BP1204" cm="1">
        <f t="array" ref="BP1204">IFERROR(INDEX(sheath_wcap_asd,MATCH(BS1204,sheath_mark,0),0)*BN1204,0)</f>
        <v>0</v>
      </c>
      <c r="BQ1204" cm="1">
        <f t="array" ref="BQ1204">IFERROR(INDEX(hd_cap,MATCH(BT1204,hd_mark,0),0),0)</f>
        <v>0</v>
      </c>
      <c r="BS1204" s="19"/>
      <c r="BT1204" s="19"/>
      <c r="BU1204" s="100"/>
    </row>
    <row r="1205" x14ac:dyDescent="0.25">
      <c r="B1205" t="s">
        <v>460</v>
      </c>
      <c r="C1205" s="19">
        <v>29</v>
      </c>
      <c r="D1205" s="19">
        <v>6</v>
      </c>
      <c r="E1205">
        <f t="shared" si="754"/>
        <v>35</v>
      </c>
      <c r="H1205">
        <v>12</v>
      </c>
      <c r="I1205" s="19">
        <v>27</v>
      </c>
      <c r="J1205" s="19">
        <v>14</v>
      </c>
      <c r="K1205">
        <f t="shared" si="755"/>
        <v>41</v>
      </c>
      <c r="P1205" s="93"/>
      <c r="Q1205" s="109"/>
      <c r="R1205" t="str">
        <f>$Q$1177</f>
        <v>Roof</v>
      </c>
      <c r="S1205">
        <f>$E$25</f>
        <v>33.171875</v>
      </c>
      <c r="T1205" cm="1">
        <f t="array" ref="T1205">IFERROR(IF(S1205=0,0,(INDEX($C$33:$C$38,MATCH($W$1182,$B$33:$B$38,0),0)*(S1205+$X$1182)+$V$1182*$C$31)*$R$1182),0)</f>
        <v>21491.71875</v>
      </c>
      <c r="U1205">
        <f>IF(S1205=0,0,-$V$1182*$C$31*$H$27*$R$1182)</f>
        <v>-37.583999999999996</v>
      </c>
      <c r="V1205">
        <f>IF(S1205=0,0,$V$1182*$H$26*$R$1182)</f>
        <v>-1328.1999999999998</v>
      </c>
      <c r="W1205">
        <f>(0.6*T1205+0.7*U1205)*$R$1182/2</f>
        <v>186596.47552499999</v>
      </c>
      <c r="X1205">
        <f>T1205*$R$1182/2</f>
        <v>311629.921875</v>
      </c>
      <c r="Z1205">
        <f>IF(S1205=0,0,$AD$1182*$AP$1177)</f>
        <v>191.83499999999995</v>
      </c>
      <c r="AA1205">
        <f>IFERROR(Z1205/$R$1182,0)</f>
        <v>6.6149999999999984</v>
      </c>
      <c r="AB1205">
        <f>Z1205*($F$25+($C$16+$C$17+IF($C$13="single",1.5,3)+3)/12)</f>
        <v>2263.0535156249989</v>
      </c>
      <c r="AC1205">
        <f>AB1205-W1205</f>
        <v>-184333.42200937498</v>
      </c>
      <c r="AD1205" cm="1">
        <f t="array" ref="AD1205">IFERROR(IF(AC1205&lt;0,0,AC1205/($R$1182-INDEX(hd_off,MATCH(AQ1205,hd_mark,0),0)/12)),0)</f>
        <v>0</v>
      </c>
      <c r="AE1205">
        <f>IF(S1205=0,0,$AD$1182*$AM$1177)</f>
        <v>3854.1</v>
      </c>
      <c r="AF1205">
        <f>IFERROR(AE1205/$R$1182,0)</f>
        <v>132.9</v>
      </c>
      <c r="AG1205">
        <f>AE1205*($F$25+($C$16+$C$17+IF($C$13="single",1.5,3)+3)/12)</f>
        <v>45466.335937499993</v>
      </c>
      <c r="AH1205">
        <f>AG1205-X1205</f>
        <v>-266163.5859375</v>
      </c>
      <c r="AI1205" cm="1">
        <f t="array" ref="AI1205">IFERROR(IF(AH1205&lt;0,0,AH1205/($R$1182-INDEX(hd_off,MATCH(AQ1205,hd_mark,0),0)/12)),0)</f>
        <v>0</v>
      </c>
      <c r="AJ1205">
        <f>MAX($F$25,$AC$1182)/$Q$1204</f>
        <v>0.29920977011494249</v>
      </c>
      <c r="AK1205">
        <f t="shared" si="757"/>
        <v>1</v>
      </c>
      <c r="AL1205" cm="1">
        <f t="array" ref="AL1205">IFERROR(INDEX(sheath_ecap_asd,MATCH(AP1205,sheath_mark,0),0)*AK1205,0)</f>
        <v>95.285714285714306</v>
      </c>
      <c r="AM1205" cm="1">
        <f t="array" ref="AM1205">IFERROR(INDEX(sheath_wcap_asd,MATCH(AP1205,sheath_mark,0),0)*AK1205,0)</f>
        <v>133.4</v>
      </c>
      <c r="AN1205" cm="1">
        <f t="array" ref="AN1205">IFERROR(INDEX(hd_cap,MATCH(AQ1205,hd_mark,0),0),0)</f>
        <v>0</v>
      </c>
      <c r="AP1205" s="19">
        <v>11</v>
      </c>
      <c r="AQ1205" s="19"/>
      <c r="AR1205" s="100"/>
      <c r="AS1205" s="93"/>
      <c r="AT1205" s="109"/>
      <c r="AU1205" t="str">
        <f>$Q$1177</f>
        <v>Roof</v>
      </c>
      <c r="AV1205">
        <f>$E$25</f>
        <v>33.171875</v>
      </c>
      <c r="AW1205" cm="1">
        <f t="array" ref="AW1205">IFERROR(IF(AV1205=0,0,(INDEX($C$33:$C$38,MATCH($AZ$1182,$B$33:$B$38,0),0)*(AV1205+$BA$1182)+$AY$1182*$C$31)*$AU$1182),0)</f>
        <v>21491.71875</v>
      </c>
      <c r="AX1205">
        <f>IF(AV1205=0,0,-$AY$1182*$C$31*$H$27*$AU$1182)</f>
        <v>-37.583999999999996</v>
      </c>
      <c r="AY1205">
        <f>IF(AV1205=0,0,$AY$1182*$H$26*$AU$1182)</f>
        <v>-1328.1999999999998</v>
      </c>
      <c r="AZ1205">
        <f>(0.6*AW1205+0.7*AX1205)*$AU$1182/2</f>
        <v>186596.47552499999</v>
      </c>
      <c r="BA1205">
        <f>AW1205*$AU$1182/2</f>
        <v>311629.921875</v>
      </c>
      <c r="BC1205">
        <f>IF(AV1205=0,0,$BG$1182*$AP$1177)</f>
        <v>191.83499999999995</v>
      </c>
      <c r="BD1205">
        <f>IFERROR(BC1205/$AU$1182,0)</f>
        <v>6.6149999999999984</v>
      </c>
      <c r="BE1205">
        <f>BC1205*($F$25+($C$16+$C$17+IF($C$13="single",1.5,3)+3)/12)</f>
        <v>2263.0535156249989</v>
      </c>
      <c r="BF1205">
        <f>BE1205-AZ1205</f>
        <v>-184333.42200937498</v>
      </c>
      <c r="BG1205" cm="1">
        <f t="array" ref="BG1205">IFERROR(IF(BF1205&lt;0,0,BF1205/($AU$1182-INDEX(hd_off,MATCH(BT1205,hd_mark,0),0)/12)),0)</f>
        <v>0</v>
      </c>
      <c r="BH1205">
        <f>IF(AV1205=0,0,$BG$1182*$AM$1177)</f>
        <v>3854.1</v>
      </c>
      <c r="BI1205">
        <f>IFERROR(BH1205/$AU$1182,0)</f>
        <v>132.9</v>
      </c>
      <c r="BJ1205">
        <f>BH1205*($F$25+($C$16+$C$17+IF($C$13="single",1.5,3)+3)/12)</f>
        <v>45466.335937499993</v>
      </c>
      <c r="BK1205">
        <f>BJ1205-BA1205</f>
        <v>-266163.5859375</v>
      </c>
      <c r="BL1205" cm="1">
        <f t="array" ref="BL1205">IFERROR(IF(BK1205&lt;0,0,BK1205/($AU$1182-INDEX(hd_off,MATCH(BT1205,hd_mark,0),0)/12)),0)</f>
        <v>0</v>
      </c>
      <c r="BM1205">
        <f>MAX($F$25,$BF$1182)/$Q$1204</f>
        <v>0.29920977011494249</v>
      </c>
      <c r="BN1205">
        <f t="shared" si="758"/>
        <v>1</v>
      </c>
      <c r="BO1205" cm="1">
        <f t="array" ref="BO1205">IFERROR(INDEX(sheath_ecap_asd,MATCH(BS1205,sheath_mark,0),0)*BN1205,0)</f>
        <v>95.285714285714306</v>
      </c>
      <c r="BP1205" cm="1">
        <f t="array" ref="BP1205">IFERROR(INDEX(sheath_wcap_asd,MATCH(BS1205,sheath_mark,0),0)*BN1205,0)</f>
        <v>133.4</v>
      </c>
      <c r="BQ1205" cm="1">
        <f t="array" ref="BQ1205">IFERROR(INDEX(hd_cap,MATCH(BT1205,hd_mark,0),0),0)</f>
        <v>0</v>
      </c>
      <c r="BS1205" s="19">
        <v>11</v>
      </c>
      <c r="BT1205" s="19"/>
      <c r="BU1205" s="100"/>
    </row>
    <row r="1206" x14ac:dyDescent="0.25">
      <c r="B1206" t="s">
        <v>461</v>
      </c>
      <c r="C1206" s="19">
        <v>6</v>
      </c>
      <c r="D1206" s="19">
        <v>29</v>
      </c>
      <c r="E1206">
        <f t="shared" si="754"/>
        <v>35</v>
      </c>
      <c r="H1206">
        <v>13</v>
      </c>
      <c r="I1206" s="19">
        <v>14</v>
      </c>
      <c r="J1206" s="19">
        <v>12</v>
      </c>
      <c r="K1206">
        <f t="shared" si="755"/>
        <v>26</v>
      </c>
      <c r="P1206" s="93"/>
      <c r="Q1206" s="109"/>
      <c r="AR1206" s="100"/>
      <c r="AS1206" s="93"/>
      <c r="AT1206" s="109"/>
      <c r="BU1206" s="100"/>
    </row>
    <row r="1207" x14ac:dyDescent="0.25">
      <c r="B1207" t="s">
        <v>462</v>
      </c>
      <c r="C1207" s="19">
        <v>29</v>
      </c>
      <c r="D1207" s="19">
        <v>0</v>
      </c>
      <c r="E1207">
        <f t="shared" si="754"/>
        <v>29</v>
      </c>
      <c r="H1207">
        <v>14</v>
      </c>
      <c r="I1207" s="19">
        <v>12</v>
      </c>
      <c r="J1207" s="19">
        <v>27</v>
      </c>
      <c r="K1207">
        <f t="shared" si="755"/>
        <v>39</v>
      </c>
      <c r="P1207" s="93"/>
      <c r="Q1207" s="110" t="str">
        <f>$Q$1183</f>
        <v>A.02</v>
      </c>
      <c r="R1207" t="str">
        <f>$Q$1173</f>
        <v>L2</v>
      </c>
      <c r="S1207">
        <f>$E$21</f>
        <v>10.6875</v>
      </c>
      <c r="T1207" cm="1">
        <f t="array" ref="T1207">IFERROR(IF(S1207=0,0,(INDEX($C$33:$C$38,MATCH($W$1183,$B$33:$B$38,0),0)*(S1211+$X$1183)+$T$1183*COUNTIF(S1207:S1210,"&gt;0")*$C$32+$V$1183*$C$31)*$R$1183),0)</f>
        <v>0</v>
      </c>
      <c r="U1207">
        <f>IF(S1207=0,0,-(COUNTIF(S1207:S1210,"&gt;0")*$T$1183*$C$32+$V$1183*$C$31)*$H$27*$R$1183)</f>
        <v>0</v>
      </c>
      <c r="V1207">
        <f>IF(S1207=0,0,$V$1183*$H$26*$R$1183)</f>
        <v>0</v>
      </c>
      <c r="W1207">
        <f>(0.6*T1207+0.7*U1207)*$R$1183/2</f>
        <v>0</v>
      </c>
      <c r="X1207">
        <f>(0.6*T1207+0.6*V1207)*$R$1183/2</f>
        <v>0</v>
      </c>
      <c r="Z1207">
        <f>IF(S1207=0,0,$AD$1183*$AP$1173)</f>
        <v>0</v>
      </c>
      <c r="AA1207">
        <f>IFERROR(Z1207/$R$1183,0)</f>
        <v>0</v>
      </c>
      <c r="AB1207">
        <f>Z1207*($F$21+IF($F$21=0,0,($C$14+$C$15+IF($C$13="single",1.5,3)+3)/12))</f>
        <v>0</v>
      </c>
      <c r="AC1207">
        <f>AB1207-W1207</f>
        <v>0</v>
      </c>
      <c r="AD1207" cm="1">
        <f t="array" ref="AD1207">IFERROR(IF(AC1207&lt;0,0,AC1207/($R$1183-INDEX(hd_off,MATCH(AQ1207,hd_mark,0),0)/12)),0)</f>
        <v>0</v>
      </c>
      <c r="AE1207">
        <f>IF(S1207=0,0,$AD$1183*$AM$1173)</f>
        <v>0</v>
      </c>
      <c r="AF1207">
        <f>IFERROR(AE1207/$R$1183,0)</f>
        <v>0</v>
      </c>
      <c r="AG1207">
        <f>AE1207*($F$21+IF($F$21=0,0,($C$14+$C$15+IF($C$13="single",1.5,3)+3)/12))</f>
        <v>0</v>
      </c>
      <c r="AH1207">
        <f>AG1207-X1207</f>
        <v>0</v>
      </c>
      <c r="AI1207" cm="1">
        <f t="array" ref="AI1207">IFERROR(IF(AH1207&lt;0,0,AH1207/($R$1183-INDEX(hd_off,MATCH(AQ1207,hd_mark,0),0)/12)),0)</f>
        <v>0</v>
      </c>
      <c r="AJ1207">
        <f>MAX($F$21,$Y$1183)/$Q$1204</f>
        <v>0.30172413793103448</v>
      </c>
      <c r="AK1207">
        <f>IF(AJ1207=0,0,IF(AJ1207&gt;2,1.25-0.125*AJ1207,1))</f>
        <v>1</v>
      </c>
      <c r="AL1207" cm="1">
        <f t="array" ref="AL1207">IFERROR(INDEX(sheath_ecap_asd,MATCH(AP1207,sheath_mark,0),0)*AK1207,0)</f>
        <v>0</v>
      </c>
      <c r="AM1207" cm="1">
        <f t="array" ref="AM1207">IFERROR(INDEX(sheath_wcap_asd,MATCH(AP1207,sheath_mark,0),0)*AK1207,0)</f>
        <v>0</v>
      </c>
      <c r="AN1207" cm="1">
        <f t="array" ref="AN1207">IFERROR(INDEX(hd_cap,MATCH(AQ1207,hd_mark,0),0),0)</f>
        <v>0</v>
      </c>
      <c r="AP1207" s="19"/>
      <c r="AQ1207" s="19"/>
      <c r="AR1207" s="100"/>
      <c r="AS1207" s="93"/>
      <c r="AT1207" s="110" t="str">
        <f>$AT$1183</f>
        <v>1.02</v>
      </c>
      <c r="AU1207" t="str">
        <f>$Q$1173</f>
        <v>L2</v>
      </c>
      <c r="AV1207">
        <f>$E$21</f>
        <v>10.6875</v>
      </c>
      <c r="AW1207" cm="1">
        <f t="array" ref="AW1207">IFERROR(IF(AV1207=0,0,(INDEX($C$33:$C$38,MATCH($AZ$1183,$B$33:$B$38,0),0)*(AV1211+$BA$1183)+$AW$1183*COUNTIF(AV1207:AV1210,"&gt;0")*$C$32+$AY$1183*$C$31)*$AU$1183),0)</f>
        <v>0</v>
      </c>
      <c r="AX1207">
        <f>IF(AV1207=0,0,-(COUNTIF(AV1207:AV1210,"&gt;0")*$AW$1183*$C$32+$AY$1183*$C$31)*$H$27*$AU$1183)</f>
        <v>0</v>
      </c>
      <c r="AY1207">
        <f>IF(AV1207=0,0,$AY$1183*$H$26*$AU$1183)</f>
        <v>0</v>
      </c>
      <c r="AZ1207">
        <f>(0.6*AW1207+0.7*AX1207)*$AU$1183/2</f>
        <v>0</v>
      </c>
      <c r="BA1207">
        <f>(0.6*AW1207+0.6*AY1207)*$AU$1183/2</f>
        <v>0</v>
      </c>
      <c r="BC1207">
        <f>IF(AV1207=0,0,$BG$1183*$AP$1173)</f>
        <v>0</v>
      </c>
      <c r="BD1207">
        <f>IFERROR(BC1207/$AU$1183,0)</f>
        <v>0</v>
      </c>
      <c r="BE1207">
        <f>BC1207*($F$21+IF($F$21=0,0,($C$14+$C$15+IF($C$13="single",1.5,3)+3)/12))</f>
        <v>0</v>
      </c>
      <c r="BF1207">
        <f>BE1207-AZ1207</f>
        <v>0</v>
      </c>
      <c r="BG1207" cm="1">
        <f t="array" ref="BG1207">IFERROR(IF(BF1207&lt;0,0,BF1207/($AU$1183-INDEX(hd_off,MATCH(BT1207,hd_mark,0),0)/12)),0)</f>
        <v>0</v>
      </c>
      <c r="BH1207">
        <f>IF(AV1207=0,0,$BG$1183*$AM$1173)</f>
        <v>0</v>
      </c>
      <c r="BI1207">
        <f>IFERROR(BH1207/$AU$1183,0)</f>
        <v>0</v>
      </c>
      <c r="BJ1207">
        <f>BH1207*($F$21+IF($F$21=0,0,($C$14+$C$15+IF($C$13="single",1.5,3)+3)/12))</f>
        <v>0</v>
      </c>
      <c r="BK1207">
        <f>BJ1207-BA1207</f>
        <v>0</v>
      </c>
      <c r="BL1207" cm="1">
        <f t="array" ref="BL1207">IFERROR(IF(BK1207&lt;0,0,BK1207/($AU$1183-INDEX(hd_off,MATCH(BT1207,hd_mark,0),0)/12)),0)</f>
        <v>0</v>
      </c>
      <c r="BM1207">
        <f>MAX($F$21,$BB$1183)/$Q$1204</f>
        <v>0.30172413793103448</v>
      </c>
      <c r="BN1207">
        <f>IF(BM1207=0,0,IF(BM1207&gt;2,1.25-0.125*BM1207,1))</f>
        <v>1</v>
      </c>
      <c r="BO1207" cm="1">
        <f t="array" ref="BO1207">IFERROR(INDEX(sheath_ecap_asd,MATCH(BS1207,sheath_mark,0),0)*BN1207,0)</f>
        <v>0</v>
      </c>
      <c r="BP1207" cm="1">
        <f t="array" ref="BP1207">IFERROR(INDEX(sheath_wcap_asd,MATCH(BS1207,sheath_mark,0),0)*BN1207,0)</f>
        <v>0</v>
      </c>
      <c r="BQ1207" cm="1">
        <f t="array" ref="BQ1207">IFERROR(INDEX(hd_cap,MATCH(BT1207,hd_mark,0),0),0)</f>
        <v>0</v>
      </c>
      <c r="BS1207" s="19"/>
      <c r="BT1207" s="19"/>
      <c r="BU1207" s="100"/>
    </row>
    <row r="1208" x14ac:dyDescent="0.25">
      <c r="B1208" t="s">
        <v>463</v>
      </c>
      <c r="C1208" s="19"/>
      <c r="D1208" s="19"/>
      <c r="E1208">
        <f t="shared" si="754"/>
        <v>0</v>
      </c>
      <c r="H1208">
        <v>15</v>
      </c>
      <c r="I1208" s="19">
        <v>27</v>
      </c>
      <c r="J1208" s="19">
        <v>18</v>
      </c>
      <c r="K1208">
        <f t="shared" si="755"/>
        <v>45</v>
      </c>
      <c r="P1208" s="93"/>
      <c r="Q1208" s="109"/>
      <c r="R1208" t="str">
        <f>$Q$1174</f>
        <v>L3</v>
      </c>
      <c r="S1208">
        <f>$E$22</f>
        <v>21.375</v>
      </c>
      <c r="T1208" cm="1">
        <f t="array" ref="T1208">IFERROR(IF(S1208=0,0,(INDEX($C$33:$C$38,MATCH($W$1183,$B$33:$B$38,0),0)*(S1211+$X$1183)+$T$1183*COUNTIF(S1208:S1210,"&gt;0")*$C$32+$V$1183*$C$31)*$R$1183),0)</f>
        <v>0</v>
      </c>
      <c r="U1208">
        <f>IF(S1208=0,0,-(COUNTIF(S1208:S1210,"&gt;0")*$T$1183*$C$32+$V$1183*$C$31)*$H$27*$R$1183)</f>
        <v>0</v>
      </c>
      <c r="V1208">
        <f>IF(S1208=0,0,$V$1183*$H$26*$R$1183)</f>
        <v>0</v>
      </c>
      <c r="W1208">
        <f>(0.6*T1208+0.7*U1208)*$R$1183/2</f>
        <v>0</v>
      </c>
      <c r="X1208">
        <f>T1208*$R$1183/2</f>
        <v>0</v>
      </c>
      <c r="Z1208">
        <f>IF(S1208=0,0,$AD$1183*$AP$1174)</f>
        <v>0</v>
      </c>
      <c r="AA1208">
        <f>IFERROR(Z1208/$R$1183,0)</f>
        <v>0</v>
      </c>
      <c r="AB1208">
        <f>Z1208*($F$22+IF($F$22=0,0,($C$14+$C$15+IF($C$13="single",1.5,3)+3)/12))</f>
        <v>0</v>
      </c>
      <c r="AC1208">
        <f>AB1208-W1208</f>
        <v>0</v>
      </c>
      <c r="AD1208" cm="1">
        <f t="array" ref="AD1208">IFERROR(IF(AC1208&lt;0,0,AC1208/($R$1183-INDEX(hd_off,MATCH(AQ1208,hd_mark,0),0)/12)),0)</f>
        <v>0</v>
      </c>
      <c r="AE1208">
        <f>IF(S1208=0,0,$AD$1183*$AM$1174)</f>
        <v>0</v>
      </c>
      <c r="AF1208">
        <f>IFERROR(AE1208/$R$1183,0)</f>
        <v>0</v>
      </c>
      <c r="AG1208">
        <f>AE1208*($F$22+IF($F$22=0,0,($C$14+$C$15+IF($C$13="single",1.5,3)+3)/12))</f>
        <v>0</v>
      </c>
      <c r="AH1208">
        <f>AG1208-X1208</f>
        <v>0</v>
      </c>
      <c r="AI1208" cm="1">
        <f t="array" ref="AI1208">IFERROR(IF(AH1208&lt;0,0,AH1208/($R$1183-INDEX(hd_off,MATCH(AQ1208,hd_mark,0),0)/12)),0)</f>
        <v>0</v>
      </c>
      <c r="AJ1208">
        <f>MAX($F$22,$Z$1183)/$Q$1204</f>
        <v>0.30172413793103448</v>
      </c>
      <c r="AK1208">
        <f t="shared" ref="AK1208:AK1211" si="759">IF(AJ1208=0,0,IF(AJ1208&gt;2,1.25-0.125*AJ1208,1))</f>
        <v>1</v>
      </c>
      <c r="AL1208" cm="1">
        <f t="array" ref="AL1208">IFERROR(INDEX(sheath_ecap_asd,MATCH(AP1208,sheath_mark,0),0)*AK1208,0)</f>
        <v>0</v>
      </c>
      <c r="AM1208" cm="1">
        <f t="array" ref="AM1208">IFERROR(INDEX(sheath_wcap_asd,MATCH(AP1208,sheath_mark,0),0)*AK1208,0)</f>
        <v>0</v>
      </c>
      <c r="AN1208" cm="1">
        <f t="array" ref="AN1208">IFERROR(INDEX(hd_cap,MATCH(AQ1208,hd_mark,0),0),0)</f>
        <v>0</v>
      </c>
      <c r="AP1208" s="19"/>
      <c r="AQ1208" s="19"/>
      <c r="AR1208" s="100"/>
      <c r="AS1208" s="93"/>
      <c r="AT1208" s="109"/>
      <c r="AU1208" t="str">
        <f>$Q$1174</f>
        <v>L3</v>
      </c>
      <c r="AV1208">
        <f>$E$22</f>
        <v>21.375</v>
      </c>
      <c r="AW1208" cm="1">
        <f t="array" ref="AW1208">IFERROR(IF(AV1208=0,0,(INDEX($C$33:$C$38,MATCH($AZ$1183,$B$33:$B$38,0),0)*(AV1211+$BA$1183)+$AW$1183*COUNTIF(AV1208:AV1210,"&gt;0")*$C$32+$AY$1183*$C$31)*$AU$1183),0)</f>
        <v>0</v>
      </c>
      <c r="AX1208">
        <f>IF(AV1208=0,0,-(COUNTIF(AV1208:AV1210,"&gt;0")*$AW$1183*$C$32+$AY$1183*$C$31)*$H$27*$AU$1183)</f>
        <v>0</v>
      </c>
      <c r="AY1208">
        <f>IF(AV1208=0,0,$AY$1183*$H$26*$AU$1183)</f>
        <v>0</v>
      </c>
      <c r="AZ1208">
        <f>(0.6*AW1208+0.7*AX1208)*$AU$1183/2</f>
        <v>0</v>
      </c>
      <c r="BA1208">
        <f>AW1208*$AU$1183/2</f>
        <v>0</v>
      </c>
      <c r="BC1208">
        <f>IF(AV1208=0,0,$BG$1183*$AP$1174)</f>
        <v>0</v>
      </c>
      <c r="BD1208">
        <f>IFERROR(BC1208/$AU$1183,0)</f>
        <v>0</v>
      </c>
      <c r="BE1208">
        <f>BC1208*($F$22+IF($F$22=0,0,($C$14+$C$15+IF($C$13="single",1.5,3)+3)/12))</f>
        <v>0</v>
      </c>
      <c r="BF1208">
        <f>BE1208-AZ1208</f>
        <v>0</v>
      </c>
      <c r="BG1208" cm="1">
        <f t="array" ref="BG1208">IFERROR(IF(BF1208&lt;0,0,BF1208/($AU$1183-INDEX(hd_off,MATCH(BT1208,hd_mark,0),0)/12)),0)</f>
        <v>0</v>
      </c>
      <c r="BH1208">
        <f>IF(AV1208=0,0,$BG$1183*$AM$1174)</f>
        <v>0</v>
      </c>
      <c r="BI1208">
        <f>IFERROR(BH1208/$AU$1183,0)</f>
        <v>0</v>
      </c>
      <c r="BJ1208">
        <f>BH1208*($F$22+IF($F$22=0,0,($C$14+$C$15+IF($C$13="single",1.5,3)+3)/12))</f>
        <v>0</v>
      </c>
      <c r="BK1208">
        <f>BJ1208-BA1208</f>
        <v>0</v>
      </c>
      <c r="BL1208" cm="1">
        <f t="array" ref="BL1208">IFERROR(IF(BK1208&lt;0,0,BK1208/($AU$1183-INDEX(hd_off,MATCH(BT1208,hd_mark,0),0)/12)),0)</f>
        <v>0</v>
      </c>
      <c r="BM1208">
        <f>MAX($F$22,$BC$1183)/$Q$1204</f>
        <v>0.30172413793103448</v>
      </c>
      <c r="BN1208">
        <f t="shared" ref="BN1208:BN1211" si="760">IF(BM1208=0,0,IF(BM1208&gt;2,1.25-0.125*BM1208,1))</f>
        <v>1</v>
      </c>
      <c r="BO1208" cm="1">
        <f t="array" ref="BO1208">IFERROR(INDEX(sheath_ecap_asd,MATCH(BS1208,sheath_mark,0),0)*BN1208,0)</f>
        <v>0</v>
      </c>
      <c r="BP1208" cm="1">
        <f t="array" ref="BP1208">IFERROR(INDEX(sheath_wcap_asd,MATCH(BS1208,sheath_mark,0),0)*BN1208,0)</f>
        <v>0</v>
      </c>
      <c r="BQ1208" cm="1">
        <f t="array" ref="BQ1208">IFERROR(INDEX(hd_cap,MATCH(BT1208,hd_mark,0),0),0)</f>
        <v>0</v>
      </c>
      <c r="BS1208" s="19"/>
      <c r="BT1208" s="19"/>
      <c r="BU1208" s="100"/>
    </row>
    <row r="1209" x14ac:dyDescent="0.25">
      <c r="B1209" t="s">
        <v>464</v>
      </c>
      <c r="C1209" s="19"/>
      <c r="D1209" s="19"/>
      <c r="E1209">
        <f t="shared" si="754"/>
        <v>0</v>
      </c>
      <c r="H1209">
        <v>16</v>
      </c>
      <c r="I1209" s="19"/>
      <c r="J1209" s="19"/>
      <c r="K1209">
        <f t="shared" si="755"/>
        <v>0</v>
      </c>
      <c r="P1209" s="93"/>
      <c r="Q1209" s="109" t="s">
        <v>491</v>
      </c>
      <c r="R1209" t="str">
        <f>$Q$1175</f>
        <v>L4</v>
      </c>
      <c r="S1209">
        <f>$E$23</f>
        <v>0</v>
      </c>
      <c r="T1209" cm="1">
        <f t="array" ref="T1209">IFERROR(IF(S1209=0,0,(INDEX($C$33:$C$38,MATCH($W$1183,$B$33:$B$38,0),0)*(S1211+$X$1183)+$T$1183*COUNTIF(S1209:S1210,"&gt;0")*$C$32+$V$1183*$C$31)*$R$1183),0)</f>
        <v>0</v>
      </c>
      <c r="U1209">
        <f>IF(S1209=0,0,-(COUNTIF(S1209:S1210,"&gt;0")*$T$1183*$C$32+$V$1183*$C$31)*$H$27*$R$1183)</f>
        <v>0</v>
      </c>
      <c r="V1209">
        <f>IF(S1209=0,0,$V$1183*$H$26*$R$1183)</f>
        <v>0</v>
      </c>
      <c r="W1209">
        <f>(0.6*T1209+0.7*U1209)*$R$1183/2</f>
        <v>0</v>
      </c>
      <c r="X1209">
        <f>T1209*$R$1183/2</f>
        <v>0</v>
      </c>
      <c r="Z1209">
        <f>IF(S1209=0,0,$AD$1183*$AP$1175)</f>
        <v>0</v>
      </c>
      <c r="AA1209">
        <f>IFERROR(Z1209/$R$1183,0)</f>
        <v>0</v>
      </c>
      <c r="AB1209">
        <f>Z1209*($F$23+IF($F$23=0,0,($C$14+$C$15+IF($C$13="single",1.5,3)+3)/12))</f>
        <v>0</v>
      </c>
      <c r="AC1209">
        <f>AB1209-W1209</f>
        <v>0</v>
      </c>
      <c r="AD1209" cm="1">
        <f t="array" ref="AD1209">IFERROR(IF(AC1209&lt;0,0,AC1209/($R$1183-INDEX(hd_off,MATCH(AQ1209,hd_mark,0),0)/12)),0)</f>
        <v>0</v>
      </c>
      <c r="AE1209">
        <f>IF(S1209=0,0,$AD$1183*$AM$1175)</f>
        <v>0</v>
      </c>
      <c r="AF1209">
        <f>IFERROR(AE1209/$R$1183,0)</f>
        <v>0</v>
      </c>
      <c r="AG1209">
        <f>AE1209*($F$23+IF($F$23=0,0,($C$14+$C$15+IF($C$13="single",1.5,3)+3)/12))</f>
        <v>0</v>
      </c>
      <c r="AH1209">
        <f>AG1209-X1209</f>
        <v>0</v>
      </c>
      <c r="AI1209" cm="1">
        <f t="array" ref="AI1209">IFERROR(IF(AH1209&lt;0,0,AH1209/($R$1183-INDEX(hd_off,MATCH(AQ1209,hd_mark,0),0)/12)),0)</f>
        <v>0</v>
      </c>
      <c r="AJ1209">
        <f>MAX($F$23,$AA$1183)/$Q$1204</f>
        <v>0</v>
      </c>
      <c r="AK1209">
        <f t="shared" si="759"/>
        <v>0</v>
      </c>
      <c r="AL1209" cm="1">
        <f t="array" ref="AL1209">IFERROR(INDEX(sheath_ecap_asd,MATCH(AP1209,sheath_mark,0),0)*AK1209,0)</f>
        <v>0</v>
      </c>
      <c r="AM1209" cm="1">
        <f t="array" ref="AM1209">IFERROR(INDEX(sheath_wcap_asd,MATCH(AP1209,sheath_mark,0),0)*AK1209,0)</f>
        <v>0</v>
      </c>
      <c r="AN1209" cm="1">
        <f t="array" ref="AN1209">IFERROR(INDEX(hd_cap,MATCH(AQ1209,hd_mark,0),0),0)</f>
        <v>0</v>
      </c>
      <c r="AP1209" s="19"/>
      <c r="AQ1209" s="19"/>
      <c r="AR1209" s="100"/>
      <c r="AS1209" s="93"/>
      <c r="AT1209" s="109" t="s">
        <v>491</v>
      </c>
      <c r="AU1209" t="str">
        <f>$Q$1175</f>
        <v>L4</v>
      </c>
      <c r="AV1209">
        <f>$E$23</f>
        <v>0</v>
      </c>
      <c r="AW1209" cm="1">
        <f t="array" ref="AW1209">IFERROR(IF(AV1209=0,0,(INDEX($C$33:$C$38,MATCH($AZ$1183,$B$33:$B$38,0),0)*(AV1211+$BA$1183)+$AW$1183*COUNTIF(AV1209:AV1210,"&gt;0")*$C$32+$AY$1183*$C$31)*$AU$1183),0)</f>
        <v>0</v>
      </c>
      <c r="AX1209">
        <f>IF(AV1209=0,0,-(COUNTIF(AV1209:AV1210,"&gt;0")*$AW$1183*$C$32+$AY$1183*$C$31)*$H$27*$AU$1183)</f>
        <v>0</v>
      </c>
      <c r="AY1209">
        <f>IF(AV1209=0,0,$AY$1183*$H$26*$AU$1183)</f>
        <v>0</v>
      </c>
      <c r="AZ1209">
        <f>(0.6*AW1209+0.7*AX1209)*$AU$1183/2</f>
        <v>0</v>
      </c>
      <c r="BA1209">
        <f>AW1209*$AU$1183/2</f>
        <v>0</v>
      </c>
      <c r="BC1209">
        <f>IF(AV1209=0,0,$BG$1183*$AP$1175)</f>
        <v>0</v>
      </c>
      <c r="BD1209">
        <f>IFERROR(BC1209/$AU$1183,0)</f>
        <v>0</v>
      </c>
      <c r="BE1209">
        <f>BC1209*($F$23+IF($F$23=0,0,($C$14+$C$15+IF($C$13="single",1.5,3)+3)/12))</f>
        <v>0</v>
      </c>
      <c r="BF1209">
        <f>BE1209-AZ1209</f>
        <v>0</v>
      </c>
      <c r="BG1209" cm="1">
        <f t="array" ref="BG1209">IFERROR(IF(BF1209&lt;0,0,BF1209/($AU$1183-INDEX(hd_off,MATCH(BT1209,hd_mark,0),0)/12)),0)</f>
        <v>0</v>
      </c>
      <c r="BH1209">
        <f>IF(AV1209=0,0,$BG$1183*$AM$1175)</f>
        <v>0</v>
      </c>
      <c r="BI1209">
        <f>IFERROR(BH1209/$AU$1183,0)</f>
        <v>0</v>
      </c>
      <c r="BJ1209">
        <f>BH1209*($F$23+IF($F$23=0,0,($C$14+$C$15+IF($C$13="single",1.5,3)+3)/12))</f>
        <v>0</v>
      </c>
      <c r="BK1209">
        <f>BJ1209-BA1209</f>
        <v>0</v>
      </c>
      <c r="BL1209" cm="1">
        <f t="array" ref="BL1209">IFERROR(IF(BK1209&lt;0,0,BK1209/($AU$1183-INDEX(hd_off,MATCH(BT1209,hd_mark,0),0)/12)),0)</f>
        <v>0</v>
      </c>
      <c r="BM1209">
        <f>MAX($F$23,$BD$1183)/$Q$1204</f>
        <v>0</v>
      </c>
      <c r="BN1209">
        <f t="shared" si="760"/>
        <v>0</v>
      </c>
      <c r="BO1209" cm="1">
        <f t="array" ref="BO1209">IFERROR(INDEX(sheath_ecap_asd,MATCH(BS1209,sheath_mark,0),0)*BN1209,0)</f>
        <v>0</v>
      </c>
      <c r="BP1209" cm="1">
        <f t="array" ref="BP1209">IFERROR(INDEX(sheath_wcap_asd,MATCH(BS1209,sheath_mark,0),0)*BN1209,0)</f>
        <v>0</v>
      </c>
      <c r="BQ1209" cm="1">
        <f t="array" ref="BQ1209">IFERROR(INDEX(hd_cap,MATCH(BT1209,hd_mark,0),0),0)</f>
        <v>0</v>
      </c>
      <c r="BS1209" s="19"/>
      <c r="BT1209" s="19"/>
      <c r="BU1209" s="100"/>
    </row>
    <row r="1210" x14ac:dyDescent="0.25">
      <c r="B1210" t="s">
        <v>465</v>
      </c>
      <c r="C1210" s="19"/>
      <c r="D1210" s="19"/>
      <c r="E1210">
        <f t="shared" si="754"/>
        <v>0</v>
      </c>
      <c r="H1210">
        <v>17</v>
      </c>
      <c r="I1210" s="19"/>
      <c r="J1210" s="19"/>
      <c r="K1210">
        <f t="shared" si="755"/>
        <v>0</v>
      </c>
      <c r="P1210" s="93"/>
      <c r="Q1210" s="111">
        <f>$R$1183</f>
        <v>0</v>
      </c>
      <c r="R1210" t="str">
        <f>$Q$1176</f>
        <v>L5</v>
      </c>
      <c r="S1210">
        <f>$E$24</f>
        <v>0</v>
      </c>
      <c r="T1210" cm="1">
        <f t="array" ref="T1210">IFERROR(IF(S1210=0,0,(INDEX($C$33:$C$38,MATCH($W$1183,$B$33:$B$38,0),0)*(S1211+$X$1183)+$T$1183*COUNTIF(S1210:S1210,"&gt;0")*$C$32+$V$1183*$C$31)*$R$1183),0)</f>
        <v>0</v>
      </c>
      <c r="U1210">
        <f>IF(S1210=0,0,-(COUNTIF(S1210:S1210,"&gt;0")*$T$1183*$C$32+$V$1183*$C$31)*$H$27*$R$1183)</f>
        <v>0</v>
      </c>
      <c r="V1210">
        <f>IF(S1210=0,0,$V$1183*$H$26*$R$1183)</f>
        <v>0</v>
      </c>
      <c r="W1210">
        <f>(0.6*T1210+0.7*U1210)*$R$1183/2</f>
        <v>0</v>
      </c>
      <c r="X1210">
        <f>T1210*$R$1183/2</f>
        <v>0</v>
      </c>
      <c r="Z1210">
        <f>IF(S1210=0,0,$AD$1183*$AP$1176)</f>
        <v>0</v>
      </c>
      <c r="AA1210">
        <f>IFERROR(Z1210/$R$1183,0)</f>
        <v>0</v>
      </c>
      <c r="AB1210">
        <f>Z1210*($F$24+IF($F$24=0,0,($C$14+$C$15+IF($C$13="single",1.5,3)+3)/12))</f>
        <v>0</v>
      </c>
      <c r="AC1210">
        <f>AB1210-W1210</f>
        <v>0</v>
      </c>
      <c r="AD1210" cm="1">
        <f t="array" ref="AD1210">IFERROR(IF(AC1210&lt;0,0,AC1210/($R$1183-INDEX(hd_off,MATCH(AQ1210,hd_mark,0),0)/12)),0)</f>
        <v>0</v>
      </c>
      <c r="AE1210">
        <f>IF(S1210=0,0,$AD$1183*$AM$1176)</f>
        <v>0</v>
      </c>
      <c r="AF1210">
        <f>IFERROR(AE1210/$R$1183,0)</f>
        <v>0</v>
      </c>
      <c r="AG1210">
        <f>AE1210*($F$24+IF($F$24=0,0,($C$14+$C$15+IF($C$13="single",1.5,3)+3)/12))</f>
        <v>0</v>
      </c>
      <c r="AH1210">
        <f>AG1210-X1210</f>
        <v>0</v>
      </c>
      <c r="AI1210" cm="1">
        <f t="array" ref="AI1210">IFERROR(IF(AH1210&lt;0,0,AH1210/($R$1183-INDEX(hd_off,MATCH(AQ1210,hd_mark,0),0)/12)),0)</f>
        <v>0</v>
      </c>
      <c r="AJ1210">
        <f>MAX($F$24,$AB$1183)/$Q$1204</f>
        <v>0</v>
      </c>
      <c r="AK1210">
        <f t="shared" si="759"/>
        <v>0</v>
      </c>
      <c r="AL1210" cm="1">
        <f t="array" ref="AL1210">IFERROR(INDEX(sheath_ecap_asd,MATCH(AP1210,sheath_mark,0),0)*AK1210,0)</f>
        <v>0</v>
      </c>
      <c r="AM1210" cm="1">
        <f t="array" ref="AM1210">IFERROR(INDEX(sheath_wcap_asd,MATCH(AP1210,sheath_mark,0),0)*AK1210,0)</f>
        <v>0</v>
      </c>
      <c r="AN1210" cm="1">
        <f t="array" ref="AN1210">IFERROR(INDEX(hd_cap,MATCH(AQ1210,hd_mark,0),0),0)</f>
        <v>0</v>
      </c>
      <c r="AP1210" s="19"/>
      <c r="AQ1210" s="19"/>
      <c r="AR1210" s="100"/>
      <c r="AS1210" s="93"/>
      <c r="AT1210" s="111">
        <f>$R$1183</f>
        <v>0</v>
      </c>
      <c r="AU1210" t="str">
        <f>$Q$1176</f>
        <v>L5</v>
      </c>
      <c r="AV1210">
        <f>$E$24</f>
        <v>0</v>
      </c>
      <c r="AW1210" cm="1">
        <f t="array" ref="AW1210">IFERROR(IF(AV1210=0,0,(INDEX($C$33:$C$38,MATCH($AZ$1183,$B$33:$B$38,0),0)*(AV1211+$BA$1183)+$AW$1183*COUNTIF(AV1210:AV1210,"&gt;0")*$C$32+$AY$1183*$C$31)*$AU$1183),0)</f>
        <v>0</v>
      </c>
      <c r="AX1210">
        <f>IF(AV1210=0,0,-(COUNTIF(AV1210:AV1210,"&gt;0")*$AW$1183*$C$32+$AY$1183*$C$31)*$H$27*$AU$1183)</f>
        <v>0</v>
      </c>
      <c r="AY1210">
        <f>IF(AV1210=0,0,$AY$1183*$H$26*$AU$1183)</f>
        <v>0</v>
      </c>
      <c r="AZ1210">
        <f>(0.6*AW1210+0.7*AX1210)*$AU$1183/2</f>
        <v>0</v>
      </c>
      <c r="BA1210">
        <f>AW1210*$AU$1183/2</f>
        <v>0</v>
      </c>
      <c r="BC1210">
        <f>IF(AV1210=0,0,$BG$1183*$AP$1176)</f>
        <v>0</v>
      </c>
      <c r="BD1210">
        <f>IFERROR(BC1210/$AU$1183,0)</f>
        <v>0</v>
      </c>
      <c r="BE1210">
        <f>BC1210*($F$24+IF($F$24=0,0,($C$14+$C$15+IF($C$13="single",1.5,3)+3)/12))</f>
        <v>0</v>
      </c>
      <c r="BF1210">
        <f>BE1210-AZ1210</f>
        <v>0</v>
      </c>
      <c r="BG1210" cm="1">
        <f t="array" ref="BG1210">IFERROR(IF(BF1210&lt;0,0,BF1210/($AU$1183-INDEX(hd_off,MATCH(BT1210,hd_mark,0),0)/12)),0)</f>
        <v>0</v>
      </c>
      <c r="BH1210">
        <f>IF(AV1210=0,0,$BG$1183*$AM$1176)</f>
        <v>0</v>
      </c>
      <c r="BI1210">
        <f>IFERROR(BH1210/$AU$1183,0)</f>
        <v>0</v>
      </c>
      <c r="BJ1210">
        <f>BH1210*($F$24+IF($F$24=0,0,($C$14+$C$15+IF($C$13="single",1.5,3)+3)/12))</f>
        <v>0</v>
      </c>
      <c r="BK1210">
        <f>BJ1210-BA1210</f>
        <v>0</v>
      </c>
      <c r="BL1210" cm="1">
        <f t="array" ref="BL1210">IFERROR(IF(BK1210&lt;0,0,BK1210/($AU$1183-INDEX(hd_off,MATCH(BT1210,hd_mark,0),0)/12)),0)</f>
        <v>0</v>
      </c>
      <c r="BM1210">
        <f>MAX($F$24,$BE$1183)/$Q$1204</f>
        <v>0</v>
      </c>
      <c r="BN1210">
        <f t="shared" si="760"/>
        <v>0</v>
      </c>
      <c r="BO1210" cm="1">
        <f t="array" ref="BO1210">IFERROR(INDEX(sheath_ecap_asd,MATCH(BS1210,sheath_mark,0),0)*BN1210,0)</f>
        <v>0</v>
      </c>
      <c r="BP1210" cm="1">
        <f t="array" ref="BP1210">IFERROR(INDEX(sheath_wcap_asd,MATCH(BS1210,sheath_mark,0),0)*BN1210,0)</f>
        <v>0</v>
      </c>
      <c r="BQ1210" cm="1">
        <f t="array" ref="BQ1210">IFERROR(INDEX(hd_cap,MATCH(BT1210,hd_mark,0),0),0)</f>
        <v>0</v>
      </c>
      <c r="BS1210" s="19"/>
      <c r="BT1210" s="19"/>
      <c r="BU1210" s="100"/>
    </row>
    <row r="1211" x14ac:dyDescent="0.25">
      <c r="B1211" t="s">
        <v>466</v>
      </c>
      <c r="C1211" s="19"/>
      <c r="D1211" s="19"/>
      <c r="E1211">
        <f t="shared" si="754"/>
        <v>0</v>
      </c>
      <c r="H1211">
        <v>18</v>
      </c>
      <c r="I1211" s="19"/>
      <c r="J1211" s="19"/>
      <c r="K1211">
        <f t="shared" si="755"/>
        <v>0</v>
      </c>
      <c r="P1211" s="93"/>
      <c r="Q1211" s="109"/>
      <c r="R1211" t="str">
        <f>$Q$1177</f>
        <v>Roof</v>
      </c>
      <c r="S1211">
        <f>$E$25</f>
        <v>33.171875</v>
      </c>
      <c r="T1211" cm="1">
        <f t="array" ref="T1211">IFERROR(IF(S1211=0,0,(INDEX($C$33:$C$38,MATCH($W$1183,$B$33:$B$38,0),0)*(S1211+$X$1183)+$V$1183*$C$31)*$R$1183),0)</f>
        <v>0</v>
      </c>
      <c r="U1211">
        <f>IF(S1211=0,0,-$V$1183*$C$31*$H$27*$R$1183)</f>
        <v>0</v>
      </c>
      <c r="V1211">
        <f>IF(S1211=0,0,$V$1183*$H$26*$R$1183)</f>
        <v>0</v>
      </c>
      <c r="W1211">
        <f>(0.6*T1211+0.7*U1211)*$R$1183/2</f>
        <v>0</v>
      </c>
      <c r="X1211">
        <f>T1211*$R$1183/2</f>
        <v>0</v>
      </c>
      <c r="Z1211">
        <f>IF(S1211=0,0,$AD$1183*$AP$1177)</f>
        <v>0</v>
      </c>
      <c r="AA1211">
        <f>IFERROR(Z1211/$R$1183,0)</f>
        <v>0</v>
      </c>
      <c r="AB1211">
        <f>Z1211*($F$25+($C$16+$C$17+IF($C$13="single",1.5,3)+3)/12)</f>
        <v>0</v>
      </c>
      <c r="AC1211">
        <f>AB1211-W1211</f>
        <v>0</v>
      </c>
      <c r="AD1211" cm="1">
        <f t="array" ref="AD1211">IFERROR(IF(AC1211&lt;0,0,AC1211/($R$1183-INDEX(hd_off,MATCH(AQ1211,hd_mark,0),0)/12)),0)</f>
        <v>0</v>
      </c>
      <c r="AE1211">
        <f>IF(S1211=0,0,$AD$1183*$AM$1177)</f>
        <v>0</v>
      </c>
      <c r="AF1211">
        <f>IFERROR(AE1211/$R$1183,0)</f>
        <v>0</v>
      </c>
      <c r="AG1211">
        <f>AE1211*($F$25+($C$16+$C$17+IF($C$13="single",1.5,3)+3)/12)</f>
        <v>0</v>
      </c>
      <c r="AH1211">
        <f>AG1211-X1211</f>
        <v>0</v>
      </c>
      <c r="AI1211" cm="1">
        <f t="array" ref="AI1211">IFERROR(IF(AH1211&lt;0,0,AH1211/($R$1183-INDEX(hd_off,MATCH(AQ1211,hd_mark,0),0)/12)),0)</f>
        <v>0</v>
      </c>
      <c r="AJ1211">
        <f>MAX($F$25,$AC$1183)/$Q$1204</f>
        <v>0.29920977011494249</v>
      </c>
      <c r="AK1211">
        <f t="shared" si="759"/>
        <v>1</v>
      </c>
      <c r="AL1211" cm="1">
        <f t="array" ref="AL1211">IFERROR(INDEX(sheath_ecap_asd,MATCH(AP1211,sheath_mark,0),0)*AK1211,0)</f>
        <v>0</v>
      </c>
      <c r="AM1211" cm="1">
        <f t="array" ref="AM1211">IFERROR(INDEX(sheath_wcap_asd,MATCH(AP1211,sheath_mark,0),0)*AK1211,0)</f>
        <v>0</v>
      </c>
      <c r="AN1211" cm="1">
        <f t="array" ref="AN1211">IFERROR(INDEX(hd_cap,MATCH(AQ1211,hd_mark,0),0),0)</f>
        <v>0</v>
      </c>
      <c r="AP1211" s="19"/>
      <c r="AQ1211" s="19"/>
      <c r="AR1211" s="100"/>
      <c r="AS1211" s="93"/>
      <c r="AT1211" s="109"/>
      <c r="AU1211" t="str">
        <f>$Q$1177</f>
        <v>Roof</v>
      </c>
      <c r="AV1211">
        <f>$E$25</f>
        <v>33.171875</v>
      </c>
      <c r="AW1211" cm="1">
        <f t="array" ref="AW1211">IFERROR(IF(AV1211=0,0,(INDEX($C$33:$C$38,MATCH($AZ$1183,$B$33:$B$38,0),0)*(AV1211+$BA$1183)+$AY$1183*$C$31)*$AU$1183),0)</f>
        <v>0</v>
      </c>
      <c r="AX1211">
        <f>IF(AV1211=0,0,-$AY$1183*$C$31*$H$27*$AU$1183)</f>
        <v>0</v>
      </c>
      <c r="AY1211">
        <f>IF(AV1211=0,0,$AY$1183*$H$26*$AU$1183)</f>
        <v>0</v>
      </c>
      <c r="AZ1211">
        <f>(0.6*AW1211+0.7*AX1211)*$AU$1183/2</f>
        <v>0</v>
      </c>
      <c r="BA1211">
        <f>AW1211*$AU$1183/2</f>
        <v>0</v>
      </c>
      <c r="BC1211">
        <f>IF(AV1211=0,0,$BG$1183*$AP$1177)</f>
        <v>0</v>
      </c>
      <c r="BD1211">
        <f>IFERROR(BC1211/$AU$1183,0)</f>
        <v>0</v>
      </c>
      <c r="BE1211">
        <f>BC1211*($F$25+($C$16+$C$17+IF($C$13="single",1.5,3)+3)/12)</f>
        <v>0</v>
      </c>
      <c r="BF1211">
        <f>BE1211-AZ1211</f>
        <v>0</v>
      </c>
      <c r="BG1211" cm="1">
        <f t="array" ref="BG1211">IFERROR(IF(BF1211&lt;0,0,BF1211/($AU$1183-INDEX(hd_off,MATCH(BT1211,hd_mark,0),0)/12)),0)</f>
        <v>0</v>
      </c>
      <c r="BH1211">
        <f>IF(AV1211=0,0,$BG$1183*$AM$1177)</f>
        <v>0</v>
      </c>
      <c r="BI1211">
        <f>IFERROR(BH1211/$AU$1183,0)</f>
        <v>0</v>
      </c>
      <c r="BJ1211">
        <f>BH1211*($F$25+($C$16+$C$17+IF($C$13="single",1.5,3)+3)/12)</f>
        <v>0</v>
      </c>
      <c r="BK1211">
        <f>BJ1211-BA1211</f>
        <v>0</v>
      </c>
      <c r="BL1211" cm="1">
        <f t="array" ref="BL1211">IFERROR(IF(BK1211&lt;0,0,BK1211/($AU$1183-INDEX(hd_off,MATCH(BT1211,hd_mark,0),0)/12)),0)</f>
        <v>0</v>
      </c>
      <c r="BM1211">
        <f>MAX($F$25,$BF$1183)/$Q$1204</f>
        <v>0.29920977011494249</v>
      </c>
      <c r="BN1211">
        <f t="shared" si="760"/>
        <v>1</v>
      </c>
      <c r="BO1211" cm="1">
        <f t="array" ref="BO1211">IFERROR(INDEX(sheath_ecap_asd,MATCH(BS1211,sheath_mark,0),0)*BN1211,0)</f>
        <v>0</v>
      </c>
      <c r="BP1211" cm="1">
        <f t="array" ref="BP1211">IFERROR(INDEX(sheath_wcap_asd,MATCH(BS1211,sheath_mark,0),0)*BN1211,0)</f>
        <v>0</v>
      </c>
      <c r="BQ1211" cm="1">
        <f t="array" ref="BQ1211">IFERROR(INDEX(hd_cap,MATCH(BT1211,hd_mark,0),0),0)</f>
        <v>0</v>
      </c>
      <c r="BS1211" s="19"/>
      <c r="BT1211" s="19"/>
      <c r="BU1211" s="100"/>
    </row>
    <row r="1212" x14ac:dyDescent="0.25">
      <c r="B1212" t="s">
        <v>467</v>
      </c>
      <c r="C1212" s="19"/>
      <c r="D1212" s="19"/>
      <c r="E1212">
        <f t="shared" si="754"/>
        <v>0</v>
      </c>
      <c r="H1212">
        <v>19</v>
      </c>
      <c r="I1212" s="19"/>
      <c r="J1212" s="19"/>
      <c r="K1212">
        <f t="shared" si="755"/>
        <v>0</v>
      </c>
      <c r="P1212" s="93"/>
      <c r="AR1212" s="100"/>
      <c r="AS1212" s="93"/>
      <c r="BU1212" s="100"/>
    </row>
    <row r="1213" x14ac:dyDescent="0.25">
      <c r="B1213" t="s">
        <v>468</v>
      </c>
      <c r="C1213" s="19"/>
      <c r="D1213" s="19"/>
      <c r="E1213">
        <f t="shared" si="754"/>
        <v>0</v>
      </c>
      <c r="H1213">
        <v>20</v>
      </c>
      <c r="I1213" s="19"/>
      <c r="J1213" s="19"/>
      <c r="K1213">
        <f t="shared" si="755"/>
        <v>0</v>
      </c>
      <c r="P1213" s="93"/>
      <c r="Q1213" s="110" t="str">
        <f>$Q$1184</f>
        <v>A.03</v>
      </c>
      <c r="R1213" t="str">
        <f>$Q$1173</f>
        <v>L2</v>
      </c>
      <c r="S1213">
        <f>$E$21</f>
        <v>10.6875</v>
      </c>
      <c r="T1213" cm="1">
        <f t="array" ref="T1213">IFERROR(IF(S1213=0,0,(INDEX($C$33:$C$38,MATCH($W$1184,$B$33:$B$38,0),0)*(S1217+$X$1184)+$T$1184*COUNTIF(S1213:S1216,"&gt;0")*$C$32+$V$1184*$C$31)*$R$1184),0)</f>
        <v>0</v>
      </c>
      <c r="U1213">
        <f>IF(S1213=0,0,-(COUNTIF(S1213:S1216,"&gt;0")*$T$1184*$C$32+$V$1184*$C$31)*$H$27*$R$1184)</f>
        <v>0</v>
      </c>
      <c r="V1213">
        <f>IF(S1213=0,0,$V$1184*$H$26*$R$1184)</f>
        <v>0</v>
      </c>
      <c r="W1213">
        <f>(0.6*T1213+0.7*U1213)*$R$1184/2</f>
        <v>0</v>
      </c>
      <c r="X1213">
        <f>(0.6*T1213+0.6*V1213)*$R$1184/2</f>
        <v>0</v>
      </c>
      <c r="Z1213">
        <f>IF(S1213=0,0,$AD$1184*$AP$1173)</f>
        <v>0</v>
      </c>
      <c r="AA1213">
        <f>IFERROR(Z1213/$R$1184,0)</f>
        <v>0</v>
      </c>
      <c r="AB1213">
        <f>Z1213*($F$21+IF($F$21=0,0,($C$14+$C$15+IF($C$13="single",1.5,3)+3)/12))</f>
        <v>0</v>
      </c>
      <c r="AC1213">
        <f>AB1213-W1213</f>
        <v>0</v>
      </c>
      <c r="AD1213" cm="1">
        <f t="array" ref="AD1213">IFERROR(IF(AC1213&lt;0,0,AC1213/($R$1184-INDEX(hd_off,MATCH(AQ1213,hd_mark,0),0)/12)),0)</f>
        <v>0</v>
      </c>
      <c r="AE1213">
        <f>IF(S1213=0,0,$AD$1184*$AM$1173)</f>
        <v>0</v>
      </c>
      <c r="AF1213">
        <f>IFERROR(AE1213/$R$1184,0)</f>
        <v>0</v>
      </c>
      <c r="AG1213">
        <f>AE1213*($F$21+IF($F$21=0,0,($C$14+$C$15+IF($C$13="single",1.5,3)+3)/12))</f>
        <v>0</v>
      </c>
      <c r="AH1213">
        <f>AG1213-X1213</f>
        <v>0</v>
      </c>
      <c r="AI1213" cm="1">
        <f t="array" ref="AI1213">IFERROR(IF(AH1213&lt;0,0,AH1213/($R$1184-INDEX(hd_off,MATCH(AQ1213,hd_mark,0),0)/12)),0)</f>
        <v>0</v>
      </c>
      <c r="AJ1213">
        <f>MAX($F$21,$Y$1184)/$Q$1204</f>
        <v>0.30172413793103448</v>
      </c>
      <c r="AK1213">
        <f>IF(AJ1213=0,0,IF(AJ1213&gt;2,1.25-0.125*AJ1213,1))</f>
        <v>1</v>
      </c>
      <c r="AL1213" cm="1">
        <f t="array" ref="AL1213">IFERROR(INDEX(sheath_ecap_asd,MATCH(AP1213,sheath_mark,0),0)*AK1213,0)</f>
        <v>0</v>
      </c>
      <c r="AM1213" cm="1">
        <f t="array" ref="AM1213">IFERROR(INDEX(sheath_wcap_asd,MATCH(AP1213,sheath_mark,0),0)*AK1213,0)</f>
        <v>0</v>
      </c>
      <c r="AN1213" cm="1">
        <f t="array" ref="AN1213">IFERROR(INDEX(hd_cap,MATCH(AQ1213,hd_mark,0),0),0)</f>
        <v>0</v>
      </c>
      <c r="AP1213" s="19"/>
      <c r="AQ1213" s="19"/>
      <c r="AR1213" s="100"/>
      <c r="AS1213" s="93"/>
      <c r="AT1213" s="110" t="str">
        <f>$AT$1184</f>
        <v>1.03</v>
      </c>
      <c r="AU1213" t="str">
        <f>$Q$1173</f>
        <v>L2</v>
      </c>
      <c r="AV1213">
        <f>$E$21</f>
        <v>10.6875</v>
      </c>
      <c r="AW1213" cm="1">
        <f t="array" ref="AW1213">IFERROR(IF(AV1213=0,0,(INDEX($C$33:$C$38,MATCH($AZ$1184,$B$33:$B$38,0),0)*(AV1217+$BA$1184)+$AW$1184*COUNTIF(AV1213:AV1216,"&gt;0")*$C$32+$AY$1184*$C$31)*$AU$1184),0)</f>
        <v>0</v>
      </c>
      <c r="AX1213">
        <f>IF(AV1213=0,0,-(COUNTIF(AV1213:AV1216,"&gt;0")*$AW$1184*$C$32+$AY$1184*$C$31)*$H$27*$AU$1184)</f>
        <v>0</v>
      </c>
      <c r="AY1213">
        <f>IF(AV1213=0,0,$AY$1184*$H$26*$AU$1184)</f>
        <v>0</v>
      </c>
      <c r="AZ1213">
        <f>(0.6*AW1213+0.7*AX1213)*$AU$1184/2</f>
        <v>0</v>
      </c>
      <c r="BA1213">
        <f>(0.6*AW1213+0.6*AY1213)*$AU$1184/2</f>
        <v>0</v>
      </c>
      <c r="BC1213">
        <f>IF(AV1213=0,0,$BG$1184*$AP$1173)</f>
        <v>0</v>
      </c>
      <c r="BD1213">
        <f>IFERROR(BC1213/$AU$1184,0)</f>
        <v>0</v>
      </c>
      <c r="BE1213">
        <f>BC1213*($F$21+IF($F$21=0,0,($C$14+$C$15+IF($C$13="single",1.5,3)+3)/12))</f>
        <v>0</v>
      </c>
      <c r="BF1213">
        <f>BE1213-AZ1213</f>
        <v>0</v>
      </c>
      <c r="BG1213" cm="1">
        <f t="array" ref="BG1213">IFERROR(IF(BF1213&lt;0,0,BF1213/($AU$1184-INDEX(hd_off,MATCH(BT1213,hd_mark,0),0)/12)),0)</f>
        <v>0</v>
      </c>
      <c r="BH1213">
        <f>IF(AV1213=0,0,$BG$1184*$AM$1173)</f>
        <v>0</v>
      </c>
      <c r="BI1213">
        <f>IFERROR(BH1213/$AU$1184,0)</f>
        <v>0</v>
      </c>
      <c r="BJ1213">
        <f>BH1213*($F$21+IF($F$21=0,0,($C$14+$C$15+IF($C$13="single",1.5,3)+3)/12))</f>
        <v>0</v>
      </c>
      <c r="BK1213">
        <f>BJ1213-BA1213</f>
        <v>0</v>
      </c>
      <c r="BL1213" cm="1">
        <f t="array" ref="BL1213">IFERROR(IF(BK1213&lt;0,0,BK1213/($AU$1184-INDEX(hd_off,MATCH(BT1213,hd_mark,0),0)/12)),0)</f>
        <v>0</v>
      </c>
      <c r="BM1213">
        <f>MAX($F$21,$BB$1184)/$Q$1204</f>
        <v>0.30172413793103448</v>
      </c>
      <c r="BN1213">
        <f>IF(BM1213=0,0,IF(BM1213&gt;2,1.25-0.125*BM1213,1))</f>
        <v>1</v>
      </c>
      <c r="BO1213" cm="1">
        <f t="array" ref="BO1213">IFERROR(INDEX(sheath_ecap_asd,MATCH(BS1213,sheath_mark,0),0)*BN1213,0)</f>
        <v>0</v>
      </c>
      <c r="BP1213" cm="1">
        <f t="array" ref="BP1213">IFERROR(INDEX(sheath_wcap_asd,MATCH(BS1213,sheath_mark,0),0)*BN1213,0)</f>
        <v>0</v>
      </c>
      <c r="BQ1213" cm="1">
        <f t="array" ref="BQ1213">IFERROR(INDEX(hd_cap,MATCH(BT1213,hd_mark,0),0),0)</f>
        <v>0</v>
      </c>
      <c r="BS1213" s="19"/>
      <c r="BT1213" s="19"/>
      <c r="BU1213" s="100"/>
    </row>
    <row r="1214" x14ac:dyDescent="0.25">
      <c r="B1214" t="s">
        <v>469</v>
      </c>
      <c r="C1214" s="19"/>
      <c r="D1214" s="19"/>
      <c r="E1214">
        <f t="shared" si="754"/>
        <v>0</v>
      </c>
      <c r="H1214">
        <v>21</v>
      </c>
      <c r="I1214" s="19"/>
      <c r="J1214" s="19"/>
      <c r="K1214">
        <f t="shared" si="755"/>
        <v>0</v>
      </c>
      <c r="P1214" s="93"/>
      <c r="Q1214" s="109"/>
      <c r="R1214" t="str">
        <f>$Q$1174</f>
        <v>L3</v>
      </c>
      <c r="S1214">
        <f>$E$22</f>
        <v>21.375</v>
      </c>
      <c r="T1214" cm="1">
        <f t="array" ref="T1214">IFERROR(IF(S1214=0,0,(INDEX($C$33:$C$38,MATCH($W$1184,$B$33:$B$38,0),0)*(S1217+$X$1184)+$T$1184*COUNTIF(S1214:S1216,"&gt;0")*$C$32+$V$1184*$C$31)*$R$1184),0)</f>
        <v>0</v>
      </c>
      <c r="U1214">
        <f>IF(S1214=0,0,-(COUNTIF(S1214:S1216,"&gt;0")*$T$1184*$C$32+$V$1184*$C$31)*$H$27*$R$1184)</f>
        <v>0</v>
      </c>
      <c r="V1214">
        <f>IF(S1214=0,0,$V$1184*$H$26*$R$1184)</f>
        <v>0</v>
      </c>
      <c r="W1214">
        <f>(0.6*T1214+0.7*U1214)*$R$1184/2</f>
        <v>0</v>
      </c>
      <c r="X1214">
        <f>T1214*$R$1184/2</f>
        <v>0</v>
      </c>
      <c r="Z1214">
        <f>IF(S1214=0,0,$AD$1184*$AP$1174)</f>
        <v>0</v>
      </c>
      <c r="AA1214">
        <f>IFERROR(Z1214/$R$1184,0)</f>
        <v>0</v>
      </c>
      <c r="AB1214">
        <f>Z1214*($F$22+IF($F$22=0,0,($C$14+$C$15+IF($C$13="single",1.5,3)+3)/12))</f>
        <v>0</v>
      </c>
      <c r="AC1214">
        <f>AB1214-W1214</f>
        <v>0</v>
      </c>
      <c r="AD1214" cm="1">
        <f t="array" ref="AD1214">IFERROR(IF(AC1214&lt;0,0,AC1214/($R$1184-INDEX(hd_off,MATCH(AQ1214,hd_mark,0),0)/12)),0)</f>
        <v>0</v>
      </c>
      <c r="AE1214">
        <f>IF(S1214=0,0,$AD$1184*$AM$1174)</f>
        <v>0</v>
      </c>
      <c r="AF1214">
        <f>IFERROR(AE1214/$R$1184,0)</f>
        <v>0</v>
      </c>
      <c r="AG1214">
        <f>AE1214*($F$22+IF($F$22=0,0,($C$14+$C$15+IF($C$13="single",1.5,3)+3)/12))</f>
        <v>0</v>
      </c>
      <c r="AH1214">
        <f>AG1214-X1214</f>
        <v>0</v>
      </c>
      <c r="AI1214" cm="1">
        <f t="array" ref="AI1214">IFERROR(IF(AH1214&lt;0,0,AH1214/($R$1184-INDEX(hd_off,MATCH(AQ1214,hd_mark,0),0)/12)),0)</f>
        <v>0</v>
      </c>
      <c r="AJ1214">
        <f>MAX($F$22,$Z$1184)/$Q$1204</f>
        <v>0.30172413793103448</v>
      </c>
      <c r="AK1214">
        <f t="shared" ref="AK1214:AK1217" si="761">IF(AJ1214=0,0,IF(AJ1214&gt;2,1.25-0.125*AJ1214,1))</f>
        <v>1</v>
      </c>
      <c r="AL1214" cm="1">
        <f t="array" ref="AL1214">IFERROR(INDEX(sheath_ecap_asd,MATCH(AP1214,sheath_mark,0),0)*AK1214,0)</f>
        <v>0</v>
      </c>
      <c r="AM1214" cm="1">
        <f t="array" ref="AM1214">IFERROR(INDEX(sheath_wcap_asd,MATCH(AP1214,sheath_mark,0),0)*AK1214,0)</f>
        <v>0</v>
      </c>
      <c r="AN1214" cm="1">
        <f t="array" ref="AN1214">IFERROR(INDEX(hd_cap,MATCH(AQ1214,hd_mark,0),0),0)</f>
        <v>0</v>
      </c>
      <c r="AP1214" s="19"/>
      <c r="AQ1214" s="19"/>
      <c r="AR1214" s="100"/>
      <c r="AS1214" s="93"/>
      <c r="AT1214" s="109"/>
      <c r="AU1214" t="str">
        <f>$Q$1174</f>
        <v>L3</v>
      </c>
      <c r="AV1214">
        <f>$E$22</f>
        <v>21.375</v>
      </c>
      <c r="AW1214" cm="1">
        <f t="array" ref="AW1214">IFERROR(IF(AV1214=0,0,(INDEX($C$33:$C$38,MATCH($AZ$1184,$B$33:$B$38,0),0)*(AV1217+$BA$1184)+$AW$1184*COUNTIF(AV1214:AV1216,"&gt;0")*$C$32+$AY$1184*$C$31)*$AU$1184),0)</f>
        <v>0</v>
      </c>
      <c r="AX1214">
        <f>IF(AV1214=0,0,-(COUNTIF(AV1214:AV1216,"&gt;0")*$AW$1184*$C$32+$AY$1184*$C$31)*$H$27*$AU$1184)</f>
        <v>0</v>
      </c>
      <c r="AY1214">
        <f>IF(AV1214=0,0,$AY$1184*$H$26*$AU$1184)</f>
        <v>0</v>
      </c>
      <c r="AZ1214">
        <f>(0.6*AW1214+0.7*AX1214)*$AU$1184/2</f>
        <v>0</v>
      </c>
      <c r="BA1214">
        <f>AW1214*$AU$1184/2</f>
        <v>0</v>
      </c>
      <c r="BC1214">
        <f>IF(AV1214=0,0,$BG$1184*$AP$1174)</f>
        <v>0</v>
      </c>
      <c r="BD1214">
        <f>IFERROR(BC1214/$AU$1184,0)</f>
        <v>0</v>
      </c>
      <c r="BE1214">
        <f>BC1214*($F$22+IF($F$22=0,0,($C$14+$C$15+IF($C$13="single",1.5,3)+3)/12))</f>
        <v>0</v>
      </c>
      <c r="BF1214">
        <f>BE1214-AZ1214</f>
        <v>0</v>
      </c>
      <c r="BG1214" cm="1">
        <f t="array" ref="BG1214">IFERROR(IF(BF1214&lt;0,0,BF1214/($AU$1184-INDEX(hd_off,MATCH(BT1214,hd_mark,0),0)/12)),0)</f>
        <v>0</v>
      </c>
      <c r="BH1214">
        <f>IF(AV1214=0,0,$BG$1184*$AM$1174)</f>
        <v>0</v>
      </c>
      <c r="BI1214">
        <f>IFERROR(BH1214/$AU$1184,0)</f>
        <v>0</v>
      </c>
      <c r="BJ1214">
        <f>BH1214*($F$22+IF($F$22=0,0,($C$14+$C$15+IF($C$13="single",1.5,3)+3)/12))</f>
        <v>0</v>
      </c>
      <c r="BK1214">
        <f>BJ1214-BA1214</f>
        <v>0</v>
      </c>
      <c r="BL1214" cm="1">
        <f t="array" ref="BL1214">IFERROR(IF(BK1214&lt;0,0,BK1214/($AU$1184-INDEX(hd_off,MATCH(BT1214,hd_mark,0),0)/12)),0)</f>
        <v>0</v>
      </c>
      <c r="BM1214">
        <f>MAX($F$22,$BC$1184)/$Q$1204</f>
        <v>0.30172413793103448</v>
      </c>
      <c r="BN1214">
        <f t="shared" ref="BN1214:BN1217" si="762">IF(BM1214=0,0,IF(BM1214&gt;2,1.25-0.125*BM1214,1))</f>
        <v>1</v>
      </c>
      <c r="BO1214" cm="1">
        <f t="array" ref="BO1214">IFERROR(INDEX(sheath_ecap_asd,MATCH(BS1214,sheath_mark,0),0)*BN1214,0)</f>
        <v>0</v>
      </c>
      <c r="BP1214" cm="1">
        <f t="array" ref="BP1214">IFERROR(INDEX(sheath_wcap_asd,MATCH(BS1214,sheath_mark,0),0)*BN1214,0)</f>
        <v>0</v>
      </c>
      <c r="BQ1214" cm="1">
        <f t="array" ref="BQ1214">IFERROR(INDEX(hd_cap,MATCH(BT1214,hd_mark,0),0),0)</f>
        <v>0</v>
      </c>
      <c r="BS1214" s="19"/>
      <c r="BT1214" s="19"/>
      <c r="BU1214" s="100"/>
    </row>
    <row r="1215" x14ac:dyDescent="0.25">
      <c r="B1215" t="s">
        <v>285</v>
      </c>
      <c r="C1215" s="19"/>
      <c r="D1215" s="19"/>
      <c r="E1215">
        <f t="shared" si="754"/>
        <v>0</v>
      </c>
      <c r="H1215">
        <v>22</v>
      </c>
      <c r="I1215" s="19"/>
      <c r="J1215" s="19"/>
      <c r="K1215">
        <f t="shared" si="755"/>
        <v>0</v>
      </c>
      <c r="P1215" s="93"/>
      <c r="Q1215" s="109" t="s">
        <v>491</v>
      </c>
      <c r="R1215" t="str">
        <f>$Q$1175</f>
        <v>L4</v>
      </c>
      <c r="S1215">
        <f>$E$23</f>
        <v>0</v>
      </c>
      <c r="T1215" cm="1">
        <f t="array" ref="T1215">IFERROR(IF(S1215=0,0,(INDEX($C$33:$C$38,MATCH($W$1184,$B$33:$B$38,0),0)*(S1217+$X$1184)+$T$1184*COUNTIF(S1215:S1216,"&gt;0")*$C$32+$V$1184*$C$31)*$R$1184),0)</f>
        <v>0</v>
      </c>
      <c r="U1215">
        <f>IF(S1215=0,0,-(COUNTIF(S1215:S1216,"&gt;0")*$T$1184*$C$32+$V$1184*$C$31)*$H$27*$R$1184)</f>
        <v>0</v>
      </c>
      <c r="V1215">
        <f>IF(S1215=0,0,$V$1184*$H$26*$R$1184)</f>
        <v>0</v>
      </c>
      <c r="W1215">
        <f>(0.6*T1215+0.7*U1215)*$R$1184/2</f>
        <v>0</v>
      </c>
      <c r="X1215">
        <f>T1215*$R$1184/2</f>
        <v>0</v>
      </c>
      <c r="Z1215">
        <f>IF(S1215=0,0,$AD$1184*$AP$1175)</f>
        <v>0</v>
      </c>
      <c r="AA1215">
        <f>IFERROR(Z1215/$R$1184,0)</f>
        <v>0</v>
      </c>
      <c r="AB1215">
        <f>Z1215*($F$23+IF($F$23=0,0,($C$14+$C$15+IF($C$13="single",1.5,3)+3)/12))</f>
        <v>0</v>
      </c>
      <c r="AC1215">
        <f>AB1215-W1215</f>
        <v>0</v>
      </c>
      <c r="AD1215" cm="1">
        <f t="array" ref="AD1215">IFERROR(IF(AC1215&lt;0,0,AC1215/($R$1184-INDEX(hd_off,MATCH(AQ1215,hd_mark,0),0)/12)),0)</f>
        <v>0</v>
      </c>
      <c r="AE1215">
        <f>IF(S1215=0,0,$AD$1184*$AM$1175)</f>
        <v>0</v>
      </c>
      <c r="AF1215">
        <f>IFERROR(AE1215/$R$1184,0)</f>
        <v>0</v>
      </c>
      <c r="AG1215">
        <f>AE1215*($F$23+IF($F$23=0,0,($C$14+$C$15+IF($C$13="single",1.5,3)+3)/12))</f>
        <v>0</v>
      </c>
      <c r="AH1215">
        <f>AG1215-X1215</f>
        <v>0</v>
      </c>
      <c r="AI1215" cm="1">
        <f t="array" ref="AI1215">IFERROR(IF(AH1215&lt;0,0,AH1215/($R$1184-INDEX(hd_off,MATCH(AQ1215,hd_mark,0),0)/12)),0)</f>
        <v>0</v>
      </c>
      <c r="AJ1215">
        <f>MAX($F$23,$AA$1184)/$Q$1204</f>
        <v>0</v>
      </c>
      <c r="AK1215">
        <f t="shared" si="761"/>
        <v>0</v>
      </c>
      <c r="AL1215" cm="1">
        <f t="array" ref="AL1215">IFERROR(INDEX(sheath_ecap_asd,MATCH(AP1215,sheath_mark,0),0)*AK1215,0)</f>
        <v>0</v>
      </c>
      <c r="AM1215" cm="1">
        <f t="array" ref="AM1215">IFERROR(INDEX(sheath_wcap_asd,MATCH(AP1215,sheath_mark,0),0)*AK1215,0)</f>
        <v>0</v>
      </c>
      <c r="AN1215" cm="1">
        <f t="array" ref="AN1215">IFERROR(INDEX(hd_cap,MATCH(AQ1215,hd_mark,0),0),0)</f>
        <v>0</v>
      </c>
      <c r="AP1215" s="19"/>
      <c r="AQ1215" s="19"/>
      <c r="AR1215" s="100"/>
      <c r="AS1215" s="93"/>
      <c r="AT1215" s="109" t="s">
        <v>491</v>
      </c>
      <c r="AU1215" t="str">
        <f>$Q$1175</f>
        <v>L4</v>
      </c>
      <c r="AV1215">
        <f>$E$23</f>
        <v>0</v>
      </c>
      <c r="AW1215" cm="1">
        <f t="array" ref="AW1215">IFERROR(IF(AV1215=0,0,(INDEX($C$33:$C$38,MATCH($AZ$1184,$B$33:$B$38,0),0)*(AV1217+$BA$1184)+$AW$1184*COUNTIF(AV1215:AV1216,"&gt;0")*$C$32+$AY$1184*$C$31)*$AU$1184),0)</f>
        <v>0</v>
      </c>
      <c r="AX1215">
        <f>IF(AV1215=0,0,-(COUNTIF(AV1215:AV1216,"&gt;0")*$AW$1184*$C$32+$AY$1184*$C$31)*$H$27*$AU$1184)</f>
        <v>0</v>
      </c>
      <c r="AY1215">
        <f>IF(AV1215=0,0,$AY$1184*$H$26*$AU$1184)</f>
        <v>0</v>
      </c>
      <c r="AZ1215">
        <f>(0.6*AW1215+0.7*AX1215)*$AU$1184/2</f>
        <v>0</v>
      </c>
      <c r="BA1215">
        <f>AW1215*$AU$1184/2</f>
        <v>0</v>
      </c>
      <c r="BC1215">
        <f>IF(AV1215=0,0,$BG$1184*$AP$1175)</f>
        <v>0</v>
      </c>
      <c r="BD1215">
        <f>IFERROR(BC1215/$AU$1184,0)</f>
        <v>0</v>
      </c>
      <c r="BE1215">
        <f>BC1215*($F$23+IF($F$23=0,0,($C$14+$C$15+IF($C$13="single",1.5,3)+3)/12))</f>
        <v>0</v>
      </c>
      <c r="BF1215">
        <f>BE1215-AZ1215</f>
        <v>0</v>
      </c>
      <c r="BG1215" cm="1">
        <f t="array" ref="BG1215">IFERROR(IF(BF1215&lt;0,0,BF1215/($AU$1184-INDEX(hd_off,MATCH(BT1215,hd_mark,0),0)/12)),0)</f>
        <v>0</v>
      </c>
      <c r="BH1215">
        <f>IF(AV1215=0,0,$BG$1184*$AM$1175)</f>
        <v>0</v>
      </c>
      <c r="BI1215">
        <f>IFERROR(BH1215/$AU$1184,0)</f>
        <v>0</v>
      </c>
      <c r="BJ1215">
        <f>BH1215*($F$23+IF($F$23=0,0,($C$14+$C$15+IF($C$13="single",1.5,3)+3)/12))</f>
        <v>0</v>
      </c>
      <c r="BK1215">
        <f>BJ1215-BA1215</f>
        <v>0</v>
      </c>
      <c r="BL1215" cm="1">
        <f t="array" ref="BL1215">IFERROR(IF(BK1215&lt;0,0,BK1215/($AU$1184-INDEX(hd_off,MATCH(BT1215,hd_mark,0),0)/12)),0)</f>
        <v>0</v>
      </c>
      <c r="BM1215">
        <f>MAX($F$23,$BD$1184)/$Q$1204</f>
        <v>0</v>
      </c>
      <c r="BN1215">
        <f t="shared" si="762"/>
        <v>0</v>
      </c>
      <c r="BO1215" cm="1">
        <f t="array" ref="BO1215">IFERROR(INDEX(sheath_ecap_asd,MATCH(BS1215,sheath_mark,0),0)*BN1215,0)</f>
        <v>0</v>
      </c>
      <c r="BP1215" cm="1">
        <f t="array" ref="BP1215">IFERROR(INDEX(sheath_wcap_asd,MATCH(BS1215,sheath_mark,0),0)*BN1215,0)</f>
        <v>0</v>
      </c>
      <c r="BQ1215" cm="1">
        <f t="array" ref="BQ1215">IFERROR(INDEX(hd_cap,MATCH(BT1215,hd_mark,0),0),0)</f>
        <v>0</v>
      </c>
      <c r="BS1215" s="19"/>
      <c r="BT1215" s="19"/>
      <c r="BU1215" s="100"/>
    </row>
    <row r="1216" x14ac:dyDescent="0.25">
      <c r="B1216" t="s">
        <v>470</v>
      </c>
      <c r="C1216" s="19"/>
      <c r="D1216" s="19"/>
      <c r="E1216">
        <f t="shared" si="754"/>
        <v>0</v>
      </c>
      <c r="H1216">
        <v>23</v>
      </c>
      <c r="I1216" s="19"/>
      <c r="J1216" s="19"/>
      <c r="K1216">
        <f t="shared" si="755"/>
        <v>0</v>
      </c>
      <c r="P1216" s="93"/>
      <c r="Q1216" s="111">
        <f>$R$1184</f>
        <v>0</v>
      </c>
      <c r="R1216" t="str">
        <f>$Q$1176</f>
        <v>L5</v>
      </c>
      <c r="S1216">
        <f>$E$24</f>
        <v>0</v>
      </c>
      <c r="T1216" cm="1">
        <f t="array" ref="T1216">IFERROR(IF(S1216=0,0,(INDEX($C$33:$C$38,MATCH($W$1184,$B$33:$B$38,0),0)*(S1217+$X$1184)+$T$1184*COUNTIF(S1216:S1216,"&gt;0")*$C$32+$V$1184*$C$31)*$R$1184),0)</f>
        <v>0</v>
      </c>
      <c r="U1216">
        <f>IF(S1216=0,0,-(COUNTIF(S1216:S1216,"&gt;0")*$T$1184*$C$32+$V$1184*$C$31)*$H$27*$R$1184)</f>
        <v>0</v>
      </c>
      <c r="V1216">
        <f>IF(S1216=0,0,$V$1184*$H$26*$R$1184)</f>
        <v>0</v>
      </c>
      <c r="W1216">
        <f>(0.6*T1216+0.7*U1216)*$R$1184/2</f>
        <v>0</v>
      </c>
      <c r="X1216">
        <f>T1216*$R$1184/2</f>
        <v>0</v>
      </c>
      <c r="Z1216">
        <f>IF(S1216=0,0,$AD$1184*$AP$1176)</f>
        <v>0</v>
      </c>
      <c r="AA1216">
        <f>IFERROR(Z1216/$R$1184,0)</f>
        <v>0</v>
      </c>
      <c r="AB1216">
        <f>Z1216*($F$24+IF($F$24=0,0,($C$14+$C$15+IF($C$13="single",1.5,3)+3)/12))</f>
        <v>0</v>
      </c>
      <c r="AC1216">
        <f>AB1216-W1216</f>
        <v>0</v>
      </c>
      <c r="AD1216" cm="1">
        <f t="array" ref="AD1216">IFERROR(IF(AC1216&lt;0,0,AC1216/($R$1184-INDEX(hd_off,MATCH(AQ1216,hd_mark,0),0)/12)),0)</f>
        <v>0</v>
      </c>
      <c r="AE1216">
        <f>IF(S1216=0,0,$AD$1184*$AM$1176)</f>
        <v>0</v>
      </c>
      <c r="AF1216">
        <f>IFERROR(AE1216/$R$1184,0)</f>
        <v>0</v>
      </c>
      <c r="AG1216">
        <f>AE1216*($F$24+IF($F$24=0,0,($C$14+$C$15+IF($C$13="single",1.5,3)+3)/12))</f>
        <v>0</v>
      </c>
      <c r="AH1216">
        <f>AG1216-X1216</f>
        <v>0</v>
      </c>
      <c r="AI1216" cm="1">
        <f t="array" ref="AI1216">IFERROR(IF(AH1216&lt;0,0,AH1216/($R$1184-INDEX(hd_off,MATCH(AQ1216,hd_mark,0),0)/12)),0)</f>
        <v>0</v>
      </c>
      <c r="AJ1216">
        <f>MAX($F$24,$AB$1184)/$Q$1204</f>
        <v>0</v>
      </c>
      <c r="AK1216">
        <f t="shared" si="761"/>
        <v>0</v>
      </c>
      <c r="AL1216" cm="1">
        <f t="array" ref="AL1216">IFERROR(INDEX(sheath_ecap_asd,MATCH(AP1216,sheath_mark,0),0)*AK1216,0)</f>
        <v>0</v>
      </c>
      <c r="AM1216" cm="1">
        <f t="array" ref="AM1216">IFERROR(INDEX(sheath_wcap_asd,MATCH(AP1216,sheath_mark,0),0)*AK1216,0)</f>
        <v>0</v>
      </c>
      <c r="AN1216" cm="1">
        <f t="array" ref="AN1216">IFERROR(INDEX(hd_cap,MATCH(AQ1216,hd_mark,0),0),0)</f>
        <v>0</v>
      </c>
      <c r="AP1216" s="19"/>
      <c r="AQ1216" s="19"/>
      <c r="AR1216" s="100"/>
      <c r="AS1216" s="93"/>
      <c r="AT1216" s="111">
        <f>$R$1184</f>
        <v>0</v>
      </c>
      <c r="AU1216" t="str">
        <f>$Q$1176</f>
        <v>L5</v>
      </c>
      <c r="AV1216">
        <f>$E$24</f>
        <v>0</v>
      </c>
      <c r="AW1216" cm="1">
        <f t="array" ref="AW1216">IFERROR(IF(AV1216=0,0,(INDEX($C$33:$C$38,MATCH($AZ$1184,$B$33:$B$38,0),0)*(AV1217+$BA$1184)+$AW$1184*COUNTIF(AV1216:AV1216,"&gt;0")*$C$32+$AY$1184*$C$31)*$AU$1184),0)</f>
        <v>0</v>
      </c>
      <c r="AX1216">
        <f>IF(AV1216=0,0,-(COUNTIF(AV1216:AV1216,"&gt;0")*$AW$1184*$C$32+$AY$1184*$C$31)*$H$27*$AU$1184)</f>
        <v>0</v>
      </c>
      <c r="AY1216">
        <f>IF(AV1216=0,0,$AY$1184*$H$26*$AU$1184)</f>
        <v>0</v>
      </c>
      <c r="AZ1216">
        <f>(0.6*AW1216+0.7*AX1216)*$AU$1184/2</f>
        <v>0</v>
      </c>
      <c r="BA1216">
        <f>AW1216*$AU$1184/2</f>
        <v>0</v>
      </c>
      <c r="BC1216">
        <f>IF(AV1216=0,0,$BG$1184*$AP$1176)</f>
        <v>0</v>
      </c>
      <c r="BD1216">
        <f>IFERROR(BC1216/$AU$1184,0)</f>
        <v>0</v>
      </c>
      <c r="BE1216">
        <f>BC1216*($F$24+IF($F$24=0,0,($C$14+$C$15+IF($C$13="single",1.5,3)+3)/12))</f>
        <v>0</v>
      </c>
      <c r="BF1216">
        <f>BE1216-AZ1216</f>
        <v>0</v>
      </c>
      <c r="BG1216" cm="1">
        <f t="array" ref="BG1216">IFERROR(IF(BF1216&lt;0,0,BF1216/($AU$1184-INDEX(hd_off,MATCH(BT1216,hd_mark,0),0)/12)),0)</f>
        <v>0</v>
      </c>
      <c r="BH1216">
        <f>IF(AV1216=0,0,$BG$1184*$AM$1176)</f>
        <v>0</v>
      </c>
      <c r="BI1216">
        <f>IFERROR(BH1216/$AU$1184,0)</f>
        <v>0</v>
      </c>
      <c r="BJ1216">
        <f>BH1216*($F$24+IF($F$24=0,0,($C$14+$C$15+IF($C$13="single",1.5,3)+3)/12))</f>
        <v>0</v>
      </c>
      <c r="BK1216">
        <f>BJ1216-BA1216</f>
        <v>0</v>
      </c>
      <c r="BL1216" cm="1">
        <f t="array" ref="BL1216">IFERROR(IF(BK1216&lt;0,0,BK1216/($AU$1184-INDEX(hd_off,MATCH(BT1216,hd_mark,0),0)/12)),0)</f>
        <v>0</v>
      </c>
      <c r="BM1216">
        <f>MAX($F$24,$BE$1184)/$Q$1204</f>
        <v>0</v>
      </c>
      <c r="BN1216">
        <f t="shared" si="762"/>
        <v>0</v>
      </c>
      <c r="BO1216" cm="1">
        <f t="array" ref="BO1216">IFERROR(INDEX(sheath_ecap_asd,MATCH(BS1216,sheath_mark,0),0)*BN1216,0)</f>
        <v>0</v>
      </c>
      <c r="BP1216" cm="1">
        <f t="array" ref="BP1216">IFERROR(INDEX(sheath_wcap_asd,MATCH(BS1216,sheath_mark,0),0)*BN1216,0)</f>
        <v>0</v>
      </c>
      <c r="BQ1216" cm="1">
        <f t="array" ref="BQ1216">IFERROR(INDEX(hd_cap,MATCH(BT1216,hd_mark,0),0),0)</f>
        <v>0</v>
      </c>
      <c r="BS1216" s="19"/>
      <c r="BT1216" s="19"/>
      <c r="BU1216" s="100"/>
    </row>
    <row r="1217" x14ac:dyDescent="0.25">
      <c r="B1217" t="s">
        <v>471</v>
      </c>
      <c r="C1217" s="19"/>
      <c r="D1217" s="19"/>
      <c r="E1217">
        <f t="shared" si="754"/>
        <v>0</v>
      </c>
      <c r="H1217">
        <v>24</v>
      </c>
      <c r="I1217" s="19"/>
      <c r="J1217" s="19"/>
      <c r="K1217">
        <f t="shared" si="755"/>
        <v>0</v>
      </c>
      <c r="P1217" s="93"/>
      <c r="Q1217" s="109"/>
      <c r="R1217" t="str">
        <f>$Q$1177</f>
        <v>Roof</v>
      </c>
      <c r="S1217">
        <f>$E$25</f>
        <v>33.171875</v>
      </c>
      <c r="T1217" cm="1">
        <f t="array" ref="T1217">IFERROR(IF(S1217=0,0,(INDEX($C$33:$C$38,MATCH($W$1184,$B$33:$B$38,0),0)*(S1217+$X$1184)+$V$1184*$C$31)*$R$1184),0)</f>
        <v>0</v>
      </c>
      <c r="U1217">
        <f>IF(S1217=0,0,-$V$1184*$C$31*$H$27*$R$1184)</f>
        <v>0</v>
      </c>
      <c r="V1217">
        <f>IF(S1217=0,0,$V$1184*$H$26*$R$1184)</f>
        <v>0</v>
      </c>
      <c r="W1217">
        <f>(0.6*T1217+0.7*U1217)*$R$1184/2</f>
        <v>0</v>
      </c>
      <c r="X1217">
        <f>T1217*$R$1184/2</f>
        <v>0</v>
      </c>
      <c r="Z1217">
        <f>IF(S1217=0,0,$AD$1184*$AP$1177)</f>
        <v>0</v>
      </c>
      <c r="AA1217">
        <f>IFERROR(Z1217/$R$1184,0)</f>
        <v>0</v>
      </c>
      <c r="AB1217">
        <f>Z1217*($F$25+($C$16+$C$17+IF($C$13="single",1.5,3)+3)/12)</f>
        <v>0</v>
      </c>
      <c r="AC1217">
        <f>AB1217-W1217</f>
        <v>0</v>
      </c>
      <c r="AD1217" cm="1">
        <f t="array" ref="AD1217">IFERROR(IF(AC1217&lt;0,0,AC1217/($R$1184-INDEX(hd_off,MATCH(AQ1217,hd_mark,0),0)/12)),0)</f>
        <v>0</v>
      </c>
      <c r="AE1217">
        <f>IF(S1217=0,0,$AD$1184*$AM$1177)</f>
        <v>0</v>
      </c>
      <c r="AF1217">
        <f>IFERROR(AE1217/$R$1184,0)</f>
        <v>0</v>
      </c>
      <c r="AG1217">
        <f>AE1217*($F$25+($C$16+$C$17+IF($C$13="single",1.5,3)+3)/12)</f>
        <v>0</v>
      </c>
      <c r="AH1217">
        <f>AG1217-X1217</f>
        <v>0</v>
      </c>
      <c r="AI1217" cm="1">
        <f t="array" ref="AI1217">IFERROR(IF(AH1217&lt;0,0,AH1217/($R$1184-INDEX(hd_off,MATCH(AQ1217,hd_mark,0),0)/12)),0)</f>
        <v>0</v>
      </c>
      <c r="AJ1217">
        <f>MAX($F$25,$AC$1184)/$Q$1204</f>
        <v>0.29920977011494249</v>
      </c>
      <c r="AK1217">
        <f t="shared" si="761"/>
        <v>1</v>
      </c>
      <c r="AL1217" cm="1">
        <f t="array" ref="AL1217">IFERROR(INDEX(sheath_ecap_asd,MATCH(AP1217,sheath_mark,0),0)*AK1217,0)</f>
        <v>0</v>
      </c>
      <c r="AM1217" cm="1">
        <f t="array" ref="AM1217">IFERROR(INDEX(sheath_wcap_asd,MATCH(AP1217,sheath_mark,0),0)*AK1217,0)</f>
        <v>0</v>
      </c>
      <c r="AN1217" cm="1">
        <f t="array" ref="AN1217">IFERROR(INDEX(hd_cap,MATCH(AQ1217,hd_mark,0),0),0)</f>
        <v>0</v>
      </c>
      <c r="AP1217" s="19"/>
      <c r="AQ1217" s="19"/>
      <c r="AR1217" s="100"/>
      <c r="AS1217" s="93"/>
      <c r="AT1217" s="109"/>
      <c r="AU1217" t="str">
        <f>$Q$1177</f>
        <v>Roof</v>
      </c>
      <c r="AV1217">
        <f>$E$25</f>
        <v>33.171875</v>
      </c>
      <c r="AW1217" cm="1">
        <f t="array" ref="AW1217">IFERROR(IF(AV1217=0,0,(INDEX($C$33:$C$38,MATCH($AZ$1184,$B$33:$B$38,0),0)*(AV1217+$BA$1184)+$AY$1184*$C$31)*$AU$1184),0)</f>
        <v>0</v>
      </c>
      <c r="AX1217">
        <f>IF(AV1217=0,0,-$AY$1184*$C$31*$H$27*$AU$1184)</f>
        <v>0</v>
      </c>
      <c r="AY1217">
        <f>IF(AV1217=0,0,$AY$1184*$H$26*$AU$1184)</f>
        <v>0</v>
      </c>
      <c r="AZ1217">
        <f>(0.6*AW1217+0.7*AX1217)*$AU$1184/2</f>
        <v>0</v>
      </c>
      <c r="BA1217">
        <f>AW1217*$AU$1184/2</f>
        <v>0</v>
      </c>
      <c r="BC1217">
        <f>IF(AV1217=0,0,$BG$1184*$AP$1177)</f>
        <v>0</v>
      </c>
      <c r="BD1217">
        <f>IFERROR(BC1217/$AU$1184,0)</f>
        <v>0</v>
      </c>
      <c r="BE1217">
        <f>BC1217*($F$25+($C$16+$C$17+IF($C$13="single",1.5,3)+3)/12)</f>
        <v>0</v>
      </c>
      <c r="BF1217">
        <f>BE1217-AZ1217</f>
        <v>0</v>
      </c>
      <c r="BG1217" cm="1">
        <f t="array" ref="BG1217">IFERROR(IF(BF1217&lt;0,0,BF1217/($AU$1184-INDEX(hd_off,MATCH(BT1217,hd_mark,0),0)/12)),0)</f>
        <v>0</v>
      </c>
      <c r="BH1217">
        <f>IF(AV1217=0,0,$BG$1184*$AM$1177)</f>
        <v>0</v>
      </c>
      <c r="BI1217">
        <f>IFERROR(BH1217/$AU$1184,0)</f>
        <v>0</v>
      </c>
      <c r="BJ1217">
        <f>BH1217*($F$25+($C$16+$C$17+IF($C$13="single",1.5,3)+3)/12)</f>
        <v>0</v>
      </c>
      <c r="BK1217">
        <f>BJ1217-BA1217</f>
        <v>0</v>
      </c>
      <c r="BL1217" cm="1">
        <f t="array" ref="BL1217">IFERROR(IF(BK1217&lt;0,0,BK1217/($AU$1184-INDEX(hd_off,MATCH(BT1217,hd_mark,0),0)/12)),0)</f>
        <v>0</v>
      </c>
      <c r="BM1217">
        <f>MAX($F$25,$BF$1184)/$Q$1204</f>
        <v>0.29920977011494249</v>
      </c>
      <c r="BN1217">
        <f t="shared" si="762"/>
        <v>1</v>
      </c>
      <c r="BO1217" cm="1">
        <f t="array" ref="BO1217">IFERROR(INDEX(sheath_ecap_asd,MATCH(BS1217,sheath_mark,0),0)*BN1217,0)</f>
        <v>0</v>
      </c>
      <c r="BP1217" cm="1">
        <f t="array" ref="BP1217">IFERROR(INDEX(sheath_wcap_asd,MATCH(BS1217,sheath_mark,0),0)*BN1217,0)</f>
        <v>0</v>
      </c>
      <c r="BQ1217" cm="1">
        <f t="array" ref="BQ1217">IFERROR(INDEX(hd_cap,MATCH(BT1217,hd_mark,0),0),0)</f>
        <v>0</v>
      </c>
      <c r="BS1217" s="19"/>
      <c r="BT1217" s="19"/>
      <c r="BU1217" s="100"/>
    </row>
    <row r="1218" x14ac:dyDescent="0.25">
      <c r="B1218" t="s">
        <v>472</v>
      </c>
      <c r="C1218" s="19"/>
      <c r="D1218" s="19"/>
      <c r="E1218">
        <f t="shared" si="754"/>
        <v>0</v>
      </c>
      <c r="H1218">
        <v>25</v>
      </c>
      <c r="I1218" s="19"/>
      <c r="J1218" s="19"/>
      <c r="K1218">
        <f t="shared" si="755"/>
        <v>0</v>
      </c>
      <c r="P1218" s="93"/>
      <c r="AR1218" s="100"/>
      <c r="AS1218" s="93"/>
      <c r="BU1218" s="100"/>
    </row>
    <row r="1219" x14ac:dyDescent="0.25">
      <c r="B1219" t="s">
        <v>473</v>
      </c>
      <c r="C1219" s="19"/>
      <c r="D1219" s="19"/>
      <c r="E1219">
        <f t="shared" si="754"/>
        <v>0</v>
      </c>
      <c r="H1219">
        <v>26</v>
      </c>
      <c r="I1219" s="19"/>
      <c r="J1219" s="19"/>
      <c r="K1219">
        <f t="shared" si="755"/>
        <v>0</v>
      </c>
      <c r="P1219" s="93"/>
      <c r="Q1219" s="110" t="str">
        <f>$Q$1185</f>
        <v>A.04</v>
      </c>
      <c r="R1219" t="str">
        <f>$Q$1173</f>
        <v>L2</v>
      </c>
      <c r="S1219">
        <f>$E$21</f>
        <v>10.6875</v>
      </c>
      <c r="T1219" cm="1">
        <f t="array" ref="T1219">IFERROR(IF(S1219=0,0,(INDEX($C$33:$C$38,MATCH($W$1185,$B$33:$B$38,0),0)*(S1223+$X$1185)+$T$1185*COUNTIF(S1219:S1222,"&gt;0")*$C$32+$V$1185*$C$31)*$R$1185),0)</f>
        <v>0</v>
      </c>
      <c r="U1219">
        <f>IF(S1219=0,0,-(COUNTIF(S1219:S1222,"&gt;0")*$T$1185*$C$32+$V$1185*$C$31)*$H$27*$R$1185)</f>
        <v>0</v>
      </c>
      <c r="V1219">
        <f>IF(S1219=0,0,$V$1185*$H$26*$R$1185)</f>
        <v>0</v>
      </c>
      <c r="W1219">
        <f>(0.6*T1219+0.7*U1219)*$R$1185/2</f>
        <v>0</v>
      </c>
      <c r="X1219">
        <f>(0.6*T1219+0.6*V1219)*$R$1185/2</f>
        <v>0</v>
      </c>
      <c r="Z1219">
        <f>IF(S1219=0,0,$AD$1185*$AP$1173)</f>
        <v>0</v>
      </c>
      <c r="AA1219">
        <f>IFERROR(Z1219/$R$1185,0)</f>
        <v>0</v>
      </c>
      <c r="AB1219">
        <f>Z1219*($F$21+IF($F$21=0,0,($C$14+$C$15+IF($C$13="single",1.5,3)+3)/12))</f>
        <v>0</v>
      </c>
      <c r="AC1219">
        <f>AB1219-W1219</f>
        <v>0</v>
      </c>
      <c r="AD1219" cm="1">
        <f t="array" ref="AD1219">IFERROR(IF(AC1219&lt;0,0,AC1219/($R$1185-INDEX(hd_off,MATCH(AQ1219,hd_mark,0),0)/12)),0)</f>
        <v>0</v>
      </c>
      <c r="AE1219">
        <f>IF(S1219=0,0,$AD$1185*$AM$1173)</f>
        <v>0</v>
      </c>
      <c r="AF1219">
        <f>IFERROR(AE1219/$R$1185,0)</f>
        <v>0</v>
      </c>
      <c r="AG1219">
        <f>AE1219*($F$21+IF($F$21=0,0,($C$14+$C$15+IF($C$13="single",1.5,3)+3)/12))</f>
        <v>0</v>
      </c>
      <c r="AH1219">
        <f>AG1219-X1219</f>
        <v>0</v>
      </c>
      <c r="AI1219" cm="1">
        <f t="array" ref="AI1219">IFERROR(IF(AH1219&lt;0,0,AH1219/($R$1185-INDEX(hd_off,MATCH(AQ1219,hd_mark,0),0)/12)),0)</f>
        <v>0</v>
      </c>
      <c r="AJ1219">
        <f>MAX($F$21,$Y$1185)/$Q$1204</f>
        <v>0.30172413793103448</v>
      </c>
      <c r="AK1219">
        <f>IF(AJ1219=0,0,IF(AJ1219&gt;2,1.25-0.125*AJ1219,1))</f>
        <v>1</v>
      </c>
      <c r="AL1219" cm="1">
        <f t="array" ref="AL1219">IFERROR(INDEX(sheath_ecap_asd,MATCH(AP1219,sheath_mark,0),0)*AK1219,0)</f>
        <v>0</v>
      </c>
      <c r="AM1219" cm="1">
        <f t="array" ref="AM1219">IFERROR(INDEX(sheath_wcap_asd,MATCH(AP1219,sheath_mark,0),0)*AK1219,0)</f>
        <v>0</v>
      </c>
      <c r="AN1219" cm="1">
        <f t="array" ref="AN1219">IFERROR(INDEX(hd_cap,MATCH(AQ1219,hd_mark,0),0),0)</f>
        <v>0</v>
      </c>
      <c r="AP1219" s="19"/>
      <c r="AQ1219" s="19"/>
      <c r="AR1219" s="100"/>
      <c r="AS1219" s="93"/>
      <c r="AT1219" s="110" t="str">
        <f>$AT$1185</f>
        <v>1.04</v>
      </c>
      <c r="AU1219" t="str">
        <f>$Q$1173</f>
        <v>L2</v>
      </c>
      <c r="AV1219">
        <f>$E$21</f>
        <v>10.6875</v>
      </c>
      <c r="AW1219" cm="1">
        <f t="array" ref="AW1219">IFERROR(IF(AV1219=0,0,(INDEX($C$33:$C$38,MATCH($AZ$1185,$B$33:$B$38,0),0)*(AV1223+$BA$1185)+$AW$1185*COUNTIF(AV1219:AV1222,"&gt;0")*$C$32+$AY$1185*$C$31)*$AU$1185),0)</f>
        <v>0</v>
      </c>
      <c r="AX1219">
        <f>IF(AV1219=0,0,-(COUNTIF(AV1219:AV1222,"&gt;0")*$AW$1185*$C$32+$AY$1185*$C$31)*$H$27*$AU$1185)</f>
        <v>0</v>
      </c>
      <c r="AY1219">
        <f>IF(AV1219=0,0,$AY$1185*$H$26*$AU$1185)</f>
        <v>0</v>
      </c>
      <c r="AZ1219">
        <f>(0.6*AW1219+0.7*AX1219)*$AU$1185/2</f>
        <v>0</v>
      </c>
      <c r="BA1219">
        <f>(0.6*AW1219+0.6*AY1219)*$AU$1185/2</f>
        <v>0</v>
      </c>
      <c r="BC1219">
        <f>IF(AV1219=0,0,$BG$1185*$AP$1173)</f>
        <v>0</v>
      </c>
      <c r="BD1219">
        <f>IFERROR(BC1219/$AU$1185,0)</f>
        <v>0</v>
      </c>
      <c r="BE1219">
        <f>BC1219*($F$21+IF($F$21=0,0,($C$14+$C$15+IF($C$13="single",1.5,3)+3)/12))</f>
        <v>0</v>
      </c>
      <c r="BF1219">
        <f>BE1219-AZ1219</f>
        <v>0</v>
      </c>
      <c r="BG1219" cm="1">
        <f t="array" ref="BG1219">IFERROR(IF(BF1219&lt;0,0,BF1219/($AU$1185-INDEX(hd_off,MATCH(BT1219,hd_mark,0),0)/12)),0)</f>
        <v>0</v>
      </c>
      <c r="BH1219">
        <f>IF(AV1219=0,0,$BG$1185*$AM$1173)</f>
        <v>0</v>
      </c>
      <c r="BI1219">
        <f>IFERROR(BH1219/$AU$1185,0)</f>
        <v>0</v>
      </c>
      <c r="BJ1219">
        <f>BH1219*($F$21+IF($F$21=0,0,($C$14+$C$15+IF($C$13="single",1.5,3)+3)/12))</f>
        <v>0</v>
      </c>
      <c r="BK1219">
        <f>BJ1219-BA1219</f>
        <v>0</v>
      </c>
      <c r="BL1219" cm="1">
        <f t="array" ref="BL1219">IFERROR(IF(BK1219&lt;0,0,BK1219/($AU$1185-INDEX(hd_off,MATCH(BT1219,hd_mark,0),0)/12)),0)</f>
        <v>0</v>
      </c>
      <c r="BM1219">
        <f>MAX($F$21,$BB$1185)/$Q$1204</f>
        <v>0.30172413793103448</v>
      </c>
      <c r="BN1219">
        <f>IF(BM1219=0,0,IF(BM1219&gt;2,1.25-0.125*BM1219,1))</f>
        <v>1</v>
      </c>
      <c r="BO1219" cm="1">
        <f t="array" ref="BO1219">IFERROR(INDEX(sheath_ecap_asd,MATCH(BS1219,sheath_mark,0),0)*BN1219,0)</f>
        <v>0</v>
      </c>
      <c r="BP1219" cm="1">
        <f t="array" ref="BP1219">IFERROR(INDEX(sheath_wcap_asd,MATCH(BS1219,sheath_mark,0),0)*BN1219,0)</f>
        <v>0</v>
      </c>
      <c r="BQ1219" cm="1">
        <f t="array" ref="BQ1219">IFERROR(INDEX(hd_cap,MATCH(BT1219,hd_mark,0),0),0)</f>
        <v>0</v>
      </c>
      <c r="BS1219" s="19"/>
      <c r="BT1219" s="19"/>
      <c r="BU1219" s="100"/>
    </row>
    <row r="1220" x14ac:dyDescent="0.25">
      <c r="P1220" s="93"/>
      <c r="Q1220" s="109"/>
      <c r="R1220" t="str">
        <f>$Q$1174</f>
        <v>L3</v>
      </c>
      <c r="S1220">
        <f>$E$22</f>
        <v>21.375</v>
      </c>
      <c r="T1220" cm="1">
        <f t="array" ref="T1220">IFERROR(IF(S1220=0,0,(INDEX($C$33:$C$38,MATCH($W$1185,$B$33:$B$38,0),0)*(S1223+$X$1185)+$T$1185*COUNTIF(S1220:S1222,"&gt;0")*$C$32+$V$1185*$C$31)*$R$1185),0)</f>
        <v>0</v>
      </c>
      <c r="U1220">
        <f>IF(S1220=0,0,-(COUNTIF(S1220:S1222,"&gt;0")*$T$1185*$C$32+$V$1185*$C$31)*$H$27*$R$1185)</f>
        <v>0</v>
      </c>
      <c r="V1220">
        <f>IF(S1220=0,0,$V$1185*$H$26*$R$1185)</f>
        <v>0</v>
      </c>
      <c r="W1220">
        <f>(0.6*T1220+0.7*U1220)*$R$1185/2</f>
        <v>0</v>
      </c>
      <c r="X1220">
        <f>T1220*$R$1185/2</f>
        <v>0</v>
      </c>
      <c r="Z1220">
        <f>IF(S1220=0,0,$AD$1185*$AP$1174)</f>
        <v>0</v>
      </c>
      <c r="AA1220">
        <f>IFERROR(Z1220/$R$1185,0)</f>
        <v>0</v>
      </c>
      <c r="AB1220">
        <f>Z1220*($F$22+IF($F$22=0,0,($C$14+$C$15+IF($C$13="single",1.5,3)+3)/12))</f>
        <v>0</v>
      </c>
      <c r="AC1220">
        <f>AB1220-W1220</f>
        <v>0</v>
      </c>
      <c r="AD1220" cm="1">
        <f t="array" ref="AD1220">IFERROR(IF(AC1220&lt;0,0,AC1220/($R$1185-INDEX(hd_off,MATCH(AQ1220,hd_mark,0),0)/12)),0)</f>
        <v>0</v>
      </c>
      <c r="AE1220">
        <f>IF(S1220=0,0,$AD$1185*$AM$1174)</f>
        <v>0</v>
      </c>
      <c r="AF1220">
        <f>IFERROR(AE1220/$R$1185,0)</f>
        <v>0</v>
      </c>
      <c r="AG1220">
        <f>AE1220*($F$22+IF($F$22=0,0,($C$14+$C$15+IF($C$13="single",1.5,3)+3)/12))</f>
        <v>0</v>
      </c>
      <c r="AH1220">
        <f>AG1220-X1220</f>
        <v>0</v>
      </c>
      <c r="AI1220" cm="1">
        <f t="array" ref="AI1220">IFERROR(IF(AH1220&lt;0,0,AH1220/($R$1185-INDEX(hd_off,MATCH(AQ1220,hd_mark,0),0)/12)),0)</f>
        <v>0</v>
      </c>
      <c r="AJ1220">
        <f>MAX($F$22,$Z$1185)/$Q$1204</f>
        <v>0.30172413793103448</v>
      </c>
      <c r="AK1220">
        <f t="shared" ref="AK1220:AK1223" si="763">IF(AJ1220=0,0,IF(AJ1220&gt;2,1.25-0.125*AJ1220,1))</f>
        <v>1</v>
      </c>
      <c r="AL1220" cm="1">
        <f t="array" ref="AL1220">IFERROR(INDEX(sheath_ecap_asd,MATCH(AP1220,sheath_mark,0),0)*AK1220,0)</f>
        <v>0</v>
      </c>
      <c r="AM1220" cm="1">
        <f t="array" ref="AM1220">IFERROR(INDEX(sheath_wcap_asd,MATCH(AP1220,sheath_mark,0),0)*AK1220,0)</f>
        <v>0</v>
      </c>
      <c r="AN1220" cm="1">
        <f t="array" ref="AN1220">IFERROR(INDEX(hd_cap,MATCH(AQ1220,hd_mark,0),0),0)</f>
        <v>0</v>
      </c>
      <c r="AP1220" s="19"/>
      <c r="AQ1220" s="19"/>
      <c r="AR1220" s="100"/>
      <c r="AS1220" s="93"/>
      <c r="AT1220" s="109"/>
      <c r="AU1220" t="str">
        <f>$Q$1174</f>
        <v>L3</v>
      </c>
      <c r="AV1220">
        <f>$E$22</f>
        <v>21.375</v>
      </c>
      <c r="AW1220" cm="1">
        <f t="array" ref="AW1220">IFERROR(IF(AV1220=0,0,(INDEX($C$33:$C$38,MATCH($AZ$1185,$B$33:$B$38,0),0)*(AV1223+$BA$1185)+$AW$1185*COUNTIF(AV1220:AV1222,"&gt;0")*$C$32+$AY$1185*$C$31)*$AU$1185),0)</f>
        <v>0</v>
      </c>
      <c r="AX1220">
        <f>IF(AV1220=0,0,-(COUNTIF(AV1220:AV1222,"&gt;0")*$AW$1185*$C$32+$AY$1185*$C$31)*$H$27*$AU$1185)</f>
        <v>0</v>
      </c>
      <c r="AY1220">
        <f>IF(AV1220=0,0,$AY$1185*$H$26*$AU$1185)</f>
        <v>0</v>
      </c>
      <c r="AZ1220">
        <f>(0.6*AW1220+0.7*AX1220)*$AU$1185/2</f>
        <v>0</v>
      </c>
      <c r="BA1220">
        <f>AW1220*$AU$1185/2</f>
        <v>0</v>
      </c>
      <c r="BC1220">
        <f>IF(AV1220=0,0,$BG$1185*$AP$1174)</f>
        <v>0</v>
      </c>
      <c r="BD1220">
        <f>IFERROR(BC1220/$AU$1185,0)</f>
        <v>0</v>
      </c>
      <c r="BE1220">
        <f>BC1220*($F$22+IF($F$22=0,0,($C$14+$C$15+IF($C$13="single",1.5,3)+3)/12))</f>
        <v>0</v>
      </c>
      <c r="BF1220">
        <f>BE1220-AZ1220</f>
        <v>0</v>
      </c>
      <c r="BG1220" cm="1">
        <f t="array" ref="BG1220">IFERROR(IF(BF1220&lt;0,0,BF1220/($AU$1185-INDEX(hd_off,MATCH(BT1220,hd_mark,0),0)/12)),0)</f>
        <v>0</v>
      </c>
      <c r="BH1220">
        <f>IF(AV1220=0,0,$BG$1185*$AM$1174)</f>
        <v>0</v>
      </c>
      <c r="BI1220">
        <f>IFERROR(BH1220/$AU$1185,0)</f>
        <v>0</v>
      </c>
      <c r="BJ1220">
        <f>BH1220*($F$22+IF($F$22=0,0,($C$14+$C$15+IF($C$13="single",1.5,3)+3)/12))</f>
        <v>0</v>
      </c>
      <c r="BK1220">
        <f>BJ1220-BA1220</f>
        <v>0</v>
      </c>
      <c r="BL1220" cm="1">
        <f t="array" ref="BL1220">IFERROR(IF(BK1220&lt;0,0,BK1220/($AU$1185-INDEX(hd_off,MATCH(BT1220,hd_mark,0),0)/12)),0)</f>
        <v>0</v>
      </c>
      <c r="BM1220">
        <f>MAX($F$22,$BC$1185)/$Q$1204</f>
        <v>0.30172413793103448</v>
      </c>
      <c r="BN1220">
        <f t="shared" ref="BN1220:BN1223" si="764">IF(BM1220=0,0,IF(BM1220&gt;2,1.25-0.125*BM1220,1))</f>
        <v>1</v>
      </c>
      <c r="BO1220" cm="1">
        <f t="array" ref="BO1220">IFERROR(INDEX(sheath_ecap_asd,MATCH(BS1220,sheath_mark,0),0)*BN1220,0)</f>
        <v>0</v>
      </c>
      <c r="BP1220" cm="1">
        <f t="array" ref="BP1220">IFERROR(INDEX(sheath_wcap_asd,MATCH(BS1220,sheath_mark,0),0)*BN1220,0)</f>
        <v>0</v>
      </c>
      <c r="BQ1220" cm="1">
        <f t="array" ref="BQ1220">IFERROR(INDEX(hd_cap,MATCH(BT1220,hd_mark,0),0),0)</f>
        <v>0</v>
      </c>
      <c r="BS1220" s="19"/>
      <c r="BT1220" s="19"/>
      <c r="BU1220" s="100"/>
    </row>
    <row r="1221" x14ac:dyDescent="0.25">
      <c r="B1221" s="1"/>
      <c r="P1221" s="93"/>
      <c r="Q1221" s="109" t="s">
        <v>491</v>
      </c>
      <c r="R1221" t="str">
        <f>$Q$1175</f>
        <v>L4</v>
      </c>
      <c r="S1221">
        <f>$E$23</f>
        <v>0</v>
      </c>
      <c r="T1221" cm="1">
        <f t="array" ref="T1221">IFERROR(IF(S1221=0,0,(INDEX($C$33:$C$38,MATCH($W$1185,$B$33:$B$38,0),0)*(S1223+$X$1185)+$T$1185*COUNTIF(S1221:S1222,"&gt;0")*$C$32+$V$1185*$C$31)*$R$1185),0)</f>
        <v>0</v>
      </c>
      <c r="U1221">
        <f>IF(S1221=0,0,-(COUNTIF(S1221:S1222,"&gt;0")*$T$1185*$C$32+$V$1185*$C$31)*$H$27*$R$1185)</f>
        <v>0</v>
      </c>
      <c r="V1221">
        <f>IF(S1221=0,0,$V$1185*$H$26*$R$1185)</f>
        <v>0</v>
      </c>
      <c r="W1221">
        <f>(0.6*T1221+0.7*U1221)*$R$1185/2</f>
        <v>0</v>
      </c>
      <c r="X1221">
        <f>T1221*$R$1185/2</f>
        <v>0</v>
      </c>
      <c r="Z1221">
        <f>IF(S1221=0,0,$AD$1185*$AP$1175)</f>
        <v>0</v>
      </c>
      <c r="AA1221">
        <f>IFERROR(Z1221/$R$1185,0)</f>
        <v>0</v>
      </c>
      <c r="AB1221">
        <f>Z1221*($F$23+IF($F$23=0,0,($C$14+$C$15+IF($C$13="single",1.5,3)+3)/12))</f>
        <v>0</v>
      </c>
      <c r="AC1221">
        <f>AB1221-W1221</f>
        <v>0</v>
      </c>
      <c r="AD1221" cm="1">
        <f t="array" ref="AD1221">IFERROR(IF(AC1221&lt;0,0,AC1221/($R$1185-INDEX(hd_off,MATCH(AQ1221,hd_mark,0),0)/12)),0)</f>
        <v>0</v>
      </c>
      <c r="AE1221">
        <f>IF(S1221=0,0,$AD$1185*$AM$1175)</f>
        <v>0</v>
      </c>
      <c r="AF1221">
        <f>IFERROR(AE1221/$R$1185,0)</f>
        <v>0</v>
      </c>
      <c r="AG1221">
        <f>AE1221*($F$23+IF($F$23=0,0,($C$14+$C$15+IF($C$13="single",1.5,3)+3)/12))</f>
        <v>0</v>
      </c>
      <c r="AH1221">
        <f>AG1221-X1221</f>
        <v>0</v>
      </c>
      <c r="AI1221" cm="1">
        <f t="array" ref="AI1221">IFERROR(IF(AH1221&lt;0,0,AH1221/($R$1185-INDEX(hd_off,MATCH(AQ1221,hd_mark,0),0)/12)),0)</f>
        <v>0</v>
      </c>
      <c r="AJ1221">
        <f>MAX($F$23,$AA$1185)/$Q$1204</f>
        <v>0</v>
      </c>
      <c r="AK1221">
        <f t="shared" si="763"/>
        <v>0</v>
      </c>
      <c r="AL1221" cm="1">
        <f t="array" ref="AL1221">IFERROR(INDEX(sheath_ecap_asd,MATCH(AP1221,sheath_mark,0),0)*AK1221,0)</f>
        <v>0</v>
      </c>
      <c r="AM1221" cm="1">
        <f t="array" ref="AM1221">IFERROR(INDEX(sheath_wcap_asd,MATCH(AP1221,sheath_mark,0),0)*AK1221,0)</f>
        <v>0</v>
      </c>
      <c r="AN1221" cm="1">
        <f t="array" ref="AN1221">IFERROR(INDEX(hd_cap,MATCH(AQ1221,hd_mark,0),0),0)</f>
        <v>0</v>
      </c>
      <c r="AP1221" s="19"/>
      <c r="AQ1221" s="19"/>
      <c r="AR1221" s="100"/>
      <c r="AS1221" s="93"/>
      <c r="AT1221" s="109" t="s">
        <v>491</v>
      </c>
      <c r="AU1221" t="str">
        <f>$Q$1175</f>
        <v>L4</v>
      </c>
      <c r="AV1221">
        <f>$E$23</f>
        <v>0</v>
      </c>
      <c r="AW1221" cm="1">
        <f t="array" ref="AW1221">IFERROR(IF(AV1221=0,0,(INDEX($C$33:$C$38,MATCH($AZ$1185,$B$33:$B$38,0),0)*(AV1223+$BA$1185)+$AW$1185*COUNTIF(AV1221:AV1222,"&gt;0")*$C$32+$AY$1185*$C$31)*$AU$1185),0)</f>
        <v>0</v>
      </c>
      <c r="AX1221">
        <f>IF(AV1221=0,0,-(COUNTIF(AV1221:AV1222,"&gt;0")*$AW$1185*$C$32+$AY$1185*$C$31)*$H$27*$AU$1185)</f>
        <v>0</v>
      </c>
      <c r="AY1221">
        <f>IF(AV1221=0,0,$AY$1185*$H$26*$AU$1185)</f>
        <v>0</v>
      </c>
      <c r="AZ1221">
        <f>(0.6*AW1221+0.7*AX1221)*$AU$1185/2</f>
        <v>0</v>
      </c>
      <c r="BA1221">
        <f>AW1221*$AU$1185/2</f>
        <v>0</v>
      </c>
      <c r="BC1221">
        <f>IF(AV1221=0,0,$BG$1185*$AP$1175)</f>
        <v>0</v>
      </c>
      <c r="BD1221">
        <f>IFERROR(BC1221/$AU$1185,0)</f>
        <v>0</v>
      </c>
      <c r="BE1221">
        <f>BC1221*($F$23+IF($F$23=0,0,($C$14+$C$15+IF($C$13="single",1.5,3)+3)/12))</f>
        <v>0</v>
      </c>
      <c r="BF1221">
        <f>BE1221-AZ1221</f>
        <v>0</v>
      </c>
      <c r="BG1221" cm="1">
        <f t="array" ref="BG1221">IFERROR(IF(BF1221&lt;0,0,BF1221/($AU$1185-INDEX(hd_off,MATCH(BT1221,hd_mark,0),0)/12)),0)</f>
        <v>0</v>
      </c>
      <c r="BH1221">
        <f>IF(AV1221=0,0,$BG$1185*$AM$1175)</f>
        <v>0</v>
      </c>
      <c r="BI1221">
        <f>IFERROR(BH1221/$AU$1185,0)</f>
        <v>0</v>
      </c>
      <c r="BJ1221">
        <f>BH1221*($F$23+IF($F$23=0,0,($C$14+$C$15+IF($C$13="single",1.5,3)+3)/12))</f>
        <v>0</v>
      </c>
      <c r="BK1221">
        <f>BJ1221-BA1221</f>
        <v>0</v>
      </c>
      <c r="BL1221" cm="1">
        <f t="array" ref="BL1221">IFERROR(IF(BK1221&lt;0,0,BK1221/($AU$1185-INDEX(hd_off,MATCH(BT1221,hd_mark,0),0)/12)),0)</f>
        <v>0</v>
      </c>
      <c r="BM1221">
        <f>MAX($F$23,$BD$1185)/$Q$1204</f>
        <v>0</v>
      </c>
      <c r="BN1221">
        <f t="shared" si="764"/>
        <v>0</v>
      </c>
      <c r="BO1221" cm="1">
        <f t="array" ref="BO1221">IFERROR(INDEX(sheath_ecap_asd,MATCH(BS1221,sheath_mark,0),0)*BN1221,0)</f>
        <v>0</v>
      </c>
      <c r="BP1221" cm="1">
        <f t="array" ref="BP1221">IFERROR(INDEX(sheath_wcap_asd,MATCH(BS1221,sheath_mark,0),0)*BN1221,0)</f>
        <v>0</v>
      </c>
      <c r="BQ1221" cm="1">
        <f t="array" ref="BQ1221">IFERROR(INDEX(hd_cap,MATCH(BT1221,hd_mark,0),0),0)</f>
        <v>0</v>
      </c>
      <c r="BS1221" s="19"/>
      <c r="BT1221" s="19"/>
      <c r="BU1221" s="100"/>
    </row>
    <row r="1222" x14ac:dyDescent="0.25">
      <c r="P1222" s="93"/>
      <c r="Q1222" s="111">
        <f>$R$1185</f>
        <v>0</v>
      </c>
      <c r="R1222" t="str">
        <f>$Q$1176</f>
        <v>L5</v>
      </c>
      <c r="S1222">
        <f>$E$24</f>
        <v>0</v>
      </c>
      <c r="T1222" cm="1">
        <f t="array" ref="T1222">IFERROR(IF(S1222=0,0,(INDEX($C$33:$C$38,MATCH($W$1185,$B$33:$B$38,0),0)*(S1223+$X$1185)+$T$1185*COUNTIF(S1222:S1222,"&gt;0")*$C$32+$V$1185*$C$31)*$R$1185),0)</f>
        <v>0</v>
      </c>
      <c r="U1222">
        <f>IF(S1222=0,0,-(COUNTIF(S1222:S1222,"&gt;0")*$T$1185*$C$32+$V$1185*$C$31)*$H$27*$R$1185)</f>
        <v>0</v>
      </c>
      <c r="V1222">
        <f>IF(S1222=0,0,$V$1185*$H$26*$R$1185)</f>
        <v>0</v>
      </c>
      <c r="W1222">
        <f>(0.6*T1222+0.7*U1222)*$R$1185/2</f>
        <v>0</v>
      </c>
      <c r="X1222">
        <f>T1222*$R$1185/2</f>
        <v>0</v>
      </c>
      <c r="Z1222">
        <f>IF(S1222=0,0,$AD$1185*$AP$1176)</f>
        <v>0</v>
      </c>
      <c r="AA1222">
        <f>IFERROR(Z1222/$R$1185,0)</f>
        <v>0</v>
      </c>
      <c r="AB1222">
        <f>Z1222*($F$24+IF($F$24=0,0,($C$14+$C$15+IF($C$13="single",1.5,3)+3)/12))</f>
        <v>0</v>
      </c>
      <c r="AC1222">
        <f>AB1222-W1222</f>
        <v>0</v>
      </c>
      <c r="AD1222" cm="1">
        <f t="array" ref="AD1222">IFERROR(IF(AC1222&lt;0,0,AC1222/($R$1185-INDEX(hd_off,MATCH(AQ1222,hd_mark,0),0)/12)),0)</f>
        <v>0</v>
      </c>
      <c r="AE1222">
        <f>IF(S1222=0,0,$AD$1185*$AM$1176)</f>
        <v>0</v>
      </c>
      <c r="AF1222">
        <f>IFERROR(AE1222/$R$1185,0)</f>
        <v>0</v>
      </c>
      <c r="AG1222">
        <f>AE1222*($F$24+IF($F$24=0,0,($C$14+$C$15+IF($C$13="single",1.5,3)+3)/12))</f>
        <v>0</v>
      </c>
      <c r="AH1222">
        <f>AG1222-X1222</f>
        <v>0</v>
      </c>
      <c r="AI1222" cm="1">
        <f t="array" ref="AI1222">IFERROR(IF(AH1222&lt;0,0,AH1222/($R$1185-INDEX(hd_off,MATCH(AQ1222,hd_mark,0),0)/12)),0)</f>
        <v>0</v>
      </c>
      <c r="AJ1222">
        <f>MAX($F$24,$AB$1185)/$Q$1204</f>
        <v>0</v>
      </c>
      <c r="AK1222">
        <f t="shared" si="763"/>
        <v>0</v>
      </c>
      <c r="AL1222" cm="1">
        <f t="array" ref="AL1222">IFERROR(INDEX(sheath_ecap_asd,MATCH(AP1222,sheath_mark,0),0)*AK1222,0)</f>
        <v>0</v>
      </c>
      <c r="AM1222" cm="1">
        <f t="array" ref="AM1222">IFERROR(INDEX(sheath_wcap_asd,MATCH(AP1222,sheath_mark,0),0)*AK1222,0)</f>
        <v>0</v>
      </c>
      <c r="AN1222" cm="1">
        <f t="array" ref="AN1222">IFERROR(INDEX(hd_cap,MATCH(AQ1222,hd_mark,0),0),0)</f>
        <v>0</v>
      </c>
      <c r="AP1222" s="19"/>
      <c r="AQ1222" s="19"/>
      <c r="AR1222" s="100"/>
      <c r="AS1222" s="93"/>
      <c r="AT1222" s="111">
        <f>$R$1185</f>
        <v>0</v>
      </c>
      <c r="AU1222" t="str">
        <f>$Q$1176</f>
        <v>L5</v>
      </c>
      <c r="AV1222">
        <f>$E$24</f>
        <v>0</v>
      </c>
      <c r="AW1222" cm="1">
        <f t="array" ref="AW1222">IFERROR(IF(AV1222=0,0,(INDEX($C$33:$C$38,MATCH($AZ$1185,$B$33:$B$38,0),0)*(AV1223+$BA$1185)+$AW$1185*COUNTIF(AV1222:AV1222,"&gt;0")*$C$32+$AY$1185*$C$31)*$AU$1185),0)</f>
        <v>0</v>
      </c>
      <c r="AX1222">
        <f>IF(AV1222=0,0,-(COUNTIF(AV1222:AV1222,"&gt;0")*$AW$1185*$C$32+$AY$1185*$C$31)*$H$27*$AU$1185)</f>
        <v>0</v>
      </c>
      <c r="AY1222">
        <f>IF(AV1222=0,0,$AY$1185*$H$26*$AU$1185)</f>
        <v>0</v>
      </c>
      <c r="AZ1222">
        <f>(0.6*AW1222+0.7*AX1222)*$AU$1185/2</f>
        <v>0</v>
      </c>
      <c r="BA1222">
        <f>AW1222*$AU$1185/2</f>
        <v>0</v>
      </c>
      <c r="BC1222">
        <f>IF(AV1222=0,0,$BG$1185*$AP$1176)</f>
        <v>0</v>
      </c>
      <c r="BD1222">
        <f>IFERROR(BC1222/$AU$1185,0)</f>
        <v>0</v>
      </c>
      <c r="BE1222">
        <f>BC1222*($F$24+IF($F$24=0,0,($C$14+$C$15+IF($C$13="single",1.5,3)+3)/12))</f>
        <v>0</v>
      </c>
      <c r="BF1222">
        <f>BE1222-AZ1222</f>
        <v>0</v>
      </c>
      <c r="BG1222" cm="1">
        <f t="array" ref="BG1222">IFERROR(IF(BF1222&lt;0,0,BF1222/($AU$1185-INDEX(hd_off,MATCH(BT1222,hd_mark,0),0)/12)),0)</f>
        <v>0</v>
      </c>
      <c r="BH1222">
        <f>IF(AV1222=0,0,$BG$1185*$AM$1176)</f>
        <v>0</v>
      </c>
      <c r="BI1222">
        <f>IFERROR(BH1222/$AU$1185,0)</f>
        <v>0</v>
      </c>
      <c r="BJ1222">
        <f>BH1222*($F$24+IF($F$24=0,0,($C$14+$C$15+IF($C$13="single",1.5,3)+3)/12))</f>
        <v>0</v>
      </c>
      <c r="BK1222">
        <f>BJ1222-BA1222</f>
        <v>0</v>
      </c>
      <c r="BL1222" cm="1">
        <f t="array" ref="BL1222">IFERROR(IF(BK1222&lt;0,0,BK1222/($AU$1185-INDEX(hd_off,MATCH(BT1222,hd_mark,0),0)/12)),0)</f>
        <v>0</v>
      </c>
      <c r="BM1222">
        <f>MAX($F$24,$BE$1185)/$Q$1204</f>
        <v>0</v>
      </c>
      <c r="BN1222">
        <f t="shared" si="764"/>
        <v>0</v>
      </c>
      <c r="BO1222" cm="1">
        <f t="array" ref="BO1222">IFERROR(INDEX(sheath_ecap_asd,MATCH(BS1222,sheath_mark,0),0)*BN1222,0)</f>
        <v>0</v>
      </c>
      <c r="BP1222" cm="1">
        <f t="array" ref="BP1222">IFERROR(INDEX(sheath_wcap_asd,MATCH(BS1222,sheath_mark,0),0)*BN1222,0)</f>
        <v>0</v>
      </c>
      <c r="BQ1222" cm="1">
        <f t="array" ref="BQ1222">IFERROR(INDEX(hd_cap,MATCH(BT1222,hd_mark,0),0),0)</f>
        <v>0</v>
      </c>
      <c r="BS1222" s="19"/>
      <c r="BT1222" s="19"/>
      <c r="BU1222" s="100"/>
    </row>
    <row r="1223" x14ac:dyDescent="0.25">
      <c r="P1223" s="93"/>
      <c r="Q1223" s="109"/>
      <c r="R1223" t="str">
        <f>$Q$1177</f>
        <v>Roof</v>
      </c>
      <c r="S1223">
        <f>$E$25</f>
        <v>33.171875</v>
      </c>
      <c r="T1223" cm="1">
        <f t="array" ref="T1223">IFERROR(IF(S1223=0,0,(INDEX($C$33:$C$38,MATCH($W$1185,$B$33:$B$38,0),0)*(S1223+$X$1185)+$V$1185*$C$31)*$R$1185),0)</f>
        <v>0</v>
      </c>
      <c r="U1223">
        <f>IF(S1223=0,0,-$V$1185*$C$31*$H$27*$R$1185)</f>
        <v>0</v>
      </c>
      <c r="V1223">
        <f>IF(S1223=0,0,$V$1185*$H$26*$R$1185)</f>
        <v>0</v>
      </c>
      <c r="W1223">
        <f>(0.6*T1223+0.7*U1223)*$R$1185/2</f>
        <v>0</v>
      </c>
      <c r="X1223">
        <f>T1223*$R$1185/2</f>
        <v>0</v>
      </c>
      <c r="Z1223">
        <f>IF(S1223=0,0,$AD$1185*$AP$1177)</f>
        <v>0</v>
      </c>
      <c r="AA1223">
        <f>IFERROR(Z1223/$R$1185,0)</f>
        <v>0</v>
      </c>
      <c r="AB1223">
        <f>Z1223*($F$25+($C$16+$C$17+IF($C$13="single",1.5,3)+3)/12)</f>
        <v>0</v>
      </c>
      <c r="AC1223">
        <f>AB1223-W1223</f>
        <v>0</v>
      </c>
      <c r="AD1223" cm="1">
        <f t="array" ref="AD1223">IFERROR(IF(AC1223&lt;0,0,AC1223/($R$1185-INDEX(hd_off,MATCH(AQ1223,hd_mark,0),0)/12)),0)</f>
        <v>0</v>
      </c>
      <c r="AE1223">
        <f>IF(S1223=0,0,$AD$1185*$AM$1177)</f>
        <v>0</v>
      </c>
      <c r="AF1223">
        <f>IFERROR(AE1223/$R$1185,0)</f>
        <v>0</v>
      </c>
      <c r="AG1223">
        <f>AE1223*($F$25+($C$16+$C$17+IF($C$13="single",1.5,3)+3)/12)</f>
        <v>0</v>
      </c>
      <c r="AH1223">
        <f>AG1223-X1223</f>
        <v>0</v>
      </c>
      <c r="AI1223" cm="1">
        <f t="array" ref="AI1223">IFERROR(IF(AH1223&lt;0,0,AH1223/($R$1185-INDEX(hd_off,MATCH(AQ1223,hd_mark,0),0)/12)),0)</f>
        <v>0</v>
      </c>
      <c r="AJ1223">
        <f>MAX($F$25,$AC$1185)/$Q$1204</f>
        <v>0.29920977011494249</v>
      </c>
      <c r="AK1223">
        <f t="shared" si="763"/>
        <v>1</v>
      </c>
      <c r="AL1223" cm="1">
        <f t="array" ref="AL1223">IFERROR(INDEX(sheath_ecap_asd,MATCH(AP1223,sheath_mark,0),0)*AK1223,0)</f>
        <v>0</v>
      </c>
      <c r="AM1223" cm="1">
        <f t="array" ref="AM1223">IFERROR(INDEX(sheath_wcap_asd,MATCH(AP1223,sheath_mark,0),0)*AK1223,0)</f>
        <v>0</v>
      </c>
      <c r="AN1223" cm="1">
        <f t="array" ref="AN1223">IFERROR(INDEX(hd_cap,MATCH(AQ1223,hd_mark,0),0),0)</f>
        <v>0</v>
      </c>
      <c r="AP1223" s="19"/>
      <c r="AQ1223" s="19"/>
      <c r="AR1223" s="100"/>
      <c r="AS1223" s="93"/>
      <c r="AT1223" s="109"/>
      <c r="AU1223" t="str">
        <f>$Q$1177</f>
        <v>Roof</v>
      </c>
      <c r="AV1223">
        <f>$E$25</f>
        <v>33.171875</v>
      </c>
      <c r="AW1223" cm="1">
        <f t="array" ref="AW1223">IFERROR(IF(AV1223=0,0,(INDEX($C$33:$C$38,MATCH($AZ$1185,$B$33:$B$38,0),0)*(AV1223+$BA$1185)+$AY$1185*$C$31)*$AU$1185),0)</f>
        <v>0</v>
      </c>
      <c r="AX1223">
        <f>IF(AV1223=0,0,-$AY$1185*$C$31*$H$27*$AU$1185)</f>
        <v>0</v>
      </c>
      <c r="AY1223">
        <f>IF(AV1223=0,0,$AY$1185*$H$26*$AU$1185)</f>
        <v>0</v>
      </c>
      <c r="AZ1223">
        <f>(0.6*AW1223+0.7*AX1223)*$AU$1185/2</f>
        <v>0</v>
      </c>
      <c r="BA1223">
        <f>AW1223*$AU$1185/2</f>
        <v>0</v>
      </c>
      <c r="BC1223">
        <f>IF(AV1223=0,0,$BG$1185*$AP$1177)</f>
        <v>0</v>
      </c>
      <c r="BD1223">
        <f>IFERROR(BC1223/$AU$1185,0)</f>
        <v>0</v>
      </c>
      <c r="BE1223">
        <f>BC1223*($F$25+($C$16+$C$17+IF($C$13="single",1.5,3)+3)/12)</f>
        <v>0</v>
      </c>
      <c r="BF1223">
        <f>BE1223-AZ1223</f>
        <v>0</v>
      </c>
      <c r="BG1223" cm="1">
        <f t="array" ref="BG1223">IFERROR(IF(BF1223&lt;0,0,BF1223/($AU$1185-INDEX(hd_off,MATCH(BT1223,hd_mark,0),0)/12)),0)</f>
        <v>0</v>
      </c>
      <c r="BH1223">
        <f>IF(AV1223=0,0,$BG$1185*$AM$1177)</f>
        <v>0</v>
      </c>
      <c r="BI1223">
        <f>IFERROR(BH1223/$AU$1185,0)</f>
        <v>0</v>
      </c>
      <c r="BJ1223">
        <f>BH1223*($F$25+($C$16+$C$17+IF($C$13="single",1.5,3)+3)/12)</f>
        <v>0</v>
      </c>
      <c r="BK1223">
        <f>BJ1223-BA1223</f>
        <v>0</v>
      </c>
      <c r="BL1223" cm="1">
        <f t="array" ref="BL1223">IFERROR(IF(BK1223&lt;0,0,BK1223/($AU$1185-INDEX(hd_off,MATCH(BT1223,hd_mark,0),0)/12)),0)</f>
        <v>0</v>
      </c>
      <c r="BM1223">
        <f>MAX($F$25,$BF$1185)/$Q$1204</f>
        <v>0.29920977011494249</v>
      </c>
      <c r="BN1223">
        <f t="shared" si="764"/>
        <v>1</v>
      </c>
      <c r="BO1223" cm="1">
        <f t="array" ref="BO1223">IFERROR(INDEX(sheath_ecap_asd,MATCH(BS1223,sheath_mark,0),0)*BN1223,0)</f>
        <v>0</v>
      </c>
      <c r="BP1223" cm="1">
        <f t="array" ref="BP1223">IFERROR(INDEX(sheath_wcap_asd,MATCH(BS1223,sheath_mark,0),0)*BN1223,0)</f>
        <v>0</v>
      </c>
      <c r="BQ1223" cm="1">
        <f t="array" ref="BQ1223">IFERROR(INDEX(hd_cap,MATCH(BT1223,hd_mark,0),0),0)</f>
        <v>0</v>
      </c>
      <c r="BS1223" s="19"/>
      <c r="BT1223" s="19"/>
      <c r="BU1223" s="100"/>
    </row>
    <row r="1224" x14ac:dyDescent="0.25">
      <c r="P1224" s="93"/>
      <c r="AR1224" s="100"/>
      <c r="AS1224" s="93"/>
      <c r="BU1224" s="100"/>
    </row>
    <row r="1225" x14ac:dyDescent="0.25">
      <c r="P1225" s="93"/>
      <c r="Q1225" s="110" t="str">
        <f>$Q$1186</f>
        <v>A.05</v>
      </c>
      <c r="R1225" t="str">
        <f>$Q$1173</f>
        <v>L2</v>
      </c>
      <c r="S1225">
        <f>$E$21</f>
        <v>10.6875</v>
      </c>
      <c r="T1225" cm="1">
        <f t="array" ref="T1225">IFERROR(IF(S1225=0,0,(INDEX($C$33:$C$38,MATCH($W$1186,$B$33:$B$38,0),0)*(S1229+$X$1186)+$T$1186*COUNTIF(S1225:S1228,"&gt;0")*$C$32+$V$1186*$C$31)*$R$1186),0)</f>
        <v>0</v>
      </c>
      <c r="U1225">
        <f>IF(S1225=0,0,-(COUNTIF(S1225:S1228,"&gt;0")*$T$1186*$C$32+$V$1186*$C$31)*$H$27*$R$1186)</f>
        <v>0</v>
      </c>
      <c r="V1225">
        <f>IF(S1225=0,0,$V$1186*$H$26*$R$1186)</f>
        <v>0</v>
      </c>
      <c r="W1225">
        <f>(0.6*T1225+0.7*U1225)*$R$1186/2</f>
        <v>0</v>
      </c>
      <c r="X1225">
        <f>(0.6*T1225+0.6*V1225)*$R$1186/2</f>
        <v>0</v>
      </c>
      <c r="Z1225">
        <f>IF(S1225=0,0,$AD$1186*$AP$1173)</f>
        <v>0</v>
      </c>
      <c r="AA1225">
        <f>IFERROR(Z1225/$R$1186,0)</f>
        <v>0</v>
      </c>
      <c r="AB1225">
        <f>Z1225*($F$21+IF($F$21=0,0,($C$14+$C$15+IF($C$13="single",1.5,3)+3)/12))</f>
        <v>0</v>
      </c>
      <c r="AC1225">
        <f>AB1225-W1225</f>
        <v>0</v>
      </c>
      <c r="AD1225" cm="1">
        <f t="array" ref="AD1225">IFERROR(IF(AC1225&lt;0,0,AC1225/($R$1186-INDEX(hd_off,MATCH(AQ1225,hd_mark,0),0)/12)),0)</f>
        <v>0</v>
      </c>
      <c r="AE1225">
        <f>IF(S1225=0,0,$AD$1186*$AM$1173)</f>
        <v>0</v>
      </c>
      <c r="AF1225">
        <f>IFERROR(AE1225/$R$1186,0)</f>
        <v>0</v>
      </c>
      <c r="AG1225">
        <f>AE1225*($F$21+IF($F$21=0,0,($C$14+$C$15+IF($C$13="single",1.5,3)+3)/12))</f>
        <v>0</v>
      </c>
      <c r="AH1225">
        <f>AG1225-X1225</f>
        <v>0</v>
      </c>
      <c r="AI1225" cm="1">
        <f t="array" ref="AI1225">IFERROR(IF(AH1225&lt;0,0,AH1225/($R$1186-INDEX(hd_off,MATCH(AQ1225,hd_mark,0),0)/12)),0)</f>
        <v>0</v>
      </c>
      <c r="AJ1225">
        <f>MAX($F$21,$Y$1186)/$Q$1204</f>
        <v>0.30172413793103448</v>
      </c>
      <c r="AK1225">
        <f>IF(AJ1225=0,0,IF(AJ1225&gt;2,1.25-0.125*AJ1225,1))</f>
        <v>1</v>
      </c>
      <c r="AL1225" cm="1">
        <f t="array" ref="AL1225">IFERROR(INDEX(sheath_ecap_asd,MATCH(AP1225,sheath_mark,0),0)*AK1225,0)</f>
        <v>0</v>
      </c>
      <c r="AM1225" cm="1">
        <f t="array" ref="AM1225">IFERROR(INDEX(sheath_wcap_asd,MATCH(AP1225,sheath_mark,0),0)*AK1225,0)</f>
        <v>0</v>
      </c>
      <c r="AN1225" cm="1">
        <f t="array" ref="AN1225">IFERROR(INDEX(hd_cap,MATCH(AQ1225,hd_mark,0),0),0)</f>
        <v>0</v>
      </c>
      <c r="AP1225" s="19"/>
      <c r="AQ1225" s="19"/>
      <c r="AR1225" s="100"/>
      <c r="AS1225" s="93"/>
      <c r="AT1225" s="110" t="str">
        <f>$AT$1186</f>
        <v>1.05</v>
      </c>
      <c r="AU1225" t="str">
        <f>$Q$1173</f>
        <v>L2</v>
      </c>
      <c r="AV1225">
        <f>$E$21</f>
        <v>10.6875</v>
      </c>
      <c r="AW1225" cm="1">
        <f t="array" ref="AW1225">IFERROR(IF(AV1225=0,0,(INDEX($C$33:$C$38,MATCH($AZ$1186,$B$33:$B$38,0),0)*(AV1229+$BA$1186)+$AW$1186*COUNTIF(AV1225:AV1228,"&gt;0")*$C$32+$AY$1186*$C$31)*$AU$1186),0)</f>
        <v>0</v>
      </c>
      <c r="AX1225">
        <f>IF(AV1225=0,0,-(COUNTIF(AV1225:AV1228,"&gt;0")*$AW$1186*$C$32+$AY$1186*$C$31)*$H$27*$AU$1186)</f>
        <v>0</v>
      </c>
      <c r="AY1225">
        <f>IF(AV1225=0,0,$AY$1186*$H$26*$AU$1186)</f>
        <v>0</v>
      </c>
      <c r="AZ1225">
        <f>(0.6*AW1225+0.7*AX1225)*$AU$1186/2</f>
        <v>0</v>
      </c>
      <c r="BA1225">
        <f>(0.6*AW1225+0.6*AY1225)*$AU$1186/2</f>
        <v>0</v>
      </c>
      <c r="BC1225">
        <f>IF(AV1225=0,0,$BG$1186*$AP$1173)</f>
        <v>0</v>
      </c>
      <c r="BD1225">
        <f>IFERROR(BC1225/$AU$1186,0)</f>
        <v>0</v>
      </c>
      <c r="BE1225">
        <f>BC1225*($F$21+IF($F$21=0,0,($C$14+$C$15+IF($C$13="single",1.5,3)+3)/12))</f>
        <v>0</v>
      </c>
      <c r="BF1225">
        <f>BE1225-AZ1225</f>
        <v>0</v>
      </c>
      <c r="BG1225" cm="1">
        <f t="array" ref="BG1225">IFERROR(IF(BF1225&lt;0,0,BF1225/($AU$1186-INDEX(hd_off,MATCH(BT1225,hd_mark,0),0)/12)),0)</f>
        <v>0</v>
      </c>
      <c r="BH1225">
        <f>IF(AV1225=0,0,$BG$1186*$AM$1173)</f>
        <v>0</v>
      </c>
      <c r="BI1225">
        <f>IFERROR(BH1225/$AU$1186,0)</f>
        <v>0</v>
      </c>
      <c r="BJ1225">
        <f>BH1225*($F$21+IF($F$21=0,0,($C$14+$C$15+IF($C$13="single",1.5,3)+3)/12))</f>
        <v>0</v>
      </c>
      <c r="BK1225">
        <f>BJ1225-BA1225</f>
        <v>0</v>
      </c>
      <c r="BL1225" cm="1">
        <f t="array" ref="BL1225">IFERROR(IF(BK1225&lt;0,0,BK1225/($AU$1186-INDEX(hd_off,MATCH(BT1225,hd_mark,0),0)/12)),0)</f>
        <v>0</v>
      </c>
      <c r="BM1225">
        <f>MAX($F$21,$BB$1186)/$Q$1204</f>
        <v>0.30172413793103448</v>
      </c>
      <c r="BN1225">
        <f>IF(BM1225=0,0,IF(BM1225&gt;2,1.25-0.125*BM1225,1))</f>
        <v>1</v>
      </c>
      <c r="BO1225" cm="1">
        <f t="array" ref="BO1225">IFERROR(INDEX(sheath_ecap_asd,MATCH(BS1225,sheath_mark,0),0)*BN1225,0)</f>
        <v>0</v>
      </c>
      <c r="BP1225" cm="1">
        <f t="array" ref="BP1225">IFERROR(INDEX(sheath_wcap_asd,MATCH(BS1225,sheath_mark,0),0)*BN1225,0)</f>
        <v>0</v>
      </c>
      <c r="BQ1225" cm="1">
        <f t="array" ref="BQ1225">IFERROR(INDEX(hd_cap,MATCH(BT1225,hd_mark,0),0),0)</f>
        <v>0</v>
      </c>
      <c r="BS1225" s="19"/>
      <c r="BT1225" s="19"/>
      <c r="BU1225" s="100"/>
    </row>
    <row r="1226" x14ac:dyDescent="0.25">
      <c r="B1226" s="1"/>
      <c r="P1226" s="93"/>
      <c r="Q1226" s="109"/>
      <c r="R1226" t="str">
        <f>$Q$1174</f>
        <v>L3</v>
      </c>
      <c r="S1226">
        <f>$E$22</f>
        <v>21.375</v>
      </c>
      <c r="T1226" cm="1">
        <f t="array" ref="T1226">IFERROR(IF(S1226=0,0,(INDEX($C$33:$C$38,MATCH($W$1186,$B$33:$B$38,0),0)*(S1229+$X$1186)+$T$1186*COUNTIF(S1226:S1228,"&gt;0")*$C$32+$V$1186*$C$31)*$R$1186),0)</f>
        <v>0</v>
      </c>
      <c r="U1226">
        <f>IF(S1226=0,0,-(COUNTIF(S1226:S1228,"&gt;0")*$T$1186*$C$32+$V$1186*$C$31)*$H$27*$R$1186)</f>
        <v>0</v>
      </c>
      <c r="V1226">
        <f>IF(S1226=0,0,$V$1186*$H$26*$R$1186)</f>
        <v>0</v>
      </c>
      <c r="W1226">
        <f>(0.6*T1226+0.7*U1226)*$R$1186/2</f>
        <v>0</v>
      </c>
      <c r="X1226">
        <f>T1226*$R$1186/2</f>
        <v>0</v>
      </c>
      <c r="Z1226">
        <f>IF(S1226=0,0,$AD$1186*$AP$1174)</f>
        <v>0</v>
      </c>
      <c r="AA1226">
        <f>IFERROR(Z1226/$R$1186,0)</f>
        <v>0</v>
      </c>
      <c r="AB1226">
        <f>Z1226*($F$22+IF($F$22=0,0,($C$14+$C$15+IF($C$13="single",1.5,3)+3)/12))</f>
        <v>0</v>
      </c>
      <c r="AC1226">
        <f>AB1226-W1226</f>
        <v>0</v>
      </c>
      <c r="AD1226" cm="1">
        <f t="array" ref="AD1226">IFERROR(IF(AC1226&lt;0,0,AC1226/($R$1186-INDEX(hd_off,MATCH(AQ1226,hd_mark,0),0)/12)),0)</f>
        <v>0</v>
      </c>
      <c r="AE1226">
        <f>IF(S1226=0,0,$AD$1186*$AM$1174)</f>
        <v>0</v>
      </c>
      <c r="AF1226">
        <f>IFERROR(AE1226/$R$1186,0)</f>
        <v>0</v>
      </c>
      <c r="AG1226">
        <f>AE1226*($F$22+IF($F$22=0,0,($C$14+$C$15+IF($C$13="single",1.5,3)+3)/12))</f>
        <v>0</v>
      </c>
      <c r="AH1226">
        <f>AG1226-X1226</f>
        <v>0</v>
      </c>
      <c r="AI1226" cm="1">
        <f t="array" ref="AI1226">IFERROR(IF(AH1226&lt;0,0,AH1226/($R$1186-INDEX(hd_off,MATCH(AQ1226,hd_mark,0),0)/12)),0)</f>
        <v>0</v>
      </c>
      <c r="AJ1226">
        <f>MAX($F$22,$Z$1186)/$Q$1204</f>
        <v>0.30172413793103448</v>
      </c>
      <c r="AK1226">
        <f t="shared" ref="AK1226:AK1229" si="765">IF(AJ1226=0,0,IF(AJ1226&gt;2,1.25-0.125*AJ1226,1))</f>
        <v>1</v>
      </c>
      <c r="AL1226" cm="1">
        <f t="array" ref="AL1226">IFERROR(INDEX(sheath_ecap_asd,MATCH(AP1226,sheath_mark,0),0)*AK1226,0)</f>
        <v>0</v>
      </c>
      <c r="AM1226" cm="1">
        <f t="array" ref="AM1226">IFERROR(INDEX(sheath_wcap_asd,MATCH(AP1226,sheath_mark,0),0)*AK1226,0)</f>
        <v>0</v>
      </c>
      <c r="AN1226" cm="1">
        <f t="array" ref="AN1226">IFERROR(INDEX(hd_cap,MATCH(AQ1226,hd_mark,0),0),0)</f>
        <v>0</v>
      </c>
      <c r="AP1226" s="19"/>
      <c r="AQ1226" s="19"/>
      <c r="AR1226" s="100"/>
      <c r="AS1226" s="93"/>
      <c r="AT1226" s="109"/>
      <c r="AU1226" t="str">
        <f>$Q$1174</f>
        <v>L3</v>
      </c>
      <c r="AV1226">
        <f>$E$22</f>
        <v>21.375</v>
      </c>
      <c r="AW1226" cm="1">
        <f t="array" ref="AW1226">IFERROR(IF(AV1226=0,0,(INDEX($C$33:$C$38,MATCH($AZ$1186,$B$33:$B$38,0),0)*(AV1229+$BA$1186)+$AW$1186*COUNTIF(AV1226:AV1228,"&gt;0")*$C$32+$AY$1186*$C$31)*$AU$1186),0)</f>
        <v>0</v>
      </c>
      <c r="AX1226">
        <f>IF(AV1226=0,0,-(COUNTIF(AV1226:AV1228,"&gt;0")*$AW$1186*$C$32+$AY$1186*$C$31)*$H$27*$AU$1186)</f>
        <v>0</v>
      </c>
      <c r="AY1226">
        <f>IF(AV1226=0,0,$AY$1186*$H$26*$AU$1186)</f>
        <v>0</v>
      </c>
      <c r="AZ1226">
        <f>(0.6*AW1226+0.7*AX1226)*$AU$1186/2</f>
        <v>0</v>
      </c>
      <c r="BA1226">
        <f>AW1226*$AU$1186/2</f>
        <v>0</v>
      </c>
      <c r="BC1226">
        <f>IF(AV1226=0,0,$BG$1186*$AP$1174)</f>
        <v>0</v>
      </c>
      <c r="BD1226">
        <f>IFERROR(BC1226/$AU$1186,0)</f>
        <v>0</v>
      </c>
      <c r="BE1226">
        <f>BC1226*($F$22+IF($F$22=0,0,($C$14+$C$15+IF($C$13="single",1.5,3)+3)/12))</f>
        <v>0</v>
      </c>
      <c r="BF1226">
        <f>BE1226-AZ1226</f>
        <v>0</v>
      </c>
      <c r="BG1226" cm="1">
        <f t="array" ref="BG1226">IFERROR(IF(BF1226&lt;0,0,BF1226/($AU$1186-INDEX(hd_off,MATCH(BT1226,hd_mark,0),0)/12)),0)</f>
        <v>0</v>
      </c>
      <c r="BH1226">
        <f>IF(AV1226=0,0,$BG$1186*$AM$1174)</f>
        <v>0</v>
      </c>
      <c r="BI1226">
        <f>IFERROR(BH1226/$AU$1186,0)</f>
        <v>0</v>
      </c>
      <c r="BJ1226">
        <f>BH1226*($F$22+IF($F$22=0,0,($C$14+$C$15+IF($C$13="single",1.5,3)+3)/12))</f>
        <v>0</v>
      </c>
      <c r="BK1226">
        <f>BJ1226-BA1226</f>
        <v>0</v>
      </c>
      <c r="BL1226" cm="1">
        <f t="array" ref="BL1226">IFERROR(IF(BK1226&lt;0,0,BK1226/($AU$1186-INDEX(hd_off,MATCH(BT1226,hd_mark,0),0)/12)),0)</f>
        <v>0</v>
      </c>
      <c r="BM1226">
        <f>MAX($F$22,$BC$1186)/$Q$1204</f>
        <v>0.30172413793103448</v>
      </c>
      <c r="BN1226">
        <f t="shared" ref="BN1226:BN1229" si="766">IF(BM1226=0,0,IF(BM1226&gt;2,1.25-0.125*BM1226,1))</f>
        <v>1</v>
      </c>
      <c r="BO1226" cm="1">
        <f t="array" ref="BO1226">IFERROR(INDEX(sheath_ecap_asd,MATCH(BS1226,sheath_mark,0),0)*BN1226,0)</f>
        <v>0</v>
      </c>
      <c r="BP1226" cm="1">
        <f t="array" ref="BP1226">IFERROR(INDEX(sheath_wcap_asd,MATCH(BS1226,sheath_mark,0),0)*BN1226,0)</f>
        <v>0</v>
      </c>
      <c r="BQ1226" cm="1">
        <f t="array" ref="BQ1226">IFERROR(INDEX(hd_cap,MATCH(BT1226,hd_mark,0),0),0)</f>
        <v>0</v>
      </c>
      <c r="BS1226" s="19"/>
      <c r="BT1226" s="19"/>
      <c r="BU1226" s="100"/>
    </row>
    <row r="1227" x14ac:dyDescent="0.25">
      <c r="P1227" s="93"/>
      <c r="Q1227" s="109" t="s">
        <v>491</v>
      </c>
      <c r="R1227" t="str">
        <f>$Q$1175</f>
        <v>L4</v>
      </c>
      <c r="S1227">
        <f>$E$23</f>
        <v>0</v>
      </c>
      <c r="T1227" cm="1">
        <f t="array" ref="T1227">IFERROR(IF(S1227=0,0,(INDEX($C$33:$C$38,MATCH($W$1186,$B$33:$B$38,0),0)*(S1229+$X$1186)+$T$1186*COUNTIF(S1227:S1228,"&gt;0")*$C$32+$V$1186*$C$31)*$R$1186),0)</f>
        <v>0</v>
      </c>
      <c r="U1227">
        <f>IF(S1227=0,0,-(COUNTIF(S1227:S1228,"&gt;0")*$T$1186*$C$32+$V$1186*$C$31)*$H$27*$R$1186)</f>
        <v>0</v>
      </c>
      <c r="V1227">
        <f>IF(S1227=0,0,$V$1186*$H$26*$R$1186)</f>
        <v>0</v>
      </c>
      <c r="W1227">
        <f>(0.6*T1227+0.7*U1227)*$R$1186/2</f>
        <v>0</v>
      </c>
      <c r="X1227">
        <f>T1227*$R$1186/2</f>
        <v>0</v>
      </c>
      <c r="Z1227">
        <f>IF(S1227=0,0,$AD$1186*$AP$1175)</f>
        <v>0</v>
      </c>
      <c r="AA1227">
        <f>IFERROR(Z1227/$R$1186,0)</f>
        <v>0</v>
      </c>
      <c r="AB1227">
        <f>Z1227*($F$23+IF($F$23=0,0,($C$14+$C$15+IF($C$13="single",1.5,3)+3)/12))</f>
        <v>0</v>
      </c>
      <c r="AC1227">
        <f>AB1227-W1227</f>
        <v>0</v>
      </c>
      <c r="AD1227" cm="1">
        <f t="array" ref="AD1227">IFERROR(IF(AC1227&lt;0,0,AC1227/($R$1186-INDEX(hd_off,MATCH(AQ1227,hd_mark,0),0)/12)),0)</f>
        <v>0</v>
      </c>
      <c r="AE1227">
        <f>IF(S1227=0,0,$AD$1186*$AM$1175)</f>
        <v>0</v>
      </c>
      <c r="AF1227">
        <f>IFERROR(AE1227/$R$1186,0)</f>
        <v>0</v>
      </c>
      <c r="AG1227">
        <f>AE1227*($F$23+IF($F$23=0,0,($C$14+$C$15+IF($C$13="single",1.5,3)+3)/12))</f>
        <v>0</v>
      </c>
      <c r="AH1227">
        <f>AG1227-X1227</f>
        <v>0</v>
      </c>
      <c r="AI1227" cm="1">
        <f t="array" ref="AI1227">IFERROR(IF(AH1227&lt;0,0,AH1227/($R$1186-INDEX(hd_off,MATCH(AQ1227,hd_mark,0),0)/12)),0)</f>
        <v>0</v>
      </c>
      <c r="AJ1227">
        <f>MAX($F$23,$AA$1186)/$Q$1204</f>
        <v>0</v>
      </c>
      <c r="AK1227">
        <f t="shared" si="765"/>
        <v>0</v>
      </c>
      <c r="AL1227" cm="1">
        <f t="array" ref="AL1227">IFERROR(INDEX(sheath_ecap_asd,MATCH(AP1227,sheath_mark,0),0)*AK1227,0)</f>
        <v>0</v>
      </c>
      <c r="AM1227" cm="1">
        <f t="array" ref="AM1227">IFERROR(INDEX(sheath_wcap_asd,MATCH(AP1227,sheath_mark,0),0)*AK1227,0)</f>
        <v>0</v>
      </c>
      <c r="AN1227" cm="1">
        <f t="array" ref="AN1227">IFERROR(INDEX(hd_cap,MATCH(AQ1227,hd_mark,0),0),0)</f>
        <v>0</v>
      </c>
      <c r="AP1227" s="19"/>
      <c r="AQ1227" s="19"/>
      <c r="AR1227" s="100"/>
      <c r="AS1227" s="93"/>
      <c r="AT1227" s="109" t="s">
        <v>491</v>
      </c>
      <c r="AU1227" t="str">
        <f>$Q$1175</f>
        <v>L4</v>
      </c>
      <c r="AV1227">
        <f>$E$23</f>
        <v>0</v>
      </c>
      <c r="AW1227" cm="1">
        <f t="array" ref="AW1227">IFERROR(IF(AV1227=0,0,(INDEX($C$33:$C$38,MATCH($AZ$1186,$B$33:$B$38,0),0)*(AV1229+$BA$1186)+$AW$1186*COUNTIF(AV1227:AV1228,"&gt;0")*$C$32+$AY$1186*$C$31)*$AU$1186),0)</f>
        <v>0</v>
      </c>
      <c r="AX1227">
        <f>IF(AV1227=0,0,-(COUNTIF(AV1227:AV1228,"&gt;0")*$AW$1186*$C$32+$AY$1186*$C$31)*$H$27*$AU$1186)</f>
        <v>0</v>
      </c>
      <c r="AY1227">
        <f>IF(AV1227=0,0,$AY$1186*$H$26*$AU$1186)</f>
        <v>0</v>
      </c>
      <c r="AZ1227">
        <f>(0.6*AW1227+0.7*AX1227)*$AU$1186/2</f>
        <v>0</v>
      </c>
      <c r="BA1227">
        <f>AW1227*$AU$1186/2</f>
        <v>0</v>
      </c>
      <c r="BC1227">
        <f>IF(AV1227=0,0,$BG$1186*$AP$1175)</f>
        <v>0</v>
      </c>
      <c r="BD1227">
        <f>IFERROR(BC1227/$AU$1186,0)</f>
        <v>0</v>
      </c>
      <c r="BE1227">
        <f>BC1227*($F$23+IF($F$23=0,0,($C$14+$C$15+IF($C$13="single",1.5,3)+3)/12))</f>
        <v>0</v>
      </c>
      <c r="BF1227">
        <f>BE1227-AZ1227</f>
        <v>0</v>
      </c>
      <c r="BG1227" cm="1">
        <f t="array" ref="BG1227">IFERROR(IF(BF1227&lt;0,0,BF1227/($AU$1186-INDEX(hd_off,MATCH(BT1227,hd_mark,0),0)/12)),0)</f>
        <v>0</v>
      </c>
      <c r="BH1227">
        <f>IF(AV1227=0,0,$BG$1186*$AM$1175)</f>
        <v>0</v>
      </c>
      <c r="BI1227">
        <f>IFERROR(BH1227/$AU$1186,0)</f>
        <v>0</v>
      </c>
      <c r="BJ1227">
        <f>BH1227*($F$23+IF($F$23=0,0,($C$14+$C$15+IF($C$13="single",1.5,3)+3)/12))</f>
        <v>0</v>
      </c>
      <c r="BK1227">
        <f>BJ1227-BA1227</f>
        <v>0</v>
      </c>
      <c r="BL1227" cm="1">
        <f t="array" ref="BL1227">IFERROR(IF(BK1227&lt;0,0,BK1227/($AU$1186-INDEX(hd_off,MATCH(BT1227,hd_mark,0),0)/12)),0)</f>
        <v>0</v>
      </c>
      <c r="BM1227">
        <f>MAX($F$23,$BD$1186)/$Q$1204</f>
        <v>0</v>
      </c>
      <c r="BN1227">
        <f t="shared" si="766"/>
        <v>0</v>
      </c>
      <c r="BO1227" cm="1">
        <f t="array" ref="BO1227">IFERROR(INDEX(sheath_ecap_asd,MATCH(BS1227,sheath_mark,0),0)*BN1227,0)</f>
        <v>0</v>
      </c>
      <c r="BP1227" cm="1">
        <f t="array" ref="BP1227">IFERROR(INDEX(sheath_wcap_asd,MATCH(BS1227,sheath_mark,0),0)*BN1227,0)</f>
        <v>0</v>
      </c>
      <c r="BQ1227" cm="1">
        <f t="array" ref="BQ1227">IFERROR(INDEX(hd_cap,MATCH(BT1227,hd_mark,0),0),0)</f>
        <v>0</v>
      </c>
      <c r="BS1227" s="19"/>
      <c r="BT1227" s="19"/>
      <c r="BU1227" s="100"/>
    </row>
    <row r="1228" x14ac:dyDescent="0.25">
      <c r="P1228" s="93"/>
      <c r="Q1228" s="111">
        <f>$R$1186</f>
        <v>0</v>
      </c>
      <c r="R1228" t="str">
        <f>$Q$1176</f>
        <v>L5</v>
      </c>
      <c r="S1228">
        <f>$E$24</f>
        <v>0</v>
      </c>
      <c r="T1228" cm="1">
        <f t="array" ref="T1228">IFERROR(IF(S1228=0,0,(INDEX($C$33:$C$38,MATCH($W$1186,$B$33:$B$38,0),0)*(S1229+$X$1186)+$T$1186*COUNTIF(S1228:S1228,"&gt;0")*$C$32+$V$1186*$C$31)*$R$1186),0)</f>
        <v>0</v>
      </c>
      <c r="U1228">
        <f>IF(S1228=0,0,-(COUNTIF(S1228:S1228,"&gt;0")*$T$1186*$C$32+$V$1186*$C$31)*$H$27*$R$1186)</f>
        <v>0</v>
      </c>
      <c r="V1228">
        <f>IF(S1228=0,0,$V$1186*$H$26*$R$1186)</f>
        <v>0</v>
      </c>
      <c r="W1228">
        <f>(0.6*T1228+0.7*U1228)*$R$1186/2</f>
        <v>0</v>
      </c>
      <c r="X1228">
        <f>T1228*$R$1186/2</f>
        <v>0</v>
      </c>
      <c r="Z1228">
        <f>IF(S1228=0,0,$AD$1186*$AP$1176)</f>
        <v>0</v>
      </c>
      <c r="AA1228">
        <f>IFERROR(Z1228/$R$1186,0)</f>
        <v>0</v>
      </c>
      <c r="AB1228">
        <f>Z1228*($F$24+IF($F$24=0,0,($C$14+$C$15+IF($C$13="single",1.5,3)+3)/12))</f>
        <v>0</v>
      </c>
      <c r="AC1228">
        <f>AB1228-W1228</f>
        <v>0</v>
      </c>
      <c r="AD1228" cm="1">
        <f t="array" ref="AD1228">IFERROR(IF(AC1228&lt;0,0,AC1228/($R$1186-INDEX(hd_off,MATCH(AQ1228,hd_mark,0),0)/12)),0)</f>
        <v>0</v>
      </c>
      <c r="AE1228">
        <f>IF(S1228=0,0,$AD$1186*$AM$1176)</f>
        <v>0</v>
      </c>
      <c r="AF1228">
        <f>IFERROR(AE1228/$R$1186,0)</f>
        <v>0</v>
      </c>
      <c r="AG1228">
        <f>AE1228*($F$24+IF($F$24=0,0,($C$14+$C$15+IF($C$13="single",1.5,3)+3)/12))</f>
        <v>0</v>
      </c>
      <c r="AH1228">
        <f>AG1228-X1228</f>
        <v>0</v>
      </c>
      <c r="AI1228" cm="1">
        <f t="array" ref="AI1228">IFERROR(IF(AH1228&lt;0,0,AH1228/($R$1186-INDEX(hd_off,MATCH(AQ1228,hd_mark,0),0)/12)),0)</f>
        <v>0</v>
      </c>
      <c r="AJ1228">
        <f>MAX($F$24,$AB$1186)/$Q$1204</f>
        <v>0</v>
      </c>
      <c r="AK1228">
        <f t="shared" si="765"/>
        <v>0</v>
      </c>
      <c r="AL1228" cm="1">
        <f t="array" ref="AL1228">IFERROR(INDEX(sheath_ecap_asd,MATCH(AP1228,sheath_mark,0),0)*AK1228,0)</f>
        <v>0</v>
      </c>
      <c r="AM1228" cm="1">
        <f t="array" ref="AM1228">IFERROR(INDEX(sheath_wcap_asd,MATCH(AP1228,sheath_mark,0),0)*AK1228,0)</f>
        <v>0</v>
      </c>
      <c r="AN1228" cm="1">
        <f t="array" ref="AN1228">IFERROR(INDEX(hd_cap,MATCH(AQ1228,hd_mark,0),0),0)</f>
        <v>0</v>
      </c>
      <c r="AP1228" s="19"/>
      <c r="AQ1228" s="19"/>
      <c r="AR1228" s="100"/>
      <c r="AS1228" s="93"/>
      <c r="AT1228" s="111">
        <f>$R$1186</f>
        <v>0</v>
      </c>
      <c r="AU1228" t="str">
        <f>$Q$1176</f>
        <v>L5</v>
      </c>
      <c r="AV1228">
        <f>$E$24</f>
        <v>0</v>
      </c>
      <c r="AW1228" cm="1">
        <f t="array" ref="AW1228">IFERROR(IF(AV1228=0,0,(INDEX($C$33:$C$38,MATCH($AZ$1186,$B$33:$B$38,0),0)*(AV1229+$BA$1186)+$AW$1186*COUNTIF(AV1228:AV1228,"&gt;0")*$C$32+$AY$1186*$C$31)*$AU$1186),0)</f>
        <v>0</v>
      </c>
      <c r="AX1228">
        <f>IF(AV1228=0,0,-(COUNTIF(AV1228:AV1228,"&gt;0")*$AW$1186*$C$32+$AY$1186*$C$31)*$H$27*$AU$1186)</f>
        <v>0</v>
      </c>
      <c r="AY1228">
        <f>IF(AV1228=0,0,$AY$1186*$H$26*$AU$1186)</f>
        <v>0</v>
      </c>
      <c r="AZ1228">
        <f>(0.6*AW1228+0.7*AX1228)*$AU$1186/2</f>
        <v>0</v>
      </c>
      <c r="BA1228">
        <f>AW1228*$AU$1186/2</f>
        <v>0</v>
      </c>
      <c r="BC1228">
        <f>IF(AV1228=0,0,$BG$1186*$AP$1176)</f>
        <v>0</v>
      </c>
      <c r="BD1228">
        <f>IFERROR(BC1228/$AU$1186,0)</f>
        <v>0</v>
      </c>
      <c r="BE1228">
        <f>BC1228*($F$24+IF($F$24=0,0,($C$14+$C$15+IF($C$13="single",1.5,3)+3)/12))</f>
        <v>0</v>
      </c>
      <c r="BF1228">
        <f>BE1228-AZ1228</f>
        <v>0</v>
      </c>
      <c r="BG1228" cm="1">
        <f t="array" ref="BG1228">IFERROR(IF(BF1228&lt;0,0,BF1228/($AU$1186-INDEX(hd_off,MATCH(BT1228,hd_mark,0),0)/12)),0)</f>
        <v>0</v>
      </c>
      <c r="BH1228">
        <f>IF(AV1228=0,0,$BG$1186*$AM$1176)</f>
        <v>0</v>
      </c>
      <c r="BI1228">
        <f>IFERROR(BH1228/$AU$1186,0)</f>
        <v>0</v>
      </c>
      <c r="BJ1228">
        <f>BH1228*($F$24+IF($F$24=0,0,($C$14+$C$15+IF($C$13="single",1.5,3)+3)/12))</f>
        <v>0</v>
      </c>
      <c r="BK1228">
        <f>BJ1228-BA1228</f>
        <v>0</v>
      </c>
      <c r="BL1228" cm="1">
        <f t="array" ref="BL1228">IFERROR(IF(BK1228&lt;0,0,BK1228/($AU$1186-INDEX(hd_off,MATCH(BT1228,hd_mark,0),0)/12)),0)</f>
        <v>0</v>
      </c>
      <c r="BM1228">
        <f>MAX($F$24,$BE$1186)/$Q$1204</f>
        <v>0</v>
      </c>
      <c r="BN1228">
        <f t="shared" si="766"/>
        <v>0</v>
      </c>
      <c r="BO1228" cm="1">
        <f t="array" ref="BO1228">IFERROR(INDEX(sheath_ecap_asd,MATCH(BS1228,sheath_mark,0),0)*BN1228,0)</f>
        <v>0</v>
      </c>
      <c r="BP1228" cm="1">
        <f t="array" ref="BP1228">IFERROR(INDEX(sheath_wcap_asd,MATCH(BS1228,sheath_mark,0),0)*BN1228,0)</f>
        <v>0</v>
      </c>
      <c r="BQ1228" cm="1">
        <f t="array" ref="BQ1228">IFERROR(INDEX(hd_cap,MATCH(BT1228,hd_mark,0),0),0)</f>
        <v>0</v>
      </c>
      <c r="BS1228" s="19"/>
      <c r="BT1228" s="19"/>
      <c r="BU1228" s="100"/>
    </row>
    <row r="1229" x14ac:dyDescent="0.25">
      <c r="P1229" s="93"/>
      <c r="Q1229" s="109"/>
      <c r="R1229" t="str">
        <f>$Q$1177</f>
        <v>Roof</v>
      </c>
      <c r="S1229">
        <f>$E$25</f>
        <v>33.171875</v>
      </c>
      <c r="T1229" cm="1">
        <f t="array" ref="T1229">IFERROR(IF(S1229=0,0,(INDEX($C$33:$C$38,MATCH($W$1186,$B$33:$B$38,0),0)*(S1229+$X$1186)+$V$1186*$C$31)*$R$1186),0)</f>
        <v>0</v>
      </c>
      <c r="U1229">
        <f>IF(S1229=0,0,-$V$1186*$C$31*$H$27*$R$1186)</f>
        <v>0</v>
      </c>
      <c r="V1229">
        <f>IF(S1229=0,0,$V$1186*$H$26*$R$1186)</f>
        <v>0</v>
      </c>
      <c r="W1229">
        <f>(0.6*T1229+0.7*U1229)*$R$1186/2</f>
        <v>0</v>
      </c>
      <c r="X1229">
        <f>T1229*$R$1186/2</f>
        <v>0</v>
      </c>
      <c r="Z1229">
        <f>IF(S1229=0,0,$AD$1186*$AP$1177)</f>
        <v>0</v>
      </c>
      <c r="AA1229">
        <f>IFERROR(Z1229/$R$1186,0)</f>
        <v>0</v>
      </c>
      <c r="AB1229">
        <f>Z1229*($F$25+($C$16+$C$17+IF($C$13="single",1.5,3)+3)/12)</f>
        <v>0</v>
      </c>
      <c r="AC1229">
        <f>AB1229-W1229</f>
        <v>0</v>
      </c>
      <c r="AD1229" cm="1">
        <f t="array" ref="AD1229">IFERROR(IF(AC1229&lt;0,0,AC1229/($R$1186-INDEX(hd_off,MATCH(AQ1229,hd_mark,0),0)/12)),0)</f>
        <v>0</v>
      </c>
      <c r="AE1229">
        <f>IF(S1229=0,0,$AD$1186*$AM$1177)</f>
        <v>0</v>
      </c>
      <c r="AF1229">
        <f>IFERROR(AE1229/$R$1186,0)</f>
        <v>0</v>
      </c>
      <c r="AG1229">
        <f>AE1229*($F$25+($C$16+$C$17+IF($C$13="single",1.5,3)+3)/12)</f>
        <v>0</v>
      </c>
      <c r="AH1229">
        <f>AG1229-X1229</f>
        <v>0</v>
      </c>
      <c r="AI1229" cm="1">
        <f t="array" ref="AI1229">IFERROR(IF(AH1229&lt;0,0,AH1229/($R$1186-INDEX(hd_off,MATCH(AQ1229,hd_mark,0),0)/12)),0)</f>
        <v>0</v>
      </c>
      <c r="AJ1229">
        <f>MAX($F$25,$AC$1186)/$Q$1204</f>
        <v>0.29920977011494249</v>
      </c>
      <c r="AK1229">
        <f t="shared" si="765"/>
        <v>1</v>
      </c>
      <c r="AL1229" cm="1">
        <f t="array" ref="AL1229">IFERROR(INDEX(sheath_ecap_asd,MATCH(AP1229,sheath_mark,0),0)*AK1229,0)</f>
        <v>0</v>
      </c>
      <c r="AM1229" cm="1">
        <f t="array" ref="AM1229">IFERROR(INDEX(sheath_wcap_asd,MATCH(AP1229,sheath_mark,0),0)*AK1229,0)</f>
        <v>0</v>
      </c>
      <c r="AN1229" cm="1">
        <f t="array" ref="AN1229">IFERROR(INDEX(hd_cap,MATCH(AQ1229,hd_mark,0),0),0)</f>
        <v>0</v>
      </c>
      <c r="AP1229" s="19"/>
      <c r="AQ1229" s="19"/>
      <c r="AR1229" s="100"/>
      <c r="AS1229" s="93"/>
      <c r="AT1229" s="109"/>
      <c r="AU1229" t="str">
        <f>$Q$1177</f>
        <v>Roof</v>
      </c>
      <c r="AV1229">
        <f>$E$25</f>
        <v>33.171875</v>
      </c>
      <c r="AW1229" cm="1">
        <f t="array" ref="AW1229">IFERROR(IF(AV1229=0,0,(INDEX($C$33:$C$38,MATCH($AZ$1186,$B$33:$B$38,0),0)*(AV1229+$BA$1186)+$AY$1186*$C$31)*$AU$1186),0)</f>
        <v>0</v>
      </c>
      <c r="AX1229">
        <f>IF(AV1229=0,0,-$AY$1186*$C$31*$H$27*$AU$1186)</f>
        <v>0</v>
      </c>
      <c r="AY1229">
        <f>IF(AV1229=0,0,$AY$1186*$H$26*$AU$1186)</f>
        <v>0</v>
      </c>
      <c r="AZ1229">
        <f>(0.6*AW1229+0.7*AX1229)*$AU$1186/2</f>
        <v>0</v>
      </c>
      <c r="BA1229">
        <f>AW1229*$AU$1186/2</f>
        <v>0</v>
      </c>
      <c r="BC1229">
        <f>IF(AV1229=0,0,$BG$1186*$AP$1177)</f>
        <v>0</v>
      </c>
      <c r="BD1229">
        <f>IFERROR(BC1229/$AU$1186,0)</f>
        <v>0</v>
      </c>
      <c r="BE1229">
        <f>BC1229*($F$25+($C$16+$C$17+IF($C$13="single",1.5,3)+3)/12)</f>
        <v>0</v>
      </c>
      <c r="BF1229">
        <f>BE1229-AZ1229</f>
        <v>0</v>
      </c>
      <c r="BG1229" cm="1">
        <f t="array" ref="BG1229">IFERROR(IF(BF1229&lt;0,0,BF1229/($AU$1186-INDEX(hd_off,MATCH(BT1229,hd_mark,0),0)/12)),0)</f>
        <v>0</v>
      </c>
      <c r="BH1229">
        <f>IF(AV1229=0,0,$BG$1186*$AM$1177)</f>
        <v>0</v>
      </c>
      <c r="BI1229">
        <f>IFERROR(BH1229/$AU$1186,0)</f>
        <v>0</v>
      </c>
      <c r="BJ1229">
        <f>BH1229*($F$25+($C$16+$C$17+IF($C$13="single",1.5,3)+3)/12)</f>
        <v>0</v>
      </c>
      <c r="BK1229">
        <f>BJ1229-BA1229</f>
        <v>0</v>
      </c>
      <c r="BL1229" cm="1">
        <f t="array" ref="BL1229">IFERROR(IF(BK1229&lt;0,0,BK1229/($AU$1186-INDEX(hd_off,MATCH(BT1229,hd_mark,0),0)/12)),0)</f>
        <v>0</v>
      </c>
      <c r="BM1229">
        <f>MAX($F$25,$BF$1186)/$Q$1204</f>
        <v>0.29920977011494249</v>
      </c>
      <c r="BN1229">
        <f t="shared" si="766"/>
        <v>1</v>
      </c>
      <c r="BO1229" cm="1">
        <f t="array" ref="BO1229">IFERROR(INDEX(sheath_ecap_asd,MATCH(BS1229,sheath_mark,0),0)*BN1229,0)</f>
        <v>0</v>
      </c>
      <c r="BP1229" cm="1">
        <f t="array" ref="BP1229">IFERROR(INDEX(sheath_wcap_asd,MATCH(BS1229,sheath_mark,0),0)*BN1229,0)</f>
        <v>0</v>
      </c>
      <c r="BQ1229" cm="1">
        <f t="array" ref="BQ1229">IFERROR(INDEX(hd_cap,MATCH(BT1229,hd_mark,0),0),0)</f>
        <v>0</v>
      </c>
      <c r="BS1229" s="19"/>
      <c r="BT1229" s="19"/>
      <c r="BU1229" s="100"/>
    </row>
    <row r="1230" x14ac:dyDescent="0.25">
      <c r="P1230" s="93"/>
      <c r="AR1230" s="100"/>
      <c r="AS1230" s="93"/>
      <c r="BU1230" s="100"/>
    </row>
    <row r="1231" x14ac:dyDescent="0.25">
      <c r="P1231" s="93"/>
      <c r="Q1231" s="110" t="str">
        <f>$Q$1187</f>
        <v>A.06</v>
      </c>
      <c r="R1231" t="str">
        <f>$Q$1173</f>
        <v>L2</v>
      </c>
      <c r="S1231">
        <f>$E$21</f>
        <v>10.6875</v>
      </c>
      <c r="T1231" cm="1">
        <f t="array" ref="T1231">IFERROR(IF(S1231=0,0,(INDEX($C$33:$C$38,MATCH($W$1187,$B$33:$B$38,0),0)*(S1235+$X$1187)+$T$1187*COUNTIF(S1231:S1234,"&gt;0")*$C$32+$V$1187*$C$31)*$R$1187),0)</f>
        <v>0</v>
      </c>
      <c r="U1231">
        <f>IF(S1231=0,0,-(COUNTIF(S1231:S1234,"&gt;0")*$T$1187*$C$32+$V$1187*$C$31)*$H$27*$R$1187)</f>
        <v>0</v>
      </c>
      <c r="V1231">
        <f>IF(S1231=0,0,$V$1187*$H$26*$R$1187)</f>
        <v>0</v>
      </c>
      <c r="W1231">
        <f>(0.6*T1231+0.7*U1231)*$R$1187/2</f>
        <v>0</v>
      </c>
      <c r="X1231">
        <f>(0.6*T1231+0.6*V1231)*$R$1187/2</f>
        <v>0</v>
      </c>
      <c r="Z1231">
        <f>IF(S1231=0,0,$AD$1187*$AP$1173)</f>
        <v>0</v>
      </c>
      <c r="AA1231">
        <f>IFERROR(Z1231/$R$1187,0)</f>
        <v>0</v>
      </c>
      <c r="AB1231">
        <f>Z1231*($F$21+IF($F$21=0,0,($C$14+$C$15+IF($C$13="single",1.5,3)+3)/12))</f>
        <v>0</v>
      </c>
      <c r="AC1231">
        <f>AB1231-W1231</f>
        <v>0</v>
      </c>
      <c r="AD1231" cm="1">
        <f t="array" ref="AD1231">IFERROR(IF(AC1231&lt;0,0,AC1231/($R$1187-INDEX(hd_off,MATCH(AQ1231,hd_mark,0),0)/12)),0)</f>
        <v>0</v>
      </c>
      <c r="AE1231">
        <f>IF(S1231=0,0,$AD$1187*$AM$1173)</f>
        <v>0</v>
      </c>
      <c r="AF1231">
        <f>IFERROR(AE1231/$R$1187,0)</f>
        <v>0</v>
      </c>
      <c r="AG1231">
        <f>AE1231*($F$21+IF($F$21=0,0,($C$14+$C$15+IF($C$13="single",1.5,3)+3)/12))</f>
        <v>0</v>
      </c>
      <c r="AH1231">
        <f>AG1231-X1231</f>
        <v>0</v>
      </c>
      <c r="AI1231" cm="1">
        <f t="array" ref="AI1231">IFERROR(IF(AH1231&lt;0,0,AH1231/($R$1187-INDEX(hd_off,MATCH(AQ1231,hd_mark,0),0)/12)),0)</f>
        <v>0</v>
      </c>
      <c r="AJ1231">
        <f>MAX($F$21,$Y$1187)/$Q$1204</f>
        <v>0.30172413793103448</v>
      </c>
      <c r="AK1231">
        <f>IF(AJ1231=0,0,IF(AJ1231&gt;2,1.25-0.125*AJ1231,1))</f>
        <v>1</v>
      </c>
      <c r="AL1231" cm="1">
        <f t="array" ref="AL1231">IFERROR(INDEX(sheath_ecap_asd,MATCH(AP1231,sheath_mark,0),0)*AK1231,0)</f>
        <v>0</v>
      </c>
      <c r="AM1231" cm="1">
        <f t="array" ref="AM1231">IFERROR(INDEX(sheath_wcap_asd,MATCH(AP1231,sheath_mark,0),0)*AK1231,0)</f>
        <v>0</v>
      </c>
      <c r="AN1231" cm="1">
        <f t="array" ref="AN1231">IFERROR(INDEX(hd_cap,MATCH(AQ1231,hd_mark,0),0),0)</f>
        <v>0</v>
      </c>
      <c r="AP1231" s="19"/>
      <c r="AQ1231" s="19"/>
      <c r="AR1231" s="100"/>
      <c r="AS1231" s="93"/>
      <c r="AT1231" s="110" t="str">
        <f>$AT$1187</f>
        <v>1.06</v>
      </c>
      <c r="AU1231" t="str">
        <f>$Q$1173</f>
        <v>L2</v>
      </c>
      <c r="AV1231">
        <f>$E$21</f>
        <v>10.6875</v>
      </c>
      <c r="AW1231" cm="1">
        <f t="array" ref="AW1231">IFERROR(IF(AV1231=0,0,(INDEX($C$33:$C$38,MATCH($AZ$1187,$B$33:$B$38,0),0)*(AV1235+$BA$1187)+$AW$1187*COUNTIF(AV1231:AV1234,"&gt;0")*$C$32+$AY$1187*$C$31)*$AU$1187),0)</f>
        <v>0</v>
      </c>
      <c r="AX1231">
        <f>IF(AV1231=0,0,-(COUNTIF(AV1231:AV1234,"&gt;0")*$AW$1187*$C$32+$AY$1187*$C$31)*$H$27*$AU$1187)</f>
        <v>0</v>
      </c>
      <c r="AY1231">
        <f>IF(AV1231=0,0,$AY$1187*$H$26*$AU$1187)</f>
        <v>0</v>
      </c>
      <c r="AZ1231">
        <f>(0.6*AW1231+0.7*AX1231)*$AU$1187/2</f>
        <v>0</v>
      </c>
      <c r="BA1231">
        <f>(0.6*AW1231+0.6*AY1231)*$AU$1187/2</f>
        <v>0</v>
      </c>
      <c r="BC1231">
        <f>IF(AV1231=0,0,$BG$1187*$AP$1173)</f>
        <v>0</v>
      </c>
      <c r="BD1231">
        <f>IFERROR(BC1231/$AU$1187,0)</f>
        <v>0</v>
      </c>
      <c r="BE1231">
        <f>BC1231*($F$21+IF($F$21=0,0,($C$14+$C$15+IF($C$13="single",1.5,3)+3)/12))</f>
        <v>0</v>
      </c>
      <c r="BF1231">
        <f>BE1231-AZ1231</f>
        <v>0</v>
      </c>
      <c r="BG1231" cm="1">
        <f t="array" ref="BG1231">IFERROR(IF(BF1231&lt;0,0,BF1231/($AU$1187-INDEX(hd_off,MATCH(BT1231,hd_mark,0),0)/12)),0)</f>
        <v>0</v>
      </c>
      <c r="BH1231">
        <f>IF(AV1231=0,0,$BG$1187*$AM$1173)</f>
        <v>0</v>
      </c>
      <c r="BI1231">
        <f>IFERROR(BH1231/$AU$1187,0)</f>
        <v>0</v>
      </c>
      <c r="BJ1231">
        <f>BH1231*($F$21+IF($F$21=0,0,($C$14+$C$15+IF($C$13="single",1.5,3)+3)/12))</f>
        <v>0</v>
      </c>
      <c r="BK1231">
        <f>BJ1231-BA1231</f>
        <v>0</v>
      </c>
      <c r="BL1231" cm="1">
        <f t="array" ref="BL1231">IFERROR(IF(BK1231&lt;0,0,BK1231/($AU$1187-INDEX(hd_off,MATCH(BT1231,hd_mark,0),0)/12)),0)</f>
        <v>0</v>
      </c>
      <c r="BM1231">
        <f>MAX($F$21,$BB$1187)/$Q$1204</f>
        <v>0.30172413793103448</v>
      </c>
      <c r="BN1231">
        <f>IF(BM1231=0,0,IF(BM1231&gt;2,1.25-0.125*BM1231,1))</f>
        <v>1</v>
      </c>
      <c r="BO1231" cm="1">
        <f t="array" ref="BO1231">IFERROR(INDEX(sheath_ecap_asd,MATCH(BS1231,sheath_mark,0),0)*BN1231,0)</f>
        <v>0</v>
      </c>
      <c r="BP1231" cm="1">
        <f t="array" ref="BP1231">IFERROR(INDEX(sheath_wcap_asd,MATCH(BS1231,sheath_mark,0),0)*BN1231,0)</f>
        <v>0</v>
      </c>
      <c r="BQ1231" cm="1">
        <f t="array" ref="BQ1231">IFERROR(INDEX(hd_cap,MATCH(BT1231,hd_mark,0),0),0)</f>
        <v>0</v>
      </c>
      <c r="BS1231" s="19"/>
      <c r="BT1231" s="19"/>
      <c r="BU1231" s="100"/>
    </row>
    <row r="1232" x14ac:dyDescent="0.25">
      <c r="P1232" s="93"/>
      <c r="Q1232" s="109"/>
      <c r="R1232" t="str">
        <f>$Q$1174</f>
        <v>L3</v>
      </c>
      <c r="S1232">
        <f>$E$22</f>
        <v>21.375</v>
      </c>
      <c r="T1232" cm="1">
        <f t="array" ref="T1232">IFERROR(IF(S1232=0,0,(INDEX($C$33:$C$38,MATCH($W$1187,$B$33:$B$38,0),0)*(S1235+$X$1187)+$T$1187*COUNTIF(S1232:S1234,"&gt;0")*$C$32+$V$1187*$C$31)*$R$1187),0)</f>
        <v>0</v>
      </c>
      <c r="U1232">
        <f>IF(S1232=0,0,-(COUNTIF(S1232:S1234,"&gt;0")*$T$1187*$C$32+$V$1187*$C$31)*$H$27*$R$1187)</f>
        <v>0</v>
      </c>
      <c r="V1232">
        <f>IF(S1232=0,0,$V$1187*$H$26*$R$1187)</f>
        <v>0</v>
      </c>
      <c r="W1232">
        <f>(0.6*T1232+0.7*U1232)*$R$1187/2</f>
        <v>0</v>
      </c>
      <c r="X1232">
        <f>T1232*$R$1187/2</f>
        <v>0</v>
      </c>
      <c r="Z1232">
        <f>IF(S1232=0,0,$AD$1187*$AP$1174)</f>
        <v>0</v>
      </c>
      <c r="AA1232">
        <f>IFERROR(Z1232/$R$1187,0)</f>
        <v>0</v>
      </c>
      <c r="AB1232">
        <f>Z1232*($F$22+IF($F$22=0,0,($C$14+$C$15+IF($C$13="single",1.5,3)+3)/12))</f>
        <v>0</v>
      </c>
      <c r="AC1232">
        <f>AB1232-W1232</f>
        <v>0</v>
      </c>
      <c r="AD1232" cm="1">
        <f t="array" ref="AD1232">IFERROR(IF(AC1232&lt;0,0,AC1232/($R$1187-INDEX(hd_off,MATCH(AQ1232,hd_mark,0),0)/12)),0)</f>
        <v>0</v>
      </c>
      <c r="AE1232">
        <f>IF(S1232=0,0,$AD$1187*$AM$1174)</f>
        <v>0</v>
      </c>
      <c r="AF1232">
        <f>IFERROR(AE1232/$R$1187,0)</f>
        <v>0</v>
      </c>
      <c r="AG1232">
        <f>AE1232*($F$22+IF($F$22=0,0,($C$14+$C$15+IF($C$13="single",1.5,3)+3)/12))</f>
        <v>0</v>
      </c>
      <c r="AH1232">
        <f>AG1232-X1232</f>
        <v>0</v>
      </c>
      <c r="AI1232" cm="1">
        <f t="array" ref="AI1232">IFERROR(IF(AH1232&lt;0,0,AH1232/($R$1187-INDEX(hd_off,MATCH(AQ1232,hd_mark,0),0)/12)),0)</f>
        <v>0</v>
      </c>
      <c r="AJ1232">
        <f>MAX($F$22,$Z$1187)/$Q$1204</f>
        <v>0.30172413793103448</v>
      </c>
      <c r="AK1232">
        <f t="shared" ref="AK1232:AK1235" si="767">IF(AJ1232=0,0,IF(AJ1232&gt;2,1.25-0.125*AJ1232,1))</f>
        <v>1</v>
      </c>
      <c r="AL1232" cm="1">
        <f t="array" ref="AL1232">IFERROR(INDEX(sheath_ecap_asd,MATCH(AP1232,sheath_mark,0),0)*AK1232,0)</f>
        <v>0</v>
      </c>
      <c r="AM1232" cm="1">
        <f t="array" ref="AM1232">IFERROR(INDEX(sheath_wcap_asd,MATCH(AP1232,sheath_mark,0),0)*AK1232,0)</f>
        <v>0</v>
      </c>
      <c r="AN1232" cm="1">
        <f t="array" ref="AN1232">IFERROR(INDEX(hd_cap,MATCH(AQ1232,hd_mark,0),0),0)</f>
        <v>0</v>
      </c>
      <c r="AP1232" s="19"/>
      <c r="AQ1232" s="19"/>
      <c r="AR1232" s="100"/>
      <c r="AS1232" s="93"/>
      <c r="AT1232" s="109"/>
      <c r="AU1232" t="str">
        <f>$Q$1174</f>
        <v>L3</v>
      </c>
      <c r="AV1232">
        <f>$E$22</f>
        <v>21.375</v>
      </c>
      <c r="AW1232" cm="1">
        <f t="array" ref="AW1232">IFERROR(IF(AV1232=0,0,(INDEX($C$33:$C$38,MATCH($AZ$1187,$B$33:$B$38,0),0)*(AV1235+$BA$1187)+$AW$1187*COUNTIF(AV1232:AV1234,"&gt;0")*$C$32+$AY$1187*$C$31)*$AU$1187),0)</f>
        <v>0</v>
      </c>
      <c r="AX1232">
        <f>IF(AV1232=0,0,-(COUNTIF(AV1232:AV1234,"&gt;0")*$AW$1187*$C$32+$AY$1187*$C$31)*$H$27*$AU$1187)</f>
        <v>0</v>
      </c>
      <c r="AY1232">
        <f>IF(AV1232=0,0,$AY$1187*$H$26*$AU$1187)</f>
        <v>0</v>
      </c>
      <c r="AZ1232">
        <f>(0.6*AW1232+0.7*AX1232)*$AU$1187/2</f>
        <v>0</v>
      </c>
      <c r="BA1232">
        <f>AW1232*$AU$1187/2</f>
        <v>0</v>
      </c>
      <c r="BC1232">
        <f>IF(AV1232=0,0,$BG$1187*$AP$1174)</f>
        <v>0</v>
      </c>
      <c r="BD1232">
        <f>IFERROR(BC1232/$AU$1187,0)</f>
        <v>0</v>
      </c>
      <c r="BE1232">
        <f>BC1232*($F$22+IF($F$22=0,0,($C$14+$C$15+IF($C$13="single",1.5,3)+3)/12))</f>
        <v>0</v>
      </c>
      <c r="BF1232">
        <f>BE1232-AZ1232</f>
        <v>0</v>
      </c>
      <c r="BG1232" cm="1">
        <f t="array" ref="BG1232">IFERROR(IF(BF1232&lt;0,0,BF1232/($AU$1187-INDEX(hd_off,MATCH(BT1232,hd_mark,0),0)/12)),0)</f>
        <v>0</v>
      </c>
      <c r="BH1232">
        <f>IF(AV1232=0,0,$BG$1187*$AM$1174)</f>
        <v>0</v>
      </c>
      <c r="BI1232">
        <f>IFERROR(BH1232/$AU$1187,0)</f>
        <v>0</v>
      </c>
      <c r="BJ1232">
        <f>BH1232*($F$22+IF($F$22=0,0,($C$14+$C$15+IF($C$13="single",1.5,3)+3)/12))</f>
        <v>0</v>
      </c>
      <c r="BK1232">
        <f>BJ1232-BA1232</f>
        <v>0</v>
      </c>
      <c r="BL1232" cm="1">
        <f t="array" ref="BL1232">IFERROR(IF(BK1232&lt;0,0,BK1232/($AU$1187-INDEX(hd_off,MATCH(BT1232,hd_mark,0),0)/12)),0)</f>
        <v>0</v>
      </c>
      <c r="BM1232">
        <f>MAX($F$22,$BC$1187)/$Q$1204</f>
        <v>0.30172413793103448</v>
      </c>
      <c r="BN1232">
        <f t="shared" ref="BN1232:BN1235" si="768">IF(BM1232=0,0,IF(BM1232&gt;2,1.25-0.125*BM1232,1))</f>
        <v>1</v>
      </c>
      <c r="BO1232" cm="1">
        <f t="array" ref="BO1232">IFERROR(INDEX(sheath_ecap_asd,MATCH(BS1232,sheath_mark,0),0)*BN1232,0)</f>
        <v>0</v>
      </c>
      <c r="BP1232" cm="1">
        <f t="array" ref="BP1232">IFERROR(INDEX(sheath_wcap_asd,MATCH(BS1232,sheath_mark,0),0)*BN1232,0)</f>
        <v>0</v>
      </c>
      <c r="BQ1232" cm="1">
        <f t="array" ref="BQ1232">IFERROR(INDEX(hd_cap,MATCH(BT1232,hd_mark,0),0),0)</f>
        <v>0</v>
      </c>
      <c r="BS1232" s="19"/>
      <c r="BT1232" s="19"/>
      <c r="BU1232" s="100"/>
    </row>
    <row r="1233" x14ac:dyDescent="0.25">
      <c r="P1233" s="93"/>
      <c r="Q1233" s="109" t="s">
        <v>491</v>
      </c>
      <c r="R1233" t="str">
        <f>$Q$1175</f>
        <v>L4</v>
      </c>
      <c r="S1233">
        <f>$E$23</f>
        <v>0</v>
      </c>
      <c r="T1233" cm="1">
        <f t="array" ref="T1233">IFERROR(IF(S1233=0,0,(INDEX($C$33:$C$38,MATCH($W$1187,$B$33:$B$38,0),0)*(S1235+$X$1187)+$T$1187*COUNTIF(S1233:S1234,"&gt;0")*$C$32+$V$1187*$C$31)*$R$1187),0)</f>
        <v>0</v>
      </c>
      <c r="U1233">
        <f>IF(S1233=0,0,-(COUNTIF(S1233:S1234,"&gt;0")*$T$1187*$C$32+$V$1187*$C$31)*$H$27*$R$1187)</f>
        <v>0</v>
      </c>
      <c r="V1233">
        <f>IF(S1233=0,0,$V$1187*$H$26*$R$1187)</f>
        <v>0</v>
      </c>
      <c r="W1233">
        <f>(0.6*T1233+0.7*U1233)*$R$1187/2</f>
        <v>0</v>
      </c>
      <c r="X1233">
        <f>T1233*$R$1187/2</f>
        <v>0</v>
      </c>
      <c r="Z1233">
        <f>IF(S1233=0,0,$AD$1187*$AP$1175)</f>
        <v>0</v>
      </c>
      <c r="AA1233">
        <f>IFERROR(Z1233/$R$1187,0)</f>
        <v>0</v>
      </c>
      <c r="AB1233">
        <f>Z1233*($F$23+IF($F$23=0,0,($C$14+$C$15+IF($C$13="single",1.5,3)+3)/12))</f>
        <v>0</v>
      </c>
      <c r="AC1233">
        <f>AB1233-W1233</f>
        <v>0</v>
      </c>
      <c r="AD1233" cm="1">
        <f t="array" ref="AD1233">IFERROR(IF(AC1233&lt;0,0,AC1233/($R$1187-INDEX(hd_off,MATCH(AQ1233,hd_mark,0),0)/12)),0)</f>
        <v>0</v>
      </c>
      <c r="AE1233">
        <f>IF(S1233=0,0,$AD$1187*$AM$1175)</f>
        <v>0</v>
      </c>
      <c r="AF1233">
        <f>IFERROR(AE1233/$R$1187,0)</f>
        <v>0</v>
      </c>
      <c r="AG1233">
        <f>AE1233*($F$23+IF($F$23=0,0,($C$14+$C$15+IF($C$13="single",1.5,3)+3)/12))</f>
        <v>0</v>
      </c>
      <c r="AH1233">
        <f>AG1233-X1233</f>
        <v>0</v>
      </c>
      <c r="AI1233" cm="1">
        <f t="array" ref="AI1233">IFERROR(IF(AH1233&lt;0,0,AH1233/($R$1187-INDEX(hd_off,MATCH(AQ1233,hd_mark,0),0)/12)),0)</f>
        <v>0</v>
      </c>
      <c r="AJ1233">
        <f>MAX($F$23,$AA$1187)/$Q$1204</f>
        <v>0</v>
      </c>
      <c r="AK1233">
        <f t="shared" si="767"/>
        <v>0</v>
      </c>
      <c r="AL1233" cm="1">
        <f t="array" ref="AL1233">IFERROR(INDEX(sheath_ecap_asd,MATCH(AP1233,sheath_mark,0),0)*AK1233,0)</f>
        <v>0</v>
      </c>
      <c r="AM1233" cm="1">
        <f t="array" ref="AM1233">IFERROR(INDEX(sheath_wcap_asd,MATCH(AP1233,sheath_mark,0),0)*AK1233,0)</f>
        <v>0</v>
      </c>
      <c r="AN1233" cm="1">
        <f t="array" ref="AN1233">IFERROR(INDEX(hd_cap,MATCH(AQ1233,hd_mark,0),0),0)</f>
        <v>0</v>
      </c>
      <c r="AP1233" s="19"/>
      <c r="AQ1233" s="19"/>
      <c r="AR1233" s="100"/>
      <c r="AS1233" s="93"/>
      <c r="AT1233" s="109" t="s">
        <v>491</v>
      </c>
      <c r="AU1233" t="str">
        <f>$Q$1175</f>
        <v>L4</v>
      </c>
      <c r="AV1233">
        <f>$E$23</f>
        <v>0</v>
      </c>
      <c r="AW1233" cm="1">
        <f t="array" ref="AW1233">IFERROR(IF(AV1233=0,0,(INDEX($C$33:$C$38,MATCH($AZ$1187,$B$33:$B$38,0),0)*(AV1235+$BA$1187)+$AW$1187*COUNTIF(AV1233:AV1234,"&gt;0")*$C$32+$AY$1187*$C$31)*$AU$1187),0)</f>
        <v>0</v>
      </c>
      <c r="AX1233">
        <f>IF(AV1233=0,0,-(COUNTIF(AV1233:AV1234,"&gt;0")*$AW$1187*$C$32+$AY$1187*$C$31)*$H$27*$AU$1187)</f>
        <v>0</v>
      </c>
      <c r="AY1233">
        <f>IF(AV1233=0,0,$AY$1187*$H$26*$AU$1187)</f>
        <v>0</v>
      </c>
      <c r="AZ1233">
        <f>(0.6*AW1233+0.7*AX1233)*$AU$1187/2</f>
        <v>0</v>
      </c>
      <c r="BA1233">
        <f>AW1233*$AU$1187/2</f>
        <v>0</v>
      </c>
      <c r="BC1233">
        <f>IF(AV1233=0,0,$BG$1187*$AP$1175)</f>
        <v>0</v>
      </c>
      <c r="BD1233">
        <f>IFERROR(BC1233/$AU$1187,0)</f>
        <v>0</v>
      </c>
      <c r="BE1233">
        <f>BC1233*($F$23+IF($F$23=0,0,($C$14+$C$15+IF($C$13="single",1.5,3)+3)/12))</f>
        <v>0</v>
      </c>
      <c r="BF1233">
        <f>BE1233-AZ1233</f>
        <v>0</v>
      </c>
      <c r="BG1233" cm="1">
        <f t="array" ref="BG1233">IFERROR(IF(BF1233&lt;0,0,BF1233/($AU$1187-INDEX(hd_off,MATCH(BT1233,hd_mark,0),0)/12)),0)</f>
        <v>0</v>
      </c>
      <c r="BH1233">
        <f>IF(AV1233=0,0,$BG$1187*$AM$1175)</f>
        <v>0</v>
      </c>
      <c r="BI1233">
        <f>IFERROR(BH1233/$AU$1187,0)</f>
        <v>0</v>
      </c>
      <c r="BJ1233">
        <f>BH1233*($F$23+IF($F$23=0,0,($C$14+$C$15+IF($C$13="single",1.5,3)+3)/12))</f>
        <v>0</v>
      </c>
      <c r="BK1233">
        <f>BJ1233-BA1233</f>
        <v>0</v>
      </c>
      <c r="BL1233" cm="1">
        <f t="array" ref="BL1233">IFERROR(IF(BK1233&lt;0,0,BK1233/($AU$1187-INDEX(hd_off,MATCH(BT1233,hd_mark,0),0)/12)),0)</f>
        <v>0</v>
      </c>
      <c r="BM1233">
        <f>MAX($F$23,$BD$1187)/$Q$1204</f>
        <v>0</v>
      </c>
      <c r="BN1233">
        <f t="shared" si="768"/>
        <v>0</v>
      </c>
      <c r="BO1233" cm="1">
        <f t="array" ref="BO1233">IFERROR(INDEX(sheath_ecap_asd,MATCH(BS1233,sheath_mark,0),0)*BN1233,0)</f>
        <v>0</v>
      </c>
      <c r="BP1233" cm="1">
        <f t="array" ref="BP1233">IFERROR(INDEX(sheath_wcap_asd,MATCH(BS1233,sheath_mark,0),0)*BN1233,0)</f>
        <v>0</v>
      </c>
      <c r="BQ1233" cm="1">
        <f t="array" ref="BQ1233">IFERROR(INDEX(hd_cap,MATCH(BT1233,hd_mark,0),0),0)</f>
        <v>0</v>
      </c>
      <c r="BS1233" s="19"/>
      <c r="BT1233" s="19"/>
      <c r="BU1233" s="100"/>
    </row>
    <row r="1234" x14ac:dyDescent="0.25">
      <c r="P1234" s="93"/>
      <c r="Q1234" s="111">
        <f>$R$1187</f>
        <v>0</v>
      </c>
      <c r="R1234" t="str">
        <f>$Q$1176</f>
        <v>L5</v>
      </c>
      <c r="S1234">
        <f>$E$24</f>
        <v>0</v>
      </c>
      <c r="T1234" cm="1">
        <f t="array" ref="T1234">IFERROR(IF(S1234=0,0,(INDEX($C$33:$C$38,MATCH($W$1187,$B$33:$B$38,0),0)*(S1235+$X$1187)+$T$1187*COUNTIF(S1234:S1234,"&gt;0")*$C$32+$V$1187*$C$31)*$R$1187),0)</f>
        <v>0</v>
      </c>
      <c r="U1234">
        <f>IF(S1234=0,0,-(COUNTIF(S1234:S1234,"&gt;0")*$T$1187*$C$32+$V$1187*$C$31)*$H$27*$R$1187)</f>
        <v>0</v>
      </c>
      <c r="V1234">
        <f>IF(S1234=0,0,$V$1187*$H$26*$R$1187)</f>
        <v>0</v>
      </c>
      <c r="W1234">
        <f>(0.6*T1234+0.7*U1234)*$R$1187/2</f>
        <v>0</v>
      </c>
      <c r="X1234">
        <f>T1234*$R$1187/2</f>
        <v>0</v>
      </c>
      <c r="Z1234">
        <f>IF(S1234=0,0,$AD$1187*$AP$1176)</f>
        <v>0</v>
      </c>
      <c r="AA1234">
        <f>IFERROR(Z1234/$R$1187,0)</f>
        <v>0</v>
      </c>
      <c r="AB1234">
        <f>Z1234*($F$24+IF($F$24=0,0,($C$14+$C$15+IF($C$13="single",1.5,3)+3)/12))</f>
        <v>0</v>
      </c>
      <c r="AC1234">
        <f>AB1234-W1234</f>
        <v>0</v>
      </c>
      <c r="AD1234" cm="1">
        <f t="array" ref="AD1234">IFERROR(IF(AC1234&lt;0,0,AC1234/($R$1187-INDEX(hd_off,MATCH(AQ1234,hd_mark,0),0)/12)),0)</f>
        <v>0</v>
      </c>
      <c r="AE1234">
        <f>IF(S1234=0,0,$AD$1187*$AM$1176)</f>
        <v>0</v>
      </c>
      <c r="AF1234">
        <f>IFERROR(AE1234/$R$1187,0)</f>
        <v>0</v>
      </c>
      <c r="AG1234">
        <f>AE1234*($F$24+IF($F$24=0,0,($C$14+$C$15+IF($C$13="single",1.5,3)+3)/12))</f>
        <v>0</v>
      </c>
      <c r="AH1234">
        <f>AG1234-X1234</f>
        <v>0</v>
      </c>
      <c r="AI1234" cm="1">
        <f t="array" ref="AI1234">IFERROR(IF(AH1234&lt;0,0,AH1234/($R$1187-INDEX(hd_off,MATCH(AQ1234,hd_mark,0),0)/12)),0)</f>
        <v>0</v>
      </c>
      <c r="AJ1234">
        <f>MAX($F$24,$AB$1187)/$Q$1204</f>
        <v>0</v>
      </c>
      <c r="AK1234">
        <f t="shared" si="767"/>
        <v>0</v>
      </c>
      <c r="AL1234" cm="1">
        <f t="array" ref="AL1234">IFERROR(INDEX(sheath_ecap_asd,MATCH(AP1234,sheath_mark,0),0)*AK1234,0)</f>
        <v>0</v>
      </c>
      <c r="AM1234" cm="1">
        <f t="array" ref="AM1234">IFERROR(INDEX(sheath_wcap_asd,MATCH(AP1234,sheath_mark,0),0)*AK1234,0)</f>
        <v>0</v>
      </c>
      <c r="AN1234" cm="1">
        <f t="array" ref="AN1234">IFERROR(INDEX(hd_cap,MATCH(AQ1234,hd_mark,0),0),0)</f>
        <v>0</v>
      </c>
      <c r="AP1234" s="19"/>
      <c r="AQ1234" s="19"/>
      <c r="AR1234" s="100"/>
      <c r="AS1234" s="93"/>
      <c r="AT1234" s="111">
        <f>$R$1187</f>
        <v>0</v>
      </c>
      <c r="AU1234" t="str">
        <f>$Q$1176</f>
        <v>L5</v>
      </c>
      <c r="AV1234">
        <f>$E$24</f>
        <v>0</v>
      </c>
      <c r="AW1234" cm="1">
        <f t="array" ref="AW1234">IFERROR(IF(AV1234=0,0,(INDEX($C$33:$C$38,MATCH($AZ$1187,$B$33:$B$38,0),0)*(AV1235+$BA$1187)+$AW$1187*COUNTIF(AV1234:AV1234,"&gt;0")*$C$32+$AY$1187*$C$31)*$AU$1187),0)</f>
        <v>0</v>
      </c>
      <c r="AX1234">
        <f>IF(AV1234=0,0,-(COUNTIF(AV1234:AV1234,"&gt;0")*$AW$1187*$C$32+$AY$1187*$C$31)*$H$27*$AU$1187)</f>
        <v>0</v>
      </c>
      <c r="AY1234">
        <f>IF(AV1234=0,0,$AY$1187*$H$26*$AU$1187)</f>
        <v>0</v>
      </c>
      <c r="AZ1234">
        <f>(0.6*AW1234+0.7*AX1234)*$AU$1187/2</f>
        <v>0</v>
      </c>
      <c r="BA1234">
        <f>AW1234*$AU$1187/2</f>
        <v>0</v>
      </c>
      <c r="BC1234">
        <f>IF(AV1234=0,0,$BG$1187*$AP$1176)</f>
        <v>0</v>
      </c>
      <c r="BD1234">
        <f>IFERROR(BC1234/$AU$1187,0)</f>
        <v>0</v>
      </c>
      <c r="BE1234">
        <f>BC1234*($F$24+IF($F$24=0,0,($C$14+$C$15+IF($C$13="single",1.5,3)+3)/12))</f>
        <v>0</v>
      </c>
      <c r="BF1234">
        <f>BE1234-AZ1234</f>
        <v>0</v>
      </c>
      <c r="BG1234" cm="1">
        <f t="array" ref="BG1234">IFERROR(IF(BF1234&lt;0,0,BF1234/($AU$1187-INDEX(hd_off,MATCH(BT1234,hd_mark,0),0)/12)),0)</f>
        <v>0</v>
      </c>
      <c r="BH1234">
        <f>IF(AV1234=0,0,$BG$1187*$AM$1176)</f>
        <v>0</v>
      </c>
      <c r="BI1234">
        <f>IFERROR(BH1234/$AU$1187,0)</f>
        <v>0</v>
      </c>
      <c r="BJ1234">
        <f>BH1234*($F$24+IF($F$24=0,0,($C$14+$C$15+IF($C$13="single",1.5,3)+3)/12))</f>
        <v>0</v>
      </c>
      <c r="BK1234">
        <f>BJ1234-BA1234</f>
        <v>0</v>
      </c>
      <c r="BL1234" cm="1">
        <f t="array" ref="BL1234">IFERROR(IF(BK1234&lt;0,0,BK1234/($AU$1187-INDEX(hd_off,MATCH(BT1234,hd_mark,0),0)/12)),0)</f>
        <v>0</v>
      </c>
      <c r="BM1234">
        <f>MAX($F$24,$BE$1187)/$Q$1204</f>
        <v>0</v>
      </c>
      <c r="BN1234">
        <f t="shared" si="768"/>
        <v>0</v>
      </c>
      <c r="BO1234" cm="1">
        <f t="array" ref="BO1234">IFERROR(INDEX(sheath_ecap_asd,MATCH(BS1234,sheath_mark,0),0)*BN1234,0)</f>
        <v>0</v>
      </c>
      <c r="BP1234" cm="1">
        <f t="array" ref="BP1234">IFERROR(INDEX(sheath_wcap_asd,MATCH(BS1234,sheath_mark,0),0)*BN1234,0)</f>
        <v>0</v>
      </c>
      <c r="BQ1234" cm="1">
        <f t="array" ref="BQ1234">IFERROR(INDEX(hd_cap,MATCH(BT1234,hd_mark,0),0),0)</f>
        <v>0</v>
      </c>
      <c r="BS1234" s="19"/>
      <c r="BT1234" s="19"/>
      <c r="BU1234" s="100"/>
    </row>
    <row r="1235" x14ac:dyDescent="0.25">
      <c r="P1235" s="93"/>
      <c r="Q1235" s="109"/>
      <c r="R1235" t="str">
        <f>$Q$1177</f>
        <v>Roof</v>
      </c>
      <c r="S1235">
        <f>$E$25</f>
        <v>33.171875</v>
      </c>
      <c r="T1235" cm="1">
        <f t="array" ref="T1235">IFERROR(IF(S1235=0,0,(INDEX($C$33:$C$38,MATCH($W$1187,$B$33:$B$38,0),0)*(S1235+$X$1187)+$V$1187*$C$31)*$R$1187),0)</f>
        <v>0</v>
      </c>
      <c r="U1235">
        <f>IF(S1235=0,0,-$V$1187*$C$31*$H$27*$R$1187)</f>
        <v>0</v>
      </c>
      <c r="V1235">
        <f>IF(S1235=0,0,$V$1187*$H$26*$R$1187)</f>
        <v>0</v>
      </c>
      <c r="W1235">
        <f>(0.6*T1235+0.7*U1235)*$R$1187/2</f>
        <v>0</v>
      </c>
      <c r="X1235">
        <f>T1235*$R$1187/2</f>
        <v>0</v>
      </c>
      <c r="Z1235">
        <f>IF(S1235=0,0,$AD$1187*$AP$1177)</f>
        <v>0</v>
      </c>
      <c r="AA1235">
        <f>IFERROR(Z1235/$R$1187,0)</f>
        <v>0</v>
      </c>
      <c r="AB1235">
        <f>Z1235*($F$25+($C$16+$C$17+IF($C$13="single",1.5,3)+3)/12)</f>
        <v>0</v>
      </c>
      <c r="AC1235">
        <f>AB1235-W1235</f>
        <v>0</v>
      </c>
      <c r="AD1235" cm="1">
        <f t="array" ref="AD1235">IFERROR(IF(AC1235&lt;0,0,AC1235/($R$1187-INDEX(hd_off,MATCH(AQ1235,hd_mark,0),0)/12)),0)</f>
        <v>0</v>
      </c>
      <c r="AE1235">
        <f>IF(S1235=0,0,$AD$1187*$AM$1177)</f>
        <v>0</v>
      </c>
      <c r="AF1235">
        <f>IFERROR(AE1235/$R$1187,0)</f>
        <v>0</v>
      </c>
      <c r="AG1235">
        <f>AE1235*($F$25+($C$16+$C$17+IF($C$13="single",1.5,3)+3)/12)</f>
        <v>0</v>
      </c>
      <c r="AH1235">
        <f>AG1235-X1235</f>
        <v>0</v>
      </c>
      <c r="AI1235" cm="1">
        <f t="array" ref="AI1235">IFERROR(IF(AH1235&lt;0,0,AH1235/($R$1187-INDEX(hd_off,MATCH(AQ1235,hd_mark,0),0)/12)),0)</f>
        <v>0</v>
      </c>
      <c r="AJ1235">
        <f>MAX($F$25,$AC$1187)/$Q$1204</f>
        <v>0.29920977011494249</v>
      </c>
      <c r="AK1235">
        <f t="shared" si="767"/>
        <v>1</v>
      </c>
      <c r="AL1235" cm="1">
        <f t="array" ref="AL1235">IFERROR(INDEX(sheath_ecap_asd,MATCH(AP1235,sheath_mark,0),0)*AK1235,0)</f>
        <v>0</v>
      </c>
      <c r="AM1235" cm="1">
        <f t="array" ref="AM1235">IFERROR(INDEX(sheath_wcap_asd,MATCH(AP1235,sheath_mark,0),0)*AK1235,0)</f>
        <v>0</v>
      </c>
      <c r="AN1235" cm="1">
        <f t="array" ref="AN1235">IFERROR(INDEX(hd_cap,MATCH(AQ1235,hd_mark,0),0),0)</f>
        <v>0</v>
      </c>
      <c r="AP1235" s="19"/>
      <c r="AQ1235" s="19"/>
      <c r="AR1235" s="100"/>
      <c r="AS1235" s="93"/>
      <c r="AT1235" s="109"/>
      <c r="AU1235" t="str">
        <f>$Q$1177</f>
        <v>Roof</v>
      </c>
      <c r="AV1235">
        <f>$E$25</f>
        <v>33.171875</v>
      </c>
      <c r="AW1235" cm="1">
        <f t="array" ref="AW1235">IFERROR(IF(AV1235=0,0,(INDEX($C$33:$C$38,MATCH($AZ$1187,$B$33:$B$38,0),0)*(AV1235+$BA$1187)+$AY$1187*$C$31)*$AU$1187),0)</f>
        <v>0</v>
      </c>
      <c r="AX1235">
        <f>IF(AV1235=0,0,-$AY$1187*$C$31*$H$27*$AU$1187)</f>
        <v>0</v>
      </c>
      <c r="AY1235">
        <f>IF(AV1235=0,0,$AY$1187*$H$26*$AU$1187)</f>
        <v>0</v>
      </c>
      <c r="AZ1235">
        <f>(0.6*AW1235+0.7*AX1235)*$AU$1187/2</f>
        <v>0</v>
      </c>
      <c r="BA1235">
        <f>AW1235*$AU$1187/2</f>
        <v>0</v>
      </c>
      <c r="BC1235">
        <f>IF(AV1235=0,0,$BG$1187*$AP$1177)</f>
        <v>0</v>
      </c>
      <c r="BD1235">
        <f>IFERROR(BC1235/$AU$1187,0)</f>
        <v>0</v>
      </c>
      <c r="BE1235">
        <f>BC1235*($F$25+($C$16+$C$17+IF($C$13="single",1.5,3)+3)/12)</f>
        <v>0</v>
      </c>
      <c r="BF1235">
        <f>BE1235-AZ1235</f>
        <v>0</v>
      </c>
      <c r="BG1235" cm="1">
        <f t="array" ref="BG1235">IFERROR(IF(BF1235&lt;0,0,BF1235/($AU$1187-INDEX(hd_off,MATCH(BT1235,hd_mark,0),0)/12)),0)</f>
        <v>0</v>
      </c>
      <c r="BH1235">
        <f>IF(AV1235=0,0,$BG$1187*$AM$1177)</f>
        <v>0</v>
      </c>
      <c r="BI1235">
        <f>IFERROR(BH1235/$AU$1187,0)</f>
        <v>0</v>
      </c>
      <c r="BJ1235">
        <f>BH1235*($F$25+($C$16+$C$17+IF($C$13="single",1.5,3)+3)/12)</f>
        <v>0</v>
      </c>
      <c r="BK1235">
        <f>BJ1235-BA1235</f>
        <v>0</v>
      </c>
      <c r="BL1235" cm="1">
        <f t="array" ref="BL1235">IFERROR(IF(BK1235&lt;0,0,BK1235/($AU$1187-INDEX(hd_off,MATCH(BT1235,hd_mark,0),0)/12)),0)</f>
        <v>0</v>
      </c>
      <c r="BM1235">
        <f>MAX($F$25,$BF$1187)/$Q$1204</f>
        <v>0.29920977011494249</v>
      </c>
      <c r="BN1235">
        <f t="shared" si="768"/>
        <v>1</v>
      </c>
      <c r="BO1235" cm="1">
        <f t="array" ref="BO1235">IFERROR(INDEX(sheath_ecap_asd,MATCH(BS1235,sheath_mark,0),0)*BN1235,0)</f>
        <v>0</v>
      </c>
      <c r="BP1235" cm="1">
        <f t="array" ref="BP1235">IFERROR(INDEX(sheath_wcap_asd,MATCH(BS1235,sheath_mark,0),0)*BN1235,0)</f>
        <v>0</v>
      </c>
      <c r="BQ1235" cm="1">
        <f t="array" ref="BQ1235">IFERROR(INDEX(hd_cap,MATCH(BT1235,hd_mark,0),0),0)</f>
        <v>0</v>
      </c>
      <c r="BS1235" s="19"/>
      <c r="BT1235" s="19"/>
      <c r="BU1235" s="100"/>
    </row>
    <row r="1236" x14ac:dyDescent="0.25">
      <c r="P1236" s="93"/>
      <c r="AR1236" s="100"/>
      <c r="AS1236" s="93"/>
      <c r="BU1236" s="100"/>
    </row>
    <row r="1237" x14ac:dyDescent="0.25">
      <c r="P1237" s="93"/>
      <c r="Q1237" s="110" t="str">
        <f>$Q$1188</f>
        <v>A.07</v>
      </c>
      <c r="R1237" t="str">
        <f>$Q$1173</f>
        <v>L2</v>
      </c>
      <c r="S1237">
        <f>$E$21</f>
        <v>10.6875</v>
      </c>
      <c r="T1237" cm="1">
        <f t="array" ref="T1237">IFERROR(IF(S1237=0,0,(INDEX($C$33:$C$38,MATCH($W$1188,$B$33:$B$38,0),0)*(S1241+$X$1188)+$T$1188*COUNTIF(S1237:S1240,"&gt;0")*$C$32+$V$1188*$C$31)*$R$1188),0)</f>
        <v>0</v>
      </c>
      <c r="U1237">
        <f>IF(S1237=0,0,-(COUNTIF(S1237:S1240,"&gt;0")*$T$1188*$C$32+$V$1188*$C$31)*$H$27*$R$1188)</f>
        <v>0</v>
      </c>
      <c r="V1237">
        <f>IF(S1237=0,0,$V$1188*$H$26*$R$1188)</f>
        <v>0</v>
      </c>
      <c r="W1237">
        <f>(0.6*T1237+0.7*U1237)*$R$1188/2</f>
        <v>0</v>
      </c>
      <c r="X1237">
        <f>(0.6*T1237+0.6*V1237)*$R$1188/2</f>
        <v>0</v>
      </c>
      <c r="Z1237">
        <f>IF(S1237=0,0,$AD$1188*$AP$1173)</f>
        <v>0</v>
      </c>
      <c r="AA1237">
        <f>IFERROR(Z1237/$R$1188,0)</f>
        <v>0</v>
      </c>
      <c r="AB1237">
        <f>Z1237*($F$21+IF($F$21=0,0,($C$14+$C$15+IF($C$13="single",1.5,3)+3)/12))</f>
        <v>0</v>
      </c>
      <c r="AC1237">
        <f>AB1237-W1237</f>
        <v>0</v>
      </c>
      <c r="AD1237" cm="1">
        <f t="array" ref="AD1237">IFERROR(IF(AC1237&lt;0,0,AC1237/($R$1188-INDEX(hd_off,MATCH(AQ1237,hd_mark,0),0)/12)),0)</f>
        <v>0</v>
      </c>
      <c r="AE1237">
        <f>IF(S1237=0,0,$AD$1188*$AM$1173)</f>
        <v>0</v>
      </c>
      <c r="AF1237">
        <f>IFERROR(AE1237/$R$1188,0)</f>
        <v>0</v>
      </c>
      <c r="AG1237">
        <f>AE1237*($F$21+IF($F$21=0,0,($C$14+$C$15+IF($C$13="single",1.5,3)+3)/12))</f>
        <v>0</v>
      </c>
      <c r="AH1237">
        <f>AG1237-X1237</f>
        <v>0</v>
      </c>
      <c r="AI1237" cm="1">
        <f t="array" ref="AI1237">IFERROR(IF(AH1237&lt;0,0,AH1237/($R$1188-INDEX(hd_off,MATCH(AQ1237,hd_mark,0),0)/12)),0)</f>
        <v>0</v>
      </c>
      <c r="AJ1237">
        <f>MAX($F$21,$Y$1188)/$Q$1204</f>
        <v>0.30172413793103448</v>
      </c>
      <c r="AK1237">
        <f>IF(AJ1237=0,0,IF(AJ1237&gt;2,1.25-0.125*AJ1237,1))</f>
        <v>1</v>
      </c>
      <c r="AL1237" cm="1">
        <f t="array" ref="AL1237">IFERROR(INDEX(sheath_ecap_asd,MATCH(AP1237,sheath_mark,0),0)*AK1237,0)</f>
        <v>0</v>
      </c>
      <c r="AM1237" cm="1">
        <f t="array" ref="AM1237">IFERROR(INDEX(sheath_wcap_asd,MATCH(AP1237,sheath_mark,0),0)*AK1237,0)</f>
        <v>0</v>
      </c>
      <c r="AN1237" cm="1">
        <f t="array" ref="AN1237">IFERROR(INDEX(hd_cap,MATCH(AQ1237,hd_mark,0),0),0)</f>
        <v>0</v>
      </c>
      <c r="AP1237" s="19"/>
      <c r="AQ1237" s="19"/>
      <c r="AR1237" s="100"/>
      <c r="AS1237" s="93"/>
      <c r="AT1237" s="110" t="str">
        <f>$AT$1188</f>
        <v>1.07</v>
      </c>
      <c r="AU1237" t="str">
        <f>$Q$1173</f>
        <v>L2</v>
      </c>
      <c r="AV1237">
        <f>$E$21</f>
        <v>10.6875</v>
      </c>
      <c r="AW1237" cm="1">
        <f t="array" ref="AW1237">IFERROR(IF(AV1237=0,0,(INDEX($C$33:$C$38,MATCH($AZ$1188,$B$33:$B$38,0),0)*(AV1241+$BA$1188)+$AW$1188*COUNTIF(AV1237:AV1240,"&gt;0")*$C$32+$AY$1188*$C$31)*$AU$1188),0)</f>
        <v>0</v>
      </c>
      <c r="AX1237">
        <f>IF(AV1237=0,0,-(COUNTIF(AV1237:AV1240,"&gt;0")*$AW$1188*$C$32+$AY$1188*$C$31)*$H$27*$AU$1188)</f>
        <v>0</v>
      </c>
      <c r="AY1237">
        <f>IF(AV1237=0,0,$AY$1188*$H$26*$AU$1188)</f>
        <v>0</v>
      </c>
      <c r="AZ1237">
        <f>(0.6*AW1237+0.7*AX1237)*$AU$1188/2</f>
        <v>0</v>
      </c>
      <c r="BA1237">
        <f>(0.6*AW1237+0.6*AY1237)*$AU$1188/2</f>
        <v>0</v>
      </c>
      <c r="BC1237">
        <f>IF(AV1237=0,0,$BG$1188*$AP$1173)</f>
        <v>0</v>
      </c>
      <c r="BD1237">
        <f>IFERROR(BC1237/$AU$1188,0)</f>
        <v>0</v>
      </c>
      <c r="BE1237">
        <f>BC1237*($F$21+IF($F$21=0,0,($C$14+$C$15+IF($C$13="single",1.5,3)+3)/12))</f>
        <v>0</v>
      </c>
      <c r="BF1237">
        <f>BE1237-AZ1237</f>
        <v>0</v>
      </c>
      <c r="BG1237" cm="1">
        <f t="array" ref="BG1237">IFERROR(IF(BF1237&lt;0,0,BF1237/($AU$1188-INDEX(hd_off,MATCH(BT1237,hd_mark,0),0)/12)),0)</f>
        <v>0</v>
      </c>
      <c r="BH1237">
        <f>IF(AV1237=0,0,$BG$1188*$AM$1173)</f>
        <v>0</v>
      </c>
      <c r="BI1237">
        <f>IFERROR(BH1237/$AU$1188,0)</f>
        <v>0</v>
      </c>
      <c r="BJ1237">
        <f>BH1237*($F$21+IF($F$21=0,0,($C$14+$C$15+IF($C$13="single",1.5,3)+3)/12))</f>
        <v>0</v>
      </c>
      <c r="BK1237">
        <f>BJ1237-BA1237</f>
        <v>0</v>
      </c>
      <c r="BL1237" cm="1">
        <f t="array" ref="BL1237">IFERROR(IF(BK1237&lt;0,0,BK1237/($AU$1188-INDEX(hd_off,MATCH(BT1237,hd_mark,0),0)/12)),0)</f>
        <v>0</v>
      </c>
      <c r="BM1237">
        <f>MAX($F$21,$BB$1188)/$Q$1204</f>
        <v>0.30172413793103448</v>
      </c>
      <c r="BN1237">
        <f>IF(BM1237=0,0,IF(BM1237&gt;2,1.25-0.125*BM1237,1))</f>
        <v>1</v>
      </c>
      <c r="BO1237" cm="1">
        <f t="array" ref="BO1237">IFERROR(INDEX(sheath_ecap_asd,MATCH(BS1237,sheath_mark,0),0)*BN1237,0)</f>
        <v>0</v>
      </c>
      <c r="BP1237" cm="1">
        <f t="array" ref="BP1237">IFERROR(INDEX(sheath_wcap_asd,MATCH(BS1237,sheath_mark,0),0)*BN1237,0)</f>
        <v>0</v>
      </c>
      <c r="BQ1237" cm="1">
        <f t="array" ref="BQ1237">IFERROR(INDEX(hd_cap,MATCH(BT1237,hd_mark,0),0),0)</f>
        <v>0</v>
      </c>
      <c r="BS1237" s="19"/>
      <c r="BT1237" s="19"/>
      <c r="BU1237" s="100"/>
    </row>
    <row r="1238" x14ac:dyDescent="0.25">
      <c r="P1238" s="93"/>
      <c r="Q1238" s="109"/>
      <c r="R1238" t="str">
        <f>$Q$1174</f>
        <v>L3</v>
      </c>
      <c r="S1238">
        <f>$E$22</f>
        <v>21.375</v>
      </c>
      <c r="T1238" cm="1">
        <f t="array" ref="T1238">IFERROR(IF(S1238=0,0,(INDEX($C$33:$C$38,MATCH($W$1188,$B$33:$B$38,0),0)*(S1241+$X$1188)+$T$1188*COUNTIF(S1238:S1240,"&gt;0")*$C$32+$V$1188*$C$31)*$R$1188),0)</f>
        <v>0</v>
      </c>
      <c r="U1238">
        <f>IF(S1238=0,0,-(COUNTIF(S1238:S1240,"&gt;0")*$T$1188*$C$32+$V$1188*$C$31)*$H$27*$R$1188)</f>
        <v>0</v>
      </c>
      <c r="V1238">
        <f>IF(S1238=0,0,$V$1188*$H$26*$R$1188)</f>
        <v>0</v>
      </c>
      <c r="W1238">
        <f>(0.6*T1238+0.7*U1238)*$R$1188/2</f>
        <v>0</v>
      </c>
      <c r="X1238">
        <f>T1238*$R$1188/2</f>
        <v>0</v>
      </c>
      <c r="Z1238">
        <f>IF(S1238=0,0,$AD$1188*$AP$1174)</f>
        <v>0</v>
      </c>
      <c r="AA1238">
        <f>IFERROR(Z1238/$R$1188,0)</f>
        <v>0</v>
      </c>
      <c r="AB1238">
        <f>Z1238*($F$22+IF($F$22=0,0,($C$14+$C$15+IF($C$13="single",1.5,3)+3)/12))</f>
        <v>0</v>
      </c>
      <c r="AC1238">
        <f>AB1238-W1238</f>
        <v>0</v>
      </c>
      <c r="AD1238" cm="1">
        <f t="array" ref="AD1238">IFERROR(IF(AC1238&lt;0,0,AC1238/($R$1188-INDEX(hd_off,MATCH(AQ1238,hd_mark,0),0)/12)),0)</f>
        <v>0</v>
      </c>
      <c r="AE1238">
        <f>IF(S1238=0,0,$AD$1188*$AM$1174)</f>
        <v>0</v>
      </c>
      <c r="AF1238">
        <f>IFERROR(AE1238/$R$1188,0)</f>
        <v>0</v>
      </c>
      <c r="AG1238">
        <f>AE1238*($F$22+IF($F$22=0,0,($C$14+$C$15+IF($C$13="single",1.5,3)+3)/12))</f>
        <v>0</v>
      </c>
      <c r="AH1238">
        <f>AG1238-X1238</f>
        <v>0</v>
      </c>
      <c r="AI1238" cm="1">
        <f t="array" ref="AI1238">IFERROR(IF(AH1238&lt;0,0,AH1238/($R$1188-INDEX(hd_off,MATCH(AQ1238,hd_mark,0),0)/12)),0)</f>
        <v>0</v>
      </c>
      <c r="AJ1238">
        <f>MAX($F$22,$Z$1188)/$Q$1204</f>
        <v>0.30172413793103448</v>
      </c>
      <c r="AK1238">
        <f t="shared" ref="AK1238:AK1241" si="769">IF(AJ1238=0,0,IF(AJ1238&gt;2,1.25-0.125*AJ1238,1))</f>
        <v>1</v>
      </c>
      <c r="AL1238" cm="1">
        <f t="array" ref="AL1238">IFERROR(INDEX(sheath_ecap_asd,MATCH(AP1238,sheath_mark,0),0)*AK1238,0)</f>
        <v>0</v>
      </c>
      <c r="AM1238" cm="1">
        <f t="array" ref="AM1238">IFERROR(INDEX(sheath_wcap_asd,MATCH(AP1238,sheath_mark,0),0)*AK1238,0)</f>
        <v>0</v>
      </c>
      <c r="AN1238" cm="1">
        <f t="array" ref="AN1238">IFERROR(INDEX(hd_cap,MATCH(AQ1238,hd_mark,0),0),0)</f>
        <v>0</v>
      </c>
      <c r="AP1238" s="19"/>
      <c r="AQ1238" s="19"/>
      <c r="AR1238" s="100"/>
      <c r="AS1238" s="93"/>
      <c r="AT1238" s="109"/>
      <c r="AU1238" t="str">
        <f>$Q$1174</f>
        <v>L3</v>
      </c>
      <c r="AV1238">
        <f>$E$22</f>
        <v>21.375</v>
      </c>
      <c r="AW1238" cm="1">
        <f t="array" ref="AW1238">IFERROR(IF(AV1238=0,0,(INDEX($C$33:$C$38,MATCH($AZ$1188,$B$33:$B$38,0),0)*(AV1241+$BA$1188)+$AW$1188*COUNTIF(AV1238:AV1240,"&gt;0")*$C$32+$AY$1188*$C$31)*$AU$1188),0)</f>
        <v>0</v>
      </c>
      <c r="AX1238">
        <f>IF(AV1238=0,0,-(COUNTIF(AV1238:AV1240,"&gt;0")*$AW$1188*$C$32+$AY$1188*$C$31)*$H$27*$AU$1188)</f>
        <v>0</v>
      </c>
      <c r="AY1238">
        <f>IF(AV1238=0,0,$AY$1188*$H$26*$AU$1188)</f>
        <v>0</v>
      </c>
      <c r="AZ1238">
        <f>(0.6*AW1238+0.7*AX1238)*$AU$1188/2</f>
        <v>0</v>
      </c>
      <c r="BA1238">
        <f>AW1238*$AU$1188/2</f>
        <v>0</v>
      </c>
      <c r="BC1238">
        <f>IF(AV1238=0,0,$BG$1188*$AP$1174)</f>
        <v>0</v>
      </c>
      <c r="BD1238">
        <f>IFERROR(BC1238/$AU$1188,0)</f>
        <v>0</v>
      </c>
      <c r="BE1238">
        <f>BC1238*($F$22+IF($F$22=0,0,($C$14+$C$15+IF($C$13="single",1.5,3)+3)/12))</f>
        <v>0</v>
      </c>
      <c r="BF1238">
        <f>BE1238-AZ1238</f>
        <v>0</v>
      </c>
      <c r="BG1238" cm="1">
        <f t="array" ref="BG1238">IFERROR(IF(BF1238&lt;0,0,BF1238/($AU$1188-INDEX(hd_off,MATCH(BT1238,hd_mark,0),0)/12)),0)</f>
        <v>0</v>
      </c>
      <c r="BH1238">
        <f>IF(AV1238=0,0,$BG$1188*$AM$1174)</f>
        <v>0</v>
      </c>
      <c r="BI1238">
        <f>IFERROR(BH1238/$AU$1188,0)</f>
        <v>0</v>
      </c>
      <c r="BJ1238">
        <f>BH1238*($F$22+IF($F$22=0,0,($C$14+$C$15+IF($C$13="single",1.5,3)+3)/12))</f>
        <v>0</v>
      </c>
      <c r="BK1238">
        <f>BJ1238-BA1238</f>
        <v>0</v>
      </c>
      <c r="BL1238" cm="1">
        <f t="array" ref="BL1238">IFERROR(IF(BK1238&lt;0,0,BK1238/($AU$1188-INDEX(hd_off,MATCH(BT1238,hd_mark,0),0)/12)),0)</f>
        <v>0</v>
      </c>
      <c r="BM1238">
        <f>MAX($F$22,$BC$1188)/$Q$1204</f>
        <v>0.30172413793103448</v>
      </c>
      <c r="BN1238">
        <f t="shared" ref="BN1238:BN1241" si="770">IF(BM1238=0,0,IF(BM1238&gt;2,1.25-0.125*BM1238,1))</f>
        <v>1</v>
      </c>
      <c r="BO1238" cm="1">
        <f t="array" ref="BO1238">IFERROR(INDEX(sheath_ecap_asd,MATCH(BS1238,sheath_mark,0),0)*BN1238,0)</f>
        <v>0</v>
      </c>
      <c r="BP1238" cm="1">
        <f t="array" ref="BP1238">IFERROR(INDEX(sheath_wcap_asd,MATCH(BS1238,sheath_mark,0),0)*BN1238,0)</f>
        <v>0</v>
      </c>
      <c r="BQ1238" cm="1">
        <f t="array" ref="BQ1238">IFERROR(INDEX(hd_cap,MATCH(BT1238,hd_mark,0),0),0)</f>
        <v>0</v>
      </c>
      <c r="BS1238" s="19"/>
      <c r="BT1238" s="19"/>
      <c r="BU1238" s="100"/>
    </row>
    <row r="1239" x14ac:dyDescent="0.25">
      <c r="P1239" s="93"/>
      <c r="Q1239" s="109" t="s">
        <v>491</v>
      </c>
      <c r="R1239" t="str">
        <f>$Q$1175</f>
        <v>L4</v>
      </c>
      <c r="S1239">
        <f>$E$23</f>
        <v>0</v>
      </c>
      <c r="T1239" cm="1">
        <f t="array" ref="T1239">IFERROR(IF(S1239=0,0,(INDEX($C$33:$C$38,MATCH($W$1188,$B$33:$B$38,0),0)*(S1241+$X$1188)+$T$1188*COUNTIF(S1239:S1240,"&gt;0")*$C$32+$V$1188*$C$31)*$R$1188),0)</f>
        <v>0</v>
      </c>
      <c r="U1239">
        <f>IF(S1239=0,0,-(COUNTIF(S1239:S1240,"&gt;0")*$T$1188*$C$32+$V$1188*$C$31)*$H$27*$R$1188)</f>
        <v>0</v>
      </c>
      <c r="V1239">
        <f>IF(S1239=0,0,$V$1188*$H$26*$R$1188)</f>
        <v>0</v>
      </c>
      <c r="W1239">
        <f>(0.6*T1239+0.7*U1239)*$R$1188/2</f>
        <v>0</v>
      </c>
      <c r="X1239">
        <f>T1239*$R$1188/2</f>
        <v>0</v>
      </c>
      <c r="Z1239">
        <f>IF(S1239=0,0,$AD$1188*$AP$1175)</f>
        <v>0</v>
      </c>
      <c r="AA1239">
        <f>IFERROR(Z1239/$R$1188,0)</f>
        <v>0</v>
      </c>
      <c r="AB1239">
        <f>Z1239*($F$23+IF($F$23=0,0,($C$14+$C$15+IF($C$13="single",1.5,3)+3)/12))</f>
        <v>0</v>
      </c>
      <c r="AC1239">
        <f>AB1239-W1239</f>
        <v>0</v>
      </c>
      <c r="AD1239" cm="1">
        <f t="array" ref="AD1239">IFERROR(IF(AC1239&lt;0,0,AC1239/($R$1188-INDEX(hd_off,MATCH(AQ1239,hd_mark,0),0)/12)),0)</f>
        <v>0</v>
      </c>
      <c r="AE1239">
        <f>IF(S1239=0,0,$AD$1188*$AM$1175)</f>
        <v>0</v>
      </c>
      <c r="AF1239">
        <f>IFERROR(AE1239/$R$1188,0)</f>
        <v>0</v>
      </c>
      <c r="AG1239">
        <f>AE1239*($F$23+IF($F$23=0,0,($C$14+$C$15+IF($C$13="single",1.5,3)+3)/12))</f>
        <v>0</v>
      </c>
      <c r="AH1239">
        <f>AG1239-X1239</f>
        <v>0</v>
      </c>
      <c r="AI1239" cm="1">
        <f t="array" ref="AI1239">IFERROR(IF(AH1239&lt;0,0,AH1239/($R$1188-INDEX(hd_off,MATCH(AQ1239,hd_mark,0),0)/12)),0)</f>
        <v>0</v>
      </c>
      <c r="AJ1239">
        <f>MAX($F$23,$AA$1188)/$Q$1204</f>
        <v>0</v>
      </c>
      <c r="AK1239">
        <f t="shared" si="769"/>
        <v>0</v>
      </c>
      <c r="AL1239" cm="1">
        <f t="array" ref="AL1239">IFERROR(INDEX(sheath_ecap_asd,MATCH(AP1239,sheath_mark,0),0)*AK1239,0)</f>
        <v>0</v>
      </c>
      <c r="AM1239" cm="1">
        <f t="array" ref="AM1239">IFERROR(INDEX(sheath_wcap_asd,MATCH(AP1239,sheath_mark,0),0)*AK1239,0)</f>
        <v>0</v>
      </c>
      <c r="AN1239" cm="1">
        <f t="array" ref="AN1239">IFERROR(INDEX(hd_cap,MATCH(AQ1239,hd_mark,0),0),0)</f>
        <v>0</v>
      </c>
      <c r="AP1239" s="19"/>
      <c r="AQ1239" s="19"/>
      <c r="AR1239" s="100"/>
      <c r="AS1239" s="93"/>
      <c r="AT1239" s="109" t="s">
        <v>491</v>
      </c>
      <c r="AU1239" t="str">
        <f>$Q$1175</f>
        <v>L4</v>
      </c>
      <c r="AV1239">
        <f>$E$23</f>
        <v>0</v>
      </c>
      <c r="AW1239" cm="1">
        <f t="array" ref="AW1239">IFERROR(IF(AV1239=0,0,(INDEX($C$33:$C$38,MATCH($AZ$1188,$B$33:$B$38,0),0)*(AV1241+$BA$1188)+$AW$1188*COUNTIF(AV1239:AV1240,"&gt;0")*$C$32+$AY$1188*$C$31)*$AU$1188),0)</f>
        <v>0</v>
      </c>
      <c r="AX1239">
        <f>IF(AV1239=0,0,-(COUNTIF(AV1239:AV1240,"&gt;0")*$AW$1188*$C$32+$AY$1188*$C$31)*$H$27*$AU$1188)</f>
        <v>0</v>
      </c>
      <c r="AY1239">
        <f>IF(AV1239=0,0,$AY$1188*$H$26*$AU$1188)</f>
        <v>0</v>
      </c>
      <c r="AZ1239">
        <f>(0.6*AW1239+0.7*AX1239)*$AU$1188/2</f>
        <v>0</v>
      </c>
      <c r="BA1239">
        <f>AW1239*$AU$1188/2</f>
        <v>0</v>
      </c>
      <c r="BC1239">
        <f>IF(AV1239=0,0,$BG$1188*$AP$1175)</f>
        <v>0</v>
      </c>
      <c r="BD1239">
        <f>IFERROR(BC1239/$AU$1188,0)</f>
        <v>0</v>
      </c>
      <c r="BE1239">
        <f>BC1239*($F$23+IF($F$23=0,0,($C$14+$C$15+IF($C$13="single",1.5,3)+3)/12))</f>
        <v>0</v>
      </c>
      <c r="BF1239">
        <f>BE1239-AZ1239</f>
        <v>0</v>
      </c>
      <c r="BG1239" cm="1">
        <f t="array" ref="BG1239">IFERROR(IF(BF1239&lt;0,0,BF1239/($AU$1188-INDEX(hd_off,MATCH(BT1239,hd_mark,0),0)/12)),0)</f>
        <v>0</v>
      </c>
      <c r="BH1239">
        <f>IF(AV1239=0,0,$BG$1188*$AM$1175)</f>
        <v>0</v>
      </c>
      <c r="BI1239">
        <f>IFERROR(BH1239/$AU$1188,0)</f>
        <v>0</v>
      </c>
      <c r="BJ1239">
        <f>BH1239*($F$23+IF($F$23=0,0,($C$14+$C$15+IF($C$13="single",1.5,3)+3)/12))</f>
        <v>0</v>
      </c>
      <c r="BK1239">
        <f>BJ1239-BA1239</f>
        <v>0</v>
      </c>
      <c r="BL1239" cm="1">
        <f t="array" ref="BL1239">IFERROR(IF(BK1239&lt;0,0,BK1239/($AU$1188-INDEX(hd_off,MATCH(BT1239,hd_mark,0),0)/12)),0)</f>
        <v>0</v>
      </c>
      <c r="BM1239">
        <f>MAX($F$23,$BD$1188)/$Q$1204</f>
        <v>0</v>
      </c>
      <c r="BN1239">
        <f t="shared" si="770"/>
        <v>0</v>
      </c>
      <c r="BO1239" cm="1">
        <f t="array" ref="BO1239">IFERROR(INDEX(sheath_ecap_asd,MATCH(BS1239,sheath_mark,0),0)*BN1239,0)</f>
        <v>0</v>
      </c>
      <c r="BP1239" cm="1">
        <f t="array" ref="BP1239">IFERROR(INDEX(sheath_wcap_asd,MATCH(BS1239,sheath_mark,0),0)*BN1239,0)</f>
        <v>0</v>
      </c>
      <c r="BQ1239" cm="1">
        <f t="array" ref="BQ1239">IFERROR(INDEX(hd_cap,MATCH(BT1239,hd_mark,0),0),0)</f>
        <v>0</v>
      </c>
      <c r="BS1239" s="19"/>
      <c r="BT1239" s="19"/>
      <c r="BU1239" s="100"/>
    </row>
    <row r="1240" x14ac:dyDescent="0.25">
      <c r="P1240" s="93"/>
      <c r="Q1240" s="111">
        <f>$R$1188</f>
        <v>0</v>
      </c>
      <c r="R1240" t="str">
        <f>$Q$1176</f>
        <v>L5</v>
      </c>
      <c r="S1240">
        <f>$E$24</f>
        <v>0</v>
      </c>
      <c r="T1240" cm="1">
        <f t="array" ref="T1240">IFERROR(IF(S1240=0,0,(INDEX($C$33:$C$38,MATCH($W$1188,$B$33:$B$38,0),0)*(S1241+$X$1188)+$T$1188*COUNTIF(S1240:S1240,"&gt;0")*$C$32+$V$1188*$C$31)*$R$1188),0)</f>
        <v>0</v>
      </c>
      <c r="U1240">
        <f>IF(S1240=0,0,-(COUNTIF(S1240:S1240,"&gt;0")*$T$1188*$C$32+$V$1188*$C$31)*$H$27*$R$1188)</f>
        <v>0</v>
      </c>
      <c r="V1240">
        <f>IF(S1240=0,0,$V$1188*$H$26*$R$1188)</f>
        <v>0</v>
      </c>
      <c r="W1240">
        <f>(0.6*T1240+0.7*U1240)*$R$1188/2</f>
        <v>0</v>
      </c>
      <c r="X1240">
        <f>T1240*$R$1188/2</f>
        <v>0</v>
      </c>
      <c r="Z1240">
        <f>IF(S1240=0,0,$AD$1188*$AP$1176)</f>
        <v>0</v>
      </c>
      <c r="AA1240">
        <f>IFERROR(Z1240/$R$1188,0)</f>
        <v>0</v>
      </c>
      <c r="AB1240">
        <f>Z1240*($F$24+IF($F$24=0,0,($C$14+$C$15+IF($C$13="single",1.5,3)+3)/12))</f>
        <v>0</v>
      </c>
      <c r="AC1240">
        <f>AB1240-W1240</f>
        <v>0</v>
      </c>
      <c r="AD1240" cm="1">
        <f t="array" ref="AD1240">IFERROR(IF(AC1240&lt;0,0,AC1240/($R$1188-INDEX(hd_off,MATCH(AQ1240,hd_mark,0),0)/12)),0)</f>
        <v>0</v>
      </c>
      <c r="AE1240">
        <f>IF(S1240=0,0,$AD$1188*$AM$1176)</f>
        <v>0</v>
      </c>
      <c r="AF1240">
        <f>IFERROR(AE1240/$R$1188,0)</f>
        <v>0</v>
      </c>
      <c r="AG1240">
        <f>AE1240*($F$24+IF($F$24=0,0,($C$14+$C$15+IF($C$13="single",1.5,3)+3)/12))</f>
        <v>0</v>
      </c>
      <c r="AH1240">
        <f>AG1240-X1240</f>
        <v>0</v>
      </c>
      <c r="AI1240" cm="1">
        <f t="array" ref="AI1240">IFERROR(IF(AH1240&lt;0,0,AH1240/($R$1188-INDEX(hd_off,MATCH(AQ1240,hd_mark,0),0)/12)),0)</f>
        <v>0</v>
      </c>
      <c r="AJ1240">
        <f>MAX($F$24,$AB$1188)/$Q$1204</f>
        <v>0</v>
      </c>
      <c r="AK1240">
        <f t="shared" si="769"/>
        <v>0</v>
      </c>
      <c r="AL1240" cm="1">
        <f t="array" ref="AL1240">IFERROR(INDEX(sheath_ecap_asd,MATCH(AP1240,sheath_mark,0),0)*AK1240,0)</f>
        <v>0</v>
      </c>
      <c r="AM1240" cm="1">
        <f t="array" ref="AM1240">IFERROR(INDEX(sheath_wcap_asd,MATCH(AP1240,sheath_mark,0),0)*AK1240,0)</f>
        <v>0</v>
      </c>
      <c r="AN1240" cm="1">
        <f t="array" ref="AN1240">IFERROR(INDEX(hd_cap,MATCH(AQ1240,hd_mark,0),0),0)</f>
        <v>0</v>
      </c>
      <c r="AP1240" s="19"/>
      <c r="AQ1240" s="19"/>
      <c r="AR1240" s="100"/>
      <c r="AS1240" s="93"/>
      <c r="AT1240" s="111">
        <f>$R$1188</f>
        <v>0</v>
      </c>
      <c r="AU1240" t="str">
        <f>$Q$1176</f>
        <v>L5</v>
      </c>
      <c r="AV1240">
        <f>$E$24</f>
        <v>0</v>
      </c>
      <c r="AW1240" cm="1">
        <f t="array" ref="AW1240">IFERROR(IF(AV1240=0,0,(INDEX($C$33:$C$38,MATCH($AZ$1188,$B$33:$B$38,0),0)*(AV1241+$BA$1188)+$AW$1188*COUNTIF(AV1240:AV1240,"&gt;0")*$C$32+$AY$1188*$C$31)*$AU$1188),0)</f>
        <v>0</v>
      </c>
      <c r="AX1240">
        <f>IF(AV1240=0,0,-(COUNTIF(AV1240:AV1240,"&gt;0")*$AW$1188*$C$32+$AY$1188*$C$31)*$H$27*$AU$1188)</f>
        <v>0</v>
      </c>
      <c r="AY1240">
        <f>IF(AV1240=0,0,$AY$1188*$H$26*$AU$1188)</f>
        <v>0</v>
      </c>
      <c r="AZ1240">
        <f>(0.6*AW1240+0.7*AX1240)*$AU$1188/2</f>
        <v>0</v>
      </c>
      <c r="BA1240">
        <f>AW1240*$AU$1188/2</f>
        <v>0</v>
      </c>
      <c r="BC1240">
        <f>IF(AV1240=0,0,$BG$1188*$AP$1176)</f>
        <v>0</v>
      </c>
      <c r="BD1240">
        <f>IFERROR(BC1240/$AU$1188,0)</f>
        <v>0</v>
      </c>
      <c r="BE1240">
        <f>BC1240*($F$24+IF($F$24=0,0,($C$14+$C$15+IF($C$13="single",1.5,3)+3)/12))</f>
        <v>0</v>
      </c>
      <c r="BF1240">
        <f>BE1240-AZ1240</f>
        <v>0</v>
      </c>
      <c r="BG1240" cm="1">
        <f t="array" ref="BG1240">IFERROR(IF(BF1240&lt;0,0,BF1240/($AU$1188-INDEX(hd_off,MATCH(BT1240,hd_mark,0),0)/12)),0)</f>
        <v>0</v>
      </c>
      <c r="BH1240">
        <f>IF(AV1240=0,0,$BG$1188*$AM$1176)</f>
        <v>0</v>
      </c>
      <c r="BI1240">
        <f>IFERROR(BH1240/$AU$1188,0)</f>
        <v>0</v>
      </c>
      <c r="BJ1240">
        <f>BH1240*($F$24+IF($F$24=0,0,($C$14+$C$15+IF($C$13="single",1.5,3)+3)/12))</f>
        <v>0</v>
      </c>
      <c r="BK1240">
        <f>BJ1240-BA1240</f>
        <v>0</v>
      </c>
      <c r="BL1240" cm="1">
        <f t="array" ref="BL1240">IFERROR(IF(BK1240&lt;0,0,BK1240/($AU$1188-INDEX(hd_off,MATCH(BT1240,hd_mark,0),0)/12)),0)</f>
        <v>0</v>
      </c>
      <c r="BM1240">
        <f>MAX($F$24,$BE$1188)/$Q$1204</f>
        <v>0</v>
      </c>
      <c r="BN1240">
        <f t="shared" si="770"/>
        <v>0</v>
      </c>
      <c r="BO1240" cm="1">
        <f t="array" ref="BO1240">IFERROR(INDEX(sheath_ecap_asd,MATCH(BS1240,sheath_mark,0),0)*BN1240,0)</f>
        <v>0</v>
      </c>
      <c r="BP1240" cm="1">
        <f t="array" ref="BP1240">IFERROR(INDEX(sheath_wcap_asd,MATCH(BS1240,sheath_mark,0),0)*BN1240,0)</f>
        <v>0</v>
      </c>
      <c r="BQ1240" cm="1">
        <f t="array" ref="BQ1240">IFERROR(INDEX(hd_cap,MATCH(BT1240,hd_mark,0),0),0)</f>
        <v>0</v>
      </c>
      <c r="BS1240" s="19"/>
      <c r="BT1240" s="19"/>
      <c r="BU1240" s="100"/>
    </row>
    <row r="1241" x14ac:dyDescent="0.25">
      <c r="P1241" s="93"/>
      <c r="Q1241" s="109"/>
      <c r="R1241" t="str">
        <f>$Q$1177</f>
        <v>Roof</v>
      </c>
      <c r="S1241">
        <f>$E$25</f>
        <v>33.171875</v>
      </c>
      <c r="T1241" cm="1">
        <f t="array" ref="T1241">IFERROR(IF(S1241=0,0,(INDEX($C$33:$C$38,MATCH($W$1188,$B$33:$B$38,0),0)*(S1241+$X$1188)+$V$1188*$C$31)*$R$1188),0)</f>
        <v>0</v>
      </c>
      <c r="U1241">
        <f>IF(S1241=0,0,-$V$1188*$C$31*$H$27*$R$1188)</f>
        <v>0</v>
      </c>
      <c r="V1241">
        <f>IF(S1241=0,0,$V$1188*$H$26*$R$1188)</f>
        <v>0</v>
      </c>
      <c r="W1241">
        <f>(0.6*T1241+0.7*U1241)*$R$1188/2</f>
        <v>0</v>
      </c>
      <c r="X1241">
        <f>T1241*$R$1188/2</f>
        <v>0</v>
      </c>
      <c r="Z1241">
        <f>IF(S1241=0,0,$AD$1188*$AP$1177)</f>
        <v>0</v>
      </c>
      <c r="AA1241">
        <f>IFERROR(Z1241/$R$1188,0)</f>
        <v>0</v>
      </c>
      <c r="AB1241">
        <f>Z1241*($F$25+($C$16+$C$17+IF($C$13="single",1.5,3)+3)/12)</f>
        <v>0</v>
      </c>
      <c r="AC1241">
        <f>AB1241-W1241</f>
        <v>0</v>
      </c>
      <c r="AD1241" cm="1">
        <f t="array" ref="AD1241">IFERROR(IF(AC1241&lt;0,0,AC1241/($R$1188-INDEX(hd_off,MATCH(AQ1241,hd_mark,0),0)/12)),0)</f>
        <v>0</v>
      </c>
      <c r="AE1241">
        <f>IF(S1241=0,0,$AD$1188*$AM$1177)</f>
        <v>0</v>
      </c>
      <c r="AF1241">
        <f>IFERROR(AE1241/$R$1188,0)</f>
        <v>0</v>
      </c>
      <c r="AG1241">
        <f>AE1241*($F$25+($C$16+$C$17+IF($C$13="single",1.5,3)+3)/12)</f>
        <v>0</v>
      </c>
      <c r="AH1241">
        <f>AG1241-X1241</f>
        <v>0</v>
      </c>
      <c r="AI1241" cm="1">
        <f t="array" ref="AI1241">IFERROR(IF(AH1241&lt;0,0,AH1241/($R$1188-INDEX(hd_off,MATCH(AQ1241,hd_mark,0),0)/12)),0)</f>
        <v>0</v>
      </c>
      <c r="AJ1241">
        <f>MAX($F$25,$AC$1188)/$Q$1204</f>
        <v>0.29920977011494249</v>
      </c>
      <c r="AK1241">
        <f t="shared" si="769"/>
        <v>1</v>
      </c>
      <c r="AL1241" cm="1">
        <f t="array" ref="AL1241">IFERROR(INDEX(sheath_ecap_asd,MATCH(AP1241,sheath_mark,0),0)*AK1241,0)</f>
        <v>0</v>
      </c>
      <c r="AM1241" cm="1">
        <f t="array" ref="AM1241">IFERROR(INDEX(sheath_wcap_asd,MATCH(AP1241,sheath_mark,0),0)*AK1241,0)</f>
        <v>0</v>
      </c>
      <c r="AN1241" cm="1">
        <f t="array" ref="AN1241">IFERROR(INDEX(hd_cap,MATCH(AQ1241,hd_mark,0),0),0)</f>
        <v>0</v>
      </c>
      <c r="AP1241" s="19"/>
      <c r="AQ1241" s="19"/>
      <c r="AR1241" s="100"/>
      <c r="AS1241" s="93"/>
      <c r="AT1241" s="109"/>
      <c r="AU1241" t="str">
        <f>$Q$1177</f>
        <v>Roof</v>
      </c>
      <c r="AV1241">
        <f>$E$25</f>
        <v>33.171875</v>
      </c>
      <c r="AW1241" cm="1">
        <f t="array" ref="AW1241">IFERROR(IF(AV1241=0,0,(INDEX($C$33:$C$38,MATCH($AZ$1188,$B$33:$B$38,0),0)*(AV1241+$BA$1188)+$AY$1188*$C$31)*$AU$1188),0)</f>
        <v>0</v>
      </c>
      <c r="AX1241">
        <f>IF(AV1241=0,0,-$AY$1188*$C$31*$H$27*$AU$1188)</f>
        <v>0</v>
      </c>
      <c r="AY1241">
        <f>IF(AV1241=0,0,$AY$1188*$H$26*$AU$1188)</f>
        <v>0</v>
      </c>
      <c r="AZ1241">
        <f>(0.6*AW1241+0.7*AX1241)*$AU$1188/2</f>
        <v>0</v>
      </c>
      <c r="BA1241">
        <f>AW1241*$AU$1188/2</f>
        <v>0</v>
      </c>
      <c r="BC1241">
        <f>IF(AV1241=0,0,$BG$1188*$AP$1177)</f>
        <v>0</v>
      </c>
      <c r="BD1241">
        <f>IFERROR(BC1241/$AU$1188,0)</f>
        <v>0</v>
      </c>
      <c r="BE1241">
        <f>BC1241*($F$25+($C$16+$C$17+IF($C$13="single",1.5,3)+3)/12)</f>
        <v>0</v>
      </c>
      <c r="BF1241">
        <f>BE1241-AZ1241</f>
        <v>0</v>
      </c>
      <c r="BG1241" cm="1">
        <f t="array" ref="BG1241">IFERROR(IF(BF1241&lt;0,0,BF1241/($AU$1188-INDEX(hd_off,MATCH(BT1241,hd_mark,0),0)/12)),0)</f>
        <v>0</v>
      </c>
      <c r="BH1241">
        <f>IF(AV1241=0,0,$BG$1188*$AM$1177)</f>
        <v>0</v>
      </c>
      <c r="BI1241">
        <f>IFERROR(BH1241/$AU$1188,0)</f>
        <v>0</v>
      </c>
      <c r="BJ1241">
        <f>BH1241*($F$25+($C$16+$C$17+IF($C$13="single",1.5,3)+3)/12)</f>
        <v>0</v>
      </c>
      <c r="BK1241">
        <f>BJ1241-BA1241</f>
        <v>0</v>
      </c>
      <c r="BL1241" cm="1">
        <f t="array" ref="BL1241">IFERROR(IF(BK1241&lt;0,0,BK1241/($AU$1188-INDEX(hd_off,MATCH(BT1241,hd_mark,0),0)/12)),0)</f>
        <v>0</v>
      </c>
      <c r="BM1241">
        <f>MAX($F$25,$BF$1188)/$Q$1204</f>
        <v>0.29920977011494249</v>
      </c>
      <c r="BN1241">
        <f t="shared" si="770"/>
        <v>1</v>
      </c>
      <c r="BO1241" cm="1">
        <f t="array" ref="BO1241">IFERROR(INDEX(sheath_ecap_asd,MATCH(BS1241,sheath_mark,0),0)*BN1241,0)</f>
        <v>0</v>
      </c>
      <c r="BP1241" cm="1">
        <f t="array" ref="BP1241">IFERROR(INDEX(sheath_wcap_asd,MATCH(BS1241,sheath_mark,0),0)*BN1241,0)</f>
        <v>0</v>
      </c>
      <c r="BQ1241" cm="1">
        <f t="array" ref="BQ1241">IFERROR(INDEX(hd_cap,MATCH(BT1241,hd_mark,0),0),0)</f>
        <v>0</v>
      </c>
      <c r="BS1241" s="19"/>
      <c r="BT1241" s="19"/>
      <c r="BU1241" s="100"/>
    </row>
    <row r="1242" x14ac:dyDescent="0.25">
      <c r="P1242" s="93"/>
      <c r="AR1242" s="100"/>
      <c r="AS1242" s="93"/>
      <c r="BU1242" s="100"/>
    </row>
    <row r="1243" x14ac:dyDescent="0.25">
      <c r="P1243" s="93"/>
      <c r="Q1243" s="110" t="str">
        <f>$Q$1189</f>
        <v>A.08</v>
      </c>
      <c r="R1243" t="str">
        <f>$Q$1173</f>
        <v>L2</v>
      </c>
      <c r="S1243">
        <f>$E$21</f>
        <v>10.6875</v>
      </c>
      <c r="T1243" cm="1">
        <f t="array" ref="T1243">IFERROR(IF(S1243=0,0,(INDEX($C$33:$C$38,MATCH($W$1189,$B$33:$B$38,0),0)*(S1247+$X$1189)+$T$1189*COUNTIF(S1243:S1246,"&gt;0")*$C$32+$V$1189*$C$31)*$R$1189),0)</f>
        <v>0</v>
      </c>
      <c r="U1243">
        <f>IF(S1243=0,0,-(COUNTIF(S1243:S1246,"&gt;0")*$T$1189*$C$32+$V$1189*$C$31)*$H$27*$R$1189)</f>
        <v>0</v>
      </c>
      <c r="V1243">
        <f>IF(S1243=0,0,$V$1189*$H$26*$R$1189)</f>
        <v>0</v>
      </c>
      <c r="W1243">
        <f>(0.6*T1243+0.7*U1243)*$R$1189/2</f>
        <v>0</v>
      </c>
      <c r="X1243">
        <f>(0.6*T1243+0.6*V1243)*$R$1189/2</f>
        <v>0</v>
      </c>
      <c r="Z1243">
        <f>IF(S1243=0,0,$AD$1189*$AP$1173)</f>
        <v>0</v>
      </c>
      <c r="AA1243">
        <f>IFERROR(Z1243/$R$1189,0)</f>
        <v>0</v>
      </c>
      <c r="AB1243">
        <f>Z1243*($F$21+IF($F$21=0,0,($C$14+$C$15+IF($C$13="single",1.5,3)+3)/12))</f>
        <v>0</v>
      </c>
      <c r="AC1243">
        <f>AB1243-W1243</f>
        <v>0</v>
      </c>
      <c r="AD1243" cm="1">
        <f t="array" ref="AD1243">IFERROR(IF(AC1243&lt;0,0,AC1243/($R$1189-INDEX(hd_off,MATCH(AQ1243,hd_mark,0),0)/12)),0)</f>
        <v>0</v>
      </c>
      <c r="AE1243">
        <f>IF(S1243=0,0,$AD$1189*$AM$1173)</f>
        <v>0</v>
      </c>
      <c r="AF1243">
        <f>IFERROR(AE1243/$R$1189,0)</f>
        <v>0</v>
      </c>
      <c r="AG1243">
        <f>AE1243*($F$21+IF($F$21=0,0,($C$14+$C$15+IF($C$13="single",1.5,3)+3)/12))</f>
        <v>0</v>
      </c>
      <c r="AH1243">
        <f>AG1243-X1243</f>
        <v>0</v>
      </c>
      <c r="AI1243" cm="1">
        <f t="array" ref="AI1243">IFERROR(IF(AH1243&lt;0,0,AH1243/($R$1189-INDEX(hd_off,MATCH(AQ1243,hd_mark,0),0)/12)),0)</f>
        <v>0</v>
      </c>
      <c r="AJ1243">
        <f>MAX($F$21,$Y$1189)/$Q$1204</f>
        <v>0.30172413793103448</v>
      </c>
      <c r="AK1243">
        <f>IF(AJ1243=0,0,IF(AJ1243&gt;2,1.25-0.125*AJ1243,1))</f>
        <v>1</v>
      </c>
      <c r="AL1243" cm="1">
        <f t="array" ref="AL1243">IFERROR(INDEX(sheath_ecap_asd,MATCH(AP1243,sheath_mark,0),0)*AK1243,0)</f>
        <v>0</v>
      </c>
      <c r="AM1243" cm="1">
        <f t="array" ref="AM1243">IFERROR(INDEX(sheath_wcap_asd,MATCH(AP1243,sheath_mark,0),0)*AK1243,0)</f>
        <v>0</v>
      </c>
      <c r="AN1243" cm="1">
        <f t="array" ref="AN1243">IFERROR(INDEX(hd_cap,MATCH(AQ1243,hd_mark,0),0),0)</f>
        <v>0</v>
      </c>
      <c r="AP1243" s="19"/>
      <c r="AQ1243" s="19"/>
      <c r="AR1243" s="100"/>
      <c r="AS1243" s="93"/>
      <c r="AT1243" s="110" t="str">
        <f>$AT$1189</f>
        <v>1.08</v>
      </c>
      <c r="AU1243" t="str">
        <f>$Q$1173</f>
        <v>L2</v>
      </c>
      <c r="AV1243">
        <f>$E$21</f>
        <v>10.6875</v>
      </c>
      <c r="AW1243" cm="1">
        <f t="array" ref="AW1243">IFERROR(IF(AV1243=0,0,(INDEX($C$33:$C$38,MATCH($AZ$1189,$B$33:$B$38,0),0)*(AV1247+$BA$1189)+$AW$1189*COUNTIF(AV1243:AV1246,"&gt;0")*$C$32+$AY$1189*$C$31)*$AU$1189),0)</f>
        <v>0</v>
      </c>
      <c r="AX1243">
        <f>IF(AV1243=0,0,-(COUNTIF(AV1243:AV1246,"&gt;0")*$AW$1189*$C$32+$AY$1189*$C$31)*$H$27*$AU$1189)</f>
        <v>0</v>
      </c>
      <c r="AY1243">
        <f>IF(AV1243=0,0,$AY$1189*$H$26*$AU$1189)</f>
        <v>0</v>
      </c>
      <c r="AZ1243">
        <f>(0.6*AW1243+0.7*AX1243)*$AU$1189/2</f>
        <v>0</v>
      </c>
      <c r="BA1243">
        <f>(0.6*AW1243+0.6*AY1243)*$AU$1189/2</f>
        <v>0</v>
      </c>
      <c r="BC1243">
        <f>IF(AV1243=0,0,$BG$1189*$AP$1173)</f>
        <v>0</v>
      </c>
      <c r="BD1243">
        <f>IFERROR(BC1243/$AU$1189,0)</f>
        <v>0</v>
      </c>
      <c r="BE1243">
        <f>BC1243*($F$21+IF($F$21=0,0,($C$14+$C$15+IF($C$13="single",1.5,3)+3)/12))</f>
        <v>0</v>
      </c>
      <c r="BF1243">
        <f>BE1243-AZ1243</f>
        <v>0</v>
      </c>
      <c r="BG1243" cm="1">
        <f t="array" ref="BG1243">IFERROR(IF(BF1243&lt;0,0,BF1243/($AU$1189-INDEX(hd_off,MATCH(BT1243,hd_mark,0),0)/12)),0)</f>
        <v>0</v>
      </c>
      <c r="BH1243">
        <f>IF(AV1243=0,0,$BG$1189*$AM$1173)</f>
        <v>0</v>
      </c>
      <c r="BI1243">
        <f>IFERROR(BH1243/$AU$1189,0)</f>
        <v>0</v>
      </c>
      <c r="BJ1243">
        <f>BH1243*($F$21+IF($F$21=0,0,($C$14+$C$15+IF($C$13="single",1.5,3)+3)/12))</f>
        <v>0</v>
      </c>
      <c r="BK1243">
        <f>BJ1243-BA1243</f>
        <v>0</v>
      </c>
      <c r="BL1243" cm="1">
        <f t="array" ref="BL1243">IFERROR(IF(BK1243&lt;0,0,BK1243/($AU$1189-INDEX(hd_off,MATCH(BT1243,hd_mark,0),0)/12)),0)</f>
        <v>0</v>
      </c>
      <c r="BM1243">
        <f>MAX($F$21,$BB$1189)/$Q$1204</f>
        <v>0.30172413793103448</v>
      </c>
      <c r="BN1243">
        <f>IF(BM1243=0,0,IF(BM1243&gt;2,1.25-0.125*BM1243,1))</f>
        <v>1</v>
      </c>
      <c r="BO1243" cm="1">
        <f t="array" ref="BO1243">IFERROR(INDEX(sheath_ecap_asd,MATCH(BS1243,sheath_mark,0),0)*BN1243,0)</f>
        <v>0</v>
      </c>
      <c r="BP1243" cm="1">
        <f t="array" ref="BP1243">IFERROR(INDEX(sheath_wcap_asd,MATCH(BS1243,sheath_mark,0),0)*BN1243,0)</f>
        <v>0</v>
      </c>
      <c r="BQ1243" cm="1">
        <f t="array" ref="BQ1243">IFERROR(INDEX(hd_cap,MATCH(BT1243,hd_mark,0),0),0)</f>
        <v>0</v>
      </c>
      <c r="BS1243" s="19"/>
      <c r="BT1243" s="19"/>
      <c r="BU1243" s="100"/>
    </row>
    <row r="1244" x14ac:dyDescent="0.25">
      <c r="P1244" s="93"/>
      <c r="Q1244" s="109"/>
      <c r="R1244" t="str">
        <f>$Q$1174</f>
        <v>L3</v>
      </c>
      <c r="S1244">
        <f>$E$22</f>
        <v>21.375</v>
      </c>
      <c r="T1244" cm="1">
        <f t="array" ref="T1244">IFERROR(IF(S1244=0,0,(INDEX($C$33:$C$38,MATCH($W$1189,$B$33:$B$38,0),0)*(S1247+$X$1189)+$T$1189*COUNTIF(S1244:S1246,"&gt;0")*$C$32+$V$1189*$C$31)*$R$1189),0)</f>
        <v>0</v>
      </c>
      <c r="U1244">
        <f>IF(S1244=0,0,-(COUNTIF(S1244:S1246,"&gt;0")*$T$1189*$C$32+$V$1189*$C$31)*$H$27*$R$1189)</f>
        <v>0</v>
      </c>
      <c r="V1244">
        <f>IF(S1244=0,0,$V$1189*$H$26*$R$1189)</f>
        <v>0</v>
      </c>
      <c r="W1244">
        <f>(0.6*T1244+0.7*U1244)*$R$1189/2</f>
        <v>0</v>
      </c>
      <c r="X1244">
        <f>T1244*$R$1189/2</f>
        <v>0</v>
      </c>
      <c r="Z1244">
        <f>IF(S1244=0,0,$AD$1189*$AP$1174)</f>
        <v>0</v>
      </c>
      <c r="AA1244">
        <f>IFERROR(Z1244/$R$1189,0)</f>
        <v>0</v>
      </c>
      <c r="AB1244">
        <f>Z1244*($F$22+IF($F$22=0,0,($C$14+$C$15+IF($C$13="single",1.5,3)+3)/12))</f>
        <v>0</v>
      </c>
      <c r="AC1244">
        <f>AB1244-W1244</f>
        <v>0</v>
      </c>
      <c r="AD1244" cm="1">
        <f t="array" ref="AD1244">IFERROR(IF(AC1244&lt;0,0,AC1244/($R$1189-INDEX(hd_off,MATCH(AQ1244,hd_mark,0),0)/12)),0)</f>
        <v>0</v>
      </c>
      <c r="AE1244">
        <f>IF(S1244=0,0,$AD$1189*$AM$1174)</f>
        <v>0</v>
      </c>
      <c r="AF1244">
        <f>IFERROR(AE1244/$R$1189,0)</f>
        <v>0</v>
      </c>
      <c r="AG1244">
        <f>AE1244*($F$22+IF($F$22=0,0,($C$14+$C$15+IF($C$13="single",1.5,3)+3)/12))</f>
        <v>0</v>
      </c>
      <c r="AH1244">
        <f>AG1244-X1244</f>
        <v>0</v>
      </c>
      <c r="AI1244" cm="1">
        <f t="array" ref="AI1244">IFERROR(IF(AH1244&lt;0,0,AH1244/($R$1189-INDEX(hd_off,MATCH(AQ1244,hd_mark,0),0)/12)),0)</f>
        <v>0</v>
      </c>
      <c r="AJ1244">
        <f>MAX($F$22,$Z$1189)/$Q$1204</f>
        <v>0.30172413793103448</v>
      </c>
      <c r="AK1244">
        <f t="shared" ref="AK1244:AK1247" si="771">IF(AJ1244=0,0,IF(AJ1244&gt;2,1.25-0.125*AJ1244,1))</f>
        <v>1</v>
      </c>
      <c r="AL1244" cm="1">
        <f t="array" ref="AL1244">IFERROR(INDEX(sheath_ecap_asd,MATCH(AP1244,sheath_mark,0),0)*AK1244,0)</f>
        <v>0</v>
      </c>
      <c r="AM1244" cm="1">
        <f t="array" ref="AM1244">IFERROR(INDEX(sheath_wcap_asd,MATCH(AP1244,sheath_mark,0),0)*AK1244,0)</f>
        <v>0</v>
      </c>
      <c r="AN1244" cm="1">
        <f t="array" ref="AN1244">IFERROR(INDEX(hd_cap,MATCH(AQ1244,hd_mark,0),0),0)</f>
        <v>0</v>
      </c>
      <c r="AP1244" s="19"/>
      <c r="AQ1244" s="19"/>
      <c r="AR1244" s="100"/>
      <c r="AS1244" s="93"/>
      <c r="AT1244" s="109"/>
      <c r="AU1244" t="str">
        <f>$Q$1174</f>
        <v>L3</v>
      </c>
      <c r="AV1244">
        <f>$E$22</f>
        <v>21.375</v>
      </c>
      <c r="AW1244" cm="1">
        <f t="array" ref="AW1244">IFERROR(IF(AV1244=0,0,(INDEX($C$33:$C$38,MATCH($AZ$1189,$B$33:$B$38,0),0)*(AV1247+$BA$1189)+$AW$1189*COUNTIF(AV1244:AV1246,"&gt;0")*$C$32+$AY$1189*$C$31)*$AU$1189),0)</f>
        <v>0</v>
      </c>
      <c r="AX1244">
        <f>IF(AV1244=0,0,-(COUNTIF(AV1244:AV1246,"&gt;0")*$AW$1189*$C$32+$AY$1189*$C$31)*$H$27*$AU$1189)</f>
        <v>0</v>
      </c>
      <c r="AY1244">
        <f>IF(AV1244=0,0,$AY$1189*$H$26*$AU$1189)</f>
        <v>0</v>
      </c>
      <c r="AZ1244">
        <f>(0.6*AW1244+0.7*AX1244)*$AU$1189/2</f>
        <v>0</v>
      </c>
      <c r="BA1244">
        <f>AW1244*$AU$1189/2</f>
        <v>0</v>
      </c>
      <c r="BC1244">
        <f>IF(AV1244=0,0,$BG$1189*$AP$1174)</f>
        <v>0</v>
      </c>
      <c r="BD1244">
        <f>IFERROR(BC1244/$AU$1189,0)</f>
        <v>0</v>
      </c>
      <c r="BE1244">
        <f>BC1244*($F$22+IF($F$22=0,0,($C$14+$C$15+IF($C$13="single",1.5,3)+3)/12))</f>
        <v>0</v>
      </c>
      <c r="BF1244">
        <f>BE1244-AZ1244</f>
        <v>0</v>
      </c>
      <c r="BG1244" cm="1">
        <f t="array" ref="BG1244">IFERROR(IF(BF1244&lt;0,0,BF1244/($AU$1189-INDEX(hd_off,MATCH(BT1244,hd_mark,0),0)/12)),0)</f>
        <v>0</v>
      </c>
      <c r="BH1244">
        <f>IF(AV1244=0,0,$BG$1189*$AM$1174)</f>
        <v>0</v>
      </c>
      <c r="BI1244">
        <f>IFERROR(BH1244/$AU$1189,0)</f>
        <v>0</v>
      </c>
      <c r="BJ1244">
        <f>BH1244*($F$22+IF($F$22=0,0,($C$14+$C$15+IF($C$13="single",1.5,3)+3)/12))</f>
        <v>0</v>
      </c>
      <c r="BK1244">
        <f>BJ1244-BA1244</f>
        <v>0</v>
      </c>
      <c r="BL1244" cm="1">
        <f t="array" ref="BL1244">IFERROR(IF(BK1244&lt;0,0,BK1244/($AU$1189-INDEX(hd_off,MATCH(BT1244,hd_mark,0),0)/12)),0)</f>
        <v>0</v>
      </c>
      <c r="BM1244">
        <f>MAX($F$22,$BC$1189)/$Q$1204</f>
        <v>0.30172413793103448</v>
      </c>
      <c r="BN1244">
        <f t="shared" ref="BN1244:BN1247" si="772">IF(BM1244=0,0,IF(BM1244&gt;2,1.25-0.125*BM1244,1))</f>
        <v>1</v>
      </c>
      <c r="BO1244" cm="1">
        <f t="array" ref="BO1244">IFERROR(INDEX(sheath_ecap_asd,MATCH(BS1244,sheath_mark,0),0)*BN1244,0)</f>
        <v>0</v>
      </c>
      <c r="BP1244" cm="1">
        <f t="array" ref="BP1244">IFERROR(INDEX(sheath_wcap_asd,MATCH(BS1244,sheath_mark,0),0)*BN1244,0)</f>
        <v>0</v>
      </c>
      <c r="BQ1244" cm="1">
        <f t="array" ref="BQ1244">IFERROR(INDEX(hd_cap,MATCH(BT1244,hd_mark,0),0),0)</f>
        <v>0</v>
      </c>
      <c r="BS1244" s="19"/>
      <c r="BT1244" s="19"/>
      <c r="BU1244" s="100"/>
    </row>
    <row r="1245" x14ac:dyDescent="0.25">
      <c r="P1245" s="93"/>
      <c r="Q1245" s="109" t="s">
        <v>491</v>
      </c>
      <c r="R1245" t="str">
        <f>$Q$1175</f>
        <v>L4</v>
      </c>
      <c r="S1245">
        <f>$E$23</f>
        <v>0</v>
      </c>
      <c r="T1245" cm="1">
        <f t="array" ref="T1245">IFERROR(IF(S1245=0,0,(INDEX($C$33:$C$38,MATCH($W$1189,$B$33:$B$38,0),0)*(S1247+$X$1189)+$T$1189*COUNTIF(S1245:S1246,"&gt;0")*$C$32+$V$1189*$C$31)*$R$1189),0)</f>
        <v>0</v>
      </c>
      <c r="U1245">
        <f>IF(S1245=0,0,-(COUNTIF(S1245:S1246,"&gt;0")*$T$1189*$C$32+$V$1189*$C$31)*$H$27*$R$1189)</f>
        <v>0</v>
      </c>
      <c r="V1245">
        <f>IF(S1245=0,0,$V$1189*$H$26*$R$1189)</f>
        <v>0</v>
      </c>
      <c r="W1245">
        <f>(0.6*T1245+0.7*U1245)*$R$1189/2</f>
        <v>0</v>
      </c>
      <c r="X1245">
        <f>T1245*$R$1189/2</f>
        <v>0</v>
      </c>
      <c r="Z1245">
        <f>IF(S1245=0,0,$AD$1189*$AP$1175)</f>
        <v>0</v>
      </c>
      <c r="AA1245">
        <f>IFERROR(Z1245/$R$1189,0)</f>
        <v>0</v>
      </c>
      <c r="AB1245">
        <f>Z1245*($F$23+IF($F$23=0,0,($C$14+$C$15+IF($C$13="single",1.5,3)+3)/12))</f>
        <v>0</v>
      </c>
      <c r="AC1245">
        <f>AB1245-W1245</f>
        <v>0</v>
      </c>
      <c r="AD1245" cm="1">
        <f t="array" ref="AD1245">IFERROR(IF(AC1245&lt;0,0,AC1245/($R$1189-INDEX(hd_off,MATCH(AQ1245,hd_mark,0),0)/12)),0)</f>
        <v>0</v>
      </c>
      <c r="AE1245">
        <f>IF(S1245=0,0,$AD$1189*$AM$1175)</f>
        <v>0</v>
      </c>
      <c r="AF1245">
        <f>IFERROR(AE1245/$R$1189,0)</f>
        <v>0</v>
      </c>
      <c r="AG1245">
        <f>AE1245*($F$23+IF($F$23=0,0,($C$14+$C$15+IF($C$13="single",1.5,3)+3)/12))</f>
        <v>0</v>
      </c>
      <c r="AH1245">
        <f>AG1245-X1245</f>
        <v>0</v>
      </c>
      <c r="AI1245" cm="1">
        <f t="array" ref="AI1245">IFERROR(IF(AH1245&lt;0,0,AH1245/($R$1189-INDEX(hd_off,MATCH(AQ1245,hd_mark,0),0)/12)),0)</f>
        <v>0</v>
      </c>
      <c r="AJ1245">
        <f>MAX($F$23,$AA$1189)/$Q$1204</f>
        <v>0</v>
      </c>
      <c r="AK1245">
        <f t="shared" si="771"/>
        <v>0</v>
      </c>
      <c r="AL1245" cm="1">
        <f t="array" ref="AL1245">IFERROR(INDEX(sheath_ecap_asd,MATCH(AP1245,sheath_mark,0),0)*AK1245,0)</f>
        <v>0</v>
      </c>
      <c r="AM1245" cm="1">
        <f t="array" ref="AM1245">IFERROR(INDEX(sheath_wcap_asd,MATCH(AP1245,sheath_mark,0),0)*AK1245,0)</f>
        <v>0</v>
      </c>
      <c r="AN1245" cm="1">
        <f t="array" ref="AN1245">IFERROR(INDEX(hd_cap,MATCH(AQ1245,hd_mark,0),0),0)</f>
        <v>0</v>
      </c>
      <c r="AP1245" s="19"/>
      <c r="AQ1245" s="19"/>
      <c r="AR1245" s="100"/>
      <c r="AS1245" s="93"/>
      <c r="AT1245" s="109" t="s">
        <v>491</v>
      </c>
      <c r="AU1245" t="str">
        <f>$Q$1175</f>
        <v>L4</v>
      </c>
      <c r="AV1245">
        <f>$E$23</f>
        <v>0</v>
      </c>
      <c r="AW1245" cm="1">
        <f t="array" ref="AW1245">IFERROR(IF(AV1245=0,0,(INDEX($C$33:$C$38,MATCH($AZ$1189,$B$33:$B$38,0),0)*(AV1247+$BA$1189)+$AW$1189*COUNTIF(AV1245:AV1246,"&gt;0")*$C$32+$AY$1189*$C$31)*$AU$1189),0)</f>
        <v>0</v>
      </c>
      <c r="AX1245">
        <f>IF(AV1245=0,0,-(COUNTIF(AV1245:AV1246,"&gt;0")*$AW$1189*$C$32+$AY$1189*$C$31)*$H$27*$AU$1189)</f>
        <v>0</v>
      </c>
      <c r="AY1245">
        <f>IF(AV1245=0,0,$AY$1189*$H$26*$AU$1189)</f>
        <v>0</v>
      </c>
      <c r="AZ1245">
        <f>(0.6*AW1245+0.7*AX1245)*$AU$1189/2</f>
        <v>0</v>
      </c>
      <c r="BA1245">
        <f>AW1245*$AU$1189/2</f>
        <v>0</v>
      </c>
      <c r="BC1245">
        <f>IF(AV1245=0,0,$BG$1189*$AP$1175)</f>
        <v>0</v>
      </c>
      <c r="BD1245">
        <f>IFERROR(BC1245/$AU$1189,0)</f>
        <v>0</v>
      </c>
      <c r="BE1245">
        <f>BC1245*($F$23+IF($F$23=0,0,($C$14+$C$15+IF($C$13="single",1.5,3)+3)/12))</f>
        <v>0</v>
      </c>
      <c r="BF1245">
        <f>BE1245-AZ1245</f>
        <v>0</v>
      </c>
      <c r="BG1245" cm="1">
        <f t="array" ref="BG1245">IFERROR(IF(BF1245&lt;0,0,BF1245/($AU$1189-INDEX(hd_off,MATCH(BT1245,hd_mark,0),0)/12)),0)</f>
        <v>0</v>
      </c>
      <c r="BH1245">
        <f>IF(AV1245=0,0,$BG$1189*$AM$1175)</f>
        <v>0</v>
      </c>
      <c r="BI1245">
        <f>IFERROR(BH1245/$AU$1189,0)</f>
        <v>0</v>
      </c>
      <c r="BJ1245">
        <f>BH1245*($F$23+IF($F$23=0,0,($C$14+$C$15+IF($C$13="single",1.5,3)+3)/12))</f>
        <v>0</v>
      </c>
      <c r="BK1245">
        <f>BJ1245-BA1245</f>
        <v>0</v>
      </c>
      <c r="BL1245" cm="1">
        <f t="array" ref="BL1245">IFERROR(IF(BK1245&lt;0,0,BK1245/($AU$1189-INDEX(hd_off,MATCH(BT1245,hd_mark,0),0)/12)),0)</f>
        <v>0</v>
      </c>
      <c r="BM1245">
        <f>MAX($F$23,$BD$1189)/$Q$1204</f>
        <v>0</v>
      </c>
      <c r="BN1245">
        <f t="shared" si="772"/>
        <v>0</v>
      </c>
      <c r="BO1245" cm="1">
        <f t="array" ref="BO1245">IFERROR(INDEX(sheath_ecap_asd,MATCH(BS1245,sheath_mark,0),0)*BN1245,0)</f>
        <v>0</v>
      </c>
      <c r="BP1245" cm="1">
        <f t="array" ref="BP1245">IFERROR(INDEX(sheath_wcap_asd,MATCH(BS1245,sheath_mark,0),0)*BN1245,0)</f>
        <v>0</v>
      </c>
      <c r="BQ1245" cm="1">
        <f t="array" ref="BQ1245">IFERROR(INDEX(hd_cap,MATCH(BT1245,hd_mark,0),0),0)</f>
        <v>0</v>
      </c>
      <c r="BS1245" s="19"/>
      <c r="BT1245" s="19"/>
      <c r="BU1245" s="100"/>
    </row>
    <row r="1246" x14ac:dyDescent="0.25">
      <c r="P1246" s="93"/>
      <c r="Q1246" s="111">
        <f>$R$1189</f>
        <v>0</v>
      </c>
      <c r="R1246" t="str">
        <f>$Q$1176</f>
        <v>L5</v>
      </c>
      <c r="S1246">
        <f>$E$24</f>
        <v>0</v>
      </c>
      <c r="T1246" cm="1">
        <f t="array" ref="T1246">IFERROR(IF(S1246=0,0,(INDEX($C$33:$C$38,MATCH($W$1189,$B$33:$B$38,0),0)*(S1247+$X$1189)+$T$1189*COUNTIF(S1246:S1246,"&gt;0")*$C$32+$V$1189*$C$31)*$R$1189),0)</f>
        <v>0</v>
      </c>
      <c r="U1246">
        <f>IF(S1246=0,0,-(COUNTIF(S1246:S1246,"&gt;0")*$T$1189*$C$32+$V$1189*$C$31)*$H$27*$R$1189)</f>
        <v>0</v>
      </c>
      <c r="V1246">
        <f>IF(S1246=0,0,$V$1189*$H$26*$R$1189)</f>
        <v>0</v>
      </c>
      <c r="W1246">
        <f>(0.6*T1246+0.7*U1246)*$R$1189/2</f>
        <v>0</v>
      </c>
      <c r="X1246">
        <f>T1246*$R$1189/2</f>
        <v>0</v>
      </c>
      <c r="Z1246">
        <f>IF(S1246=0,0,$AD$1189*$AP$1176)</f>
        <v>0</v>
      </c>
      <c r="AA1246">
        <f>IFERROR(Z1246/$R$1189,0)</f>
        <v>0</v>
      </c>
      <c r="AB1246">
        <f>Z1246*($F$24+IF($F$24=0,0,($C$14+$C$15+IF($C$13="single",1.5,3)+3)/12))</f>
        <v>0</v>
      </c>
      <c r="AC1246">
        <f>AB1246-W1246</f>
        <v>0</v>
      </c>
      <c r="AD1246" cm="1">
        <f t="array" ref="AD1246">IFERROR(IF(AC1246&lt;0,0,AC1246/($R$1189-INDEX(hd_off,MATCH(AQ1246,hd_mark,0),0)/12)),0)</f>
        <v>0</v>
      </c>
      <c r="AE1246">
        <f>IF(S1246=0,0,$AD$1189*$AM$1176)</f>
        <v>0</v>
      </c>
      <c r="AF1246">
        <f>IFERROR(AE1246/$R$1189,0)</f>
        <v>0</v>
      </c>
      <c r="AG1246">
        <f>AE1246*($F$24+IF($F$24=0,0,($C$14+$C$15+IF($C$13="single",1.5,3)+3)/12))</f>
        <v>0</v>
      </c>
      <c r="AH1246">
        <f>AG1246-X1246</f>
        <v>0</v>
      </c>
      <c r="AI1246" cm="1">
        <f t="array" ref="AI1246">IFERROR(IF(AH1246&lt;0,0,AH1246/($R$1189-INDEX(hd_off,MATCH(AQ1246,hd_mark,0),0)/12)),0)</f>
        <v>0</v>
      </c>
      <c r="AJ1246">
        <f>MAX($F$24,$AB$1189)/$Q$1204</f>
        <v>0</v>
      </c>
      <c r="AK1246">
        <f t="shared" si="771"/>
        <v>0</v>
      </c>
      <c r="AL1246" cm="1">
        <f t="array" ref="AL1246">IFERROR(INDEX(sheath_ecap_asd,MATCH(AP1246,sheath_mark,0),0)*AK1246,0)</f>
        <v>0</v>
      </c>
      <c r="AM1246" cm="1">
        <f t="array" ref="AM1246">IFERROR(INDEX(sheath_wcap_asd,MATCH(AP1246,sheath_mark,0),0)*AK1246,0)</f>
        <v>0</v>
      </c>
      <c r="AN1246" cm="1">
        <f t="array" ref="AN1246">IFERROR(INDEX(hd_cap,MATCH(AQ1246,hd_mark,0),0),0)</f>
        <v>0</v>
      </c>
      <c r="AP1246" s="19"/>
      <c r="AQ1246" s="19"/>
      <c r="AR1246" s="100"/>
      <c r="AS1246" s="93"/>
      <c r="AT1246" s="111">
        <f>$R$1189</f>
        <v>0</v>
      </c>
      <c r="AU1246" t="str">
        <f>$Q$1176</f>
        <v>L5</v>
      </c>
      <c r="AV1246">
        <f>$E$24</f>
        <v>0</v>
      </c>
      <c r="AW1246" cm="1">
        <f t="array" ref="AW1246">IFERROR(IF(AV1246=0,0,(INDEX($C$33:$C$38,MATCH($AZ$1189,$B$33:$B$38,0),0)*(AV1247+$BA$1189)+$AW$1189*COUNTIF(AV1246:AV1246,"&gt;0")*$C$32+$AY$1189*$C$31)*$AU$1189),0)</f>
        <v>0</v>
      </c>
      <c r="AX1246">
        <f>IF(AV1246=0,0,-(COUNTIF(AV1246:AV1246,"&gt;0")*$AW$1189*$C$32+$AY$1189*$C$31)*$H$27*$AU$1189)</f>
        <v>0</v>
      </c>
      <c r="AY1246">
        <f>IF(AV1246=0,0,$AY$1189*$H$26*$AU$1189)</f>
        <v>0</v>
      </c>
      <c r="AZ1246">
        <f>(0.6*AW1246+0.7*AX1246)*$AU$1189/2</f>
        <v>0</v>
      </c>
      <c r="BA1246">
        <f>AW1246*$AU$1189/2</f>
        <v>0</v>
      </c>
      <c r="BC1246">
        <f>IF(AV1246=0,0,$BG$1189*$AP$1176)</f>
        <v>0</v>
      </c>
      <c r="BD1246">
        <f>IFERROR(BC1246/$AU$1189,0)</f>
        <v>0</v>
      </c>
      <c r="BE1246">
        <f>BC1246*($F$24+IF($F$24=0,0,($C$14+$C$15+IF($C$13="single",1.5,3)+3)/12))</f>
        <v>0</v>
      </c>
      <c r="BF1246">
        <f>BE1246-AZ1246</f>
        <v>0</v>
      </c>
      <c r="BG1246" cm="1">
        <f t="array" ref="BG1246">IFERROR(IF(BF1246&lt;0,0,BF1246/($AU$1189-INDEX(hd_off,MATCH(BT1246,hd_mark,0),0)/12)),0)</f>
        <v>0</v>
      </c>
      <c r="BH1246">
        <f>IF(AV1246=0,0,$BG$1189*$AM$1176)</f>
        <v>0</v>
      </c>
      <c r="BI1246">
        <f>IFERROR(BH1246/$AU$1189,0)</f>
        <v>0</v>
      </c>
      <c r="BJ1246">
        <f>BH1246*($F$24+IF($F$24=0,0,($C$14+$C$15+IF($C$13="single",1.5,3)+3)/12))</f>
        <v>0</v>
      </c>
      <c r="BK1246">
        <f>BJ1246-BA1246</f>
        <v>0</v>
      </c>
      <c r="BL1246" cm="1">
        <f t="array" ref="BL1246">IFERROR(IF(BK1246&lt;0,0,BK1246/($AU$1189-INDEX(hd_off,MATCH(BT1246,hd_mark,0),0)/12)),0)</f>
        <v>0</v>
      </c>
      <c r="BM1246">
        <f>MAX($F$24,$BE$1189)/$Q$1204</f>
        <v>0</v>
      </c>
      <c r="BN1246">
        <f t="shared" si="772"/>
        <v>0</v>
      </c>
      <c r="BO1246" cm="1">
        <f t="array" ref="BO1246">IFERROR(INDEX(sheath_ecap_asd,MATCH(BS1246,sheath_mark,0),0)*BN1246,0)</f>
        <v>0</v>
      </c>
      <c r="BP1246" cm="1">
        <f t="array" ref="BP1246">IFERROR(INDEX(sheath_wcap_asd,MATCH(BS1246,sheath_mark,0),0)*BN1246,0)</f>
        <v>0</v>
      </c>
      <c r="BQ1246" cm="1">
        <f t="array" ref="BQ1246">IFERROR(INDEX(hd_cap,MATCH(BT1246,hd_mark,0),0),0)</f>
        <v>0</v>
      </c>
      <c r="BS1246" s="19"/>
      <c r="BT1246" s="19"/>
      <c r="BU1246" s="100"/>
    </row>
    <row r="1247" x14ac:dyDescent="0.25">
      <c r="P1247" s="93"/>
      <c r="Q1247" s="109"/>
      <c r="R1247" t="str">
        <f>$Q$1177</f>
        <v>Roof</v>
      </c>
      <c r="S1247">
        <f>$E$25</f>
        <v>33.171875</v>
      </c>
      <c r="T1247" cm="1">
        <f t="array" ref="T1247">IFERROR(IF(S1247=0,0,(INDEX($C$33:$C$38,MATCH($W$1189,$B$33:$B$38,0),0)*(S1247+$X$1189)+$V$1189*$C$31)*$R$1189),0)</f>
        <v>0</v>
      </c>
      <c r="U1247">
        <f>IF(S1247=0,0,-$V$1189*$C$31*$H$27*$R$1189)</f>
        <v>0</v>
      </c>
      <c r="V1247">
        <f>IF(S1247=0,0,$V$1189*$H$26*$R$1189)</f>
        <v>0</v>
      </c>
      <c r="W1247">
        <f>(0.6*T1247+0.7*U1247)*$R$1189/2</f>
        <v>0</v>
      </c>
      <c r="X1247">
        <f>T1247*$R$1189/2</f>
        <v>0</v>
      </c>
      <c r="Z1247">
        <f>IF(S1247=0,0,$AD$1189*$AP$1177)</f>
        <v>0</v>
      </c>
      <c r="AA1247">
        <f>IFERROR(Z1247/$R$1189,0)</f>
        <v>0</v>
      </c>
      <c r="AB1247">
        <f>Z1247*($F$25+($C$16+$C$17+IF($C$13="single",1.5,3)+3)/12)</f>
        <v>0</v>
      </c>
      <c r="AC1247">
        <f>AB1247-W1247</f>
        <v>0</v>
      </c>
      <c r="AD1247" cm="1">
        <f t="array" ref="AD1247">IFERROR(IF(AC1247&lt;0,0,AC1247/($R$1189-INDEX(hd_off,MATCH(AQ1247,hd_mark,0),0)/12)),0)</f>
        <v>0</v>
      </c>
      <c r="AE1247">
        <f>IF(S1247=0,0,$AD$1189*$AM$1177)</f>
        <v>0</v>
      </c>
      <c r="AF1247">
        <f>IFERROR(AE1247/$R$1189,0)</f>
        <v>0</v>
      </c>
      <c r="AG1247">
        <f>AE1247*($F$25+($C$16+$C$17+IF($C$13="single",1.5,3)+3)/12)</f>
        <v>0</v>
      </c>
      <c r="AH1247">
        <f>AG1247-X1247</f>
        <v>0</v>
      </c>
      <c r="AI1247" cm="1">
        <f t="array" ref="AI1247">IFERROR(IF(AH1247&lt;0,0,AH1247/($R$1189-INDEX(hd_off,MATCH(AQ1247,hd_mark,0),0)/12)),0)</f>
        <v>0</v>
      </c>
      <c r="AJ1247">
        <f>MAX($F$25,$AC$1189)/$Q$1204</f>
        <v>0.29920977011494249</v>
      </c>
      <c r="AK1247">
        <f t="shared" si="771"/>
        <v>1</v>
      </c>
      <c r="AL1247" cm="1">
        <f t="array" ref="AL1247">IFERROR(INDEX(sheath_ecap_asd,MATCH(AP1247,sheath_mark,0),0)*AK1247,0)</f>
        <v>0</v>
      </c>
      <c r="AM1247" cm="1">
        <f t="array" ref="AM1247">IFERROR(INDEX(sheath_wcap_asd,MATCH(AP1247,sheath_mark,0),0)*AK1247,0)</f>
        <v>0</v>
      </c>
      <c r="AN1247" cm="1">
        <f t="array" ref="AN1247">IFERROR(INDEX(hd_cap,MATCH(AQ1247,hd_mark,0),0),0)</f>
        <v>0</v>
      </c>
      <c r="AP1247" s="19"/>
      <c r="AQ1247" s="19"/>
      <c r="AR1247" s="100"/>
      <c r="AS1247" s="93"/>
      <c r="AT1247" s="109"/>
      <c r="AU1247" t="str">
        <f>$Q$1177</f>
        <v>Roof</v>
      </c>
      <c r="AV1247">
        <f>$E$25</f>
        <v>33.171875</v>
      </c>
      <c r="AW1247" cm="1">
        <f t="array" ref="AW1247">IFERROR(IF(AV1247=0,0,(INDEX($C$33:$C$38,MATCH($AZ$1189,$B$33:$B$38,0),0)*(AV1247+$BA$1189)+$AY$1189*$C$31)*$AU$1189),0)</f>
        <v>0</v>
      </c>
      <c r="AX1247">
        <f>IF(AV1247=0,0,-$AY$1189*$C$31*$H$27*$AU$1189)</f>
        <v>0</v>
      </c>
      <c r="AY1247">
        <f>IF(AV1247=0,0,$AY$1189*$H$26*$AU$1189)</f>
        <v>0</v>
      </c>
      <c r="AZ1247">
        <f>(0.6*AW1247+0.7*AX1247)*$AU$1189/2</f>
        <v>0</v>
      </c>
      <c r="BA1247">
        <f>AW1247*$AU$1189/2</f>
        <v>0</v>
      </c>
      <c r="BC1247">
        <f>IF(AV1247=0,0,$BG$1189*$AP$1177)</f>
        <v>0</v>
      </c>
      <c r="BD1247">
        <f>IFERROR(BC1247/$AU$1189,0)</f>
        <v>0</v>
      </c>
      <c r="BE1247">
        <f>BC1247*($F$25+($C$16+$C$17+IF($C$13="single",1.5,3)+3)/12)</f>
        <v>0</v>
      </c>
      <c r="BF1247">
        <f>BE1247-AZ1247</f>
        <v>0</v>
      </c>
      <c r="BG1247" cm="1">
        <f t="array" ref="BG1247">IFERROR(IF(BF1247&lt;0,0,BF1247/($AU$1189-INDEX(hd_off,MATCH(BT1247,hd_mark,0),0)/12)),0)</f>
        <v>0</v>
      </c>
      <c r="BH1247">
        <f>IF(AV1247=0,0,$BG$1189*$AM$1177)</f>
        <v>0</v>
      </c>
      <c r="BI1247">
        <f>IFERROR(BH1247/$AU$1189,0)</f>
        <v>0</v>
      </c>
      <c r="BJ1247">
        <f>BH1247*($F$25+($C$16+$C$17+IF($C$13="single",1.5,3)+3)/12)</f>
        <v>0</v>
      </c>
      <c r="BK1247">
        <f>BJ1247-BA1247</f>
        <v>0</v>
      </c>
      <c r="BL1247" cm="1">
        <f t="array" ref="BL1247">IFERROR(IF(BK1247&lt;0,0,BK1247/($AU$1189-INDEX(hd_off,MATCH(BT1247,hd_mark,0),0)/12)),0)</f>
        <v>0</v>
      </c>
      <c r="BM1247">
        <f>MAX($F$25,$BF$1189)/$Q$1204</f>
        <v>0.29920977011494249</v>
      </c>
      <c r="BN1247">
        <f t="shared" si="772"/>
        <v>1</v>
      </c>
      <c r="BO1247" cm="1">
        <f t="array" ref="BO1247">IFERROR(INDEX(sheath_ecap_asd,MATCH(BS1247,sheath_mark,0),0)*BN1247,0)</f>
        <v>0</v>
      </c>
      <c r="BP1247" cm="1">
        <f t="array" ref="BP1247">IFERROR(INDEX(sheath_wcap_asd,MATCH(BS1247,sheath_mark,0),0)*BN1247,0)</f>
        <v>0</v>
      </c>
      <c r="BQ1247" cm="1">
        <f t="array" ref="BQ1247">IFERROR(INDEX(hd_cap,MATCH(BT1247,hd_mark,0),0),0)</f>
        <v>0</v>
      </c>
      <c r="BS1247" s="19"/>
      <c r="BT1247" s="19"/>
      <c r="BU1247" s="100"/>
    </row>
    <row r="1248" x14ac:dyDescent="0.25">
      <c r="P1248" s="93"/>
      <c r="AR1248" s="100"/>
      <c r="AS1248" s="93"/>
      <c r="BU1248" s="100"/>
    </row>
    <row r="1249" x14ac:dyDescent="0.25">
      <c r="P1249" s="93"/>
      <c r="Q1249" s="110" t="str">
        <f>$Q$1190</f>
        <v>A.09</v>
      </c>
      <c r="R1249" t="str">
        <f>$Q$1173</f>
        <v>L2</v>
      </c>
      <c r="S1249">
        <f>$E$21</f>
        <v>10.6875</v>
      </c>
      <c r="T1249" cm="1">
        <f t="array" ref="T1249">IFERROR(IF(S1249=0,0,(INDEX($C$33:$C$38,MATCH($W$1190,$B$33:$B$38,0),0)*(S1253+$X$1190)+$T$1190*COUNTIF(S1249:S1252,"&gt;0")*$C$32+$V$1190*$C$31)*$R$1190),0)</f>
        <v>0</v>
      </c>
      <c r="U1249">
        <f>IF(S1249=0,0,-(COUNTIF(S1249:S1252,"&gt;0")*$T$1190*$C$32+$V$1190*$C$31)*$H$27*$R$1190)</f>
        <v>0</v>
      </c>
      <c r="V1249">
        <f>IF(S1249=0,0,$V$1190*$H$26*$R$1190)</f>
        <v>0</v>
      </c>
      <c r="W1249">
        <f>(0.6*T1249+0.7*U1249)*$R$1190/2</f>
        <v>0</v>
      </c>
      <c r="X1249">
        <f>(0.6*T1249+0.6*V1249)*$R$1190/2</f>
        <v>0</v>
      </c>
      <c r="Z1249">
        <f>IF(S1249=0,0,$AD$1190*$AP$1173)</f>
        <v>0</v>
      </c>
      <c r="AA1249">
        <f>IFERROR(Z1249/$R$1190,0)</f>
        <v>0</v>
      </c>
      <c r="AB1249">
        <f>Z1249*($F$21+IF($F$21=0,0,($C$14+$C$15+IF($C$13="single",1.5,3)+3)/12))</f>
        <v>0</v>
      </c>
      <c r="AC1249">
        <f>AB1249-W1249</f>
        <v>0</v>
      </c>
      <c r="AD1249" cm="1">
        <f t="array" ref="AD1249">IFERROR(IF(AC1249&lt;0,0,AC1249/($R$1190-INDEX(hd_off,MATCH(AQ1249,hd_mark,0),0)/12)),0)</f>
        <v>0</v>
      </c>
      <c r="AE1249">
        <f>IF(S1249=0,0,$AD$1190*$AM$1173)</f>
        <v>0</v>
      </c>
      <c r="AF1249">
        <f>IFERROR(AE1249/$R$1190,0)</f>
        <v>0</v>
      </c>
      <c r="AG1249">
        <f>AE1249*($F$21+IF($F$21=0,0,($C$14+$C$15+IF($C$13="single",1.5,3)+3)/12))</f>
        <v>0</v>
      </c>
      <c r="AH1249">
        <f>AG1249-X1249</f>
        <v>0</v>
      </c>
      <c r="AI1249" cm="1">
        <f t="array" ref="AI1249">IFERROR(IF(AH1249&lt;0,0,AH1249/($R$1190-INDEX(hd_off,MATCH(AQ1249,hd_mark,0),0)/12)),0)</f>
        <v>0</v>
      </c>
      <c r="AJ1249">
        <f>MAX($F$21,$Y$1190)/$Q$1204</f>
        <v>0.30172413793103448</v>
      </c>
      <c r="AK1249">
        <f>IF(AJ1249=0,0,IF(AJ1249&gt;2,1.25-0.125*AJ1249,1))</f>
        <v>1</v>
      </c>
      <c r="AL1249" cm="1">
        <f t="array" ref="AL1249">IFERROR(INDEX(sheath_ecap_asd,MATCH(AP1249,sheath_mark,0),0)*AK1249,0)</f>
        <v>0</v>
      </c>
      <c r="AM1249" cm="1">
        <f t="array" ref="AM1249">IFERROR(INDEX(sheath_wcap_asd,MATCH(AP1249,sheath_mark,0),0)*AK1249,0)</f>
        <v>0</v>
      </c>
      <c r="AN1249" cm="1">
        <f t="array" ref="AN1249">IFERROR(INDEX(hd_cap,MATCH(AQ1249,hd_mark,0),0),0)</f>
        <v>0</v>
      </c>
      <c r="AP1249" s="19"/>
      <c r="AQ1249" s="19"/>
      <c r="AR1249" s="100"/>
      <c r="AS1249" s="93"/>
      <c r="AT1249" s="110" t="str">
        <f>$AT$1190</f>
        <v>1.09</v>
      </c>
      <c r="AU1249" t="str">
        <f>$Q$1173</f>
        <v>L2</v>
      </c>
      <c r="AV1249">
        <f>$E$21</f>
        <v>10.6875</v>
      </c>
      <c r="AW1249" cm="1">
        <f t="array" ref="AW1249">IFERROR(IF(AV1249=0,0,(INDEX($C$33:$C$38,MATCH($AZ$1190,$B$33:$B$38,0),0)*(AV1253+$BA$1190)+$AW$1190*COUNTIF(AV1249:AV1252,"&gt;0")*$C$32+$AY$1190*$C$31)*$AU$1190),0)</f>
        <v>0</v>
      </c>
      <c r="AX1249">
        <f>IF(AV1249=0,0,-(COUNTIF(AV1249:AV1252,"&gt;0")*$AW$1190*$C$32+$AY$1190*$C$31)*$H$27*$AU$1190)</f>
        <v>0</v>
      </c>
      <c r="AY1249">
        <f>IF(AV1249=0,0,$AY$1190*$H$26*$AU$1190)</f>
        <v>0</v>
      </c>
      <c r="AZ1249">
        <f>(0.6*AW1249+0.7*AX1249)*$AU$1190/2</f>
        <v>0</v>
      </c>
      <c r="BA1249">
        <f>(0.6*AW1249+0.6*AY1249)*$AU$1190/2</f>
        <v>0</v>
      </c>
      <c r="BC1249">
        <f>IF(AV1249=0,0,$BG$1190*$AP$1173)</f>
        <v>0</v>
      </c>
      <c r="BD1249">
        <f>IFERROR(BC1249/$AU$1190,0)</f>
        <v>0</v>
      </c>
      <c r="BE1249">
        <f>BC1249*($F$21+IF($F$21=0,0,($C$14+$C$15+IF($C$13="single",1.5,3)+3)/12))</f>
        <v>0</v>
      </c>
      <c r="BF1249">
        <f>BE1249-AZ1249</f>
        <v>0</v>
      </c>
      <c r="BG1249" cm="1">
        <f t="array" ref="BG1249">IFERROR(IF(BF1249&lt;0,0,BF1249/($AU$1190-INDEX(hd_off,MATCH(BT1249,hd_mark,0),0)/12)),0)</f>
        <v>0</v>
      </c>
      <c r="BH1249">
        <f>IF(AV1249=0,0,$BG$1190*$AM$1173)</f>
        <v>0</v>
      </c>
      <c r="BI1249">
        <f>IFERROR(BH1249/$AU$1190,0)</f>
        <v>0</v>
      </c>
      <c r="BJ1249">
        <f>BH1249*($F$21+IF($F$21=0,0,($C$14+$C$15+IF($C$13="single",1.5,3)+3)/12))</f>
        <v>0</v>
      </c>
      <c r="BK1249">
        <f>BJ1249-BA1249</f>
        <v>0</v>
      </c>
      <c r="BL1249" cm="1">
        <f t="array" ref="BL1249">IFERROR(IF(BK1249&lt;0,0,BK1249/($AU$1190-INDEX(hd_off,MATCH(BT1249,hd_mark,0),0)/12)),0)</f>
        <v>0</v>
      </c>
      <c r="BM1249">
        <f>MAX($F$21,$BB$1190)/$Q$1204</f>
        <v>0.30172413793103448</v>
      </c>
      <c r="BN1249">
        <f>IF(BM1249=0,0,IF(BM1249&gt;2,1.25-0.125*BM1249,1))</f>
        <v>1</v>
      </c>
      <c r="BO1249" cm="1">
        <f t="array" ref="BO1249">IFERROR(INDEX(sheath_ecap_asd,MATCH(BS1249,sheath_mark,0),0)*BN1249,0)</f>
        <v>0</v>
      </c>
      <c r="BP1249" cm="1">
        <f t="array" ref="BP1249">IFERROR(INDEX(sheath_wcap_asd,MATCH(BS1249,sheath_mark,0),0)*BN1249,0)</f>
        <v>0</v>
      </c>
      <c r="BQ1249" cm="1">
        <f t="array" ref="BQ1249">IFERROR(INDEX(hd_cap,MATCH(BT1249,hd_mark,0),0),0)</f>
        <v>0</v>
      </c>
      <c r="BS1249" s="19"/>
      <c r="BT1249" s="19"/>
      <c r="BU1249" s="100"/>
    </row>
    <row r="1250" x14ac:dyDescent="0.25">
      <c r="P1250" s="93"/>
      <c r="Q1250" s="109"/>
      <c r="R1250" t="str">
        <f>$Q$1174</f>
        <v>L3</v>
      </c>
      <c r="S1250">
        <f>$E$22</f>
        <v>21.375</v>
      </c>
      <c r="T1250" cm="1">
        <f t="array" ref="T1250">IFERROR(IF(S1250=0,0,(INDEX($C$33:$C$38,MATCH($W$1190,$B$33:$B$38,0),0)*(S1253+$X$1190)+$T$1190*COUNTIF(S1250:S1252,"&gt;0")*$C$32+$V$1190*$C$31)*$R$1190),0)</f>
        <v>0</v>
      </c>
      <c r="U1250">
        <f>IF(S1250=0,0,-(COUNTIF(S1250:S1252,"&gt;0")*$T$1190*$C$32+$V$1190*$C$31)*$H$27*$R$1190)</f>
        <v>0</v>
      </c>
      <c r="V1250">
        <f>IF(S1250=0,0,$V$1190*$H$26*$R$1190)</f>
        <v>0</v>
      </c>
      <c r="W1250">
        <f>(0.6*T1250+0.7*U1250)*$R$1190/2</f>
        <v>0</v>
      </c>
      <c r="X1250">
        <f>T1250*$R$1190/2</f>
        <v>0</v>
      </c>
      <c r="Z1250">
        <f>IF(S1250=0,0,$AD$1190*$AP$1174)</f>
        <v>0</v>
      </c>
      <c r="AA1250">
        <f>IFERROR(Z1250/$R$1190,0)</f>
        <v>0</v>
      </c>
      <c r="AB1250">
        <f>Z1250*($F$22+IF($F$22=0,0,($C$14+$C$15+IF($C$13="single",1.5,3)+3)/12))</f>
        <v>0</v>
      </c>
      <c r="AC1250">
        <f>AB1250-W1250</f>
        <v>0</v>
      </c>
      <c r="AD1250" cm="1">
        <f t="array" ref="AD1250">IFERROR(IF(AC1250&lt;0,0,AC1250/($R$1190-INDEX(hd_off,MATCH(AQ1250,hd_mark,0),0)/12)),0)</f>
        <v>0</v>
      </c>
      <c r="AE1250">
        <f>IF(S1250=0,0,$AD$1190*$AM$1174)</f>
        <v>0</v>
      </c>
      <c r="AF1250">
        <f>IFERROR(AE1250/$R$1190,0)</f>
        <v>0</v>
      </c>
      <c r="AG1250">
        <f>AE1250*($F$22+IF($F$22=0,0,($C$14+$C$15+IF($C$13="single",1.5,3)+3)/12))</f>
        <v>0</v>
      </c>
      <c r="AH1250">
        <f>AG1250-X1250</f>
        <v>0</v>
      </c>
      <c r="AI1250" cm="1">
        <f t="array" ref="AI1250">IFERROR(IF(AH1250&lt;0,0,AH1250/($R$1190-INDEX(hd_off,MATCH(AQ1250,hd_mark,0),0)/12)),0)</f>
        <v>0</v>
      </c>
      <c r="AJ1250">
        <f>MAX($F$22,$Z$1190)/$Q$1204</f>
        <v>0.30172413793103448</v>
      </c>
      <c r="AK1250">
        <f t="shared" ref="AK1250:AK1253" si="773">IF(AJ1250=0,0,IF(AJ1250&gt;2,1.25-0.125*AJ1250,1))</f>
        <v>1</v>
      </c>
      <c r="AL1250" cm="1">
        <f t="array" ref="AL1250">IFERROR(INDEX(sheath_ecap_asd,MATCH(AP1250,sheath_mark,0),0)*AK1250,0)</f>
        <v>0</v>
      </c>
      <c r="AM1250" cm="1">
        <f t="array" ref="AM1250">IFERROR(INDEX(sheath_wcap_asd,MATCH(AP1250,sheath_mark,0),0)*AK1250,0)</f>
        <v>0</v>
      </c>
      <c r="AN1250" cm="1">
        <f t="array" ref="AN1250">IFERROR(INDEX(hd_cap,MATCH(AQ1250,hd_mark,0),0),0)</f>
        <v>0</v>
      </c>
      <c r="AP1250" s="19"/>
      <c r="AQ1250" s="19"/>
      <c r="AR1250" s="100"/>
      <c r="AS1250" s="93"/>
      <c r="AT1250" s="109"/>
      <c r="AU1250" t="str">
        <f>$Q$1174</f>
        <v>L3</v>
      </c>
      <c r="AV1250">
        <f>$E$22</f>
        <v>21.375</v>
      </c>
      <c r="AW1250" cm="1">
        <f t="array" ref="AW1250">IFERROR(IF(AV1250=0,0,(INDEX($C$33:$C$38,MATCH($AZ$1190,$B$33:$B$38,0),0)*(AV1253+$BA$1190)+$AW$1190*COUNTIF(AV1250:AV1252,"&gt;0")*$C$32+$AY$1190*$C$31)*$AU$1190),0)</f>
        <v>0</v>
      </c>
      <c r="AX1250">
        <f>IF(AV1250=0,0,-(COUNTIF(AV1250:AV1252,"&gt;0")*$AW$1190*$C$32+$AY$1190*$C$31)*$H$27*$AU$1190)</f>
        <v>0</v>
      </c>
      <c r="AY1250">
        <f>IF(AV1250=0,0,$AY$1190*$H$26*$AU$1190)</f>
        <v>0</v>
      </c>
      <c r="AZ1250">
        <f>(0.6*AW1250+0.7*AX1250)*$AU$1190/2</f>
        <v>0</v>
      </c>
      <c r="BA1250">
        <f>AW1250*$AU$1190/2</f>
        <v>0</v>
      </c>
      <c r="BC1250">
        <f>IF(AV1250=0,0,$BG$1190*$AP$1174)</f>
        <v>0</v>
      </c>
      <c r="BD1250">
        <f>IFERROR(BC1250/$AU$1190,0)</f>
        <v>0</v>
      </c>
      <c r="BE1250">
        <f>BC1250*($F$22+IF($F$22=0,0,($C$14+$C$15+IF($C$13="single",1.5,3)+3)/12))</f>
        <v>0</v>
      </c>
      <c r="BF1250">
        <f>BE1250-AZ1250</f>
        <v>0</v>
      </c>
      <c r="BG1250" cm="1">
        <f t="array" ref="BG1250">IFERROR(IF(BF1250&lt;0,0,BF1250/($AU$1190-INDEX(hd_off,MATCH(BT1250,hd_mark,0),0)/12)),0)</f>
        <v>0</v>
      </c>
      <c r="BH1250">
        <f>IF(AV1250=0,0,$BG$1190*$AM$1174)</f>
        <v>0</v>
      </c>
      <c r="BI1250">
        <f>IFERROR(BH1250/$AU$1190,0)</f>
        <v>0</v>
      </c>
      <c r="BJ1250">
        <f>BH1250*($F$22+IF($F$22=0,0,($C$14+$C$15+IF($C$13="single",1.5,3)+3)/12))</f>
        <v>0</v>
      </c>
      <c r="BK1250">
        <f>BJ1250-BA1250</f>
        <v>0</v>
      </c>
      <c r="BL1250" cm="1">
        <f t="array" ref="BL1250">IFERROR(IF(BK1250&lt;0,0,BK1250/($AU$1190-INDEX(hd_off,MATCH(BT1250,hd_mark,0),0)/12)),0)</f>
        <v>0</v>
      </c>
      <c r="BM1250">
        <f>MAX($F$22,$BC$1190)/$Q$1204</f>
        <v>0.30172413793103448</v>
      </c>
      <c r="BN1250">
        <f t="shared" ref="BN1250:BN1253" si="774">IF(BM1250=0,0,IF(BM1250&gt;2,1.25-0.125*BM1250,1))</f>
        <v>1</v>
      </c>
      <c r="BO1250" cm="1">
        <f t="array" ref="BO1250">IFERROR(INDEX(sheath_ecap_asd,MATCH(BS1250,sheath_mark,0),0)*BN1250,0)</f>
        <v>0</v>
      </c>
      <c r="BP1250" cm="1">
        <f t="array" ref="BP1250">IFERROR(INDEX(sheath_wcap_asd,MATCH(BS1250,sheath_mark,0),0)*BN1250,0)</f>
        <v>0</v>
      </c>
      <c r="BQ1250" cm="1">
        <f t="array" ref="BQ1250">IFERROR(INDEX(hd_cap,MATCH(BT1250,hd_mark,0),0),0)</f>
        <v>0</v>
      </c>
      <c r="BS1250" s="19"/>
      <c r="BT1250" s="19"/>
      <c r="BU1250" s="100"/>
    </row>
    <row r="1251" x14ac:dyDescent="0.25">
      <c r="P1251" s="93"/>
      <c r="Q1251" s="109" t="s">
        <v>491</v>
      </c>
      <c r="R1251" t="str">
        <f>$Q$1175</f>
        <v>L4</v>
      </c>
      <c r="S1251">
        <f>$E$23</f>
        <v>0</v>
      </c>
      <c r="T1251" cm="1">
        <f t="array" ref="T1251">IFERROR(IF(S1251=0,0,(INDEX($C$33:$C$38,MATCH($W$1190,$B$33:$B$38,0),0)*(S1253+$X$1190)+$T$1190*COUNTIF(S1251:S1252,"&gt;0")*$C$32+$V$1190*$C$31)*$R$1190),0)</f>
        <v>0</v>
      </c>
      <c r="U1251">
        <f>IF(S1251=0,0,-(COUNTIF(S1251:S1252,"&gt;0")*$T$1190*$C$32+$V$1190*$C$31)*$H$27*$R$1190)</f>
        <v>0</v>
      </c>
      <c r="V1251">
        <f>IF(S1251=0,0,$V$1190*$H$26*$R$1190)</f>
        <v>0</v>
      </c>
      <c r="W1251">
        <f>(0.6*T1251+0.7*U1251)*$R$1190/2</f>
        <v>0</v>
      </c>
      <c r="X1251">
        <f>T1251*$R$1190/2</f>
        <v>0</v>
      </c>
      <c r="Z1251">
        <f>IF(S1251=0,0,$AD$1190*$AP$1175)</f>
        <v>0</v>
      </c>
      <c r="AA1251">
        <f>IFERROR(Z1251/$R$1190,0)</f>
        <v>0</v>
      </c>
      <c r="AB1251">
        <f>Z1251*($F$23+IF($F$23=0,0,($C$14+$C$15+IF($C$13="single",1.5,3)+3)/12))</f>
        <v>0</v>
      </c>
      <c r="AC1251">
        <f>AB1251-W1251</f>
        <v>0</v>
      </c>
      <c r="AD1251" cm="1">
        <f t="array" ref="AD1251">IFERROR(IF(AC1251&lt;0,0,AC1251/($R$1190-INDEX(hd_off,MATCH(AQ1251,hd_mark,0),0)/12)),0)</f>
        <v>0</v>
      </c>
      <c r="AE1251">
        <f>IF(S1251=0,0,$AD$1190*$AM$1175)</f>
        <v>0</v>
      </c>
      <c r="AF1251">
        <f>IFERROR(AE1251/$R$1190,0)</f>
        <v>0</v>
      </c>
      <c r="AG1251">
        <f>AE1251*($F$23+IF($F$23=0,0,($C$14+$C$15+IF($C$13="single",1.5,3)+3)/12))</f>
        <v>0</v>
      </c>
      <c r="AH1251">
        <f>AG1251-X1251</f>
        <v>0</v>
      </c>
      <c r="AI1251" cm="1">
        <f t="array" ref="AI1251">IFERROR(IF(AH1251&lt;0,0,AH1251/($R$1190-INDEX(hd_off,MATCH(AQ1251,hd_mark,0),0)/12)),0)</f>
        <v>0</v>
      </c>
      <c r="AJ1251">
        <f>MAX($F$23,$AA$1190)/$Q$1204</f>
        <v>0</v>
      </c>
      <c r="AK1251">
        <f t="shared" si="773"/>
        <v>0</v>
      </c>
      <c r="AL1251" cm="1">
        <f t="array" ref="AL1251">IFERROR(INDEX(sheath_ecap_asd,MATCH(AP1251,sheath_mark,0),0)*AK1251,0)</f>
        <v>0</v>
      </c>
      <c r="AM1251" cm="1">
        <f t="array" ref="AM1251">IFERROR(INDEX(sheath_wcap_asd,MATCH(AP1251,sheath_mark,0),0)*AK1251,0)</f>
        <v>0</v>
      </c>
      <c r="AN1251" cm="1">
        <f t="array" ref="AN1251">IFERROR(INDEX(hd_cap,MATCH(AQ1251,hd_mark,0),0),0)</f>
        <v>0</v>
      </c>
      <c r="AP1251" s="19"/>
      <c r="AQ1251" s="19"/>
      <c r="AR1251" s="100"/>
      <c r="AS1251" s="93"/>
      <c r="AT1251" s="109" t="s">
        <v>491</v>
      </c>
      <c r="AU1251" t="str">
        <f>$Q$1175</f>
        <v>L4</v>
      </c>
      <c r="AV1251">
        <f>$E$23</f>
        <v>0</v>
      </c>
      <c r="AW1251" cm="1">
        <f t="array" ref="AW1251">IFERROR(IF(AV1251=0,0,(INDEX($C$33:$C$38,MATCH($AZ$1190,$B$33:$B$38,0),0)*(AV1253+$BA$1190)+$AW$1190*COUNTIF(AV1251:AV1252,"&gt;0")*$C$32+$AY$1190*$C$31)*$AU$1190),0)</f>
        <v>0</v>
      </c>
      <c r="AX1251">
        <f>IF(AV1251=0,0,-(COUNTIF(AV1251:AV1252,"&gt;0")*$AW$1190*$C$32+$AY$1190*$C$31)*$H$27*$AU$1190)</f>
        <v>0</v>
      </c>
      <c r="AY1251">
        <f>IF(AV1251=0,0,$AY$1190*$H$26*$AU$1190)</f>
        <v>0</v>
      </c>
      <c r="AZ1251">
        <f>(0.6*AW1251+0.7*AX1251)*$AU$1190/2</f>
        <v>0</v>
      </c>
      <c r="BA1251">
        <f>AW1251*$AU$1190/2</f>
        <v>0</v>
      </c>
      <c r="BC1251">
        <f>IF(AV1251=0,0,$BG$1190*$AP$1175)</f>
        <v>0</v>
      </c>
      <c r="BD1251">
        <f>IFERROR(BC1251/$AU$1190,0)</f>
        <v>0</v>
      </c>
      <c r="BE1251">
        <f>BC1251*($F$23+IF($F$23=0,0,($C$14+$C$15+IF($C$13="single",1.5,3)+3)/12))</f>
        <v>0</v>
      </c>
      <c r="BF1251">
        <f>BE1251-AZ1251</f>
        <v>0</v>
      </c>
      <c r="BG1251" cm="1">
        <f t="array" ref="BG1251">IFERROR(IF(BF1251&lt;0,0,BF1251/($AU$1190-INDEX(hd_off,MATCH(BT1251,hd_mark,0),0)/12)),0)</f>
        <v>0</v>
      </c>
      <c r="BH1251">
        <f>IF(AV1251=0,0,$BG$1190*$AM$1175)</f>
        <v>0</v>
      </c>
      <c r="BI1251">
        <f>IFERROR(BH1251/$AU$1190,0)</f>
        <v>0</v>
      </c>
      <c r="BJ1251">
        <f>BH1251*($F$23+IF($F$23=0,0,($C$14+$C$15+IF($C$13="single",1.5,3)+3)/12))</f>
        <v>0</v>
      </c>
      <c r="BK1251">
        <f>BJ1251-BA1251</f>
        <v>0</v>
      </c>
      <c r="BL1251" cm="1">
        <f t="array" ref="BL1251">IFERROR(IF(BK1251&lt;0,0,BK1251/($AU$1190-INDEX(hd_off,MATCH(BT1251,hd_mark,0),0)/12)),0)</f>
        <v>0</v>
      </c>
      <c r="BM1251">
        <f>MAX($F$23,$BD$1190)/$Q$1204</f>
        <v>0</v>
      </c>
      <c r="BN1251">
        <f t="shared" si="774"/>
        <v>0</v>
      </c>
      <c r="BO1251" cm="1">
        <f t="array" ref="BO1251">IFERROR(INDEX(sheath_ecap_asd,MATCH(BS1251,sheath_mark,0),0)*BN1251,0)</f>
        <v>0</v>
      </c>
      <c r="BP1251" cm="1">
        <f t="array" ref="BP1251">IFERROR(INDEX(sheath_wcap_asd,MATCH(BS1251,sheath_mark,0),0)*BN1251,0)</f>
        <v>0</v>
      </c>
      <c r="BQ1251" cm="1">
        <f t="array" ref="BQ1251">IFERROR(INDEX(hd_cap,MATCH(BT1251,hd_mark,0),0),0)</f>
        <v>0</v>
      </c>
      <c r="BS1251" s="19"/>
      <c r="BT1251" s="19"/>
      <c r="BU1251" s="100"/>
    </row>
    <row r="1252" x14ac:dyDescent="0.25">
      <c r="P1252" s="93"/>
      <c r="Q1252" s="111">
        <f>$R$1190</f>
        <v>0</v>
      </c>
      <c r="R1252" t="str">
        <f>$Q$1176</f>
        <v>L5</v>
      </c>
      <c r="S1252">
        <f>$E$24</f>
        <v>0</v>
      </c>
      <c r="T1252" cm="1">
        <f t="array" ref="T1252">IFERROR(IF(S1252=0,0,(INDEX($C$33:$C$38,MATCH($W$1190,$B$33:$B$38,0),0)*(S1253+$X$1190)+$T$1190*COUNTIF(S1252:S1252,"&gt;0")*$C$32+$V$1190*$C$31)*$R$1190),0)</f>
        <v>0</v>
      </c>
      <c r="U1252">
        <f>IF(S1252=0,0,-(COUNTIF(S1252:S1252,"&gt;0")*$T$1190*$C$32+$V$1190*$C$31)*$H$27*$R$1190)</f>
        <v>0</v>
      </c>
      <c r="V1252">
        <f>IF(S1252=0,0,$V$1190*$H$26*$R$1190)</f>
        <v>0</v>
      </c>
      <c r="W1252">
        <f>(0.6*T1252+0.7*U1252)*$R$1190/2</f>
        <v>0</v>
      </c>
      <c r="X1252">
        <f>T1252*$R$1190/2</f>
        <v>0</v>
      </c>
      <c r="Z1252">
        <f>IF(S1252=0,0,$AD$1190*$AP$1176)</f>
        <v>0</v>
      </c>
      <c r="AA1252">
        <f>IFERROR(Z1252/$R$1190,0)</f>
        <v>0</v>
      </c>
      <c r="AB1252">
        <f>Z1252*($F$24+IF($F$24=0,0,($C$14+$C$15+IF($C$13="single",1.5,3)+3)/12))</f>
        <v>0</v>
      </c>
      <c r="AC1252">
        <f>AB1252-W1252</f>
        <v>0</v>
      </c>
      <c r="AD1252" cm="1">
        <f t="array" ref="AD1252">IFERROR(IF(AC1252&lt;0,0,AC1252/($R$1190-INDEX(hd_off,MATCH(AQ1252,hd_mark,0),0)/12)),0)</f>
        <v>0</v>
      </c>
      <c r="AE1252">
        <f>IF(S1252=0,0,$AD$1190*$AM$1176)</f>
        <v>0</v>
      </c>
      <c r="AF1252">
        <f>IFERROR(AE1252/$R$1190,0)</f>
        <v>0</v>
      </c>
      <c r="AG1252">
        <f>AE1252*($F$24+IF($F$24=0,0,($C$14+$C$15+IF($C$13="single",1.5,3)+3)/12))</f>
        <v>0</v>
      </c>
      <c r="AH1252">
        <f>AG1252-X1252</f>
        <v>0</v>
      </c>
      <c r="AI1252" cm="1">
        <f t="array" ref="AI1252">IFERROR(IF(AH1252&lt;0,0,AH1252/($R$1190-INDEX(hd_off,MATCH(AQ1252,hd_mark,0),0)/12)),0)</f>
        <v>0</v>
      </c>
      <c r="AJ1252">
        <f>MAX($F$24,$AB$1190)/$Q$1204</f>
        <v>0</v>
      </c>
      <c r="AK1252">
        <f t="shared" si="773"/>
        <v>0</v>
      </c>
      <c r="AL1252" cm="1">
        <f t="array" ref="AL1252">IFERROR(INDEX(sheath_ecap_asd,MATCH(AP1252,sheath_mark,0),0)*AK1252,0)</f>
        <v>0</v>
      </c>
      <c r="AM1252" cm="1">
        <f t="array" ref="AM1252">IFERROR(INDEX(sheath_wcap_asd,MATCH(AP1252,sheath_mark,0),0)*AK1252,0)</f>
        <v>0</v>
      </c>
      <c r="AN1252" cm="1">
        <f t="array" ref="AN1252">IFERROR(INDEX(hd_cap,MATCH(AQ1252,hd_mark,0),0),0)</f>
        <v>0</v>
      </c>
      <c r="AP1252" s="19"/>
      <c r="AQ1252" s="19"/>
      <c r="AR1252" s="100"/>
      <c r="AS1252" s="93"/>
      <c r="AT1252" s="111">
        <f>$R$1190</f>
        <v>0</v>
      </c>
      <c r="AU1252" t="str">
        <f>$Q$1176</f>
        <v>L5</v>
      </c>
      <c r="AV1252">
        <f>$E$24</f>
        <v>0</v>
      </c>
      <c r="AW1252" cm="1">
        <f t="array" ref="AW1252">IFERROR(IF(AV1252=0,0,(INDEX($C$33:$C$38,MATCH($AZ$1190,$B$33:$B$38,0),0)*(AV1253+$BA$1190)+$AW$1190*COUNTIF(AV1252:AV1252,"&gt;0")*$C$32+$AY$1190*$C$31)*$AU$1190),0)</f>
        <v>0</v>
      </c>
      <c r="AX1252">
        <f>IF(AV1252=0,0,-(COUNTIF(AV1252:AV1252,"&gt;0")*$AW$1190*$C$32+$AY$1190*$C$31)*$H$27*$AU$1190)</f>
        <v>0</v>
      </c>
      <c r="AY1252">
        <f>IF(AV1252=0,0,$AY$1190*$H$26*$AU$1190)</f>
        <v>0</v>
      </c>
      <c r="AZ1252">
        <f>(0.6*AW1252+0.7*AX1252)*$AU$1190/2</f>
        <v>0</v>
      </c>
      <c r="BA1252">
        <f>AW1252*$AU$1190/2</f>
        <v>0</v>
      </c>
      <c r="BC1252">
        <f>IF(AV1252=0,0,$BG$1190*$AP$1176)</f>
        <v>0</v>
      </c>
      <c r="BD1252">
        <f>IFERROR(BC1252/$AU$1190,0)</f>
        <v>0</v>
      </c>
      <c r="BE1252">
        <f>BC1252*($F$24+IF($F$24=0,0,($C$14+$C$15+IF($C$13="single",1.5,3)+3)/12))</f>
        <v>0</v>
      </c>
      <c r="BF1252">
        <f>BE1252-AZ1252</f>
        <v>0</v>
      </c>
      <c r="BG1252" cm="1">
        <f t="array" ref="BG1252">IFERROR(IF(BF1252&lt;0,0,BF1252/($AU$1190-INDEX(hd_off,MATCH(BT1252,hd_mark,0),0)/12)),0)</f>
        <v>0</v>
      </c>
      <c r="BH1252">
        <f>IF(AV1252=0,0,$BG$1190*$AM$1176)</f>
        <v>0</v>
      </c>
      <c r="BI1252">
        <f>IFERROR(BH1252/$AU$1190,0)</f>
        <v>0</v>
      </c>
      <c r="BJ1252">
        <f>BH1252*($F$24+IF($F$24=0,0,($C$14+$C$15+IF($C$13="single",1.5,3)+3)/12))</f>
        <v>0</v>
      </c>
      <c r="BK1252">
        <f>BJ1252-BA1252</f>
        <v>0</v>
      </c>
      <c r="BL1252" cm="1">
        <f t="array" ref="BL1252">IFERROR(IF(BK1252&lt;0,0,BK1252/($AU$1190-INDEX(hd_off,MATCH(BT1252,hd_mark,0),0)/12)),0)</f>
        <v>0</v>
      </c>
      <c r="BM1252">
        <f>MAX($F$24,$BE$1190)/$Q$1204</f>
        <v>0</v>
      </c>
      <c r="BN1252">
        <f t="shared" si="774"/>
        <v>0</v>
      </c>
      <c r="BO1252" cm="1">
        <f t="array" ref="BO1252">IFERROR(INDEX(sheath_ecap_asd,MATCH(BS1252,sheath_mark,0),0)*BN1252,0)</f>
        <v>0</v>
      </c>
      <c r="BP1252" cm="1">
        <f t="array" ref="BP1252">IFERROR(INDEX(sheath_wcap_asd,MATCH(BS1252,sheath_mark,0),0)*BN1252,0)</f>
        <v>0</v>
      </c>
      <c r="BQ1252" cm="1">
        <f t="array" ref="BQ1252">IFERROR(INDEX(hd_cap,MATCH(BT1252,hd_mark,0),0),0)</f>
        <v>0</v>
      </c>
      <c r="BS1252" s="19"/>
      <c r="BT1252" s="19"/>
      <c r="BU1252" s="100"/>
    </row>
    <row r="1253" x14ac:dyDescent="0.25">
      <c r="P1253" s="93"/>
      <c r="Q1253" s="109"/>
      <c r="R1253" t="str">
        <f>$Q$1177</f>
        <v>Roof</v>
      </c>
      <c r="S1253">
        <f>$E$25</f>
        <v>33.171875</v>
      </c>
      <c r="T1253" cm="1">
        <f t="array" ref="T1253">IFERROR(IF(S1253=0,0,(INDEX($C$33:$C$38,MATCH($W$1190,$B$33:$B$38,0),0)*(S1253+$X$1190)+$V$1190*$C$31)*$R$1190),0)</f>
        <v>0</v>
      </c>
      <c r="U1253">
        <f>IF(S1253=0,0,-$V$1190*$C$31*$H$27*$R$1190)</f>
        <v>0</v>
      </c>
      <c r="V1253">
        <f>IF(S1253=0,0,$V$1190*$H$26*$R$1190)</f>
        <v>0</v>
      </c>
      <c r="W1253">
        <f>(0.6*T1253+0.7*U1253)*$R$1190/2</f>
        <v>0</v>
      </c>
      <c r="X1253">
        <f>T1253*$R$1190/2</f>
        <v>0</v>
      </c>
      <c r="Z1253">
        <f>IF(S1253=0,0,$AD$1190*$AP$1177)</f>
        <v>0</v>
      </c>
      <c r="AA1253">
        <f>IFERROR(Z1253/$R$1190,0)</f>
        <v>0</v>
      </c>
      <c r="AB1253">
        <f>Z1253*($F$25+($C$16+$C$17+IF($C$13="single",1.5,3)+3)/12)</f>
        <v>0</v>
      </c>
      <c r="AC1253">
        <f>AB1253-W1253</f>
        <v>0</v>
      </c>
      <c r="AD1253" cm="1">
        <f t="array" ref="AD1253">IFERROR(IF(AC1253&lt;0,0,AC1253/($R$1190-INDEX(hd_off,MATCH(AQ1253,hd_mark,0),0)/12)),0)</f>
        <v>0</v>
      </c>
      <c r="AE1253">
        <f>IF(S1253=0,0,$AD$1190*$AM$1177)</f>
        <v>0</v>
      </c>
      <c r="AF1253">
        <f>IFERROR(AE1253/$R$1190,0)</f>
        <v>0</v>
      </c>
      <c r="AG1253">
        <f>AE1253*($F$25+($C$16+$C$17+IF($C$13="single",1.5,3)+3)/12)</f>
        <v>0</v>
      </c>
      <c r="AH1253">
        <f>AG1253-X1253</f>
        <v>0</v>
      </c>
      <c r="AI1253" cm="1">
        <f t="array" ref="AI1253">IFERROR(IF(AH1253&lt;0,0,AH1253/($R$1190-INDEX(hd_off,MATCH(AQ1253,hd_mark,0),0)/12)),0)</f>
        <v>0</v>
      </c>
      <c r="AJ1253">
        <f>MAX($F$25,$AC$1190)/$Q$1204</f>
        <v>0.29920977011494249</v>
      </c>
      <c r="AK1253">
        <f t="shared" si="773"/>
        <v>1</v>
      </c>
      <c r="AL1253" cm="1">
        <f t="array" ref="AL1253">IFERROR(INDEX(sheath_ecap_asd,MATCH(AP1253,sheath_mark,0),0)*AK1253,0)</f>
        <v>0</v>
      </c>
      <c r="AM1253" cm="1">
        <f t="array" ref="AM1253">IFERROR(INDEX(sheath_wcap_asd,MATCH(AP1253,sheath_mark,0),0)*AK1253,0)</f>
        <v>0</v>
      </c>
      <c r="AN1253" cm="1">
        <f t="array" ref="AN1253">IFERROR(INDEX(hd_cap,MATCH(AQ1253,hd_mark,0),0),0)</f>
        <v>0</v>
      </c>
      <c r="AP1253" s="19"/>
      <c r="AQ1253" s="19"/>
      <c r="AR1253" s="100"/>
      <c r="AS1253" s="93"/>
      <c r="AT1253" s="109"/>
      <c r="AU1253" t="str">
        <f>$Q$1177</f>
        <v>Roof</v>
      </c>
      <c r="AV1253">
        <f>$E$25</f>
        <v>33.171875</v>
      </c>
      <c r="AW1253" cm="1">
        <f t="array" ref="AW1253">IFERROR(IF(AV1253=0,0,(INDEX($C$33:$C$38,MATCH($AZ$1190,$B$33:$B$38,0),0)*(AV1253+$BA$1190)+$AY$1190*$C$31)*$AU$1190),0)</f>
        <v>0</v>
      </c>
      <c r="AX1253">
        <f>IF(AV1253=0,0,-$AY$1190*$C$31*$H$27*$AU$1190)</f>
        <v>0</v>
      </c>
      <c r="AY1253">
        <f>IF(AV1253=0,0,$AY$1190*$H$26*$AU$1190)</f>
        <v>0</v>
      </c>
      <c r="AZ1253">
        <f>(0.6*AW1253+0.7*AX1253)*$AU$1190/2</f>
        <v>0</v>
      </c>
      <c r="BA1253">
        <f>AW1253*$AU$1190/2</f>
        <v>0</v>
      </c>
      <c r="BC1253">
        <f>IF(AV1253=0,0,$BG$1190*$AP$1177)</f>
        <v>0</v>
      </c>
      <c r="BD1253">
        <f>IFERROR(BC1253/$AU$1190,0)</f>
        <v>0</v>
      </c>
      <c r="BE1253">
        <f>BC1253*($F$25+($C$16+$C$17+IF($C$13="single",1.5,3)+3)/12)</f>
        <v>0</v>
      </c>
      <c r="BF1253">
        <f>BE1253-AZ1253</f>
        <v>0</v>
      </c>
      <c r="BG1253" cm="1">
        <f t="array" ref="BG1253">IFERROR(IF(BF1253&lt;0,0,BF1253/($AU$1190-INDEX(hd_off,MATCH(BT1253,hd_mark,0),0)/12)),0)</f>
        <v>0</v>
      </c>
      <c r="BH1253">
        <f>IF(AV1253=0,0,$BG$1190*$AM$1177)</f>
        <v>0</v>
      </c>
      <c r="BI1253">
        <f>IFERROR(BH1253/$AU$1190,0)</f>
        <v>0</v>
      </c>
      <c r="BJ1253">
        <f>BH1253*($F$25+($C$16+$C$17+IF($C$13="single",1.5,3)+3)/12)</f>
        <v>0</v>
      </c>
      <c r="BK1253">
        <f>BJ1253-BA1253</f>
        <v>0</v>
      </c>
      <c r="BL1253" cm="1">
        <f t="array" ref="BL1253">IFERROR(IF(BK1253&lt;0,0,BK1253/($AU$1190-INDEX(hd_off,MATCH(BT1253,hd_mark,0),0)/12)),0)</f>
        <v>0</v>
      </c>
      <c r="BM1253">
        <f>MAX($F$25,$BF$1190)/$Q$1204</f>
        <v>0.29920977011494249</v>
      </c>
      <c r="BN1253">
        <f t="shared" si="774"/>
        <v>1</v>
      </c>
      <c r="BO1253" cm="1">
        <f t="array" ref="BO1253">IFERROR(INDEX(sheath_ecap_asd,MATCH(BS1253,sheath_mark,0),0)*BN1253,0)</f>
        <v>0</v>
      </c>
      <c r="BP1253" cm="1">
        <f t="array" ref="BP1253">IFERROR(INDEX(sheath_wcap_asd,MATCH(BS1253,sheath_mark,0),0)*BN1253,0)</f>
        <v>0</v>
      </c>
      <c r="BQ1253" cm="1">
        <f t="array" ref="BQ1253">IFERROR(INDEX(hd_cap,MATCH(BT1253,hd_mark,0),0),0)</f>
        <v>0</v>
      </c>
      <c r="BS1253" s="19"/>
      <c r="BT1253" s="19"/>
      <c r="BU1253" s="100"/>
    </row>
    <row r="1254" x14ac:dyDescent="0.25">
      <c r="P1254" s="93"/>
      <c r="AR1254" s="100"/>
      <c r="AS1254" s="93"/>
      <c r="BU1254" s="100"/>
    </row>
    <row r="1255" x14ac:dyDescent="0.25">
      <c r="P1255" s="93"/>
      <c r="Q1255" s="110" t="str">
        <f>$Q$1191</f>
        <v>A.10</v>
      </c>
      <c r="R1255" t="str">
        <f>$Q$1173</f>
        <v>L2</v>
      </c>
      <c r="S1255">
        <f>$E$21</f>
        <v>10.6875</v>
      </c>
      <c r="T1255" cm="1">
        <f t="array" ref="T1255">IFERROR(IF(S1255=0,0,(INDEX($C$33:$C$38,MATCH($W$1191,$B$33:$B$38,0),0)*(S1259+$X$1191)+$T$1191*COUNTIF(S1255:S1258,"&gt;0")*$C$32+$V$1191*$C$31)*$R$1191),0)</f>
        <v>0</v>
      </c>
      <c r="U1255">
        <f>IF(S1255=0,0,-(COUNTIF(S1255:S1258,"&gt;0")*$T$1191*$C$32+$V$1191*$C$31)*$H$27*$R$1191)</f>
        <v>0</v>
      </c>
      <c r="V1255">
        <f>IF(S1255=0,0,$V$1191*$H$26*$R$1191)</f>
        <v>0</v>
      </c>
      <c r="W1255">
        <f>(0.6*T1255+0.7*U1255)*$R$1191/2</f>
        <v>0</v>
      </c>
      <c r="X1255">
        <f>(0.6*T1255+0.6*V1255)*$R$1191/2</f>
        <v>0</v>
      </c>
      <c r="Z1255">
        <f>IF(S1255=0,0,$AD$1191*$AP$1173)</f>
        <v>0</v>
      </c>
      <c r="AA1255">
        <f>IFERROR(Z1255/$R$1191,0)</f>
        <v>0</v>
      </c>
      <c r="AB1255">
        <f>Z1255*($F$21+IF($F$21=0,0,($C$14+$C$15+IF($C$13="single",1.5,3)+3)/12))</f>
        <v>0</v>
      </c>
      <c r="AC1255">
        <f>AB1255-W1255</f>
        <v>0</v>
      </c>
      <c r="AD1255" cm="1">
        <f t="array" ref="AD1255">IFERROR(IF(AC1255&lt;0,0,AC1255/($R$1191-INDEX(hd_off,MATCH(AQ1255,hd_mark,0),0)/12)),0)</f>
        <v>0</v>
      </c>
      <c r="AE1255">
        <f>IF(S1255=0,0,$AD$1191*$AM$1173)</f>
        <v>0</v>
      </c>
      <c r="AF1255">
        <f>IFERROR(AE1255/$R$1191,0)</f>
        <v>0</v>
      </c>
      <c r="AG1255">
        <f>AE1255*($F$21+IF($F$21=0,0,($C$14+$C$15+IF($C$13="single",1.5,3)+3)/12))</f>
        <v>0</v>
      </c>
      <c r="AH1255">
        <f>AG1255-X1255</f>
        <v>0</v>
      </c>
      <c r="AI1255" cm="1">
        <f t="array" ref="AI1255">IFERROR(IF(AH1255&lt;0,0,AH1255/($R$1191-INDEX(hd_off,MATCH(AQ1255,hd_mark,0),0)/12)),0)</f>
        <v>0</v>
      </c>
      <c r="AJ1255">
        <f>MAX($F$21,$Y$1191)/$Q$1204</f>
        <v>0.30172413793103448</v>
      </c>
      <c r="AK1255">
        <f>IF(AJ1255=0,0,IF(AJ1255&gt;2,1.25-0.125*AJ1255,1))</f>
        <v>1</v>
      </c>
      <c r="AL1255" cm="1">
        <f t="array" ref="AL1255">IFERROR(INDEX(sheath_ecap_asd,MATCH(AP1255,sheath_mark,0),0)*AK1255,0)</f>
        <v>0</v>
      </c>
      <c r="AM1255" cm="1">
        <f t="array" ref="AM1255">IFERROR(INDEX(sheath_wcap_asd,MATCH(AP1255,sheath_mark,0),0)*AK1255,0)</f>
        <v>0</v>
      </c>
      <c r="AN1255" cm="1">
        <f t="array" ref="AN1255">IFERROR(INDEX(hd_cap,MATCH(AQ1255,hd_mark,0),0),0)</f>
        <v>0</v>
      </c>
      <c r="AP1255" s="19"/>
      <c r="AQ1255" s="19"/>
      <c r="AR1255" s="100"/>
      <c r="AS1255" s="93"/>
      <c r="AT1255" s="110" t="str">
        <f>$AT$1191</f>
        <v>1.10</v>
      </c>
      <c r="AU1255" t="str">
        <f>$Q$1173</f>
        <v>L2</v>
      </c>
      <c r="AV1255">
        <f>$E$21</f>
        <v>10.6875</v>
      </c>
      <c r="AW1255" cm="1">
        <f t="array" ref="AW1255">IFERROR(IF(AV1255=0,0,(INDEX($C$33:$C$38,MATCH($AZ$1191,$B$33:$B$38,0),0)*(AV1259+$BA$1191)+$AW$1191*COUNTIF(AV1255:AV1258,"&gt;0")*$C$32+$AY$1191*$C$31)*$AU$1191),0)</f>
        <v>0</v>
      </c>
      <c r="AX1255">
        <f>IF(AV1255=0,0,-(COUNTIF(AV1255:AV1258,"&gt;0")*$AW$1191*$C$32+$AY$1191*$C$31)*$H$27*$AU$1191)</f>
        <v>0</v>
      </c>
      <c r="AY1255">
        <f>IF(AV1255=0,0,$AY$1191*$H$26*$AU$1191)</f>
        <v>0</v>
      </c>
      <c r="AZ1255">
        <f>(0.6*AW1255+0.7*AX1255)*$AU$1191/2</f>
        <v>0</v>
      </c>
      <c r="BA1255">
        <f>(0.6*AW1255+0.6*AY1255)*$AU$1191/2</f>
        <v>0</v>
      </c>
      <c r="BC1255">
        <f>IF(AV1255=0,0,$BG$1191*$AP$1173)</f>
        <v>0</v>
      </c>
      <c r="BD1255">
        <f>IFERROR(BC1255/$AU$1191,0)</f>
        <v>0</v>
      </c>
      <c r="BE1255">
        <f>BC1255*($F$21+IF($F$21=0,0,($C$14+$C$15+IF($C$13="single",1.5,3)+3)/12))</f>
        <v>0</v>
      </c>
      <c r="BF1255">
        <f>BE1255-AZ1255</f>
        <v>0</v>
      </c>
      <c r="BG1255" cm="1">
        <f t="array" ref="BG1255">IFERROR(IF(BF1255&lt;0,0,BF1255/($AU$1191-INDEX(hd_off,MATCH(BT1255,hd_mark,0),0)/12)),0)</f>
        <v>0</v>
      </c>
      <c r="BH1255">
        <f>IF(AV1255=0,0,$BG$1191*$AM$1173)</f>
        <v>0</v>
      </c>
      <c r="BI1255">
        <f>IFERROR(BH1255/$AU$1191,0)</f>
        <v>0</v>
      </c>
      <c r="BJ1255">
        <f>BH1255*($F$21+IF($F$21=0,0,($C$14+$C$15+IF($C$13="single",1.5,3)+3)/12))</f>
        <v>0</v>
      </c>
      <c r="BK1255">
        <f>BJ1255-BA1255</f>
        <v>0</v>
      </c>
      <c r="BL1255" cm="1">
        <f t="array" ref="BL1255">IFERROR(IF(BK1255&lt;0,0,BK1255/($AU$1191-INDEX(hd_off,MATCH(BT1255,hd_mark,0),0)/12)),0)</f>
        <v>0</v>
      </c>
      <c r="BM1255">
        <f>MAX($F$21,$BB$1191)/$Q$1204</f>
        <v>0.30172413793103448</v>
      </c>
      <c r="BN1255">
        <f>IF(BM1255=0,0,IF(BM1255&gt;2,1.25-0.125*BM1255,1))</f>
        <v>1</v>
      </c>
      <c r="BO1255" cm="1">
        <f t="array" ref="BO1255">IFERROR(INDEX(sheath_ecap_asd,MATCH(BS1255,sheath_mark,0),0)*BN1255,0)</f>
        <v>0</v>
      </c>
      <c r="BP1255" cm="1">
        <f t="array" ref="BP1255">IFERROR(INDEX(sheath_wcap_asd,MATCH(BS1255,sheath_mark,0),0)*BN1255,0)</f>
        <v>0</v>
      </c>
      <c r="BQ1255" cm="1">
        <f t="array" ref="BQ1255">IFERROR(INDEX(hd_cap,MATCH(BT1255,hd_mark,0),0),0)</f>
        <v>0</v>
      </c>
      <c r="BS1255" s="19"/>
      <c r="BT1255" s="19"/>
      <c r="BU1255" s="100"/>
    </row>
    <row r="1256" x14ac:dyDescent="0.25">
      <c r="P1256" s="93"/>
      <c r="Q1256" s="109"/>
      <c r="R1256" t="str">
        <f>$Q$1174</f>
        <v>L3</v>
      </c>
      <c r="S1256">
        <f>$E$22</f>
        <v>21.375</v>
      </c>
      <c r="T1256" cm="1">
        <f t="array" ref="T1256">IFERROR(IF(S1256=0,0,(INDEX($C$33:$C$38,MATCH($W$1191,$B$33:$B$38,0),0)*(S1259+$X$1191)+$T$1191*COUNTIF(S1256:S1258,"&gt;0")*$C$32+$V$1191*$C$31)*$R$1191),0)</f>
        <v>0</v>
      </c>
      <c r="U1256">
        <f>IF(S1256=0,0,-(COUNTIF(S1256:S1258,"&gt;0")*$T$1191*$C$32+$V$1191*$C$31)*$H$27*$R$1191)</f>
        <v>0</v>
      </c>
      <c r="V1256">
        <f>IF(S1256=0,0,$V$1191*$H$26*$R$1191)</f>
        <v>0</v>
      </c>
      <c r="W1256">
        <f>(0.6*T1256+0.7*U1256)*$R$1191/2</f>
        <v>0</v>
      </c>
      <c r="X1256">
        <f>T1256*$R$1191/2</f>
        <v>0</v>
      </c>
      <c r="Z1256">
        <f>IF(S1256=0,0,$AD$1191*$AP$1174)</f>
        <v>0</v>
      </c>
      <c r="AA1256">
        <f>IFERROR(Z1256/$R$1191,0)</f>
        <v>0</v>
      </c>
      <c r="AB1256">
        <f>Z1256*($F$22+IF($F$22=0,0,($C$14+$C$15+IF($C$13="single",1.5,3)+3)/12))</f>
        <v>0</v>
      </c>
      <c r="AC1256">
        <f>AB1256-W1256</f>
        <v>0</v>
      </c>
      <c r="AD1256" cm="1">
        <f t="array" ref="AD1256">IFERROR(IF(AC1256&lt;0,0,AC1256/($R$1191-INDEX(hd_off,MATCH(AQ1256,hd_mark,0),0)/12)),0)</f>
        <v>0</v>
      </c>
      <c r="AE1256">
        <f>IF(S1256=0,0,$AD$1191*$AM$1174)</f>
        <v>0</v>
      </c>
      <c r="AF1256">
        <f>IFERROR(AE1256/$R$1191,0)</f>
        <v>0</v>
      </c>
      <c r="AG1256">
        <f>AE1256*($F$22+IF($F$22=0,0,($C$14+$C$15+IF($C$13="single",1.5,3)+3)/12))</f>
        <v>0</v>
      </c>
      <c r="AH1256">
        <f>AG1256-X1256</f>
        <v>0</v>
      </c>
      <c r="AI1256" cm="1">
        <f t="array" ref="AI1256">IFERROR(IF(AH1256&lt;0,0,AH1256/($R$1191-INDEX(hd_off,MATCH(AQ1256,hd_mark,0),0)/12)),0)</f>
        <v>0</v>
      </c>
      <c r="AJ1256">
        <f>MAX($F$22,$Z$1191)/$Q$1204</f>
        <v>0.30172413793103448</v>
      </c>
      <c r="AK1256">
        <f t="shared" ref="AK1256:AK1259" si="775">IF(AJ1256=0,0,IF(AJ1256&gt;2,1.25-0.125*AJ1256,1))</f>
        <v>1</v>
      </c>
      <c r="AL1256" cm="1">
        <f t="array" ref="AL1256">IFERROR(INDEX(sheath_ecap_asd,MATCH(AP1256,sheath_mark,0),0)*AK1256,0)</f>
        <v>0</v>
      </c>
      <c r="AM1256" cm="1">
        <f t="array" ref="AM1256">IFERROR(INDEX(sheath_wcap_asd,MATCH(AP1256,sheath_mark,0),0)*AK1256,0)</f>
        <v>0</v>
      </c>
      <c r="AN1256" cm="1">
        <f t="array" ref="AN1256">IFERROR(INDEX(hd_cap,MATCH(AQ1256,hd_mark,0),0),0)</f>
        <v>0</v>
      </c>
      <c r="AP1256" s="19"/>
      <c r="AQ1256" s="19"/>
      <c r="AR1256" s="100"/>
      <c r="AS1256" s="93"/>
      <c r="AT1256" s="109"/>
      <c r="AU1256" t="str">
        <f>$Q$1174</f>
        <v>L3</v>
      </c>
      <c r="AV1256">
        <f>$E$22</f>
        <v>21.375</v>
      </c>
      <c r="AW1256" cm="1">
        <f t="array" ref="AW1256">IFERROR(IF(AV1256=0,0,(INDEX($C$33:$C$38,MATCH($AZ$1191,$B$33:$B$38,0),0)*(AV1259+$BA$1191)+$AW$1191*COUNTIF(AV1256:AV1258,"&gt;0")*$C$32+$AY$1191*$C$31)*$AU$1191),0)</f>
        <v>0</v>
      </c>
      <c r="AX1256">
        <f>IF(AV1256=0,0,-(COUNTIF(AV1256:AV1258,"&gt;0")*$AW$1191*$C$32+$AY$1191*$C$31)*$H$27*$AU$1191)</f>
        <v>0</v>
      </c>
      <c r="AY1256">
        <f>IF(AV1256=0,0,$AY$1191*$H$26*$AU$1191)</f>
        <v>0</v>
      </c>
      <c r="AZ1256">
        <f>(0.6*AW1256+0.7*AX1256)*$AU$1191/2</f>
        <v>0</v>
      </c>
      <c r="BA1256">
        <f>AW1256*$AU$1191/2</f>
        <v>0</v>
      </c>
      <c r="BC1256">
        <f>IF(AV1256=0,0,$BG$1191*$AP$1174)</f>
        <v>0</v>
      </c>
      <c r="BD1256">
        <f>IFERROR(BC1256/$AU$1191,0)</f>
        <v>0</v>
      </c>
      <c r="BE1256">
        <f>BC1256*($F$22+IF($F$22=0,0,($C$14+$C$15+IF($C$13="single",1.5,3)+3)/12))</f>
        <v>0</v>
      </c>
      <c r="BF1256">
        <f>BE1256-AZ1256</f>
        <v>0</v>
      </c>
      <c r="BG1256" cm="1">
        <f t="array" ref="BG1256">IFERROR(IF(BF1256&lt;0,0,BF1256/($AU$1191-INDEX(hd_off,MATCH(BT1256,hd_mark,0),0)/12)),0)</f>
        <v>0</v>
      </c>
      <c r="BH1256">
        <f>IF(AV1256=0,0,$BG$1191*$AM$1174)</f>
        <v>0</v>
      </c>
      <c r="BI1256">
        <f>IFERROR(BH1256/$AU$1191,0)</f>
        <v>0</v>
      </c>
      <c r="BJ1256">
        <f>BH1256*($F$22+IF($F$22=0,0,($C$14+$C$15+IF($C$13="single",1.5,3)+3)/12))</f>
        <v>0</v>
      </c>
      <c r="BK1256">
        <f>BJ1256-BA1256</f>
        <v>0</v>
      </c>
      <c r="BL1256" cm="1">
        <f t="array" ref="BL1256">IFERROR(IF(BK1256&lt;0,0,BK1256/($AU$1191-INDEX(hd_off,MATCH(BT1256,hd_mark,0),0)/12)),0)</f>
        <v>0</v>
      </c>
      <c r="BM1256">
        <f>MAX($F$22,$BC$1191)/$Q$1204</f>
        <v>0.30172413793103448</v>
      </c>
      <c r="BN1256">
        <f t="shared" ref="BN1256:BN1259" si="776">IF(BM1256=0,0,IF(BM1256&gt;2,1.25-0.125*BM1256,1))</f>
        <v>1</v>
      </c>
      <c r="BO1256" cm="1">
        <f t="array" ref="BO1256">IFERROR(INDEX(sheath_ecap_asd,MATCH(BS1256,sheath_mark,0),0)*BN1256,0)</f>
        <v>0</v>
      </c>
      <c r="BP1256" cm="1">
        <f t="array" ref="BP1256">IFERROR(INDEX(sheath_wcap_asd,MATCH(BS1256,sheath_mark,0),0)*BN1256,0)</f>
        <v>0</v>
      </c>
      <c r="BQ1256" cm="1">
        <f t="array" ref="BQ1256">IFERROR(INDEX(hd_cap,MATCH(BT1256,hd_mark,0),0),0)</f>
        <v>0</v>
      </c>
      <c r="BS1256" s="19"/>
      <c r="BT1256" s="19"/>
      <c r="BU1256" s="100"/>
    </row>
    <row r="1257" x14ac:dyDescent="0.25">
      <c r="P1257" s="93"/>
      <c r="Q1257" s="109" t="s">
        <v>491</v>
      </c>
      <c r="R1257" t="str">
        <f>$Q$1175</f>
        <v>L4</v>
      </c>
      <c r="S1257">
        <f>$E$23</f>
        <v>0</v>
      </c>
      <c r="T1257" cm="1">
        <f t="array" ref="T1257">IFERROR(IF(S1257=0,0,(INDEX($C$33:$C$38,MATCH($W$1191,$B$33:$B$38,0),0)*(S1259+$X$1191)+$T$1191*COUNTIF(S1257:S1258,"&gt;0")*$C$32+$V$1191*$C$31)*$R$1191),0)</f>
        <v>0</v>
      </c>
      <c r="U1257">
        <f>IF(S1257=0,0,-(COUNTIF(S1257:S1258,"&gt;0")*$T$1191*$C$32+$V$1191*$C$31)*$H$27*$R$1191)</f>
        <v>0</v>
      </c>
      <c r="V1257">
        <f>IF(S1257=0,0,$V$1191*$H$26*$R$1191)</f>
        <v>0</v>
      </c>
      <c r="W1257">
        <f>(0.6*T1257+0.7*U1257)*$R$1191/2</f>
        <v>0</v>
      </c>
      <c r="X1257">
        <f>T1257*$R$1191/2</f>
        <v>0</v>
      </c>
      <c r="Z1257">
        <f>IF(S1257=0,0,$AD$1191*$AP$1175)</f>
        <v>0</v>
      </c>
      <c r="AA1257">
        <f>IFERROR(Z1257/$R$1191,0)</f>
        <v>0</v>
      </c>
      <c r="AB1257">
        <f>Z1257*($F$23+IF($F$23=0,0,($C$14+$C$15+IF($C$13="single",1.5,3)+3)/12))</f>
        <v>0</v>
      </c>
      <c r="AC1257">
        <f>AB1257-W1257</f>
        <v>0</v>
      </c>
      <c r="AD1257" cm="1">
        <f t="array" ref="AD1257">IFERROR(IF(AC1257&lt;0,0,AC1257/($R$1191-INDEX(hd_off,MATCH(AQ1257,hd_mark,0),0)/12)),0)</f>
        <v>0</v>
      </c>
      <c r="AE1257">
        <f>IF(S1257=0,0,$AD$1191*$AM$1175)</f>
        <v>0</v>
      </c>
      <c r="AF1257">
        <f>IFERROR(AE1257/$R$1191,0)</f>
        <v>0</v>
      </c>
      <c r="AG1257">
        <f>AE1257*($F$23+IF($F$23=0,0,($C$14+$C$15+IF($C$13="single",1.5,3)+3)/12))</f>
        <v>0</v>
      </c>
      <c r="AH1257">
        <f>AG1257-X1257</f>
        <v>0</v>
      </c>
      <c r="AI1257" cm="1">
        <f t="array" ref="AI1257">IFERROR(IF(AH1257&lt;0,0,AH1257/($R$1191-INDEX(hd_off,MATCH(AQ1257,hd_mark,0),0)/12)),0)</f>
        <v>0</v>
      </c>
      <c r="AJ1257">
        <f>MAX($F$23,$AA$1191)/$Q$1204</f>
        <v>0</v>
      </c>
      <c r="AK1257">
        <f t="shared" si="775"/>
        <v>0</v>
      </c>
      <c r="AL1257" cm="1">
        <f t="array" ref="AL1257">IFERROR(INDEX(sheath_ecap_asd,MATCH(AP1257,sheath_mark,0),0)*AK1257,0)</f>
        <v>0</v>
      </c>
      <c r="AM1257" cm="1">
        <f t="array" ref="AM1257">IFERROR(INDEX(sheath_wcap_asd,MATCH(AP1257,sheath_mark,0),0)*AK1257,0)</f>
        <v>0</v>
      </c>
      <c r="AN1257" cm="1">
        <f t="array" ref="AN1257">IFERROR(INDEX(hd_cap,MATCH(AQ1257,hd_mark,0),0),0)</f>
        <v>0</v>
      </c>
      <c r="AP1257" s="19"/>
      <c r="AQ1257" s="19"/>
      <c r="AR1257" s="100"/>
      <c r="AS1257" s="93"/>
      <c r="AT1257" s="109" t="s">
        <v>491</v>
      </c>
      <c r="AU1257" t="str">
        <f>$Q$1175</f>
        <v>L4</v>
      </c>
      <c r="AV1257">
        <f>$E$23</f>
        <v>0</v>
      </c>
      <c r="AW1257" cm="1">
        <f t="array" ref="AW1257">IFERROR(IF(AV1257=0,0,(INDEX($C$33:$C$38,MATCH($AZ$1191,$B$33:$B$38,0),0)*(AV1259+$BA$1191)+$AW$1191*COUNTIF(AV1257:AV1258,"&gt;0")*$C$32+$AY$1191*$C$31)*$AU$1191),0)</f>
        <v>0</v>
      </c>
      <c r="AX1257">
        <f>IF(AV1257=0,0,-(COUNTIF(AV1257:AV1258,"&gt;0")*$AW$1191*$C$32+$AY$1191*$C$31)*$H$27*$AU$1191)</f>
        <v>0</v>
      </c>
      <c r="AY1257">
        <f>IF(AV1257=0,0,$AY$1191*$H$26*$AU$1191)</f>
        <v>0</v>
      </c>
      <c r="AZ1257">
        <f>(0.6*AW1257+0.7*AX1257)*$AU$1191/2</f>
        <v>0</v>
      </c>
      <c r="BA1257">
        <f>AW1257*$AU$1191/2</f>
        <v>0</v>
      </c>
      <c r="BC1257">
        <f>IF(AV1257=0,0,$BG$1191*$AP$1175)</f>
        <v>0</v>
      </c>
      <c r="BD1257">
        <f>IFERROR(BC1257/$AU$1191,0)</f>
        <v>0</v>
      </c>
      <c r="BE1257">
        <f>BC1257*($F$23+IF($F$23=0,0,($C$14+$C$15+IF($C$13="single",1.5,3)+3)/12))</f>
        <v>0</v>
      </c>
      <c r="BF1257">
        <f>BE1257-AZ1257</f>
        <v>0</v>
      </c>
      <c r="BG1257" cm="1">
        <f t="array" ref="BG1257">IFERROR(IF(BF1257&lt;0,0,BF1257/($AU$1191-INDEX(hd_off,MATCH(BT1257,hd_mark,0),0)/12)),0)</f>
        <v>0</v>
      </c>
      <c r="BH1257">
        <f>IF(AV1257=0,0,$BG$1191*$AM$1175)</f>
        <v>0</v>
      </c>
      <c r="BI1257">
        <f>IFERROR(BH1257/$AU$1191,0)</f>
        <v>0</v>
      </c>
      <c r="BJ1257">
        <f>BH1257*($F$23+IF($F$23=0,0,($C$14+$C$15+IF($C$13="single",1.5,3)+3)/12))</f>
        <v>0</v>
      </c>
      <c r="BK1257">
        <f>BJ1257-BA1257</f>
        <v>0</v>
      </c>
      <c r="BL1257" cm="1">
        <f t="array" ref="BL1257">IFERROR(IF(BK1257&lt;0,0,BK1257/($AU$1191-INDEX(hd_off,MATCH(BT1257,hd_mark,0),0)/12)),0)</f>
        <v>0</v>
      </c>
      <c r="BM1257">
        <f>MAX($F$23,$BD$1191)/$Q$1204</f>
        <v>0</v>
      </c>
      <c r="BN1257">
        <f t="shared" si="776"/>
        <v>0</v>
      </c>
      <c r="BO1257" cm="1">
        <f t="array" ref="BO1257">IFERROR(INDEX(sheath_ecap_asd,MATCH(BS1257,sheath_mark,0),0)*BN1257,0)</f>
        <v>0</v>
      </c>
      <c r="BP1257" cm="1">
        <f t="array" ref="BP1257">IFERROR(INDEX(sheath_wcap_asd,MATCH(BS1257,sheath_mark,0),0)*BN1257,0)</f>
        <v>0</v>
      </c>
      <c r="BQ1257" cm="1">
        <f t="array" ref="BQ1257">IFERROR(INDEX(hd_cap,MATCH(BT1257,hd_mark,0),0),0)</f>
        <v>0</v>
      </c>
      <c r="BS1257" s="19"/>
      <c r="BT1257" s="19"/>
      <c r="BU1257" s="100"/>
    </row>
    <row r="1258" x14ac:dyDescent="0.25">
      <c r="P1258" s="93"/>
      <c r="Q1258" s="111">
        <f>$R$1191</f>
        <v>0</v>
      </c>
      <c r="R1258" t="str">
        <f>$Q$1176</f>
        <v>L5</v>
      </c>
      <c r="S1258">
        <f>$E$24</f>
        <v>0</v>
      </c>
      <c r="T1258" cm="1">
        <f t="array" ref="T1258">IFERROR(IF(S1258=0,0,(INDEX($C$33:$C$38,MATCH($W$1191,$B$33:$B$38,0),0)*(S1259+$X$1191)+$T$1191*COUNTIF(S1258:S1258,"&gt;0")*$C$32+$V$1191*$C$31)*$R$1191),0)</f>
        <v>0</v>
      </c>
      <c r="U1258">
        <f>IF(S1258=0,0,-(COUNTIF(S1258:S1258,"&gt;0")*$T$1191*$C$32+$V$1191*$C$31)*$H$27*$R$1191)</f>
        <v>0</v>
      </c>
      <c r="V1258">
        <f>IF(S1258=0,0,$V$1191*$H$26*$R$1191)</f>
        <v>0</v>
      </c>
      <c r="W1258">
        <f>(0.6*T1258+0.7*U1258)*$R$1191/2</f>
        <v>0</v>
      </c>
      <c r="X1258">
        <f>T1258*$R$1191/2</f>
        <v>0</v>
      </c>
      <c r="Z1258">
        <f>IF(S1258=0,0,$AD$1191*$AP$1176)</f>
        <v>0</v>
      </c>
      <c r="AA1258">
        <f>IFERROR(Z1258/$R$1191,0)</f>
        <v>0</v>
      </c>
      <c r="AB1258">
        <f>Z1258*($F$24+IF($F$24=0,0,($C$14+$C$15+IF($C$13="single",1.5,3)+3)/12))</f>
        <v>0</v>
      </c>
      <c r="AC1258">
        <f>AB1258-W1258</f>
        <v>0</v>
      </c>
      <c r="AD1258" cm="1">
        <f t="array" ref="AD1258">IFERROR(IF(AC1258&lt;0,0,AC1258/($R$1191-INDEX(hd_off,MATCH(AQ1258,hd_mark,0),0)/12)),0)</f>
        <v>0</v>
      </c>
      <c r="AE1258">
        <f>IF(S1258=0,0,$AD$1191*$AM$1176)</f>
        <v>0</v>
      </c>
      <c r="AF1258">
        <f>IFERROR(AE1258/$R$1191,0)</f>
        <v>0</v>
      </c>
      <c r="AG1258">
        <f>AE1258*($F$24+IF($F$24=0,0,($C$14+$C$15+IF($C$13="single",1.5,3)+3)/12))</f>
        <v>0</v>
      </c>
      <c r="AH1258">
        <f>AG1258-X1258</f>
        <v>0</v>
      </c>
      <c r="AI1258" cm="1">
        <f t="array" ref="AI1258">IFERROR(IF(AH1258&lt;0,0,AH1258/($R$1191-INDEX(hd_off,MATCH(AQ1258,hd_mark,0),0)/12)),0)</f>
        <v>0</v>
      </c>
      <c r="AJ1258">
        <f>MAX($F$24,$AB$1191)/$Q$1204</f>
        <v>0</v>
      </c>
      <c r="AK1258">
        <f t="shared" si="775"/>
        <v>0</v>
      </c>
      <c r="AL1258" cm="1">
        <f t="array" ref="AL1258">IFERROR(INDEX(sheath_ecap_asd,MATCH(AP1258,sheath_mark,0),0)*AK1258,0)</f>
        <v>0</v>
      </c>
      <c r="AM1258" cm="1">
        <f t="array" ref="AM1258">IFERROR(INDEX(sheath_wcap_asd,MATCH(AP1258,sheath_mark,0),0)*AK1258,0)</f>
        <v>0</v>
      </c>
      <c r="AN1258" cm="1">
        <f t="array" ref="AN1258">IFERROR(INDEX(hd_cap,MATCH(AQ1258,hd_mark,0),0),0)</f>
        <v>0</v>
      </c>
      <c r="AP1258" s="19"/>
      <c r="AQ1258" s="19"/>
      <c r="AR1258" s="100"/>
      <c r="AS1258" s="93"/>
      <c r="AT1258" s="111">
        <f>$R$1191</f>
        <v>0</v>
      </c>
      <c r="AU1258" t="str">
        <f>$Q$1176</f>
        <v>L5</v>
      </c>
      <c r="AV1258">
        <f>$E$24</f>
        <v>0</v>
      </c>
      <c r="AW1258" cm="1">
        <f t="array" ref="AW1258">IFERROR(IF(AV1258=0,0,(INDEX($C$33:$C$38,MATCH($AZ$1191,$B$33:$B$38,0),0)*(AV1259+$BA$1191)+$AW$1191*COUNTIF(AV1258:AV1258,"&gt;0")*$C$32+$AY$1191*$C$31)*$AU$1191),0)</f>
        <v>0</v>
      </c>
      <c r="AX1258">
        <f>IF(AV1258=0,0,-(COUNTIF(AV1258:AV1258,"&gt;0")*$AW$1191*$C$32+$AY$1191*$C$31)*$H$27*$AU$1191)</f>
        <v>0</v>
      </c>
      <c r="AY1258">
        <f>IF(AV1258=0,0,$AY$1191*$H$26*$AU$1191)</f>
        <v>0</v>
      </c>
      <c r="AZ1258">
        <f>(0.6*AW1258+0.7*AX1258)*$AU$1191/2</f>
        <v>0</v>
      </c>
      <c r="BA1258">
        <f>AW1258*$AU$1191/2</f>
        <v>0</v>
      </c>
      <c r="BC1258">
        <f>IF(AV1258=0,0,$BG$1191*$AP$1176)</f>
        <v>0</v>
      </c>
      <c r="BD1258">
        <f>IFERROR(BC1258/$AU$1191,0)</f>
        <v>0</v>
      </c>
      <c r="BE1258">
        <f>BC1258*($F$24+IF($F$24=0,0,($C$14+$C$15+IF($C$13="single",1.5,3)+3)/12))</f>
        <v>0</v>
      </c>
      <c r="BF1258">
        <f>BE1258-AZ1258</f>
        <v>0</v>
      </c>
      <c r="BG1258" cm="1">
        <f t="array" ref="BG1258">IFERROR(IF(BF1258&lt;0,0,BF1258/($AU$1191-INDEX(hd_off,MATCH(BT1258,hd_mark,0),0)/12)),0)</f>
        <v>0</v>
      </c>
      <c r="BH1258">
        <f>IF(AV1258=0,0,$BG$1191*$AM$1176)</f>
        <v>0</v>
      </c>
      <c r="BI1258">
        <f>IFERROR(BH1258/$AU$1191,0)</f>
        <v>0</v>
      </c>
      <c r="BJ1258">
        <f>BH1258*($F$24+IF($F$24=0,0,($C$14+$C$15+IF($C$13="single",1.5,3)+3)/12))</f>
        <v>0</v>
      </c>
      <c r="BK1258">
        <f>BJ1258-BA1258</f>
        <v>0</v>
      </c>
      <c r="BL1258" cm="1">
        <f t="array" ref="BL1258">IFERROR(IF(BK1258&lt;0,0,BK1258/($AU$1191-INDEX(hd_off,MATCH(BT1258,hd_mark,0),0)/12)),0)</f>
        <v>0</v>
      </c>
      <c r="BM1258">
        <f>MAX($F$24,$BE$1191)/$Q$1204</f>
        <v>0</v>
      </c>
      <c r="BN1258">
        <f t="shared" si="776"/>
        <v>0</v>
      </c>
      <c r="BO1258" cm="1">
        <f t="array" ref="BO1258">IFERROR(INDEX(sheath_ecap_asd,MATCH(BS1258,sheath_mark,0),0)*BN1258,0)</f>
        <v>0</v>
      </c>
      <c r="BP1258" cm="1">
        <f t="array" ref="BP1258">IFERROR(INDEX(sheath_wcap_asd,MATCH(BS1258,sheath_mark,0),0)*BN1258,0)</f>
        <v>0</v>
      </c>
      <c r="BQ1258" cm="1">
        <f t="array" ref="BQ1258">IFERROR(INDEX(hd_cap,MATCH(BT1258,hd_mark,0),0),0)</f>
        <v>0</v>
      </c>
      <c r="BS1258" s="19"/>
      <c r="BT1258" s="19"/>
      <c r="BU1258" s="100"/>
    </row>
    <row r="1259" x14ac:dyDescent="0.25">
      <c r="P1259" s="93"/>
      <c r="Q1259" s="109"/>
      <c r="R1259" t="str">
        <f>$Q$1177</f>
        <v>Roof</v>
      </c>
      <c r="S1259">
        <f>$E$25</f>
        <v>33.171875</v>
      </c>
      <c r="T1259" cm="1">
        <f t="array" ref="T1259">IFERROR(IF(S1259=0,0,(INDEX($C$33:$C$38,MATCH($W$1191,$B$33:$B$38,0),0)*(S1259+$X$1191)+$V$1191*$C$31)*$R$1191),0)</f>
        <v>0</v>
      </c>
      <c r="U1259">
        <f>IF(S1259=0,0,-$V$1191*$C$31*$H$27*$R$1191)</f>
        <v>0</v>
      </c>
      <c r="V1259">
        <f>IF(S1259=0,0,$V$1191*$H$26*$R$1191)</f>
        <v>0</v>
      </c>
      <c r="W1259">
        <f>(0.6*T1259+0.7*U1259)*$R$1191/2</f>
        <v>0</v>
      </c>
      <c r="X1259">
        <f>T1259*$R$1191/2</f>
        <v>0</v>
      </c>
      <c r="Z1259">
        <f>IF(S1259=0,0,$AD$1191*$AP$1177)</f>
        <v>0</v>
      </c>
      <c r="AA1259">
        <f>IFERROR(Z1259/$R$1191,0)</f>
        <v>0</v>
      </c>
      <c r="AB1259">
        <f>Z1259*($F$25+($C$16+$C$17+IF($C$13="single",1.5,3)+3)/12)</f>
        <v>0</v>
      </c>
      <c r="AC1259">
        <f>AB1259-W1259</f>
        <v>0</v>
      </c>
      <c r="AD1259" cm="1">
        <f t="array" ref="AD1259">IFERROR(IF(AC1259&lt;0,0,AC1259/($R$1191-INDEX(hd_off,MATCH(AQ1259,hd_mark,0),0)/12)),0)</f>
        <v>0</v>
      </c>
      <c r="AE1259">
        <f>IF(S1259=0,0,$AD$1191*$AM$1177)</f>
        <v>0</v>
      </c>
      <c r="AF1259">
        <f>IFERROR(AE1259/$R$1191,0)</f>
        <v>0</v>
      </c>
      <c r="AG1259">
        <f>AE1259*($F$25+($C$16+$C$17+IF($C$13="single",1.5,3)+3)/12)</f>
        <v>0</v>
      </c>
      <c r="AH1259">
        <f>AG1259-X1259</f>
        <v>0</v>
      </c>
      <c r="AI1259" cm="1">
        <f t="array" ref="AI1259">IFERROR(IF(AH1259&lt;0,0,AH1259/($R$1191-INDEX(hd_off,MATCH(AQ1259,hd_mark,0),0)/12)),0)</f>
        <v>0</v>
      </c>
      <c r="AJ1259">
        <f>MAX($F$25,$AC$1191)/$Q$1204</f>
        <v>0.29920977011494249</v>
      </c>
      <c r="AK1259">
        <f t="shared" si="775"/>
        <v>1</v>
      </c>
      <c r="AL1259" cm="1">
        <f t="array" ref="AL1259">IFERROR(INDEX(sheath_ecap_asd,MATCH(AP1259,sheath_mark,0),0)*AK1259,0)</f>
        <v>0</v>
      </c>
      <c r="AM1259" cm="1">
        <f t="array" ref="AM1259">IFERROR(INDEX(sheath_wcap_asd,MATCH(AP1259,sheath_mark,0),0)*AK1259,0)</f>
        <v>0</v>
      </c>
      <c r="AN1259" cm="1">
        <f t="array" ref="AN1259">IFERROR(INDEX(hd_cap,MATCH(AQ1259,hd_mark,0),0),0)</f>
        <v>0</v>
      </c>
      <c r="AP1259" s="19"/>
      <c r="AQ1259" s="19"/>
      <c r="AR1259" s="100"/>
      <c r="AS1259" s="93"/>
      <c r="AT1259" s="109"/>
      <c r="AU1259" t="str">
        <f>$Q$1177</f>
        <v>Roof</v>
      </c>
      <c r="AV1259">
        <f>$E$25</f>
        <v>33.171875</v>
      </c>
      <c r="AW1259" cm="1">
        <f t="array" ref="AW1259">IFERROR(IF(AV1259=0,0,(INDEX($C$33:$C$38,MATCH($AZ$1191,$B$33:$B$38,0),0)*(AV1259+$BA$1191)+$AY$1191*$C$31)*$AU$1191),0)</f>
        <v>0</v>
      </c>
      <c r="AX1259">
        <f>IF(AV1259=0,0,-$AY$1191*$C$31*$H$27*$AU$1191)</f>
        <v>0</v>
      </c>
      <c r="AY1259">
        <f>IF(AV1259=0,0,$AY$1191*$H$26*$AU$1191)</f>
        <v>0</v>
      </c>
      <c r="AZ1259">
        <f>(0.6*AW1259+0.7*AX1259)*$AU$1191/2</f>
        <v>0</v>
      </c>
      <c r="BA1259">
        <f>AW1259*$AU$1191/2</f>
        <v>0</v>
      </c>
      <c r="BC1259">
        <f>IF(AV1259=0,0,$BG$1191*$AP$1177)</f>
        <v>0</v>
      </c>
      <c r="BD1259">
        <f>IFERROR(BC1259/$AU$1191,0)</f>
        <v>0</v>
      </c>
      <c r="BE1259">
        <f>BC1259*($F$25+($C$16+$C$17+IF($C$13="single",1.5,3)+3)/12)</f>
        <v>0</v>
      </c>
      <c r="BF1259">
        <f>BE1259-AZ1259</f>
        <v>0</v>
      </c>
      <c r="BG1259" cm="1">
        <f t="array" ref="BG1259">IFERROR(IF(BF1259&lt;0,0,BF1259/($AU$1191-INDEX(hd_off,MATCH(BT1259,hd_mark,0),0)/12)),0)</f>
        <v>0</v>
      </c>
      <c r="BH1259">
        <f>IF(AV1259=0,0,$BG$1191*$AM$1177)</f>
        <v>0</v>
      </c>
      <c r="BI1259">
        <f>IFERROR(BH1259/$AU$1191,0)</f>
        <v>0</v>
      </c>
      <c r="BJ1259">
        <f>BH1259*($F$25+($C$16+$C$17+IF($C$13="single",1.5,3)+3)/12)</f>
        <v>0</v>
      </c>
      <c r="BK1259">
        <f>BJ1259-BA1259</f>
        <v>0</v>
      </c>
      <c r="BL1259" cm="1">
        <f t="array" ref="BL1259">IFERROR(IF(BK1259&lt;0,0,BK1259/($AU$1191-INDEX(hd_off,MATCH(BT1259,hd_mark,0),0)/12)),0)</f>
        <v>0</v>
      </c>
      <c r="BM1259">
        <f>MAX($F$25,$BF$1191)/$Q$1204</f>
        <v>0.29920977011494249</v>
      </c>
      <c r="BN1259">
        <f t="shared" si="776"/>
        <v>1</v>
      </c>
      <c r="BO1259" cm="1">
        <f t="array" ref="BO1259">IFERROR(INDEX(sheath_ecap_asd,MATCH(BS1259,sheath_mark,0),0)*BN1259,0)</f>
        <v>0</v>
      </c>
      <c r="BP1259" cm="1">
        <f t="array" ref="BP1259">IFERROR(INDEX(sheath_wcap_asd,MATCH(BS1259,sheath_mark,0),0)*BN1259,0)</f>
        <v>0</v>
      </c>
      <c r="BQ1259" cm="1">
        <f t="array" ref="BQ1259">IFERROR(INDEX(hd_cap,MATCH(BT1259,hd_mark,0),0),0)</f>
        <v>0</v>
      </c>
      <c r="BS1259" s="19"/>
      <c r="BT1259" s="19"/>
      <c r="BU1259" s="100"/>
    </row>
    <row r="1260" x14ac:dyDescent="0.25">
      <c r="P1260" s="93"/>
      <c r="AR1260" s="100"/>
      <c r="AS1260" s="93"/>
      <c r="BU1260" s="100"/>
    </row>
    <row r="1261" x14ac:dyDescent="0.25">
      <c r="P1261" s="93"/>
      <c r="Q1261" s="110" t="str">
        <f>$Q$1192</f>
        <v>A.11</v>
      </c>
      <c r="R1261" t="str">
        <f>$Q$1173</f>
        <v>L2</v>
      </c>
      <c r="S1261">
        <f>$E$21</f>
        <v>10.6875</v>
      </c>
      <c r="T1261" cm="1">
        <f t="array" ref="T1261">IFERROR(IF(S1261=0,0,(INDEX($C$33:$C$38,MATCH($W$1192,$B$33:$B$38,0),0)*(S1265+$X$1192)+$T$1192*COUNTIF(S1261:S1264,"&gt;0")*$C$32+$V$1192*$C$31)*$R$1192),0)</f>
        <v>0</v>
      </c>
      <c r="U1261">
        <f>IF(S1261=0,0,-(COUNTIF(S1261:S1264,"&gt;0")*$T$1192*$C$32+$V$1192*$C$31)*$H$27*$R$1192)</f>
        <v>0</v>
      </c>
      <c r="V1261">
        <f>IF(S1261=0,0,$V$1192*$H$26*$R$1192)</f>
        <v>0</v>
      </c>
      <c r="W1261">
        <f>(0.6*T1261+0.7*U1261)*$R$1192/2</f>
        <v>0</v>
      </c>
      <c r="X1261">
        <f>(0.6*T1261+0.6*V1261)*$R$1192/2</f>
        <v>0</v>
      </c>
      <c r="Z1261">
        <f>IF(S1261=0,0,$AD$1192*$AP$1173)</f>
        <v>0</v>
      </c>
      <c r="AA1261">
        <f>IFERROR(Z1261/$R$1192,0)</f>
        <v>0</v>
      </c>
      <c r="AB1261">
        <f>Z1261*($F$21+IF($F$21=0,0,($C$14+$C$15+IF($C$13="single",1.5,3)+3)/12))</f>
        <v>0</v>
      </c>
      <c r="AC1261">
        <f>AB1261-W1261</f>
        <v>0</v>
      </c>
      <c r="AD1261" cm="1">
        <f t="array" ref="AD1261">IFERROR(IF(AC1261&lt;0,0,AC1261/($R$1192-INDEX(hd_off,MATCH(AQ1261,hd_mark,0),0)/12)),0)</f>
        <v>0</v>
      </c>
      <c r="AE1261">
        <f>IF(S1261=0,0,$AD$1192*$AM$1173)</f>
        <v>0</v>
      </c>
      <c r="AF1261">
        <f>IFERROR(AE1261/$R$1192,0)</f>
        <v>0</v>
      </c>
      <c r="AG1261">
        <f>AE1261*($F$21+IF($F$21=0,0,($C$14+$C$15+IF($C$13="single",1.5,3)+3)/12))</f>
        <v>0</v>
      </c>
      <c r="AH1261">
        <f>AG1261-X1261</f>
        <v>0</v>
      </c>
      <c r="AI1261" cm="1">
        <f t="array" ref="AI1261">IFERROR(IF(AH1261&lt;0,0,AH1261/($R$1192-INDEX(hd_off,MATCH(AQ1261,hd_mark,0),0)/12)),0)</f>
        <v>0</v>
      </c>
      <c r="AJ1261">
        <f>MAX($F$21,$Y$1192)/$Q$1204</f>
        <v>0.30172413793103448</v>
      </c>
      <c r="AK1261">
        <f>IF(AJ1261=0,0,IF(AJ1261&gt;2,1.25-0.125*AJ1261,1))</f>
        <v>1</v>
      </c>
      <c r="AL1261" cm="1">
        <f t="array" ref="AL1261">IFERROR(INDEX(sheath_ecap_asd,MATCH(AP1261,sheath_mark,0),0)*AK1261,0)</f>
        <v>0</v>
      </c>
      <c r="AM1261" cm="1">
        <f t="array" ref="AM1261">IFERROR(INDEX(sheath_wcap_asd,MATCH(AP1261,sheath_mark,0),0)*AK1261,0)</f>
        <v>0</v>
      </c>
      <c r="AN1261" cm="1">
        <f t="array" ref="AN1261">IFERROR(INDEX(hd_cap,MATCH(AQ1261,hd_mark,0),0),0)</f>
        <v>0</v>
      </c>
      <c r="AP1261" s="19"/>
      <c r="AQ1261" s="19"/>
      <c r="AR1261" s="100"/>
      <c r="AS1261" s="93"/>
      <c r="AT1261" s="110" t="str">
        <f>$AT$1192</f>
        <v>1.11</v>
      </c>
      <c r="AU1261" t="str">
        <f>$Q$1173</f>
        <v>L2</v>
      </c>
      <c r="AV1261">
        <f>$E$21</f>
        <v>10.6875</v>
      </c>
      <c r="AW1261" cm="1">
        <f t="array" ref="AW1261">IFERROR(IF(AV1261=0,0,(INDEX($C$33:$C$38,MATCH($AZ$1192,$B$33:$B$38,0),0)*(AV1265+$BA$1192)+$AW$1192*COUNTIF(AV1261:AV1264,"&gt;0")*$C$32+$AY$1192*$C$31)*$AU$1192),0)</f>
        <v>0</v>
      </c>
      <c r="AX1261">
        <f>IF(AV1261=0,0,-(COUNTIF(AV1261:AV1264,"&gt;0")*$AW$1192*$C$32+$AY$1192*$C$31)*$H$27*$AU$1192)</f>
        <v>0</v>
      </c>
      <c r="AY1261">
        <f>IF(AV1261=0,0,$AY$1192*$H$26*$AU$1192)</f>
        <v>0</v>
      </c>
      <c r="AZ1261">
        <f>(0.6*AW1261+0.7*AX1261)*$AU$1192/2</f>
        <v>0</v>
      </c>
      <c r="BA1261">
        <f>(0.6*AW1261+0.6*AY1261)*$AU$1192/2</f>
        <v>0</v>
      </c>
      <c r="BC1261">
        <f>IF(AV1261=0,0,$BG$1192*$AP$1173)</f>
        <v>0</v>
      </c>
      <c r="BD1261">
        <f>IFERROR(BC1261/$AU$1192,0)</f>
        <v>0</v>
      </c>
      <c r="BE1261">
        <f>BC1261*($F$21+IF($F$21=0,0,($C$14+$C$15+IF($C$13="single",1.5,3)+3)/12))</f>
        <v>0</v>
      </c>
      <c r="BF1261">
        <f>BE1261-AZ1261</f>
        <v>0</v>
      </c>
      <c r="BG1261" cm="1">
        <f t="array" ref="BG1261">IFERROR(IF(BF1261&lt;0,0,BF1261/($AU$1192-INDEX(hd_off,MATCH(BT1261,hd_mark,0),0)/12)),0)</f>
        <v>0</v>
      </c>
      <c r="BH1261">
        <f>IF(AV1261=0,0,$BG$1192*$AM$1173)</f>
        <v>0</v>
      </c>
      <c r="BI1261">
        <f>IFERROR(BH1261/$AU$1192,0)</f>
        <v>0</v>
      </c>
      <c r="BJ1261">
        <f>BH1261*($F$21+IF($F$21=0,0,($C$14+$C$15+IF($C$13="single",1.5,3)+3)/12))</f>
        <v>0</v>
      </c>
      <c r="BK1261">
        <f>BJ1261-BA1261</f>
        <v>0</v>
      </c>
      <c r="BL1261" cm="1">
        <f t="array" ref="BL1261">IFERROR(IF(BK1261&lt;0,0,BK1261/($AU$1192-INDEX(hd_off,MATCH(BT1261,hd_mark,0),0)/12)),0)</f>
        <v>0</v>
      </c>
      <c r="BM1261">
        <f>MAX($F$21,$BB$1192)/$Q$1204</f>
        <v>0.30172413793103448</v>
      </c>
      <c r="BN1261">
        <f>IF(BM1261=0,0,IF(BM1261&gt;2,1.25-0.125*BM1261,1))</f>
        <v>1</v>
      </c>
      <c r="BO1261" cm="1">
        <f t="array" ref="BO1261">IFERROR(INDEX(sheath_ecap_asd,MATCH(BS1261,sheath_mark,0),0)*BN1261,0)</f>
        <v>0</v>
      </c>
      <c r="BP1261" cm="1">
        <f t="array" ref="BP1261">IFERROR(INDEX(sheath_wcap_asd,MATCH(BS1261,sheath_mark,0),0)*BN1261,0)</f>
        <v>0</v>
      </c>
      <c r="BQ1261" cm="1">
        <f t="array" ref="BQ1261">IFERROR(INDEX(hd_cap,MATCH(BT1261,hd_mark,0),0),0)</f>
        <v>0</v>
      </c>
      <c r="BS1261" s="19"/>
      <c r="BT1261" s="19"/>
      <c r="BU1261" s="100"/>
    </row>
    <row r="1262" x14ac:dyDescent="0.25">
      <c r="P1262" s="93"/>
      <c r="Q1262" s="109"/>
      <c r="R1262" t="str">
        <f>$Q$1174</f>
        <v>L3</v>
      </c>
      <c r="S1262">
        <f>$E$22</f>
        <v>21.375</v>
      </c>
      <c r="T1262" cm="1">
        <f t="array" ref="T1262">IFERROR(IF(S1262=0,0,(INDEX($C$33:$C$38,MATCH($W$1192,$B$33:$B$38,0),0)*(S1265+$X$1192)+$T$1192*COUNTIF(S1262:S1264,"&gt;0")*$C$32+$V$1192*$C$31)*$R$1192),0)</f>
        <v>0</v>
      </c>
      <c r="U1262">
        <f>IF(S1262=0,0,-(COUNTIF(S1262:S1264,"&gt;0")*$T$1192*$C$32+$V$1192*$C$31)*$H$27*$R$1192)</f>
        <v>0</v>
      </c>
      <c r="V1262">
        <f>IF(S1262=0,0,$V$1192*$H$26*$R$1192)</f>
        <v>0</v>
      </c>
      <c r="W1262">
        <f>(0.6*T1262+0.7*U1262)*$R$1192/2</f>
        <v>0</v>
      </c>
      <c r="X1262">
        <f>T1262*$R$1192/2</f>
        <v>0</v>
      </c>
      <c r="Z1262">
        <f>IF(S1262=0,0,$AD$1192*$AP$1174)</f>
        <v>0</v>
      </c>
      <c r="AA1262">
        <f>IFERROR(Z1262/$R$1192,0)</f>
        <v>0</v>
      </c>
      <c r="AB1262">
        <f>Z1262*($F$22+IF($F$22=0,0,($C$14+$C$15+IF($C$13="single",1.5,3)+3)/12))</f>
        <v>0</v>
      </c>
      <c r="AC1262">
        <f>AB1262-W1262</f>
        <v>0</v>
      </c>
      <c r="AD1262" cm="1">
        <f t="array" ref="AD1262">IFERROR(IF(AC1262&lt;0,0,AC1262/($R$1192-INDEX(hd_off,MATCH(AQ1262,hd_mark,0),0)/12)),0)</f>
        <v>0</v>
      </c>
      <c r="AE1262">
        <f>IF(S1262=0,0,$AD$1192*$AM$1174)</f>
        <v>0</v>
      </c>
      <c r="AF1262">
        <f>IFERROR(AE1262/$R$1192,0)</f>
        <v>0</v>
      </c>
      <c r="AG1262">
        <f>AE1262*($F$22+IF($F$22=0,0,($C$14+$C$15+IF($C$13="single",1.5,3)+3)/12))</f>
        <v>0</v>
      </c>
      <c r="AH1262">
        <f>AG1262-X1262</f>
        <v>0</v>
      </c>
      <c r="AI1262" cm="1">
        <f t="array" ref="AI1262">IFERROR(IF(AH1262&lt;0,0,AH1262/($R$1192-INDEX(hd_off,MATCH(AQ1262,hd_mark,0),0)/12)),0)</f>
        <v>0</v>
      </c>
      <c r="AJ1262">
        <f>MAX($F$22,$Z$1192)/$Q$1204</f>
        <v>0.30172413793103448</v>
      </c>
      <c r="AK1262">
        <f t="shared" ref="AK1262:AK1265" si="777">IF(AJ1262=0,0,IF(AJ1262&gt;2,1.25-0.125*AJ1262,1))</f>
        <v>1</v>
      </c>
      <c r="AL1262" cm="1">
        <f t="array" ref="AL1262">IFERROR(INDEX(sheath_ecap_asd,MATCH(AP1262,sheath_mark,0),0)*AK1262,0)</f>
        <v>0</v>
      </c>
      <c r="AM1262" cm="1">
        <f t="array" ref="AM1262">IFERROR(INDEX(sheath_wcap_asd,MATCH(AP1262,sheath_mark,0),0)*AK1262,0)</f>
        <v>0</v>
      </c>
      <c r="AN1262" cm="1">
        <f t="array" ref="AN1262">IFERROR(INDEX(hd_cap,MATCH(AQ1262,hd_mark,0),0),0)</f>
        <v>0</v>
      </c>
      <c r="AP1262" s="19"/>
      <c r="AQ1262" s="19"/>
      <c r="AR1262" s="100"/>
      <c r="AS1262" s="93"/>
      <c r="AT1262" s="109"/>
      <c r="AU1262" t="str">
        <f>$Q$1174</f>
        <v>L3</v>
      </c>
      <c r="AV1262">
        <f>$E$22</f>
        <v>21.375</v>
      </c>
      <c r="AW1262" cm="1">
        <f t="array" ref="AW1262">IFERROR(IF(AV1262=0,0,(INDEX($C$33:$C$38,MATCH($AZ$1192,$B$33:$B$38,0),0)*(AV1265+$BA$1192)+$AW$1192*COUNTIF(AV1262:AV1264,"&gt;0")*$C$32+$AY$1192*$C$31)*$AU$1192),0)</f>
        <v>0</v>
      </c>
      <c r="AX1262">
        <f>IF(AV1262=0,0,-(COUNTIF(AV1262:AV1264,"&gt;0")*$AW$1192*$C$32+$AY$1192*$C$31)*$H$27*$AU$1192)</f>
        <v>0</v>
      </c>
      <c r="AY1262">
        <f>IF(AV1262=0,0,$AY$1192*$H$26*$AU$1192)</f>
        <v>0</v>
      </c>
      <c r="AZ1262">
        <f>(0.6*AW1262+0.7*AX1262)*$AU$1192/2</f>
        <v>0</v>
      </c>
      <c r="BA1262">
        <f>AW1262*$AU$1192/2</f>
        <v>0</v>
      </c>
      <c r="BC1262">
        <f>IF(AV1262=0,0,$BG$1192*$AP$1174)</f>
        <v>0</v>
      </c>
      <c r="BD1262">
        <f>IFERROR(BC1262/$AU$1192,0)</f>
        <v>0</v>
      </c>
      <c r="BE1262">
        <f>BC1262*($F$22+IF($F$22=0,0,($C$14+$C$15+IF($C$13="single",1.5,3)+3)/12))</f>
        <v>0</v>
      </c>
      <c r="BF1262">
        <f>BE1262-AZ1262</f>
        <v>0</v>
      </c>
      <c r="BG1262" cm="1">
        <f t="array" ref="BG1262">IFERROR(IF(BF1262&lt;0,0,BF1262/($AU$1192-INDEX(hd_off,MATCH(BT1262,hd_mark,0),0)/12)),0)</f>
        <v>0</v>
      </c>
      <c r="BH1262">
        <f>IF(AV1262=0,0,$BG$1192*$AM$1174)</f>
        <v>0</v>
      </c>
      <c r="BI1262">
        <f>IFERROR(BH1262/$AU$1192,0)</f>
        <v>0</v>
      </c>
      <c r="BJ1262">
        <f>BH1262*($F$22+IF($F$22=0,0,($C$14+$C$15+IF($C$13="single",1.5,3)+3)/12))</f>
        <v>0</v>
      </c>
      <c r="BK1262">
        <f>BJ1262-BA1262</f>
        <v>0</v>
      </c>
      <c r="BL1262" cm="1">
        <f t="array" ref="BL1262">IFERROR(IF(BK1262&lt;0,0,BK1262/($AU$1192-INDEX(hd_off,MATCH(BT1262,hd_mark,0),0)/12)),0)</f>
        <v>0</v>
      </c>
      <c r="BM1262">
        <f>MAX($F$22,$BC$1192)/$Q$1204</f>
        <v>0.30172413793103448</v>
      </c>
      <c r="BN1262">
        <f t="shared" ref="BN1262:BN1265" si="778">IF(BM1262=0,0,IF(BM1262&gt;2,1.25-0.125*BM1262,1))</f>
        <v>1</v>
      </c>
      <c r="BO1262" cm="1">
        <f t="array" ref="BO1262">IFERROR(INDEX(sheath_ecap_asd,MATCH(BS1262,sheath_mark,0),0)*BN1262,0)</f>
        <v>0</v>
      </c>
      <c r="BP1262" cm="1">
        <f t="array" ref="BP1262">IFERROR(INDEX(sheath_wcap_asd,MATCH(BS1262,sheath_mark,0),0)*BN1262,0)</f>
        <v>0</v>
      </c>
      <c r="BQ1262" cm="1">
        <f t="array" ref="BQ1262">IFERROR(INDEX(hd_cap,MATCH(BT1262,hd_mark,0),0),0)</f>
        <v>0</v>
      </c>
      <c r="BS1262" s="19"/>
      <c r="BT1262" s="19"/>
      <c r="BU1262" s="100"/>
    </row>
    <row r="1263" x14ac:dyDescent="0.25">
      <c r="P1263" s="93"/>
      <c r="Q1263" s="109" t="s">
        <v>491</v>
      </c>
      <c r="R1263" t="str">
        <f>$Q$1175</f>
        <v>L4</v>
      </c>
      <c r="S1263">
        <f>$E$23</f>
        <v>0</v>
      </c>
      <c r="T1263" cm="1">
        <f t="array" ref="T1263">IFERROR(IF(S1263=0,0,(INDEX($C$33:$C$38,MATCH($W$1192,$B$33:$B$38,0),0)*(S1265+$X$1192)+$T$1192*COUNTIF(S1263:S1264,"&gt;0")*$C$32+$V$1192*$C$31)*$R$1192),0)</f>
        <v>0</v>
      </c>
      <c r="U1263">
        <f>IF(S1263=0,0,-(COUNTIF(S1263:S1264,"&gt;0")*$T$1192*$C$32+$V$1192*$C$31)*$H$27*$R$1192)</f>
        <v>0</v>
      </c>
      <c r="V1263">
        <f>IF(S1263=0,0,$V$1192*$H$26*$R$1192)</f>
        <v>0</v>
      </c>
      <c r="W1263">
        <f>(0.6*T1263+0.7*U1263)*$R$1192/2</f>
        <v>0</v>
      </c>
      <c r="X1263">
        <f>T1263*$R$1192/2</f>
        <v>0</v>
      </c>
      <c r="Z1263">
        <f>IF(S1263=0,0,$AD$1192*$AP$1175)</f>
        <v>0</v>
      </c>
      <c r="AA1263">
        <f>IFERROR(Z1263/$R$1192,0)</f>
        <v>0</v>
      </c>
      <c r="AB1263">
        <f>Z1263*($F$23+IF($F$23=0,0,($C$14+$C$15+IF($C$13="single",1.5,3)+3)/12))</f>
        <v>0</v>
      </c>
      <c r="AC1263">
        <f>AB1263-W1263</f>
        <v>0</v>
      </c>
      <c r="AD1263" cm="1">
        <f t="array" ref="AD1263">IFERROR(IF(AC1263&lt;0,0,AC1263/($R$1192-INDEX(hd_off,MATCH(AQ1263,hd_mark,0),0)/12)),0)</f>
        <v>0</v>
      </c>
      <c r="AE1263">
        <f>IF(S1263=0,0,$AD$1192*$AM$1175)</f>
        <v>0</v>
      </c>
      <c r="AF1263">
        <f>IFERROR(AE1263/$R$1192,0)</f>
        <v>0</v>
      </c>
      <c r="AG1263">
        <f>AE1263*($F$23+IF($F$23=0,0,($C$14+$C$15+IF($C$13="single",1.5,3)+3)/12))</f>
        <v>0</v>
      </c>
      <c r="AH1263">
        <f>AG1263-X1263</f>
        <v>0</v>
      </c>
      <c r="AI1263" cm="1">
        <f t="array" ref="AI1263">IFERROR(IF(AH1263&lt;0,0,AH1263/($R$1192-INDEX(hd_off,MATCH(AQ1263,hd_mark,0),0)/12)),0)</f>
        <v>0</v>
      </c>
      <c r="AJ1263">
        <f>MAX($F$23,$AA$1192)/$Q$1204</f>
        <v>0</v>
      </c>
      <c r="AK1263">
        <f t="shared" si="777"/>
        <v>0</v>
      </c>
      <c r="AL1263" cm="1">
        <f t="array" ref="AL1263">IFERROR(INDEX(sheath_ecap_asd,MATCH(AP1263,sheath_mark,0),0)*AK1263,0)</f>
        <v>0</v>
      </c>
      <c r="AM1263" cm="1">
        <f t="array" ref="AM1263">IFERROR(INDEX(sheath_wcap_asd,MATCH(AP1263,sheath_mark,0),0)*AK1263,0)</f>
        <v>0</v>
      </c>
      <c r="AN1263" cm="1">
        <f t="array" ref="AN1263">IFERROR(INDEX(hd_cap,MATCH(AQ1263,hd_mark,0),0),0)</f>
        <v>0</v>
      </c>
      <c r="AP1263" s="19"/>
      <c r="AQ1263" s="19"/>
      <c r="AR1263" s="100"/>
      <c r="AS1263" s="93"/>
      <c r="AT1263" s="109" t="s">
        <v>491</v>
      </c>
      <c r="AU1263" t="str">
        <f>$Q$1175</f>
        <v>L4</v>
      </c>
      <c r="AV1263">
        <f>$E$23</f>
        <v>0</v>
      </c>
      <c r="AW1263" cm="1">
        <f t="array" ref="AW1263">IFERROR(IF(AV1263=0,0,(INDEX($C$33:$C$38,MATCH($AZ$1192,$B$33:$B$38,0),0)*(AV1265+$BA$1192)+$AW$1192*COUNTIF(AV1263:AV1264,"&gt;0")*$C$32+$AY$1192*$C$31)*$AU$1192),0)</f>
        <v>0</v>
      </c>
      <c r="AX1263">
        <f>IF(AV1263=0,0,-(COUNTIF(AV1263:AV1264,"&gt;0")*$AW$1192*$C$32+$AY$1192*$C$31)*$H$27*$AU$1192)</f>
        <v>0</v>
      </c>
      <c r="AY1263">
        <f>IF(AV1263=0,0,$AY$1192*$H$26*$AU$1192)</f>
        <v>0</v>
      </c>
      <c r="AZ1263">
        <f>(0.6*AW1263+0.7*AX1263)*$AU$1192/2</f>
        <v>0</v>
      </c>
      <c r="BA1263">
        <f>AW1263*$AU$1192/2</f>
        <v>0</v>
      </c>
      <c r="BC1263">
        <f>IF(AV1263=0,0,$BG$1192*$AP$1175)</f>
        <v>0</v>
      </c>
      <c r="BD1263">
        <f>IFERROR(BC1263/$AU$1192,0)</f>
        <v>0</v>
      </c>
      <c r="BE1263">
        <f>BC1263*($F$23+IF($F$23=0,0,($C$14+$C$15+IF($C$13="single",1.5,3)+3)/12))</f>
        <v>0</v>
      </c>
      <c r="BF1263">
        <f>BE1263-AZ1263</f>
        <v>0</v>
      </c>
      <c r="BG1263" cm="1">
        <f t="array" ref="BG1263">IFERROR(IF(BF1263&lt;0,0,BF1263/($AU$1192-INDEX(hd_off,MATCH(BT1263,hd_mark,0),0)/12)),0)</f>
        <v>0</v>
      </c>
      <c r="BH1263">
        <f>IF(AV1263=0,0,$BG$1192*$AM$1175)</f>
        <v>0</v>
      </c>
      <c r="BI1263">
        <f>IFERROR(BH1263/$AU$1192,0)</f>
        <v>0</v>
      </c>
      <c r="BJ1263">
        <f>BH1263*($F$23+IF($F$23=0,0,($C$14+$C$15+IF($C$13="single",1.5,3)+3)/12))</f>
        <v>0</v>
      </c>
      <c r="BK1263">
        <f>BJ1263-BA1263</f>
        <v>0</v>
      </c>
      <c r="BL1263" cm="1">
        <f t="array" ref="BL1263">IFERROR(IF(BK1263&lt;0,0,BK1263/($AU$1192-INDEX(hd_off,MATCH(BT1263,hd_mark,0),0)/12)),0)</f>
        <v>0</v>
      </c>
      <c r="BM1263">
        <f>MAX($F$23,$BD$1192)/$Q$1204</f>
        <v>0</v>
      </c>
      <c r="BN1263">
        <f t="shared" si="778"/>
        <v>0</v>
      </c>
      <c r="BO1263" cm="1">
        <f t="array" ref="BO1263">IFERROR(INDEX(sheath_ecap_asd,MATCH(BS1263,sheath_mark,0),0)*BN1263,0)</f>
        <v>0</v>
      </c>
      <c r="BP1263" cm="1">
        <f t="array" ref="BP1263">IFERROR(INDEX(sheath_wcap_asd,MATCH(BS1263,sheath_mark,0),0)*BN1263,0)</f>
        <v>0</v>
      </c>
      <c r="BQ1263" cm="1">
        <f t="array" ref="BQ1263">IFERROR(INDEX(hd_cap,MATCH(BT1263,hd_mark,0),0),0)</f>
        <v>0</v>
      </c>
      <c r="BS1263" s="19"/>
      <c r="BT1263" s="19"/>
      <c r="BU1263" s="100"/>
    </row>
    <row r="1264" x14ac:dyDescent="0.25">
      <c r="P1264" s="93"/>
      <c r="Q1264" s="111">
        <f>$R$1192</f>
        <v>0</v>
      </c>
      <c r="R1264" t="str">
        <f>$Q$1176</f>
        <v>L5</v>
      </c>
      <c r="S1264">
        <f>$E$24</f>
        <v>0</v>
      </c>
      <c r="T1264" cm="1">
        <f t="array" ref="T1264">IFERROR(IF(S1264=0,0,(INDEX($C$33:$C$38,MATCH($W$1192,$B$33:$B$38,0),0)*(S1265+$X$1192)+$T$1192*COUNTIF(S1264:S1264,"&gt;0")*$C$32+$V$1192*$C$31)*$R$1192),0)</f>
        <v>0</v>
      </c>
      <c r="U1264">
        <f>IF(S1264=0,0,-(COUNTIF(S1264:S1264,"&gt;0")*$T$1192*$C$32+$V$1192*$C$31)*$H$27*$R$1192)</f>
        <v>0</v>
      </c>
      <c r="V1264">
        <f>IF(S1264=0,0,$V$1192*$H$26*$R$1192)</f>
        <v>0</v>
      </c>
      <c r="W1264">
        <f>(0.6*T1264+0.7*U1264)*$R$1192/2</f>
        <v>0</v>
      </c>
      <c r="X1264">
        <f>T1264*$R$1192/2</f>
        <v>0</v>
      </c>
      <c r="Z1264">
        <f>IF(S1264=0,0,$AD$1192*$AP$1176)</f>
        <v>0</v>
      </c>
      <c r="AA1264">
        <f>IFERROR(Z1264/$R$1192,0)</f>
        <v>0</v>
      </c>
      <c r="AB1264">
        <f>Z1264*($F$24+IF($F$24=0,0,($C$14+$C$15+IF($C$13="single",1.5,3)+3)/12))</f>
        <v>0</v>
      </c>
      <c r="AC1264">
        <f>AB1264-W1264</f>
        <v>0</v>
      </c>
      <c r="AD1264" cm="1">
        <f t="array" ref="AD1264">IFERROR(IF(AC1264&lt;0,0,AC1264/($R$1192-INDEX(hd_off,MATCH(AQ1264,hd_mark,0),0)/12)),0)</f>
        <v>0</v>
      </c>
      <c r="AE1264">
        <f>IF(S1264=0,0,$AD$1192*$AM$1176)</f>
        <v>0</v>
      </c>
      <c r="AF1264">
        <f>IFERROR(AE1264/$R$1192,0)</f>
        <v>0</v>
      </c>
      <c r="AG1264">
        <f>AE1264*($F$24+IF($F$24=0,0,($C$14+$C$15+IF($C$13="single",1.5,3)+3)/12))</f>
        <v>0</v>
      </c>
      <c r="AH1264">
        <f>AG1264-X1264</f>
        <v>0</v>
      </c>
      <c r="AI1264" cm="1">
        <f t="array" ref="AI1264">IFERROR(IF(AH1264&lt;0,0,AH1264/($R$1192-INDEX(hd_off,MATCH(AQ1264,hd_mark,0),0)/12)),0)</f>
        <v>0</v>
      </c>
      <c r="AJ1264">
        <f>MAX($F$24,$AB$1192)/$Q$1204</f>
        <v>0</v>
      </c>
      <c r="AK1264">
        <f t="shared" si="777"/>
        <v>0</v>
      </c>
      <c r="AL1264" cm="1">
        <f t="array" ref="AL1264">IFERROR(INDEX(sheath_ecap_asd,MATCH(AP1264,sheath_mark,0),0)*AK1264,0)</f>
        <v>0</v>
      </c>
      <c r="AM1264" cm="1">
        <f t="array" ref="AM1264">IFERROR(INDEX(sheath_wcap_asd,MATCH(AP1264,sheath_mark,0),0)*AK1264,0)</f>
        <v>0</v>
      </c>
      <c r="AN1264" cm="1">
        <f t="array" ref="AN1264">IFERROR(INDEX(hd_cap,MATCH(AQ1264,hd_mark,0),0),0)</f>
        <v>0</v>
      </c>
      <c r="AP1264" s="19"/>
      <c r="AQ1264" s="19"/>
      <c r="AR1264" s="100"/>
      <c r="AS1264" s="93"/>
      <c r="AT1264" s="111">
        <f>$R$1192</f>
        <v>0</v>
      </c>
      <c r="AU1264" t="str">
        <f>$Q$1176</f>
        <v>L5</v>
      </c>
      <c r="AV1264">
        <f>$E$24</f>
        <v>0</v>
      </c>
      <c r="AW1264" cm="1">
        <f t="array" ref="AW1264">IFERROR(IF(AV1264=0,0,(INDEX($C$33:$C$38,MATCH($AZ$1192,$B$33:$B$38,0),0)*(AV1265+$BA$1192)+$AW$1192*COUNTIF(AV1264:AV1264,"&gt;0")*$C$32+$AY$1192*$C$31)*$AU$1192),0)</f>
        <v>0</v>
      </c>
      <c r="AX1264">
        <f>IF(AV1264=0,0,-(COUNTIF(AV1264:AV1264,"&gt;0")*$AW$1192*$C$32+$AY$1192*$C$31)*$H$27*$AU$1192)</f>
        <v>0</v>
      </c>
      <c r="AY1264">
        <f>IF(AV1264=0,0,$AY$1192*$H$26*$AU$1192)</f>
        <v>0</v>
      </c>
      <c r="AZ1264">
        <f>(0.6*AW1264+0.7*AX1264)*$AU$1192/2</f>
        <v>0</v>
      </c>
      <c r="BA1264">
        <f>AW1264*$AU$1192/2</f>
        <v>0</v>
      </c>
      <c r="BC1264">
        <f>IF(AV1264=0,0,$BG$1192*$AP$1176)</f>
        <v>0</v>
      </c>
      <c r="BD1264">
        <f>IFERROR(BC1264/$AU$1192,0)</f>
        <v>0</v>
      </c>
      <c r="BE1264">
        <f>BC1264*($F$24+IF($F$24=0,0,($C$14+$C$15+IF($C$13="single",1.5,3)+3)/12))</f>
        <v>0</v>
      </c>
      <c r="BF1264">
        <f>BE1264-AZ1264</f>
        <v>0</v>
      </c>
      <c r="BG1264" cm="1">
        <f t="array" ref="BG1264">IFERROR(IF(BF1264&lt;0,0,BF1264/($AU$1192-INDEX(hd_off,MATCH(BT1264,hd_mark,0),0)/12)),0)</f>
        <v>0</v>
      </c>
      <c r="BH1264">
        <f>IF(AV1264=0,0,$BG$1192*$AM$1176)</f>
        <v>0</v>
      </c>
      <c r="BI1264">
        <f>IFERROR(BH1264/$AU$1192,0)</f>
        <v>0</v>
      </c>
      <c r="BJ1264">
        <f>BH1264*($F$24+IF($F$24=0,0,($C$14+$C$15+IF($C$13="single",1.5,3)+3)/12))</f>
        <v>0</v>
      </c>
      <c r="BK1264">
        <f>BJ1264-BA1264</f>
        <v>0</v>
      </c>
      <c r="BL1264" cm="1">
        <f t="array" ref="BL1264">IFERROR(IF(BK1264&lt;0,0,BK1264/($AU$1192-INDEX(hd_off,MATCH(BT1264,hd_mark,0),0)/12)),0)</f>
        <v>0</v>
      </c>
      <c r="BM1264">
        <f>MAX($F$24,$BE$1192)/$Q$1204</f>
        <v>0</v>
      </c>
      <c r="BN1264">
        <f t="shared" si="778"/>
        <v>0</v>
      </c>
      <c r="BO1264" cm="1">
        <f t="array" ref="BO1264">IFERROR(INDEX(sheath_ecap_asd,MATCH(BS1264,sheath_mark,0),0)*BN1264,0)</f>
        <v>0</v>
      </c>
      <c r="BP1264" cm="1">
        <f t="array" ref="BP1264">IFERROR(INDEX(sheath_wcap_asd,MATCH(BS1264,sheath_mark,0),0)*BN1264,0)</f>
        <v>0</v>
      </c>
      <c r="BQ1264" cm="1">
        <f t="array" ref="BQ1264">IFERROR(INDEX(hd_cap,MATCH(BT1264,hd_mark,0),0),0)</f>
        <v>0</v>
      </c>
      <c r="BS1264" s="19"/>
      <c r="BT1264" s="19"/>
      <c r="BU1264" s="100"/>
    </row>
    <row r="1265" x14ac:dyDescent="0.25">
      <c r="P1265" s="93"/>
      <c r="Q1265" s="109"/>
      <c r="R1265" t="str">
        <f>$Q$1177</f>
        <v>Roof</v>
      </c>
      <c r="S1265">
        <f>$E$25</f>
        <v>33.171875</v>
      </c>
      <c r="T1265" cm="1">
        <f t="array" ref="T1265">IFERROR(IF(S1265=0,0,(INDEX($C$33:$C$38,MATCH($W$1192,$B$33:$B$38,0),0)*(S1265+$X$1192)+$V$1192*$C$31)*$R$1192),0)</f>
        <v>0</v>
      </c>
      <c r="U1265">
        <f>IF(S1265=0,0,-$V$1192*$C$31*$H$27*$R$1192)</f>
        <v>0</v>
      </c>
      <c r="V1265">
        <f>IF(S1265=0,0,$V$1192*$H$26*$R$1192)</f>
        <v>0</v>
      </c>
      <c r="W1265">
        <f>(0.6*T1265+0.7*U1265)*$R$1192/2</f>
        <v>0</v>
      </c>
      <c r="X1265">
        <f>T1265*$R$1192/2</f>
        <v>0</v>
      </c>
      <c r="Z1265">
        <f>IF(S1265=0,0,$AD$1192*$AP$1177)</f>
        <v>0</v>
      </c>
      <c r="AA1265">
        <f>IFERROR(Z1265/$R$1192,0)</f>
        <v>0</v>
      </c>
      <c r="AB1265">
        <f>Z1265*($F$25+($C$16+$C$17+IF($C$13="single",1.5,3)+3)/12)</f>
        <v>0</v>
      </c>
      <c r="AC1265">
        <f>AB1265-W1265</f>
        <v>0</v>
      </c>
      <c r="AD1265" cm="1">
        <f t="array" ref="AD1265">IFERROR(IF(AC1265&lt;0,0,AC1265/($R$1192-INDEX(hd_off,MATCH(AQ1265,hd_mark,0),0)/12)),0)</f>
        <v>0</v>
      </c>
      <c r="AE1265">
        <f>IF(S1265=0,0,$AD$1192*$AM$1177)</f>
        <v>0</v>
      </c>
      <c r="AF1265">
        <f>IFERROR(AE1265/$R$1192,0)</f>
        <v>0</v>
      </c>
      <c r="AG1265">
        <f>AE1265*($F$25+($C$16+$C$17+IF($C$13="single",1.5,3)+3)/12)</f>
        <v>0</v>
      </c>
      <c r="AH1265">
        <f>AG1265-X1265</f>
        <v>0</v>
      </c>
      <c r="AI1265" cm="1">
        <f t="array" ref="AI1265">IFERROR(IF(AH1265&lt;0,0,AH1265/($R$1192-INDEX(hd_off,MATCH(AQ1265,hd_mark,0),0)/12)),0)</f>
        <v>0</v>
      </c>
      <c r="AJ1265">
        <f>MAX($F$25,$AC$1192)/$Q$1204</f>
        <v>0.29920977011494249</v>
      </c>
      <c r="AK1265">
        <f t="shared" si="777"/>
        <v>1</v>
      </c>
      <c r="AL1265" cm="1">
        <f t="array" ref="AL1265">IFERROR(INDEX(sheath_ecap_asd,MATCH(AP1265,sheath_mark,0),0)*AK1265,0)</f>
        <v>0</v>
      </c>
      <c r="AM1265" cm="1">
        <f t="array" ref="AM1265">IFERROR(INDEX(sheath_wcap_asd,MATCH(AP1265,sheath_mark,0),0)*AK1265,0)</f>
        <v>0</v>
      </c>
      <c r="AN1265" cm="1">
        <f t="array" ref="AN1265">IFERROR(INDEX(hd_cap,MATCH(AQ1265,hd_mark,0),0),0)</f>
        <v>0</v>
      </c>
      <c r="AP1265" s="19"/>
      <c r="AQ1265" s="19"/>
      <c r="AR1265" s="100"/>
      <c r="AS1265" s="93"/>
      <c r="AT1265" s="109"/>
      <c r="AU1265" t="str">
        <f>$Q$1177</f>
        <v>Roof</v>
      </c>
      <c r="AV1265">
        <f>$E$25</f>
        <v>33.171875</v>
      </c>
      <c r="AW1265" cm="1">
        <f t="array" ref="AW1265">IFERROR(IF(AV1265=0,0,(INDEX($C$33:$C$38,MATCH($AZ$1192,$B$33:$B$38,0),0)*(AV1265+$BA$1192)+$AY$1192*$C$31)*$AU$1192),0)</f>
        <v>0</v>
      </c>
      <c r="AX1265">
        <f>IF(AV1265=0,0,-$AY$1192*$C$31*$H$27*$AU$1192)</f>
        <v>0</v>
      </c>
      <c r="AY1265">
        <f>IF(AV1265=0,0,$AY$1192*$H$26*$AU$1192)</f>
        <v>0</v>
      </c>
      <c r="AZ1265">
        <f>(0.6*AW1265+0.7*AX1265)*$AU$1192/2</f>
        <v>0</v>
      </c>
      <c r="BA1265">
        <f>AW1265*$AU$1192/2</f>
        <v>0</v>
      </c>
      <c r="BC1265">
        <f>IF(AV1265=0,0,$BG$1192*$AP$1177)</f>
        <v>0</v>
      </c>
      <c r="BD1265">
        <f>IFERROR(BC1265/$AU$1192,0)</f>
        <v>0</v>
      </c>
      <c r="BE1265">
        <f>BC1265*($F$25+($C$16+$C$17+IF($C$13="single",1.5,3)+3)/12)</f>
        <v>0</v>
      </c>
      <c r="BF1265">
        <f>BE1265-AZ1265</f>
        <v>0</v>
      </c>
      <c r="BG1265" cm="1">
        <f t="array" ref="BG1265">IFERROR(IF(BF1265&lt;0,0,BF1265/($AU$1192-INDEX(hd_off,MATCH(BT1265,hd_mark,0),0)/12)),0)</f>
        <v>0</v>
      </c>
      <c r="BH1265">
        <f>IF(AV1265=0,0,$BG$1192*$AM$1177)</f>
        <v>0</v>
      </c>
      <c r="BI1265">
        <f>IFERROR(BH1265/$AU$1192,0)</f>
        <v>0</v>
      </c>
      <c r="BJ1265">
        <f>BH1265*($F$25+($C$16+$C$17+IF($C$13="single",1.5,3)+3)/12)</f>
        <v>0</v>
      </c>
      <c r="BK1265">
        <f>BJ1265-BA1265</f>
        <v>0</v>
      </c>
      <c r="BL1265" cm="1">
        <f t="array" ref="BL1265">IFERROR(IF(BK1265&lt;0,0,BK1265/($AU$1192-INDEX(hd_off,MATCH(BT1265,hd_mark,0),0)/12)),0)</f>
        <v>0</v>
      </c>
      <c r="BM1265">
        <f>MAX($F$25,$BF$1192)/$Q$1204</f>
        <v>0.29920977011494249</v>
      </c>
      <c r="BN1265">
        <f t="shared" si="778"/>
        <v>1</v>
      </c>
      <c r="BO1265" cm="1">
        <f t="array" ref="BO1265">IFERROR(INDEX(sheath_ecap_asd,MATCH(BS1265,sheath_mark,0),0)*BN1265,0)</f>
        <v>0</v>
      </c>
      <c r="BP1265" cm="1">
        <f t="array" ref="BP1265">IFERROR(INDEX(sheath_wcap_asd,MATCH(BS1265,sheath_mark,0),0)*BN1265,0)</f>
        <v>0</v>
      </c>
      <c r="BQ1265" cm="1">
        <f t="array" ref="BQ1265">IFERROR(INDEX(hd_cap,MATCH(BT1265,hd_mark,0),0),0)</f>
        <v>0</v>
      </c>
      <c r="BS1265" s="19"/>
      <c r="BT1265" s="19"/>
      <c r="BU1265" s="100"/>
    </row>
    <row r="1266" x14ac:dyDescent="0.25">
      <c r="P1266" s="93"/>
      <c r="AR1266" s="100"/>
      <c r="AS1266" s="93"/>
      <c r="BU1266" s="100"/>
    </row>
    <row r="1267" x14ac:dyDescent="0.25">
      <c r="P1267" s="93"/>
      <c r="Q1267" s="110" t="str">
        <f>$Q$1193</f>
        <v>A.12</v>
      </c>
      <c r="R1267" t="str">
        <f>$Q$1173</f>
        <v>L2</v>
      </c>
      <c r="S1267">
        <f>$E$21</f>
        <v>10.6875</v>
      </c>
      <c r="T1267" cm="1">
        <f t="array" ref="T1267">IFERROR(IF(S1267=0,0,(INDEX($C$33:$C$38,MATCH($W$1193,$B$33:$B$38,0),0)*(S1271+$X$1193)+$T$1193*COUNTIF(S1267:S1270,"&gt;0")*$C$32+$V$1193*$C$31)*$R$1193),0)</f>
        <v>0</v>
      </c>
      <c r="U1267">
        <f>IF(S1267=0,0,-(COUNTIF(S1267:S1270,"&gt;0")*$T$1193*$C$32+$V$1193*$C$31)*$H$27*$R$1193)</f>
        <v>0</v>
      </c>
      <c r="V1267">
        <f>IF(S1267=0,0,$V$1193*$H$26*$R$1193)</f>
        <v>0</v>
      </c>
      <c r="W1267">
        <f>(0.6*T1267+0.7*U1267)*$R$1193/2</f>
        <v>0</v>
      </c>
      <c r="X1267">
        <f>(0.6*T1267+0.6*V1267)*$R$1193/2</f>
        <v>0</v>
      </c>
      <c r="Z1267">
        <f>IF(S1267=0,0,$AD$1193*$AP$1173)</f>
        <v>0</v>
      </c>
      <c r="AA1267">
        <f>IFERROR(Z1267/$R$1193,0)</f>
        <v>0</v>
      </c>
      <c r="AB1267">
        <f>Z1267*($F$21+IF($F$21=0,0,($C$14+$C$15+IF($C$13="single",1.5,3)+3)/12))</f>
        <v>0</v>
      </c>
      <c r="AC1267">
        <f>AB1267-W1267</f>
        <v>0</v>
      </c>
      <c r="AD1267" cm="1">
        <f t="array" ref="AD1267">IFERROR(IF(AC1267&lt;0,0,AC1267/($R$1193-INDEX(hd_off,MATCH(AQ1267,hd_mark,0),0)/12)),0)</f>
        <v>0</v>
      </c>
      <c r="AE1267">
        <f>IF(S1267=0,0,$AD$1193*$AM$1173)</f>
        <v>0</v>
      </c>
      <c r="AF1267">
        <f>IFERROR(AE1267/$R$1193,0)</f>
        <v>0</v>
      </c>
      <c r="AG1267">
        <f>AE1267*($F$21+IF($F$21=0,0,($C$14+$C$15+IF($C$13="single",1.5,3)+3)/12))</f>
        <v>0</v>
      </c>
      <c r="AH1267">
        <f>AG1267-X1267</f>
        <v>0</v>
      </c>
      <c r="AI1267" cm="1">
        <f t="array" ref="AI1267">IFERROR(IF(AH1267&lt;0,0,AH1267/($R$1193-INDEX(hd_off,MATCH(AQ1267,hd_mark,0),0)/12)),0)</f>
        <v>0</v>
      </c>
      <c r="AJ1267">
        <f>MAX($F$21,$Y$1193)/$Q$1204</f>
        <v>0.30172413793103448</v>
      </c>
      <c r="AK1267">
        <f>IF(AJ1267=0,0,IF(AJ1267&gt;2,1.25-0.125*AJ1267,1))</f>
        <v>1</v>
      </c>
      <c r="AL1267" cm="1">
        <f t="array" ref="AL1267">IFERROR(INDEX(sheath_ecap_asd,MATCH(AP1267,sheath_mark,0),0)*AK1267,0)</f>
        <v>0</v>
      </c>
      <c r="AM1267" cm="1">
        <f t="array" ref="AM1267">IFERROR(INDEX(sheath_wcap_asd,MATCH(AP1267,sheath_mark,0),0)*AK1267,0)</f>
        <v>0</v>
      </c>
      <c r="AN1267" cm="1">
        <f t="array" ref="AN1267">IFERROR(INDEX(hd_cap,MATCH(AQ1267,hd_mark,0),0),0)</f>
        <v>0</v>
      </c>
      <c r="AP1267" s="19"/>
      <c r="AQ1267" s="19"/>
      <c r="AR1267" s="100"/>
      <c r="AS1267" s="93"/>
      <c r="AT1267" s="110" t="str">
        <f>$AT$1193</f>
        <v>1.12</v>
      </c>
      <c r="AU1267" t="str">
        <f>$Q$1173</f>
        <v>L2</v>
      </c>
      <c r="AV1267">
        <f>$E$21</f>
        <v>10.6875</v>
      </c>
      <c r="AW1267" cm="1">
        <f t="array" ref="AW1267">IFERROR(IF(AV1267=0,0,(INDEX($C$33:$C$38,MATCH($AZ$1193,$B$33:$B$38,0),0)*(AV1271+$BA$1193)+$AW$1193*COUNTIF(AV1267:AV1270,"&gt;0")*$C$32+$AY$1193*$C$31)*$AU$1193),0)</f>
        <v>0</v>
      </c>
      <c r="AX1267">
        <f>IF(AV1267=0,0,-(COUNTIF(AV1267:AV1270,"&gt;0")*$AW$1193*$C$32+$AY$1193*$C$31)*$H$27*$AU$1193)</f>
        <v>0</v>
      </c>
      <c r="AY1267">
        <f>IF(AV1267=0,0,$AY$1193*$H$26*$AU$1193)</f>
        <v>0</v>
      </c>
      <c r="AZ1267">
        <f>(0.6*AW1267+0.7*AX1267)*$AU$1193/2</f>
        <v>0</v>
      </c>
      <c r="BA1267">
        <f>(0.6*AW1267+0.6*AY1267)*$AU$1193/2</f>
        <v>0</v>
      </c>
      <c r="BC1267">
        <f>IF(AV1267=0,0,$BG$1193*$AP$1173)</f>
        <v>0</v>
      </c>
      <c r="BD1267">
        <f>IFERROR(BC1267/$AU$1193,0)</f>
        <v>0</v>
      </c>
      <c r="BE1267">
        <f>BC1267*($F$21+IF($F$21=0,0,($C$14+$C$15+IF($C$13="single",1.5,3)+3)/12))</f>
        <v>0</v>
      </c>
      <c r="BF1267">
        <f>BE1267-AZ1267</f>
        <v>0</v>
      </c>
      <c r="BG1267" cm="1">
        <f t="array" ref="BG1267">IFERROR(IF(BF1267&lt;0,0,BF1267/($AU$1193-INDEX(hd_off,MATCH(BT1267,hd_mark,0),0)/12)),0)</f>
        <v>0</v>
      </c>
      <c r="BH1267">
        <f>IF(AV1267=0,0,$BG$1193*$AM$1173)</f>
        <v>0</v>
      </c>
      <c r="BI1267">
        <f>IFERROR(BH1267/$AU$1193,0)</f>
        <v>0</v>
      </c>
      <c r="BJ1267">
        <f>BH1267*($F$21+IF($F$21=0,0,($C$14+$C$15+IF($C$13="single",1.5,3)+3)/12))</f>
        <v>0</v>
      </c>
      <c r="BK1267">
        <f>BJ1267-BA1267</f>
        <v>0</v>
      </c>
      <c r="BL1267" cm="1">
        <f t="array" ref="BL1267">IFERROR(IF(BK1267&lt;0,0,BK1267/($AU$1193-INDEX(hd_off,MATCH(BT1267,hd_mark,0),0)/12)),0)</f>
        <v>0</v>
      </c>
      <c r="BM1267">
        <f>MAX($F$21,$BB$1193)/$Q$1204</f>
        <v>0.30172413793103448</v>
      </c>
      <c r="BN1267">
        <f>IF(BM1267=0,0,IF(BM1267&gt;2,1.25-0.125*BM1267,1))</f>
        <v>1</v>
      </c>
      <c r="BO1267" cm="1">
        <f t="array" ref="BO1267">IFERROR(INDEX(sheath_ecap_asd,MATCH(BS1267,sheath_mark,0),0)*BN1267,0)</f>
        <v>0</v>
      </c>
      <c r="BP1267" cm="1">
        <f t="array" ref="BP1267">IFERROR(INDEX(sheath_wcap_asd,MATCH(BS1267,sheath_mark,0),0)*BN1267,0)</f>
        <v>0</v>
      </c>
      <c r="BQ1267" cm="1">
        <f t="array" ref="BQ1267">IFERROR(INDEX(hd_cap,MATCH(BT1267,hd_mark,0),0),0)</f>
        <v>0</v>
      </c>
      <c r="BS1267" s="19"/>
      <c r="BT1267" s="19"/>
      <c r="BU1267" s="100"/>
    </row>
    <row r="1268" x14ac:dyDescent="0.25">
      <c r="P1268" s="93"/>
      <c r="Q1268" s="109"/>
      <c r="R1268" t="str">
        <f>$Q$1174</f>
        <v>L3</v>
      </c>
      <c r="S1268">
        <f>$E$22</f>
        <v>21.375</v>
      </c>
      <c r="T1268" cm="1">
        <f t="array" ref="T1268">IFERROR(IF(S1268=0,0,(INDEX($C$33:$C$38,MATCH($W$1193,$B$33:$B$38,0),0)*(S1271+$X$1193)+$T$1193*COUNTIF(S1268:S1270,"&gt;0")*$C$32+$V$1193*$C$31)*$R$1193),0)</f>
        <v>0</v>
      </c>
      <c r="U1268">
        <f>IF(S1268=0,0,-(COUNTIF(S1268:S1270,"&gt;0")*$T$1193*$C$32+$V$1193*$C$31)*$H$27*$R$1193)</f>
        <v>0</v>
      </c>
      <c r="V1268">
        <f>IF(S1268=0,0,$V$1193*$H$26*$R$1193)</f>
        <v>0</v>
      </c>
      <c r="W1268">
        <f>(0.6*T1268+0.7*U1268)*$R$1193/2</f>
        <v>0</v>
      </c>
      <c r="X1268">
        <f>T1268*$R$1193/2</f>
        <v>0</v>
      </c>
      <c r="Z1268">
        <f>IF(S1268=0,0,$AD$1193*$AP$1174)</f>
        <v>0</v>
      </c>
      <c r="AA1268">
        <f>IFERROR(Z1268/$R$1193,0)</f>
        <v>0</v>
      </c>
      <c r="AB1268">
        <f>Z1268*($F$22+IF($F$22=0,0,($C$14+$C$15+IF($C$13="single",1.5,3)+3)/12))</f>
        <v>0</v>
      </c>
      <c r="AC1268">
        <f>AB1268-W1268</f>
        <v>0</v>
      </c>
      <c r="AD1268" cm="1">
        <f t="array" ref="AD1268">IFERROR(IF(AC1268&lt;0,0,AC1268/($R$1193-INDEX(hd_off,MATCH(AQ1268,hd_mark,0),0)/12)),0)</f>
        <v>0</v>
      </c>
      <c r="AE1268">
        <f>IF(S1268=0,0,$AD$1193*$AM$1174)</f>
        <v>0</v>
      </c>
      <c r="AF1268">
        <f>IFERROR(AE1268/$R$1193,0)</f>
        <v>0</v>
      </c>
      <c r="AG1268">
        <f>AE1268*($F$22+IF($F$22=0,0,($C$14+$C$15+IF($C$13="single",1.5,3)+3)/12))</f>
        <v>0</v>
      </c>
      <c r="AH1268">
        <f>AG1268-X1268</f>
        <v>0</v>
      </c>
      <c r="AI1268" cm="1">
        <f t="array" ref="AI1268">IFERROR(IF(AH1268&lt;0,0,AH1268/($R$1193-INDEX(hd_off,MATCH(AQ1268,hd_mark,0),0)/12)),0)</f>
        <v>0</v>
      </c>
      <c r="AJ1268">
        <f>MAX($F$22,$Z$1193)/$Q$1204</f>
        <v>0.30172413793103448</v>
      </c>
      <c r="AK1268">
        <f t="shared" ref="AK1268:AK1271" si="779">IF(AJ1268=0,0,IF(AJ1268&gt;2,1.25-0.125*AJ1268,1))</f>
        <v>1</v>
      </c>
      <c r="AL1268" cm="1">
        <f t="array" ref="AL1268">IFERROR(INDEX(sheath_ecap_asd,MATCH(AP1268,sheath_mark,0),0)*AK1268,0)</f>
        <v>0</v>
      </c>
      <c r="AM1268" cm="1">
        <f t="array" ref="AM1268">IFERROR(INDEX(sheath_wcap_asd,MATCH(AP1268,sheath_mark,0),0)*AK1268,0)</f>
        <v>0</v>
      </c>
      <c r="AN1268" cm="1">
        <f t="array" ref="AN1268">IFERROR(INDEX(hd_cap,MATCH(AQ1268,hd_mark,0),0),0)</f>
        <v>0</v>
      </c>
      <c r="AP1268" s="19"/>
      <c r="AQ1268" s="19"/>
      <c r="AR1268" s="100"/>
      <c r="AS1268" s="93"/>
      <c r="AT1268" s="109"/>
      <c r="AU1268" t="str">
        <f>$Q$1174</f>
        <v>L3</v>
      </c>
      <c r="AV1268">
        <f>$E$22</f>
        <v>21.375</v>
      </c>
      <c r="AW1268" cm="1">
        <f t="array" ref="AW1268">IFERROR(IF(AV1268=0,0,(INDEX($C$33:$C$38,MATCH($AZ$1193,$B$33:$B$38,0),0)*(AV1271+$BA$1193)+$AW$1193*COUNTIF(AV1268:AV1270,"&gt;0")*$C$32+$AY$1193*$C$31)*$AU$1193),0)</f>
        <v>0</v>
      </c>
      <c r="AX1268">
        <f>IF(AV1268=0,0,-(COUNTIF(AV1268:AV1270,"&gt;0")*$AW$1193*$C$32+$AY$1193*$C$31)*$H$27*$AU$1193)</f>
        <v>0</v>
      </c>
      <c r="AY1268">
        <f>IF(AV1268=0,0,$AY$1193*$H$26*$AU$1193)</f>
        <v>0</v>
      </c>
      <c r="AZ1268">
        <f>(0.6*AW1268+0.7*AX1268)*$AU$1193/2</f>
        <v>0</v>
      </c>
      <c r="BA1268">
        <f>AW1268*$AU$1193/2</f>
        <v>0</v>
      </c>
      <c r="BC1268">
        <f>IF(AV1268=0,0,$BG$1193*$AP$1174)</f>
        <v>0</v>
      </c>
      <c r="BD1268">
        <f>IFERROR(BC1268/$AU$1193,0)</f>
        <v>0</v>
      </c>
      <c r="BE1268">
        <f>BC1268*($F$22+IF($F$22=0,0,($C$14+$C$15+IF($C$13="single",1.5,3)+3)/12))</f>
        <v>0</v>
      </c>
      <c r="BF1268">
        <f>BE1268-AZ1268</f>
        <v>0</v>
      </c>
      <c r="BG1268" cm="1">
        <f t="array" ref="BG1268">IFERROR(IF(BF1268&lt;0,0,BF1268/($AU$1193-INDEX(hd_off,MATCH(BT1268,hd_mark,0),0)/12)),0)</f>
        <v>0</v>
      </c>
      <c r="BH1268">
        <f>IF(AV1268=0,0,$BG$1193*$AM$1174)</f>
        <v>0</v>
      </c>
      <c r="BI1268">
        <f>IFERROR(BH1268/$AU$1193,0)</f>
        <v>0</v>
      </c>
      <c r="BJ1268">
        <f>BH1268*($F$22+IF($F$22=0,0,($C$14+$C$15+IF($C$13="single",1.5,3)+3)/12))</f>
        <v>0</v>
      </c>
      <c r="BK1268">
        <f>BJ1268-BA1268</f>
        <v>0</v>
      </c>
      <c r="BL1268" cm="1">
        <f t="array" ref="BL1268">IFERROR(IF(BK1268&lt;0,0,BK1268/($AU$1193-INDEX(hd_off,MATCH(BT1268,hd_mark,0),0)/12)),0)</f>
        <v>0</v>
      </c>
      <c r="BM1268">
        <f>MAX($F$22,$BC$1193)/$Q$1204</f>
        <v>0.30172413793103448</v>
      </c>
      <c r="BN1268">
        <f t="shared" ref="BN1268:BN1271" si="780">IF(BM1268=0,0,IF(BM1268&gt;2,1.25-0.125*BM1268,1))</f>
        <v>1</v>
      </c>
      <c r="BO1268" cm="1">
        <f t="array" ref="BO1268">IFERROR(INDEX(sheath_ecap_asd,MATCH(BS1268,sheath_mark,0),0)*BN1268,0)</f>
        <v>0</v>
      </c>
      <c r="BP1268" cm="1">
        <f t="array" ref="BP1268">IFERROR(INDEX(sheath_wcap_asd,MATCH(BS1268,sheath_mark,0),0)*BN1268,0)</f>
        <v>0</v>
      </c>
      <c r="BQ1268" cm="1">
        <f t="array" ref="BQ1268">IFERROR(INDEX(hd_cap,MATCH(BT1268,hd_mark,0),0),0)</f>
        <v>0</v>
      </c>
      <c r="BS1268" s="19"/>
      <c r="BT1268" s="19"/>
      <c r="BU1268" s="100"/>
    </row>
    <row r="1269" x14ac:dyDescent="0.25">
      <c r="P1269" s="93"/>
      <c r="Q1269" s="109" t="s">
        <v>491</v>
      </c>
      <c r="R1269" t="str">
        <f>$Q$1175</f>
        <v>L4</v>
      </c>
      <c r="S1269">
        <f>$E$23</f>
        <v>0</v>
      </c>
      <c r="T1269" cm="1">
        <f t="array" ref="T1269">IFERROR(IF(S1269=0,0,(INDEX($C$33:$C$38,MATCH($W$1193,$B$33:$B$38,0),0)*(S1271+$X$1193)+$T$1193*COUNTIF(S1269:S1270,"&gt;0")*$C$32+$V$1193*$C$31)*$R$1193),0)</f>
        <v>0</v>
      </c>
      <c r="U1269">
        <f>IF(S1269=0,0,-(COUNTIF(S1269:S1270,"&gt;0")*$T$1193*$C$32+$V$1193*$C$31)*$H$27*$R$1193)</f>
        <v>0</v>
      </c>
      <c r="V1269">
        <f>IF(S1269=0,0,$V$1193*$H$26*$R$1193)</f>
        <v>0</v>
      </c>
      <c r="W1269">
        <f>(0.6*T1269+0.7*U1269)*$R$1193/2</f>
        <v>0</v>
      </c>
      <c r="X1269">
        <f>T1269*$R$1193/2</f>
        <v>0</v>
      </c>
      <c r="Z1269">
        <f>IF(S1269=0,0,$AD$1193*$AP$1175)</f>
        <v>0</v>
      </c>
      <c r="AA1269">
        <f>IFERROR(Z1269/$R$1193,0)</f>
        <v>0</v>
      </c>
      <c r="AB1269">
        <f>Z1269*($F$23+IF($F$23=0,0,($C$14+$C$15+IF($C$13="single",1.5,3)+3)/12))</f>
        <v>0</v>
      </c>
      <c r="AC1269">
        <f>AB1269-W1269</f>
        <v>0</v>
      </c>
      <c r="AD1269" cm="1">
        <f t="array" ref="AD1269">IFERROR(IF(AC1269&lt;0,0,AC1269/($R$1193-INDEX(hd_off,MATCH(AQ1269,hd_mark,0),0)/12)),0)</f>
        <v>0</v>
      </c>
      <c r="AE1269">
        <f>IF(S1269=0,0,$AD$1193*$AM$1175)</f>
        <v>0</v>
      </c>
      <c r="AF1269">
        <f>IFERROR(AE1269/$R$1193,0)</f>
        <v>0</v>
      </c>
      <c r="AG1269">
        <f>AE1269*($F$23+IF($F$23=0,0,($C$14+$C$15+IF($C$13="single",1.5,3)+3)/12))</f>
        <v>0</v>
      </c>
      <c r="AH1269">
        <f>AG1269-X1269</f>
        <v>0</v>
      </c>
      <c r="AI1269" cm="1">
        <f t="array" ref="AI1269">IFERROR(IF(AH1269&lt;0,0,AH1269/($R$1193-INDEX(hd_off,MATCH(AQ1269,hd_mark,0),0)/12)),0)</f>
        <v>0</v>
      </c>
      <c r="AJ1269">
        <f>MAX($F$23,$AA$1193)/$Q$1204</f>
        <v>0</v>
      </c>
      <c r="AK1269">
        <f t="shared" si="779"/>
        <v>0</v>
      </c>
      <c r="AL1269" cm="1">
        <f t="array" ref="AL1269">IFERROR(INDEX(sheath_ecap_asd,MATCH(AP1269,sheath_mark,0),0)*AK1269,0)</f>
        <v>0</v>
      </c>
      <c r="AM1269" cm="1">
        <f t="array" ref="AM1269">IFERROR(INDEX(sheath_wcap_asd,MATCH(AP1269,sheath_mark,0),0)*AK1269,0)</f>
        <v>0</v>
      </c>
      <c r="AN1269" cm="1">
        <f t="array" ref="AN1269">IFERROR(INDEX(hd_cap,MATCH(AQ1269,hd_mark,0),0),0)</f>
        <v>0</v>
      </c>
      <c r="AP1269" s="19"/>
      <c r="AQ1269" s="19"/>
      <c r="AR1269" s="100"/>
      <c r="AS1269" s="93"/>
      <c r="AT1269" s="109" t="s">
        <v>491</v>
      </c>
      <c r="AU1269" t="str">
        <f>$Q$1175</f>
        <v>L4</v>
      </c>
      <c r="AV1269">
        <f>$E$23</f>
        <v>0</v>
      </c>
      <c r="AW1269" cm="1">
        <f t="array" ref="AW1269">IFERROR(IF(AV1269=0,0,(INDEX($C$33:$C$38,MATCH($AZ$1193,$B$33:$B$38,0),0)*(AV1271+$BA$1193)+$AW$1193*COUNTIF(AV1269:AV1270,"&gt;0")*$C$32+$AY$1193*$C$31)*$AU$1193),0)</f>
        <v>0</v>
      </c>
      <c r="AX1269">
        <f>IF(AV1269=0,0,-(COUNTIF(AV1269:AV1270,"&gt;0")*$AW$1193*$C$32+$AY$1193*$C$31)*$H$27*$AU$1193)</f>
        <v>0</v>
      </c>
      <c r="AY1269">
        <f>IF(AV1269=0,0,$AY$1193*$H$26*$AU$1193)</f>
        <v>0</v>
      </c>
      <c r="AZ1269">
        <f>(0.6*AW1269+0.7*AX1269)*$AU$1193/2</f>
        <v>0</v>
      </c>
      <c r="BA1269">
        <f>AW1269*$AU$1193/2</f>
        <v>0</v>
      </c>
      <c r="BC1269">
        <f>IF(AV1269=0,0,$BG$1193*$AP$1175)</f>
        <v>0</v>
      </c>
      <c r="BD1269">
        <f>IFERROR(BC1269/$AU$1193,0)</f>
        <v>0</v>
      </c>
      <c r="BE1269">
        <f>BC1269*($F$23+IF($F$23=0,0,($C$14+$C$15+IF($C$13="single",1.5,3)+3)/12))</f>
        <v>0</v>
      </c>
      <c r="BF1269">
        <f>BE1269-AZ1269</f>
        <v>0</v>
      </c>
      <c r="BG1269" cm="1">
        <f t="array" ref="BG1269">IFERROR(IF(BF1269&lt;0,0,BF1269/($AU$1193-INDEX(hd_off,MATCH(BT1269,hd_mark,0),0)/12)),0)</f>
        <v>0</v>
      </c>
      <c r="BH1269">
        <f>IF(AV1269=0,0,$BG$1193*$AM$1175)</f>
        <v>0</v>
      </c>
      <c r="BI1269">
        <f>IFERROR(BH1269/$AU$1193,0)</f>
        <v>0</v>
      </c>
      <c r="BJ1269">
        <f>BH1269*($F$23+IF($F$23=0,0,($C$14+$C$15+IF($C$13="single",1.5,3)+3)/12))</f>
        <v>0</v>
      </c>
      <c r="BK1269">
        <f>BJ1269-BA1269</f>
        <v>0</v>
      </c>
      <c r="BL1269" cm="1">
        <f t="array" ref="BL1269">IFERROR(IF(BK1269&lt;0,0,BK1269/($AU$1193-INDEX(hd_off,MATCH(BT1269,hd_mark,0),0)/12)),0)</f>
        <v>0</v>
      </c>
      <c r="BM1269">
        <f>MAX($F$23,$BD$1193)/$Q$1204</f>
        <v>0</v>
      </c>
      <c r="BN1269">
        <f t="shared" si="780"/>
        <v>0</v>
      </c>
      <c r="BO1269" cm="1">
        <f t="array" ref="BO1269">IFERROR(INDEX(sheath_ecap_asd,MATCH(BS1269,sheath_mark,0),0)*BN1269,0)</f>
        <v>0</v>
      </c>
      <c r="BP1269" cm="1">
        <f t="array" ref="BP1269">IFERROR(INDEX(sheath_wcap_asd,MATCH(BS1269,sheath_mark,0),0)*BN1269,0)</f>
        <v>0</v>
      </c>
      <c r="BQ1269" cm="1">
        <f t="array" ref="BQ1269">IFERROR(INDEX(hd_cap,MATCH(BT1269,hd_mark,0),0),0)</f>
        <v>0</v>
      </c>
      <c r="BS1269" s="19"/>
      <c r="BT1269" s="19"/>
      <c r="BU1269" s="100"/>
    </row>
    <row r="1270" x14ac:dyDescent="0.25">
      <c r="P1270" s="93"/>
      <c r="Q1270" s="111">
        <f>$R$1193</f>
        <v>0</v>
      </c>
      <c r="R1270" t="str">
        <f>$Q$1176</f>
        <v>L5</v>
      </c>
      <c r="S1270">
        <f>$E$24</f>
        <v>0</v>
      </c>
      <c r="T1270" cm="1">
        <f t="array" ref="T1270">IFERROR(IF(S1270=0,0,(INDEX($C$33:$C$38,MATCH($W$1193,$B$33:$B$38,0),0)*(S1271+$X$1193)+$T$1193*COUNTIF(S1270:S1270,"&gt;0")*$C$32+$V$1193*$C$31)*$R$1193),0)</f>
        <v>0</v>
      </c>
      <c r="U1270">
        <f>IF(S1270=0,0,-(COUNTIF(S1270:S1270,"&gt;0")*$T$1193*$C$32+$V$1193*$C$31)*$H$27*$R$1193)</f>
        <v>0</v>
      </c>
      <c r="V1270">
        <f>IF(S1270=0,0,$V$1193*$H$26*$R$1193)</f>
        <v>0</v>
      </c>
      <c r="W1270">
        <f>(0.6*T1270+0.7*U1270)*$R$1193/2</f>
        <v>0</v>
      </c>
      <c r="X1270">
        <f>T1270*$R$1193/2</f>
        <v>0</v>
      </c>
      <c r="Z1270">
        <f>IF(S1270=0,0,$AD$1193*$AP$1176)</f>
        <v>0</v>
      </c>
      <c r="AA1270">
        <f>IFERROR(Z1270/$R$1193,0)</f>
        <v>0</v>
      </c>
      <c r="AB1270">
        <f>Z1270*($F$24+IF($F$24=0,0,($C$14+$C$15+IF($C$13="single",1.5,3)+3)/12))</f>
        <v>0</v>
      </c>
      <c r="AC1270">
        <f>AB1270-W1270</f>
        <v>0</v>
      </c>
      <c r="AD1270" cm="1">
        <f t="array" ref="AD1270">IFERROR(IF(AC1270&lt;0,0,AC1270/($R$1193-INDEX(hd_off,MATCH(AQ1270,hd_mark,0),0)/12)),0)</f>
        <v>0</v>
      </c>
      <c r="AE1270">
        <f>IF(S1270=0,0,$AD$1193*$AM$1176)</f>
        <v>0</v>
      </c>
      <c r="AF1270">
        <f>IFERROR(AE1270/$R$1193,0)</f>
        <v>0</v>
      </c>
      <c r="AG1270">
        <f>AE1270*($F$24+IF($F$24=0,0,($C$14+$C$15+IF($C$13="single",1.5,3)+3)/12))</f>
        <v>0</v>
      </c>
      <c r="AH1270">
        <f>AG1270-X1270</f>
        <v>0</v>
      </c>
      <c r="AI1270" cm="1">
        <f t="array" ref="AI1270">IFERROR(IF(AH1270&lt;0,0,AH1270/($R$1193-INDEX(hd_off,MATCH(AQ1270,hd_mark,0),0)/12)),0)</f>
        <v>0</v>
      </c>
      <c r="AJ1270">
        <f>MAX($F$24,$AB$1193)/$Q$1204</f>
        <v>0</v>
      </c>
      <c r="AK1270">
        <f t="shared" si="779"/>
        <v>0</v>
      </c>
      <c r="AL1270" cm="1">
        <f t="array" ref="AL1270">IFERROR(INDEX(sheath_ecap_asd,MATCH(AP1270,sheath_mark,0),0)*AK1270,0)</f>
        <v>0</v>
      </c>
      <c r="AM1270" cm="1">
        <f t="array" ref="AM1270">IFERROR(INDEX(sheath_wcap_asd,MATCH(AP1270,sheath_mark,0),0)*AK1270,0)</f>
        <v>0</v>
      </c>
      <c r="AN1270" cm="1">
        <f t="array" ref="AN1270">IFERROR(INDEX(hd_cap,MATCH(AQ1270,hd_mark,0),0),0)</f>
        <v>0</v>
      </c>
      <c r="AP1270" s="19"/>
      <c r="AQ1270" s="19"/>
      <c r="AR1270" s="100"/>
      <c r="AS1270" s="93"/>
      <c r="AT1270" s="111">
        <f>$R$1193</f>
        <v>0</v>
      </c>
      <c r="AU1270" t="str">
        <f>$Q$1176</f>
        <v>L5</v>
      </c>
      <c r="AV1270">
        <f>$E$24</f>
        <v>0</v>
      </c>
      <c r="AW1270" cm="1">
        <f t="array" ref="AW1270">IFERROR(IF(AV1270=0,0,(INDEX($C$33:$C$38,MATCH($AZ$1193,$B$33:$B$38,0),0)*(AV1271+$BA$1193)+$AW$1193*COUNTIF(AV1270:AV1270,"&gt;0")*$C$32+$AY$1193*$C$31)*$AU$1193),0)</f>
        <v>0</v>
      </c>
      <c r="AX1270">
        <f>IF(AV1270=0,0,-(COUNTIF(AV1270:AV1270,"&gt;0")*$AW$1193*$C$32+$AY$1193*$C$31)*$H$27*$AU$1193)</f>
        <v>0</v>
      </c>
      <c r="AY1270">
        <f>IF(AV1270=0,0,$AY$1193*$H$26*$AU$1193)</f>
        <v>0</v>
      </c>
      <c r="AZ1270">
        <f>(0.6*AW1270+0.7*AX1270)*$AU$1193/2</f>
        <v>0</v>
      </c>
      <c r="BA1270">
        <f>AW1270*$AU$1193/2</f>
        <v>0</v>
      </c>
      <c r="BC1270">
        <f>IF(AV1270=0,0,$BG$1193*$AP$1176)</f>
        <v>0</v>
      </c>
      <c r="BD1270">
        <f>IFERROR(BC1270/$AU$1193,0)</f>
        <v>0</v>
      </c>
      <c r="BE1270">
        <f>BC1270*($F$24+IF($F$24=0,0,($C$14+$C$15+IF($C$13="single",1.5,3)+3)/12))</f>
        <v>0</v>
      </c>
      <c r="BF1270">
        <f>BE1270-AZ1270</f>
        <v>0</v>
      </c>
      <c r="BG1270" cm="1">
        <f t="array" ref="BG1270">IFERROR(IF(BF1270&lt;0,0,BF1270/($AU$1193-INDEX(hd_off,MATCH(BT1270,hd_mark,0),0)/12)),0)</f>
        <v>0</v>
      </c>
      <c r="BH1270">
        <f>IF(AV1270=0,0,$BG$1193*$AM$1176)</f>
        <v>0</v>
      </c>
      <c r="BI1270">
        <f>IFERROR(BH1270/$AU$1193,0)</f>
        <v>0</v>
      </c>
      <c r="BJ1270">
        <f>BH1270*($F$24+IF($F$24=0,0,($C$14+$C$15+IF($C$13="single",1.5,3)+3)/12))</f>
        <v>0</v>
      </c>
      <c r="BK1270">
        <f>BJ1270-BA1270</f>
        <v>0</v>
      </c>
      <c r="BL1270" cm="1">
        <f t="array" ref="BL1270">IFERROR(IF(BK1270&lt;0,0,BK1270/($AU$1193-INDEX(hd_off,MATCH(BT1270,hd_mark,0),0)/12)),0)</f>
        <v>0</v>
      </c>
      <c r="BM1270">
        <f>MAX($F$24,$BE$1193)/$Q$1204</f>
        <v>0</v>
      </c>
      <c r="BN1270">
        <f t="shared" si="780"/>
        <v>0</v>
      </c>
      <c r="BO1270" cm="1">
        <f t="array" ref="BO1270">IFERROR(INDEX(sheath_ecap_asd,MATCH(BS1270,sheath_mark,0),0)*BN1270,0)</f>
        <v>0</v>
      </c>
      <c r="BP1270" cm="1">
        <f t="array" ref="BP1270">IFERROR(INDEX(sheath_wcap_asd,MATCH(BS1270,sheath_mark,0),0)*BN1270,0)</f>
        <v>0</v>
      </c>
      <c r="BQ1270" cm="1">
        <f t="array" ref="BQ1270">IFERROR(INDEX(hd_cap,MATCH(BT1270,hd_mark,0),0),0)</f>
        <v>0</v>
      </c>
      <c r="BS1270" s="19"/>
      <c r="BT1270" s="19"/>
      <c r="BU1270" s="100"/>
    </row>
    <row r="1271" x14ac:dyDescent="0.25">
      <c r="P1271" s="93"/>
      <c r="Q1271" s="109"/>
      <c r="R1271" t="str">
        <f>$Q$1177</f>
        <v>Roof</v>
      </c>
      <c r="S1271">
        <f>$E$25</f>
        <v>33.171875</v>
      </c>
      <c r="T1271" cm="1">
        <f t="array" ref="T1271">IFERROR(IF(S1271=0,0,(INDEX($C$33:$C$38,MATCH($W$1193,$B$33:$B$38,0),0)*(S1271+$X$1193)+$V$1193*$C$31)*$R$1193),0)</f>
        <v>0</v>
      </c>
      <c r="U1271">
        <f>IF(S1271=0,0,-$V$1193*$C$31*$H$27*$R$1193)</f>
        <v>0</v>
      </c>
      <c r="V1271">
        <f>IF(S1271=0,0,$V$1193*$H$26*$R$1193)</f>
        <v>0</v>
      </c>
      <c r="W1271">
        <f>(0.6*T1271+0.7*U1271)*$R$1193/2</f>
        <v>0</v>
      </c>
      <c r="X1271">
        <f>T1271*$R$1193/2</f>
        <v>0</v>
      </c>
      <c r="Z1271">
        <f>IF(S1271=0,0,$AD$1193*$AP$1177)</f>
        <v>0</v>
      </c>
      <c r="AA1271">
        <f>IFERROR(Z1271/$R$1193,0)</f>
        <v>0</v>
      </c>
      <c r="AB1271">
        <f>Z1271*($F$25+($C$16+$C$17+IF($C$13="single",1.5,3)+3)/12)</f>
        <v>0</v>
      </c>
      <c r="AC1271">
        <f>AB1271-W1271</f>
        <v>0</v>
      </c>
      <c r="AD1271" cm="1">
        <f t="array" ref="AD1271">IFERROR(IF(AC1271&lt;0,0,AC1271/($R$1193-INDEX(hd_off,MATCH(AQ1271,hd_mark,0),0)/12)),0)</f>
        <v>0</v>
      </c>
      <c r="AE1271">
        <f>IF(S1271=0,0,$AD$1193*$AM$1177)</f>
        <v>0</v>
      </c>
      <c r="AF1271">
        <f>IFERROR(AE1271/$R$1193,0)</f>
        <v>0</v>
      </c>
      <c r="AG1271">
        <f>AE1271*($F$25+($C$16+$C$17+IF($C$13="single",1.5,3)+3)/12)</f>
        <v>0</v>
      </c>
      <c r="AH1271">
        <f>AG1271-X1271</f>
        <v>0</v>
      </c>
      <c r="AI1271" cm="1">
        <f t="array" ref="AI1271">IFERROR(IF(AH1271&lt;0,0,AH1271/($R$1193-INDEX(hd_off,MATCH(AQ1271,hd_mark,0),0)/12)),0)</f>
        <v>0</v>
      </c>
      <c r="AJ1271">
        <f>MAX($F$25,$AC$1193)/$Q$1204</f>
        <v>0.29920977011494249</v>
      </c>
      <c r="AK1271">
        <f t="shared" si="779"/>
        <v>1</v>
      </c>
      <c r="AL1271" cm="1">
        <f t="array" ref="AL1271">IFERROR(INDEX(sheath_ecap_asd,MATCH(AP1271,sheath_mark,0),0)*AK1271,0)</f>
        <v>0</v>
      </c>
      <c r="AM1271" cm="1">
        <f t="array" ref="AM1271">IFERROR(INDEX(sheath_wcap_asd,MATCH(AP1271,sheath_mark,0),0)*AK1271,0)</f>
        <v>0</v>
      </c>
      <c r="AN1271" cm="1">
        <f t="array" ref="AN1271">IFERROR(INDEX(hd_cap,MATCH(AQ1271,hd_mark,0),0),0)</f>
        <v>0</v>
      </c>
      <c r="AP1271" s="19"/>
      <c r="AQ1271" s="19"/>
      <c r="AR1271" s="100"/>
      <c r="AS1271" s="93"/>
      <c r="AT1271" s="109"/>
      <c r="AU1271" t="str">
        <f>$Q$1177</f>
        <v>Roof</v>
      </c>
      <c r="AV1271">
        <f>$E$25</f>
        <v>33.171875</v>
      </c>
      <c r="AW1271" cm="1">
        <f t="array" ref="AW1271">IFERROR(IF(AV1271=0,0,(INDEX($C$33:$C$38,MATCH($AZ$1193,$B$33:$B$38,0),0)*(AV1271+$BA$1193)+$AY$1193*$C$31)*$AU$1193),0)</f>
        <v>0</v>
      </c>
      <c r="AX1271">
        <f>IF(AV1271=0,0,-$AY$1193*$C$31*$H$27*$AU$1193)</f>
        <v>0</v>
      </c>
      <c r="AY1271">
        <f>IF(AV1271=0,0,$AY$1193*$H$26*$AU$1193)</f>
        <v>0</v>
      </c>
      <c r="AZ1271">
        <f>(0.6*AW1271+0.7*AX1271)*$AU$1193/2</f>
        <v>0</v>
      </c>
      <c r="BA1271">
        <f>AW1271*$AU$1193/2</f>
        <v>0</v>
      </c>
      <c r="BC1271">
        <f>IF(AV1271=0,0,$BG$1193*$AP$1177)</f>
        <v>0</v>
      </c>
      <c r="BD1271">
        <f>IFERROR(BC1271/$AU$1193,0)</f>
        <v>0</v>
      </c>
      <c r="BE1271">
        <f>BC1271*($F$25+($C$16+$C$17+IF($C$13="single",1.5,3)+3)/12)</f>
        <v>0</v>
      </c>
      <c r="BF1271">
        <f>BE1271-AZ1271</f>
        <v>0</v>
      </c>
      <c r="BG1271" cm="1">
        <f t="array" ref="BG1271">IFERROR(IF(BF1271&lt;0,0,BF1271/($AU$1193-INDEX(hd_off,MATCH(BT1271,hd_mark,0),0)/12)),0)</f>
        <v>0</v>
      </c>
      <c r="BH1271">
        <f>IF(AV1271=0,0,$BG$1193*$AM$1177)</f>
        <v>0</v>
      </c>
      <c r="BI1271">
        <f>IFERROR(BH1271/$AU$1193,0)</f>
        <v>0</v>
      </c>
      <c r="BJ1271">
        <f>BH1271*($F$25+($C$16+$C$17+IF($C$13="single",1.5,3)+3)/12)</f>
        <v>0</v>
      </c>
      <c r="BK1271">
        <f>BJ1271-BA1271</f>
        <v>0</v>
      </c>
      <c r="BL1271" cm="1">
        <f t="array" ref="BL1271">IFERROR(IF(BK1271&lt;0,0,BK1271/($AU$1193-INDEX(hd_off,MATCH(BT1271,hd_mark,0),0)/12)),0)</f>
        <v>0</v>
      </c>
      <c r="BM1271">
        <f>MAX($F$25,$BF$1193)/$Q$1204</f>
        <v>0.29920977011494249</v>
      </c>
      <c r="BN1271">
        <f t="shared" si="780"/>
        <v>1</v>
      </c>
      <c r="BO1271" cm="1">
        <f t="array" ref="BO1271">IFERROR(INDEX(sheath_ecap_asd,MATCH(BS1271,sheath_mark,0),0)*BN1271,0)</f>
        <v>0</v>
      </c>
      <c r="BP1271" cm="1">
        <f t="array" ref="BP1271">IFERROR(INDEX(sheath_wcap_asd,MATCH(BS1271,sheath_mark,0),0)*BN1271,0)</f>
        <v>0</v>
      </c>
      <c r="BQ1271" cm="1">
        <f t="array" ref="BQ1271">IFERROR(INDEX(hd_cap,MATCH(BT1271,hd_mark,0),0),0)</f>
        <v>0</v>
      </c>
      <c r="BS1271" s="19"/>
      <c r="BT1271" s="19"/>
      <c r="BU1271" s="100"/>
    </row>
    <row r="1272" x14ac:dyDescent="0.25">
      <c r="P1272" s="93"/>
      <c r="AR1272" s="100"/>
      <c r="AS1272" s="93"/>
      <c r="BU1272" s="100"/>
    </row>
    <row r="1273" x14ac:dyDescent="0.25">
      <c r="P1273" s="93"/>
      <c r="Q1273" s="110" t="str">
        <f>$Q$1194</f>
        <v>A.13</v>
      </c>
      <c r="R1273" t="str">
        <f>$Q$1173</f>
        <v>L2</v>
      </c>
      <c r="S1273">
        <f>$E$21</f>
        <v>10.6875</v>
      </c>
      <c r="T1273" cm="1">
        <f t="array" ref="T1273">IFERROR(IF(S1273=0,0,(INDEX($C$33:$C$38,MATCH($W$1194,$B$33:$B$38,0),0)*(S1277+$X$1194)+$T$1194*COUNTIF(S1273:S1276,"&gt;0")*$C$32+$V$1194*$C$31)*$R$1194),0)</f>
        <v>0</v>
      </c>
      <c r="U1273">
        <f>IF(S1273=0,0,-(COUNTIF(S1273:S1276,"&gt;0")*$T$1194*$C$32+$V$1194*$C$31)*$H$27*$R$1194)</f>
        <v>0</v>
      </c>
      <c r="V1273">
        <f>IF(S1273=0,0,$V$1194*$H$26*$R$1194)</f>
        <v>0</v>
      </c>
      <c r="W1273">
        <f>(0.6*T1273+0.7*U1273)*$R$1194/2</f>
        <v>0</v>
      </c>
      <c r="X1273">
        <f>(0.6*T1273+0.6*V1273)*$R$1194/2</f>
        <v>0</v>
      </c>
      <c r="Z1273">
        <f>IF(S1273=0,0,$AD$1194*$AP$1173)</f>
        <v>0</v>
      </c>
      <c r="AA1273">
        <f>IFERROR(Z1273/$R$1194,0)</f>
        <v>0</v>
      </c>
      <c r="AB1273">
        <f>Z1273*($F$21+IF($F$21=0,0,($C$14+$C$15+IF($C$13="single",1.5,3)+3)/12))</f>
        <v>0</v>
      </c>
      <c r="AC1273">
        <f>AB1273-W1273</f>
        <v>0</v>
      </c>
      <c r="AD1273" cm="1">
        <f t="array" ref="AD1273">IFERROR(IF(AC1273&lt;0,0,AC1273/($R$1194-INDEX(hd_off,MATCH(AQ1273,hd_mark,0),0)/12)),0)</f>
        <v>0</v>
      </c>
      <c r="AE1273">
        <f>IF(S1273=0,0,$AD$1194*$AM$1173)</f>
        <v>0</v>
      </c>
      <c r="AF1273">
        <f>IFERROR(AE1273/$R$1194,0)</f>
        <v>0</v>
      </c>
      <c r="AG1273">
        <f>AE1273*($F$21+IF($F$21=0,0,($C$14+$C$15+IF($C$13="single",1.5,3)+3)/12))</f>
        <v>0</v>
      </c>
      <c r="AH1273">
        <f>AG1273-X1273</f>
        <v>0</v>
      </c>
      <c r="AI1273" cm="1">
        <f t="array" ref="AI1273">IFERROR(IF(AH1273&lt;0,0,AH1273/($R$1194-INDEX(hd_off,MATCH(AQ1273,hd_mark,0),0)/12)),0)</f>
        <v>0</v>
      </c>
      <c r="AJ1273">
        <f>MAX($F$21,$Y$1194)/$Q$1204</f>
        <v>0.30172413793103448</v>
      </c>
      <c r="AK1273">
        <f>IF(AJ1273=0,0,IF(AJ1273&gt;2,1.25-0.125*AJ1273,1))</f>
        <v>1</v>
      </c>
      <c r="AL1273" cm="1">
        <f t="array" ref="AL1273">IFERROR(INDEX(sheath_ecap_asd,MATCH(AP1273,sheath_mark,0),0)*AK1273,0)</f>
        <v>0</v>
      </c>
      <c r="AM1273" cm="1">
        <f t="array" ref="AM1273">IFERROR(INDEX(sheath_wcap_asd,MATCH(AP1273,sheath_mark,0),0)*AK1273,0)</f>
        <v>0</v>
      </c>
      <c r="AN1273" cm="1">
        <f t="array" ref="AN1273">IFERROR(INDEX(hd_cap,MATCH(AQ1273,hd_mark,0),0),0)</f>
        <v>0</v>
      </c>
      <c r="AP1273" s="19"/>
      <c r="AQ1273" s="19"/>
      <c r="AR1273" s="100"/>
      <c r="AS1273" s="93"/>
      <c r="AT1273" s="110" t="str">
        <f>$AT$1194</f>
        <v>1.13</v>
      </c>
      <c r="AU1273" t="str">
        <f>$Q$1173</f>
        <v>L2</v>
      </c>
      <c r="AV1273">
        <f>$E$21</f>
        <v>10.6875</v>
      </c>
      <c r="AW1273" cm="1">
        <f t="array" ref="AW1273">IFERROR(IF(AV1273=0,0,(INDEX($C$33:$C$38,MATCH($AZ$1194,$B$33:$B$38,0),0)*(AV1277+$BA$1194)+$AW$1194*COUNTIF(AV1273:AV1276,"&gt;0")*$C$32+$AY$1194*$C$31)*$AU$1194),0)</f>
        <v>0</v>
      </c>
      <c r="AX1273">
        <f>IF(AV1273=0,0,-(COUNTIF(AV1273:AV1276,"&gt;0")*$AW$1194*$C$32+$AY$1194*$C$31)*$H$27*$AU$1194)</f>
        <v>0</v>
      </c>
      <c r="AY1273">
        <f>IF(AV1273=0,0,$AY$1194*$H$26*$AU$1194)</f>
        <v>0</v>
      </c>
      <c r="AZ1273">
        <f>(0.6*AW1273+0.7*AX1273)*$AU$1194/2</f>
        <v>0</v>
      </c>
      <c r="BA1273">
        <f>(0.6*AW1273+0.6*AY1273)*$AU$1194/2</f>
        <v>0</v>
      </c>
      <c r="BC1273">
        <f>IF(AV1273=0,0,$BG$1194*$AP$1173)</f>
        <v>0</v>
      </c>
      <c r="BD1273">
        <f>IFERROR(BC1273/$AU$1194,0)</f>
        <v>0</v>
      </c>
      <c r="BE1273">
        <f>BC1273*($F$21+IF($F$21=0,0,($C$14+$C$15+IF($C$13="single",1.5,3)+3)/12))</f>
        <v>0</v>
      </c>
      <c r="BF1273">
        <f>BE1273-AZ1273</f>
        <v>0</v>
      </c>
      <c r="BG1273" cm="1">
        <f t="array" ref="BG1273">IFERROR(IF(BF1273&lt;0,0,BF1273/($AU$1194-INDEX(hd_off,MATCH(BT1273,hd_mark,0),0)/12)),0)</f>
        <v>0</v>
      </c>
      <c r="BH1273">
        <f>IF(AV1273=0,0,$BG$1194*$AM$1173)</f>
        <v>0</v>
      </c>
      <c r="BI1273">
        <f>IFERROR(BH1273/$AU$1194,0)</f>
        <v>0</v>
      </c>
      <c r="BJ1273">
        <f>BH1273*($F$21+IF($F$21=0,0,($C$14+$C$15+IF($C$13="single",1.5,3)+3)/12))</f>
        <v>0</v>
      </c>
      <c r="BK1273">
        <f>BJ1273-BA1273</f>
        <v>0</v>
      </c>
      <c r="BL1273" cm="1">
        <f t="array" ref="BL1273">IFERROR(IF(BK1273&lt;0,0,BK1273/($AU$1194-INDEX(hd_off,MATCH(BT1273,hd_mark,0),0)/12)),0)</f>
        <v>0</v>
      </c>
      <c r="BM1273">
        <f>MAX($F$21,$BB$1194)/$Q$1204</f>
        <v>0.30172413793103448</v>
      </c>
      <c r="BN1273">
        <f>IF(BM1273=0,0,IF(BM1273&gt;2,1.25-0.125*BM1273,1))</f>
        <v>1</v>
      </c>
      <c r="BO1273" cm="1">
        <f t="array" ref="BO1273">IFERROR(INDEX(sheath_ecap_asd,MATCH(BS1273,sheath_mark,0),0)*BN1273,0)</f>
        <v>0</v>
      </c>
      <c r="BP1273" cm="1">
        <f t="array" ref="BP1273">IFERROR(INDEX(sheath_wcap_asd,MATCH(BS1273,sheath_mark,0),0)*BN1273,0)</f>
        <v>0</v>
      </c>
      <c r="BQ1273" cm="1">
        <f t="array" ref="BQ1273">IFERROR(INDEX(hd_cap,MATCH(BT1273,hd_mark,0),0),0)</f>
        <v>0</v>
      </c>
      <c r="BS1273" s="19"/>
      <c r="BT1273" s="19"/>
      <c r="BU1273" s="100"/>
    </row>
    <row r="1274" x14ac:dyDescent="0.25">
      <c r="P1274" s="93"/>
      <c r="Q1274" s="109"/>
      <c r="R1274" t="str">
        <f>$Q$1174</f>
        <v>L3</v>
      </c>
      <c r="S1274">
        <f>$E$22</f>
        <v>21.375</v>
      </c>
      <c r="T1274" cm="1">
        <f t="array" ref="T1274">IFERROR(IF(S1274=0,0,(INDEX($C$33:$C$38,MATCH($W$1194,$B$33:$B$38,0),0)*(S1277+$X$1194)+$T$1194*COUNTIF(S1274:S1276,"&gt;0")*$C$32+$V$1194*$C$31)*$R$1194),0)</f>
        <v>0</v>
      </c>
      <c r="U1274">
        <f>IF(S1274=0,0,-(COUNTIF(S1274:S1276,"&gt;0")*$T$1194*$C$32+$V$1194*$C$31)*$H$27*$R$1194)</f>
        <v>0</v>
      </c>
      <c r="V1274">
        <f>IF(S1274=0,0,$V$1194*$H$26*$R$1194)</f>
        <v>0</v>
      </c>
      <c r="W1274">
        <f>(0.6*T1274+0.7*U1274)*$R$1194/2</f>
        <v>0</v>
      </c>
      <c r="X1274">
        <f>T1274*$R$1194/2</f>
        <v>0</v>
      </c>
      <c r="Z1274">
        <f>IF(S1274=0,0,$AD$1194*$AP$1174)</f>
        <v>0</v>
      </c>
      <c r="AA1274">
        <f>IFERROR(Z1274/$R$1194,0)</f>
        <v>0</v>
      </c>
      <c r="AB1274">
        <f>Z1274*($F$22+IF($F$22=0,0,($C$14+$C$15+IF($C$13="single",1.5,3)+3)/12))</f>
        <v>0</v>
      </c>
      <c r="AC1274">
        <f>AB1274-W1274</f>
        <v>0</v>
      </c>
      <c r="AD1274" cm="1">
        <f t="array" ref="AD1274">IFERROR(IF(AC1274&lt;0,0,AC1274/($R$1194-INDEX(hd_off,MATCH(AQ1274,hd_mark,0),0)/12)),0)</f>
        <v>0</v>
      </c>
      <c r="AE1274">
        <f>IF(S1274=0,0,$AD$1194*$AM$1174)</f>
        <v>0</v>
      </c>
      <c r="AF1274">
        <f>IFERROR(AE1274/$R$1194,0)</f>
        <v>0</v>
      </c>
      <c r="AG1274">
        <f>AE1274*($F$22+IF($F$22=0,0,($C$14+$C$15+IF($C$13="single",1.5,3)+3)/12))</f>
        <v>0</v>
      </c>
      <c r="AH1274">
        <f>AG1274-X1274</f>
        <v>0</v>
      </c>
      <c r="AI1274" cm="1">
        <f t="array" ref="AI1274">IFERROR(IF(AH1274&lt;0,0,AH1274/($R$1194-INDEX(hd_off,MATCH(AQ1274,hd_mark,0),0)/12)),0)</f>
        <v>0</v>
      </c>
      <c r="AJ1274">
        <f>MAX($F$22,$Z$1194)/$Q$1204</f>
        <v>0.30172413793103448</v>
      </c>
      <c r="AK1274">
        <f t="shared" ref="AK1274:AK1277" si="781">IF(AJ1274=0,0,IF(AJ1274&gt;2,1.25-0.125*AJ1274,1))</f>
        <v>1</v>
      </c>
      <c r="AL1274" cm="1">
        <f t="array" ref="AL1274">IFERROR(INDEX(sheath_ecap_asd,MATCH(AP1274,sheath_mark,0),0)*AK1274,0)</f>
        <v>0</v>
      </c>
      <c r="AM1274" cm="1">
        <f t="array" ref="AM1274">IFERROR(INDEX(sheath_wcap_asd,MATCH(AP1274,sheath_mark,0),0)*AK1274,0)</f>
        <v>0</v>
      </c>
      <c r="AN1274" cm="1">
        <f t="array" ref="AN1274">IFERROR(INDEX(hd_cap,MATCH(AQ1274,hd_mark,0),0),0)</f>
        <v>0</v>
      </c>
      <c r="AP1274" s="19"/>
      <c r="AQ1274" s="19"/>
      <c r="AR1274" s="100"/>
      <c r="AS1274" s="93"/>
      <c r="AT1274" s="109"/>
      <c r="AU1274" t="str">
        <f>$Q$1174</f>
        <v>L3</v>
      </c>
      <c r="AV1274">
        <f>$E$22</f>
        <v>21.375</v>
      </c>
      <c r="AW1274" cm="1">
        <f t="array" ref="AW1274">IFERROR(IF(AV1274=0,0,(INDEX($C$33:$C$38,MATCH($AZ$1194,$B$33:$B$38,0),0)*(AV1277+$BA$1194)+$AW$1194*COUNTIF(AV1274:AV1276,"&gt;0")*$C$32+$AY$1194*$C$31)*$AU$1194),0)</f>
        <v>0</v>
      </c>
      <c r="AX1274">
        <f>IF(AV1274=0,0,-(COUNTIF(AV1274:AV1276,"&gt;0")*$AW$1194*$C$32+$AY$1194*$C$31)*$H$27*$AU$1194)</f>
        <v>0</v>
      </c>
      <c r="AY1274">
        <f>IF(AV1274=0,0,$AY$1194*$H$26*$AU$1194)</f>
        <v>0</v>
      </c>
      <c r="AZ1274">
        <f>(0.6*AW1274+0.7*AX1274)*$AU$1194/2</f>
        <v>0</v>
      </c>
      <c r="BA1274">
        <f>AW1274*$AU$1194/2</f>
        <v>0</v>
      </c>
      <c r="BC1274">
        <f>IF(AV1274=0,0,$BG$1194*$AP$1174)</f>
        <v>0</v>
      </c>
      <c r="BD1274">
        <f>IFERROR(BC1274/$AU$1194,0)</f>
        <v>0</v>
      </c>
      <c r="BE1274">
        <f>BC1274*($F$22+IF($F$22=0,0,($C$14+$C$15+IF($C$13="single",1.5,3)+3)/12))</f>
        <v>0</v>
      </c>
      <c r="BF1274">
        <f>BE1274-AZ1274</f>
        <v>0</v>
      </c>
      <c r="BG1274" cm="1">
        <f t="array" ref="BG1274">IFERROR(IF(BF1274&lt;0,0,BF1274/($AU$1194-INDEX(hd_off,MATCH(BT1274,hd_mark,0),0)/12)),0)</f>
        <v>0</v>
      </c>
      <c r="BH1274">
        <f>IF(AV1274=0,0,$BG$1194*$AM$1174)</f>
        <v>0</v>
      </c>
      <c r="BI1274">
        <f>IFERROR(BH1274/$AU$1194,0)</f>
        <v>0</v>
      </c>
      <c r="BJ1274">
        <f>BH1274*($F$22+IF($F$22=0,0,($C$14+$C$15+IF($C$13="single",1.5,3)+3)/12))</f>
        <v>0</v>
      </c>
      <c r="BK1274">
        <f>BJ1274-BA1274</f>
        <v>0</v>
      </c>
      <c r="BL1274" cm="1">
        <f t="array" ref="BL1274">IFERROR(IF(BK1274&lt;0,0,BK1274/($AU$1194-INDEX(hd_off,MATCH(BT1274,hd_mark,0),0)/12)),0)</f>
        <v>0</v>
      </c>
      <c r="BM1274">
        <f>MAX($F$22,$BC$1194)/$Q$1204</f>
        <v>0.30172413793103448</v>
      </c>
      <c r="BN1274">
        <f t="shared" ref="BN1274:BN1277" si="782">IF(BM1274=0,0,IF(BM1274&gt;2,1.25-0.125*BM1274,1))</f>
        <v>1</v>
      </c>
      <c r="BO1274" cm="1">
        <f t="array" ref="BO1274">IFERROR(INDEX(sheath_ecap_asd,MATCH(BS1274,sheath_mark,0),0)*BN1274,0)</f>
        <v>0</v>
      </c>
      <c r="BP1274" cm="1">
        <f t="array" ref="BP1274">IFERROR(INDEX(sheath_wcap_asd,MATCH(BS1274,sheath_mark,0),0)*BN1274,0)</f>
        <v>0</v>
      </c>
      <c r="BQ1274" cm="1">
        <f t="array" ref="BQ1274">IFERROR(INDEX(hd_cap,MATCH(BT1274,hd_mark,0),0),0)</f>
        <v>0</v>
      </c>
      <c r="BS1274" s="19"/>
      <c r="BT1274" s="19"/>
      <c r="BU1274" s="100"/>
    </row>
    <row r="1275" x14ac:dyDescent="0.25">
      <c r="P1275" s="93"/>
      <c r="Q1275" s="109" t="s">
        <v>491</v>
      </c>
      <c r="R1275" t="str">
        <f>$Q$1175</f>
        <v>L4</v>
      </c>
      <c r="S1275">
        <f>$E$23</f>
        <v>0</v>
      </c>
      <c r="T1275" cm="1">
        <f t="array" ref="T1275">IFERROR(IF(S1275=0,0,(INDEX($C$33:$C$38,MATCH($W$1194,$B$33:$B$38,0),0)*(S1277+$X$1194)+$T$1194*COUNTIF(S1275:S1276,"&gt;0")*$C$32+$V$1194*$C$31)*$R$1194),0)</f>
        <v>0</v>
      </c>
      <c r="U1275">
        <f>IF(S1275=0,0,-(COUNTIF(S1275:S1276,"&gt;0")*$T$1194*$C$32+$V$1194*$C$31)*$H$27*$R$1194)</f>
        <v>0</v>
      </c>
      <c r="V1275">
        <f>IF(S1275=0,0,$V$1194*$H$26*$R$1194)</f>
        <v>0</v>
      </c>
      <c r="W1275">
        <f>(0.6*T1275+0.7*U1275)*$R$1194/2</f>
        <v>0</v>
      </c>
      <c r="X1275">
        <f>T1275*$R$1194/2</f>
        <v>0</v>
      </c>
      <c r="Z1275">
        <f>IF(S1275=0,0,$AD$1194*$AP$1175)</f>
        <v>0</v>
      </c>
      <c r="AA1275">
        <f>IFERROR(Z1275/$R$1194,0)</f>
        <v>0</v>
      </c>
      <c r="AB1275">
        <f>Z1275*($F$23+IF($F$23=0,0,($C$14+$C$15+IF($C$13="single",1.5,3)+3)/12))</f>
        <v>0</v>
      </c>
      <c r="AC1275">
        <f>AB1275-W1275</f>
        <v>0</v>
      </c>
      <c r="AD1275" cm="1">
        <f t="array" ref="AD1275">IFERROR(IF(AC1275&lt;0,0,AC1275/($R$1194-INDEX(hd_off,MATCH(AQ1275,hd_mark,0),0)/12)),0)</f>
        <v>0</v>
      </c>
      <c r="AE1275">
        <f>IF(S1275=0,0,$AD$1194*$AM$1175)</f>
        <v>0</v>
      </c>
      <c r="AF1275">
        <f>IFERROR(AE1275/$R$1194,0)</f>
        <v>0</v>
      </c>
      <c r="AG1275">
        <f>AE1275*($F$23+IF($F$23=0,0,($C$14+$C$15+IF($C$13="single",1.5,3)+3)/12))</f>
        <v>0</v>
      </c>
      <c r="AH1275">
        <f>AG1275-X1275</f>
        <v>0</v>
      </c>
      <c r="AI1275" cm="1">
        <f t="array" ref="AI1275">IFERROR(IF(AH1275&lt;0,0,AH1275/($R$1194-INDEX(hd_off,MATCH(AQ1275,hd_mark,0),0)/12)),0)</f>
        <v>0</v>
      </c>
      <c r="AJ1275">
        <f>MAX($F$23,$AA$1194)/$Q$1204</f>
        <v>0</v>
      </c>
      <c r="AK1275">
        <f t="shared" si="781"/>
        <v>0</v>
      </c>
      <c r="AL1275" cm="1">
        <f t="array" ref="AL1275">IFERROR(INDEX(sheath_ecap_asd,MATCH(AP1275,sheath_mark,0),0)*AK1275,0)</f>
        <v>0</v>
      </c>
      <c r="AM1275" cm="1">
        <f t="array" ref="AM1275">IFERROR(INDEX(sheath_wcap_asd,MATCH(AP1275,sheath_mark,0),0)*AK1275,0)</f>
        <v>0</v>
      </c>
      <c r="AN1275" cm="1">
        <f t="array" ref="AN1275">IFERROR(INDEX(hd_cap,MATCH(AQ1275,hd_mark,0),0),0)</f>
        <v>0</v>
      </c>
      <c r="AP1275" s="19"/>
      <c r="AQ1275" s="19"/>
      <c r="AR1275" s="100"/>
      <c r="AS1275" s="93"/>
      <c r="AT1275" s="109" t="s">
        <v>491</v>
      </c>
      <c r="AU1275" t="str">
        <f>$Q$1175</f>
        <v>L4</v>
      </c>
      <c r="AV1275">
        <f>$E$23</f>
        <v>0</v>
      </c>
      <c r="AW1275" cm="1">
        <f t="array" ref="AW1275">IFERROR(IF(AV1275=0,0,(INDEX($C$33:$C$38,MATCH($AZ$1194,$B$33:$B$38,0),0)*(AV1277+$BA$1194)+$AW$1194*COUNTIF(AV1275:AV1276,"&gt;0")*$C$32+$AY$1194*$C$31)*$AU$1194),0)</f>
        <v>0</v>
      </c>
      <c r="AX1275">
        <f>IF(AV1275=0,0,-(COUNTIF(AV1275:AV1276,"&gt;0")*$AW$1194*$C$32+$AY$1194*$C$31)*$H$27*$AU$1194)</f>
        <v>0</v>
      </c>
      <c r="AY1275">
        <f>IF(AV1275=0,0,$AY$1194*$H$26*$AU$1194)</f>
        <v>0</v>
      </c>
      <c r="AZ1275">
        <f>(0.6*AW1275+0.7*AX1275)*$AU$1194/2</f>
        <v>0</v>
      </c>
      <c r="BA1275">
        <f>AW1275*$AU$1194/2</f>
        <v>0</v>
      </c>
      <c r="BC1275">
        <f>IF(AV1275=0,0,$BG$1194*$AP$1175)</f>
        <v>0</v>
      </c>
      <c r="BD1275">
        <f>IFERROR(BC1275/$AU$1194,0)</f>
        <v>0</v>
      </c>
      <c r="BE1275">
        <f>BC1275*($F$23+IF($F$23=0,0,($C$14+$C$15+IF($C$13="single",1.5,3)+3)/12))</f>
        <v>0</v>
      </c>
      <c r="BF1275">
        <f>BE1275-AZ1275</f>
        <v>0</v>
      </c>
      <c r="BG1275" cm="1">
        <f t="array" ref="BG1275">IFERROR(IF(BF1275&lt;0,0,BF1275/($AU$1194-INDEX(hd_off,MATCH(BT1275,hd_mark,0),0)/12)),0)</f>
        <v>0</v>
      </c>
      <c r="BH1275">
        <f>IF(AV1275=0,0,$BG$1194*$AM$1175)</f>
        <v>0</v>
      </c>
      <c r="BI1275">
        <f>IFERROR(BH1275/$AU$1194,0)</f>
        <v>0</v>
      </c>
      <c r="BJ1275">
        <f>BH1275*($F$23+IF($F$23=0,0,($C$14+$C$15+IF($C$13="single",1.5,3)+3)/12))</f>
        <v>0</v>
      </c>
      <c r="BK1275">
        <f>BJ1275-BA1275</f>
        <v>0</v>
      </c>
      <c r="BL1275" cm="1">
        <f t="array" ref="BL1275">IFERROR(IF(BK1275&lt;0,0,BK1275/($AU$1194-INDEX(hd_off,MATCH(BT1275,hd_mark,0),0)/12)),0)</f>
        <v>0</v>
      </c>
      <c r="BM1275">
        <f>MAX($F$23,$BD$1194)/$Q$1204</f>
        <v>0</v>
      </c>
      <c r="BN1275">
        <f t="shared" si="782"/>
        <v>0</v>
      </c>
      <c r="BO1275" cm="1">
        <f t="array" ref="BO1275">IFERROR(INDEX(sheath_ecap_asd,MATCH(BS1275,sheath_mark,0),0)*BN1275,0)</f>
        <v>0</v>
      </c>
      <c r="BP1275" cm="1">
        <f t="array" ref="BP1275">IFERROR(INDEX(sheath_wcap_asd,MATCH(BS1275,sheath_mark,0),0)*BN1275,0)</f>
        <v>0</v>
      </c>
      <c r="BQ1275" cm="1">
        <f t="array" ref="BQ1275">IFERROR(INDEX(hd_cap,MATCH(BT1275,hd_mark,0),0),0)</f>
        <v>0</v>
      </c>
      <c r="BS1275" s="19"/>
      <c r="BT1275" s="19"/>
      <c r="BU1275" s="100"/>
    </row>
    <row r="1276" x14ac:dyDescent="0.25">
      <c r="P1276" s="93"/>
      <c r="Q1276" s="111">
        <f>$R$1194</f>
        <v>0</v>
      </c>
      <c r="R1276" t="str">
        <f>$Q$1176</f>
        <v>L5</v>
      </c>
      <c r="S1276">
        <f>$E$24</f>
        <v>0</v>
      </c>
      <c r="T1276" cm="1">
        <f t="array" ref="T1276">IFERROR(IF(S1276=0,0,(INDEX($C$33:$C$38,MATCH($W$1194,$B$33:$B$38,0),0)*(S1277+$X$1194)+$T$1194*COUNTIF(S1276:S1276,"&gt;0")*$C$32+$V$1194*$C$31)*$R$1194),0)</f>
        <v>0</v>
      </c>
      <c r="U1276">
        <f>IF(S1276=0,0,-(COUNTIF(S1276:S1276,"&gt;0")*$T$1194*$C$32+$V$1194*$C$31)*$H$27*$R$1194)</f>
        <v>0</v>
      </c>
      <c r="V1276">
        <f>IF(S1276=0,0,$V$1194*$H$26*$R$1194)</f>
        <v>0</v>
      </c>
      <c r="W1276">
        <f>(0.6*T1276+0.7*U1276)*$R$1194/2</f>
        <v>0</v>
      </c>
      <c r="X1276">
        <f>T1276*$R$1194/2</f>
        <v>0</v>
      </c>
      <c r="Z1276">
        <f>IF(S1276=0,0,$AD$1194*$AP$1176)</f>
        <v>0</v>
      </c>
      <c r="AA1276">
        <f>IFERROR(Z1276/$R$1194,0)</f>
        <v>0</v>
      </c>
      <c r="AB1276">
        <f>Z1276*($F$24+IF($F$24=0,0,($C$14+$C$15+IF($C$13="single",1.5,3)+3)/12))</f>
        <v>0</v>
      </c>
      <c r="AC1276">
        <f>AB1276-W1276</f>
        <v>0</v>
      </c>
      <c r="AD1276" cm="1">
        <f t="array" ref="AD1276">IFERROR(IF(AC1276&lt;0,0,AC1276/($R$1194-INDEX(hd_off,MATCH(AQ1276,hd_mark,0),0)/12)),0)</f>
        <v>0</v>
      </c>
      <c r="AE1276">
        <f>IF(S1276=0,0,$AD$1194*$AM$1176)</f>
        <v>0</v>
      </c>
      <c r="AF1276">
        <f>IFERROR(AE1276/$R$1194,0)</f>
        <v>0</v>
      </c>
      <c r="AG1276">
        <f>AE1276*($F$24+IF($F$24=0,0,($C$14+$C$15+IF($C$13="single",1.5,3)+3)/12))</f>
        <v>0</v>
      </c>
      <c r="AH1276">
        <f>AG1276-X1276</f>
        <v>0</v>
      </c>
      <c r="AI1276" cm="1">
        <f t="array" ref="AI1276">IFERROR(IF(AH1276&lt;0,0,AH1276/($R$1194-INDEX(hd_off,MATCH(AQ1276,hd_mark,0),0)/12)),0)</f>
        <v>0</v>
      </c>
      <c r="AJ1276">
        <f>MAX($F$24,$AB$1194)/$Q$1204</f>
        <v>0</v>
      </c>
      <c r="AK1276">
        <f t="shared" si="781"/>
        <v>0</v>
      </c>
      <c r="AL1276" cm="1">
        <f t="array" ref="AL1276">IFERROR(INDEX(sheath_ecap_asd,MATCH(AP1276,sheath_mark,0),0)*AK1276,0)</f>
        <v>0</v>
      </c>
      <c r="AM1276" cm="1">
        <f t="array" ref="AM1276">IFERROR(INDEX(sheath_wcap_asd,MATCH(AP1276,sheath_mark,0),0)*AK1276,0)</f>
        <v>0</v>
      </c>
      <c r="AN1276" cm="1">
        <f t="array" ref="AN1276">IFERROR(INDEX(hd_cap,MATCH(AQ1276,hd_mark,0),0),0)</f>
        <v>0</v>
      </c>
      <c r="AP1276" s="19"/>
      <c r="AQ1276" s="19"/>
      <c r="AR1276" s="100"/>
      <c r="AS1276" s="93"/>
      <c r="AT1276" s="111">
        <f>$R$1194</f>
        <v>0</v>
      </c>
      <c r="AU1276" t="str">
        <f>$Q$1176</f>
        <v>L5</v>
      </c>
      <c r="AV1276">
        <f>$E$24</f>
        <v>0</v>
      </c>
      <c r="AW1276" cm="1">
        <f t="array" ref="AW1276">IFERROR(IF(AV1276=0,0,(INDEX($C$33:$C$38,MATCH($AZ$1194,$B$33:$B$38,0),0)*(AV1277+$BA$1194)+$AW$1194*COUNTIF(AV1276:AV1276,"&gt;0")*$C$32+$AY$1194*$C$31)*$AU$1194),0)</f>
        <v>0</v>
      </c>
      <c r="AX1276">
        <f>IF(AV1276=0,0,-(COUNTIF(AV1276:AV1276,"&gt;0")*$AW$1194*$C$32+$AY$1194*$C$31)*$H$27*$AU$1194)</f>
        <v>0</v>
      </c>
      <c r="AY1276">
        <f>IF(AV1276=0,0,$AY$1194*$H$26*$AU$1194)</f>
        <v>0</v>
      </c>
      <c r="AZ1276">
        <f>(0.6*AW1276+0.7*AX1276)*$AU$1194/2</f>
        <v>0</v>
      </c>
      <c r="BA1276">
        <f>AW1276*$AU$1194/2</f>
        <v>0</v>
      </c>
      <c r="BC1276">
        <f>IF(AV1276=0,0,$BG$1194*$AP$1176)</f>
        <v>0</v>
      </c>
      <c r="BD1276">
        <f>IFERROR(BC1276/$AU$1194,0)</f>
        <v>0</v>
      </c>
      <c r="BE1276">
        <f>BC1276*($F$24+IF($F$24=0,0,($C$14+$C$15+IF($C$13="single",1.5,3)+3)/12))</f>
        <v>0</v>
      </c>
      <c r="BF1276">
        <f>BE1276-AZ1276</f>
        <v>0</v>
      </c>
      <c r="BG1276" cm="1">
        <f t="array" ref="BG1276">IFERROR(IF(BF1276&lt;0,0,BF1276/($AU$1194-INDEX(hd_off,MATCH(BT1276,hd_mark,0),0)/12)),0)</f>
        <v>0</v>
      </c>
      <c r="BH1276">
        <f>IF(AV1276=0,0,$BG$1194*$AM$1176)</f>
        <v>0</v>
      </c>
      <c r="BI1276">
        <f>IFERROR(BH1276/$AU$1194,0)</f>
        <v>0</v>
      </c>
      <c r="BJ1276">
        <f>BH1276*($F$24+IF($F$24=0,0,($C$14+$C$15+IF($C$13="single",1.5,3)+3)/12))</f>
        <v>0</v>
      </c>
      <c r="BK1276">
        <f>BJ1276-BA1276</f>
        <v>0</v>
      </c>
      <c r="BL1276" cm="1">
        <f t="array" ref="BL1276">IFERROR(IF(BK1276&lt;0,0,BK1276/($AU$1194-INDEX(hd_off,MATCH(BT1276,hd_mark,0),0)/12)),0)</f>
        <v>0</v>
      </c>
      <c r="BM1276">
        <f>MAX($F$24,$BE$1194)/$Q$1204</f>
        <v>0</v>
      </c>
      <c r="BN1276">
        <f t="shared" si="782"/>
        <v>0</v>
      </c>
      <c r="BO1276" cm="1">
        <f t="array" ref="BO1276">IFERROR(INDEX(sheath_ecap_asd,MATCH(BS1276,sheath_mark,0),0)*BN1276,0)</f>
        <v>0</v>
      </c>
      <c r="BP1276" cm="1">
        <f t="array" ref="BP1276">IFERROR(INDEX(sheath_wcap_asd,MATCH(BS1276,sheath_mark,0),0)*BN1276,0)</f>
        <v>0</v>
      </c>
      <c r="BQ1276" cm="1">
        <f t="array" ref="BQ1276">IFERROR(INDEX(hd_cap,MATCH(BT1276,hd_mark,0),0),0)</f>
        <v>0</v>
      </c>
      <c r="BS1276" s="19"/>
      <c r="BT1276" s="19"/>
      <c r="BU1276" s="100"/>
    </row>
    <row r="1277" x14ac:dyDescent="0.25">
      <c r="P1277" s="93"/>
      <c r="Q1277" s="109"/>
      <c r="R1277" t="str">
        <f>$Q$1177</f>
        <v>Roof</v>
      </c>
      <c r="S1277">
        <f>$E$25</f>
        <v>33.171875</v>
      </c>
      <c r="T1277" cm="1">
        <f t="array" ref="T1277">IFERROR(IF(S1277=0,0,(INDEX($C$33:$C$38,MATCH($W$1194,$B$33:$B$38,0),0)*(S1277+$X$1194)+$V$1194*$C$31)*$R$1194),0)</f>
        <v>0</v>
      </c>
      <c r="U1277">
        <f>IF(S1277=0,0,-$V$1194*$C$31*$H$27*$R$1194)</f>
        <v>0</v>
      </c>
      <c r="V1277">
        <f>IF(S1277=0,0,$V$1194*$H$26*$R$1194)</f>
        <v>0</v>
      </c>
      <c r="W1277">
        <f>(0.6*T1277+0.7*U1277)*$R$1194/2</f>
        <v>0</v>
      </c>
      <c r="X1277">
        <f>T1277*$R$1194/2</f>
        <v>0</v>
      </c>
      <c r="Z1277">
        <f>IF(S1277=0,0,$AD$1194*$AP$1177)</f>
        <v>0</v>
      </c>
      <c r="AA1277">
        <f>IFERROR(Z1277/$R$1194,0)</f>
        <v>0</v>
      </c>
      <c r="AB1277">
        <f>Z1277*($F$25+($C$16+$C$17+IF($C$13="single",1.5,3)+3)/12)</f>
        <v>0</v>
      </c>
      <c r="AC1277">
        <f>AB1277-W1277</f>
        <v>0</v>
      </c>
      <c r="AD1277" cm="1">
        <f t="array" ref="AD1277">IFERROR(IF(AC1277&lt;0,0,AC1277/($R$1194-INDEX(hd_off,MATCH(AQ1277,hd_mark,0),0)/12)),0)</f>
        <v>0</v>
      </c>
      <c r="AE1277">
        <f>IF(S1277=0,0,$AD$1194*$AM$1177)</f>
        <v>0</v>
      </c>
      <c r="AF1277">
        <f>IFERROR(AE1277/$R$1194,0)</f>
        <v>0</v>
      </c>
      <c r="AG1277">
        <f>AE1277*($F$25+($C$16+$C$17+IF($C$13="single",1.5,3)+3)/12)</f>
        <v>0</v>
      </c>
      <c r="AH1277">
        <f>AG1277-X1277</f>
        <v>0</v>
      </c>
      <c r="AI1277" cm="1">
        <f t="array" ref="AI1277">IFERROR(IF(AH1277&lt;0,0,AH1277/($R$1194-INDEX(hd_off,MATCH(AQ1277,hd_mark,0),0)/12)),0)</f>
        <v>0</v>
      </c>
      <c r="AJ1277">
        <f>MAX($F$25,$AC$1194)/$Q$1204</f>
        <v>0.29920977011494249</v>
      </c>
      <c r="AK1277">
        <f t="shared" si="781"/>
        <v>1</v>
      </c>
      <c r="AL1277" cm="1">
        <f t="array" ref="AL1277">IFERROR(INDEX(sheath_ecap_asd,MATCH(AP1277,sheath_mark,0),0)*AK1277,0)</f>
        <v>0</v>
      </c>
      <c r="AM1277" cm="1">
        <f t="array" ref="AM1277">IFERROR(INDEX(sheath_wcap_asd,MATCH(AP1277,sheath_mark,0),0)*AK1277,0)</f>
        <v>0</v>
      </c>
      <c r="AN1277" cm="1">
        <f t="array" ref="AN1277">IFERROR(INDEX(hd_cap,MATCH(AQ1277,hd_mark,0),0),0)</f>
        <v>0</v>
      </c>
      <c r="AP1277" s="19"/>
      <c r="AQ1277" s="19"/>
      <c r="AR1277" s="100"/>
      <c r="AS1277" s="93"/>
      <c r="AT1277" s="109"/>
      <c r="AU1277" t="str">
        <f>$Q$1177</f>
        <v>Roof</v>
      </c>
      <c r="AV1277">
        <f>$E$25</f>
        <v>33.171875</v>
      </c>
      <c r="AW1277" cm="1">
        <f t="array" ref="AW1277">IFERROR(IF(AV1277=0,0,(INDEX($C$33:$C$38,MATCH($AZ$1194,$B$33:$B$38,0),0)*(AV1277+$BA$1194)+$AY$1194*$C$31)*$AU$1194),0)</f>
        <v>0</v>
      </c>
      <c r="AX1277">
        <f>IF(AV1277=0,0,-$AY$1194*$C$31*$H$27*$AU$1194)</f>
        <v>0</v>
      </c>
      <c r="AY1277">
        <f>IF(AV1277=0,0,$AY$1194*$H$26*$AU$1194)</f>
        <v>0</v>
      </c>
      <c r="AZ1277">
        <f>(0.6*AW1277+0.7*AX1277)*$AU$1194/2</f>
        <v>0</v>
      </c>
      <c r="BA1277">
        <f>AW1277*$AU$1194/2</f>
        <v>0</v>
      </c>
      <c r="BC1277">
        <f>IF(AV1277=0,0,$BG$1194*$AP$1177)</f>
        <v>0</v>
      </c>
      <c r="BD1277">
        <f>IFERROR(BC1277/$AU$1194,0)</f>
        <v>0</v>
      </c>
      <c r="BE1277">
        <f>BC1277*($F$25+($C$16+$C$17+IF($C$13="single",1.5,3)+3)/12)</f>
        <v>0</v>
      </c>
      <c r="BF1277">
        <f>BE1277-AZ1277</f>
        <v>0</v>
      </c>
      <c r="BG1277" cm="1">
        <f t="array" ref="BG1277">IFERROR(IF(BF1277&lt;0,0,BF1277/($AU$1194-INDEX(hd_off,MATCH(BT1277,hd_mark,0),0)/12)),0)</f>
        <v>0</v>
      </c>
      <c r="BH1277">
        <f>IF(AV1277=0,0,$BG$1194*$AM$1177)</f>
        <v>0</v>
      </c>
      <c r="BI1277">
        <f>IFERROR(BH1277/$AU$1194,0)</f>
        <v>0</v>
      </c>
      <c r="BJ1277">
        <f>BH1277*($F$25+($C$16+$C$17+IF($C$13="single",1.5,3)+3)/12)</f>
        <v>0</v>
      </c>
      <c r="BK1277">
        <f>BJ1277-BA1277</f>
        <v>0</v>
      </c>
      <c r="BL1277" cm="1">
        <f t="array" ref="BL1277">IFERROR(IF(BK1277&lt;0,0,BK1277/($AU$1194-INDEX(hd_off,MATCH(BT1277,hd_mark,0),0)/12)),0)</f>
        <v>0</v>
      </c>
      <c r="BM1277">
        <f>MAX($F$25,$BF$1194)/$Q$1204</f>
        <v>0.29920977011494249</v>
      </c>
      <c r="BN1277">
        <f t="shared" si="782"/>
        <v>1</v>
      </c>
      <c r="BO1277" cm="1">
        <f t="array" ref="BO1277">IFERROR(INDEX(sheath_ecap_asd,MATCH(BS1277,sheath_mark,0),0)*BN1277,0)</f>
        <v>0</v>
      </c>
      <c r="BP1277" cm="1">
        <f t="array" ref="BP1277">IFERROR(INDEX(sheath_wcap_asd,MATCH(BS1277,sheath_mark,0),0)*BN1277,0)</f>
        <v>0</v>
      </c>
      <c r="BQ1277" cm="1">
        <f t="array" ref="BQ1277">IFERROR(INDEX(hd_cap,MATCH(BT1277,hd_mark,0),0),0)</f>
        <v>0</v>
      </c>
      <c r="BS1277" s="19"/>
      <c r="BT1277" s="19"/>
      <c r="BU1277" s="100"/>
    </row>
    <row r="1278" x14ac:dyDescent="0.25">
      <c r="P1278" s="93"/>
      <c r="AR1278" s="100"/>
      <c r="AS1278" s="93"/>
      <c r="BU1278" s="100"/>
    </row>
    <row r="1279" x14ac:dyDescent="0.25">
      <c r="P1279" s="93"/>
      <c r="Q1279" s="110" t="str">
        <f>$Q$1195</f>
        <v>A.14</v>
      </c>
      <c r="R1279" t="str">
        <f>$Q$1173</f>
        <v>L2</v>
      </c>
      <c r="S1279">
        <f>$E$21</f>
        <v>10.6875</v>
      </c>
      <c r="T1279" cm="1">
        <f t="array" ref="T1279">IFERROR(IF(S1279=0,0,(INDEX($C$33:$C$38,MATCH($W$1195,$B$33:$B$38,0),0)*(S1283+$X$1195)+$T$1195*COUNTIF(S1279:S1295,"&gt;0")*$C$32+$V$1195*$C$31)*$R$1195),0)</f>
        <v>0</v>
      </c>
      <c r="U1279">
        <f>IF(S1279=0,0,-(COUNTIF(S1279:S1295,"&gt;0")*$T$1195*$C$32+$V$1195*$C$31)*$H$27*$R$1195)</f>
        <v>0</v>
      </c>
      <c r="V1279">
        <f>IF(S1279=0,0,$V$1195*$H$26*$R$1195)</f>
        <v>0</v>
      </c>
      <c r="W1279">
        <f>(0.6*T1279+0.7*U1279)*$R$1195/2</f>
        <v>0</v>
      </c>
      <c r="X1279">
        <f>(0.6*T1279+0.6*V1279)*$R$1195/2</f>
        <v>0</v>
      </c>
      <c r="Z1279">
        <f>IF(S1279=0,0,$AD$1195*$AP$1173)</f>
        <v>0</v>
      </c>
      <c r="AA1279">
        <f>IFERROR(Z1279/$R$1195,0)</f>
        <v>0</v>
      </c>
      <c r="AB1279">
        <f>Z1279*($F$21+IF($F$21=0,0,($C$14+$C$15+IF($C$13="single",1.5,3)+3)/12))</f>
        <v>0</v>
      </c>
      <c r="AC1279">
        <f>AB1279-W1279</f>
        <v>0</v>
      </c>
      <c r="AD1279" cm="1">
        <f t="array" ref="AD1279">IFERROR(IF(AC1279&lt;0,0,AC1279/($R$1195-INDEX(hd_off,MATCH(AQ1279,hd_mark,0),0)/12)),0)</f>
        <v>0</v>
      </c>
      <c r="AE1279">
        <f>IF(S1279=0,0,$AD$1195*$AM$1173)</f>
        <v>0</v>
      </c>
      <c r="AF1279">
        <f>IFERROR(AE1279/$R$1195,0)</f>
        <v>0</v>
      </c>
      <c r="AG1279">
        <f>AE1279*($F$21+IF($F$21=0,0,($C$14+$C$15+IF($C$13="single",1.5,3)+3)/12))</f>
        <v>0</v>
      </c>
      <c r="AH1279">
        <f>AG1279-X1279</f>
        <v>0</v>
      </c>
      <c r="AI1279" cm="1">
        <f t="array" ref="AI1279">IFERROR(IF(AH1279&lt;0,0,AH1279/($R$1195-INDEX(hd_off,MATCH(AQ1279,hd_mark,0),0)/12)),0)</f>
        <v>0</v>
      </c>
      <c r="AJ1279">
        <f>MAX($F$21,$Y$1195)/$Q$1204</f>
        <v>0.30172413793103448</v>
      </c>
      <c r="AK1279">
        <f>IF(AJ1279=0,0,IF(AJ1279&gt;2,1.25-0.125*AJ1279,1))</f>
        <v>1</v>
      </c>
      <c r="AL1279" cm="1">
        <f t="array" ref="AL1279">IFERROR(INDEX(sheath_ecap_asd,MATCH(AP1279,sheath_mark,0),0)*AK1279,0)</f>
        <v>0</v>
      </c>
      <c r="AM1279" cm="1">
        <f t="array" ref="AM1279">IFERROR(INDEX(sheath_wcap_asd,MATCH(AP1279,sheath_mark,0),0)*AK1279,0)</f>
        <v>0</v>
      </c>
      <c r="AN1279" cm="1">
        <f t="array" ref="AN1279">IFERROR(INDEX(hd_cap,MATCH(AQ1279,hd_mark,0),0),0)</f>
        <v>0</v>
      </c>
      <c r="AP1279" s="19"/>
      <c r="AQ1279" s="19"/>
      <c r="AR1279" s="100"/>
      <c r="AS1279" s="93"/>
      <c r="AT1279" s="110" t="str">
        <f>$AT$1195</f>
        <v>1.14</v>
      </c>
      <c r="AU1279" t="str">
        <f>$Q$1173</f>
        <v>L2</v>
      </c>
      <c r="AV1279">
        <f>$E$21</f>
        <v>10.6875</v>
      </c>
      <c r="AW1279" cm="1">
        <f t="array" ref="AW1279">IFERROR(IF(AV1279=0,0,(INDEX($C$33:$C$38,MATCH($AZ$1195,$B$33:$B$38,0),0)*(AV1283+$BA$1195)+$AW$1195*COUNTIF(AV1279:AV1295,"&gt;0")*$C$32+$AY$1195*$C$31)*$AU$1195),0)</f>
        <v>0</v>
      </c>
      <c r="AX1279">
        <f>IF(AV1279=0,0,-(COUNTIF(AV1279:AV1295,"&gt;0")*$AW$1195*$C$32+$AY$1195*$C$31)*$H$27*$AU$1195)</f>
        <v>0</v>
      </c>
      <c r="AY1279">
        <f>IF(AV1279=0,0,$AY$1195*$H$26*$AU$1195)</f>
        <v>0</v>
      </c>
      <c r="AZ1279">
        <f>(0.6*AW1279+0.7*AX1279)*$AU$1195/2</f>
        <v>0</v>
      </c>
      <c r="BA1279">
        <f>(0.6*AW1279+0.6*AY1279)*$AU$1195/2</f>
        <v>0</v>
      </c>
      <c r="BC1279">
        <f>IF(AV1279=0,0,$BG$1195*$AP$1173)</f>
        <v>0</v>
      </c>
      <c r="BD1279">
        <f>IFERROR(BC1279/$AU$1195,0)</f>
        <v>0</v>
      </c>
      <c r="BE1279">
        <f>BC1279*($F$21+IF($F$21=0,0,($C$14+$C$15+IF($C$13="single",1.5,3)+3)/12))</f>
        <v>0</v>
      </c>
      <c r="BF1279">
        <f>BE1279-AZ1279</f>
        <v>0</v>
      </c>
      <c r="BG1279" cm="1">
        <f t="array" ref="BG1279">IFERROR(IF(BF1279&lt;0,0,BF1279/($AU$1195-INDEX(hd_off,MATCH(BT1279,hd_mark,0),0)/12)),0)</f>
        <v>0</v>
      </c>
      <c r="BH1279">
        <f>IF(AV1279=0,0,$BG$1195*$AM$1173)</f>
        <v>0</v>
      </c>
      <c r="BI1279">
        <f>IFERROR(BH1279/$AU$1195,0)</f>
        <v>0</v>
      </c>
      <c r="BJ1279">
        <f>BH1279*($F$21+IF($F$21=0,0,($C$14+$C$15+IF($C$13="single",1.5,3)+3)/12))</f>
        <v>0</v>
      </c>
      <c r="BK1279">
        <f>BJ1279-BA1279</f>
        <v>0</v>
      </c>
      <c r="BL1279" cm="1">
        <f t="array" ref="BL1279">IFERROR(IF(BK1279&lt;0,0,BK1279/($AU$1195-INDEX(hd_off,MATCH(BT1279,hd_mark,0),0)/12)),0)</f>
        <v>0</v>
      </c>
      <c r="BM1279">
        <f>MAX($F$21,$BB$1195)/$Q$1204</f>
        <v>0.30172413793103448</v>
      </c>
      <c r="BN1279">
        <f>IF(BM1279=0,0,IF(BM1279&gt;2,1.25-0.125*BM1279,1))</f>
        <v>1</v>
      </c>
      <c r="BO1279" cm="1">
        <f t="array" ref="BO1279">IFERROR(INDEX(sheath_ecap_asd,MATCH(BS1279,sheath_mark,0),0)*BN1279,0)</f>
        <v>0</v>
      </c>
      <c r="BP1279" cm="1">
        <f t="array" ref="BP1279">IFERROR(INDEX(sheath_wcap_asd,MATCH(BS1279,sheath_mark,0),0)*BN1279,0)</f>
        <v>0</v>
      </c>
      <c r="BQ1279" cm="1">
        <f t="array" ref="BQ1279">IFERROR(INDEX(hd_cap,MATCH(BT1279,hd_mark,0),0),0)</f>
        <v>0</v>
      </c>
      <c r="BS1279" s="19"/>
      <c r="BT1279" s="19"/>
      <c r="BU1279" s="100"/>
    </row>
    <row r="1280" x14ac:dyDescent="0.25">
      <c r="P1280" s="93"/>
      <c r="Q1280" s="109"/>
      <c r="R1280" t="str">
        <f>$Q$1174</f>
        <v>L3</v>
      </c>
      <c r="S1280">
        <f>$E$22</f>
        <v>21.375</v>
      </c>
      <c r="T1280" cm="1">
        <f t="array" ref="T1280">IFERROR(IF(S1280=0,0,(INDEX($C$33:$C$38,MATCH($W$1195,$B$33:$B$38,0),0)*(S1283+$X$1195)+$T$1195*COUNTIF(S1280:S1295,"&gt;0")*$C$32+$V$1195*$C$31)*$R$1195),0)</f>
        <v>0</v>
      </c>
      <c r="U1280">
        <f>IF(S1280=0,0,-(COUNTIF(S1280:S1295,"&gt;0")*$T$1195*$C$32+$V$1195*$C$31)*$H$27*$R$1195)</f>
        <v>0</v>
      </c>
      <c r="V1280">
        <f>IF(S1280=0,0,$V$1195*$H$26*$R$1195)</f>
        <v>0</v>
      </c>
      <c r="W1280">
        <f>(0.6*T1280+0.7*U1280)*$R$1195/2</f>
        <v>0</v>
      </c>
      <c r="X1280">
        <f>T1280*$R$1195/2</f>
        <v>0</v>
      </c>
      <c r="Z1280">
        <f>IF(S1280=0,0,$AD$1195*$AP$1174)</f>
        <v>0</v>
      </c>
      <c r="AA1280">
        <f>IFERROR(Z1280/$R$1195,0)</f>
        <v>0</v>
      </c>
      <c r="AB1280">
        <f>Z1280*($F$22+IF($F$22=0,0,($C$14+$C$15+IF($C$13="single",1.5,3)+3)/12))</f>
        <v>0</v>
      </c>
      <c r="AC1280">
        <f>AB1280-W1280</f>
        <v>0</v>
      </c>
      <c r="AD1280" cm="1">
        <f t="array" ref="AD1280">IFERROR(IF(AC1280&lt;0,0,AC1280/($R$1195-INDEX(hd_off,MATCH(AQ1280,hd_mark,0),0)/12)),0)</f>
        <v>0</v>
      </c>
      <c r="AE1280">
        <f>IF(S1280=0,0,$AD$1195*$AM$1174)</f>
        <v>0</v>
      </c>
      <c r="AF1280">
        <f>IFERROR(AE1280/$R$1195,0)</f>
        <v>0</v>
      </c>
      <c r="AG1280">
        <f>AE1280*($F$22+IF($F$22=0,0,($C$14+$C$15+IF($C$13="single",1.5,3)+3)/12))</f>
        <v>0</v>
      </c>
      <c r="AH1280">
        <f>AG1280-X1280</f>
        <v>0</v>
      </c>
      <c r="AI1280" cm="1">
        <f t="array" ref="AI1280">IFERROR(IF(AH1280&lt;0,0,AH1280/($R$1195-INDEX(hd_off,MATCH(AQ1280,hd_mark,0),0)/12)),0)</f>
        <v>0</v>
      </c>
      <c r="AJ1280">
        <f>MAX($F$22,$Z$1195)/$Q$1204</f>
        <v>0.30172413793103448</v>
      </c>
      <c r="AK1280">
        <f t="shared" ref="AK1280:AK1283" si="783">IF(AJ1280=0,0,IF(AJ1280&gt;2,1.25-0.125*AJ1280,1))</f>
        <v>1</v>
      </c>
      <c r="AL1280" cm="1">
        <f t="array" ref="AL1280">IFERROR(INDEX(sheath_ecap_asd,MATCH(AP1280,sheath_mark,0),0)*AK1280,0)</f>
        <v>0</v>
      </c>
      <c r="AM1280" cm="1">
        <f t="array" ref="AM1280">IFERROR(INDEX(sheath_wcap_asd,MATCH(AP1280,sheath_mark,0),0)*AK1280,0)</f>
        <v>0</v>
      </c>
      <c r="AN1280" cm="1">
        <f t="array" ref="AN1280">IFERROR(INDEX(hd_cap,MATCH(AQ1280,hd_mark,0),0),0)</f>
        <v>0</v>
      </c>
      <c r="AP1280" s="19"/>
      <c r="AQ1280" s="19"/>
      <c r="AR1280" s="100"/>
      <c r="AS1280" s="93"/>
      <c r="AT1280" s="109"/>
      <c r="AU1280" t="str">
        <f>$Q$1174</f>
        <v>L3</v>
      </c>
      <c r="AV1280">
        <f>$E$22</f>
        <v>21.375</v>
      </c>
      <c r="AW1280" cm="1">
        <f t="array" ref="AW1280">IFERROR(IF(AV1280=0,0,(INDEX($C$33:$C$38,MATCH($AZ$1195,$B$33:$B$38,0),0)*(AV1283+$BA$1195)+$AW$1195*COUNTIF(AV1280:AV1295,"&gt;0")*$C$32+$AY$1195*$C$31)*$AU$1195),0)</f>
        <v>0</v>
      </c>
      <c r="AX1280">
        <f>IF(AV1280=0,0,-(COUNTIF(AV1280:AV1295,"&gt;0")*$AW$1195*$C$32+$AY$1195*$C$31)*$H$27*$AU$1195)</f>
        <v>0</v>
      </c>
      <c r="AY1280">
        <f>IF(AV1280=0,0,$AY$1195*$H$26*$AU$1195)</f>
        <v>0</v>
      </c>
      <c r="AZ1280">
        <f>(0.6*AW1280+0.7*AX1280)*$AU$1195/2</f>
        <v>0</v>
      </c>
      <c r="BA1280">
        <f>AW1280*$AU$1195/2</f>
        <v>0</v>
      </c>
      <c r="BC1280">
        <f>IF(AV1280=0,0,$BG$1195*$AP$1174)</f>
        <v>0</v>
      </c>
      <c r="BD1280">
        <f>IFERROR(BC1280/$AU$1195,0)</f>
        <v>0</v>
      </c>
      <c r="BE1280">
        <f>BC1280*($F$22+IF($F$22=0,0,($C$14+$C$15+IF($C$13="single",1.5,3)+3)/12))</f>
        <v>0</v>
      </c>
      <c r="BF1280">
        <f>BE1280-AZ1280</f>
        <v>0</v>
      </c>
      <c r="BG1280" cm="1">
        <f t="array" ref="BG1280">IFERROR(IF(BF1280&lt;0,0,BF1280/($AU$1195-INDEX(hd_off,MATCH(BT1280,hd_mark,0),0)/12)),0)</f>
        <v>0</v>
      </c>
      <c r="BH1280">
        <f>IF(AV1280=0,0,$BG$1195*$AM$1174)</f>
        <v>0</v>
      </c>
      <c r="BI1280">
        <f>IFERROR(BH1280/$AU$1195,0)</f>
        <v>0</v>
      </c>
      <c r="BJ1280">
        <f>BH1280*($F$22+IF($F$22=0,0,($C$14+$C$15+IF($C$13="single",1.5,3)+3)/12))</f>
        <v>0</v>
      </c>
      <c r="BK1280">
        <f>BJ1280-BA1280</f>
        <v>0</v>
      </c>
      <c r="BL1280" cm="1">
        <f t="array" ref="BL1280">IFERROR(IF(BK1280&lt;0,0,BK1280/($AU$1195-INDEX(hd_off,MATCH(BT1280,hd_mark,0),0)/12)),0)</f>
        <v>0</v>
      </c>
      <c r="BM1280">
        <f>MAX($F$22,$BC$1195)/$Q$1204</f>
        <v>0.30172413793103448</v>
      </c>
      <c r="BN1280">
        <f t="shared" ref="BN1280:BN1281" si="784">IF(BM1280=0,0,IF(BM1280&gt;2,1.25-0.125*BM1280,1))</f>
        <v>1</v>
      </c>
      <c r="BO1280" cm="1">
        <f t="array" ref="BO1280">IFERROR(INDEX(sheath_ecap_asd,MATCH(BS1280,sheath_mark,0),0)*BN1280,0)</f>
        <v>0</v>
      </c>
      <c r="BP1280" cm="1">
        <f t="array" ref="BP1280">IFERROR(INDEX(sheath_wcap_asd,MATCH(BS1280,sheath_mark,0),0)*BN1280,0)</f>
        <v>0</v>
      </c>
      <c r="BQ1280" cm="1">
        <f t="array" ref="BQ1280">IFERROR(INDEX(hd_cap,MATCH(BT1280,hd_mark,0),0),0)</f>
        <v>0</v>
      </c>
      <c r="BS1280" s="19"/>
      <c r="BT1280" s="19"/>
      <c r="BU1280" s="100"/>
    </row>
    <row r="1281" x14ac:dyDescent="0.25">
      <c r="P1281" s="93"/>
      <c r="Q1281" s="109" t="s">
        <v>491</v>
      </c>
      <c r="R1281" t="str">
        <f>$Q$1175</f>
        <v>L4</v>
      </c>
      <c r="S1281">
        <f>$E$23</f>
        <v>0</v>
      </c>
      <c r="T1281" cm="1">
        <f t="array" ref="T1281">IFERROR(IF(S1281=0,0,(INDEX($C$33:$C$38,MATCH($W$1195,$B$33:$B$38,0),0)*(S1283+$X$1195)+$T$1195*COUNTIF(S1281:S1295,"&gt;0")*$C$32+$V$1195*$C$31)*$R$1195),0)</f>
        <v>0</v>
      </c>
      <c r="U1281">
        <f>IF(S1281=0,0,-(COUNTIF(S1281:S1295,"&gt;0")*$T$1195*$C$32+$V$1195*$C$31)*$H$27*$R$1195)</f>
        <v>0</v>
      </c>
      <c r="V1281">
        <f>IF(S1281=0,0,$V$1195*$H$26*$R$1195)</f>
        <v>0</v>
      </c>
      <c r="W1281">
        <f>(0.6*T1281+0.7*U1281)*$R$1195/2</f>
        <v>0</v>
      </c>
      <c r="X1281">
        <f>T1281*$R$1195/2</f>
        <v>0</v>
      </c>
      <c r="Z1281">
        <f>IF(S1281=0,0,$AD$1195*$AP$1175)</f>
        <v>0</v>
      </c>
      <c r="AA1281">
        <f>IFERROR(Z1281/$R$1195,0)</f>
        <v>0</v>
      </c>
      <c r="AB1281">
        <f>Z1281*($F$23+IF($F$23=0,0,($C$14+$C$15+IF($C$13="single",1.5,3)+3)/12))</f>
        <v>0</v>
      </c>
      <c r="AC1281">
        <f>AB1281-W1281</f>
        <v>0</v>
      </c>
      <c r="AD1281" cm="1">
        <f t="array" ref="AD1281">IFERROR(IF(AC1281&lt;0,0,AC1281/($R$1195-INDEX(hd_off,MATCH(AQ1281,hd_mark,0),0)/12)),0)</f>
        <v>0</v>
      </c>
      <c r="AE1281">
        <f>IF(S1281=0,0,$AD$1195*$AM$1175)</f>
        <v>0</v>
      </c>
      <c r="AF1281">
        <f>IFERROR(AE1281/$R$1195,0)</f>
        <v>0</v>
      </c>
      <c r="AG1281">
        <f>AE1281*($F$23+IF($F$23=0,0,($C$14+$C$15+IF($C$13="single",1.5,3)+3)/12))</f>
        <v>0</v>
      </c>
      <c r="AH1281">
        <f>AG1281-X1281</f>
        <v>0</v>
      </c>
      <c r="AI1281" cm="1">
        <f t="array" ref="AI1281">IFERROR(IF(AH1281&lt;0,0,AH1281/($R$1195-INDEX(hd_off,MATCH(AQ1281,hd_mark,0),0)/12)),0)</f>
        <v>0</v>
      </c>
      <c r="AJ1281">
        <f>MAX($F$23,$AA$1195)/$Q$1204</f>
        <v>0</v>
      </c>
      <c r="AK1281">
        <f t="shared" si="783"/>
        <v>0</v>
      </c>
      <c r="AL1281" cm="1">
        <f t="array" ref="AL1281">IFERROR(INDEX(sheath_ecap_asd,MATCH(AP1281,sheath_mark,0),0)*AK1281,0)</f>
        <v>0</v>
      </c>
      <c r="AM1281" cm="1">
        <f t="array" ref="AM1281">IFERROR(INDEX(sheath_wcap_asd,MATCH(AP1281,sheath_mark,0),0)*AK1281,0)</f>
        <v>0</v>
      </c>
      <c r="AN1281" cm="1">
        <f t="array" ref="AN1281">IFERROR(INDEX(hd_cap,MATCH(AQ1281,hd_mark,0),0),0)</f>
        <v>0</v>
      </c>
      <c r="AP1281" s="19"/>
      <c r="AQ1281" s="19"/>
      <c r="AR1281" s="100"/>
      <c r="AS1281" s="93"/>
      <c r="AT1281" s="109" t="s">
        <v>491</v>
      </c>
      <c r="AU1281" t="str">
        <f>$Q$1175</f>
        <v>L4</v>
      </c>
      <c r="AV1281">
        <f>$E$23</f>
        <v>0</v>
      </c>
      <c r="AW1281" cm="1">
        <f t="array" ref="AW1281">IFERROR(IF(AV1281=0,0,(INDEX($C$33:$C$38,MATCH($AZ$1195,$B$33:$B$38,0),0)*(AV1283+$BA$1195)+$AW$1195*COUNTIF(AV1281:AV1295,"&gt;0")*$C$32+$AY$1195*$C$31)*$AU$1195),0)</f>
        <v>0</v>
      </c>
      <c r="AX1281">
        <f>IF(AV1281=0,0,-(COUNTIF(AV1281:AV1295,"&gt;0")*$AW$1195*$C$32+$AY$1195*$C$31)*$H$27*$AU$1195)</f>
        <v>0</v>
      </c>
      <c r="AY1281">
        <f>IF(AV1281=0,0,$AY$1195*$H$26*$AU$1195)</f>
        <v>0</v>
      </c>
      <c r="AZ1281">
        <f>(0.6*AW1281+0.7*AX1281)*$AU$1195/2</f>
        <v>0</v>
      </c>
      <c r="BA1281">
        <f>AW1281*$AU$1195/2</f>
        <v>0</v>
      </c>
      <c r="BC1281">
        <f>IF(AV1281=0,0,$BG$1195*$AP$1175)</f>
        <v>0</v>
      </c>
      <c r="BD1281">
        <f>IFERROR(BC1281/$AU$1195,0)</f>
        <v>0</v>
      </c>
      <c r="BE1281">
        <f>BC1281*($F$23+IF($F$23=0,0,($C$14+$C$15+IF($C$13="single",1.5,3)+3)/12))</f>
        <v>0</v>
      </c>
      <c r="BF1281">
        <f>BE1281-AZ1281</f>
        <v>0</v>
      </c>
      <c r="BG1281" cm="1">
        <f t="array" ref="BG1281">IFERROR(IF(BF1281&lt;0,0,BF1281/($AU$1195-INDEX(hd_off,MATCH(BT1281,hd_mark,0),0)/12)),0)</f>
        <v>0</v>
      </c>
      <c r="BH1281">
        <f>IF(AV1281=0,0,$BG$1195*$AM$1175)</f>
        <v>0</v>
      </c>
      <c r="BI1281">
        <f>IFERROR(BH1281/$AU$1195,0)</f>
        <v>0</v>
      </c>
      <c r="BJ1281">
        <f>BH1281*($F$23+IF($F$23=0,0,($C$14+$C$15+IF($C$13="single",1.5,3)+3)/12))</f>
        <v>0</v>
      </c>
      <c r="BK1281">
        <f>BJ1281-BA1281</f>
        <v>0</v>
      </c>
      <c r="BL1281" cm="1">
        <f t="array" ref="BL1281">IFERROR(IF(BK1281&lt;0,0,BK1281/($AU$1195-INDEX(hd_off,MATCH(BT1281,hd_mark,0),0)/12)),0)</f>
        <v>0</v>
      </c>
      <c r="BM1281">
        <f>MAX($F$23,$BD$1195)/$Q$1204</f>
        <v>0</v>
      </c>
      <c r="BN1281">
        <f t="shared" si="784"/>
        <v>0</v>
      </c>
      <c r="BO1281" cm="1">
        <f t="array" ref="BO1281">IFERROR(INDEX(sheath_ecap_asd,MATCH(BS1281,sheath_mark,0),0)*BN1281,0)</f>
        <v>0</v>
      </c>
      <c r="BP1281" cm="1">
        <f t="array" ref="BP1281">IFERROR(INDEX(sheath_wcap_asd,MATCH(BS1281,sheath_mark,0),0)*BN1281,0)</f>
        <v>0</v>
      </c>
      <c r="BQ1281" cm="1">
        <f t="array" ref="BQ1281">IFERROR(INDEX(hd_cap,MATCH(BT1281,hd_mark,0),0),0)</f>
        <v>0</v>
      </c>
      <c r="BS1281" s="19"/>
      <c r="BT1281" s="19"/>
      <c r="BU1281" s="100"/>
    </row>
    <row r="1282" x14ac:dyDescent="0.25">
      <c r="P1282" s="93"/>
      <c r="Q1282" s="111">
        <f>$R$1195</f>
        <v>0</v>
      </c>
      <c r="R1282" t="str">
        <f>$Q$1176</f>
        <v>L5</v>
      </c>
      <c r="S1282">
        <f>$E$24</f>
        <v>0</v>
      </c>
      <c r="T1282" cm="1">
        <f t="array" ref="T1282">IFERROR(IF(S1295=0,0,(INDEX($C$33:$C$38,MATCH($W$1195,$B$33:$B$38,0),0)*(S1283+$X$1195)+$T$1195*COUNTIF(S1295:S1295,"&gt;0")*$C$32+$V$1195*$C$31)*$R$1195),0)</f>
        <v>0</v>
      </c>
      <c r="U1282">
        <f>IF(S1295=0,0,-(COUNTIF(S1295:S1295,"&gt;0")*$T$1195*$C$32+$V$1195*$C$31)*$H$27*$R$1195)</f>
        <v>0</v>
      </c>
      <c r="V1282">
        <f>IF(S1295=0,0,$V$1195*$H$26*$R$1195)</f>
        <v>0</v>
      </c>
      <c r="W1282">
        <f>(0.6*T1295+0.7*U1295)*$R$1195/2</f>
        <v>0</v>
      </c>
      <c r="X1282">
        <f>T1295*$R$1195/2</f>
        <v>0</v>
      </c>
      <c r="Z1282">
        <f>IF(S1295=0,0,$AD$1195*$AP$1176)</f>
        <v>0</v>
      </c>
      <c r="AA1282">
        <f>IFERROR(Z1295/$R$1195,0)</f>
        <v>0</v>
      </c>
      <c r="AB1282">
        <f>Z1295*($F$24+IF($F$24=0,0,($C$14+$C$15+IF($C$13="single",1.5,3)+3)/12))</f>
        <v>0</v>
      </c>
      <c r="AC1282">
        <f>AB1295-W1295</f>
        <v>0</v>
      </c>
      <c r="AD1282" cm="1">
        <f t="array" ref="AD1282">IFERROR(IF(AC1295&lt;0,0,AC1295/($R$1195-INDEX(hd_off,MATCH(AQ1295,hd_mark,0),0)/12)),0)</f>
        <v>0</v>
      </c>
      <c r="AE1282">
        <f>IF(S1295=0,0,$AD$1195*$AM$1176)</f>
        <v>0</v>
      </c>
      <c r="AF1282">
        <f>IFERROR(AE1295/$R$1195,0)</f>
        <v>0</v>
      </c>
      <c r="AG1282">
        <f>AE1295*($F$24+IF($F$24=0,0,($C$14+$C$15+IF($C$13="single",1.5,3)+3)/12))</f>
        <v>0</v>
      </c>
      <c r="AH1282">
        <f>AG1295-X1295</f>
        <v>0</v>
      </c>
      <c r="AI1282" cm="1">
        <f t="array" ref="AI1282">IFERROR(IF(AH1295&lt;0,0,AH1295/($R$1195-INDEX(hd_off,MATCH(AQ1295,hd_mark,0),0)/12)),0)</f>
        <v>0</v>
      </c>
      <c r="AJ1282">
        <f>MAX($F$24,$AB$1195)/$Q$1204</f>
        <v>0</v>
      </c>
      <c r="AK1282">
        <f>IF(AJ1295=0,0,IF(AJ1295&gt;2,1.25-0.125*AJ1295,1))</f>
        <v>1</v>
      </c>
      <c r="AL1282" cm="1">
        <f t="array" ref="AL1282">IFERROR(INDEX(sheath_ecap_asd,MATCH(AP1295,sheath_mark,0),0)*AK1295,0)</f>
        <v>0</v>
      </c>
      <c r="AM1282" cm="1">
        <f t="array" ref="AM1282">IFERROR(INDEX(sheath_wcap_asd,MATCH(AP1295,sheath_mark,0),0)*AK1295,0)</f>
        <v>0</v>
      </c>
      <c r="AN1282" cm="1">
        <f t="array" ref="AN1282">IFERROR(INDEX(hd_cap,MATCH(AQ1295,hd_mark,0),0),0)</f>
        <v>0</v>
      </c>
      <c r="AP1282" s="19"/>
      <c r="AQ1282" s="19"/>
      <c r="AR1282" s="100"/>
      <c r="AS1282" s="93"/>
      <c r="AT1282" s="111">
        <f>$R$1195</f>
        <v>0</v>
      </c>
      <c r="AU1282" t="str">
        <f>$Q$1176</f>
        <v>L5</v>
      </c>
      <c r="AV1282">
        <f>$E$24</f>
        <v>0</v>
      </c>
      <c r="AW1282" cm="1">
        <f t="array" ref="AW1282">IFERROR(IF(AV1295=0,0,(INDEX($C$33:$C$38,MATCH($AZ$1195,$B$33:$B$38,0),0)*(AV1283+$BA$1195)+$AW$1195*COUNTIF(AV1295:AV1295,"&gt;0")*$C$32+$AY$1195*$C$31)*$AU$1195),0)</f>
        <v>0</v>
      </c>
      <c r="AX1282">
        <f>IF(AV1295=0,0,-(COUNTIF(AV1295:AV1295,"&gt;0")*$AW$1195*$C$32+$AY$1195*$C$31)*$H$27*$AU$1195)</f>
        <v>0</v>
      </c>
      <c r="AY1282">
        <f>IF(AV1295=0,0,$AY$1195*$H$26*$AU$1195)</f>
        <v>0</v>
      </c>
      <c r="AZ1282">
        <f>(0.6*AW1295+0.7*AX1295)*$AU$1195/2</f>
        <v>0</v>
      </c>
      <c r="BA1282">
        <f>AW1295*$AU$1195/2</f>
        <v>0</v>
      </c>
      <c r="BC1282">
        <f>IF(AV1295=0,0,$BG$1195*$AP$1176)</f>
        <v>0</v>
      </c>
      <c r="BD1282">
        <f>IFERROR(BC1295/$AU$1195,0)</f>
        <v>0</v>
      </c>
      <c r="BE1282">
        <f>BC1295*($F$24+IF($F$24=0,0,($C$14+$C$15+IF($C$13="single",1.5,3)+3)/12))</f>
        <v>0</v>
      </c>
      <c r="BF1282">
        <f>BE1295-AZ1295</f>
        <v>0</v>
      </c>
      <c r="BG1282" cm="1">
        <f t="array" ref="BG1282">IFERROR(IF(BF1295&lt;0,0,BF1295/($AU$1195-INDEX(hd_off,MATCH(BT1295,hd_mark,0),0)/12)),0)</f>
        <v>0</v>
      </c>
      <c r="BH1282">
        <f>IF(AV1295=0,0,$BG$1195*$AM$1176)</f>
        <v>0</v>
      </c>
      <c r="BI1282">
        <f>IFERROR(BH1295/$AU$1195,0)</f>
        <v>0</v>
      </c>
      <c r="BJ1282">
        <f>BH1295*($F$24+IF($F$24=0,0,($C$14+$C$15+IF($C$13="single",1.5,3)+3)/12))</f>
        <v>0</v>
      </c>
      <c r="BK1282">
        <f>BJ1295-BA1295</f>
        <v>0</v>
      </c>
      <c r="BL1282" cm="1">
        <f t="array" ref="BL1282">IFERROR(IF(BK1295&lt;0,0,BK1295/($AU$1195-INDEX(hd_off,MATCH(BT1295,hd_mark,0),0)/12)),0)</f>
        <v>0</v>
      </c>
      <c r="BM1282">
        <f>MAX($F$24,$BE$1195)/$Q$1204</f>
        <v>0</v>
      </c>
      <c r="BN1282">
        <f>IF(BM1295=0,0,IF(BM1295&gt;2,1.25-0.125*BM1295,1))</f>
        <v>0</v>
      </c>
      <c r="BO1282" cm="1">
        <f t="array" ref="BO1282">IFERROR(INDEX(sheath_ecap_asd,MATCH(BS1295,sheath_mark,0),0)*BN1295,0)</f>
        <v>0</v>
      </c>
      <c r="BP1282" cm="1">
        <f t="array" ref="BP1282">IFERROR(INDEX(sheath_wcap_asd,MATCH(BS1295,sheath_mark,0),0)*BN1295,0)</f>
        <v>0</v>
      </c>
      <c r="BQ1282" cm="1">
        <f t="array" ref="BQ1282">IFERROR(INDEX(hd_cap,MATCH(BT1295,hd_mark,0),0),0)</f>
        <v>0</v>
      </c>
      <c r="BS1282" s="19"/>
      <c r="BT1282" s="19"/>
      <c r="BU1282" s="100"/>
    </row>
    <row r="1283" x14ac:dyDescent="0.25">
      <c r="P1283" s="93"/>
      <c r="Q1283" s="109"/>
      <c r="R1283" t="str">
        <f>$Q$1177</f>
        <v>Roof</v>
      </c>
      <c r="S1283">
        <f>$E$25</f>
        <v>33.171875</v>
      </c>
      <c r="T1283" cm="1">
        <f t="array" ref="T1283">IFERROR(IF(S1283=0,0,(INDEX($C$33:$C$38,MATCH($W$1195,$B$33:$B$38,0),0)*(S1283+$X$1195)+$V$1195*$C$31)*$R$1195),0)</f>
        <v>0</v>
      </c>
      <c r="U1283">
        <f>IF(S1283=0,0,-$V$1195*$C$31*$H$27*$R$1195)</f>
        <v>0</v>
      </c>
      <c r="V1283">
        <f>IF(S1283=0,0,$V$1195*$H$26*$R$1195)</f>
        <v>0</v>
      </c>
      <c r="W1283">
        <f>(0.6*T1283+0.7*U1283)*$R$1195/2</f>
        <v>0</v>
      </c>
      <c r="X1283">
        <f>T1283*$R$1195/2</f>
        <v>0</v>
      </c>
      <c r="Z1283">
        <f>IF(S1283=0,0,$AD$1195*$AP$1177)</f>
        <v>0</v>
      </c>
      <c r="AA1283">
        <f>IFERROR(Z1283/$R$1195,0)</f>
        <v>0</v>
      </c>
      <c r="AB1283">
        <f>Z1283*($F$25+($C$16+$C$17+IF($C$13="single",1.5,3)+3)/12)</f>
        <v>0</v>
      </c>
      <c r="AC1283">
        <f>AB1283-W1283</f>
        <v>0</v>
      </c>
      <c r="AD1283" cm="1">
        <f t="array" ref="AD1283">IFERROR(IF(AC1283&lt;0,0,AC1283/($R$1195-INDEX(hd_off,MATCH(AQ1283,hd_mark,0),0)/12)),0)</f>
        <v>0</v>
      </c>
      <c r="AE1283">
        <f>IF(S1283=0,0,$AD$1195*$AM$1177)</f>
        <v>0</v>
      </c>
      <c r="AF1283">
        <f>IFERROR(AE1283/$R$1195,0)</f>
        <v>0</v>
      </c>
      <c r="AG1283">
        <f>AE1283*($F$25+($C$16+$C$17+IF($C$13="single",1.5,3)+3)/12)</f>
        <v>0</v>
      </c>
      <c r="AH1283">
        <f>AG1283-X1283</f>
        <v>0</v>
      </c>
      <c r="AI1283" cm="1">
        <f t="array" ref="AI1283">IFERROR(IF(AH1283&lt;0,0,AH1283/($R$1195-INDEX(hd_off,MATCH(AQ1283,hd_mark,0),0)/12)),0)</f>
        <v>0</v>
      </c>
      <c r="AJ1283">
        <f>MAX($F$25,$AC$1195)/$Q$1204</f>
        <v>0.29920977011494249</v>
      </c>
      <c r="AK1283">
        <f t="shared" si="783"/>
        <v>1</v>
      </c>
      <c r="AL1283" cm="1">
        <f t="array" ref="AL1283">IFERROR(INDEX(sheath_ecap_asd,MATCH(AP1283,sheath_mark,0),0)*AK1283,0)</f>
        <v>0</v>
      </c>
      <c r="AM1283" cm="1">
        <f t="array" ref="AM1283">IFERROR(INDEX(sheath_wcap_asd,MATCH(AP1283,sheath_mark,0),0)*AK1283,0)</f>
        <v>0</v>
      </c>
      <c r="AN1283" cm="1">
        <f t="array" ref="AN1283">IFERROR(INDEX(hd_cap,MATCH(AQ1283,hd_mark,0),0),0)</f>
        <v>0</v>
      </c>
      <c r="AP1283" s="19"/>
      <c r="AQ1283" s="19"/>
      <c r="AR1283" s="100"/>
      <c r="AS1283" s="93"/>
      <c r="AT1283" s="109"/>
      <c r="AU1283" t="str">
        <f>$Q$1177</f>
        <v>Roof</v>
      </c>
      <c r="AV1283">
        <f>$E$25</f>
        <v>33.171875</v>
      </c>
      <c r="AW1283" cm="1">
        <f t="array" ref="AW1283">IFERROR(IF(AV1283=0,0,(INDEX($C$33:$C$38,MATCH($AZ$1195,$B$33:$B$38,0),0)*(AV1283+$BA$1195)+$AY$1195*$C$31)*$AU$1195),0)</f>
        <v>0</v>
      </c>
      <c r="AX1283">
        <f>IF(AV1283=0,0,-$AY$1195*$C$31*$H$27*$AU$1195)</f>
        <v>0</v>
      </c>
      <c r="AY1283">
        <f>IF(AV1283=0,0,$AY$1195*$H$26*$AU$1195)</f>
        <v>0</v>
      </c>
      <c r="AZ1283">
        <f>(0.6*AW1283+0.7*AX1283)*$AU$1195/2</f>
        <v>0</v>
      </c>
      <c r="BA1283">
        <f>AW1283*$AU$1195/2</f>
        <v>0</v>
      </c>
      <c r="BC1283">
        <f>IF(AV1283=0,0,$BG$1195*$AP$1177)</f>
        <v>0</v>
      </c>
      <c r="BD1283">
        <f>IFERROR(BC1283/$AU$1195,0)</f>
        <v>0</v>
      </c>
      <c r="BE1283">
        <f>BC1283*($F$25+($C$16+$C$17+IF($C$13="single",1.5,3)+3)/12)</f>
        <v>0</v>
      </c>
      <c r="BF1283">
        <f>BE1283-AZ1283</f>
        <v>0</v>
      </c>
      <c r="BG1283" cm="1">
        <f t="array" ref="BG1283">IFERROR(IF(BF1283&lt;0,0,BF1283/($AU$1195-INDEX(hd_off,MATCH(BT1283,hd_mark,0),0)/12)),0)</f>
        <v>0</v>
      </c>
      <c r="BH1283">
        <f>IF(AV1283=0,0,$BG$1195*$AM$1177)</f>
        <v>0</v>
      </c>
      <c r="BI1283">
        <f>IFERROR(BH1283/$AU$1195,0)</f>
        <v>0</v>
      </c>
      <c r="BJ1283">
        <f>BH1283*($F$25+($C$16+$C$17+IF($C$13="single",1.5,3)+3)/12)</f>
        <v>0</v>
      </c>
      <c r="BK1283">
        <f>BJ1283-BA1283</f>
        <v>0</v>
      </c>
      <c r="BL1283" cm="1">
        <f t="array" ref="BL1283">IFERROR(IF(BK1283&lt;0,0,BK1283/($AU$1195-INDEX(hd_off,MATCH(BT1283,hd_mark,0),0)/12)),0)</f>
        <v>0</v>
      </c>
      <c r="BM1283">
        <f>MAX($F$25,$BF$1195)/$Q$1204</f>
        <v>0.29920977011494249</v>
      </c>
      <c r="BN1283">
        <f t="shared" ref="BN1283" si="785">IF(BM1283=0,0,IF(BM1283&gt;2,1.25-0.125*BM1283,1))</f>
        <v>1</v>
      </c>
      <c r="BO1283" cm="1">
        <f t="array" ref="BO1283">IFERROR(INDEX(sheath_ecap_asd,MATCH(BS1283,sheath_mark,0),0)*BN1283,0)</f>
        <v>0</v>
      </c>
      <c r="BP1283" cm="1">
        <f t="array" ref="BP1283">IFERROR(INDEX(sheath_wcap_asd,MATCH(BS1283,sheath_mark,0),0)*BN1283,0)</f>
        <v>0</v>
      </c>
      <c r="BQ1283" cm="1">
        <f t="array" ref="BQ1283">IFERROR(INDEX(hd_cap,MATCH(BT1283,hd_mark,0),0),0)</f>
        <v>0</v>
      </c>
      <c r="BS1283" s="19"/>
      <c r="BT1283" s="19"/>
      <c r="BU1283" s="100"/>
    </row>
    <row r="1284" x14ac:dyDescent="0.25">
      <c r="P1284" s="93"/>
      <c r="AR1284" s="100"/>
      <c r="AS1284" s="93"/>
      <c r="BU1284" s="100"/>
    </row>
    <row r="1285" x14ac:dyDescent="0.25">
      <c r="P1285" s="93"/>
      <c r="Q1285" s="110" t="str">
        <f>$Q$1196</f>
        <v>A.15</v>
      </c>
      <c r="R1285" t="str">
        <f>$Q$1173</f>
        <v>L2</v>
      </c>
      <c r="S1285">
        <f>$E$21</f>
        <v>10.6875</v>
      </c>
      <c r="T1285" cm="1">
        <f t="array" ref="T1285">IFERROR(IF(S1285=0,0,(INDEX($C$33:$C$38,MATCH($W$1196,$B$33:$B$38,0),0)*(S1289+$X$1196)+$T$1196*COUNTIF(S1285:S1288,"&gt;0")*$C$32+$V$1196*$C$31)*$R$1196),0)</f>
        <v>0</v>
      </c>
      <c r="U1285">
        <f>IF(S1285=0,0,-(COUNTIF(S1285:S1288,"&gt;0")*$T$1196*$C$32+$V$1196*$C$31)*$H$27*$R$1196)</f>
        <v>0</v>
      </c>
      <c r="V1285">
        <f>IF(S1285=0,0,$V$1196*$H$26*$R$1196)</f>
        <v>0</v>
      </c>
      <c r="W1285">
        <f>(0.6*T1285+0.7*U1285)*$R$1196/2</f>
        <v>0</v>
      </c>
      <c r="X1285">
        <f>(0.6*T1285+0.6*V1285)*$R$1196/2</f>
        <v>0</v>
      </c>
      <c r="Z1285">
        <f>IF(S1285=0,0,$AD$1196*$AP$1173)</f>
        <v>0</v>
      </c>
      <c r="AA1285">
        <f>IFERROR(Z1285/$R$1196,0)</f>
        <v>0</v>
      </c>
      <c r="AB1285">
        <f>Z1285*($F$21+IF($F$21=0,0,($C$14+$C$15+IF($C$13="single",1.5,3)+3)/12))</f>
        <v>0</v>
      </c>
      <c r="AC1285">
        <f>AB1285-W1285</f>
        <v>0</v>
      </c>
      <c r="AD1285" cm="1">
        <f t="array" ref="AD1285">IFERROR(IF(AC1285&lt;0,0,AC1285/($R$1196-INDEX(hd_off,MATCH(AQ1285,hd_mark,0),0)/12)),0)</f>
        <v>0</v>
      </c>
      <c r="AE1285">
        <f>IF(S1285=0,0,$AD$1196*$AM$1173)</f>
        <v>0</v>
      </c>
      <c r="AF1285">
        <f>IFERROR(AE1285/$R$1196,0)</f>
        <v>0</v>
      </c>
      <c r="AG1285">
        <f>AE1285*($F$21+IF($F$21=0,0,($C$14+$C$15+IF($C$13="single",1.5,3)+3)/12))</f>
        <v>0</v>
      </c>
      <c r="AH1285">
        <f>AG1285-X1285</f>
        <v>0</v>
      </c>
      <c r="AI1285" cm="1">
        <f t="array" ref="AI1285">IFERROR(IF(AH1285&lt;0,0,AH1285/($R$1196-INDEX(hd_off,MATCH(AQ1285,hd_mark,0),0)/12)),0)</f>
        <v>0</v>
      </c>
      <c r="AJ1285">
        <f>MAX($F$21,$Y$1196)/$Q$1204</f>
        <v>0.30172413793103448</v>
      </c>
      <c r="AK1285">
        <f>IF(AJ1285=0,0,IF(AJ1285&gt;2,1.25-0.125*AJ1285,1))</f>
        <v>1</v>
      </c>
      <c r="AL1285" cm="1">
        <f t="array" ref="AL1285">IFERROR(INDEX(sheath_ecap_asd,MATCH(AP1285,sheath_mark,0),0)*AK1285,0)</f>
        <v>0</v>
      </c>
      <c r="AM1285" cm="1">
        <f t="array" ref="AM1285">IFERROR(INDEX(sheath_wcap_asd,MATCH(AP1285,sheath_mark,0),0)*AK1285,0)</f>
        <v>0</v>
      </c>
      <c r="AN1285" cm="1">
        <f t="array" ref="AN1285">IFERROR(INDEX(hd_cap,MATCH(AQ1285,hd_mark,0),0),0)</f>
        <v>0</v>
      </c>
      <c r="AP1285" s="19"/>
      <c r="AQ1285" s="19"/>
      <c r="AR1285" s="100"/>
      <c r="AS1285" s="93"/>
      <c r="AT1285" s="110" t="str">
        <f>$AT$1196</f>
        <v>1.15</v>
      </c>
      <c r="AU1285" t="str">
        <f>$Q$1173</f>
        <v>L2</v>
      </c>
      <c r="AV1285">
        <f>$E$21</f>
        <v>10.6875</v>
      </c>
      <c r="AW1285" cm="1">
        <f t="array" ref="AW1285">IFERROR(IF(AV1285=0,0,(INDEX($C$33:$C$38,MATCH($AZ$1196,$B$33:$B$38,0),0)*(AV1289+$BA$1196)+$AW$1196*COUNTIF(AV1285:AV1288,"&gt;0")*$C$32+$AY$1196*$C$31)*$AU$1196),0)</f>
        <v>0</v>
      </c>
      <c r="AX1285">
        <f>IF(AV1285=0,0,-(COUNTIF(AV1285:AV1288,"&gt;0")*$AW$1196*$C$32+$AY$1196*$C$31)*$H$27*$AU$1196)</f>
        <v>0</v>
      </c>
      <c r="AY1285">
        <f>IF(AV1285=0,0,$AY$1196*$H$26*$AU$1196)</f>
        <v>0</v>
      </c>
      <c r="AZ1285">
        <f>(0.6*AW1285+0.7*AX1285)*$AU$1196/2</f>
        <v>0</v>
      </c>
      <c r="BA1285">
        <f>(0.6*AW1285+0.6*AY1285)*$AU$1196/2</f>
        <v>0</v>
      </c>
      <c r="BC1285">
        <f>IF(AV1285=0,0,$BG$1196*$AP$1173)</f>
        <v>0</v>
      </c>
      <c r="BD1285">
        <f>IFERROR(BC1285/$AU$1196,0)</f>
        <v>0</v>
      </c>
      <c r="BE1285">
        <f>BC1285*($F$21+IF($F$21=0,0,($C$14+$C$15+IF($C$13="single",1.5,3)+3)/12))</f>
        <v>0</v>
      </c>
      <c r="BF1285">
        <f>BE1285-AZ1285</f>
        <v>0</v>
      </c>
      <c r="BG1285" cm="1">
        <f t="array" ref="BG1285">IFERROR(IF(BF1285&lt;0,0,BF1285/($AU$1196-INDEX(hd_off,MATCH(BT1285,hd_mark,0),0)/12)),0)</f>
        <v>0</v>
      </c>
      <c r="BH1285">
        <f>IF(AV1285=0,0,$BG$1196*$AM$1173)</f>
        <v>0</v>
      </c>
      <c r="BI1285">
        <f>IFERROR(BH1285/$AU$1196,0)</f>
        <v>0</v>
      </c>
      <c r="BJ1285">
        <f>BH1285*($F$21+IF($F$21=0,0,($C$14+$C$15+IF($C$13="single",1.5,3)+3)/12))</f>
        <v>0</v>
      </c>
      <c r="BK1285">
        <f>BJ1285-BA1285</f>
        <v>0</v>
      </c>
      <c r="BL1285" cm="1">
        <f t="array" ref="BL1285">IFERROR(IF(BK1285&lt;0,0,BK1285/($AU$1196-INDEX(hd_off,MATCH(BT1285,hd_mark,0),0)/12)),0)</f>
        <v>0</v>
      </c>
      <c r="BM1285">
        <f>MAX($F$21,$BB$1196)/$Q$1204</f>
        <v>0.30172413793103448</v>
      </c>
      <c r="BN1285">
        <f>IF(BM1285=0,0,IF(BM1285&gt;2,1.25-0.125*BM1285,1))</f>
        <v>1</v>
      </c>
      <c r="BO1285" cm="1">
        <f t="array" ref="BO1285">IFERROR(INDEX(sheath_ecap_asd,MATCH(BS1285,sheath_mark,0),0)*BN1285,0)</f>
        <v>0</v>
      </c>
      <c r="BP1285" cm="1">
        <f t="array" ref="BP1285">IFERROR(INDEX(sheath_wcap_asd,MATCH(BS1285,sheath_mark,0),0)*BN1285,0)</f>
        <v>0</v>
      </c>
      <c r="BQ1285" cm="1">
        <f t="array" ref="BQ1285">IFERROR(INDEX(hd_cap,MATCH(BT1285,hd_mark,0),0),0)</f>
        <v>0</v>
      </c>
      <c r="BS1285" s="19"/>
      <c r="BT1285" s="19"/>
      <c r="BU1285" s="100"/>
    </row>
    <row r="1286" x14ac:dyDescent="0.25">
      <c r="P1286" s="93"/>
      <c r="Q1286" s="109"/>
      <c r="R1286" t="str">
        <f>$Q$1174</f>
        <v>L3</v>
      </c>
      <c r="S1286">
        <f>$E$22</f>
        <v>21.375</v>
      </c>
      <c r="T1286" cm="1">
        <f t="array" ref="T1286">IFERROR(IF(S1286=0,0,(INDEX($C$33:$C$38,MATCH($W$1196,$B$33:$B$38,0),0)*(S1289+$X$1196)+$T$1196*COUNTIF(S1286:S1288,"&gt;0")*$C$32+$V$1196*$C$31)*$R$1196),0)</f>
        <v>0</v>
      </c>
      <c r="U1286">
        <f>IF(S1286=0,0,-(COUNTIF(S1286:S1288,"&gt;0")*$T$1196*$C$32+$V$1196*$C$31)*$H$27*$R$1196)</f>
        <v>0</v>
      </c>
      <c r="V1286">
        <f>IF(S1286=0,0,$V$1196*$H$26*$R$1196)</f>
        <v>0</v>
      </c>
      <c r="W1286">
        <f>(0.6*T1286+0.7*U1286)*$R$1196/2</f>
        <v>0</v>
      </c>
      <c r="X1286">
        <f>T1286*$R$1196/2</f>
        <v>0</v>
      </c>
      <c r="Z1286">
        <f>IF(S1286=0,0,$AD$1196*$AP$1174)</f>
        <v>0</v>
      </c>
      <c r="AA1286">
        <f>IFERROR(Z1286/$R$1196,0)</f>
        <v>0</v>
      </c>
      <c r="AB1286">
        <f>Z1286*($F$22+IF($F$22=0,0,($C$14+$C$15+IF($C$13="single",1.5,3)+3)/12))</f>
        <v>0</v>
      </c>
      <c r="AC1286">
        <f>AB1286-W1286</f>
        <v>0</v>
      </c>
      <c r="AD1286" cm="1">
        <f t="array" ref="AD1286">IFERROR(IF(AC1286&lt;0,0,AC1286/($R$1196-INDEX(hd_off,MATCH(AQ1286,hd_mark,0),0)/12)),0)</f>
        <v>0</v>
      </c>
      <c r="AE1286">
        <f>IF(S1286=0,0,$AD$1196*$AM$1174)</f>
        <v>0</v>
      </c>
      <c r="AF1286">
        <f>IFERROR(AE1286/$R$1196,0)</f>
        <v>0</v>
      </c>
      <c r="AG1286">
        <f>AE1286*($F$22+IF($F$22=0,0,($C$14+$C$15+IF($C$13="single",1.5,3)+3)/12))</f>
        <v>0</v>
      </c>
      <c r="AH1286">
        <f>AG1286-X1286</f>
        <v>0</v>
      </c>
      <c r="AI1286" cm="1">
        <f t="array" ref="AI1286">IFERROR(IF(AH1286&lt;0,0,AH1286/($R$1196-INDEX(hd_off,MATCH(AQ1286,hd_mark,0),0)/12)),0)</f>
        <v>0</v>
      </c>
      <c r="AJ1286">
        <f>MAX($F$22,$Z$1196)/$Q$1204</f>
        <v>0.30172413793103448</v>
      </c>
      <c r="AK1286">
        <f t="shared" ref="AK1286:AK1289" si="786">IF(AJ1286=0,0,IF(AJ1286&gt;2,1.25-0.125*AJ1286,1))</f>
        <v>1</v>
      </c>
      <c r="AL1286" cm="1">
        <f t="array" ref="AL1286">IFERROR(INDEX(sheath_ecap_asd,MATCH(AP1286,sheath_mark,0),0)*AK1286,0)</f>
        <v>0</v>
      </c>
      <c r="AM1286" cm="1">
        <f t="array" ref="AM1286">IFERROR(INDEX(sheath_wcap_asd,MATCH(AP1286,sheath_mark,0),0)*AK1286,0)</f>
        <v>0</v>
      </c>
      <c r="AN1286" cm="1">
        <f t="array" ref="AN1286">IFERROR(INDEX(hd_cap,MATCH(AQ1286,hd_mark,0),0),0)</f>
        <v>0</v>
      </c>
      <c r="AP1286" s="19"/>
      <c r="AQ1286" s="19"/>
      <c r="AR1286" s="100"/>
      <c r="AS1286" s="93"/>
      <c r="AT1286" s="109"/>
      <c r="AU1286" t="str">
        <f>$Q$1174</f>
        <v>L3</v>
      </c>
      <c r="AV1286">
        <f>$E$22</f>
        <v>21.375</v>
      </c>
      <c r="AW1286" cm="1">
        <f t="array" ref="AW1286">IFERROR(IF(AV1286=0,0,(INDEX($C$33:$C$38,MATCH($AZ$1196,$B$33:$B$38,0),0)*(AV1289+$BA$1196)+$AW$1196*COUNTIF(AV1286:AV1288,"&gt;0")*$C$32+$AY$1196*$C$31)*$AU$1196),0)</f>
        <v>0</v>
      </c>
      <c r="AX1286">
        <f>IF(AV1286=0,0,-(COUNTIF(AV1286:AV1288,"&gt;0")*$AW$1196*$C$32+$AY$1196*$C$31)*$H$27*$AU$1196)</f>
        <v>0</v>
      </c>
      <c r="AY1286">
        <f>IF(AV1286=0,0,$AY$1196*$H$26*$AU$1196)</f>
        <v>0</v>
      </c>
      <c r="AZ1286">
        <f>(0.6*AW1286+0.7*AX1286)*$AU$1196/2</f>
        <v>0</v>
      </c>
      <c r="BA1286">
        <f>AW1286*$AU$1196/2</f>
        <v>0</v>
      </c>
      <c r="BC1286">
        <f>IF(AV1286=0,0,$BG$1196*$AP$1174)</f>
        <v>0</v>
      </c>
      <c r="BD1286">
        <f>IFERROR(BC1286/$AU$1196,0)</f>
        <v>0</v>
      </c>
      <c r="BE1286">
        <f>BC1286*($F$22+IF($F$22=0,0,($C$14+$C$15+IF($C$13="single",1.5,3)+3)/12))</f>
        <v>0</v>
      </c>
      <c r="BF1286">
        <f>BE1286-AZ1286</f>
        <v>0</v>
      </c>
      <c r="BG1286" cm="1">
        <f t="array" ref="BG1286">IFERROR(IF(BF1286&lt;0,0,BF1286/($AU$1196-INDEX(hd_off,MATCH(BT1286,hd_mark,0),0)/12)),0)</f>
        <v>0</v>
      </c>
      <c r="BH1286">
        <f>IF(AV1286=0,0,$BG$1196*$AM$1174)</f>
        <v>0</v>
      </c>
      <c r="BI1286">
        <f>IFERROR(BH1286/$AU$1196,0)</f>
        <v>0</v>
      </c>
      <c r="BJ1286">
        <f>BH1286*($F$22+IF($F$22=0,0,($C$14+$C$15+IF($C$13="single",1.5,3)+3)/12))</f>
        <v>0</v>
      </c>
      <c r="BK1286">
        <f>BJ1286-BA1286</f>
        <v>0</v>
      </c>
      <c r="BL1286" cm="1">
        <f t="array" ref="BL1286">IFERROR(IF(BK1286&lt;0,0,BK1286/($AU$1196-INDEX(hd_off,MATCH(BT1286,hd_mark,0),0)/12)),0)</f>
        <v>0</v>
      </c>
      <c r="BM1286">
        <f>MAX($F$22,$BC$1196)/$Q$1204</f>
        <v>0.30172413793103448</v>
      </c>
      <c r="BN1286">
        <f t="shared" ref="BN1286:BN1289" si="787">IF(BM1286=0,0,IF(BM1286&gt;2,1.25-0.125*BM1286,1))</f>
        <v>1</v>
      </c>
      <c r="BO1286" cm="1">
        <f t="array" ref="BO1286">IFERROR(INDEX(sheath_ecap_asd,MATCH(BS1286,sheath_mark,0),0)*BN1286,0)</f>
        <v>0</v>
      </c>
      <c r="BP1286" cm="1">
        <f t="array" ref="BP1286">IFERROR(INDEX(sheath_wcap_asd,MATCH(BS1286,sheath_mark,0),0)*BN1286,0)</f>
        <v>0</v>
      </c>
      <c r="BQ1286" cm="1">
        <f t="array" ref="BQ1286">IFERROR(INDEX(hd_cap,MATCH(BT1286,hd_mark,0),0),0)</f>
        <v>0</v>
      </c>
      <c r="BS1286" s="19"/>
      <c r="BT1286" s="19"/>
      <c r="BU1286" s="100"/>
    </row>
    <row r="1287" x14ac:dyDescent="0.25">
      <c r="P1287" s="93"/>
      <c r="Q1287" s="109" t="s">
        <v>491</v>
      </c>
      <c r="R1287" t="str">
        <f>$Q$1175</f>
        <v>L4</v>
      </c>
      <c r="S1287">
        <f>$E$23</f>
        <v>0</v>
      </c>
      <c r="T1287" cm="1">
        <f t="array" ref="T1287">IFERROR(IF(S1287=0,0,(INDEX($C$33:$C$38,MATCH($W$1196,$B$33:$B$38,0),0)*(S1289+$X$1196)+$T$1196*COUNTIF(S1287:S1288,"&gt;0")*$C$32+$V$1196*$C$31)*$R$1196),0)</f>
        <v>0</v>
      </c>
      <c r="U1287">
        <f>IF(S1287=0,0,-(COUNTIF(S1287:S1288,"&gt;0")*$T$1196*$C$32+$V$1196*$C$31)*$H$27*$R$1196)</f>
        <v>0</v>
      </c>
      <c r="V1287">
        <f>IF(S1287=0,0,$V$1196*$H$26*$R$1196)</f>
        <v>0</v>
      </c>
      <c r="W1287">
        <f>(0.6*T1287+0.7*U1287)*$R$1196/2</f>
        <v>0</v>
      </c>
      <c r="X1287">
        <f>T1287*$R$1196/2</f>
        <v>0</v>
      </c>
      <c r="Z1287">
        <f>IF(S1287=0,0,$AD$1196*$AP$1175)</f>
        <v>0</v>
      </c>
      <c r="AA1287">
        <f>IFERROR(Z1287/$R$1196,0)</f>
        <v>0</v>
      </c>
      <c r="AB1287">
        <f>Z1287*($F$23+IF($F$23=0,0,($C$14+$C$15+IF($C$13="single",1.5,3)+3)/12))</f>
        <v>0</v>
      </c>
      <c r="AC1287">
        <f>AB1287-W1287</f>
        <v>0</v>
      </c>
      <c r="AD1287" cm="1">
        <f t="array" ref="AD1287">IFERROR(IF(AC1287&lt;0,0,AC1287/($R$1196-INDEX(hd_off,MATCH(AQ1287,hd_mark,0),0)/12)),0)</f>
        <v>0</v>
      </c>
      <c r="AE1287">
        <f>IF(S1287=0,0,$AD$1196*$AM$1175)</f>
        <v>0</v>
      </c>
      <c r="AF1287">
        <f>IFERROR(AE1287/$R$1196,0)</f>
        <v>0</v>
      </c>
      <c r="AG1287">
        <f>AE1287*($F$23+IF($F$23=0,0,($C$14+$C$15+IF($C$13="single",1.5,3)+3)/12))</f>
        <v>0</v>
      </c>
      <c r="AH1287">
        <f>AG1287-X1287</f>
        <v>0</v>
      </c>
      <c r="AI1287" cm="1">
        <f t="array" ref="AI1287">IFERROR(IF(AH1287&lt;0,0,AH1287/($R$1196-INDEX(hd_off,MATCH(AQ1287,hd_mark,0),0)/12)),0)</f>
        <v>0</v>
      </c>
      <c r="AJ1287">
        <f>MAX($F$23,$AA$1196)/$Q$1204</f>
        <v>0</v>
      </c>
      <c r="AK1287">
        <f t="shared" si="786"/>
        <v>0</v>
      </c>
      <c r="AL1287" cm="1">
        <f t="array" ref="AL1287">IFERROR(INDEX(sheath_ecap_asd,MATCH(AP1287,sheath_mark,0),0)*AK1287,0)</f>
        <v>0</v>
      </c>
      <c r="AM1287" cm="1">
        <f t="array" ref="AM1287">IFERROR(INDEX(sheath_wcap_asd,MATCH(AP1287,sheath_mark,0),0)*AK1287,0)</f>
        <v>0</v>
      </c>
      <c r="AN1287" cm="1">
        <f t="array" ref="AN1287">IFERROR(INDEX(hd_cap,MATCH(AQ1287,hd_mark,0),0),0)</f>
        <v>0</v>
      </c>
      <c r="AP1287" s="19"/>
      <c r="AQ1287" s="19"/>
      <c r="AR1287" s="100"/>
      <c r="AS1287" s="93"/>
      <c r="AT1287" s="109" t="s">
        <v>491</v>
      </c>
      <c r="AU1287" t="str">
        <f>$Q$1175</f>
        <v>L4</v>
      </c>
      <c r="AV1287">
        <f>$E$23</f>
        <v>0</v>
      </c>
      <c r="AW1287" cm="1">
        <f t="array" ref="AW1287">IFERROR(IF(AV1287=0,0,(INDEX($C$33:$C$38,MATCH($AZ$1196,$B$33:$B$38,0),0)*(AV1289+$BA$1196)+$AW$1196*COUNTIF(AV1287:AV1288,"&gt;0")*$C$32+$AY$1196*$C$31)*$AU$1196),0)</f>
        <v>0</v>
      </c>
      <c r="AX1287">
        <f>IF(AV1287=0,0,-(COUNTIF(AV1287:AV1288,"&gt;0")*$AW$1196*$C$32+$AY$1196*$C$31)*$H$27*$AU$1196)</f>
        <v>0</v>
      </c>
      <c r="AY1287">
        <f>IF(AV1287=0,0,$AY$1196*$H$26*$AU$1196)</f>
        <v>0</v>
      </c>
      <c r="AZ1287">
        <f>(0.6*AW1287+0.7*AX1287)*$AU$1196/2</f>
        <v>0</v>
      </c>
      <c r="BA1287">
        <f>AW1287*$AU$1196/2</f>
        <v>0</v>
      </c>
      <c r="BC1287">
        <f>IF(AV1287=0,0,$BG$1196*$AP$1175)</f>
        <v>0</v>
      </c>
      <c r="BD1287">
        <f>IFERROR(BC1287/$AU$1196,0)</f>
        <v>0</v>
      </c>
      <c r="BE1287">
        <f>BC1287*($F$23+IF($F$23=0,0,($C$14+$C$15+IF($C$13="single",1.5,3)+3)/12))</f>
        <v>0</v>
      </c>
      <c r="BF1287">
        <f>BE1287-AZ1287</f>
        <v>0</v>
      </c>
      <c r="BG1287" cm="1">
        <f t="array" ref="BG1287">IFERROR(IF(BF1287&lt;0,0,BF1287/($AU$1196-INDEX(hd_off,MATCH(BT1287,hd_mark,0),0)/12)),0)</f>
        <v>0</v>
      </c>
      <c r="BH1287">
        <f>IF(AV1287=0,0,$BG$1196*$AM$1175)</f>
        <v>0</v>
      </c>
      <c r="BI1287">
        <f>IFERROR(BH1287/$AU$1196,0)</f>
        <v>0</v>
      </c>
      <c r="BJ1287">
        <f>BH1287*($F$23+IF($F$23=0,0,($C$14+$C$15+IF($C$13="single",1.5,3)+3)/12))</f>
        <v>0</v>
      </c>
      <c r="BK1287">
        <f>BJ1287-BA1287</f>
        <v>0</v>
      </c>
      <c r="BL1287" cm="1">
        <f t="array" ref="BL1287">IFERROR(IF(BK1287&lt;0,0,BK1287/($AU$1196-INDEX(hd_off,MATCH(BT1287,hd_mark,0),0)/12)),0)</f>
        <v>0</v>
      </c>
      <c r="BM1287">
        <f>MAX($F$23,$BD$1196)/$Q$1204</f>
        <v>0</v>
      </c>
      <c r="BN1287">
        <f t="shared" si="787"/>
        <v>0</v>
      </c>
      <c r="BO1287" cm="1">
        <f t="array" ref="BO1287">IFERROR(INDEX(sheath_ecap_asd,MATCH(BS1287,sheath_mark,0),0)*BN1287,0)</f>
        <v>0</v>
      </c>
      <c r="BP1287" cm="1">
        <f t="array" ref="BP1287">IFERROR(INDEX(sheath_wcap_asd,MATCH(BS1287,sheath_mark,0),0)*BN1287,0)</f>
        <v>0</v>
      </c>
      <c r="BQ1287" cm="1">
        <f t="array" ref="BQ1287">IFERROR(INDEX(hd_cap,MATCH(BT1287,hd_mark,0),0),0)</f>
        <v>0</v>
      </c>
      <c r="BS1287" s="19"/>
      <c r="BT1287" s="19"/>
      <c r="BU1287" s="100"/>
    </row>
    <row r="1288" x14ac:dyDescent="0.25">
      <c r="P1288" s="93"/>
      <c r="Q1288" s="111">
        <f>$R$1196</f>
        <v>0</v>
      </c>
      <c r="R1288" t="str">
        <f>$Q$1176</f>
        <v>L5</v>
      </c>
      <c r="S1288">
        <f>$E$24</f>
        <v>0</v>
      </c>
      <c r="T1288" cm="1">
        <f t="array" ref="T1288">IFERROR(IF(S1288=0,0,(INDEX($C$33:$C$38,MATCH($W$1196,$B$33:$B$38,0),0)*(S1289+$X$1196)+$T$1196*COUNTIF(S1288:S1288,"&gt;0")*$C$32+$V$1196*$C$31)*$R$1196),0)</f>
        <v>0</v>
      </c>
      <c r="U1288">
        <f>IF(S1288=0,0,-(COUNTIF(S1288:S1288,"&gt;0")*$T$1196*$C$32+$V$1196*$C$31)*$H$27*$R$1196)</f>
        <v>0</v>
      </c>
      <c r="V1288">
        <f>IF(S1288=0,0,$V$1196*$H$26*$R$1196)</f>
        <v>0</v>
      </c>
      <c r="W1288">
        <f>(0.6*T1288+0.7*U1288)*$R$1196/2</f>
        <v>0</v>
      </c>
      <c r="X1288">
        <f>T1288*$R$1196/2</f>
        <v>0</v>
      </c>
      <c r="Z1288">
        <f>IF(S1288=0,0,$AD$1196*$AP$1176)</f>
        <v>0</v>
      </c>
      <c r="AA1288">
        <f>IFERROR(Z1288/$R$1196,0)</f>
        <v>0</v>
      </c>
      <c r="AB1288">
        <f>Z1288*($F$24+IF($F$24=0,0,($C$14+$C$15+IF($C$13="single",1.5,3)+3)/12))</f>
        <v>0</v>
      </c>
      <c r="AC1288">
        <f>AB1288-W1288</f>
        <v>0</v>
      </c>
      <c r="AD1288" cm="1">
        <f t="array" ref="AD1288">IFERROR(IF(AC1288&lt;0,0,AC1288/($R$1196-INDEX(hd_off,MATCH(AQ1288,hd_mark,0),0)/12)),0)</f>
        <v>0</v>
      </c>
      <c r="AE1288">
        <f>IF(S1288=0,0,$AD$1196*$AM$1176)</f>
        <v>0</v>
      </c>
      <c r="AF1288">
        <f>IFERROR(AE1288/$R$1196,0)</f>
        <v>0</v>
      </c>
      <c r="AG1288">
        <f>AE1288*($F$24+IF($F$24=0,0,($C$14+$C$15+IF($C$13="single",1.5,3)+3)/12))</f>
        <v>0</v>
      </c>
      <c r="AH1288">
        <f>AG1288-X1288</f>
        <v>0</v>
      </c>
      <c r="AI1288" cm="1">
        <f t="array" ref="AI1288">IFERROR(IF(AH1288&lt;0,0,AH1288/($R$1196-INDEX(hd_off,MATCH(AQ1288,hd_mark,0),0)/12)),0)</f>
        <v>0</v>
      </c>
      <c r="AJ1288">
        <f>MAX($F$24,$AB$1196)/$Q$1204</f>
        <v>0</v>
      </c>
      <c r="AK1288">
        <f t="shared" si="786"/>
        <v>0</v>
      </c>
      <c r="AL1288" cm="1">
        <f t="array" ref="AL1288">IFERROR(INDEX(sheath_ecap_asd,MATCH(AP1288,sheath_mark,0),0)*AK1288,0)</f>
        <v>0</v>
      </c>
      <c r="AM1288" cm="1">
        <f t="array" ref="AM1288">IFERROR(INDEX(sheath_wcap_asd,MATCH(AP1288,sheath_mark,0),0)*AK1288,0)</f>
        <v>0</v>
      </c>
      <c r="AN1288" cm="1">
        <f t="array" ref="AN1288">IFERROR(INDEX(hd_cap,MATCH(AQ1288,hd_mark,0),0),0)</f>
        <v>0</v>
      </c>
      <c r="AP1288" s="19"/>
      <c r="AQ1288" s="19"/>
      <c r="AR1288" s="100"/>
      <c r="AS1288" s="93"/>
      <c r="AT1288" s="111">
        <f>$R$1196</f>
        <v>0</v>
      </c>
      <c r="AU1288" t="str">
        <f>$Q$1176</f>
        <v>L5</v>
      </c>
      <c r="AV1288">
        <f>$E$24</f>
        <v>0</v>
      </c>
      <c r="AW1288" cm="1">
        <f t="array" ref="AW1288">IFERROR(IF(AV1288=0,0,(INDEX($C$33:$C$38,MATCH($AZ$1196,$B$33:$B$38,0),0)*(AV1289+$BA$1196)+$AW$1196*COUNTIF(AV1288:AV1288,"&gt;0")*$C$32+$AY$1196*$C$31)*$AU$1196),0)</f>
        <v>0</v>
      </c>
      <c r="AX1288">
        <f>IF(AV1288=0,0,-(COUNTIF(AV1288:AV1288,"&gt;0")*$AW$1196*$C$32+$AY$1196*$C$31)*$H$27*$AU$1196)</f>
        <v>0</v>
      </c>
      <c r="AY1288">
        <f>IF(AV1288=0,0,$AY$1196*$H$26*$AU$1196)</f>
        <v>0</v>
      </c>
      <c r="AZ1288">
        <f>(0.6*AW1288+0.7*AX1288)*$AU$1196/2</f>
        <v>0</v>
      </c>
      <c r="BA1288">
        <f>AW1288*$AU$1196/2</f>
        <v>0</v>
      </c>
      <c r="BC1288">
        <f>IF(AV1288=0,0,$BG$1196*$AP$1176)</f>
        <v>0</v>
      </c>
      <c r="BD1288">
        <f>IFERROR(BC1288/$AU$1196,0)</f>
        <v>0</v>
      </c>
      <c r="BE1288">
        <f>BC1288*($F$24+IF($F$24=0,0,($C$14+$C$15+IF($C$13="single",1.5,3)+3)/12))</f>
        <v>0</v>
      </c>
      <c r="BF1288">
        <f>BE1288-AZ1288</f>
        <v>0</v>
      </c>
      <c r="BG1288" cm="1">
        <f t="array" ref="BG1288">IFERROR(IF(BF1288&lt;0,0,BF1288/($AU$1196-INDEX(hd_off,MATCH(BT1288,hd_mark,0),0)/12)),0)</f>
        <v>0</v>
      </c>
      <c r="BH1288">
        <f>IF(AV1288=0,0,$BG$1196*$AM$1176)</f>
        <v>0</v>
      </c>
      <c r="BI1288">
        <f>IFERROR(BH1288/$AU$1196,0)</f>
        <v>0</v>
      </c>
      <c r="BJ1288">
        <f>BH1288*($F$24+IF($F$24=0,0,($C$14+$C$15+IF($C$13="single",1.5,3)+3)/12))</f>
        <v>0</v>
      </c>
      <c r="BK1288">
        <f>BJ1288-BA1288</f>
        <v>0</v>
      </c>
      <c r="BL1288" cm="1">
        <f t="array" ref="BL1288">IFERROR(IF(BK1288&lt;0,0,BK1288/($AU$1196-INDEX(hd_off,MATCH(BT1288,hd_mark,0),0)/12)),0)</f>
        <v>0</v>
      </c>
      <c r="BM1288">
        <f>MAX($F$24,$BE$1196)/$Q$1204</f>
        <v>0</v>
      </c>
      <c r="BN1288">
        <f t="shared" si="787"/>
        <v>0</v>
      </c>
      <c r="BO1288" cm="1">
        <f t="array" ref="BO1288">IFERROR(INDEX(sheath_ecap_asd,MATCH(BS1288,sheath_mark,0),0)*BN1288,0)</f>
        <v>0</v>
      </c>
      <c r="BP1288" cm="1">
        <f t="array" ref="BP1288">IFERROR(INDEX(sheath_wcap_asd,MATCH(BS1288,sheath_mark,0),0)*BN1288,0)</f>
        <v>0</v>
      </c>
      <c r="BQ1288" cm="1">
        <f t="array" ref="BQ1288">IFERROR(INDEX(hd_cap,MATCH(BT1288,hd_mark,0),0),0)</f>
        <v>0</v>
      </c>
      <c r="BS1288" s="19"/>
      <c r="BT1288" s="19"/>
      <c r="BU1288" s="100"/>
    </row>
    <row r="1289" x14ac:dyDescent="0.25">
      <c r="P1289" s="93"/>
      <c r="Q1289" s="109"/>
      <c r="R1289" t="str">
        <f>$Q$1177</f>
        <v>Roof</v>
      </c>
      <c r="S1289">
        <f>$E$25</f>
        <v>33.171875</v>
      </c>
      <c r="T1289" cm="1">
        <f t="array" ref="T1289">IFERROR(IF(S1289=0,0,(INDEX($C$33:$C$38,MATCH($W$1196,$B$33:$B$38,0),0)*(S1289+$X$1196)+$V$1196*$C$31)*$R$1196),0)</f>
        <v>0</v>
      </c>
      <c r="U1289">
        <f>IF(S1289=0,0,-$V$1196*$C$31*$H$27*$R$1196)</f>
        <v>0</v>
      </c>
      <c r="V1289">
        <f>IF(S1289=0,0,$V$1196*$H$26*$R$1196)</f>
        <v>0</v>
      </c>
      <c r="W1289">
        <f>(0.6*T1289+0.7*U1289)*$R$1196/2</f>
        <v>0</v>
      </c>
      <c r="X1289">
        <f>T1289*$R$1196/2</f>
        <v>0</v>
      </c>
      <c r="Z1289">
        <f>IF(S1289=0,0,$AD$1196*$AP$1177)</f>
        <v>0</v>
      </c>
      <c r="AA1289">
        <f>IFERROR(Z1289/$R$1196,0)</f>
        <v>0</v>
      </c>
      <c r="AB1289">
        <f>Z1289*($F$25+($C$16+$C$17+IF($C$13="single",1.5,3)+3)/12)</f>
        <v>0</v>
      </c>
      <c r="AC1289">
        <f>AB1289-W1289</f>
        <v>0</v>
      </c>
      <c r="AD1289" cm="1">
        <f t="array" ref="AD1289">IFERROR(IF(AC1289&lt;0,0,AC1289/($R$1196-INDEX(hd_off,MATCH(AQ1289,hd_mark,0),0)/12)),0)</f>
        <v>0</v>
      </c>
      <c r="AE1289">
        <f>IF(S1289=0,0,$AD$1196*$AM$1177)</f>
        <v>0</v>
      </c>
      <c r="AF1289">
        <f>IFERROR(AE1289/$R$1196,0)</f>
        <v>0</v>
      </c>
      <c r="AG1289">
        <f>AE1289*($F$25+($C$16+$C$17+IF($C$13="single",1.5,3)+3)/12)</f>
        <v>0</v>
      </c>
      <c r="AH1289">
        <f>AG1289-X1289</f>
        <v>0</v>
      </c>
      <c r="AI1289" cm="1">
        <f t="array" ref="AI1289">IFERROR(IF(AH1289&lt;0,0,AH1289/($R$1196-INDEX(hd_off,MATCH(AQ1289,hd_mark,0),0)/12)),0)</f>
        <v>0</v>
      </c>
      <c r="AJ1289">
        <f>MAX($F$25,$AC$1196)/$Q$1204</f>
        <v>0.29920977011494249</v>
      </c>
      <c r="AK1289">
        <f t="shared" si="786"/>
        <v>1</v>
      </c>
      <c r="AL1289" cm="1">
        <f t="array" ref="AL1289">IFERROR(INDEX(sheath_ecap_asd,MATCH(AP1289,sheath_mark,0),0)*AK1289,0)</f>
        <v>0</v>
      </c>
      <c r="AM1289" cm="1">
        <f t="array" ref="AM1289">IFERROR(INDEX(sheath_wcap_asd,MATCH(AP1289,sheath_mark,0),0)*AK1289,0)</f>
        <v>0</v>
      </c>
      <c r="AN1289" cm="1">
        <f t="array" ref="AN1289">IFERROR(INDEX(hd_cap,MATCH(AQ1289,hd_mark,0),0),0)</f>
        <v>0</v>
      </c>
      <c r="AP1289" s="19"/>
      <c r="AQ1289" s="19"/>
      <c r="AR1289" s="100"/>
      <c r="AS1289" s="93"/>
      <c r="AT1289" s="109"/>
      <c r="AU1289" t="str">
        <f>$Q$1177</f>
        <v>Roof</v>
      </c>
      <c r="AV1289">
        <f>$E$25</f>
        <v>33.171875</v>
      </c>
      <c r="AW1289" cm="1">
        <f t="array" ref="AW1289">IFERROR(IF(AV1289=0,0,(INDEX($C$33:$C$38,MATCH($AZ$1196,$B$33:$B$38,0),0)*(AV1289+$BA$1196)+$AY$1196*$C$31)*$AU$1196),0)</f>
        <v>0</v>
      </c>
      <c r="AX1289">
        <f>IF(AV1289=0,0,-$AY$1196*$C$31*$H$27*$AU$1196)</f>
        <v>0</v>
      </c>
      <c r="AY1289">
        <f>IF(AV1289=0,0,$AY$1196*$H$26*$AU$1196)</f>
        <v>0</v>
      </c>
      <c r="AZ1289">
        <f>(0.6*AW1289+0.7*AX1289)*$AU$1196/2</f>
        <v>0</v>
      </c>
      <c r="BA1289">
        <f>AW1289*$AU$1196/2</f>
        <v>0</v>
      </c>
      <c r="BC1289">
        <f>IF(AV1289=0,0,$BG$1196*$AP$1177)</f>
        <v>0</v>
      </c>
      <c r="BD1289">
        <f>IFERROR(BC1289/$AU$1196,0)</f>
        <v>0</v>
      </c>
      <c r="BE1289">
        <f>BC1289*($F$25+($C$16+$C$17+IF($C$13="single",1.5,3)+3)/12)</f>
        <v>0</v>
      </c>
      <c r="BF1289">
        <f>BE1289-AZ1289</f>
        <v>0</v>
      </c>
      <c r="BG1289" cm="1">
        <f t="array" ref="BG1289">IFERROR(IF(BF1289&lt;0,0,BF1289/($AU$1196-INDEX(hd_off,MATCH(BT1289,hd_mark,0),0)/12)),0)</f>
        <v>0</v>
      </c>
      <c r="BH1289">
        <f>IF(AV1289=0,0,$BG$1196*$AM$1177)</f>
        <v>0</v>
      </c>
      <c r="BI1289">
        <f>IFERROR(BH1289/$AU$1196,0)</f>
        <v>0</v>
      </c>
      <c r="BJ1289">
        <f>BH1289*($F$25+($C$16+$C$17+IF($C$13="single",1.5,3)+3)/12)</f>
        <v>0</v>
      </c>
      <c r="BK1289">
        <f>BJ1289-BA1289</f>
        <v>0</v>
      </c>
      <c r="BL1289" cm="1">
        <f t="array" ref="BL1289">IFERROR(IF(BK1289&lt;0,0,BK1289/($AU$1196-INDEX(hd_off,MATCH(BT1289,hd_mark,0),0)/12)),0)</f>
        <v>0</v>
      </c>
      <c r="BM1289">
        <f>MAX($F$25,$BF$1196)/$Q$1204</f>
        <v>0.29920977011494249</v>
      </c>
      <c r="BN1289">
        <f t="shared" si="787"/>
        <v>1</v>
      </c>
      <c r="BO1289" cm="1">
        <f t="array" ref="BO1289">IFERROR(INDEX(sheath_ecap_asd,MATCH(BS1289,sheath_mark,0),0)*BN1289,0)</f>
        <v>0</v>
      </c>
      <c r="BP1289" cm="1">
        <f t="array" ref="BP1289">IFERROR(INDEX(sheath_wcap_asd,MATCH(BS1289,sheath_mark,0),0)*BN1289,0)</f>
        <v>0</v>
      </c>
      <c r="BQ1289" cm="1">
        <f t="array" ref="BQ1289">IFERROR(INDEX(hd_cap,MATCH(BT1289,hd_mark,0),0),0)</f>
        <v>0</v>
      </c>
      <c r="BS1289" s="19"/>
      <c r="BT1289" s="19"/>
      <c r="BU1289" s="100"/>
    </row>
    <row r="1290" x14ac:dyDescent="0.25">
      <c r="P1290" s="93"/>
      <c r="AR1290" s="100"/>
      <c r="AS1290" s="93"/>
      <c r="BU1290" s="100"/>
    </row>
    <row r="1291" x14ac:dyDescent="0.25">
      <c r="P1291" s="93"/>
      <c r="Q1291" s="110" t="str">
        <f>$Q$1197</f>
        <v>A.16</v>
      </c>
      <c r="R1291" t="str">
        <f>$Q$1173</f>
        <v>L2</v>
      </c>
      <c r="S1291">
        <f>$E$21</f>
        <v>10.6875</v>
      </c>
      <c r="T1291" cm="1">
        <f t="array" ref="T1291">IFERROR(IF(S1291=0,0,(INDEX($C$33:$C$38,MATCH($W$1197,$B$33:$B$38,0),0)*(S1295+$X$1197)+$T$1197*COUNTIF(S1291:S1294,"&gt;0")*$C$32+$V$1197*$C$31)*$R$1197),0)</f>
        <v>0</v>
      </c>
      <c r="U1291">
        <f>IF(S1291=0,0,-(COUNTIF(S1291:S1294,"&gt;0")*$T$1197*$C$32+$V$1197*$C$31)*$H$27*$R$1197)</f>
        <v>0</v>
      </c>
      <c r="V1291">
        <f>IF(S1291=0,0,$V$1197*$H$26*$R$1197)</f>
        <v>0</v>
      </c>
      <c r="W1291">
        <f>(0.6*T1291+0.7*U1291)*$R$1197/2</f>
        <v>0</v>
      </c>
      <c r="X1291">
        <f>(0.6*T1291+0.6*V1291)*$R$1197/2</f>
        <v>0</v>
      </c>
      <c r="Z1291">
        <f>IF(S1291=0,0,$AD$1197*$AP$1173)</f>
        <v>0</v>
      </c>
      <c r="AA1291">
        <f>IFERROR(Z1291/$R$1197,0)</f>
        <v>0</v>
      </c>
      <c r="AB1291">
        <f>Z1291*($F$21+IF($F$21=0,0,($C$14+$C$15+IF($C$13="single",1.5,3)+3)/12))</f>
        <v>0</v>
      </c>
      <c r="AC1291">
        <f>AB1291-W1291</f>
        <v>0</v>
      </c>
      <c r="AD1291" cm="1">
        <f t="array" ref="AD1291">IFERROR(IF(AC1291&lt;0,0,AC1291/($R$1197-INDEX(hd_off,MATCH(AQ1291,hd_mark,0),0)/12)),0)</f>
        <v>0</v>
      </c>
      <c r="AE1291">
        <f>IF(S1291=0,0,$AD$1197*$AM$1173)</f>
        <v>0</v>
      </c>
      <c r="AF1291">
        <f>IFERROR(AE1291/$R$1197,0)</f>
        <v>0</v>
      </c>
      <c r="AG1291">
        <f>AE1291*($F$21+IF($F$21=0,0,($C$14+$C$15+IF($C$13="single",1.5,3)+3)/12))</f>
        <v>0</v>
      </c>
      <c r="AH1291">
        <f>AG1291-X1291</f>
        <v>0</v>
      </c>
      <c r="AI1291" cm="1">
        <f t="array" ref="AI1291">IFERROR(IF(AH1291&lt;0,0,AH1291/($R$1197-INDEX(hd_off,MATCH(AQ1291,hd_mark,0),0)/12)),0)</f>
        <v>0</v>
      </c>
      <c r="AJ1291">
        <f>MAX($F$21,$Y$1197)/$Q$1204</f>
        <v>0.30172413793103448</v>
      </c>
      <c r="AK1291">
        <f>IF(AJ1291=0,0,IF(AJ1291&gt;2,1.25-0.125*AJ1291,1))</f>
        <v>1</v>
      </c>
      <c r="AL1291" cm="1">
        <f t="array" ref="AL1291">IFERROR(INDEX(sheath_ecap_asd,MATCH(AP1291,sheath_mark,0),0)*AK1291,0)</f>
        <v>0</v>
      </c>
      <c r="AM1291" cm="1">
        <f t="array" ref="AM1291">IFERROR(INDEX(sheath_wcap_asd,MATCH(AP1291,sheath_mark,0),0)*AK1291,0)</f>
        <v>0</v>
      </c>
      <c r="AN1291" cm="1">
        <f t="array" ref="AN1291">IFERROR(INDEX(hd_cap,MATCH(AQ1291,hd_mark,0),0),0)</f>
        <v>0</v>
      </c>
      <c r="AP1291" s="19"/>
      <c r="AQ1291" s="19"/>
      <c r="AR1291" s="100"/>
      <c r="AS1291" s="93"/>
      <c r="AT1291" s="110" t="str">
        <f>$AT$1197</f>
        <v>1.16</v>
      </c>
      <c r="AU1291" t="str">
        <f>$Q$1173</f>
        <v>L2</v>
      </c>
      <c r="AV1291">
        <f>$E$21</f>
        <v>10.6875</v>
      </c>
      <c r="AW1291" cm="1">
        <f t="array" ref="AW1291">IFERROR(IF(AV1291=0,0,(INDEX($C$33:$C$38,MATCH($AZ$1197,$B$33:$B$38,0),0)*(AV1295+$BA$1197)+$AW$1197*COUNTIF(AV1291:AV1294,"&gt;0")*$C$32+$AY$1197*$C$31)*$AU$1197),0)</f>
        <v>0</v>
      </c>
      <c r="AX1291">
        <f>IF(AV1291=0,0,-(COUNTIF(AV1291:AV1294,"&gt;0")*$AW$1197*$C$32+$AY$1197*$C$31)*$H$27*$AU$1197)</f>
        <v>0</v>
      </c>
      <c r="AY1291">
        <f>IF(AV1291=0,0,$AY$1197*$H$26*$AU$1197)</f>
        <v>0</v>
      </c>
      <c r="AZ1291">
        <f>(0.6*AW1291+0.7*AX1291)*$AU$1197/2</f>
        <v>0</v>
      </c>
      <c r="BA1291">
        <f>(0.6*AW1291+0.6*AY1291)*$AU$1197/2</f>
        <v>0</v>
      </c>
      <c r="BC1291">
        <f>IF(AV1291=0,0,$BG$1197*$AP$1173)</f>
        <v>0</v>
      </c>
      <c r="BD1291">
        <f>IFERROR(BC1291/$AU$1197,0)</f>
        <v>0</v>
      </c>
      <c r="BE1291">
        <f>BC1291*($F$21+IF($F$21=0,0,($C$14+$C$15+IF($C$13="single",1.5,3)+3)/12))</f>
        <v>0</v>
      </c>
      <c r="BF1291">
        <f>BE1291-AZ1291</f>
        <v>0</v>
      </c>
      <c r="BG1291" cm="1">
        <f t="array" ref="BG1291">IFERROR(IF(BF1291&lt;0,0,BF1291/($AU$1197-INDEX(hd_off,MATCH(BT1291,hd_mark,0),0)/12)),0)</f>
        <v>0</v>
      </c>
      <c r="BH1291">
        <f>IF(AV1291=0,0,$BG$1197*$AM$1173)</f>
        <v>0</v>
      </c>
      <c r="BI1291">
        <f>IFERROR(BH1291/$AU$1197,0)</f>
        <v>0</v>
      </c>
      <c r="BJ1291">
        <f>BH1291*($F$21+IF($F$21=0,0,($C$14+$C$15+IF($C$13="single",1.5,3)+3)/12))</f>
        <v>0</v>
      </c>
      <c r="BK1291">
        <f>BJ1291-BA1291</f>
        <v>0</v>
      </c>
      <c r="BL1291" cm="1">
        <f t="array" ref="BL1291">IFERROR(IF(BK1291&lt;0,0,BK1291/($AU$1197-INDEX(hd_off,MATCH(BT1291,hd_mark,0),0)/12)),0)</f>
        <v>0</v>
      </c>
      <c r="BM1291">
        <f>MAX($F$21,$BB$1197)/$Q$1204</f>
        <v>0.30172413793103448</v>
      </c>
      <c r="BN1291">
        <f>IF(BM1291=0,0,IF(BM1291&gt;2,1.25-0.125*BM1291,1))</f>
        <v>1</v>
      </c>
      <c r="BO1291" cm="1">
        <f t="array" ref="BO1291">IFERROR(INDEX(sheath_ecap_asd,MATCH(BS1291,sheath_mark,0),0)*BN1291,0)</f>
        <v>0</v>
      </c>
      <c r="BP1291" cm="1">
        <f t="array" ref="BP1291">IFERROR(INDEX(sheath_wcap_asd,MATCH(BS1291,sheath_mark,0),0)*BN1291,0)</f>
        <v>0</v>
      </c>
      <c r="BQ1291" cm="1">
        <f t="array" ref="BQ1291">IFERROR(INDEX(hd_cap,MATCH(BT1291,hd_mark,0),0),0)</f>
        <v>0</v>
      </c>
      <c r="BS1291" s="19"/>
      <c r="BT1291" s="19"/>
      <c r="BU1291" s="100"/>
    </row>
    <row r="1292" x14ac:dyDescent="0.25">
      <c r="P1292" s="93"/>
      <c r="Q1292" s="109"/>
      <c r="R1292" t="str">
        <f>$Q$1174</f>
        <v>L3</v>
      </c>
      <c r="S1292">
        <f>$E$22</f>
        <v>21.375</v>
      </c>
      <c r="T1292" cm="1">
        <f t="array" ref="T1292">IFERROR(IF(S1292=0,0,(INDEX($C$33:$C$38,MATCH($W$1197,$B$33:$B$38,0),0)*(S1295+$X$1197)+$T$1197*COUNTIF(S1292:S1294,"&gt;0")*$C$32+$V$1197*$C$31)*$R$1197),0)</f>
        <v>0</v>
      </c>
      <c r="U1292">
        <f>IF(S1292=0,0,-(COUNTIF(S1292:S1294,"&gt;0")*$T$1197*$C$32+$V$1197*$C$31)*$H$27*$R$1197)</f>
        <v>0</v>
      </c>
      <c r="V1292">
        <f>IF(S1292=0,0,$V$1197*$H$26*$R$1197)</f>
        <v>0</v>
      </c>
      <c r="W1292">
        <f>(0.6*T1292+0.7*U1292)*$R$1197/2</f>
        <v>0</v>
      </c>
      <c r="X1292">
        <f>T1292*$R$1197/2</f>
        <v>0</v>
      </c>
      <c r="Z1292">
        <f>IF(S1292=0,0,$AD$1197*$AP$1174)</f>
        <v>0</v>
      </c>
      <c r="AA1292">
        <f>IFERROR(Z1292/$R$1197,0)</f>
        <v>0</v>
      </c>
      <c r="AB1292">
        <f>Z1292*($F$22+IF($F$22=0,0,($C$14+$C$15+IF($C$13="single",1.5,3)+3)/12))</f>
        <v>0</v>
      </c>
      <c r="AC1292">
        <f>AB1292-W1292</f>
        <v>0</v>
      </c>
      <c r="AD1292" cm="1">
        <f t="array" ref="AD1292">IFERROR(IF(AC1292&lt;0,0,AC1292/($R$1197-INDEX(hd_off,MATCH(AQ1292,hd_mark,0),0)/12)),0)</f>
        <v>0</v>
      </c>
      <c r="AE1292">
        <f>IF(S1292=0,0,$AD$1197*$AM$1174)</f>
        <v>0</v>
      </c>
      <c r="AF1292">
        <f>IFERROR(AE1292/$R$1197,0)</f>
        <v>0</v>
      </c>
      <c r="AG1292">
        <f>AE1292*($F$22+IF($F$22=0,0,($C$14+$C$15+IF($C$13="single",1.5,3)+3)/12))</f>
        <v>0</v>
      </c>
      <c r="AH1292">
        <f>AG1292-X1292</f>
        <v>0</v>
      </c>
      <c r="AI1292" cm="1">
        <f t="array" ref="AI1292">IFERROR(IF(AH1292&lt;0,0,AH1292/($R$1197-INDEX(hd_off,MATCH(AQ1292,hd_mark,0),0)/12)),0)</f>
        <v>0</v>
      </c>
      <c r="AJ1292">
        <f>MAX($F$22,$Z$1197)/$Q$1204</f>
        <v>0.30172413793103448</v>
      </c>
      <c r="AK1292">
        <f t="shared" ref="AK1292:AK1295" si="788">IF(AJ1292=0,0,IF(AJ1292&gt;2,1.25-0.125*AJ1292,1))</f>
        <v>1</v>
      </c>
      <c r="AL1292" cm="1">
        <f t="array" ref="AL1292">IFERROR(INDEX(sheath_ecap_asd,MATCH(AP1292,sheath_mark,0),0)*AK1292,0)</f>
        <v>0</v>
      </c>
      <c r="AM1292" cm="1">
        <f t="array" ref="AM1292">IFERROR(INDEX(sheath_wcap_asd,MATCH(AP1292,sheath_mark,0),0)*AK1292,0)</f>
        <v>0</v>
      </c>
      <c r="AN1292" cm="1">
        <f t="array" ref="AN1292">IFERROR(INDEX(hd_cap,MATCH(AQ1292,hd_mark,0),0),0)</f>
        <v>0</v>
      </c>
      <c r="AP1292" s="19"/>
      <c r="AQ1292" s="19"/>
      <c r="AR1292" s="100"/>
      <c r="AS1292" s="93"/>
      <c r="AT1292" s="109"/>
      <c r="AU1292" t="str">
        <f>$Q$1174</f>
        <v>L3</v>
      </c>
      <c r="AV1292">
        <f>$E$22</f>
        <v>21.375</v>
      </c>
      <c r="AW1292" cm="1">
        <f t="array" ref="AW1292">IFERROR(IF(AV1292=0,0,(INDEX($C$33:$C$38,MATCH($AZ$1197,$B$33:$B$38,0),0)*(AV1295+$BA$1197)+$AW$1197*COUNTIF(AV1292:AV1294,"&gt;0")*$C$32+$AY$1197*$C$31)*$AU$1197),0)</f>
        <v>0</v>
      </c>
      <c r="AX1292">
        <f>IF(AV1292=0,0,-(COUNTIF(AV1292:AV1294,"&gt;0")*$AW$1197*$C$32+$AY$1197*$C$31)*$H$27*$AU$1197)</f>
        <v>0</v>
      </c>
      <c r="AY1292">
        <f>IF(AV1292=0,0,$AY$1197*$H$26*$AU$1197)</f>
        <v>0</v>
      </c>
      <c r="AZ1292">
        <f>(0.6*AW1292+0.7*AX1292)*$AU$1197/2</f>
        <v>0</v>
      </c>
      <c r="BA1292">
        <f>AW1292*$AU$1197/2</f>
        <v>0</v>
      </c>
      <c r="BC1292">
        <f>IF(AV1292=0,0,$BG$1197*$AP$1174)</f>
        <v>0</v>
      </c>
      <c r="BD1292">
        <f>IFERROR(BC1292/$AU$1197,0)</f>
        <v>0</v>
      </c>
      <c r="BE1292">
        <f>BC1292*($F$22+IF($F$22=0,0,($C$14+$C$15+IF($C$13="single",1.5,3)+3)/12))</f>
        <v>0</v>
      </c>
      <c r="BF1292">
        <f>BE1292-AZ1292</f>
        <v>0</v>
      </c>
      <c r="BG1292" cm="1">
        <f t="array" ref="BG1292">IFERROR(IF(BF1292&lt;0,0,BF1292/($AU$1197-INDEX(hd_off,MATCH(BT1292,hd_mark,0),0)/12)),0)</f>
        <v>0</v>
      </c>
      <c r="BH1292">
        <f>IF(AV1292=0,0,$BG$1197*$AM$1174)</f>
        <v>0</v>
      </c>
      <c r="BI1292">
        <f>IFERROR(BH1292/$AU$1197,0)</f>
        <v>0</v>
      </c>
      <c r="BJ1292">
        <f>BH1292*($F$22+IF($F$22=0,0,($C$14+$C$15+IF($C$13="single",1.5,3)+3)/12))</f>
        <v>0</v>
      </c>
      <c r="BK1292">
        <f>BJ1292-BA1292</f>
        <v>0</v>
      </c>
      <c r="BL1292" cm="1">
        <f t="array" ref="BL1292">IFERROR(IF(BK1292&lt;0,0,BK1292/($AU$1197-INDEX(hd_off,MATCH(BT1292,hd_mark,0),0)/12)),0)</f>
        <v>0</v>
      </c>
      <c r="BM1292">
        <f>MAX($F$22,$BC$1197)/$Q$1204</f>
        <v>0.30172413793103448</v>
      </c>
      <c r="BN1292">
        <f t="shared" ref="BN1292:BN1294" si="789">IF(BM1292=0,0,IF(BM1292&gt;2,1.25-0.125*BM1292,1))</f>
        <v>1</v>
      </c>
      <c r="BO1292" cm="1">
        <f t="array" ref="BO1292">IFERROR(INDEX(sheath_ecap_asd,MATCH(BS1292,sheath_mark,0),0)*BN1292,0)</f>
        <v>0</v>
      </c>
      <c r="BP1292" cm="1">
        <f t="array" ref="BP1292">IFERROR(INDEX(sheath_wcap_asd,MATCH(BS1292,sheath_mark,0),0)*BN1292,0)</f>
        <v>0</v>
      </c>
      <c r="BQ1292" cm="1">
        <f t="array" ref="BQ1292">IFERROR(INDEX(hd_cap,MATCH(BT1292,hd_mark,0),0),0)</f>
        <v>0</v>
      </c>
      <c r="BS1292" s="19"/>
      <c r="BT1292" s="19"/>
      <c r="BU1292" s="100"/>
    </row>
    <row r="1293" x14ac:dyDescent="0.25">
      <c r="P1293" s="93"/>
      <c r="Q1293" s="109" t="s">
        <v>491</v>
      </c>
      <c r="R1293" t="str">
        <f>$Q$1175</f>
        <v>L4</v>
      </c>
      <c r="S1293">
        <f>$E$23</f>
        <v>0</v>
      </c>
      <c r="T1293" cm="1">
        <f t="array" ref="T1293">IFERROR(IF(S1293=0,0,(INDEX($C$33:$C$38,MATCH($W$1197,$B$33:$B$38,0),0)*(S1295+$X$1197)+$T$1197*COUNTIF(S1293:S1294,"&gt;0")*$C$32+$V$1197*$C$31)*$R$1197),0)</f>
        <v>0</v>
      </c>
      <c r="U1293">
        <f>IF(S1293=0,0,-(COUNTIF(S1293:S1294,"&gt;0")*$T$1197*$C$32+$V$1197*$C$31)*$H$27*$R$1197)</f>
        <v>0</v>
      </c>
      <c r="V1293">
        <f>IF(S1293=0,0,$V$1197*$H$26*$R$1197)</f>
        <v>0</v>
      </c>
      <c r="W1293">
        <f>(0.6*T1293+0.7*U1293)*$R$1197/2</f>
        <v>0</v>
      </c>
      <c r="X1293">
        <f>T1293*$R$1197/2</f>
        <v>0</v>
      </c>
      <c r="Z1293">
        <f>IF(S1293=0,0,$AD$1197*$AP$1175)</f>
        <v>0</v>
      </c>
      <c r="AA1293">
        <f>IFERROR(Z1293/$R$1197,0)</f>
        <v>0</v>
      </c>
      <c r="AB1293">
        <f>Z1293*($F$23+IF($F$23=0,0,($C$14+$C$15+IF($C$13="single",1.5,3)+3)/12))</f>
        <v>0</v>
      </c>
      <c r="AC1293">
        <f>AB1293-W1293</f>
        <v>0</v>
      </c>
      <c r="AD1293" cm="1">
        <f t="array" ref="AD1293">IFERROR(IF(AC1293&lt;0,0,AC1293/($R$1197-INDEX(hd_off,MATCH(AQ1293,hd_mark,0),0)/12)),0)</f>
        <v>0</v>
      </c>
      <c r="AE1293">
        <f>IF(S1293=0,0,$AD$1197*$AM$1175)</f>
        <v>0</v>
      </c>
      <c r="AF1293">
        <f>IFERROR(AE1293/$R$1197,0)</f>
        <v>0</v>
      </c>
      <c r="AG1293">
        <f>AE1293*($F$23+IF($F$23=0,0,($C$14+$C$15+IF($C$13="single",1.5,3)+3)/12))</f>
        <v>0</v>
      </c>
      <c r="AH1293">
        <f>AG1293-X1293</f>
        <v>0</v>
      </c>
      <c r="AI1293" cm="1">
        <f t="array" ref="AI1293">IFERROR(IF(AH1293&lt;0,0,AH1293/($R$1197-INDEX(hd_off,MATCH(AQ1293,hd_mark,0),0)/12)),0)</f>
        <v>0</v>
      </c>
      <c r="AJ1293">
        <f>MAX($F$23,$AA$1197)/$Q$1204</f>
        <v>0</v>
      </c>
      <c r="AK1293">
        <f t="shared" si="788"/>
        <v>0</v>
      </c>
      <c r="AL1293" cm="1">
        <f t="array" ref="AL1293">IFERROR(INDEX(sheath_ecap_asd,MATCH(AP1293,sheath_mark,0),0)*AK1293,0)</f>
        <v>0</v>
      </c>
      <c r="AM1293" cm="1">
        <f t="array" ref="AM1293">IFERROR(INDEX(sheath_wcap_asd,MATCH(AP1293,sheath_mark,0),0)*AK1293,0)</f>
        <v>0</v>
      </c>
      <c r="AN1293" cm="1">
        <f t="array" ref="AN1293">IFERROR(INDEX(hd_cap,MATCH(AQ1293,hd_mark,0),0),0)</f>
        <v>0</v>
      </c>
      <c r="AP1293" s="19"/>
      <c r="AQ1293" s="19"/>
      <c r="AR1293" s="100"/>
      <c r="AS1293" s="93"/>
      <c r="AT1293" s="109" t="s">
        <v>491</v>
      </c>
      <c r="AU1293" t="str">
        <f>$Q$1175</f>
        <v>L4</v>
      </c>
      <c r="AV1293">
        <f>$E$23</f>
        <v>0</v>
      </c>
      <c r="AW1293" cm="1">
        <f t="array" ref="AW1293">IFERROR(IF(AV1293=0,0,(INDEX($C$33:$C$38,MATCH($AZ$1197,$B$33:$B$38,0),0)*(AV1295+$BA$1197)+$AW$1197*COUNTIF(AV1293:AV1294,"&gt;0")*$C$32+$AY$1197*$C$31)*$AU$1197),0)</f>
        <v>0</v>
      </c>
      <c r="AX1293">
        <f>IF(AV1293=0,0,-(COUNTIF(AV1293:AV1294,"&gt;0")*$AW$1197*$C$32+$AY$1197*$C$31)*$H$27*$AU$1197)</f>
        <v>0</v>
      </c>
      <c r="AY1293">
        <f>IF(AV1293=0,0,$AY$1197*$H$26*$AU$1197)</f>
        <v>0</v>
      </c>
      <c r="AZ1293">
        <f>(0.6*AW1293+0.7*AX1293)*$AU$1197/2</f>
        <v>0</v>
      </c>
      <c r="BA1293">
        <f>AW1293*$AU$1197/2</f>
        <v>0</v>
      </c>
      <c r="BC1293">
        <f>IF(AV1293=0,0,$BG$1197*$AP$1175)</f>
        <v>0</v>
      </c>
      <c r="BD1293">
        <f>IFERROR(BC1293/$AU$1197,0)</f>
        <v>0</v>
      </c>
      <c r="BE1293">
        <f>BC1293*($F$23+IF($F$23=0,0,($C$14+$C$15+IF($C$13="single",1.5,3)+3)/12))</f>
        <v>0</v>
      </c>
      <c r="BF1293">
        <f>BE1293-AZ1293</f>
        <v>0</v>
      </c>
      <c r="BG1293" cm="1">
        <f t="array" ref="BG1293">IFERROR(IF(BF1293&lt;0,0,BF1293/($AU$1197-INDEX(hd_off,MATCH(BT1293,hd_mark,0),0)/12)),0)</f>
        <v>0</v>
      </c>
      <c r="BH1293">
        <f>IF(AV1293=0,0,$BG$1197*$AM$1175)</f>
        <v>0</v>
      </c>
      <c r="BI1293">
        <f>IFERROR(BH1293/$AU$1197,0)</f>
        <v>0</v>
      </c>
      <c r="BJ1293">
        <f>BH1293*($F$23+IF($F$23=0,0,($C$14+$C$15+IF($C$13="single",1.5,3)+3)/12))</f>
        <v>0</v>
      </c>
      <c r="BK1293">
        <f>BJ1293-BA1293</f>
        <v>0</v>
      </c>
      <c r="BL1293" cm="1">
        <f t="array" ref="BL1293">IFERROR(IF(BK1293&lt;0,0,BK1293/($AU$1197-INDEX(hd_off,MATCH(BT1293,hd_mark,0),0)/12)),0)</f>
        <v>0</v>
      </c>
      <c r="BM1293">
        <f>MAX($F$23,$BD$1197)/$Q$1204</f>
        <v>0</v>
      </c>
      <c r="BN1293">
        <f t="shared" si="789"/>
        <v>0</v>
      </c>
      <c r="BO1293" cm="1">
        <f t="array" ref="BO1293">IFERROR(INDEX(sheath_ecap_asd,MATCH(BS1293,sheath_mark,0),0)*BN1293,0)</f>
        <v>0</v>
      </c>
      <c r="BP1293" cm="1">
        <f t="array" ref="BP1293">IFERROR(INDEX(sheath_wcap_asd,MATCH(BS1293,sheath_mark,0),0)*BN1293,0)</f>
        <v>0</v>
      </c>
      <c r="BQ1293" cm="1">
        <f t="array" ref="BQ1293">IFERROR(INDEX(hd_cap,MATCH(BT1293,hd_mark,0),0),0)</f>
        <v>0</v>
      </c>
      <c r="BS1293" s="19"/>
      <c r="BT1293" s="19"/>
      <c r="BU1293" s="100"/>
    </row>
    <row r="1294" x14ac:dyDescent="0.25">
      <c r="P1294" s="93"/>
      <c r="Q1294" s="111">
        <f>$R$1197</f>
        <v>0</v>
      </c>
      <c r="R1294" t="str">
        <f>$Q$1176</f>
        <v>L5</v>
      </c>
      <c r="S1294">
        <f>$E$24</f>
        <v>0</v>
      </c>
      <c r="T1294" cm="1">
        <f t="array" ref="T1294">IFERROR(IF(S1294=0,0,(INDEX($C$33:$C$38,MATCH($W$1197,$B$33:$B$38,0),0)*(S1295+$X$1197)+$T$1197*COUNTIF(S1294:S1294,"&gt;0")*$C$32+$V$1197*$C$31)*$R$1197),0)</f>
        <v>0</v>
      </c>
      <c r="U1294">
        <f>IF(S1294=0,0,-(COUNTIF(S1294:S1294,"&gt;0")*$T$1197*$C$32+$V$1197*$C$31)*$H$27*$R$1197)</f>
        <v>0</v>
      </c>
      <c r="V1294">
        <f>IF(S1294=0,0,$V$1197*$H$26*$R$1197)</f>
        <v>0</v>
      </c>
      <c r="W1294">
        <f>(0.6*T1294+0.7*U1294)*$R$1197/2</f>
        <v>0</v>
      </c>
      <c r="X1294">
        <f>T1294*$R$1197/2</f>
        <v>0</v>
      </c>
      <c r="Z1294">
        <f>IF(S1294=0,0,$AD$1197*$AP$1176)</f>
        <v>0</v>
      </c>
      <c r="AA1294">
        <f>IFERROR(Z1294/$R$1197,0)</f>
        <v>0</v>
      </c>
      <c r="AB1294">
        <f>Z1294*($F$24+IF($F$24=0,0,($C$14+$C$15+IF($C$13="single",1.5,3)+3)/12))</f>
        <v>0</v>
      </c>
      <c r="AC1294">
        <f>AB1294-W1294</f>
        <v>0</v>
      </c>
      <c r="AD1294" cm="1">
        <f t="array" ref="AD1294">IFERROR(IF(AC1294&lt;0,0,AC1294/($R$1197-INDEX(hd_off,MATCH(AQ1294,hd_mark,0),0)/12)),0)</f>
        <v>0</v>
      </c>
      <c r="AE1294">
        <f>IF(S1294=0,0,$AD$1197*$AM$1176)</f>
        <v>0</v>
      </c>
      <c r="AF1294">
        <f>IFERROR(AE1294/$R$1197,0)</f>
        <v>0</v>
      </c>
      <c r="AG1294">
        <f>AE1294*($F$24+IF($F$24=0,0,($C$14+$C$15+IF($C$13="single",1.5,3)+3)/12))</f>
        <v>0</v>
      </c>
      <c r="AH1294">
        <f>AG1294-X1294</f>
        <v>0</v>
      </c>
      <c r="AI1294" cm="1">
        <f t="array" ref="AI1294">IFERROR(IF(AH1294&lt;0,0,AH1294/($R$1197-INDEX(hd_off,MATCH(AQ1294,hd_mark,0),0)/12)),0)</f>
        <v>0</v>
      </c>
      <c r="AJ1294">
        <f>MAX($F$24,$AB$1197)/$Q$1204</f>
        <v>0</v>
      </c>
      <c r="AK1294">
        <f t="shared" si="788"/>
        <v>0</v>
      </c>
      <c r="AL1294" cm="1">
        <f t="array" ref="AL1294">IFERROR(INDEX(sheath_ecap_asd,MATCH(AP1294,sheath_mark,0),0)*AK1294,0)</f>
        <v>0</v>
      </c>
      <c r="AM1294" cm="1">
        <f t="array" ref="AM1294">IFERROR(INDEX(sheath_wcap_asd,MATCH(AP1294,sheath_mark,0),0)*AK1294,0)</f>
        <v>0</v>
      </c>
      <c r="AN1294" cm="1">
        <f t="array" ref="AN1294">IFERROR(INDEX(hd_cap,MATCH(AQ1294,hd_mark,0),0),0)</f>
        <v>0</v>
      </c>
      <c r="AP1294" s="19"/>
      <c r="AQ1294" s="19"/>
      <c r="AR1294" s="100"/>
      <c r="AS1294" s="93"/>
      <c r="AT1294" s="111">
        <f>$R$1197</f>
        <v>0</v>
      </c>
      <c r="AU1294" t="str">
        <f>$Q$1176</f>
        <v>L5</v>
      </c>
      <c r="AV1294">
        <f>$E$24</f>
        <v>0</v>
      </c>
      <c r="AW1294" cm="1">
        <f t="array" ref="AW1294">IFERROR(IF(AV1294=0,0,(INDEX($C$33:$C$38,MATCH($AZ$1197,$B$33:$B$38,0),0)*(AV1295+$BA$1197)+$AW$1197*COUNTIF(AV1294:AV1294,"&gt;0")*$C$32+$AY$1197*$C$31)*$AU$1197),0)</f>
        <v>0</v>
      </c>
      <c r="AX1294">
        <f>IF(AV1294=0,0,-(COUNTIF(AV1294:AV1294,"&gt;0")*$AW$1197*$C$32+$AY$1197*$C$31)*$H$27*$AU$1197)</f>
        <v>0</v>
      </c>
      <c r="AY1294">
        <f>IF(AV1294=0,0,$AY$1197*$H$26*$AU$1197)</f>
        <v>0</v>
      </c>
      <c r="AZ1294">
        <f>(0.6*AW1294+0.7*AX1294)*$AU$1197/2</f>
        <v>0</v>
      </c>
      <c r="BA1294">
        <f>AW1294*$AU$1197/2</f>
        <v>0</v>
      </c>
      <c r="BC1294">
        <f>IF(AV1294=0,0,$BG$1197*$AP$1176)</f>
        <v>0</v>
      </c>
      <c r="BD1294">
        <f>IFERROR(BC1294/$AU$1197,0)</f>
        <v>0</v>
      </c>
      <c r="BE1294">
        <f>BC1294*($F$24+IF($F$24=0,0,($C$14+$C$15+IF($C$13="single",1.5,3)+3)/12))</f>
        <v>0</v>
      </c>
      <c r="BF1294">
        <f>BE1294-AZ1294</f>
        <v>0</v>
      </c>
      <c r="BG1294" cm="1">
        <f t="array" ref="BG1294">IFERROR(IF(BF1294&lt;0,0,BF1294/($AU$1197-INDEX(hd_off,MATCH(BT1294,hd_mark,0),0)/12)),0)</f>
        <v>0</v>
      </c>
      <c r="BH1294">
        <f>IF(AV1294=0,0,$BG$1197*$AM$1176)</f>
        <v>0</v>
      </c>
      <c r="BI1294">
        <f>IFERROR(BH1294/$AU$1197,0)</f>
        <v>0</v>
      </c>
      <c r="BJ1294">
        <f>BH1294*($F$24+IF($F$24=0,0,($C$14+$C$15+IF($C$13="single",1.5,3)+3)/12))</f>
        <v>0</v>
      </c>
      <c r="BK1294">
        <f>BJ1294-BA1294</f>
        <v>0</v>
      </c>
      <c r="BL1294" cm="1">
        <f t="array" ref="BL1294">IFERROR(IF(BK1294&lt;0,0,BK1294/($AU$1197-INDEX(hd_off,MATCH(BT1294,hd_mark,0),0)/12)),0)</f>
        <v>0</v>
      </c>
      <c r="BM1294">
        <f>MAX($F$24,$BE$1197)/$Q$1204</f>
        <v>0</v>
      </c>
      <c r="BN1294">
        <f t="shared" si="789"/>
        <v>0</v>
      </c>
      <c r="BO1294" cm="1">
        <f t="array" ref="BO1294">IFERROR(INDEX(sheath_ecap_asd,MATCH(BS1294,sheath_mark,0),0)*BN1294,0)</f>
        <v>0</v>
      </c>
      <c r="BP1294" cm="1">
        <f t="array" ref="BP1294">IFERROR(INDEX(sheath_wcap_asd,MATCH(BS1294,sheath_mark,0),0)*BN1294,0)</f>
        <v>0</v>
      </c>
      <c r="BQ1294" cm="1">
        <f t="array" ref="BQ1294">IFERROR(INDEX(hd_cap,MATCH(BT1294,hd_mark,0),0),0)</f>
        <v>0</v>
      </c>
      <c r="BS1294" s="19"/>
      <c r="BT1294" s="19"/>
      <c r="BU1294" s="100"/>
    </row>
    <row r="1295" x14ac:dyDescent="0.25">
      <c r="P1295" s="93"/>
      <c r="Q1295" s="109"/>
      <c r="R1295" t="str">
        <f>$Q$1177</f>
        <v>Roof</v>
      </c>
      <c r="S1295">
        <f>$E$25</f>
        <v>33.171875</v>
      </c>
      <c r="T1295" cm="1">
        <f t="array" ref="T1295">IFERROR(IF(S1295=0,0,(INDEX($C$33:$C$38,MATCH($W$1197,$B$33:$B$38,0),0)*(S1295+$X$1197)+$V$1197*$C$31)*$R$1197),0)</f>
        <v>0</v>
      </c>
      <c r="U1295">
        <f>IF(S1295=0,0,-$V$1197*$C$31*$H$27*$R$1197)</f>
        <v>0</v>
      </c>
      <c r="V1295">
        <f>IF(S1295=0,0,$V$1197*$H$26*$R$1197)</f>
        <v>0</v>
      </c>
      <c r="W1295">
        <f>(0.6*T1295+0.7*U1295)*$R$1197/2</f>
        <v>0</v>
      </c>
      <c r="X1295">
        <f>T1295*$R$1197/2</f>
        <v>0</v>
      </c>
      <c r="Z1295">
        <f>IF(S1295=0,0,$AD$1197*$AP$1177)</f>
        <v>0</v>
      </c>
      <c r="AA1295">
        <f>IFERROR(Z1295/$R$1197,0)</f>
        <v>0</v>
      </c>
      <c r="AB1295">
        <f>Z1295*($F$25+($C$16+$C$17+IF($C$13="single",1.5,3)+3)/12)</f>
        <v>0</v>
      </c>
      <c r="AC1295">
        <f>AB1295-W1295</f>
        <v>0</v>
      </c>
      <c r="AD1295" cm="1">
        <f t="array" ref="AD1295">IFERROR(IF(AC1295&lt;0,0,AC1295/($R$1197-INDEX(hd_off,MATCH(AQ1295,hd_mark,0),0)/12)),0)</f>
        <v>0</v>
      </c>
      <c r="AE1295">
        <f>IF(S1295=0,0,$AD$1197*$AM$1177)</f>
        <v>0</v>
      </c>
      <c r="AF1295">
        <f>IFERROR(AE1295/$R$1197,0)</f>
        <v>0</v>
      </c>
      <c r="AG1295">
        <f>AE1295*($F$25+($C$16+$C$17+IF($C$13="single",1.5,3)+3)/12)</f>
        <v>0</v>
      </c>
      <c r="AH1295">
        <f>AG1295-X1295</f>
        <v>0</v>
      </c>
      <c r="AI1295" cm="1">
        <f t="array" ref="AI1295">IFERROR(IF(AH1295&lt;0,0,AH1295/($R$1197-INDEX(hd_off,MATCH(AQ1295,hd_mark,0),0)/12)),0)</f>
        <v>0</v>
      </c>
      <c r="AJ1295">
        <f>MAX($F$25,$AC$1197)/$Q$1204</f>
        <v>0.29920977011494249</v>
      </c>
      <c r="AK1295">
        <f t="shared" si="788"/>
        <v>1</v>
      </c>
      <c r="AL1295" cm="1">
        <f t="array" ref="AL1295">IFERROR(INDEX(sheath_ecap_asd,MATCH(AP1295,sheath_mark,0),0)*AK1295,0)</f>
        <v>0</v>
      </c>
      <c r="AM1295" cm="1">
        <f t="array" ref="AM1295">IFERROR(INDEX(sheath_wcap_asd,MATCH(AP1295,sheath_mark,0),0)*AK1295,0)</f>
        <v>0</v>
      </c>
      <c r="AN1295" cm="1">
        <f t="array" ref="AN1295">IFERROR(INDEX(hd_cap,MATCH(AQ1295,hd_mark,0),0),0)</f>
        <v>0</v>
      </c>
      <c r="AP1295" s="19"/>
      <c r="AQ1295" s="19"/>
      <c r="AR1295" s="100"/>
      <c r="AS1295" s="93"/>
      <c r="BU1295" s="100"/>
    </row>
    <row r="1296" x14ac:dyDescent="0.25">
      <c r="B1296" s="1" t="s">
        <v>569</v>
      </c>
      <c r="C1296">
        <f>E16+H16*12</f>
        <v>32.4375</v>
      </c>
      <c r="E1296" s="19">
        <v>24</v>
      </c>
      <c r="F1296" s="19">
        <f>32+5.625/12</f>
        <v>32.46875</v>
      </c>
      <c r="G1296" s="19">
        <f>33+10.5/12</f>
        <v>33.875</v>
      </c>
      <c r="H1296">
        <f>(G16-F16)/2</f>
        <v>0.703125</v>
      </c>
      <c r="P1296" s="93"/>
      <c r="Q1296" t="s">
        <v>524</v>
      </c>
      <c r="R1296" s="2" t="str">
        <f>$B$52</f>
        <v>A</v>
      </c>
      <c r="AR1296" s="100"/>
      <c r="AS1296" s="93"/>
      <c r="AT1296" t="s">
        <v>524</v>
      </c>
      <c r="AU1296" s="2">
        <f>H52</f>
        <v>1</v>
      </c>
      <c r="BU1296" s="100"/>
    </row>
    <row r="1297" x14ac:dyDescent="0.25">
      <c r="B1297" s="1" t="s">
        <v>500</v>
      </c>
      <c r="C1297" s="19">
        <v>0.5</v>
      </c>
      <c r="P1297" s="93"/>
      <c r="AR1297" s="100"/>
      <c r="AS1297" s="93"/>
      <c r="BU1297" s="100"/>
    </row>
    <row r="1298" x14ac:dyDescent="0.25">
      <c r="P1298" s="93"/>
      <c r="R1298" t="s">
        <v>482</v>
      </c>
      <c r="Z1298" t="s">
        <v>483</v>
      </c>
      <c r="AH1298" t="s">
        <v>502</v>
      </c>
      <c r="AJ1298" t="s">
        <v>454</v>
      </c>
      <c r="AR1298" s="100"/>
      <c r="AS1298" s="93"/>
      <c r="AU1298" t="s">
        <v>482</v>
      </c>
      <c r="BC1298" t="s">
        <v>483</v>
      </c>
      <c r="BK1298" t="s">
        <v>502</v>
      </c>
      <c r="BM1298" t="s">
        <v>454</v>
      </c>
      <c r="BU1298" s="100"/>
    </row>
    <row r="1299" x14ac:dyDescent="0.25">
      <c r="B1299" t="s">
        <v>448</v>
      </c>
      <c r="C1299" t="s">
        <v>272</v>
      </c>
      <c r="D1299" t="s">
        <v>193</v>
      </c>
      <c r="E1299" s="70" t="s">
        <v>454</v>
      </c>
      <c r="F1299" s="71" t="s">
        <v>501</v>
      </c>
      <c r="H1299" t="s">
        <v>475</v>
      </c>
      <c r="J1299" t="s">
        <v>476</v>
      </c>
      <c r="P1299" s="93"/>
      <c r="R1299" t="s">
        <v>480</v>
      </c>
      <c r="S1299" t="s">
        <v>481</v>
      </c>
      <c r="T1299" t="s">
        <v>486</v>
      </c>
      <c r="U1299" t="s">
        <v>487</v>
      </c>
      <c r="V1299" t="s">
        <v>484</v>
      </c>
      <c r="W1299" t="s">
        <v>485</v>
      </c>
      <c r="X1299" t="s">
        <v>488</v>
      </c>
      <c r="Y1299" t="s">
        <v>489</v>
      </c>
      <c r="Z1299" t="s">
        <v>480</v>
      </c>
      <c r="AA1299" t="s">
        <v>481</v>
      </c>
      <c r="AB1299" t="s">
        <v>486</v>
      </c>
      <c r="AC1299" t="s">
        <v>487</v>
      </c>
      <c r="AD1299" t="s">
        <v>484</v>
      </c>
      <c r="AE1299" t="s">
        <v>485</v>
      </c>
      <c r="AF1299" t="s">
        <v>488</v>
      </c>
      <c r="AG1299" t="s">
        <v>489</v>
      </c>
      <c r="AH1299" t="s">
        <v>312</v>
      </c>
      <c r="AI1299" t="s">
        <v>258</v>
      </c>
      <c r="AJ1299" t="s">
        <v>486</v>
      </c>
      <c r="AK1299" t="s">
        <v>490</v>
      </c>
      <c r="AL1299" t="s">
        <v>487</v>
      </c>
      <c r="AM1299" t="s">
        <v>490</v>
      </c>
      <c r="AN1299" t="s">
        <v>488</v>
      </c>
      <c r="AO1299" t="s">
        <v>490</v>
      </c>
      <c r="AP1299" t="s">
        <v>489</v>
      </c>
      <c r="AQ1299" t="s">
        <v>490</v>
      </c>
      <c r="AR1299" s="100"/>
      <c r="AS1299" s="93"/>
      <c r="AU1299" t="s">
        <v>480</v>
      </c>
      <c r="AV1299" t="s">
        <v>481</v>
      </c>
      <c r="AW1299" t="s">
        <v>486</v>
      </c>
      <c r="AX1299" t="s">
        <v>487</v>
      </c>
      <c r="AY1299" t="s">
        <v>484</v>
      </c>
      <c r="AZ1299" t="s">
        <v>485</v>
      </c>
      <c r="BA1299" t="s">
        <v>488</v>
      </c>
      <c r="BB1299" t="s">
        <v>489</v>
      </c>
      <c r="BC1299" t="s">
        <v>480</v>
      </c>
      <c r="BD1299" t="s">
        <v>481</v>
      </c>
      <c r="BE1299" t="s">
        <v>486</v>
      </c>
      <c r="BF1299" t="s">
        <v>487</v>
      </c>
      <c r="BG1299" t="s">
        <v>484</v>
      </c>
      <c r="BH1299" t="s">
        <v>485</v>
      </c>
      <c r="BI1299" t="s">
        <v>488</v>
      </c>
      <c r="BJ1299" t="s">
        <v>489</v>
      </c>
      <c r="BK1299" t="s">
        <v>312</v>
      </c>
      <c r="BL1299" t="s">
        <v>258</v>
      </c>
      <c r="BM1299" t="s">
        <v>486</v>
      </c>
      <c r="BN1299" t="s">
        <v>490</v>
      </c>
      <c r="BO1299" t="s">
        <v>487</v>
      </c>
      <c r="BP1299" t="s">
        <v>490</v>
      </c>
      <c r="BQ1299" t="s">
        <v>488</v>
      </c>
      <c r="BR1299" t="s">
        <v>490</v>
      </c>
      <c r="BS1299" t="s">
        <v>489</v>
      </c>
      <c r="BT1299" t="s">
        <v>490</v>
      </c>
      <c r="BU1299" s="100"/>
    </row>
    <row r="1300" x14ac:dyDescent="0.25">
      <c r="B1300" t="s">
        <v>449</v>
      </c>
      <c r="C1300" s="19">
        <v>0</v>
      </c>
      <c r="D1300" s="19">
        <v>0</v>
      </c>
      <c r="E1300" s="66">
        <f>C20+D20/12</f>
        <v>0</v>
      </c>
      <c r="F1300" s="67">
        <v>0</v>
      </c>
      <c r="H1300" s="19">
        <v>0</v>
      </c>
      <c r="I1300" s="64" t="s">
        <v>196</v>
      </c>
      <c r="J1300" s="19">
        <v>0</v>
      </c>
      <c r="K1300" s="19">
        <v>0</v>
      </c>
      <c r="L1300" s="19">
        <v>0</v>
      </c>
      <c r="M1300" s="19">
        <v>0</v>
      </c>
      <c r="P1300" s="93"/>
      <c r="Q1300" t="s">
        <v>449</v>
      </c>
      <c r="R1300" s="19">
        <f>$H$20</f>
        <v>0</v>
      </c>
      <c r="S1300">
        <f>R1300*0.6</f>
        <v>0</v>
      </c>
      <c r="T1300">
        <f>$C$52/2*R1300</f>
        <v>0</v>
      </c>
      <c r="U1300">
        <f>T1300*0.6</f>
        <v>0</v>
      </c>
      <c r="V1300" s="19">
        <v>0</v>
      </c>
      <c r="W1300">
        <f>V1300*0.7</f>
        <v>0</v>
      </c>
      <c r="X1300">
        <f>$C$52/2*V1300</f>
        <v>0</v>
      </c>
      <c r="Y1300">
        <f>X1300*0.7</f>
        <v>0</v>
      </c>
      <c r="Z1300" s="19">
        <f>$H$20</f>
        <v>0</v>
      </c>
      <c r="AA1300">
        <f>Z1300*0.6</f>
        <v>0</v>
      </c>
      <c r="AB1300">
        <f>$D$52/2*Z1300</f>
        <v>0</v>
      </c>
      <c r="AC1300">
        <f t="shared" ref="AC1300:AC1306" si="790">0.6*AB1300</f>
        <v>0</v>
      </c>
      <c r="AD1300" s="19">
        <v>0</v>
      </c>
      <c r="AE1300">
        <f>AD1300*0.7</f>
        <v>0</v>
      </c>
      <c r="AF1300">
        <f>$D$52/2*AD1300</f>
        <v>0</v>
      </c>
      <c r="AG1300">
        <f>AF1300*0.7</f>
        <v>0</v>
      </c>
      <c r="AH1300" s="19">
        <v>0</v>
      </c>
      <c r="AI1300" s="19">
        <v>0</v>
      </c>
      <c r="AJ1300" s="17">
        <f>T1300+AB1300+AH1300</f>
        <v>0</v>
      </c>
      <c r="AK1300" s="17">
        <f>AK1301+AJ1300</f>
        <v>13166</v>
      </c>
      <c r="AL1300" s="17">
        <f>AJ1300*0.6</f>
        <v>0</v>
      </c>
      <c r="AM1300" s="17">
        <f>AM1301+AL1300</f>
        <v>7899.5999999999995</v>
      </c>
      <c r="AN1300" s="17">
        <f>X1300+AF1300+AI1300</f>
        <v>0</v>
      </c>
      <c r="AO1300" s="17">
        <f t="shared" ref="AO1300:AQ1303" si="791">AN1300+AO1301</f>
        <v>1302.0999999999999</v>
      </c>
      <c r="AP1300" s="17">
        <f>AN1300*0.7</f>
        <v>0</v>
      </c>
      <c r="AQ1300" s="17">
        <f>AP1300+AQ1301</f>
        <v>911.46999999999991</v>
      </c>
      <c r="AR1300" s="100"/>
      <c r="AS1300" s="93"/>
      <c r="AT1300" t="s">
        <v>449</v>
      </c>
      <c r="AU1300" s="19">
        <f>$H$20</f>
        <v>0</v>
      </c>
      <c r="AV1300">
        <f>AU1300*0.6</f>
        <v>0</v>
      </c>
      <c r="AW1300">
        <f t="shared" ref="AW1300:AW1306" si="792">$I$52/2*AU1300</f>
        <v>0</v>
      </c>
      <c r="AX1300">
        <f>AW1300*0.6</f>
        <v>0</v>
      </c>
      <c r="AY1300" s="19">
        <v>0</v>
      </c>
      <c r="AZ1300">
        <f>AY1300*0.7</f>
        <v>0</v>
      </c>
      <c r="BA1300">
        <f t="shared" ref="BA1300:BA1305" si="793">$I$52/2*AY1300</f>
        <v>0</v>
      </c>
      <c r="BB1300">
        <f>BA1300*0.7</f>
        <v>0</v>
      </c>
      <c r="BC1300" s="19">
        <f>$H$20</f>
        <v>0</v>
      </c>
      <c r="BD1300">
        <f>BC1300*0.6</f>
        <v>0</v>
      </c>
      <c r="BE1300">
        <f t="shared" ref="BE1300:BE1306" si="794">$J$52/2*BC1300</f>
        <v>0</v>
      </c>
      <c r="BF1300">
        <f t="shared" ref="BF1300:BF1306" si="795">0.6*BE1300</f>
        <v>0</v>
      </c>
      <c r="BG1300" s="19">
        <v>0</v>
      </c>
      <c r="BH1300">
        <f>BG1300*0.7</f>
        <v>0</v>
      </c>
      <c r="BI1300">
        <f t="shared" ref="BI1300:BI1305" si="796">$J$52/2*BG1300</f>
        <v>0</v>
      </c>
      <c r="BJ1300">
        <f>BI1300*0.7</f>
        <v>0</v>
      </c>
      <c r="BK1300" s="19">
        <v>0</v>
      </c>
      <c r="BL1300" s="19">
        <v>0</v>
      </c>
      <c r="BM1300" s="17">
        <f>AW1300+BE1300+BK1300</f>
        <v>0</v>
      </c>
      <c r="BN1300" s="17">
        <f>BN1301+BM1300</f>
        <v>12258</v>
      </c>
      <c r="BO1300" s="17">
        <f>BM1300*0.6</f>
        <v>0</v>
      </c>
      <c r="BP1300" s="17">
        <f>BP1301+BO1300</f>
        <v>7354.7999999999993</v>
      </c>
      <c r="BQ1300" s="17">
        <f>BA1300+BI1300+BL1300</f>
        <v>0</v>
      </c>
      <c r="BR1300" s="17">
        <f t="shared" ref="BR1300:BR1303" si="797">BQ1300+BR1301</f>
        <v>1212.3</v>
      </c>
      <c r="BS1300" s="17">
        <f>BQ1300*0.7</f>
        <v>0</v>
      </c>
      <c r="BT1300" s="17">
        <f>BS1300+BT1301</f>
        <v>848.6099999999999</v>
      </c>
      <c r="BU1300" s="100"/>
    </row>
    <row r="1301" x14ac:dyDescent="0.25">
      <c r="B1301" t="s">
        <v>450</v>
      </c>
      <c r="C1301" s="19">
        <v>10</v>
      </c>
      <c r="D1301" s="19">
        <v>8.25</v>
      </c>
      <c r="E1301" s="66">
        <f>C21+D21/12</f>
        <v>10.6875</v>
      </c>
      <c r="F1301" s="67">
        <f>IF(E21&gt;0,E21-(C15+C14+2*1.5+IF(C13="single",1.5,3))/12-_xlfn.XLOOKUP(E21,E20,E20,,-1),0)</f>
        <v>8.75</v>
      </c>
      <c r="H1301" s="19">
        <v>236</v>
      </c>
      <c r="I1301" s="64" t="s">
        <v>196</v>
      </c>
      <c r="J1301" s="19">
        <v>33.799999999999997</v>
      </c>
      <c r="K1301" s="19">
        <v>65.599999999999994</v>
      </c>
      <c r="L1301" s="19">
        <v>19.3</v>
      </c>
      <c r="M1301" s="19">
        <v>119.6</v>
      </c>
      <c r="P1301" s="93"/>
      <c r="Q1301" t="s">
        <v>450</v>
      </c>
      <c r="R1301" s="19">
        <f>$H$21</f>
        <v>236</v>
      </c>
      <c r="S1301">
        <f t="shared" ref="S1301:S1306" si="798">R1301*0.6</f>
        <v>141.6</v>
      </c>
      <c r="T1301">
        <f t="shared" ref="T1301:T1305" si="799">$C$52/2*R1301</f>
        <v>0</v>
      </c>
      <c r="U1301">
        <f>T1301*0.6</f>
        <v>0</v>
      </c>
      <c r="V1301" s="19">
        <v>33.799999999999997</v>
      </c>
      <c r="W1301">
        <f t="shared" ref="W1301:W1305" si="800">V1301*0.7</f>
        <v>23.659999999999997</v>
      </c>
      <c r="X1301">
        <f t="shared" ref="X1301:X1305" si="801">$C$52/2*V1301</f>
        <v>0</v>
      </c>
      <c r="Y1301">
        <f t="shared" ref="Y1301:Y1305" si="802">X1301*0.7</f>
        <v>0</v>
      </c>
      <c r="Z1301" s="19">
        <f>$H$21</f>
        <v>236</v>
      </c>
      <c r="AA1301">
        <f t="shared" ref="AA1301:AA1305" si="803">Z1301*0.6</f>
        <v>141.6</v>
      </c>
      <c r="AB1301">
        <f t="shared" ref="AB1301:AB1305" si="804">$D$52/2*Z1301</f>
        <v>3422</v>
      </c>
      <c r="AC1301">
        <f t="shared" si="790"/>
        <v>2053.1999999999998</v>
      </c>
      <c r="AD1301" s="19">
        <v>33.799999999999997</v>
      </c>
      <c r="AE1301">
        <f t="shared" ref="AE1301:AE1305" si="805">AD1301*0.7</f>
        <v>23.659999999999997</v>
      </c>
      <c r="AF1301">
        <f t="shared" ref="AF1301:AF1305" si="806">$D$52/2*AD1301</f>
        <v>490.09999999999997</v>
      </c>
      <c r="AG1301">
        <f t="shared" ref="AG1301:AG1305" si="807">AF1301*0.7</f>
        <v>343.06999999999994</v>
      </c>
      <c r="AH1301" s="19">
        <v>0</v>
      </c>
      <c r="AI1301" s="19">
        <v>0</v>
      </c>
      <c r="AJ1301" s="17">
        <f>T1301+AB1301+AH1301</f>
        <v>3422</v>
      </c>
      <c r="AK1301" s="17">
        <f>AK1302+AJ1301</f>
        <v>13166</v>
      </c>
      <c r="AL1301" s="17">
        <f t="shared" ref="AL1301:AL1305" si="808">AJ1301*0.6</f>
        <v>2053.1999999999998</v>
      </c>
      <c r="AM1301" s="17">
        <f t="shared" ref="AM1301:AM1303" si="809">AM1302+AL1301</f>
        <v>7899.5999999999995</v>
      </c>
      <c r="AN1301" s="17">
        <f t="shared" ref="AN1301:AN1304" si="810">X1301+AF1301+AI1301</f>
        <v>490.09999999999997</v>
      </c>
      <c r="AO1301" s="17">
        <f t="shared" si="791"/>
        <v>1302.0999999999999</v>
      </c>
      <c r="AP1301" s="17">
        <f t="shared" ref="AP1301:AP1304" si="811">AN1301*0.7</f>
        <v>343.06999999999994</v>
      </c>
      <c r="AQ1301" s="17">
        <f t="shared" si="791"/>
        <v>911.46999999999991</v>
      </c>
      <c r="AR1301" s="100"/>
      <c r="AS1301" s="93"/>
      <c r="AT1301" t="s">
        <v>450</v>
      </c>
      <c r="AU1301" s="19">
        <f>$H$21</f>
        <v>236</v>
      </c>
      <c r="AV1301">
        <f t="shared" ref="AV1301:AV1306" si="812">AU1301*0.6</f>
        <v>141.6</v>
      </c>
      <c r="AW1301">
        <f t="shared" si="792"/>
        <v>0</v>
      </c>
      <c r="AX1301">
        <f>AW1301*0.6</f>
        <v>0</v>
      </c>
      <c r="AY1301" s="19">
        <v>33.799999999999997</v>
      </c>
      <c r="AZ1301">
        <f t="shared" ref="AZ1301:AZ1305" si="813">AY1301*0.7</f>
        <v>23.659999999999997</v>
      </c>
      <c r="BA1301">
        <f t="shared" si="793"/>
        <v>0</v>
      </c>
      <c r="BB1301">
        <f t="shared" ref="BB1301:BB1305" si="814">BA1301*0.7</f>
        <v>0</v>
      </c>
      <c r="BC1301" s="19">
        <f>$H$21</f>
        <v>236</v>
      </c>
      <c r="BD1301">
        <f t="shared" ref="BD1301:BD1305" si="815">BC1301*0.6</f>
        <v>141.6</v>
      </c>
      <c r="BE1301">
        <f t="shared" si="794"/>
        <v>3186</v>
      </c>
      <c r="BF1301">
        <f t="shared" si="795"/>
        <v>1911.6</v>
      </c>
      <c r="BG1301" s="19">
        <v>33.799999999999997</v>
      </c>
      <c r="BH1301">
        <f t="shared" ref="BH1301:BH1305" si="816">BG1301*0.7</f>
        <v>23.659999999999997</v>
      </c>
      <c r="BI1301">
        <f t="shared" si="796"/>
        <v>456.29999999999995</v>
      </c>
      <c r="BJ1301">
        <f t="shared" ref="BJ1301:BJ1305" si="817">BI1301*0.7</f>
        <v>319.40999999999997</v>
      </c>
      <c r="BK1301" s="19">
        <v>0</v>
      </c>
      <c r="BL1301" s="19">
        <v>0</v>
      </c>
      <c r="BM1301" s="17">
        <f>AW1301+BE1301+BK1301</f>
        <v>3186</v>
      </c>
      <c r="BN1301" s="17">
        <f>BN1302+BM1301</f>
        <v>12258</v>
      </c>
      <c r="BO1301" s="17">
        <f t="shared" ref="BO1301" si="818">BM1301*0.6</f>
        <v>1911.6</v>
      </c>
      <c r="BP1301" s="17">
        <f t="shared" ref="BP1301:BP1303" si="819">BP1302+BO1301</f>
        <v>7354.7999999999993</v>
      </c>
      <c r="BQ1301" s="17">
        <f t="shared" ref="BQ1301:BQ1304" si="820">BA1301+BI1301+BL1301</f>
        <v>456.29999999999995</v>
      </c>
      <c r="BR1301" s="17">
        <f t="shared" si="797"/>
        <v>1212.3</v>
      </c>
      <c r="BS1301" s="17">
        <f t="shared" ref="BS1301:BS1304" si="821">BQ1301*0.7</f>
        <v>319.40999999999997</v>
      </c>
      <c r="BT1301" s="17">
        <f t="shared" ref="BT1301:BT1303" si="822">BS1301+BT1302</f>
        <v>848.6099999999999</v>
      </c>
      <c r="BU1301" s="100"/>
    </row>
    <row r="1302" x14ac:dyDescent="0.25">
      <c r="B1302" t="s">
        <v>451</v>
      </c>
      <c r="C1302" s="19">
        <v>21</v>
      </c>
      <c r="D1302" s="19">
        <v>4.5</v>
      </c>
      <c r="E1302" s="66">
        <f t="shared" ref="E22:E25" si="823">C22+D22/12</f>
        <v>21.375</v>
      </c>
      <c r="F1302" s="67">
        <f>IF(E22&gt;0,E22-(C15+C14+2*1.5+IF(C13="single",1.5,3))/12-_xlfn.XLOOKUP(E22,E20:E21,E20:E21,,-1),0)</f>
        <v>8.75</v>
      </c>
      <c r="H1302" s="19">
        <v>229</v>
      </c>
      <c r="I1302" s="64" t="s">
        <v>196</v>
      </c>
      <c r="J1302" s="19">
        <v>37.1</v>
      </c>
      <c r="K1302" s="19">
        <v>71.8</v>
      </c>
      <c r="L1302" s="19">
        <v>21.1</v>
      </c>
      <c r="M1302" s="19">
        <v>131.1</v>
      </c>
      <c r="P1302" s="93"/>
      <c r="Q1302" t="s">
        <v>451</v>
      </c>
      <c r="R1302" s="19">
        <f>$H$22</f>
        <v>229</v>
      </c>
      <c r="S1302">
        <f t="shared" si="798"/>
        <v>137.4</v>
      </c>
      <c r="T1302">
        <f t="shared" si="799"/>
        <v>0</v>
      </c>
      <c r="U1302">
        <f t="shared" ref="U1302:U1306" si="824">T1302*0.6</f>
        <v>0</v>
      </c>
      <c r="V1302" s="19">
        <v>37.1</v>
      </c>
      <c r="W1302">
        <f t="shared" si="800"/>
        <v>25.97</v>
      </c>
      <c r="X1302">
        <f>$C$52/2*V1302</f>
        <v>0</v>
      </c>
      <c r="Y1302">
        <f t="shared" si="802"/>
        <v>0</v>
      </c>
      <c r="Z1302" s="19">
        <f>$H$22</f>
        <v>229</v>
      </c>
      <c r="AA1302">
        <f t="shared" si="803"/>
        <v>137.4</v>
      </c>
      <c r="AB1302">
        <f t="shared" si="804"/>
        <v>3320.5</v>
      </c>
      <c r="AC1302">
        <f t="shared" si="790"/>
        <v>1992.3</v>
      </c>
      <c r="AD1302" s="19">
        <v>37.1</v>
      </c>
      <c r="AE1302">
        <f t="shared" si="805"/>
        <v>25.97</v>
      </c>
      <c r="AF1302">
        <f t="shared" si="806"/>
        <v>537.95000000000005</v>
      </c>
      <c r="AG1302">
        <f t="shared" si="807"/>
        <v>376.565</v>
      </c>
      <c r="AH1302" s="19">
        <v>0</v>
      </c>
      <c r="AI1302" s="19">
        <v>0</v>
      </c>
      <c r="AJ1302" s="17">
        <f t="shared" ref="AJ1302:AJ1304" si="825">T1302+AB1302+AH1302</f>
        <v>3320.5</v>
      </c>
      <c r="AK1302" s="17">
        <f>AK1303+AJ1302</f>
        <v>9744</v>
      </c>
      <c r="AL1302" s="17">
        <f>AJ1302*0.6</f>
        <v>1992.3</v>
      </c>
      <c r="AM1302" s="17">
        <f t="shared" si="809"/>
        <v>5846.4</v>
      </c>
      <c r="AN1302" s="17">
        <f t="shared" si="810"/>
        <v>537.95000000000005</v>
      </c>
      <c r="AO1302" s="17">
        <f t="shared" si="791"/>
        <v>812</v>
      </c>
      <c r="AP1302" s="17">
        <f t="shared" si="811"/>
        <v>376.565</v>
      </c>
      <c r="AQ1302" s="17">
        <f t="shared" si="791"/>
        <v>568.4</v>
      </c>
      <c r="AR1302" s="100"/>
      <c r="AS1302" s="93"/>
      <c r="AT1302" t="s">
        <v>451</v>
      </c>
      <c r="AU1302" s="19">
        <f>$H$22</f>
        <v>229</v>
      </c>
      <c r="AV1302">
        <f t="shared" si="812"/>
        <v>137.4</v>
      </c>
      <c r="AW1302">
        <f t="shared" si="792"/>
        <v>0</v>
      </c>
      <c r="AX1302">
        <f t="shared" ref="AX1302:AX1306" si="826">AW1302*0.6</f>
        <v>0</v>
      </c>
      <c r="AY1302" s="19">
        <v>37.1</v>
      </c>
      <c r="AZ1302">
        <f t="shared" si="813"/>
        <v>25.97</v>
      </c>
      <c r="BA1302">
        <f t="shared" si="793"/>
        <v>0</v>
      </c>
      <c r="BB1302">
        <f t="shared" si="814"/>
        <v>0</v>
      </c>
      <c r="BC1302" s="19">
        <f>$H$22</f>
        <v>229</v>
      </c>
      <c r="BD1302">
        <f t="shared" si="815"/>
        <v>137.4</v>
      </c>
      <c r="BE1302">
        <f t="shared" si="794"/>
        <v>3091.5</v>
      </c>
      <c r="BF1302">
        <f t="shared" si="795"/>
        <v>1854.8999999999999</v>
      </c>
      <c r="BG1302" s="19">
        <v>37.1</v>
      </c>
      <c r="BH1302">
        <f t="shared" si="816"/>
        <v>25.97</v>
      </c>
      <c r="BI1302">
        <f t="shared" si="796"/>
        <v>500.85</v>
      </c>
      <c r="BJ1302">
        <f t="shared" si="817"/>
        <v>350.59499999999997</v>
      </c>
      <c r="BK1302" s="19">
        <v>0</v>
      </c>
      <c r="BL1302" s="19">
        <v>0</v>
      </c>
      <c r="BM1302" s="17">
        <f t="shared" ref="BM1302:BM1304" si="827">AW1302+BE1302+BK1302</f>
        <v>3091.5</v>
      </c>
      <c r="BN1302" s="17">
        <f>BN1303+BM1302</f>
        <v>9072</v>
      </c>
      <c r="BO1302" s="17">
        <f>BM1302*0.6</f>
        <v>1854.8999999999999</v>
      </c>
      <c r="BP1302" s="17">
        <f t="shared" si="819"/>
        <v>5443.2</v>
      </c>
      <c r="BQ1302" s="17">
        <f t="shared" si="820"/>
        <v>500.85</v>
      </c>
      <c r="BR1302" s="17">
        <f t="shared" si="797"/>
        <v>756</v>
      </c>
      <c r="BS1302" s="17">
        <f t="shared" si="821"/>
        <v>350.59499999999997</v>
      </c>
      <c r="BT1302" s="17">
        <f t="shared" si="822"/>
        <v>529.19999999999993</v>
      </c>
      <c r="BU1302" s="100"/>
    </row>
    <row r="1303" x14ac:dyDescent="0.25">
      <c r="B1303" t="s">
        <v>452</v>
      </c>
      <c r="C1303" s="19">
        <v>0</v>
      </c>
      <c r="D1303" s="19">
        <v>0</v>
      </c>
      <c r="E1303" s="66">
        <f t="shared" si="823"/>
        <v>0</v>
      </c>
      <c r="F1303" s="67">
        <f>IF(E23&gt;0,E23-(C15+C14+2*1.5+IF(C13="single",1.5,3))/12-_xlfn.XLOOKUP(E23,E20:E22,E20:E22,,-1),0)</f>
        <v>0</v>
      </c>
      <c r="H1303" s="19">
        <v>0</v>
      </c>
      <c r="I1303" s="64" t="s">
        <v>196</v>
      </c>
      <c r="J1303" s="19">
        <v>0</v>
      </c>
      <c r="K1303" s="19">
        <v>0</v>
      </c>
      <c r="L1303" s="19">
        <v>0</v>
      </c>
      <c r="M1303" s="19">
        <v>0</v>
      </c>
      <c r="P1303" s="93"/>
      <c r="Q1303" t="s">
        <v>452</v>
      </c>
      <c r="R1303" s="19">
        <f>$H$23</f>
        <v>0</v>
      </c>
      <c r="S1303">
        <f t="shared" si="798"/>
        <v>0</v>
      </c>
      <c r="T1303">
        <f t="shared" si="799"/>
        <v>0</v>
      </c>
      <c r="U1303">
        <f t="shared" si="824"/>
        <v>0</v>
      </c>
      <c r="V1303" s="19">
        <v>0</v>
      </c>
      <c r="W1303">
        <f t="shared" si="800"/>
        <v>0</v>
      </c>
      <c r="X1303">
        <f t="shared" si="801"/>
        <v>0</v>
      </c>
      <c r="Y1303">
        <f t="shared" si="802"/>
        <v>0</v>
      </c>
      <c r="Z1303" s="19">
        <f>$H$23</f>
        <v>0</v>
      </c>
      <c r="AA1303">
        <f t="shared" si="803"/>
        <v>0</v>
      </c>
      <c r="AB1303">
        <f t="shared" si="804"/>
        <v>0</v>
      </c>
      <c r="AC1303">
        <f t="shared" si="790"/>
        <v>0</v>
      </c>
      <c r="AD1303" s="19">
        <v>0</v>
      </c>
      <c r="AE1303">
        <f t="shared" si="805"/>
        <v>0</v>
      </c>
      <c r="AF1303">
        <f t="shared" si="806"/>
        <v>0</v>
      </c>
      <c r="AG1303">
        <f t="shared" si="807"/>
        <v>0</v>
      </c>
      <c r="AH1303" s="19">
        <v>0</v>
      </c>
      <c r="AI1303" s="19">
        <v>0</v>
      </c>
      <c r="AJ1303" s="17">
        <f t="shared" si="825"/>
        <v>0</v>
      </c>
      <c r="AK1303" s="17">
        <f>AK1304+AJ1303</f>
        <v>6423.5</v>
      </c>
      <c r="AL1303" s="17">
        <f>AJ1303*0.6</f>
        <v>0</v>
      </c>
      <c r="AM1303" s="17">
        <f t="shared" si="809"/>
        <v>3854.1</v>
      </c>
      <c r="AN1303" s="17">
        <f t="shared" si="810"/>
        <v>0</v>
      </c>
      <c r="AO1303" s="17">
        <f t="shared" si="791"/>
        <v>274.04999999999995</v>
      </c>
      <c r="AP1303" s="17">
        <f t="shared" si="811"/>
        <v>0</v>
      </c>
      <c r="AQ1303" s="17">
        <f t="shared" si="791"/>
        <v>191.83499999999995</v>
      </c>
      <c r="AR1303" s="100"/>
      <c r="AS1303" s="93"/>
      <c r="AT1303" t="s">
        <v>452</v>
      </c>
      <c r="AU1303" s="19">
        <f>$H$23</f>
        <v>0</v>
      </c>
      <c r="AV1303">
        <f t="shared" si="812"/>
        <v>0</v>
      </c>
      <c r="AW1303">
        <f t="shared" si="792"/>
        <v>0</v>
      </c>
      <c r="AX1303">
        <f t="shared" si="826"/>
        <v>0</v>
      </c>
      <c r="AY1303" s="19">
        <v>0</v>
      </c>
      <c r="AZ1303">
        <f t="shared" si="813"/>
        <v>0</v>
      </c>
      <c r="BA1303">
        <f t="shared" si="793"/>
        <v>0</v>
      </c>
      <c r="BB1303">
        <f t="shared" si="814"/>
        <v>0</v>
      </c>
      <c r="BC1303" s="19">
        <f>$H$23</f>
        <v>0</v>
      </c>
      <c r="BD1303">
        <f t="shared" si="815"/>
        <v>0</v>
      </c>
      <c r="BE1303">
        <f t="shared" si="794"/>
        <v>0</v>
      </c>
      <c r="BF1303">
        <f t="shared" si="795"/>
        <v>0</v>
      </c>
      <c r="BG1303" s="19">
        <v>0</v>
      </c>
      <c r="BH1303">
        <f t="shared" si="816"/>
        <v>0</v>
      </c>
      <c r="BI1303">
        <f t="shared" si="796"/>
        <v>0</v>
      </c>
      <c r="BJ1303">
        <f t="shared" si="817"/>
        <v>0</v>
      </c>
      <c r="BK1303" s="19">
        <v>0</v>
      </c>
      <c r="BL1303" s="19">
        <v>0</v>
      </c>
      <c r="BM1303" s="17">
        <f t="shared" si="827"/>
        <v>0</v>
      </c>
      <c r="BN1303" s="17">
        <f>BN1304+BM1303</f>
        <v>5980.5</v>
      </c>
      <c r="BO1303" s="17">
        <f>BM1303*0.6</f>
        <v>0</v>
      </c>
      <c r="BP1303" s="17">
        <f t="shared" si="819"/>
        <v>3588.2999999999997</v>
      </c>
      <c r="BQ1303" s="17">
        <f t="shared" si="820"/>
        <v>0</v>
      </c>
      <c r="BR1303" s="17">
        <f t="shared" si="797"/>
        <v>255.14999999999998</v>
      </c>
      <c r="BS1303" s="17">
        <f t="shared" si="821"/>
        <v>0</v>
      </c>
      <c r="BT1303" s="17">
        <f t="shared" si="822"/>
        <v>178.60499999999996</v>
      </c>
      <c r="BU1303" s="100"/>
    </row>
    <row r="1304" x14ac:dyDescent="0.25">
      <c r="B1304" t="s">
        <v>453</v>
      </c>
      <c r="C1304" s="19">
        <v>0</v>
      </c>
      <c r="D1304" s="19">
        <v>0</v>
      </c>
      <c r="E1304" s="66">
        <f t="shared" si="823"/>
        <v>0</v>
      </c>
      <c r="F1304" s="67">
        <f>IF(E24&gt;0,E24-(C15+C14+2*1.5+IF(C13="single",1.5,3))/12-_xlfn.XLOOKUP(E24,E20:E23,E20:E23,,-1),0)</f>
        <v>0</v>
      </c>
      <c r="H1304" s="19">
        <v>0</v>
      </c>
      <c r="I1304" s="64" t="s">
        <v>196</v>
      </c>
      <c r="J1304" s="19">
        <v>0</v>
      </c>
      <c r="K1304" s="19">
        <v>0</v>
      </c>
      <c r="L1304" s="19">
        <v>0</v>
      </c>
      <c r="M1304" s="19">
        <v>0</v>
      </c>
      <c r="P1304" s="93"/>
      <c r="Q1304" t="s">
        <v>453</v>
      </c>
      <c r="R1304" s="19">
        <f>$H$24</f>
        <v>0</v>
      </c>
      <c r="S1304">
        <f t="shared" si="798"/>
        <v>0</v>
      </c>
      <c r="T1304">
        <f t="shared" si="799"/>
        <v>0</v>
      </c>
      <c r="U1304">
        <f t="shared" si="824"/>
        <v>0</v>
      </c>
      <c r="V1304" s="19">
        <v>0</v>
      </c>
      <c r="W1304">
        <f t="shared" si="800"/>
        <v>0</v>
      </c>
      <c r="X1304">
        <f t="shared" si="801"/>
        <v>0</v>
      </c>
      <c r="Y1304">
        <f t="shared" si="802"/>
        <v>0</v>
      </c>
      <c r="Z1304" s="19">
        <f>$H$24</f>
        <v>0</v>
      </c>
      <c r="AA1304">
        <f t="shared" si="803"/>
        <v>0</v>
      </c>
      <c r="AB1304">
        <f t="shared" si="804"/>
        <v>0</v>
      </c>
      <c r="AC1304">
        <f t="shared" si="790"/>
        <v>0</v>
      </c>
      <c r="AD1304" s="19">
        <v>0</v>
      </c>
      <c r="AE1304">
        <f t="shared" si="805"/>
        <v>0</v>
      </c>
      <c r="AF1304">
        <f t="shared" si="806"/>
        <v>0</v>
      </c>
      <c r="AG1304">
        <f t="shared" si="807"/>
        <v>0</v>
      </c>
      <c r="AH1304" s="19">
        <v>0</v>
      </c>
      <c r="AI1304" s="19">
        <v>0</v>
      </c>
      <c r="AJ1304" s="17">
        <f t="shared" si="825"/>
        <v>0</v>
      </c>
      <c r="AK1304" s="17">
        <f>AK1305+IF(AJ1304=0,0,AJ1304)</f>
        <v>6423.5</v>
      </c>
      <c r="AL1304" s="17">
        <f t="shared" si="808"/>
        <v>0</v>
      </c>
      <c r="AM1304" s="17">
        <f>AM1305+AL1304</f>
        <v>3854.1</v>
      </c>
      <c r="AN1304" s="17">
        <f t="shared" si="810"/>
        <v>0</v>
      </c>
      <c r="AO1304" s="17">
        <f>AN1304+AO1305</f>
        <v>274.04999999999995</v>
      </c>
      <c r="AP1304" s="17">
        <f t="shared" si="811"/>
        <v>0</v>
      </c>
      <c r="AQ1304" s="17">
        <f>AP1304+AQ1305</f>
        <v>191.83499999999995</v>
      </c>
      <c r="AR1304" s="100"/>
      <c r="AS1304" s="93"/>
      <c r="AT1304" t="s">
        <v>453</v>
      </c>
      <c r="AU1304" s="19">
        <f>$H$24</f>
        <v>0</v>
      </c>
      <c r="AV1304">
        <f t="shared" si="812"/>
        <v>0</v>
      </c>
      <c r="AW1304">
        <f t="shared" si="792"/>
        <v>0</v>
      </c>
      <c r="AX1304">
        <f t="shared" si="826"/>
        <v>0</v>
      </c>
      <c r="AY1304" s="19">
        <v>0</v>
      </c>
      <c r="AZ1304">
        <f t="shared" si="813"/>
        <v>0</v>
      </c>
      <c r="BA1304">
        <f t="shared" si="793"/>
        <v>0</v>
      </c>
      <c r="BB1304">
        <f t="shared" si="814"/>
        <v>0</v>
      </c>
      <c r="BC1304" s="19">
        <f>$H$24</f>
        <v>0</v>
      </c>
      <c r="BD1304">
        <f t="shared" si="815"/>
        <v>0</v>
      </c>
      <c r="BE1304">
        <f t="shared" si="794"/>
        <v>0</v>
      </c>
      <c r="BF1304">
        <f t="shared" si="795"/>
        <v>0</v>
      </c>
      <c r="BG1304" s="19">
        <v>0</v>
      </c>
      <c r="BH1304">
        <f t="shared" si="816"/>
        <v>0</v>
      </c>
      <c r="BI1304">
        <f t="shared" si="796"/>
        <v>0</v>
      </c>
      <c r="BJ1304">
        <f t="shared" si="817"/>
        <v>0</v>
      </c>
      <c r="BK1304" s="19">
        <v>0</v>
      </c>
      <c r="BL1304" s="19">
        <v>0</v>
      </c>
      <c r="BM1304" s="17">
        <f t="shared" si="827"/>
        <v>0</v>
      </c>
      <c r="BN1304" s="17">
        <f>BN1305+IF(BM1304=0,0,BM1304)</f>
        <v>5980.5</v>
      </c>
      <c r="BO1304" s="17">
        <f t="shared" ref="BO1304:BO1305" si="828">BM1304*0.6</f>
        <v>0</v>
      </c>
      <c r="BP1304" s="17">
        <f>BP1305+BO1304</f>
        <v>3588.2999999999997</v>
      </c>
      <c r="BQ1304" s="17">
        <f t="shared" si="820"/>
        <v>0</v>
      </c>
      <c r="BR1304" s="17">
        <f>BQ1304+BR1305</f>
        <v>255.14999999999998</v>
      </c>
      <c r="BS1304" s="17">
        <f t="shared" si="821"/>
        <v>0</v>
      </c>
      <c r="BT1304" s="17">
        <f>BS1304+BT1305</f>
        <v>178.60499999999996</v>
      </c>
      <c r="BU1304" s="100"/>
    </row>
    <row r="1305" x14ac:dyDescent="0.25">
      <c r="B1305" t="s">
        <v>275</v>
      </c>
      <c r="C1305" s="19">
        <f>(33+32)/2</f>
        <v>32.5</v>
      </c>
      <c r="D1305" s="19">
        <f>(10.5+5.625)/2</f>
        <v>8.0625</v>
      </c>
      <c r="E1305" s="68">
        <f t="shared" si="823"/>
        <v>33.171875</v>
      </c>
      <c r="F1305" s="69">
        <f>E25-(C17+C16+2*1.5+IF(C13="single",1.5,3))/12-_xlfn.XLOOKUP(E25,E20:E24,E20:E24,,-1)</f>
        <v>8.6770833333333321</v>
      </c>
      <c r="H1305" s="19">
        <v>443</v>
      </c>
      <c r="I1305" s="64" t="s">
        <v>196</v>
      </c>
      <c r="J1305" s="19">
        <v>18.899999999999999</v>
      </c>
      <c r="K1305" s="19">
        <v>36.6</v>
      </c>
      <c r="L1305" s="19">
        <v>10.8</v>
      </c>
      <c r="M1305" s="19">
        <v>66.7</v>
      </c>
      <c r="P1305" s="93"/>
      <c r="Q1305" t="s">
        <v>275</v>
      </c>
      <c r="R1305" s="19">
        <f>$H$25</f>
        <v>443</v>
      </c>
      <c r="S1305">
        <f t="shared" si="798"/>
        <v>265.8</v>
      </c>
      <c r="T1305">
        <f t="shared" si="799"/>
        <v>0</v>
      </c>
      <c r="U1305">
        <f t="shared" si="824"/>
        <v>0</v>
      </c>
      <c r="V1305" s="19">
        <v>18.899999999999999</v>
      </c>
      <c r="W1305">
        <f t="shared" si="800"/>
        <v>13.229999999999999</v>
      </c>
      <c r="X1305">
        <f t="shared" si="801"/>
        <v>0</v>
      </c>
      <c r="Y1305">
        <f t="shared" si="802"/>
        <v>0</v>
      </c>
      <c r="Z1305" s="19">
        <f>$H$25</f>
        <v>443</v>
      </c>
      <c r="AA1305">
        <f t="shared" si="803"/>
        <v>265.8</v>
      </c>
      <c r="AB1305">
        <f t="shared" si="804"/>
        <v>6423.5</v>
      </c>
      <c r="AC1305">
        <f t="shared" si="790"/>
        <v>3854.1</v>
      </c>
      <c r="AD1305" s="19">
        <v>18.899999999999999</v>
      </c>
      <c r="AE1305">
        <f t="shared" si="805"/>
        <v>13.229999999999999</v>
      </c>
      <c r="AF1305">
        <f t="shared" si="806"/>
        <v>274.04999999999995</v>
      </c>
      <c r="AG1305">
        <f t="shared" si="807"/>
        <v>191.83499999999995</v>
      </c>
      <c r="AH1305" s="19">
        <v>0</v>
      </c>
      <c r="AI1305" s="19">
        <v>0</v>
      </c>
      <c r="AJ1305" s="17">
        <f>T1305+AB1305+AH1305</f>
        <v>6423.5</v>
      </c>
      <c r="AK1305" s="17">
        <f>AJ1305</f>
        <v>6423.5</v>
      </c>
      <c r="AL1305" s="17">
        <f t="shared" si="808"/>
        <v>3854.1</v>
      </c>
      <c r="AM1305" s="17">
        <f>AL1305</f>
        <v>3854.1</v>
      </c>
      <c r="AN1305" s="17">
        <f>X1305+AF1305+AI1305</f>
        <v>274.04999999999995</v>
      </c>
      <c r="AO1305" s="17">
        <f>AN1305</f>
        <v>274.04999999999995</v>
      </c>
      <c r="AP1305" s="17">
        <f>AN1305*0.7</f>
        <v>191.83499999999995</v>
      </c>
      <c r="AQ1305" s="17">
        <f>AP1305</f>
        <v>191.83499999999995</v>
      </c>
      <c r="AR1305" s="100"/>
      <c r="AS1305" s="93"/>
      <c r="AT1305" t="s">
        <v>275</v>
      </c>
      <c r="AU1305" s="19">
        <f>$H$25</f>
        <v>443</v>
      </c>
      <c r="AV1305">
        <f t="shared" si="812"/>
        <v>265.8</v>
      </c>
      <c r="AW1305">
        <f t="shared" si="792"/>
        <v>0</v>
      </c>
      <c r="AX1305">
        <f t="shared" si="826"/>
        <v>0</v>
      </c>
      <c r="AY1305" s="19">
        <v>18.899999999999999</v>
      </c>
      <c r="AZ1305">
        <f t="shared" si="813"/>
        <v>13.229999999999999</v>
      </c>
      <c r="BA1305">
        <f t="shared" si="793"/>
        <v>0</v>
      </c>
      <c r="BB1305">
        <f t="shared" si="814"/>
        <v>0</v>
      </c>
      <c r="BC1305" s="19">
        <f>$H$25</f>
        <v>443</v>
      </c>
      <c r="BD1305">
        <f t="shared" si="815"/>
        <v>265.8</v>
      </c>
      <c r="BE1305">
        <f t="shared" si="794"/>
        <v>5980.5</v>
      </c>
      <c r="BF1305">
        <f t="shared" si="795"/>
        <v>3588.2999999999997</v>
      </c>
      <c r="BG1305" s="19">
        <v>18.899999999999999</v>
      </c>
      <c r="BH1305">
        <f t="shared" si="816"/>
        <v>13.229999999999999</v>
      </c>
      <c r="BI1305">
        <f t="shared" si="796"/>
        <v>255.14999999999998</v>
      </c>
      <c r="BJ1305">
        <f t="shared" si="817"/>
        <v>178.60499999999996</v>
      </c>
      <c r="BK1305" s="19">
        <v>0</v>
      </c>
      <c r="BL1305" s="19">
        <v>0</v>
      </c>
      <c r="BM1305" s="17">
        <f>AW1305+BE1305+BK1305</f>
        <v>5980.5</v>
      </c>
      <c r="BN1305" s="17">
        <f>BM1305</f>
        <v>5980.5</v>
      </c>
      <c r="BO1305" s="17">
        <f t="shared" si="828"/>
        <v>3588.2999999999997</v>
      </c>
      <c r="BP1305" s="17">
        <f>BO1305</f>
        <v>3588.2999999999997</v>
      </c>
      <c r="BQ1305" s="17">
        <f>BA1305+BI1305+BL1305</f>
        <v>255.14999999999998</v>
      </c>
      <c r="BR1305" s="17">
        <f>BQ1305</f>
        <v>255.14999999999998</v>
      </c>
      <c r="BS1305" s="17">
        <f>BQ1305*0.7</f>
        <v>178.60499999999996</v>
      </c>
      <c r="BT1305" s="17">
        <f>BS1305</f>
        <v>178.60499999999996</v>
      </c>
      <c r="BU1305" s="100"/>
    </row>
    <row r="1306" x14ac:dyDescent="0.25">
      <c r="B1306" t="s">
        <v>530</v>
      </c>
      <c r="E1306" s="73"/>
      <c r="F1306" s="73"/>
      <c r="H1306" s="19">
        <v>-22.9</v>
      </c>
      <c r="I1306" s="64" t="s">
        <v>270</v>
      </c>
      <c r="P1306" s="93"/>
      <c r="R1306" s="19">
        <f>$H$26</f>
        <v>-22.9</v>
      </c>
      <c r="S1306">
        <f t="shared" si="798"/>
        <v>-13.739999999999998</v>
      </c>
      <c r="T1306">
        <f>$I$52/2*R1306</f>
        <v>0</v>
      </c>
      <c r="U1306">
        <f t="shared" si="824"/>
        <v>0</v>
      </c>
      <c r="Z1306" s="19">
        <f>$H$26</f>
        <v>-22.9</v>
      </c>
      <c r="AA1306">
        <f>Z1306*0.6</f>
        <v>-13.739999999999998</v>
      </c>
      <c r="AB1306">
        <f>$J$52/2*Z1306</f>
        <v>-309.14999999999998</v>
      </c>
      <c r="AC1306">
        <f t="shared" si="790"/>
        <v>-185.48999999999998</v>
      </c>
      <c r="AR1306" s="100"/>
      <c r="AS1306" s="93"/>
      <c r="AU1306" s="19">
        <f>$H$26</f>
        <v>-22.9</v>
      </c>
      <c r="AV1306">
        <f t="shared" si="812"/>
        <v>-13.739999999999998</v>
      </c>
      <c r="AW1306">
        <f t="shared" si="792"/>
        <v>0</v>
      </c>
      <c r="AX1306">
        <f t="shared" si="826"/>
        <v>0</v>
      </c>
      <c r="BC1306" s="19">
        <f>$H$26</f>
        <v>-22.9</v>
      </c>
      <c r="BD1306">
        <f>BC1306*0.6</f>
        <v>-13.739999999999998</v>
      </c>
      <c r="BE1306">
        <f t="shared" si="794"/>
        <v>-309.14999999999998</v>
      </c>
      <c r="BF1306">
        <f t="shared" si="795"/>
        <v>-185.48999999999998</v>
      </c>
      <c r="BU1306" s="100"/>
    </row>
    <row r="1307" x14ac:dyDescent="0.25">
      <c r="B1307" t="s">
        <v>531</v>
      </c>
      <c r="C1307" s="1" t="s">
        <v>533</v>
      </c>
      <c r="D1307" s="19">
        <v>0.18</v>
      </c>
      <c r="E1307" s="73"/>
      <c r="F1307" s="73"/>
      <c r="H1307">
        <f>0.2*D27</f>
        <v>3.5999999999999997E-2</v>
      </c>
      <c r="I1307" s="64" t="s">
        <v>534</v>
      </c>
      <c r="P1307" s="93"/>
      <c r="Q1307" s="1"/>
      <c r="AR1307" s="100"/>
      <c r="AS1307" s="93"/>
      <c r="AT1307" s="1"/>
      <c r="BU1307" s="100"/>
    </row>
    <row r="1308" x14ac:dyDescent="0.25">
      <c r="P1308" s="93"/>
      <c r="Y1308" s="112" t="s">
        <v>752</v>
      </c>
      <c r="Z1308" s="112"/>
      <c r="AA1308" s="112"/>
      <c r="AB1308" s="112"/>
      <c r="AC1308" s="112"/>
      <c r="AR1308" s="100"/>
      <c r="AS1308" s="93"/>
      <c r="BB1308" s="112" t="s">
        <v>752</v>
      </c>
      <c r="BC1308" s="112"/>
      <c r="BD1308" s="112"/>
      <c r="BE1308" s="112"/>
      <c r="BF1308" s="112"/>
      <c r="BU1308" s="100"/>
    </row>
    <row r="1309" x14ac:dyDescent="0.25">
      <c r="B1309" t="s">
        <v>513</v>
      </c>
      <c r="P1309" s="93"/>
      <c r="Q1309" t="s">
        <v>479</v>
      </c>
      <c r="R1309" t="s">
        <v>491</v>
      </c>
      <c r="S1309" t="s">
        <v>508</v>
      </c>
      <c r="T1309" t="s">
        <v>507</v>
      </c>
      <c r="U1309" t="s">
        <v>535</v>
      </c>
      <c r="V1309" t="s">
        <v>536</v>
      </c>
      <c r="W1309" t="s">
        <v>479</v>
      </c>
      <c r="X1309" t="s">
        <v>537</v>
      </c>
      <c r="Y1309" t="s">
        <v>450</v>
      </c>
      <c r="Z1309" t="s">
        <v>451</v>
      </c>
      <c r="AA1309" t="s">
        <v>452</v>
      </c>
      <c r="AB1309" t="s">
        <v>453</v>
      </c>
      <c r="AC1309" t="s">
        <v>753</v>
      </c>
      <c r="AD1309" t="s">
        <v>519</v>
      </c>
      <c r="AR1309" s="100"/>
      <c r="AS1309" s="93"/>
      <c r="AT1309" t="s">
        <v>479</v>
      </c>
      <c r="AU1309" t="s">
        <v>491</v>
      </c>
      <c r="AV1309" t="s">
        <v>508</v>
      </c>
      <c r="AW1309" t="s">
        <v>507</v>
      </c>
      <c r="AX1309" t="s">
        <v>535</v>
      </c>
      <c r="AY1309" t="s">
        <v>536</v>
      </c>
      <c r="AZ1309" t="s">
        <v>479</v>
      </c>
      <c r="BA1309" t="s">
        <v>537</v>
      </c>
      <c r="BB1309" t="s">
        <v>450</v>
      </c>
      <c r="BC1309" t="s">
        <v>451</v>
      </c>
      <c r="BD1309" t="s">
        <v>452</v>
      </c>
      <c r="BE1309" t="s">
        <v>453</v>
      </c>
      <c r="BF1309" t="s">
        <v>753</v>
      </c>
      <c r="BG1309" t="s">
        <v>519</v>
      </c>
      <c r="BU1309" s="100"/>
    </row>
    <row r="1310" x14ac:dyDescent="0.25">
      <c r="B1310" s="1" t="s">
        <v>275</v>
      </c>
      <c r="C1310" s="19">
        <v>20</v>
      </c>
      <c r="D1310" t="s">
        <v>567</v>
      </c>
      <c r="P1310" s="93"/>
      <c r="Q1310" s="109" t="str">
        <f>R1296&amp;".01"</f>
        <v>A.01</v>
      </c>
      <c r="R1310" s="19">
        <v>29</v>
      </c>
      <c r="S1310" s="19">
        <v>12</v>
      </c>
      <c r="T1310">
        <f>S1310/2</f>
        <v>6</v>
      </c>
      <c r="U1310" s="19">
        <v>4</v>
      </c>
      <c r="V1310">
        <f>U1310/2</f>
        <v>2</v>
      </c>
      <c r="W1310" s="19" t="s">
        <v>515</v>
      </c>
      <c r="X1310" s="19">
        <v>6</v>
      </c>
      <c r="Y1310" s="19"/>
      <c r="Z1310" s="19"/>
      <c r="AA1310" s="19"/>
      <c r="AB1310" s="19"/>
      <c r="AC1310" s="19"/>
      <c r="AD1310" s="108">
        <f>R1310/R1326</f>
        <v>1</v>
      </c>
      <c r="AR1310" s="100"/>
      <c r="AS1310" s="93"/>
      <c r="AT1310" s="109" t="str">
        <f>AU$1296&amp;".01"</f>
        <v>1.01</v>
      </c>
      <c r="AU1310" s="19">
        <v>29</v>
      </c>
      <c r="AV1310" s="19">
        <v>12</v>
      </c>
      <c r="AW1310">
        <f>AV1310/2</f>
        <v>6</v>
      </c>
      <c r="AX1310" s="19">
        <v>4</v>
      </c>
      <c r="AY1310">
        <f>AX1310/2</f>
        <v>2</v>
      </c>
      <c r="AZ1310" s="19" t="s">
        <v>515</v>
      </c>
      <c r="BA1310" s="19">
        <v>6</v>
      </c>
      <c r="BB1310" s="19"/>
      <c r="BC1310" s="19"/>
      <c r="BD1310" s="19"/>
      <c r="BE1310" s="19"/>
      <c r="BF1310" s="19"/>
      <c r="BG1310" s="108">
        <f>AU1310/AU1326</f>
        <v>1</v>
      </c>
      <c r="BU1310" s="100"/>
    </row>
    <row r="1311" x14ac:dyDescent="0.25">
      <c r="B1311" s="1"/>
      <c r="C1311">
        <f>0.9*C30</f>
        <v>18</v>
      </c>
      <c r="D1311" t="s">
        <v>532</v>
      </c>
      <c r="P1311" s="93"/>
      <c r="Q1311" s="109" t="str">
        <f>R1296&amp;".02"</f>
        <v>A.02</v>
      </c>
      <c r="R1311" s="19"/>
      <c r="S1311" s="19"/>
      <c r="T1311">
        <f t="shared" ref="T1311:T1325" si="829">S1311/2</f>
        <v>0</v>
      </c>
      <c r="U1311" s="19"/>
      <c r="V1311">
        <f t="shared" ref="V1311:V1325" si="830">U1311/2</f>
        <v>0</v>
      </c>
      <c r="W1311" s="19"/>
      <c r="X1311" s="19"/>
      <c r="Y1311" s="19"/>
      <c r="Z1311" s="19"/>
      <c r="AA1311" s="19"/>
      <c r="AB1311" s="19"/>
      <c r="AC1311" s="19"/>
      <c r="AR1311" s="100"/>
      <c r="AS1311" s="93"/>
      <c r="AT1311" s="109" t="str">
        <f>AU$1296&amp;".02"</f>
        <v>1.02</v>
      </c>
      <c r="AU1311" s="19"/>
      <c r="AV1311" s="19"/>
      <c r="AW1311">
        <f t="shared" ref="AW1311:AW1325" si="831">AV1311/2</f>
        <v>0</v>
      </c>
      <c r="AX1311" s="19"/>
      <c r="AY1311">
        <f t="shared" ref="AY1311:AY1325" si="832">AX1311/2</f>
        <v>0</v>
      </c>
      <c r="AZ1311" s="19"/>
      <c r="BA1311" s="19"/>
      <c r="BB1311" s="19"/>
      <c r="BC1311" s="19"/>
      <c r="BD1311" s="19"/>
      <c r="BE1311" s="19"/>
      <c r="BF1311" s="19"/>
      <c r="BU1311" s="100"/>
    </row>
    <row r="1312" x14ac:dyDescent="0.25">
      <c r="B1312" s="1" t="s">
        <v>514</v>
      </c>
      <c r="C1312" s="19">
        <v>26</v>
      </c>
      <c r="D1312" t="s">
        <v>512</v>
      </c>
      <c r="P1312" s="93"/>
      <c r="Q1312" s="109" t="str">
        <f>R1296&amp;".03"</f>
        <v>A.03</v>
      </c>
      <c r="R1312" s="19"/>
      <c r="S1312" s="19"/>
      <c r="T1312">
        <f t="shared" si="829"/>
        <v>0</v>
      </c>
      <c r="U1312" s="19"/>
      <c r="V1312">
        <f t="shared" si="830"/>
        <v>0</v>
      </c>
      <c r="W1312" s="19"/>
      <c r="X1312" s="19"/>
      <c r="Y1312" s="19"/>
      <c r="Z1312" s="19"/>
      <c r="AA1312" s="19"/>
      <c r="AB1312" s="19"/>
      <c r="AC1312" s="19"/>
      <c r="AR1312" s="100"/>
      <c r="AS1312" s="93"/>
      <c r="AT1312" s="109" t="str">
        <f>AU$1296&amp;".03"</f>
        <v>1.03</v>
      </c>
      <c r="AU1312" s="19"/>
      <c r="AV1312" s="19"/>
      <c r="AW1312">
        <f t="shared" si="831"/>
        <v>0</v>
      </c>
      <c r="AX1312" s="19"/>
      <c r="AY1312">
        <f t="shared" si="832"/>
        <v>0</v>
      </c>
      <c r="AZ1312" s="19"/>
      <c r="BA1312" s="19"/>
      <c r="BB1312" s="19"/>
      <c r="BC1312" s="19"/>
      <c r="BD1312" s="19"/>
      <c r="BE1312" s="19"/>
      <c r="BF1312" s="19"/>
      <c r="BU1312" s="100"/>
    </row>
    <row r="1313" x14ac:dyDescent="0.25">
      <c r="B1313" s="1" t="s">
        <v>477</v>
      </c>
      <c r="C1313" s="19">
        <v>11</v>
      </c>
      <c r="D1313" t="s">
        <v>509</v>
      </c>
      <c r="P1313" s="93"/>
      <c r="Q1313" s="109" t="str">
        <f>R1296&amp;".04"</f>
        <v>A.04</v>
      </c>
      <c r="R1313" s="19"/>
      <c r="S1313" s="19"/>
      <c r="T1313">
        <f t="shared" si="829"/>
        <v>0</v>
      </c>
      <c r="U1313" s="19"/>
      <c r="V1313">
        <f t="shared" si="830"/>
        <v>0</v>
      </c>
      <c r="W1313" s="19"/>
      <c r="X1313" s="19"/>
      <c r="Y1313" s="19"/>
      <c r="Z1313" s="19"/>
      <c r="AA1313" s="19"/>
      <c r="AB1313" s="19"/>
      <c r="AC1313" s="19"/>
      <c r="AR1313" s="100"/>
      <c r="AS1313" s="93"/>
      <c r="AT1313" s="109" t="str">
        <f>AU$1296&amp;".04"</f>
        <v>1.04</v>
      </c>
      <c r="AU1313" s="19"/>
      <c r="AV1313" s="19"/>
      <c r="AW1313">
        <f t="shared" si="831"/>
        <v>0</v>
      </c>
      <c r="AX1313" s="19"/>
      <c r="AY1313">
        <f t="shared" si="832"/>
        <v>0</v>
      </c>
      <c r="AZ1313" s="19"/>
      <c r="BA1313" s="19"/>
      <c r="BB1313" s="19"/>
      <c r="BC1313" s="19"/>
      <c r="BD1313" s="19"/>
      <c r="BE1313" s="19"/>
      <c r="BF1313" s="19"/>
      <c r="BU1313" s="100"/>
    </row>
    <row r="1314" x14ac:dyDescent="0.25">
      <c r="B1314" s="1" t="s">
        <v>478</v>
      </c>
      <c r="C1314" s="19">
        <v>13</v>
      </c>
      <c r="D1314" t="s">
        <v>510</v>
      </c>
      <c r="P1314" s="93"/>
      <c r="Q1314" s="109" t="str">
        <f>R1296&amp;".05"</f>
        <v>A.05</v>
      </c>
      <c r="R1314" s="19"/>
      <c r="S1314" s="19"/>
      <c r="T1314">
        <f t="shared" si="829"/>
        <v>0</v>
      </c>
      <c r="U1314" s="19"/>
      <c r="V1314">
        <f t="shared" si="830"/>
        <v>0</v>
      </c>
      <c r="W1314" s="19"/>
      <c r="X1314" s="19"/>
      <c r="Y1314" s="19"/>
      <c r="Z1314" s="19"/>
      <c r="AA1314" s="19"/>
      <c r="AB1314" s="19"/>
      <c r="AC1314" s="19"/>
      <c r="AR1314" s="100"/>
      <c r="AS1314" s="93"/>
      <c r="AT1314" s="109" t="str">
        <f>AU$1296&amp;".05"</f>
        <v>1.05</v>
      </c>
      <c r="AU1314" s="19"/>
      <c r="AV1314" s="19"/>
      <c r="AW1314">
        <f t="shared" si="831"/>
        <v>0</v>
      </c>
      <c r="AX1314" s="19"/>
      <c r="AY1314">
        <f t="shared" si="832"/>
        <v>0</v>
      </c>
      <c r="AZ1314" s="19"/>
      <c r="BA1314" s="19"/>
      <c r="BB1314" s="19"/>
      <c r="BC1314" s="19"/>
      <c r="BD1314" s="19"/>
      <c r="BE1314" s="19"/>
      <c r="BF1314" s="19"/>
      <c r="BU1314" s="100"/>
    </row>
    <row r="1315" x14ac:dyDescent="0.25">
      <c r="B1315" s="1" t="s">
        <v>515</v>
      </c>
      <c r="C1315" s="19">
        <v>18</v>
      </c>
      <c r="D1315" t="s">
        <v>511</v>
      </c>
      <c r="P1315" s="93"/>
      <c r="Q1315" s="109" t="str">
        <f>R1296&amp;".06"</f>
        <v>A.06</v>
      </c>
      <c r="R1315" s="19"/>
      <c r="S1315" s="19"/>
      <c r="T1315">
        <f t="shared" si="829"/>
        <v>0</v>
      </c>
      <c r="U1315" s="19"/>
      <c r="V1315">
        <f t="shared" si="830"/>
        <v>0</v>
      </c>
      <c r="W1315" s="19"/>
      <c r="X1315" s="19"/>
      <c r="Y1315" s="19"/>
      <c r="Z1315" s="19"/>
      <c r="AA1315" s="19"/>
      <c r="AB1315" s="19"/>
      <c r="AC1315" s="19"/>
      <c r="AR1315" s="100"/>
      <c r="AS1315" s="93"/>
      <c r="AT1315" s="109" t="str">
        <f>AU$1296&amp;".06"</f>
        <v>1.06</v>
      </c>
      <c r="AU1315" s="19"/>
      <c r="AV1315" s="19"/>
      <c r="AW1315">
        <f t="shared" si="831"/>
        <v>0</v>
      </c>
      <c r="AX1315" s="19"/>
      <c r="AY1315">
        <f t="shared" si="832"/>
        <v>0</v>
      </c>
      <c r="AZ1315" s="19"/>
      <c r="BA1315" s="19"/>
      <c r="BB1315" s="19"/>
      <c r="BC1315" s="19"/>
      <c r="BD1315" s="19"/>
      <c r="BE1315" s="19"/>
      <c r="BF1315" s="19"/>
      <c r="BU1315" s="100"/>
    </row>
    <row r="1316" x14ac:dyDescent="0.25">
      <c r="B1316" s="1" t="s">
        <v>516</v>
      </c>
      <c r="P1316" s="93"/>
      <c r="Q1316" s="109" t="str">
        <f>R1296&amp;".07"</f>
        <v>A.07</v>
      </c>
      <c r="R1316" s="19"/>
      <c r="S1316" s="19"/>
      <c r="T1316">
        <f t="shared" si="829"/>
        <v>0</v>
      </c>
      <c r="U1316" s="19"/>
      <c r="V1316">
        <f t="shared" si="830"/>
        <v>0</v>
      </c>
      <c r="W1316" s="19"/>
      <c r="X1316" s="19"/>
      <c r="Y1316" s="19"/>
      <c r="Z1316" s="19"/>
      <c r="AA1316" s="19"/>
      <c r="AB1316" s="19"/>
      <c r="AC1316" s="19"/>
      <c r="AF1316" s="109"/>
      <c r="AR1316" s="100"/>
      <c r="AS1316" s="93"/>
      <c r="AT1316" s="109" t="str">
        <f>AU$1296&amp;".07"</f>
        <v>1.07</v>
      </c>
      <c r="AU1316" s="19"/>
      <c r="AV1316" s="19"/>
      <c r="AW1316">
        <f t="shared" si="831"/>
        <v>0</v>
      </c>
      <c r="AX1316" s="19"/>
      <c r="AY1316">
        <f t="shared" si="832"/>
        <v>0</v>
      </c>
      <c r="AZ1316" s="19"/>
      <c r="BA1316" s="19"/>
      <c r="BB1316" s="19"/>
      <c r="BC1316" s="19"/>
      <c r="BD1316" s="19"/>
      <c r="BE1316" s="19"/>
      <c r="BF1316" s="19"/>
      <c r="BI1316" s="109"/>
      <c r="BU1316" s="100"/>
    </row>
    <row r="1317" x14ac:dyDescent="0.25">
      <c r="B1317" s="1" t="s">
        <v>517</v>
      </c>
      <c r="P1317" s="93"/>
      <c r="Q1317" s="109" t="str">
        <f>R1296&amp;".08"</f>
        <v>A.08</v>
      </c>
      <c r="R1317" s="19"/>
      <c r="S1317" s="19"/>
      <c r="T1317">
        <f t="shared" si="829"/>
        <v>0</v>
      </c>
      <c r="U1317" s="19"/>
      <c r="V1317">
        <f t="shared" si="830"/>
        <v>0</v>
      </c>
      <c r="W1317" s="19"/>
      <c r="X1317" s="19"/>
      <c r="Y1317" s="19"/>
      <c r="Z1317" s="19"/>
      <c r="AA1317" s="19"/>
      <c r="AB1317" s="19"/>
      <c r="AC1317" s="19"/>
      <c r="AF1317" s="109"/>
      <c r="AR1317" s="100"/>
      <c r="AS1317" s="93"/>
      <c r="AT1317" s="109" t="str">
        <f>AU$1296&amp;".08"</f>
        <v>1.08</v>
      </c>
      <c r="AU1317" s="19"/>
      <c r="AV1317" s="19"/>
      <c r="AW1317">
        <f t="shared" si="831"/>
        <v>0</v>
      </c>
      <c r="AX1317" s="19"/>
      <c r="AY1317">
        <f t="shared" si="832"/>
        <v>0</v>
      </c>
      <c r="AZ1317" s="19"/>
      <c r="BA1317" s="19"/>
      <c r="BB1317" s="19"/>
      <c r="BC1317" s="19"/>
      <c r="BD1317" s="19"/>
      <c r="BE1317" s="19"/>
      <c r="BF1317" s="19"/>
      <c r="BI1317" s="109"/>
      <c r="BU1317" s="100"/>
    </row>
    <row r="1318" x14ac:dyDescent="0.25">
      <c r="B1318" s="1" t="s">
        <v>518</v>
      </c>
      <c r="P1318" s="93"/>
      <c r="Q1318" s="109" t="str">
        <f>R1296&amp;".09"</f>
        <v>A.09</v>
      </c>
      <c r="R1318" s="19"/>
      <c r="S1318" s="19"/>
      <c r="T1318">
        <f t="shared" si="829"/>
        <v>0</v>
      </c>
      <c r="U1318" s="19"/>
      <c r="V1318">
        <f t="shared" si="830"/>
        <v>0</v>
      </c>
      <c r="W1318" s="19"/>
      <c r="X1318" s="19"/>
      <c r="Y1318" s="19"/>
      <c r="Z1318" s="19"/>
      <c r="AA1318" s="19"/>
      <c r="AB1318" s="19"/>
      <c r="AC1318" s="19"/>
      <c r="AF1318" s="109"/>
      <c r="AR1318" s="100"/>
      <c r="AS1318" s="93"/>
      <c r="AT1318" s="109" t="str">
        <f>AU$1296&amp;".09"</f>
        <v>1.09</v>
      </c>
      <c r="AU1318" s="19"/>
      <c r="AV1318" s="19"/>
      <c r="AW1318">
        <f t="shared" si="831"/>
        <v>0</v>
      </c>
      <c r="AX1318" s="19"/>
      <c r="AY1318">
        <f t="shared" si="832"/>
        <v>0</v>
      </c>
      <c r="AZ1318" s="19"/>
      <c r="BA1318" s="19"/>
      <c r="BB1318" s="19"/>
      <c r="BC1318" s="19"/>
      <c r="BD1318" s="19"/>
      <c r="BE1318" s="19"/>
      <c r="BF1318" s="19"/>
      <c r="BI1318" s="109"/>
      <c r="BU1318" s="100"/>
    </row>
    <row r="1319" x14ac:dyDescent="0.25">
      <c r="P1319" s="93"/>
      <c r="Q1319" s="109" t="str">
        <f>R1296&amp;".10"</f>
        <v>A.10</v>
      </c>
      <c r="R1319" s="19"/>
      <c r="S1319" s="19"/>
      <c r="T1319">
        <f t="shared" si="829"/>
        <v>0</v>
      </c>
      <c r="U1319" s="19"/>
      <c r="V1319">
        <f t="shared" si="830"/>
        <v>0</v>
      </c>
      <c r="W1319" s="19"/>
      <c r="X1319" s="19"/>
      <c r="Y1319" s="19"/>
      <c r="Z1319" s="19"/>
      <c r="AA1319" s="19"/>
      <c r="AB1319" s="19"/>
      <c r="AC1319" s="19"/>
      <c r="AF1319" s="109"/>
      <c r="AR1319" s="100"/>
      <c r="AS1319" s="93"/>
      <c r="AT1319" s="109" t="str">
        <f>AU$1296&amp;".10"</f>
        <v>1.10</v>
      </c>
      <c r="AU1319" s="19"/>
      <c r="AV1319" s="19"/>
      <c r="AW1319">
        <f t="shared" si="831"/>
        <v>0</v>
      </c>
      <c r="AX1319" s="19"/>
      <c r="AY1319">
        <f t="shared" si="832"/>
        <v>0</v>
      </c>
      <c r="AZ1319" s="19"/>
      <c r="BA1319" s="19"/>
      <c r="BB1319" s="19"/>
      <c r="BC1319" s="19"/>
      <c r="BD1319" s="19"/>
      <c r="BE1319" s="19"/>
      <c r="BF1319" s="19"/>
      <c r="BI1319" s="109"/>
      <c r="BU1319" s="100"/>
    </row>
    <row r="1320" x14ac:dyDescent="0.25">
      <c r="C1320" s="112" t="s">
        <v>495</v>
      </c>
      <c r="D1320" s="112"/>
      <c r="E1320" s="112"/>
      <c r="I1320" s="112" t="s">
        <v>495</v>
      </c>
      <c r="J1320" s="112"/>
      <c r="K1320" s="112"/>
      <c r="P1320" s="93"/>
      <c r="Q1320" s="109" t="str">
        <f>R1296&amp;".11"</f>
        <v>A.11</v>
      </c>
      <c r="R1320" s="19"/>
      <c r="S1320" s="19"/>
      <c r="T1320">
        <f t="shared" si="829"/>
        <v>0</v>
      </c>
      <c r="U1320" s="19"/>
      <c r="V1320">
        <f t="shared" si="830"/>
        <v>0</v>
      </c>
      <c r="W1320" s="19"/>
      <c r="X1320" s="19"/>
      <c r="Y1320" s="19"/>
      <c r="Z1320" s="19"/>
      <c r="AA1320" s="19"/>
      <c r="AB1320" s="19"/>
      <c r="AC1320" s="19"/>
      <c r="AF1320" s="109"/>
      <c r="AR1320" s="100"/>
      <c r="AS1320" s="93"/>
      <c r="AT1320" s="109" t="str">
        <f>AU$1296&amp;".11"</f>
        <v>1.11</v>
      </c>
      <c r="AU1320" s="19"/>
      <c r="AV1320" s="19"/>
      <c r="AW1320">
        <f t="shared" si="831"/>
        <v>0</v>
      </c>
      <c r="AX1320" s="19"/>
      <c r="AY1320">
        <f t="shared" si="832"/>
        <v>0</v>
      </c>
      <c r="AZ1320" s="19"/>
      <c r="BA1320" s="19"/>
      <c r="BB1320" s="19"/>
      <c r="BC1320" s="19"/>
      <c r="BD1320" s="19"/>
      <c r="BE1320" s="19"/>
      <c r="BF1320" s="19"/>
      <c r="BI1320" s="109"/>
      <c r="BU1320" s="100"/>
    </row>
    <row r="1321" x14ac:dyDescent="0.25">
      <c r="B1321" t="s">
        <v>474</v>
      </c>
      <c r="C1321" t="s">
        <v>492</v>
      </c>
      <c r="D1321" t="s">
        <v>493</v>
      </c>
      <c r="E1321" t="s">
        <v>494</v>
      </c>
      <c r="H1321" t="s">
        <v>455</v>
      </c>
      <c r="I1321" t="s">
        <v>492</v>
      </c>
      <c r="J1321" t="s">
        <v>493</v>
      </c>
      <c r="K1321" t="s">
        <v>494</v>
      </c>
      <c r="P1321" s="93"/>
      <c r="Q1321" s="109" t="str">
        <f>R1296&amp;".12"</f>
        <v>A.12</v>
      </c>
      <c r="R1321" s="19"/>
      <c r="S1321" s="19"/>
      <c r="T1321">
        <f t="shared" si="829"/>
        <v>0</v>
      </c>
      <c r="U1321" s="19"/>
      <c r="V1321">
        <f t="shared" si="830"/>
        <v>0</v>
      </c>
      <c r="W1321" s="19"/>
      <c r="X1321" s="19"/>
      <c r="Y1321" s="19"/>
      <c r="Z1321" s="19"/>
      <c r="AA1321" s="19"/>
      <c r="AB1321" s="19"/>
      <c r="AC1321" s="19"/>
      <c r="AF1321" s="109"/>
      <c r="AR1321" s="100"/>
      <c r="AS1321" s="93"/>
      <c r="AT1321" s="109" t="str">
        <f>AU$1296&amp;".12"</f>
        <v>1.12</v>
      </c>
      <c r="AU1321" s="19"/>
      <c r="AV1321" s="19"/>
      <c r="AW1321">
        <f t="shared" si="831"/>
        <v>0</v>
      </c>
      <c r="AX1321" s="19"/>
      <c r="AY1321">
        <f t="shared" si="832"/>
        <v>0</v>
      </c>
      <c r="AZ1321" s="19"/>
      <c r="BA1321" s="19"/>
      <c r="BB1321" s="19"/>
      <c r="BC1321" s="19"/>
      <c r="BD1321" s="19"/>
      <c r="BE1321" s="19"/>
      <c r="BF1321" s="19"/>
      <c r="BI1321" s="109"/>
      <c r="BU1321" s="100"/>
    </row>
    <row r="1322" x14ac:dyDescent="0.25">
      <c r="B1322" t="s">
        <v>274</v>
      </c>
      <c r="C1322" s="19">
        <v>0</v>
      </c>
      <c r="D1322" s="19">
        <v>29</v>
      </c>
      <c r="E1322">
        <f>C52+D52</f>
        <v>29</v>
      </c>
      <c r="H1322">
        <v>1</v>
      </c>
      <c r="I1322" s="19">
        <v>0</v>
      </c>
      <c r="J1322" s="19">
        <v>27</v>
      </c>
      <c r="K1322">
        <f>I52+J52</f>
        <v>27</v>
      </c>
      <c r="P1322" s="93"/>
      <c r="Q1322" s="109" t="str">
        <f>R1296&amp;".13"</f>
        <v>A.13</v>
      </c>
      <c r="R1322" s="19"/>
      <c r="S1322" s="19"/>
      <c r="T1322">
        <f t="shared" si="829"/>
        <v>0</v>
      </c>
      <c r="U1322" s="19"/>
      <c r="V1322">
        <f t="shared" si="830"/>
        <v>0</v>
      </c>
      <c r="W1322" s="19"/>
      <c r="X1322" s="19"/>
      <c r="Y1322" s="19"/>
      <c r="Z1322" s="19"/>
      <c r="AA1322" s="19"/>
      <c r="AB1322" s="19"/>
      <c r="AC1322" s="19"/>
      <c r="AF1322" s="109"/>
      <c r="AR1322" s="100"/>
      <c r="AS1322" s="93"/>
      <c r="AT1322" s="109" t="str">
        <f>AU$1296&amp;".13"</f>
        <v>1.13</v>
      </c>
      <c r="AU1322" s="19"/>
      <c r="AV1322" s="19"/>
      <c r="AW1322">
        <f t="shared" si="831"/>
        <v>0</v>
      </c>
      <c r="AX1322" s="19"/>
      <c r="AY1322">
        <f t="shared" si="832"/>
        <v>0</v>
      </c>
      <c r="AZ1322" s="19"/>
      <c r="BA1322" s="19"/>
      <c r="BB1322" s="19"/>
      <c r="BC1322" s="19"/>
      <c r="BD1322" s="19"/>
      <c r="BE1322" s="19"/>
      <c r="BF1322" s="19"/>
      <c r="BI1322" s="109"/>
      <c r="BU1322" s="100"/>
    </row>
    <row r="1323" x14ac:dyDescent="0.25">
      <c r="B1323" t="s">
        <v>279</v>
      </c>
      <c r="C1323" s="19">
        <v>29</v>
      </c>
      <c r="D1323" s="19">
        <v>6</v>
      </c>
      <c r="E1323">
        <f t="shared" ref="E43:E67" si="833">C43+D43</f>
        <v>35</v>
      </c>
      <c r="H1323">
        <v>2</v>
      </c>
      <c r="I1323" s="19">
        <v>27</v>
      </c>
      <c r="J1323" s="19">
        <v>14</v>
      </c>
      <c r="K1323">
        <f t="shared" ref="K43:K67" si="834">I43+J43</f>
        <v>41</v>
      </c>
      <c r="P1323" s="93"/>
      <c r="Q1323" s="109" t="str">
        <f>R1296&amp;".14"</f>
        <v>A.14</v>
      </c>
      <c r="R1323" s="19"/>
      <c r="S1323" s="19"/>
      <c r="T1323">
        <f t="shared" si="829"/>
        <v>0</v>
      </c>
      <c r="U1323" s="19"/>
      <c r="V1323">
        <f t="shared" si="830"/>
        <v>0</v>
      </c>
      <c r="W1323" s="19"/>
      <c r="X1323" s="19"/>
      <c r="Y1323" s="19"/>
      <c r="Z1323" s="19"/>
      <c r="AA1323" s="19"/>
      <c r="AB1323" s="19"/>
      <c r="AC1323" s="19"/>
      <c r="AF1323" s="109"/>
      <c r="AR1323" s="100"/>
      <c r="AS1323" s="93"/>
      <c r="AT1323" s="109" t="str">
        <f>AU$1296&amp;".14"</f>
        <v>1.14</v>
      </c>
      <c r="AU1323" s="19"/>
      <c r="AV1323" s="19"/>
      <c r="AW1323">
        <f t="shared" si="831"/>
        <v>0</v>
      </c>
      <c r="AX1323" s="19"/>
      <c r="AY1323">
        <f t="shared" si="832"/>
        <v>0</v>
      </c>
      <c r="AZ1323" s="19"/>
      <c r="BA1323" s="19"/>
      <c r="BB1323" s="19"/>
      <c r="BC1323" s="19"/>
      <c r="BD1323" s="19"/>
      <c r="BE1323" s="19"/>
      <c r="BF1323" s="19"/>
      <c r="BI1323" s="109"/>
      <c r="BU1323" s="100"/>
    </row>
    <row r="1324" x14ac:dyDescent="0.25">
      <c r="B1324" t="s">
        <v>283</v>
      </c>
      <c r="C1324" s="19">
        <v>6</v>
      </c>
      <c r="D1324" s="19">
        <v>29</v>
      </c>
      <c r="E1324">
        <f t="shared" si="833"/>
        <v>35</v>
      </c>
      <c r="H1324">
        <v>3</v>
      </c>
      <c r="I1324" s="19">
        <v>14</v>
      </c>
      <c r="J1324" s="19">
        <v>13</v>
      </c>
      <c r="K1324">
        <f t="shared" si="834"/>
        <v>27</v>
      </c>
      <c r="P1324" s="93"/>
      <c r="Q1324" s="109" t="str">
        <f>R1296&amp;".15"</f>
        <v>A.15</v>
      </c>
      <c r="R1324" s="19"/>
      <c r="S1324" s="19"/>
      <c r="T1324">
        <f t="shared" si="829"/>
        <v>0</v>
      </c>
      <c r="U1324" s="19"/>
      <c r="V1324">
        <f t="shared" si="830"/>
        <v>0</v>
      </c>
      <c r="W1324" s="19"/>
      <c r="X1324" s="19"/>
      <c r="Y1324" s="19"/>
      <c r="Z1324" s="19"/>
      <c r="AA1324" s="19"/>
      <c r="AB1324" s="19"/>
      <c r="AC1324" s="19"/>
      <c r="AF1324" s="109"/>
      <c r="AR1324" s="100"/>
      <c r="AS1324" s="93"/>
      <c r="AT1324" s="109" t="str">
        <f>AU$1296&amp;".15"</f>
        <v>1.15</v>
      </c>
      <c r="AU1324" s="19"/>
      <c r="AV1324" s="19"/>
      <c r="AW1324">
        <f t="shared" si="831"/>
        <v>0</v>
      </c>
      <c r="AX1324" s="19"/>
      <c r="AY1324">
        <f t="shared" si="832"/>
        <v>0</v>
      </c>
      <c r="AZ1324" s="19"/>
      <c r="BA1324" s="19"/>
      <c r="BB1324" s="19"/>
      <c r="BC1324" s="19"/>
      <c r="BD1324" s="19"/>
      <c r="BE1324" s="19"/>
      <c r="BF1324" s="19"/>
      <c r="BI1324" s="109"/>
      <c r="BU1324" s="100"/>
    </row>
    <row r="1325" x14ac:dyDescent="0.25">
      <c r="B1325" t="s">
        <v>287</v>
      </c>
      <c r="C1325" s="19">
        <v>26</v>
      </c>
      <c r="D1325" s="19">
        <v>26</v>
      </c>
      <c r="E1325">
        <f t="shared" si="833"/>
        <v>52</v>
      </c>
      <c r="F1325" t="s">
        <v>506</v>
      </c>
      <c r="H1325">
        <v>4</v>
      </c>
      <c r="I1325" s="19">
        <v>13</v>
      </c>
      <c r="J1325" s="19">
        <v>27</v>
      </c>
      <c r="K1325">
        <f t="shared" si="834"/>
        <v>40</v>
      </c>
      <c r="P1325" s="93"/>
      <c r="Q1325" s="109" t="str">
        <f>R1296&amp;".16"</f>
        <v>A.16</v>
      </c>
      <c r="R1325" s="19"/>
      <c r="S1325" s="19"/>
      <c r="T1325">
        <f t="shared" si="829"/>
        <v>0</v>
      </c>
      <c r="U1325" s="19"/>
      <c r="V1325">
        <f t="shared" si="830"/>
        <v>0</v>
      </c>
      <c r="W1325" s="19"/>
      <c r="X1325" s="19"/>
      <c r="Y1325" s="19"/>
      <c r="Z1325" s="19"/>
      <c r="AA1325" s="19"/>
      <c r="AB1325" s="19"/>
      <c r="AC1325" s="19"/>
      <c r="AF1325" s="109"/>
      <c r="AR1325" s="100"/>
      <c r="AS1325" s="93"/>
      <c r="AT1325" s="109" t="str">
        <f>AU$1296&amp;".16"</f>
        <v>1.16</v>
      </c>
      <c r="AU1325" s="19"/>
      <c r="AV1325" s="19"/>
      <c r="AW1325">
        <f t="shared" si="831"/>
        <v>0</v>
      </c>
      <c r="AX1325" s="19"/>
      <c r="AY1325">
        <f t="shared" si="832"/>
        <v>0</v>
      </c>
      <c r="AZ1325" s="19"/>
      <c r="BA1325" s="19"/>
      <c r="BB1325" s="19"/>
      <c r="BC1325" s="19"/>
      <c r="BD1325" s="19"/>
      <c r="BE1325" s="19"/>
      <c r="BF1325" s="19"/>
      <c r="BI1325" s="109"/>
      <c r="BU1325" s="100"/>
    </row>
    <row r="1326" x14ac:dyDescent="0.25">
      <c r="B1326" t="s">
        <v>288</v>
      </c>
      <c r="C1326" s="19">
        <v>29</v>
      </c>
      <c r="D1326" s="19">
        <v>0</v>
      </c>
      <c r="E1326">
        <f t="shared" si="833"/>
        <v>29</v>
      </c>
      <c r="H1326">
        <v>5</v>
      </c>
      <c r="I1326" s="19">
        <v>27</v>
      </c>
      <c r="J1326" s="19">
        <v>11</v>
      </c>
      <c r="K1326">
        <f t="shared" si="834"/>
        <v>38</v>
      </c>
      <c r="P1326" s="93"/>
      <c r="R1326">
        <f>SUM(R1310:R1325)</f>
        <v>29</v>
      </c>
      <c r="AR1326" s="100"/>
      <c r="AS1326" s="93"/>
      <c r="AU1326">
        <f>SUM(AU1310:AU1325)</f>
        <v>29</v>
      </c>
      <c r="BU1326" s="100"/>
    </row>
    <row r="1327" x14ac:dyDescent="0.25">
      <c r="B1327" t="s">
        <v>293</v>
      </c>
      <c r="C1327" s="19">
        <v>17</v>
      </c>
      <c r="D1327" s="19">
        <v>27</v>
      </c>
      <c r="E1327">
        <f t="shared" si="833"/>
        <v>44</v>
      </c>
      <c r="H1327">
        <v>6</v>
      </c>
      <c r="I1327" s="19">
        <v>11</v>
      </c>
      <c r="J1327" s="19">
        <v>6</v>
      </c>
      <c r="K1327">
        <f t="shared" si="834"/>
        <v>17</v>
      </c>
      <c r="P1327" s="93"/>
      <c r="AP1327" t="s">
        <v>746</v>
      </c>
      <c r="AR1327" s="100"/>
      <c r="AS1327" s="93"/>
      <c r="BS1327" t="s">
        <v>746</v>
      </c>
      <c r="BU1327" s="100"/>
    </row>
    <row r="1328" x14ac:dyDescent="0.25">
      <c r="B1328" t="s">
        <v>456</v>
      </c>
      <c r="C1328" s="19">
        <v>27</v>
      </c>
      <c r="D1328" s="19">
        <v>27</v>
      </c>
      <c r="E1328">
        <f t="shared" si="833"/>
        <v>54</v>
      </c>
      <c r="H1328">
        <v>7</v>
      </c>
      <c r="I1328" s="19">
        <v>6</v>
      </c>
      <c r="J1328" s="19">
        <v>11</v>
      </c>
      <c r="K1328">
        <f t="shared" si="834"/>
        <v>17</v>
      </c>
      <c r="P1328" s="93"/>
      <c r="Q1328" t="s">
        <v>525</v>
      </c>
      <c r="R1328" t="s">
        <v>263</v>
      </c>
      <c r="S1328" t="s">
        <v>526</v>
      </c>
      <c r="T1328" t="s">
        <v>570</v>
      </c>
      <c r="U1328" t="s">
        <v>571</v>
      </c>
      <c r="V1328" t="s">
        <v>572</v>
      </c>
      <c r="W1328" t="s">
        <v>539</v>
      </c>
      <c r="X1328" t="s">
        <v>538</v>
      </c>
      <c r="Z1328" t="s">
        <v>522</v>
      </c>
      <c r="AA1328" t="s">
        <v>523</v>
      </c>
      <c r="AB1328" t="s">
        <v>541</v>
      </c>
      <c r="AC1328" t="s">
        <v>540</v>
      </c>
      <c r="AD1328" t="s">
        <v>542</v>
      </c>
      <c r="AE1328" t="s">
        <v>520</v>
      </c>
      <c r="AF1328" t="s">
        <v>521</v>
      </c>
      <c r="AG1328" t="s">
        <v>527</v>
      </c>
      <c r="AH1328" t="s">
        <v>528</v>
      </c>
      <c r="AI1328" t="s">
        <v>543</v>
      </c>
      <c r="AJ1328" t="s">
        <v>744</v>
      </c>
      <c r="AK1328" t="s">
        <v>745</v>
      </c>
      <c r="AL1328" t="s">
        <v>749</v>
      </c>
      <c r="AM1328" t="s">
        <v>750</v>
      </c>
      <c r="AN1328" t="s">
        <v>751</v>
      </c>
      <c r="AP1328" t="s">
        <v>747</v>
      </c>
      <c r="AQ1328" t="s">
        <v>748</v>
      </c>
      <c r="AR1328" s="100"/>
      <c r="AS1328" s="93"/>
      <c r="AT1328" t="s">
        <v>525</v>
      </c>
      <c r="AU1328" t="s">
        <v>263</v>
      </c>
      <c r="AV1328" t="s">
        <v>526</v>
      </c>
      <c r="AW1328" t="s">
        <v>570</v>
      </c>
      <c r="AX1328" t="s">
        <v>571</v>
      </c>
      <c r="AY1328" t="s">
        <v>572</v>
      </c>
      <c r="AZ1328" t="s">
        <v>539</v>
      </c>
      <c r="BA1328" t="s">
        <v>538</v>
      </c>
      <c r="BC1328" t="s">
        <v>522</v>
      </c>
      <c r="BD1328" t="s">
        <v>523</v>
      </c>
      <c r="BE1328" t="s">
        <v>541</v>
      </c>
      <c r="BF1328" t="s">
        <v>540</v>
      </c>
      <c r="BG1328" t="s">
        <v>542</v>
      </c>
      <c r="BH1328" t="s">
        <v>520</v>
      </c>
      <c r="BI1328" t="s">
        <v>521</v>
      </c>
      <c r="BJ1328" t="s">
        <v>527</v>
      </c>
      <c r="BK1328" t="s">
        <v>528</v>
      </c>
      <c r="BL1328" t="s">
        <v>543</v>
      </c>
      <c r="BM1328" t="s">
        <v>744</v>
      </c>
      <c r="BN1328" t="s">
        <v>745</v>
      </c>
      <c r="BO1328" t="s">
        <v>749</v>
      </c>
      <c r="BP1328" t="s">
        <v>750</v>
      </c>
      <c r="BQ1328" t="s">
        <v>751</v>
      </c>
      <c r="BS1328" t="s">
        <v>747</v>
      </c>
      <c r="BT1328" t="s">
        <v>748</v>
      </c>
      <c r="BU1328" s="100"/>
    </row>
    <row r="1329" x14ac:dyDescent="0.25">
      <c r="B1329" t="s">
        <v>457</v>
      </c>
      <c r="C1329" s="19">
        <v>27</v>
      </c>
      <c r="D1329" s="19">
        <v>27</v>
      </c>
      <c r="E1329">
        <f t="shared" si="833"/>
        <v>54</v>
      </c>
      <c r="H1329">
        <v>8</v>
      </c>
      <c r="I1329" s="19">
        <v>20</v>
      </c>
      <c r="J1329" s="19">
        <v>0</v>
      </c>
      <c r="K1329">
        <f t="shared" si="834"/>
        <v>20</v>
      </c>
      <c r="L1329" t="s">
        <v>506</v>
      </c>
      <c r="P1329" s="93"/>
      <c r="Q1329" s="110" t="str">
        <f>$Q$1310</f>
        <v>A.01</v>
      </c>
      <c r="R1329" t="str">
        <f>$Q$1301</f>
        <v>L2</v>
      </c>
      <c r="S1329">
        <f>$E$21</f>
        <v>10.6875</v>
      </c>
      <c r="T1329" cm="1">
        <f t="array" ref="T1329">IFERROR(IF(S1329=0,0,(INDEX($C$33:$C$38,MATCH($W$1310,$B$33:$B$38,0),0)*(S1333+$X$1310)+$T$1310*COUNTIF(S1329:S1332,"&gt;0")*$C$32+$V$1310*$C$31)*$R$1310),0)</f>
        <v>30539.71875</v>
      </c>
      <c r="U1329">
        <f>IF(S1329=0,0,-(COUNTIF(S1329:S1332,"&gt;0")*$T$1310*$C$32+$V$1310*$C$31)*$H$27*$R$1310)</f>
        <v>-363.31199999999995</v>
      </c>
      <c r="V1329">
        <f>IF(S1329=0,0,$V$1310*$H$26*$R$1310)</f>
        <v>-1328.1999999999998</v>
      </c>
      <c r="W1329">
        <f>(0.6*T1329+0.7*U1329)*$R$1310/2</f>
        <v>262007.93632499999</v>
      </c>
      <c r="X1329">
        <f>(0.6*T1329+0.6*V1329)*$R$1310/2</f>
        <v>254140.21312500001</v>
      </c>
      <c r="Z1329">
        <f>IF(S1329=0,0,$AD$1310*$AP$1301)</f>
        <v>343.06999999999994</v>
      </c>
      <c r="AA1329">
        <f>IFERROR(Z1329/$R$1310,0)</f>
        <v>11.829999999999998</v>
      </c>
      <c r="AB1329">
        <f>Z1329*($F$21+IF($F$21=0,0,($C$14+$C$15+IF($C$13="single",1.5,3)+3)/12))</f>
        <v>3666.5606249999992</v>
      </c>
      <c r="AC1329">
        <f>AB1329-W1329</f>
        <v>-258341.37569999998</v>
      </c>
      <c r="AD1329" cm="1">
        <f t="array" ref="AD1329">IFERROR(IF(AC1329&lt;0,0,AC1329/($R$1310-INDEX(hd_off,MATCH(AQ1329,hd_mark,0),0)/12)),0)</f>
        <v>0</v>
      </c>
      <c r="AE1329">
        <f>IF(S1329=0,0,$AD$1310*$AM$1301)</f>
        <v>7899.5999999999995</v>
      </c>
      <c r="AF1329">
        <f>IFERROR(AE1329/$R$1310,0)</f>
        <v>272.39999999999998</v>
      </c>
      <c r="AG1329">
        <f>AE1329*($F$21+IF($F$21=0,0,($C$14+$C$15+IF($C$13="single",1.5,3)+3)/12))</f>
        <v>84426.974999999991</v>
      </c>
      <c r="AH1329">
        <f>AG1329-X1329</f>
        <v>-169713.23812500003</v>
      </c>
      <c r="AI1329" cm="1">
        <f t="array" ref="AI1329">IFERROR(IF(AH1329&lt;0,0,AH1329/($R$1310-INDEX(hd_off,MATCH(AQ1329,hd_mark,0),0)/12)),0)</f>
        <v>0</v>
      </c>
      <c r="AJ1329">
        <f>MAX($F$21,$Y$1310)/$Q$1332</f>
        <v>0.30172413793103448</v>
      </c>
      <c r="AK1329">
        <f>IF(AJ1329=0,0,IF(AJ1329&gt;2,1.25-0.125*AJ1329,1))</f>
        <v>1</v>
      </c>
      <c r="AL1329" cm="1">
        <f t="array" ref="AL1329">IFERROR(INDEX(sheath_ecap_asd,MATCH(AP1329,sheath_mark,0),0)*AK1329,0)</f>
        <v>239.85714285714286</v>
      </c>
      <c r="AM1329" cm="1">
        <f t="array" ref="AM1329">IFERROR(INDEX(sheath_wcap_asd,MATCH(AP1329,sheath_mark,0),0)*AK1329,0)</f>
        <v>335.8</v>
      </c>
      <c r="AN1329" cm="1">
        <f t="array" ref="AN1329">IFERROR(INDEX(hd_cap,MATCH(AQ1329,hd_mark,0),0),0)</f>
        <v>0</v>
      </c>
      <c r="AP1329" s="19">
        <v>21</v>
      </c>
      <c r="AQ1329" s="19"/>
      <c r="AR1329" s="100"/>
      <c r="AS1329" s="93"/>
      <c r="AT1329" s="110" t="str">
        <f>$AT$1310</f>
        <v>1.01</v>
      </c>
      <c r="AU1329" t="str">
        <f>$Q$1301</f>
        <v>L2</v>
      </c>
      <c r="AV1329">
        <f>$E$21</f>
        <v>10.6875</v>
      </c>
      <c r="AW1329" cm="1">
        <f t="array" ref="AW1329">IFERROR(IF(AV1329=0,0,(INDEX($C$33:$C$38,MATCH($AZ$1310,$B$33:$B$38,0),0)*(AV1333+$BA$1310)+$AW$1310*COUNTIF(AV1329:AV1332,"&gt;0")*$C$32+$AY$1310*$C$31)*$AU$1310),0)</f>
        <v>30539.71875</v>
      </c>
      <c r="AX1329">
        <f>IF(AV1329=0,0,-(COUNTIF(AV1329:AV1332,"&gt;0")*$AW$1310*$C$32+$AY$1310*$C$31)*$H$27*$AU$1310)</f>
        <v>-363.31199999999995</v>
      </c>
      <c r="AY1329">
        <f>IF(AV1329=0,0,$AY$1310*$H$26*$AU$1310)</f>
        <v>-1328.1999999999998</v>
      </c>
      <c r="AZ1329">
        <f>(0.6*AW1329+0.7*AX1329)*$AU$1310/2</f>
        <v>262007.93632499999</v>
      </c>
      <c r="BA1329">
        <f>(0.6*AW1329+0.6*AY1329)*$AU$1310/2</f>
        <v>254140.21312500001</v>
      </c>
      <c r="BC1329">
        <f>IF(AV1329=0,0,$BG$1310*$AP$1301)</f>
        <v>343.06999999999994</v>
      </c>
      <c r="BD1329">
        <f>IFERROR(BC1329/$AU$1310,0)</f>
        <v>11.829999999999998</v>
      </c>
      <c r="BE1329">
        <f>BC1329*($F$21+IF($F$21=0,0,($C$14+$C$15+IF($C$13="single",1.5,3)+3)/12))</f>
        <v>3666.5606249999992</v>
      </c>
      <c r="BF1329">
        <f>BE1329-AZ1329</f>
        <v>-258341.37569999998</v>
      </c>
      <c r="BG1329" cm="1">
        <f t="array" ref="BG1329">IFERROR(IF(BF1329&lt;0,0,BF1329/($AU$1310-INDEX(hd_off,MATCH(BT1329,hd_mark,0),0)/12)),0)</f>
        <v>0</v>
      </c>
      <c r="BH1329">
        <f>IF(AV1329=0,0,$BG$1310*$AM$1301)</f>
        <v>7899.5999999999995</v>
      </c>
      <c r="BI1329">
        <f>IFERROR(BH1329/$AU$1310,0)</f>
        <v>272.39999999999998</v>
      </c>
      <c r="BJ1329">
        <f>BH1329*($F$21+IF($F$21=0,0,($C$14+$C$15+IF($C$13="single",1.5,3)+3)/12))</f>
        <v>84426.974999999991</v>
      </c>
      <c r="BK1329">
        <f>BJ1329-BA1329</f>
        <v>-169713.23812500003</v>
      </c>
      <c r="BL1329" cm="1">
        <f t="array" ref="BL1329">IFERROR(IF(BK1329&lt;0,0,BK1329/($AU$1310-INDEX(hd_off,MATCH(BT1329,hd_mark,0),0)/12)),0)</f>
        <v>0</v>
      </c>
      <c r="BM1329">
        <f>MAX($F$21,$BB$1310)/$Q$1332</f>
        <v>0.30172413793103448</v>
      </c>
      <c r="BN1329">
        <f>IF(BM1329=0,0,IF(BM1329&gt;2,1.25-0.125*BM1329,1))</f>
        <v>1</v>
      </c>
      <c r="BO1329" cm="1">
        <f t="array" ref="BO1329">IFERROR(INDEX(sheath_ecap_asd,MATCH(BS1329,sheath_mark,0),0)*BN1329,0)</f>
        <v>239.85714285714286</v>
      </c>
      <c r="BP1329" cm="1">
        <f t="array" ref="BP1329">IFERROR(INDEX(sheath_wcap_asd,MATCH(BS1329,sheath_mark,0),0)*BN1329,0)</f>
        <v>335.8</v>
      </c>
      <c r="BQ1329" cm="1">
        <f t="array" ref="BQ1329">IFERROR(INDEX(hd_cap,MATCH(BT1329,hd_mark,0),0),0)</f>
        <v>0</v>
      </c>
      <c r="BS1329" s="19">
        <v>21</v>
      </c>
      <c r="BT1329" s="19"/>
      <c r="BU1329" s="100"/>
    </row>
    <row r="1330" x14ac:dyDescent="0.25">
      <c r="B1330" t="s">
        <v>458</v>
      </c>
      <c r="C1330" s="19">
        <v>27</v>
      </c>
      <c r="D1330" s="19">
        <v>27</v>
      </c>
      <c r="E1330">
        <f t="shared" si="833"/>
        <v>54</v>
      </c>
      <c r="H1330">
        <v>9</v>
      </c>
      <c r="I1330" s="19">
        <v>30</v>
      </c>
      <c r="J1330" s="19">
        <v>0</v>
      </c>
      <c r="K1330">
        <f t="shared" si="834"/>
        <v>30</v>
      </c>
      <c r="P1330" s="93"/>
      <c r="Q1330" s="109"/>
      <c r="R1330" t="str">
        <f>$Q$1302</f>
        <v>L3</v>
      </c>
      <c r="S1330">
        <f>$E$22</f>
        <v>21.375</v>
      </c>
      <c r="T1330" cm="1">
        <f t="array" ref="T1330">IFERROR(IF(S1330=0,0,(INDEX($C$33:$C$38,MATCH($W$1310,$B$33:$B$38,0),0)*(S1333+$X$1310)+$T$1310*COUNTIF(S1330:S1332,"&gt;0")*$C$32+$V$1310*$C$31)*$R$1310),0)</f>
        <v>26015.71875</v>
      </c>
      <c r="U1330">
        <f>IF(S1330=0,0,-(COUNTIF(S1330:S1332,"&gt;0")*$T$1310*$C$32+$V$1310*$C$31)*$H$27*$R$1310)</f>
        <v>-200.44799999999998</v>
      </c>
      <c r="V1330">
        <f>IF(S1330=0,0,$V$1310*$H$26*$R$1310)</f>
        <v>-1328.1999999999998</v>
      </c>
      <c r="W1330">
        <f t="shared" ref="W1330:W1332" si="835">(0.6*T1330+0.7*U1330)*$R$1310/2</f>
        <v>224302.20592500002</v>
      </c>
      <c r="X1330">
        <f>T1330*$R$1310/2</f>
        <v>377227.921875</v>
      </c>
      <c r="Z1330">
        <f>IF(S1330=0,0,$AD$1310*$AP$1302)</f>
        <v>376.565</v>
      </c>
      <c r="AA1330">
        <f>IFERROR(Z1330/$R$1310,0)</f>
        <v>12.984999999999999</v>
      </c>
      <c r="AB1330">
        <f>Z1330*($F$22+IF($F$22=0,0,($C$14+$C$15+IF($C$13="single",1.5,3)+3)/12))</f>
        <v>4024.5384374999999</v>
      </c>
      <c r="AC1330">
        <f>AB1330-W1330</f>
        <v>-220277.6674875</v>
      </c>
      <c r="AD1330" cm="1">
        <f t="array" ref="AD1330">IFERROR(IF(AC1330&lt;0,0,AC1330/($R$1310-INDEX(hd_off,MATCH(AQ1330,hd_mark,0),0)/12)),0)</f>
        <v>0</v>
      </c>
      <c r="AE1330">
        <f>IF(S1330=0,0,$AD$1310*$AM$1302)</f>
        <v>5846.4</v>
      </c>
      <c r="AF1330">
        <f>IFERROR(AE1330/$R$1310,0)</f>
        <v>201.6</v>
      </c>
      <c r="AG1330">
        <f>AE1330*($F$22+IF($F$22=0,0,($C$14+$C$15+IF($C$13="single",1.5,3)+3)/12))</f>
        <v>62483.399999999994</v>
      </c>
      <c r="AH1330">
        <f>AG1330-X1330</f>
        <v>-314744.52187499998</v>
      </c>
      <c r="AI1330" cm="1">
        <f t="array" ref="AI1330">IFERROR(IF(AH1330&lt;0,0,AH1330/($R$1310-INDEX(hd_off,MATCH(AQ1330,hd_mark,0),0)/12)),0)</f>
        <v>0</v>
      </c>
      <c r="AJ1330">
        <f>MAX($F$22,$Z$1310)/$Q$1332</f>
        <v>0.30172413793103448</v>
      </c>
      <c r="AK1330">
        <f t="shared" ref="AK1330:AK1333" si="836">IF(AJ1330=0,0,IF(AJ1330&gt;2,1.25-0.125*AJ1330,1))</f>
        <v>1</v>
      </c>
      <c r="AL1330" cm="1">
        <f t="array" ref="AL1330">IFERROR(INDEX(sheath_ecap_asd,MATCH(AP1330,sheath_mark,0),0)*AK1330,0)</f>
        <v>239.85714285714286</v>
      </c>
      <c r="AM1330" cm="1">
        <f t="array" ref="AM1330">IFERROR(INDEX(sheath_wcap_asd,MATCH(AP1330,sheath_mark,0),0)*AK1330,0)</f>
        <v>335.8</v>
      </c>
      <c r="AN1330" cm="1">
        <f t="array" ref="AN1330">IFERROR(INDEX(hd_cap,MATCH(AQ1330,hd_mark,0),0),0)</f>
        <v>0</v>
      </c>
      <c r="AP1330" s="19">
        <v>21</v>
      </c>
      <c r="AQ1330" s="19"/>
      <c r="AR1330" s="100"/>
      <c r="AS1330" s="93"/>
      <c r="AT1330" s="109"/>
      <c r="AU1330" t="str">
        <f>$Q$1302</f>
        <v>L3</v>
      </c>
      <c r="AV1330">
        <f>$E$22</f>
        <v>21.375</v>
      </c>
      <c r="AW1330" cm="1">
        <f t="array" ref="AW1330">IFERROR(IF(AV1330=0,0,(INDEX($C$33:$C$38,MATCH($AZ$1310,$B$33:$B$38,0),0)*(AV1333+$BA$1310)+$AW$1310*COUNTIF(AV1330:AV1332,"&gt;0")*$C$32+$AY$1310*$C$31)*$AU$1310),0)</f>
        <v>26015.71875</v>
      </c>
      <c r="AX1330">
        <f>IF(AV1330=0,0,-(COUNTIF(AV1330:AV1332,"&gt;0")*$AW$1310*$C$32+$AY$1310*$C$31)*$H$27*$AU$1310)</f>
        <v>-200.44799999999998</v>
      </c>
      <c r="AY1330">
        <f>IF(AV1330=0,0,$AY$1310*$H$26*$AU$1310)</f>
        <v>-1328.1999999999998</v>
      </c>
      <c r="AZ1330">
        <f>(0.6*AW1330+0.7*AX1330)*$AU$1310/2</f>
        <v>224302.20592500002</v>
      </c>
      <c r="BA1330">
        <f>AW1330*$AU$1310/2</f>
        <v>377227.921875</v>
      </c>
      <c r="BC1330">
        <f>IF(AV1330=0,0,$BG$1310*$AP$1302)</f>
        <v>376.565</v>
      </c>
      <c r="BD1330">
        <f>IFERROR(BC1330/$AU$1310,0)</f>
        <v>12.984999999999999</v>
      </c>
      <c r="BE1330">
        <f>BC1330*($F$22+IF($F$22=0,0,($C$14+$C$15+IF($C$13="single",1.5,3)+3)/12))</f>
        <v>4024.5384374999999</v>
      </c>
      <c r="BF1330">
        <f>BE1330-AZ1330</f>
        <v>-220277.6674875</v>
      </c>
      <c r="BG1330" cm="1">
        <f t="array" ref="BG1330">IFERROR(IF(BF1330&lt;0,0,BF1330/($AU$1310-INDEX(hd_off,MATCH(BT1330,hd_mark,0),0)/12)),0)</f>
        <v>0</v>
      </c>
      <c r="BH1330">
        <f>IF(AV1330=0,0,$BG$1310*$AM$1302)</f>
        <v>5846.4</v>
      </c>
      <c r="BI1330">
        <f>IFERROR(BH1330/$AU$1310,0)</f>
        <v>201.6</v>
      </c>
      <c r="BJ1330">
        <f>BH1330*($F$22+IF($F$22=0,0,($C$14+$C$15+IF($C$13="single",1.5,3)+3)/12))</f>
        <v>62483.399999999994</v>
      </c>
      <c r="BK1330">
        <f>BJ1330-BA1330</f>
        <v>-314744.52187499998</v>
      </c>
      <c r="BL1330" cm="1">
        <f t="array" ref="BL1330">IFERROR(IF(BK1330&lt;0,0,BK1330/($AU$1310-INDEX(hd_off,MATCH(BT1330,hd_mark,0),0)/12)),0)</f>
        <v>0</v>
      </c>
      <c r="BM1330">
        <f>MAX($F$22,$BC$1310)/$Q$1332</f>
        <v>0.30172413793103448</v>
      </c>
      <c r="BN1330">
        <f t="shared" ref="BN1330:BN1333" si="837">IF(BM1330=0,0,IF(BM1330&gt;2,1.25-0.125*BM1330,1))</f>
        <v>1</v>
      </c>
      <c r="BO1330" cm="1">
        <f t="array" ref="BO1330">IFERROR(INDEX(sheath_ecap_asd,MATCH(BS1330,sheath_mark,0),0)*BN1330,0)</f>
        <v>239.85714285714286</v>
      </c>
      <c r="BP1330" cm="1">
        <f t="array" ref="BP1330">IFERROR(INDEX(sheath_wcap_asd,MATCH(BS1330,sheath_mark,0),0)*BN1330,0)</f>
        <v>335.8</v>
      </c>
      <c r="BQ1330" cm="1">
        <f t="array" ref="BQ1330">IFERROR(INDEX(hd_cap,MATCH(BT1330,hd_mark,0),0),0)</f>
        <v>0</v>
      </c>
      <c r="BS1330" s="19">
        <v>21</v>
      </c>
      <c r="BT1330" s="19"/>
      <c r="BU1330" s="100"/>
    </row>
    <row r="1331" x14ac:dyDescent="0.25">
      <c r="B1331" t="s">
        <v>459</v>
      </c>
      <c r="C1331" s="19">
        <v>27</v>
      </c>
      <c r="D1331" s="19">
        <v>41</v>
      </c>
      <c r="E1331">
        <f t="shared" si="833"/>
        <v>68</v>
      </c>
      <c r="F1331" t="s">
        <v>506</v>
      </c>
      <c r="H1331">
        <v>10</v>
      </c>
      <c r="I1331" s="19">
        <v>30</v>
      </c>
      <c r="J1331" s="19">
        <v>0</v>
      </c>
      <c r="K1331">
        <f t="shared" si="834"/>
        <v>30</v>
      </c>
      <c r="P1331" s="93"/>
      <c r="Q1331" s="109" t="s">
        <v>491</v>
      </c>
      <c r="R1331" t="str">
        <f>$Q$1303</f>
        <v>L4</v>
      </c>
      <c r="S1331">
        <f>$E$23</f>
        <v>0</v>
      </c>
      <c r="T1331" cm="1">
        <f t="array" ref="T1331">IFERROR(IF(S1331=0,0,(INDEX($C$33:$C$38,MATCH($W$1310,$B$33:$B$38,0),0)*(S1333+$X$1310)+$T$1310*COUNTIF(S1331:S1332,"&gt;0")*$C$32+$V$1310*$C$31)*$R$1310),0)</f>
        <v>0</v>
      </c>
      <c r="U1331">
        <f>IF(S1331=0,0,-(COUNTIF(S1331:S1332,"&gt;0")*$T$1310*$C$32+$V$1310*$C$31)*$H$27*$R$1310)</f>
        <v>0</v>
      </c>
      <c r="V1331">
        <f>IF(S1331=0,0,$V$1310*$H$26*$R$1310)</f>
        <v>0</v>
      </c>
      <c r="W1331">
        <f t="shared" si="835"/>
        <v>0</v>
      </c>
      <c r="X1331">
        <f>T1331*$R$1310/2</f>
        <v>0</v>
      </c>
      <c r="Z1331">
        <f>IF(S1331=0,0,$AD$1310*$AP$1303)</f>
        <v>0</v>
      </c>
      <c r="AA1331">
        <f>IFERROR(Z1331/$R$1310,0)</f>
        <v>0</v>
      </c>
      <c r="AB1331">
        <f>Z1331*($F$23+IF($F$23=0,0,($C$14+$C$15+IF($C$13="single",1.5,3)+3)/12))</f>
        <v>0</v>
      </c>
      <c r="AC1331">
        <f>AB1331-W1331</f>
        <v>0</v>
      </c>
      <c r="AD1331" cm="1">
        <f t="array" ref="AD1331">IFERROR(IF(AC1331&lt;0,0,AC1331/($R$1310-INDEX(hd_off,MATCH(AQ1331,hd_mark,0),0)/12)),0)</f>
        <v>0</v>
      </c>
      <c r="AE1331">
        <f>IF(S1331=0,0,$AD$1310*$AM$1303)</f>
        <v>0</v>
      </c>
      <c r="AF1331">
        <f>IFERROR(AE1331/$R$1310,0)</f>
        <v>0</v>
      </c>
      <c r="AG1331">
        <f>AE1331*($F$23+IF($F$23=0,0,($C$14+$C$15+IF($C$13="single",1.5,3)+3)/12))</f>
        <v>0</v>
      </c>
      <c r="AH1331">
        <f>AG1331-X1331</f>
        <v>0</v>
      </c>
      <c r="AI1331" cm="1">
        <f t="array" ref="AI1331">IFERROR(IF(AH1331&lt;0,0,AH1331/($R$1310-INDEX(hd_off,MATCH(AQ1331,hd_mark,0),0)/12)),0)</f>
        <v>0</v>
      </c>
      <c r="AJ1331">
        <f>MAX($F$23,$AA$1310)/$Q$1332</f>
        <v>0</v>
      </c>
      <c r="AK1331">
        <f t="shared" si="836"/>
        <v>0</v>
      </c>
      <c r="AL1331" cm="1">
        <f t="array" ref="AL1331">IFERROR(INDEX(sheath_ecap_asd,MATCH(AP1331,sheath_mark,0),0)*AK1331,0)</f>
        <v>0</v>
      </c>
      <c r="AM1331" cm="1">
        <f t="array" ref="AM1331">IFERROR(INDEX(sheath_wcap_asd,MATCH(AP1331,sheath_mark,0),0)*AK1331,0)</f>
        <v>0</v>
      </c>
      <c r="AN1331" cm="1">
        <f t="array" ref="AN1331">IFERROR(INDEX(hd_cap,MATCH(AQ1331,hd_mark,0),0),0)</f>
        <v>0</v>
      </c>
      <c r="AP1331" s="19"/>
      <c r="AQ1331" s="19"/>
      <c r="AR1331" s="100"/>
      <c r="AS1331" s="93"/>
      <c r="AT1331" s="109" t="s">
        <v>491</v>
      </c>
      <c r="AU1331" t="str">
        <f>$Q$1303</f>
        <v>L4</v>
      </c>
      <c r="AV1331">
        <f>$E$23</f>
        <v>0</v>
      </c>
      <c r="AW1331" cm="1">
        <f t="array" ref="AW1331">IFERROR(IF(AV1331=0,0,(INDEX($C$33:$C$38,MATCH($AZ$1310,$B$33:$B$38,0),0)*(AV1333+$BA$1310)+$AW$1310*COUNTIF(AV1331:AV1332,"&gt;0")*$C$32+$AY$1310*$C$31)*$AU$1310),0)</f>
        <v>0</v>
      </c>
      <c r="AX1331">
        <f>IF(AV1331=0,0,-(COUNTIF(AV1331:AV1332,"&gt;0")*$AW$1310*$C$32+$AY$1310*$C$31)*$H$27*$AU$1310)</f>
        <v>0</v>
      </c>
      <c r="AY1331">
        <f>IF(AV1331=0,0,$AY$1310*$H$26*$AU$1310)</f>
        <v>0</v>
      </c>
      <c r="AZ1331">
        <f>(0.6*AW1331+0.7*AX1331)*$AU$1310/2</f>
        <v>0</v>
      </c>
      <c r="BA1331">
        <f>AW1331*$AU$1310/2</f>
        <v>0</v>
      </c>
      <c r="BC1331">
        <f>IF(AV1331=0,0,$BG$1310*$AP$1303)</f>
        <v>0</v>
      </c>
      <c r="BD1331">
        <f>IFERROR(BC1331/$AU$1310,0)</f>
        <v>0</v>
      </c>
      <c r="BE1331">
        <f>BC1331*($F$23+IF($F$23=0,0,($C$14+$C$15+IF($C$13="single",1.5,3)+3)/12))</f>
        <v>0</v>
      </c>
      <c r="BF1331">
        <f>BE1331-AZ1331</f>
        <v>0</v>
      </c>
      <c r="BG1331" cm="1">
        <f t="array" ref="BG1331">IFERROR(IF(BF1331&lt;0,0,BF1331/($AU$1310-INDEX(hd_off,MATCH(BT1331,hd_mark,0),0)/12)),0)</f>
        <v>0</v>
      </c>
      <c r="BH1331">
        <f>IF(AV1331=0,0,$BG$1310*$AM$1303)</f>
        <v>0</v>
      </c>
      <c r="BI1331">
        <f>IFERROR(BH1331/$AU$1310,0)</f>
        <v>0</v>
      </c>
      <c r="BJ1331">
        <f>BH1331*($F$23+IF($F$23=0,0,($C$14+$C$15+IF($C$13="single",1.5,3)+3)/12))</f>
        <v>0</v>
      </c>
      <c r="BK1331">
        <f>BJ1331-BA1331</f>
        <v>0</v>
      </c>
      <c r="BL1331" cm="1">
        <f t="array" ref="BL1331">IFERROR(IF(BK1331&lt;0,0,BK1331/($AU$1310-INDEX(hd_off,MATCH(BT1331,hd_mark,0),0)/12)),0)</f>
        <v>0</v>
      </c>
      <c r="BM1331">
        <f>MAX($F$23,$BD$1310)/$Q$1332</f>
        <v>0</v>
      </c>
      <c r="BN1331">
        <f t="shared" si="837"/>
        <v>0</v>
      </c>
      <c r="BO1331" cm="1">
        <f t="array" ref="BO1331">IFERROR(INDEX(sheath_ecap_asd,MATCH(BS1331,sheath_mark,0),0)*BN1331,0)</f>
        <v>0</v>
      </c>
      <c r="BP1331" cm="1">
        <f t="array" ref="BP1331">IFERROR(INDEX(sheath_wcap_asd,MATCH(BS1331,sheath_mark,0),0)*BN1331,0)</f>
        <v>0</v>
      </c>
      <c r="BQ1331" cm="1">
        <f t="array" ref="BQ1331">IFERROR(INDEX(hd_cap,MATCH(BT1331,hd_mark,0),0),0)</f>
        <v>0</v>
      </c>
      <c r="BS1331" s="19"/>
      <c r="BT1331" s="19"/>
      <c r="BU1331" s="100"/>
    </row>
    <row r="1332" x14ac:dyDescent="0.25">
      <c r="B1332" t="s">
        <v>171</v>
      </c>
      <c r="C1332" s="19">
        <v>0</v>
      </c>
      <c r="D1332" s="19">
        <v>29</v>
      </c>
      <c r="E1332">
        <f t="shared" si="833"/>
        <v>29</v>
      </c>
      <c r="H1332">
        <v>11</v>
      </c>
      <c r="I1332" s="19">
        <v>0</v>
      </c>
      <c r="J1332" s="19">
        <v>27</v>
      </c>
      <c r="K1332">
        <f t="shared" si="834"/>
        <v>27</v>
      </c>
      <c r="P1332" s="93"/>
      <c r="Q1332" s="111">
        <f>$R$1310</f>
        <v>29</v>
      </c>
      <c r="R1332" t="str">
        <f>$Q$1304</f>
        <v>L5</v>
      </c>
      <c r="S1332">
        <f>$E$24</f>
        <v>0</v>
      </c>
      <c r="T1332" cm="1">
        <f t="array" ref="T1332">IFERROR(IF(S1332=0,0,(INDEX($C$33:$C$38,MATCH($W$1310,$B$33:$B$38,0),0)*(S1333+$X$1310)+$T$1310*COUNTIF(S1332:S1332,"&gt;0")*$C$32+$V$1310*$C$31)*$R$1310),0)</f>
        <v>0</v>
      </c>
      <c r="U1332">
        <f>IF(S1332=0,0,-(COUNTIF(S1332:S1332,"&gt;0")*$T$1310*$C$32+$V$1310*$C$31)*$H$27*$R$1310)</f>
        <v>0</v>
      </c>
      <c r="V1332">
        <f>IF(S1332=0,0,$V$1310*$H$26*$R$1310)</f>
        <v>0</v>
      </c>
      <c r="W1332">
        <f t="shared" si="835"/>
        <v>0</v>
      </c>
      <c r="X1332">
        <f>T1332*$R$1310/2</f>
        <v>0</v>
      </c>
      <c r="Z1332">
        <f>IF(S1332=0,0,$AD$1310*$AP$1304)</f>
        <v>0</v>
      </c>
      <c r="AA1332">
        <f>IFERROR(Z1332/$R$1310,0)</f>
        <v>0</v>
      </c>
      <c r="AB1332">
        <f>Z1332*($F$24+IF($F$24=0,0,($C$14+$C$15+IF($C$13="single",1.5,3)+3)/12))</f>
        <v>0</v>
      </c>
      <c r="AC1332">
        <f>AB1332-W1332</f>
        <v>0</v>
      </c>
      <c r="AD1332" cm="1">
        <f t="array" ref="AD1332">IFERROR(IF(AC1332&lt;0,0,AC1332/($R$1310-INDEX(hd_off,MATCH(AQ1332,hd_mark,0),0)/12)),0)</f>
        <v>0</v>
      </c>
      <c r="AE1332">
        <f>IF(S1332=0,0,$AD$1310*$AM$1304)</f>
        <v>0</v>
      </c>
      <c r="AF1332">
        <f>IFERROR(AE1332/$R$1310,0)</f>
        <v>0</v>
      </c>
      <c r="AG1332">
        <f>AE1332*($F$24+IF($F$24=0,0,($C$14+$C$15+IF($C$13="single",1.5,3)+3)/12))</f>
        <v>0</v>
      </c>
      <c r="AH1332">
        <f>AG1332-X1332</f>
        <v>0</v>
      </c>
      <c r="AI1332" cm="1">
        <f t="array" ref="AI1332">IFERROR(IF(AH1332&lt;0,0,AH1332/($R$1310-INDEX(hd_off,MATCH(AQ1332,hd_mark,0),0)/12)),0)</f>
        <v>0</v>
      </c>
      <c r="AJ1332">
        <f>MAX($F$24,$AB$1310)/$Q$1332</f>
        <v>0</v>
      </c>
      <c r="AK1332">
        <f t="shared" si="836"/>
        <v>0</v>
      </c>
      <c r="AL1332" cm="1">
        <f t="array" ref="AL1332">IFERROR(INDEX(sheath_ecap_asd,MATCH(AP1332,sheath_mark,0),0)*AK1332,0)</f>
        <v>0</v>
      </c>
      <c r="AM1332" cm="1">
        <f t="array" ref="AM1332">IFERROR(INDEX(sheath_wcap_asd,MATCH(AP1332,sheath_mark,0),0)*AK1332,0)</f>
        <v>0</v>
      </c>
      <c r="AN1332" cm="1">
        <f t="array" ref="AN1332">IFERROR(INDEX(hd_cap,MATCH(AQ1332,hd_mark,0),0),0)</f>
        <v>0</v>
      </c>
      <c r="AP1332" s="19"/>
      <c r="AQ1332" s="19"/>
      <c r="AR1332" s="100"/>
      <c r="AS1332" s="93"/>
      <c r="AT1332" s="111">
        <f>$R$1310</f>
        <v>29</v>
      </c>
      <c r="AU1332" t="str">
        <f>$Q$1304</f>
        <v>L5</v>
      </c>
      <c r="AV1332">
        <f>$E$24</f>
        <v>0</v>
      </c>
      <c r="AW1332" cm="1">
        <f t="array" ref="AW1332">IFERROR(IF(AV1332=0,0,(INDEX($C$33:$C$38,MATCH($AZ$1310,$B$33:$B$38,0),0)*(AV1333+$BA$1310)+$AW$1310*COUNTIF(AV1332:AV1332,"&gt;0")*$C$32+$AY$1310*$C$31)*$AU$1310),0)</f>
        <v>0</v>
      </c>
      <c r="AX1332">
        <f>IF(AV1332=0,0,-(COUNTIF(AV1332:AV1332,"&gt;0")*$AW$1310*$C$32+$AY$1310*$C$31)*$H$27*$AU$1310)</f>
        <v>0</v>
      </c>
      <c r="AY1332">
        <f>IF(AV1332=0,0,$AY$1310*$H$26*$AU$1310)</f>
        <v>0</v>
      </c>
      <c r="AZ1332">
        <f>(0.6*AW1332+0.7*AX1332)*$AU$1310/2</f>
        <v>0</v>
      </c>
      <c r="BA1332">
        <f>AW1332*$AU$1310/2</f>
        <v>0</v>
      </c>
      <c r="BC1332">
        <f>IF(AV1332=0,0,$BG$1310*$AP$1304)</f>
        <v>0</v>
      </c>
      <c r="BD1332">
        <f>IFERROR(BC1332/$AU$1310,0)</f>
        <v>0</v>
      </c>
      <c r="BE1332">
        <f>BC1332*($F$24+IF($F$24=0,0,($C$14+$C$15+IF($C$13="single",1.5,3)+3)/12))</f>
        <v>0</v>
      </c>
      <c r="BF1332">
        <f>BE1332-AZ1332</f>
        <v>0</v>
      </c>
      <c r="BG1332" cm="1">
        <f t="array" ref="BG1332">IFERROR(IF(BF1332&lt;0,0,BF1332/($AU$1310-INDEX(hd_off,MATCH(BT1332,hd_mark,0),0)/12)),0)</f>
        <v>0</v>
      </c>
      <c r="BH1332">
        <f>IF(AV1332=0,0,$BG$1310*$AM$1304)</f>
        <v>0</v>
      </c>
      <c r="BI1332">
        <f>IFERROR(BH1332/$AU$1310,0)</f>
        <v>0</v>
      </c>
      <c r="BJ1332">
        <f>BH1332*($F$24+IF($F$24=0,0,($C$14+$C$15+IF($C$13="single",1.5,3)+3)/12))</f>
        <v>0</v>
      </c>
      <c r="BK1332">
        <f>BJ1332-BA1332</f>
        <v>0</v>
      </c>
      <c r="BL1332" cm="1">
        <f t="array" ref="BL1332">IFERROR(IF(BK1332&lt;0,0,BK1332/($AU$1310-INDEX(hd_off,MATCH(BT1332,hd_mark,0),0)/12)),0)</f>
        <v>0</v>
      </c>
      <c r="BM1332">
        <f>MAX($F$24,$BE$1310)/$Q$1332</f>
        <v>0</v>
      </c>
      <c r="BN1332">
        <f t="shared" si="837"/>
        <v>0</v>
      </c>
      <c r="BO1332" cm="1">
        <f t="array" ref="BO1332">IFERROR(INDEX(sheath_ecap_asd,MATCH(BS1332,sheath_mark,0),0)*BN1332,0)</f>
        <v>0</v>
      </c>
      <c r="BP1332" cm="1">
        <f t="array" ref="BP1332">IFERROR(INDEX(sheath_wcap_asd,MATCH(BS1332,sheath_mark,0),0)*BN1332,0)</f>
        <v>0</v>
      </c>
      <c r="BQ1332" cm="1">
        <f t="array" ref="BQ1332">IFERROR(INDEX(hd_cap,MATCH(BT1332,hd_mark,0),0),0)</f>
        <v>0</v>
      </c>
      <c r="BS1332" s="19"/>
      <c r="BT1332" s="19"/>
      <c r="BU1332" s="100"/>
    </row>
    <row r="1333" x14ac:dyDescent="0.25">
      <c r="B1333" t="s">
        <v>460</v>
      </c>
      <c r="C1333" s="19">
        <v>29</v>
      </c>
      <c r="D1333" s="19">
        <v>6</v>
      </c>
      <c r="E1333">
        <f t="shared" si="833"/>
        <v>35</v>
      </c>
      <c r="H1333">
        <v>12</v>
      </c>
      <c r="I1333" s="19">
        <v>27</v>
      </c>
      <c r="J1333" s="19">
        <v>14</v>
      </c>
      <c r="K1333">
        <f t="shared" si="834"/>
        <v>41</v>
      </c>
      <c r="P1333" s="93"/>
      <c r="Q1333" s="109"/>
      <c r="R1333" t="str">
        <f>$Q$1305</f>
        <v>Roof</v>
      </c>
      <c r="S1333">
        <f>$E$25</f>
        <v>33.171875</v>
      </c>
      <c r="T1333" cm="1">
        <f t="array" ref="T1333">IFERROR(IF(S1333=0,0,(INDEX($C$33:$C$38,MATCH($W$1310,$B$33:$B$38,0),0)*(S1333+$X$1310)+$V$1310*$C$31)*$R$1310),0)</f>
        <v>21491.71875</v>
      </c>
      <c r="U1333">
        <f>IF(S1333=0,0,-$V$1310*$C$31*$H$27*$R$1310)</f>
        <v>-37.583999999999996</v>
      </c>
      <c r="V1333">
        <f>IF(S1333=0,0,$V$1310*$H$26*$R$1310)</f>
        <v>-1328.1999999999998</v>
      </c>
      <c r="W1333">
        <f>(0.6*T1333+0.7*U1333)*$R$1310/2</f>
        <v>186596.47552499999</v>
      </c>
      <c r="X1333">
        <f>T1333*$R$1310/2</f>
        <v>311629.921875</v>
      </c>
      <c r="Z1333">
        <f>IF(S1333=0,0,$AD$1310*$AP$1305)</f>
        <v>191.83499999999995</v>
      </c>
      <c r="AA1333">
        <f>IFERROR(Z1333/$R$1310,0)</f>
        <v>6.6149999999999984</v>
      </c>
      <c r="AB1333">
        <f>Z1333*($F$25+($C$16+$C$17+IF($C$13="single",1.5,3)+3)/12)</f>
        <v>2263.0535156249989</v>
      </c>
      <c r="AC1333">
        <f>AB1333-W1333</f>
        <v>-184333.42200937498</v>
      </c>
      <c r="AD1333" cm="1">
        <f t="array" ref="AD1333">IFERROR(IF(AC1333&lt;0,0,AC1333/($R$1310-INDEX(hd_off,MATCH(AQ1333,hd_mark,0),0)/12)),0)</f>
        <v>0</v>
      </c>
      <c r="AE1333">
        <f>IF(S1333=0,0,$AD$1310*$AM$1305)</f>
        <v>3854.1</v>
      </c>
      <c r="AF1333">
        <f>IFERROR(AE1333/$R$1310,0)</f>
        <v>132.9</v>
      </c>
      <c r="AG1333">
        <f>AE1333*($F$25+($C$16+$C$17+IF($C$13="single",1.5,3)+3)/12)</f>
        <v>45466.335937499993</v>
      </c>
      <c r="AH1333">
        <f>AG1333-X1333</f>
        <v>-266163.5859375</v>
      </c>
      <c r="AI1333" cm="1">
        <f t="array" ref="AI1333">IFERROR(IF(AH1333&lt;0,0,AH1333/($R$1310-INDEX(hd_off,MATCH(AQ1333,hd_mark,0),0)/12)),0)</f>
        <v>0</v>
      </c>
      <c r="AJ1333">
        <f>MAX($F$25,$AC$1310)/$Q$1332</f>
        <v>0.29920977011494249</v>
      </c>
      <c r="AK1333">
        <f t="shared" si="836"/>
        <v>1</v>
      </c>
      <c r="AL1333" cm="1">
        <f t="array" ref="AL1333">IFERROR(INDEX(sheath_ecap_asd,MATCH(AP1333,sheath_mark,0),0)*AK1333,0)</f>
        <v>95.285714285714306</v>
      </c>
      <c r="AM1333" cm="1">
        <f t="array" ref="AM1333">IFERROR(INDEX(sheath_wcap_asd,MATCH(AP1333,sheath_mark,0),0)*AK1333,0)</f>
        <v>133.4</v>
      </c>
      <c r="AN1333" cm="1">
        <f t="array" ref="AN1333">IFERROR(INDEX(hd_cap,MATCH(AQ1333,hd_mark,0),0),0)</f>
        <v>0</v>
      </c>
      <c r="AP1333" s="19">
        <v>11</v>
      </c>
      <c r="AQ1333" s="19"/>
      <c r="AR1333" s="100"/>
      <c r="AS1333" s="93"/>
      <c r="AT1333" s="109"/>
      <c r="AU1333" t="str">
        <f>$Q$1305</f>
        <v>Roof</v>
      </c>
      <c r="AV1333">
        <f>$E$25</f>
        <v>33.171875</v>
      </c>
      <c r="AW1333" cm="1">
        <f t="array" ref="AW1333">IFERROR(IF(AV1333=0,0,(INDEX($C$33:$C$38,MATCH($AZ$1310,$B$33:$B$38,0),0)*(AV1333+$BA$1310)+$AY$1310*$C$31)*$AU$1310),0)</f>
        <v>21491.71875</v>
      </c>
      <c r="AX1333">
        <f>IF(AV1333=0,0,-$AY$1310*$C$31*$H$27*$AU$1310)</f>
        <v>-37.583999999999996</v>
      </c>
      <c r="AY1333">
        <f>IF(AV1333=0,0,$AY$1310*$H$26*$AU$1310)</f>
        <v>-1328.1999999999998</v>
      </c>
      <c r="AZ1333">
        <f>(0.6*AW1333+0.7*AX1333)*$AU$1310/2</f>
        <v>186596.47552499999</v>
      </c>
      <c r="BA1333">
        <f>AW1333*$AU$1310/2</f>
        <v>311629.921875</v>
      </c>
      <c r="BC1333">
        <f>IF(AV1333=0,0,$BG$1310*$AP$1305)</f>
        <v>191.83499999999995</v>
      </c>
      <c r="BD1333">
        <f>IFERROR(BC1333/$AU$1310,0)</f>
        <v>6.6149999999999984</v>
      </c>
      <c r="BE1333">
        <f>BC1333*($F$25+($C$16+$C$17+IF($C$13="single",1.5,3)+3)/12)</f>
        <v>2263.0535156249989</v>
      </c>
      <c r="BF1333">
        <f>BE1333-AZ1333</f>
        <v>-184333.42200937498</v>
      </c>
      <c r="BG1333" cm="1">
        <f t="array" ref="BG1333">IFERROR(IF(BF1333&lt;0,0,BF1333/($AU$1310-INDEX(hd_off,MATCH(BT1333,hd_mark,0),0)/12)),0)</f>
        <v>0</v>
      </c>
      <c r="BH1333">
        <f>IF(AV1333=0,0,$BG$1310*$AM$1305)</f>
        <v>3854.1</v>
      </c>
      <c r="BI1333">
        <f>IFERROR(BH1333/$AU$1310,0)</f>
        <v>132.9</v>
      </c>
      <c r="BJ1333">
        <f>BH1333*($F$25+($C$16+$C$17+IF($C$13="single",1.5,3)+3)/12)</f>
        <v>45466.335937499993</v>
      </c>
      <c r="BK1333">
        <f>BJ1333-BA1333</f>
        <v>-266163.5859375</v>
      </c>
      <c r="BL1333" cm="1">
        <f t="array" ref="BL1333">IFERROR(IF(BK1333&lt;0,0,BK1333/($AU$1310-INDEX(hd_off,MATCH(BT1333,hd_mark,0),0)/12)),0)</f>
        <v>0</v>
      </c>
      <c r="BM1333">
        <f>MAX($F$25,$BF$1310)/$Q$1332</f>
        <v>0.29920977011494249</v>
      </c>
      <c r="BN1333">
        <f t="shared" si="837"/>
        <v>1</v>
      </c>
      <c r="BO1333" cm="1">
        <f t="array" ref="BO1333">IFERROR(INDEX(sheath_ecap_asd,MATCH(BS1333,sheath_mark,0),0)*BN1333,0)</f>
        <v>95.285714285714306</v>
      </c>
      <c r="BP1333" cm="1">
        <f t="array" ref="BP1333">IFERROR(INDEX(sheath_wcap_asd,MATCH(BS1333,sheath_mark,0),0)*BN1333,0)</f>
        <v>133.4</v>
      </c>
      <c r="BQ1333" cm="1">
        <f t="array" ref="BQ1333">IFERROR(INDEX(hd_cap,MATCH(BT1333,hd_mark,0),0),0)</f>
        <v>0</v>
      </c>
      <c r="BS1333" s="19">
        <v>11</v>
      </c>
      <c r="BT1333" s="19"/>
      <c r="BU1333" s="100"/>
    </row>
    <row r="1334" x14ac:dyDescent="0.25">
      <c r="B1334" t="s">
        <v>461</v>
      </c>
      <c r="C1334" s="19">
        <v>6</v>
      </c>
      <c r="D1334" s="19">
        <v>29</v>
      </c>
      <c r="E1334">
        <f t="shared" si="833"/>
        <v>35</v>
      </c>
      <c r="H1334">
        <v>13</v>
      </c>
      <c r="I1334" s="19">
        <v>14</v>
      </c>
      <c r="J1334" s="19">
        <v>12</v>
      </c>
      <c r="K1334">
        <f t="shared" si="834"/>
        <v>26</v>
      </c>
      <c r="P1334" s="93"/>
      <c r="Q1334" s="109"/>
      <c r="AR1334" s="100"/>
      <c r="AS1334" s="93"/>
      <c r="AT1334" s="109"/>
      <c r="BU1334" s="100"/>
    </row>
    <row r="1335" x14ac:dyDescent="0.25">
      <c r="B1335" t="s">
        <v>462</v>
      </c>
      <c r="C1335" s="19">
        <v>29</v>
      </c>
      <c r="D1335" s="19">
        <v>0</v>
      </c>
      <c r="E1335">
        <f t="shared" si="833"/>
        <v>29</v>
      </c>
      <c r="H1335">
        <v>14</v>
      </c>
      <c r="I1335" s="19">
        <v>12</v>
      </c>
      <c r="J1335" s="19">
        <v>27</v>
      </c>
      <c r="K1335">
        <f t="shared" si="834"/>
        <v>39</v>
      </c>
      <c r="P1335" s="93"/>
      <c r="Q1335" s="110" t="str">
        <f>$Q$1311</f>
        <v>A.02</v>
      </c>
      <c r="R1335" t="str">
        <f>$Q$1301</f>
        <v>L2</v>
      </c>
      <c r="S1335">
        <f>$E$21</f>
        <v>10.6875</v>
      </c>
      <c r="T1335" cm="1">
        <f t="array" ref="T1335">IFERROR(IF(S1335=0,0,(INDEX($C$33:$C$38,MATCH($W$1311,$B$33:$B$38,0),0)*(S1339+$X$1311)+$T$1311*COUNTIF(S1335:S1338,"&gt;0")*$C$32+$V$1311*$C$31)*$R$1311),0)</f>
        <v>0</v>
      </c>
      <c r="U1335">
        <f>IF(S1335=0,0,-(COUNTIF(S1335:S1338,"&gt;0")*$T$1311*$C$32+$V$1311*$C$31)*$H$27*$R$1311)</f>
        <v>0</v>
      </c>
      <c r="V1335">
        <f>IF(S1335=0,0,$V$1311*$H$26*$R$1311)</f>
        <v>0</v>
      </c>
      <c r="W1335">
        <f>(0.6*T1335+0.7*U1335)*$R$1311/2</f>
        <v>0</v>
      </c>
      <c r="X1335">
        <f>(0.6*T1335+0.6*V1335)*$R$1311/2</f>
        <v>0</v>
      </c>
      <c r="Z1335">
        <f>IF(S1335=0,0,$AD$1311*$AP$1301)</f>
        <v>0</v>
      </c>
      <c r="AA1335">
        <f>IFERROR(Z1335/$R$1311,0)</f>
        <v>0</v>
      </c>
      <c r="AB1335">
        <f>Z1335*($F$21+IF($F$21=0,0,($C$14+$C$15+IF($C$13="single",1.5,3)+3)/12))</f>
        <v>0</v>
      </c>
      <c r="AC1335">
        <f>AB1335-W1335</f>
        <v>0</v>
      </c>
      <c r="AD1335" cm="1">
        <f t="array" ref="AD1335">IFERROR(IF(AC1335&lt;0,0,AC1335/($R$1311-INDEX(hd_off,MATCH(AQ1335,hd_mark,0),0)/12)),0)</f>
        <v>0</v>
      </c>
      <c r="AE1335">
        <f>IF(S1335=0,0,$AD$1311*$AM$1301)</f>
        <v>0</v>
      </c>
      <c r="AF1335">
        <f>IFERROR(AE1335/$R$1311,0)</f>
        <v>0</v>
      </c>
      <c r="AG1335">
        <f>AE1335*($F$21+IF($F$21=0,0,($C$14+$C$15+IF($C$13="single",1.5,3)+3)/12))</f>
        <v>0</v>
      </c>
      <c r="AH1335">
        <f>AG1335-X1335</f>
        <v>0</v>
      </c>
      <c r="AI1335" cm="1">
        <f t="array" ref="AI1335">IFERROR(IF(AH1335&lt;0,0,AH1335/($R$1311-INDEX(hd_off,MATCH(AQ1335,hd_mark,0),0)/12)),0)</f>
        <v>0</v>
      </c>
      <c r="AJ1335">
        <f>MAX($F$21,$Y$1311)/$Q$1332</f>
        <v>0.30172413793103448</v>
      </c>
      <c r="AK1335">
        <f>IF(AJ1335=0,0,IF(AJ1335&gt;2,1.25-0.125*AJ1335,1))</f>
        <v>1</v>
      </c>
      <c r="AL1335" cm="1">
        <f t="array" ref="AL1335">IFERROR(INDEX(sheath_ecap_asd,MATCH(AP1335,sheath_mark,0),0)*AK1335,0)</f>
        <v>0</v>
      </c>
      <c r="AM1335" cm="1">
        <f t="array" ref="AM1335">IFERROR(INDEX(sheath_wcap_asd,MATCH(AP1335,sheath_mark,0),0)*AK1335,0)</f>
        <v>0</v>
      </c>
      <c r="AN1335" cm="1">
        <f t="array" ref="AN1335">IFERROR(INDEX(hd_cap,MATCH(AQ1335,hd_mark,0),0),0)</f>
        <v>0</v>
      </c>
      <c r="AP1335" s="19"/>
      <c r="AQ1335" s="19"/>
      <c r="AR1335" s="100"/>
      <c r="AS1335" s="93"/>
      <c r="AT1335" s="110" t="str">
        <f>$AT$1311</f>
        <v>1.02</v>
      </c>
      <c r="AU1335" t="str">
        <f>$Q$1301</f>
        <v>L2</v>
      </c>
      <c r="AV1335">
        <f>$E$21</f>
        <v>10.6875</v>
      </c>
      <c r="AW1335" cm="1">
        <f t="array" ref="AW1335">IFERROR(IF(AV1335=0,0,(INDEX($C$33:$C$38,MATCH($AZ$1311,$B$33:$B$38,0),0)*(AV1339+$BA$1311)+$AW$1311*COUNTIF(AV1335:AV1338,"&gt;0")*$C$32+$AY$1311*$C$31)*$AU$1311),0)</f>
        <v>0</v>
      </c>
      <c r="AX1335">
        <f>IF(AV1335=0,0,-(COUNTIF(AV1335:AV1338,"&gt;0")*$AW$1311*$C$32+$AY$1311*$C$31)*$H$27*$AU$1311)</f>
        <v>0</v>
      </c>
      <c r="AY1335">
        <f>IF(AV1335=0,0,$AY$1311*$H$26*$AU$1311)</f>
        <v>0</v>
      </c>
      <c r="AZ1335">
        <f>(0.6*AW1335+0.7*AX1335)*$AU$1311/2</f>
        <v>0</v>
      </c>
      <c r="BA1335">
        <f>(0.6*AW1335+0.6*AY1335)*$AU$1311/2</f>
        <v>0</v>
      </c>
      <c r="BC1335">
        <f>IF(AV1335=0,0,$BG$1311*$AP$1301)</f>
        <v>0</v>
      </c>
      <c r="BD1335">
        <f>IFERROR(BC1335/$AU$1311,0)</f>
        <v>0</v>
      </c>
      <c r="BE1335">
        <f>BC1335*($F$21+IF($F$21=0,0,($C$14+$C$15+IF($C$13="single",1.5,3)+3)/12))</f>
        <v>0</v>
      </c>
      <c r="BF1335">
        <f>BE1335-AZ1335</f>
        <v>0</v>
      </c>
      <c r="BG1335" cm="1">
        <f t="array" ref="BG1335">IFERROR(IF(BF1335&lt;0,0,BF1335/($AU$1311-INDEX(hd_off,MATCH(BT1335,hd_mark,0),0)/12)),0)</f>
        <v>0</v>
      </c>
      <c r="BH1335">
        <f>IF(AV1335=0,0,$BG$1311*$AM$1301)</f>
        <v>0</v>
      </c>
      <c r="BI1335">
        <f>IFERROR(BH1335/$AU$1311,0)</f>
        <v>0</v>
      </c>
      <c r="BJ1335">
        <f>BH1335*($F$21+IF($F$21=0,0,($C$14+$C$15+IF($C$13="single",1.5,3)+3)/12))</f>
        <v>0</v>
      </c>
      <c r="BK1335">
        <f>BJ1335-BA1335</f>
        <v>0</v>
      </c>
      <c r="BL1335" cm="1">
        <f t="array" ref="BL1335">IFERROR(IF(BK1335&lt;0,0,BK1335/($AU$1311-INDEX(hd_off,MATCH(BT1335,hd_mark,0),0)/12)),0)</f>
        <v>0</v>
      </c>
      <c r="BM1335">
        <f>MAX($F$21,$BB$1311)/$Q$1332</f>
        <v>0.30172413793103448</v>
      </c>
      <c r="BN1335">
        <f>IF(BM1335=0,0,IF(BM1335&gt;2,1.25-0.125*BM1335,1))</f>
        <v>1</v>
      </c>
      <c r="BO1335" cm="1">
        <f t="array" ref="BO1335">IFERROR(INDEX(sheath_ecap_asd,MATCH(BS1335,sheath_mark,0),0)*BN1335,0)</f>
        <v>0</v>
      </c>
      <c r="BP1335" cm="1">
        <f t="array" ref="BP1335">IFERROR(INDEX(sheath_wcap_asd,MATCH(BS1335,sheath_mark,0),0)*BN1335,0)</f>
        <v>0</v>
      </c>
      <c r="BQ1335" cm="1">
        <f t="array" ref="BQ1335">IFERROR(INDEX(hd_cap,MATCH(BT1335,hd_mark,0),0),0)</f>
        <v>0</v>
      </c>
      <c r="BS1335" s="19"/>
      <c r="BT1335" s="19"/>
      <c r="BU1335" s="100"/>
    </row>
    <row r="1336" x14ac:dyDescent="0.25">
      <c r="B1336" t="s">
        <v>463</v>
      </c>
      <c r="C1336" s="19"/>
      <c r="D1336" s="19"/>
      <c r="E1336">
        <f t="shared" si="833"/>
        <v>0</v>
      </c>
      <c r="H1336">
        <v>15</v>
      </c>
      <c r="I1336" s="19">
        <v>27</v>
      </c>
      <c r="J1336" s="19">
        <v>18</v>
      </c>
      <c r="K1336">
        <f t="shared" si="834"/>
        <v>45</v>
      </c>
      <c r="P1336" s="93"/>
      <c r="Q1336" s="109"/>
      <c r="R1336" t="str">
        <f>$Q$1302</f>
        <v>L3</v>
      </c>
      <c r="S1336">
        <f>$E$22</f>
        <v>21.375</v>
      </c>
      <c r="T1336" cm="1">
        <f t="array" ref="T1336">IFERROR(IF(S1336=0,0,(INDEX($C$33:$C$38,MATCH($W$1311,$B$33:$B$38,0),0)*(S1339+$X$1311)+$T$1311*COUNTIF(S1336:S1338,"&gt;0")*$C$32+$V$1311*$C$31)*$R$1311),0)</f>
        <v>0</v>
      </c>
      <c r="U1336">
        <f>IF(S1336=0,0,-(COUNTIF(S1336:S1338,"&gt;0")*$T$1311*$C$32+$V$1311*$C$31)*$H$27*$R$1311)</f>
        <v>0</v>
      </c>
      <c r="V1336">
        <f>IF(S1336=0,0,$V$1311*$H$26*$R$1311)</f>
        <v>0</v>
      </c>
      <c r="W1336">
        <f>(0.6*T1336+0.7*U1336)*$R$1311/2</f>
        <v>0</v>
      </c>
      <c r="X1336">
        <f>T1336*$R$1311/2</f>
        <v>0</v>
      </c>
      <c r="Z1336">
        <f>IF(S1336=0,0,$AD$1311*$AP$1302)</f>
        <v>0</v>
      </c>
      <c r="AA1336">
        <f>IFERROR(Z1336/$R$1311,0)</f>
        <v>0</v>
      </c>
      <c r="AB1336">
        <f>Z1336*($F$22+IF($F$22=0,0,($C$14+$C$15+IF($C$13="single",1.5,3)+3)/12))</f>
        <v>0</v>
      </c>
      <c r="AC1336">
        <f>AB1336-W1336</f>
        <v>0</v>
      </c>
      <c r="AD1336" cm="1">
        <f t="array" ref="AD1336">IFERROR(IF(AC1336&lt;0,0,AC1336/($R$1311-INDEX(hd_off,MATCH(AQ1336,hd_mark,0),0)/12)),0)</f>
        <v>0</v>
      </c>
      <c r="AE1336">
        <f>IF(S1336=0,0,$AD$1311*$AM$1302)</f>
        <v>0</v>
      </c>
      <c r="AF1336">
        <f>IFERROR(AE1336/$R$1311,0)</f>
        <v>0</v>
      </c>
      <c r="AG1336">
        <f>AE1336*($F$22+IF($F$22=0,0,($C$14+$C$15+IF($C$13="single",1.5,3)+3)/12))</f>
        <v>0</v>
      </c>
      <c r="AH1336">
        <f>AG1336-X1336</f>
        <v>0</v>
      </c>
      <c r="AI1336" cm="1">
        <f t="array" ref="AI1336">IFERROR(IF(AH1336&lt;0,0,AH1336/($R$1311-INDEX(hd_off,MATCH(AQ1336,hd_mark,0),0)/12)),0)</f>
        <v>0</v>
      </c>
      <c r="AJ1336">
        <f>MAX($F$22,$Z$1311)/$Q$1332</f>
        <v>0.30172413793103448</v>
      </c>
      <c r="AK1336">
        <f t="shared" ref="AK1336:AK1339" si="838">IF(AJ1336=0,0,IF(AJ1336&gt;2,1.25-0.125*AJ1336,1))</f>
        <v>1</v>
      </c>
      <c r="AL1336" cm="1">
        <f t="array" ref="AL1336">IFERROR(INDEX(sheath_ecap_asd,MATCH(AP1336,sheath_mark,0),0)*AK1336,0)</f>
        <v>0</v>
      </c>
      <c r="AM1336" cm="1">
        <f t="array" ref="AM1336">IFERROR(INDEX(sheath_wcap_asd,MATCH(AP1336,sheath_mark,0),0)*AK1336,0)</f>
        <v>0</v>
      </c>
      <c r="AN1336" cm="1">
        <f t="array" ref="AN1336">IFERROR(INDEX(hd_cap,MATCH(AQ1336,hd_mark,0),0),0)</f>
        <v>0</v>
      </c>
      <c r="AP1336" s="19"/>
      <c r="AQ1336" s="19"/>
      <c r="AR1336" s="100"/>
      <c r="AS1336" s="93"/>
      <c r="AT1336" s="109"/>
      <c r="AU1336" t="str">
        <f>$Q$1302</f>
        <v>L3</v>
      </c>
      <c r="AV1336">
        <f>$E$22</f>
        <v>21.375</v>
      </c>
      <c r="AW1336" cm="1">
        <f t="array" ref="AW1336">IFERROR(IF(AV1336=0,0,(INDEX($C$33:$C$38,MATCH($AZ$1311,$B$33:$B$38,0),0)*(AV1339+$BA$1311)+$AW$1311*COUNTIF(AV1336:AV1338,"&gt;0")*$C$32+$AY$1311*$C$31)*$AU$1311),0)</f>
        <v>0</v>
      </c>
      <c r="AX1336">
        <f>IF(AV1336=0,0,-(COUNTIF(AV1336:AV1338,"&gt;0")*$AW$1311*$C$32+$AY$1311*$C$31)*$H$27*$AU$1311)</f>
        <v>0</v>
      </c>
      <c r="AY1336">
        <f>IF(AV1336=0,0,$AY$1311*$H$26*$AU$1311)</f>
        <v>0</v>
      </c>
      <c r="AZ1336">
        <f>(0.6*AW1336+0.7*AX1336)*$AU$1311/2</f>
        <v>0</v>
      </c>
      <c r="BA1336">
        <f>AW1336*$AU$1311/2</f>
        <v>0</v>
      </c>
      <c r="BC1336">
        <f>IF(AV1336=0,0,$BG$1311*$AP$1302)</f>
        <v>0</v>
      </c>
      <c r="BD1336">
        <f>IFERROR(BC1336/$AU$1311,0)</f>
        <v>0</v>
      </c>
      <c r="BE1336">
        <f>BC1336*($F$22+IF($F$22=0,0,($C$14+$C$15+IF($C$13="single",1.5,3)+3)/12))</f>
        <v>0</v>
      </c>
      <c r="BF1336">
        <f>BE1336-AZ1336</f>
        <v>0</v>
      </c>
      <c r="BG1336" cm="1">
        <f t="array" ref="BG1336">IFERROR(IF(BF1336&lt;0,0,BF1336/($AU$1311-INDEX(hd_off,MATCH(BT1336,hd_mark,0),0)/12)),0)</f>
        <v>0</v>
      </c>
      <c r="BH1336">
        <f>IF(AV1336=0,0,$BG$1311*$AM$1302)</f>
        <v>0</v>
      </c>
      <c r="BI1336">
        <f>IFERROR(BH1336/$AU$1311,0)</f>
        <v>0</v>
      </c>
      <c r="BJ1336">
        <f>BH1336*($F$22+IF($F$22=0,0,($C$14+$C$15+IF($C$13="single",1.5,3)+3)/12))</f>
        <v>0</v>
      </c>
      <c r="BK1336">
        <f>BJ1336-BA1336</f>
        <v>0</v>
      </c>
      <c r="BL1336" cm="1">
        <f t="array" ref="BL1336">IFERROR(IF(BK1336&lt;0,0,BK1336/($AU$1311-INDEX(hd_off,MATCH(BT1336,hd_mark,0),0)/12)),0)</f>
        <v>0</v>
      </c>
      <c r="BM1336">
        <f>MAX($F$22,$BC$1311)/$Q$1332</f>
        <v>0.30172413793103448</v>
      </c>
      <c r="BN1336">
        <f t="shared" ref="BN1336:BN1339" si="839">IF(BM1336=0,0,IF(BM1336&gt;2,1.25-0.125*BM1336,1))</f>
        <v>1</v>
      </c>
      <c r="BO1336" cm="1">
        <f t="array" ref="BO1336">IFERROR(INDEX(sheath_ecap_asd,MATCH(BS1336,sheath_mark,0),0)*BN1336,0)</f>
        <v>0</v>
      </c>
      <c r="BP1336" cm="1">
        <f t="array" ref="BP1336">IFERROR(INDEX(sheath_wcap_asd,MATCH(BS1336,sheath_mark,0),0)*BN1336,0)</f>
        <v>0</v>
      </c>
      <c r="BQ1336" cm="1">
        <f t="array" ref="BQ1336">IFERROR(INDEX(hd_cap,MATCH(BT1336,hd_mark,0),0),0)</f>
        <v>0</v>
      </c>
      <c r="BS1336" s="19"/>
      <c r="BT1336" s="19"/>
      <c r="BU1336" s="100"/>
    </row>
    <row r="1337" x14ac:dyDescent="0.25">
      <c r="B1337" t="s">
        <v>464</v>
      </c>
      <c r="C1337" s="19"/>
      <c r="D1337" s="19"/>
      <c r="E1337">
        <f t="shared" si="833"/>
        <v>0</v>
      </c>
      <c r="H1337">
        <v>16</v>
      </c>
      <c r="I1337" s="19"/>
      <c r="J1337" s="19"/>
      <c r="K1337">
        <f t="shared" si="834"/>
        <v>0</v>
      </c>
      <c r="P1337" s="93"/>
      <c r="Q1337" s="109" t="s">
        <v>491</v>
      </c>
      <c r="R1337" t="str">
        <f>$Q$1303</f>
        <v>L4</v>
      </c>
      <c r="S1337">
        <f>$E$23</f>
        <v>0</v>
      </c>
      <c r="T1337" cm="1">
        <f t="array" ref="T1337">IFERROR(IF(S1337=0,0,(INDEX($C$33:$C$38,MATCH($W$1311,$B$33:$B$38,0),0)*(S1339+$X$1311)+$T$1311*COUNTIF(S1337:S1338,"&gt;0")*$C$32+$V$1311*$C$31)*$R$1311),0)</f>
        <v>0</v>
      </c>
      <c r="U1337">
        <f>IF(S1337=0,0,-(COUNTIF(S1337:S1338,"&gt;0")*$T$1311*$C$32+$V$1311*$C$31)*$H$27*$R$1311)</f>
        <v>0</v>
      </c>
      <c r="V1337">
        <f>IF(S1337=0,0,$V$1311*$H$26*$R$1311)</f>
        <v>0</v>
      </c>
      <c r="W1337">
        <f>(0.6*T1337+0.7*U1337)*$R$1311/2</f>
        <v>0</v>
      </c>
      <c r="X1337">
        <f>T1337*$R$1311/2</f>
        <v>0</v>
      </c>
      <c r="Z1337">
        <f>IF(S1337=0,0,$AD$1311*$AP$1303)</f>
        <v>0</v>
      </c>
      <c r="AA1337">
        <f>IFERROR(Z1337/$R$1311,0)</f>
        <v>0</v>
      </c>
      <c r="AB1337">
        <f>Z1337*($F$23+IF($F$23=0,0,($C$14+$C$15+IF($C$13="single",1.5,3)+3)/12))</f>
        <v>0</v>
      </c>
      <c r="AC1337">
        <f>AB1337-W1337</f>
        <v>0</v>
      </c>
      <c r="AD1337" cm="1">
        <f t="array" ref="AD1337">IFERROR(IF(AC1337&lt;0,0,AC1337/($R$1311-INDEX(hd_off,MATCH(AQ1337,hd_mark,0),0)/12)),0)</f>
        <v>0</v>
      </c>
      <c r="AE1337">
        <f>IF(S1337=0,0,$AD$1311*$AM$1303)</f>
        <v>0</v>
      </c>
      <c r="AF1337">
        <f>IFERROR(AE1337/$R$1311,0)</f>
        <v>0</v>
      </c>
      <c r="AG1337">
        <f>AE1337*($F$23+IF($F$23=0,0,($C$14+$C$15+IF($C$13="single",1.5,3)+3)/12))</f>
        <v>0</v>
      </c>
      <c r="AH1337">
        <f>AG1337-X1337</f>
        <v>0</v>
      </c>
      <c r="AI1337" cm="1">
        <f t="array" ref="AI1337">IFERROR(IF(AH1337&lt;0,0,AH1337/($R$1311-INDEX(hd_off,MATCH(AQ1337,hd_mark,0),0)/12)),0)</f>
        <v>0</v>
      </c>
      <c r="AJ1337">
        <f>MAX($F$23,$AA$1311)/$Q$1332</f>
        <v>0</v>
      </c>
      <c r="AK1337">
        <f t="shared" si="838"/>
        <v>0</v>
      </c>
      <c r="AL1337" cm="1">
        <f t="array" ref="AL1337">IFERROR(INDEX(sheath_ecap_asd,MATCH(AP1337,sheath_mark,0),0)*AK1337,0)</f>
        <v>0</v>
      </c>
      <c r="AM1337" cm="1">
        <f t="array" ref="AM1337">IFERROR(INDEX(sheath_wcap_asd,MATCH(AP1337,sheath_mark,0),0)*AK1337,0)</f>
        <v>0</v>
      </c>
      <c r="AN1337" cm="1">
        <f t="array" ref="AN1337">IFERROR(INDEX(hd_cap,MATCH(AQ1337,hd_mark,0),0),0)</f>
        <v>0</v>
      </c>
      <c r="AP1337" s="19"/>
      <c r="AQ1337" s="19"/>
      <c r="AR1337" s="100"/>
      <c r="AS1337" s="93"/>
      <c r="AT1337" s="109" t="s">
        <v>491</v>
      </c>
      <c r="AU1337" t="str">
        <f>$Q$1303</f>
        <v>L4</v>
      </c>
      <c r="AV1337">
        <f>$E$23</f>
        <v>0</v>
      </c>
      <c r="AW1337" cm="1">
        <f t="array" ref="AW1337">IFERROR(IF(AV1337=0,0,(INDEX($C$33:$C$38,MATCH($AZ$1311,$B$33:$B$38,0),0)*(AV1339+$BA$1311)+$AW$1311*COUNTIF(AV1337:AV1338,"&gt;0")*$C$32+$AY$1311*$C$31)*$AU$1311),0)</f>
        <v>0</v>
      </c>
      <c r="AX1337">
        <f>IF(AV1337=0,0,-(COUNTIF(AV1337:AV1338,"&gt;0")*$AW$1311*$C$32+$AY$1311*$C$31)*$H$27*$AU$1311)</f>
        <v>0</v>
      </c>
      <c r="AY1337">
        <f>IF(AV1337=0,0,$AY$1311*$H$26*$AU$1311)</f>
        <v>0</v>
      </c>
      <c r="AZ1337">
        <f>(0.6*AW1337+0.7*AX1337)*$AU$1311/2</f>
        <v>0</v>
      </c>
      <c r="BA1337">
        <f>AW1337*$AU$1311/2</f>
        <v>0</v>
      </c>
      <c r="BC1337">
        <f>IF(AV1337=0,0,$BG$1311*$AP$1303)</f>
        <v>0</v>
      </c>
      <c r="BD1337">
        <f>IFERROR(BC1337/$AU$1311,0)</f>
        <v>0</v>
      </c>
      <c r="BE1337">
        <f>BC1337*($F$23+IF($F$23=0,0,($C$14+$C$15+IF($C$13="single",1.5,3)+3)/12))</f>
        <v>0</v>
      </c>
      <c r="BF1337">
        <f>BE1337-AZ1337</f>
        <v>0</v>
      </c>
      <c r="BG1337" cm="1">
        <f t="array" ref="BG1337">IFERROR(IF(BF1337&lt;0,0,BF1337/($AU$1311-INDEX(hd_off,MATCH(BT1337,hd_mark,0),0)/12)),0)</f>
        <v>0</v>
      </c>
      <c r="BH1337">
        <f>IF(AV1337=0,0,$BG$1311*$AM$1303)</f>
        <v>0</v>
      </c>
      <c r="BI1337">
        <f>IFERROR(BH1337/$AU$1311,0)</f>
        <v>0</v>
      </c>
      <c r="BJ1337">
        <f>BH1337*($F$23+IF($F$23=0,0,($C$14+$C$15+IF($C$13="single",1.5,3)+3)/12))</f>
        <v>0</v>
      </c>
      <c r="BK1337">
        <f>BJ1337-BA1337</f>
        <v>0</v>
      </c>
      <c r="BL1337" cm="1">
        <f t="array" ref="BL1337">IFERROR(IF(BK1337&lt;0,0,BK1337/($AU$1311-INDEX(hd_off,MATCH(BT1337,hd_mark,0),0)/12)),0)</f>
        <v>0</v>
      </c>
      <c r="BM1337">
        <f>MAX($F$23,$BD$1311)/$Q$1332</f>
        <v>0</v>
      </c>
      <c r="BN1337">
        <f t="shared" si="839"/>
        <v>0</v>
      </c>
      <c r="BO1337" cm="1">
        <f t="array" ref="BO1337">IFERROR(INDEX(sheath_ecap_asd,MATCH(BS1337,sheath_mark,0),0)*BN1337,0)</f>
        <v>0</v>
      </c>
      <c r="BP1337" cm="1">
        <f t="array" ref="BP1337">IFERROR(INDEX(sheath_wcap_asd,MATCH(BS1337,sheath_mark,0),0)*BN1337,0)</f>
        <v>0</v>
      </c>
      <c r="BQ1337" cm="1">
        <f t="array" ref="BQ1337">IFERROR(INDEX(hd_cap,MATCH(BT1337,hd_mark,0),0),0)</f>
        <v>0</v>
      </c>
      <c r="BS1337" s="19"/>
      <c r="BT1337" s="19"/>
      <c r="BU1337" s="100"/>
    </row>
    <row r="1338" x14ac:dyDescent="0.25">
      <c r="B1338" t="s">
        <v>465</v>
      </c>
      <c r="C1338" s="19"/>
      <c r="D1338" s="19"/>
      <c r="E1338">
        <f t="shared" si="833"/>
        <v>0</v>
      </c>
      <c r="H1338">
        <v>17</v>
      </c>
      <c r="I1338" s="19"/>
      <c r="J1338" s="19"/>
      <c r="K1338">
        <f t="shared" si="834"/>
        <v>0</v>
      </c>
      <c r="P1338" s="93"/>
      <c r="Q1338" s="111">
        <f>$R$1311</f>
        <v>0</v>
      </c>
      <c r="R1338" t="str">
        <f>$Q$1304</f>
        <v>L5</v>
      </c>
      <c r="S1338">
        <f>$E$24</f>
        <v>0</v>
      </c>
      <c r="T1338" cm="1">
        <f t="array" ref="T1338">IFERROR(IF(S1338=0,0,(INDEX($C$33:$C$38,MATCH($W$1311,$B$33:$B$38,0),0)*(S1339+$X$1311)+$T$1311*COUNTIF(S1338:S1338,"&gt;0")*$C$32+$V$1311*$C$31)*$R$1311),0)</f>
        <v>0</v>
      </c>
      <c r="U1338">
        <f>IF(S1338=0,0,-(COUNTIF(S1338:S1338,"&gt;0")*$T$1311*$C$32+$V$1311*$C$31)*$H$27*$R$1311)</f>
        <v>0</v>
      </c>
      <c r="V1338">
        <f>IF(S1338=0,0,$V$1311*$H$26*$R$1311)</f>
        <v>0</v>
      </c>
      <c r="W1338">
        <f>(0.6*T1338+0.7*U1338)*$R$1311/2</f>
        <v>0</v>
      </c>
      <c r="X1338">
        <f>T1338*$R$1311/2</f>
        <v>0</v>
      </c>
      <c r="Z1338">
        <f>IF(S1338=0,0,$AD$1311*$AP$1304)</f>
        <v>0</v>
      </c>
      <c r="AA1338">
        <f>IFERROR(Z1338/$R$1311,0)</f>
        <v>0</v>
      </c>
      <c r="AB1338">
        <f>Z1338*($F$24+IF($F$24=0,0,($C$14+$C$15+IF($C$13="single",1.5,3)+3)/12))</f>
        <v>0</v>
      </c>
      <c r="AC1338">
        <f>AB1338-W1338</f>
        <v>0</v>
      </c>
      <c r="AD1338" cm="1">
        <f t="array" ref="AD1338">IFERROR(IF(AC1338&lt;0,0,AC1338/($R$1311-INDEX(hd_off,MATCH(AQ1338,hd_mark,0),0)/12)),0)</f>
        <v>0</v>
      </c>
      <c r="AE1338">
        <f>IF(S1338=0,0,$AD$1311*$AM$1304)</f>
        <v>0</v>
      </c>
      <c r="AF1338">
        <f>IFERROR(AE1338/$R$1311,0)</f>
        <v>0</v>
      </c>
      <c r="AG1338">
        <f>AE1338*($F$24+IF($F$24=0,0,($C$14+$C$15+IF($C$13="single",1.5,3)+3)/12))</f>
        <v>0</v>
      </c>
      <c r="AH1338">
        <f>AG1338-X1338</f>
        <v>0</v>
      </c>
      <c r="AI1338" cm="1">
        <f t="array" ref="AI1338">IFERROR(IF(AH1338&lt;0,0,AH1338/($R$1311-INDEX(hd_off,MATCH(AQ1338,hd_mark,0),0)/12)),0)</f>
        <v>0</v>
      </c>
      <c r="AJ1338">
        <f>MAX($F$24,$AB$1311)/$Q$1332</f>
        <v>0</v>
      </c>
      <c r="AK1338">
        <f t="shared" si="838"/>
        <v>0</v>
      </c>
      <c r="AL1338" cm="1">
        <f t="array" ref="AL1338">IFERROR(INDEX(sheath_ecap_asd,MATCH(AP1338,sheath_mark,0),0)*AK1338,0)</f>
        <v>0</v>
      </c>
      <c r="AM1338" cm="1">
        <f t="array" ref="AM1338">IFERROR(INDEX(sheath_wcap_asd,MATCH(AP1338,sheath_mark,0),0)*AK1338,0)</f>
        <v>0</v>
      </c>
      <c r="AN1338" cm="1">
        <f t="array" ref="AN1338">IFERROR(INDEX(hd_cap,MATCH(AQ1338,hd_mark,0),0),0)</f>
        <v>0</v>
      </c>
      <c r="AP1338" s="19"/>
      <c r="AQ1338" s="19"/>
      <c r="AR1338" s="100"/>
      <c r="AS1338" s="93"/>
      <c r="AT1338" s="111">
        <f>$R$1311</f>
        <v>0</v>
      </c>
      <c r="AU1338" t="str">
        <f>$Q$1304</f>
        <v>L5</v>
      </c>
      <c r="AV1338">
        <f>$E$24</f>
        <v>0</v>
      </c>
      <c r="AW1338" cm="1">
        <f t="array" ref="AW1338">IFERROR(IF(AV1338=0,0,(INDEX($C$33:$C$38,MATCH($AZ$1311,$B$33:$B$38,0),0)*(AV1339+$BA$1311)+$AW$1311*COUNTIF(AV1338:AV1338,"&gt;0")*$C$32+$AY$1311*$C$31)*$AU$1311),0)</f>
        <v>0</v>
      </c>
      <c r="AX1338">
        <f>IF(AV1338=0,0,-(COUNTIF(AV1338:AV1338,"&gt;0")*$AW$1311*$C$32+$AY$1311*$C$31)*$H$27*$AU$1311)</f>
        <v>0</v>
      </c>
      <c r="AY1338">
        <f>IF(AV1338=0,0,$AY$1311*$H$26*$AU$1311)</f>
        <v>0</v>
      </c>
      <c r="AZ1338">
        <f>(0.6*AW1338+0.7*AX1338)*$AU$1311/2</f>
        <v>0</v>
      </c>
      <c r="BA1338">
        <f>AW1338*$AU$1311/2</f>
        <v>0</v>
      </c>
      <c r="BC1338">
        <f>IF(AV1338=0,0,$BG$1311*$AP$1304)</f>
        <v>0</v>
      </c>
      <c r="BD1338">
        <f>IFERROR(BC1338/$AU$1311,0)</f>
        <v>0</v>
      </c>
      <c r="BE1338">
        <f>BC1338*($F$24+IF($F$24=0,0,($C$14+$C$15+IF($C$13="single",1.5,3)+3)/12))</f>
        <v>0</v>
      </c>
      <c r="BF1338">
        <f>BE1338-AZ1338</f>
        <v>0</v>
      </c>
      <c r="BG1338" cm="1">
        <f t="array" ref="BG1338">IFERROR(IF(BF1338&lt;0,0,BF1338/($AU$1311-INDEX(hd_off,MATCH(BT1338,hd_mark,0),0)/12)),0)</f>
        <v>0</v>
      </c>
      <c r="BH1338">
        <f>IF(AV1338=0,0,$BG$1311*$AM$1304)</f>
        <v>0</v>
      </c>
      <c r="BI1338">
        <f>IFERROR(BH1338/$AU$1311,0)</f>
        <v>0</v>
      </c>
      <c r="BJ1338">
        <f>BH1338*($F$24+IF($F$24=0,0,($C$14+$C$15+IF($C$13="single",1.5,3)+3)/12))</f>
        <v>0</v>
      </c>
      <c r="BK1338">
        <f>BJ1338-BA1338</f>
        <v>0</v>
      </c>
      <c r="BL1338" cm="1">
        <f t="array" ref="BL1338">IFERROR(IF(BK1338&lt;0,0,BK1338/($AU$1311-INDEX(hd_off,MATCH(BT1338,hd_mark,0),0)/12)),0)</f>
        <v>0</v>
      </c>
      <c r="BM1338">
        <f>MAX($F$24,$BE$1311)/$Q$1332</f>
        <v>0</v>
      </c>
      <c r="BN1338">
        <f t="shared" si="839"/>
        <v>0</v>
      </c>
      <c r="BO1338" cm="1">
        <f t="array" ref="BO1338">IFERROR(INDEX(sheath_ecap_asd,MATCH(BS1338,sheath_mark,0),0)*BN1338,0)</f>
        <v>0</v>
      </c>
      <c r="BP1338" cm="1">
        <f t="array" ref="BP1338">IFERROR(INDEX(sheath_wcap_asd,MATCH(BS1338,sheath_mark,0),0)*BN1338,0)</f>
        <v>0</v>
      </c>
      <c r="BQ1338" cm="1">
        <f t="array" ref="BQ1338">IFERROR(INDEX(hd_cap,MATCH(BT1338,hd_mark,0),0),0)</f>
        <v>0</v>
      </c>
      <c r="BS1338" s="19"/>
      <c r="BT1338" s="19"/>
      <c r="BU1338" s="100"/>
    </row>
    <row r="1339" x14ac:dyDescent="0.25">
      <c r="B1339" t="s">
        <v>466</v>
      </c>
      <c r="C1339" s="19"/>
      <c r="D1339" s="19"/>
      <c r="E1339">
        <f t="shared" si="833"/>
        <v>0</v>
      </c>
      <c r="H1339">
        <v>18</v>
      </c>
      <c r="I1339" s="19"/>
      <c r="J1339" s="19"/>
      <c r="K1339">
        <f t="shared" si="834"/>
        <v>0</v>
      </c>
      <c r="P1339" s="93"/>
      <c r="Q1339" s="109"/>
      <c r="R1339" t="str">
        <f>$Q$1305</f>
        <v>Roof</v>
      </c>
      <c r="S1339">
        <f>$E$25</f>
        <v>33.171875</v>
      </c>
      <c r="T1339" cm="1">
        <f t="array" ref="T1339">IFERROR(IF(S1339=0,0,(INDEX($C$33:$C$38,MATCH($W$1311,$B$33:$B$38,0),0)*(S1339+$X$1311)+$V$1311*$C$31)*$R$1311),0)</f>
        <v>0</v>
      </c>
      <c r="U1339">
        <f>IF(S1339=0,0,-$V$1311*$C$31*$H$27*$R$1311)</f>
        <v>0</v>
      </c>
      <c r="V1339">
        <f>IF(S1339=0,0,$V$1311*$H$26*$R$1311)</f>
        <v>0</v>
      </c>
      <c r="W1339">
        <f>(0.6*T1339+0.7*U1339)*$R$1311/2</f>
        <v>0</v>
      </c>
      <c r="X1339">
        <f>T1339*$R$1311/2</f>
        <v>0</v>
      </c>
      <c r="Z1339">
        <f>IF(S1339=0,0,$AD$1311*$AP$1305)</f>
        <v>0</v>
      </c>
      <c r="AA1339">
        <f>IFERROR(Z1339/$R$1311,0)</f>
        <v>0</v>
      </c>
      <c r="AB1339">
        <f>Z1339*($F$25+($C$16+$C$17+IF($C$13="single",1.5,3)+3)/12)</f>
        <v>0</v>
      </c>
      <c r="AC1339">
        <f>AB1339-W1339</f>
        <v>0</v>
      </c>
      <c r="AD1339" cm="1">
        <f t="array" ref="AD1339">IFERROR(IF(AC1339&lt;0,0,AC1339/($R$1311-INDEX(hd_off,MATCH(AQ1339,hd_mark,0),0)/12)),0)</f>
        <v>0</v>
      </c>
      <c r="AE1339">
        <f>IF(S1339=0,0,$AD$1311*$AM$1305)</f>
        <v>0</v>
      </c>
      <c r="AF1339">
        <f>IFERROR(AE1339/$R$1311,0)</f>
        <v>0</v>
      </c>
      <c r="AG1339">
        <f>AE1339*($F$25+($C$16+$C$17+IF($C$13="single",1.5,3)+3)/12)</f>
        <v>0</v>
      </c>
      <c r="AH1339">
        <f>AG1339-X1339</f>
        <v>0</v>
      </c>
      <c r="AI1339" cm="1">
        <f t="array" ref="AI1339">IFERROR(IF(AH1339&lt;0,0,AH1339/($R$1311-INDEX(hd_off,MATCH(AQ1339,hd_mark,0),0)/12)),0)</f>
        <v>0</v>
      </c>
      <c r="AJ1339">
        <f>MAX($F$25,$AC$1311)/$Q$1332</f>
        <v>0.29920977011494249</v>
      </c>
      <c r="AK1339">
        <f t="shared" si="838"/>
        <v>1</v>
      </c>
      <c r="AL1339" cm="1">
        <f t="array" ref="AL1339">IFERROR(INDEX(sheath_ecap_asd,MATCH(AP1339,sheath_mark,0),0)*AK1339,0)</f>
        <v>0</v>
      </c>
      <c r="AM1339" cm="1">
        <f t="array" ref="AM1339">IFERROR(INDEX(sheath_wcap_asd,MATCH(AP1339,sheath_mark,0),0)*AK1339,0)</f>
        <v>0</v>
      </c>
      <c r="AN1339" cm="1">
        <f t="array" ref="AN1339">IFERROR(INDEX(hd_cap,MATCH(AQ1339,hd_mark,0),0),0)</f>
        <v>0</v>
      </c>
      <c r="AP1339" s="19"/>
      <c r="AQ1339" s="19"/>
      <c r="AR1339" s="100"/>
      <c r="AS1339" s="93"/>
      <c r="AT1339" s="109"/>
      <c r="AU1339" t="str">
        <f>$Q$1305</f>
        <v>Roof</v>
      </c>
      <c r="AV1339">
        <f>$E$25</f>
        <v>33.171875</v>
      </c>
      <c r="AW1339" cm="1">
        <f t="array" ref="AW1339">IFERROR(IF(AV1339=0,0,(INDEX($C$33:$C$38,MATCH($AZ$1311,$B$33:$B$38,0),0)*(AV1339+$BA$1311)+$AY$1311*$C$31)*$AU$1311),0)</f>
        <v>0</v>
      </c>
      <c r="AX1339">
        <f>IF(AV1339=0,0,-$AY$1311*$C$31*$H$27*$AU$1311)</f>
        <v>0</v>
      </c>
      <c r="AY1339">
        <f>IF(AV1339=0,0,$AY$1311*$H$26*$AU$1311)</f>
        <v>0</v>
      </c>
      <c r="AZ1339">
        <f>(0.6*AW1339+0.7*AX1339)*$AU$1311/2</f>
        <v>0</v>
      </c>
      <c r="BA1339">
        <f>AW1339*$AU$1311/2</f>
        <v>0</v>
      </c>
      <c r="BC1339">
        <f>IF(AV1339=0,0,$BG$1311*$AP$1305)</f>
        <v>0</v>
      </c>
      <c r="BD1339">
        <f>IFERROR(BC1339/$AU$1311,0)</f>
        <v>0</v>
      </c>
      <c r="BE1339">
        <f>BC1339*($F$25+($C$16+$C$17+IF($C$13="single",1.5,3)+3)/12)</f>
        <v>0</v>
      </c>
      <c r="BF1339">
        <f>BE1339-AZ1339</f>
        <v>0</v>
      </c>
      <c r="BG1339" cm="1">
        <f t="array" ref="BG1339">IFERROR(IF(BF1339&lt;0,0,BF1339/($AU$1311-INDEX(hd_off,MATCH(BT1339,hd_mark,0),0)/12)),0)</f>
        <v>0</v>
      </c>
      <c r="BH1339">
        <f>IF(AV1339=0,0,$BG$1311*$AM$1305)</f>
        <v>0</v>
      </c>
      <c r="BI1339">
        <f>IFERROR(BH1339/$AU$1311,0)</f>
        <v>0</v>
      </c>
      <c r="BJ1339">
        <f>BH1339*($F$25+($C$16+$C$17+IF($C$13="single",1.5,3)+3)/12)</f>
        <v>0</v>
      </c>
      <c r="BK1339">
        <f>BJ1339-BA1339</f>
        <v>0</v>
      </c>
      <c r="BL1339" cm="1">
        <f t="array" ref="BL1339">IFERROR(IF(BK1339&lt;0,0,BK1339/($AU$1311-INDEX(hd_off,MATCH(BT1339,hd_mark,0),0)/12)),0)</f>
        <v>0</v>
      </c>
      <c r="BM1339">
        <f>MAX($F$25,$BF$1311)/$Q$1332</f>
        <v>0.29920977011494249</v>
      </c>
      <c r="BN1339">
        <f t="shared" si="839"/>
        <v>1</v>
      </c>
      <c r="BO1339" cm="1">
        <f t="array" ref="BO1339">IFERROR(INDEX(sheath_ecap_asd,MATCH(BS1339,sheath_mark,0),0)*BN1339,0)</f>
        <v>0</v>
      </c>
      <c r="BP1339" cm="1">
        <f t="array" ref="BP1339">IFERROR(INDEX(sheath_wcap_asd,MATCH(BS1339,sheath_mark,0),0)*BN1339,0)</f>
        <v>0</v>
      </c>
      <c r="BQ1339" cm="1">
        <f t="array" ref="BQ1339">IFERROR(INDEX(hd_cap,MATCH(BT1339,hd_mark,0),0),0)</f>
        <v>0</v>
      </c>
      <c r="BS1339" s="19"/>
      <c r="BT1339" s="19"/>
      <c r="BU1339" s="100"/>
    </row>
    <row r="1340" x14ac:dyDescent="0.25">
      <c r="B1340" t="s">
        <v>467</v>
      </c>
      <c r="C1340" s="19"/>
      <c r="D1340" s="19"/>
      <c r="E1340">
        <f t="shared" si="833"/>
        <v>0</v>
      </c>
      <c r="H1340">
        <v>19</v>
      </c>
      <c r="I1340" s="19"/>
      <c r="J1340" s="19"/>
      <c r="K1340">
        <f t="shared" si="834"/>
        <v>0</v>
      </c>
      <c r="P1340" s="93"/>
      <c r="AR1340" s="100"/>
      <c r="AS1340" s="93"/>
      <c r="BU1340" s="100"/>
    </row>
    <row r="1341" x14ac:dyDescent="0.25">
      <c r="B1341" t="s">
        <v>468</v>
      </c>
      <c r="C1341" s="19"/>
      <c r="D1341" s="19"/>
      <c r="E1341">
        <f t="shared" si="833"/>
        <v>0</v>
      </c>
      <c r="H1341">
        <v>20</v>
      </c>
      <c r="I1341" s="19"/>
      <c r="J1341" s="19"/>
      <c r="K1341">
        <f t="shared" si="834"/>
        <v>0</v>
      </c>
      <c r="P1341" s="93"/>
      <c r="Q1341" s="110" t="str">
        <f>$Q$1312</f>
        <v>A.03</v>
      </c>
      <c r="R1341" t="str">
        <f>$Q$1301</f>
        <v>L2</v>
      </c>
      <c r="S1341">
        <f>$E$21</f>
        <v>10.6875</v>
      </c>
      <c r="T1341" cm="1">
        <f t="array" ref="T1341">IFERROR(IF(S1341=0,0,(INDEX($C$33:$C$38,MATCH($W$1312,$B$33:$B$38,0),0)*(S1345+$X$1312)+$T$1312*COUNTIF(S1341:S1344,"&gt;0")*$C$32+$V$1312*$C$31)*$R$1312),0)</f>
        <v>0</v>
      </c>
      <c r="U1341">
        <f>IF(S1341=0,0,-(COUNTIF(S1341:S1344,"&gt;0")*$T$1312*$C$32+$V$1312*$C$31)*$H$27*$R$1312)</f>
        <v>0</v>
      </c>
      <c r="V1341">
        <f>IF(S1341=0,0,$V$1312*$H$26*$R$1312)</f>
        <v>0</v>
      </c>
      <c r="W1341">
        <f>(0.6*T1341+0.7*U1341)*$R$1312/2</f>
        <v>0</v>
      </c>
      <c r="X1341">
        <f>(0.6*T1341+0.6*V1341)*$R$1312/2</f>
        <v>0</v>
      </c>
      <c r="Z1341">
        <f>IF(S1341=0,0,$AD$1312*$AP$1301)</f>
        <v>0</v>
      </c>
      <c r="AA1341">
        <f>IFERROR(Z1341/$R$1312,0)</f>
        <v>0</v>
      </c>
      <c r="AB1341">
        <f>Z1341*($F$21+IF($F$21=0,0,($C$14+$C$15+IF($C$13="single",1.5,3)+3)/12))</f>
        <v>0</v>
      </c>
      <c r="AC1341">
        <f>AB1341-W1341</f>
        <v>0</v>
      </c>
      <c r="AD1341" cm="1">
        <f t="array" ref="AD1341">IFERROR(IF(AC1341&lt;0,0,AC1341/($R$1312-INDEX(hd_off,MATCH(AQ1341,hd_mark,0),0)/12)),0)</f>
        <v>0</v>
      </c>
      <c r="AE1341">
        <f>IF(S1341=0,0,$AD$1312*$AM$1301)</f>
        <v>0</v>
      </c>
      <c r="AF1341">
        <f>IFERROR(AE1341/$R$1312,0)</f>
        <v>0</v>
      </c>
      <c r="AG1341">
        <f>AE1341*($F$21+IF($F$21=0,0,($C$14+$C$15+IF($C$13="single",1.5,3)+3)/12))</f>
        <v>0</v>
      </c>
      <c r="AH1341">
        <f>AG1341-X1341</f>
        <v>0</v>
      </c>
      <c r="AI1341" cm="1">
        <f t="array" ref="AI1341">IFERROR(IF(AH1341&lt;0,0,AH1341/($R$1312-INDEX(hd_off,MATCH(AQ1341,hd_mark,0),0)/12)),0)</f>
        <v>0</v>
      </c>
      <c r="AJ1341">
        <f>MAX($F$21,$Y$1312)/$Q$1332</f>
        <v>0.30172413793103448</v>
      </c>
      <c r="AK1341">
        <f>IF(AJ1341=0,0,IF(AJ1341&gt;2,1.25-0.125*AJ1341,1))</f>
        <v>1</v>
      </c>
      <c r="AL1341" cm="1">
        <f t="array" ref="AL1341">IFERROR(INDEX(sheath_ecap_asd,MATCH(AP1341,sheath_mark,0),0)*AK1341,0)</f>
        <v>0</v>
      </c>
      <c r="AM1341" cm="1">
        <f t="array" ref="AM1341">IFERROR(INDEX(sheath_wcap_asd,MATCH(AP1341,sheath_mark,0),0)*AK1341,0)</f>
        <v>0</v>
      </c>
      <c r="AN1341" cm="1">
        <f t="array" ref="AN1341">IFERROR(INDEX(hd_cap,MATCH(AQ1341,hd_mark,0),0),0)</f>
        <v>0</v>
      </c>
      <c r="AP1341" s="19"/>
      <c r="AQ1341" s="19"/>
      <c r="AR1341" s="100"/>
      <c r="AS1341" s="93"/>
      <c r="AT1341" s="110" t="str">
        <f>$AT$1312</f>
        <v>1.03</v>
      </c>
      <c r="AU1341" t="str">
        <f>$Q$1301</f>
        <v>L2</v>
      </c>
      <c r="AV1341">
        <f>$E$21</f>
        <v>10.6875</v>
      </c>
      <c r="AW1341" cm="1">
        <f t="array" ref="AW1341">IFERROR(IF(AV1341=0,0,(INDEX($C$33:$C$38,MATCH($AZ$1312,$B$33:$B$38,0),0)*(AV1345+$BA$1312)+$AW$1312*COUNTIF(AV1341:AV1344,"&gt;0")*$C$32+$AY$1312*$C$31)*$AU$1312),0)</f>
        <v>0</v>
      </c>
      <c r="AX1341">
        <f>IF(AV1341=0,0,-(COUNTIF(AV1341:AV1344,"&gt;0")*$AW$1312*$C$32+$AY$1312*$C$31)*$H$27*$AU$1312)</f>
        <v>0</v>
      </c>
      <c r="AY1341">
        <f>IF(AV1341=0,0,$AY$1312*$H$26*$AU$1312)</f>
        <v>0</v>
      </c>
      <c r="AZ1341">
        <f>(0.6*AW1341+0.7*AX1341)*$AU$1312/2</f>
        <v>0</v>
      </c>
      <c r="BA1341">
        <f>(0.6*AW1341+0.6*AY1341)*$AU$1312/2</f>
        <v>0</v>
      </c>
      <c r="BC1341">
        <f>IF(AV1341=0,0,$BG$1312*$AP$1301)</f>
        <v>0</v>
      </c>
      <c r="BD1341">
        <f>IFERROR(BC1341/$AU$1312,0)</f>
        <v>0</v>
      </c>
      <c r="BE1341">
        <f>BC1341*($F$21+IF($F$21=0,0,($C$14+$C$15+IF($C$13="single",1.5,3)+3)/12))</f>
        <v>0</v>
      </c>
      <c r="BF1341">
        <f>BE1341-AZ1341</f>
        <v>0</v>
      </c>
      <c r="BG1341" cm="1">
        <f t="array" ref="BG1341">IFERROR(IF(BF1341&lt;0,0,BF1341/($AU$1312-INDEX(hd_off,MATCH(BT1341,hd_mark,0),0)/12)),0)</f>
        <v>0</v>
      </c>
      <c r="BH1341">
        <f>IF(AV1341=0,0,$BG$1312*$AM$1301)</f>
        <v>0</v>
      </c>
      <c r="BI1341">
        <f>IFERROR(BH1341/$AU$1312,0)</f>
        <v>0</v>
      </c>
      <c r="BJ1341">
        <f>BH1341*($F$21+IF($F$21=0,0,($C$14+$C$15+IF($C$13="single",1.5,3)+3)/12))</f>
        <v>0</v>
      </c>
      <c r="BK1341">
        <f>BJ1341-BA1341</f>
        <v>0</v>
      </c>
      <c r="BL1341" cm="1">
        <f t="array" ref="BL1341">IFERROR(IF(BK1341&lt;0,0,BK1341/($AU$1312-INDEX(hd_off,MATCH(BT1341,hd_mark,0),0)/12)),0)</f>
        <v>0</v>
      </c>
      <c r="BM1341">
        <f>MAX($F$21,$BB$1312)/$Q$1332</f>
        <v>0.30172413793103448</v>
      </c>
      <c r="BN1341">
        <f>IF(BM1341=0,0,IF(BM1341&gt;2,1.25-0.125*BM1341,1))</f>
        <v>1</v>
      </c>
      <c r="BO1341" cm="1">
        <f t="array" ref="BO1341">IFERROR(INDEX(sheath_ecap_asd,MATCH(BS1341,sheath_mark,0),0)*BN1341,0)</f>
        <v>0</v>
      </c>
      <c r="BP1341" cm="1">
        <f t="array" ref="BP1341">IFERROR(INDEX(sheath_wcap_asd,MATCH(BS1341,sheath_mark,0),0)*BN1341,0)</f>
        <v>0</v>
      </c>
      <c r="BQ1341" cm="1">
        <f t="array" ref="BQ1341">IFERROR(INDEX(hd_cap,MATCH(BT1341,hd_mark,0),0),0)</f>
        <v>0</v>
      </c>
      <c r="BS1341" s="19"/>
      <c r="BT1341" s="19"/>
      <c r="BU1341" s="100"/>
    </row>
    <row r="1342" x14ac:dyDescent="0.25">
      <c r="B1342" t="s">
        <v>469</v>
      </c>
      <c r="C1342" s="19"/>
      <c r="D1342" s="19"/>
      <c r="E1342">
        <f t="shared" si="833"/>
        <v>0</v>
      </c>
      <c r="H1342">
        <v>21</v>
      </c>
      <c r="I1342" s="19"/>
      <c r="J1342" s="19"/>
      <c r="K1342">
        <f t="shared" si="834"/>
        <v>0</v>
      </c>
      <c r="P1342" s="93"/>
      <c r="Q1342" s="109"/>
      <c r="R1342" t="str">
        <f>$Q$1302</f>
        <v>L3</v>
      </c>
      <c r="S1342">
        <f>$E$22</f>
        <v>21.375</v>
      </c>
      <c r="T1342" cm="1">
        <f t="array" ref="T1342">IFERROR(IF(S1342=0,0,(INDEX($C$33:$C$38,MATCH($W$1312,$B$33:$B$38,0),0)*(S1345+$X$1312)+$T$1312*COUNTIF(S1342:S1344,"&gt;0")*$C$32+$V$1312*$C$31)*$R$1312),0)</f>
        <v>0</v>
      </c>
      <c r="U1342">
        <f>IF(S1342=0,0,-(COUNTIF(S1342:S1344,"&gt;0")*$T$1312*$C$32+$V$1312*$C$31)*$H$27*$R$1312)</f>
        <v>0</v>
      </c>
      <c r="V1342">
        <f>IF(S1342=0,0,$V$1312*$H$26*$R$1312)</f>
        <v>0</v>
      </c>
      <c r="W1342">
        <f>(0.6*T1342+0.7*U1342)*$R$1312/2</f>
        <v>0</v>
      </c>
      <c r="X1342">
        <f>T1342*$R$1312/2</f>
        <v>0</v>
      </c>
      <c r="Z1342">
        <f>IF(S1342=0,0,$AD$1312*$AP$1302)</f>
        <v>0</v>
      </c>
      <c r="AA1342">
        <f>IFERROR(Z1342/$R$1312,0)</f>
        <v>0</v>
      </c>
      <c r="AB1342">
        <f>Z1342*($F$22+IF($F$22=0,0,($C$14+$C$15+IF($C$13="single",1.5,3)+3)/12))</f>
        <v>0</v>
      </c>
      <c r="AC1342">
        <f>AB1342-W1342</f>
        <v>0</v>
      </c>
      <c r="AD1342" cm="1">
        <f t="array" ref="AD1342">IFERROR(IF(AC1342&lt;0,0,AC1342/($R$1312-INDEX(hd_off,MATCH(AQ1342,hd_mark,0),0)/12)),0)</f>
        <v>0</v>
      </c>
      <c r="AE1342">
        <f>IF(S1342=0,0,$AD$1312*$AM$1302)</f>
        <v>0</v>
      </c>
      <c r="AF1342">
        <f>IFERROR(AE1342/$R$1312,0)</f>
        <v>0</v>
      </c>
      <c r="AG1342">
        <f>AE1342*($F$22+IF($F$22=0,0,($C$14+$C$15+IF($C$13="single",1.5,3)+3)/12))</f>
        <v>0</v>
      </c>
      <c r="AH1342">
        <f>AG1342-X1342</f>
        <v>0</v>
      </c>
      <c r="AI1342" cm="1">
        <f t="array" ref="AI1342">IFERROR(IF(AH1342&lt;0,0,AH1342/($R$1312-INDEX(hd_off,MATCH(AQ1342,hd_mark,0),0)/12)),0)</f>
        <v>0</v>
      </c>
      <c r="AJ1342">
        <f>MAX($F$22,$Z$1312)/$Q$1332</f>
        <v>0.30172413793103448</v>
      </c>
      <c r="AK1342">
        <f t="shared" ref="AK1342:AK1345" si="840">IF(AJ1342=0,0,IF(AJ1342&gt;2,1.25-0.125*AJ1342,1))</f>
        <v>1</v>
      </c>
      <c r="AL1342" cm="1">
        <f t="array" ref="AL1342">IFERROR(INDEX(sheath_ecap_asd,MATCH(AP1342,sheath_mark,0),0)*AK1342,0)</f>
        <v>0</v>
      </c>
      <c r="AM1342" cm="1">
        <f t="array" ref="AM1342">IFERROR(INDEX(sheath_wcap_asd,MATCH(AP1342,sheath_mark,0),0)*AK1342,0)</f>
        <v>0</v>
      </c>
      <c r="AN1342" cm="1">
        <f t="array" ref="AN1342">IFERROR(INDEX(hd_cap,MATCH(AQ1342,hd_mark,0),0),0)</f>
        <v>0</v>
      </c>
      <c r="AP1342" s="19"/>
      <c r="AQ1342" s="19"/>
      <c r="AR1342" s="100"/>
      <c r="AS1342" s="93"/>
      <c r="AT1342" s="109"/>
      <c r="AU1342" t="str">
        <f>$Q$1302</f>
        <v>L3</v>
      </c>
      <c r="AV1342">
        <f>$E$22</f>
        <v>21.375</v>
      </c>
      <c r="AW1342" cm="1">
        <f t="array" ref="AW1342">IFERROR(IF(AV1342=0,0,(INDEX($C$33:$C$38,MATCH($AZ$1312,$B$33:$B$38,0),0)*(AV1345+$BA$1312)+$AW$1312*COUNTIF(AV1342:AV1344,"&gt;0")*$C$32+$AY$1312*$C$31)*$AU$1312),0)</f>
        <v>0</v>
      </c>
      <c r="AX1342">
        <f>IF(AV1342=0,0,-(COUNTIF(AV1342:AV1344,"&gt;0")*$AW$1312*$C$32+$AY$1312*$C$31)*$H$27*$AU$1312)</f>
        <v>0</v>
      </c>
      <c r="AY1342">
        <f>IF(AV1342=0,0,$AY$1312*$H$26*$AU$1312)</f>
        <v>0</v>
      </c>
      <c r="AZ1342">
        <f>(0.6*AW1342+0.7*AX1342)*$AU$1312/2</f>
        <v>0</v>
      </c>
      <c r="BA1342">
        <f>AW1342*$AU$1312/2</f>
        <v>0</v>
      </c>
      <c r="BC1342">
        <f>IF(AV1342=0,0,$BG$1312*$AP$1302)</f>
        <v>0</v>
      </c>
      <c r="BD1342">
        <f>IFERROR(BC1342/$AU$1312,0)</f>
        <v>0</v>
      </c>
      <c r="BE1342">
        <f>BC1342*($F$22+IF($F$22=0,0,($C$14+$C$15+IF($C$13="single",1.5,3)+3)/12))</f>
        <v>0</v>
      </c>
      <c r="BF1342">
        <f>BE1342-AZ1342</f>
        <v>0</v>
      </c>
      <c r="BG1342" cm="1">
        <f t="array" ref="BG1342">IFERROR(IF(BF1342&lt;0,0,BF1342/($AU$1312-INDEX(hd_off,MATCH(BT1342,hd_mark,0),0)/12)),0)</f>
        <v>0</v>
      </c>
      <c r="BH1342">
        <f>IF(AV1342=0,0,$BG$1312*$AM$1302)</f>
        <v>0</v>
      </c>
      <c r="BI1342">
        <f>IFERROR(BH1342/$AU$1312,0)</f>
        <v>0</v>
      </c>
      <c r="BJ1342">
        <f>BH1342*($F$22+IF($F$22=0,0,($C$14+$C$15+IF($C$13="single",1.5,3)+3)/12))</f>
        <v>0</v>
      </c>
      <c r="BK1342">
        <f>BJ1342-BA1342</f>
        <v>0</v>
      </c>
      <c r="BL1342" cm="1">
        <f t="array" ref="BL1342">IFERROR(IF(BK1342&lt;0,0,BK1342/($AU$1312-INDEX(hd_off,MATCH(BT1342,hd_mark,0),0)/12)),0)</f>
        <v>0</v>
      </c>
      <c r="BM1342">
        <f>MAX($F$22,$BC$1312)/$Q$1332</f>
        <v>0.30172413793103448</v>
      </c>
      <c r="BN1342">
        <f t="shared" ref="BN1342:BN1345" si="841">IF(BM1342=0,0,IF(BM1342&gt;2,1.25-0.125*BM1342,1))</f>
        <v>1</v>
      </c>
      <c r="BO1342" cm="1">
        <f t="array" ref="BO1342">IFERROR(INDEX(sheath_ecap_asd,MATCH(BS1342,sheath_mark,0),0)*BN1342,0)</f>
        <v>0</v>
      </c>
      <c r="BP1342" cm="1">
        <f t="array" ref="BP1342">IFERROR(INDEX(sheath_wcap_asd,MATCH(BS1342,sheath_mark,0),0)*BN1342,0)</f>
        <v>0</v>
      </c>
      <c r="BQ1342" cm="1">
        <f t="array" ref="BQ1342">IFERROR(INDEX(hd_cap,MATCH(BT1342,hd_mark,0),0),0)</f>
        <v>0</v>
      </c>
      <c r="BS1342" s="19"/>
      <c r="BT1342" s="19"/>
      <c r="BU1342" s="100"/>
    </row>
    <row r="1343" x14ac:dyDescent="0.25">
      <c r="B1343" t="s">
        <v>285</v>
      </c>
      <c r="C1343" s="19"/>
      <c r="D1343" s="19"/>
      <c r="E1343">
        <f t="shared" si="833"/>
        <v>0</v>
      </c>
      <c r="H1343">
        <v>22</v>
      </c>
      <c r="I1343" s="19"/>
      <c r="J1343" s="19"/>
      <c r="K1343">
        <f t="shared" si="834"/>
        <v>0</v>
      </c>
      <c r="P1343" s="93"/>
      <c r="Q1343" s="109" t="s">
        <v>491</v>
      </c>
      <c r="R1343" t="str">
        <f>$Q$1303</f>
        <v>L4</v>
      </c>
      <c r="S1343">
        <f>$E$23</f>
        <v>0</v>
      </c>
      <c r="T1343" cm="1">
        <f t="array" ref="T1343">IFERROR(IF(S1343=0,0,(INDEX($C$33:$C$38,MATCH($W$1312,$B$33:$B$38,0),0)*(S1345+$X$1312)+$T$1312*COUNTIF(S1343:S1344,"&gt;0")*$C$32+$V$1312*$C$31)*$R$1312),0)</f>
        <v>0</v>
      </c>
      <c r="U1343">
        <f>IF(S1343=0,0,-(COUNTIF(S1343:S1344,"&gt;0")*$T$1312*$C$32+$V$1312*$C$31)*$H$27*$R$1312)</f>
        <v>0</v>
      </c>
      <c r="V1343">
        <f>IF(S1343=0,0,$V$1312*$H$26*$R$1312)</f>
        <v>0</v>
      </c>
      <c r="W1343">
        <f>(0.6*T1343+0.7*U1343)*$R$1312/2</f>
        <v>0</v>
      </c>
      <c r="X1343">
        <f>T1343*$R$1312/2</f>
        <v>0</v>
      </c>
      <c r="Z1343">
        <f>IF(S1343=0,0,$AD$1312*$AP$1303)</f>
        <v>0</v>
      </c>
      <c r="AA1343">
        <f>IFERROR(Z1343/$R$1312,0)</f>
        <v>0</v>
      </c>
      <c r="AB1343">
        <f>Z1343*($F$23+IF($F$23=0,0,($C$14+$C$15+IF($C$13="single",1.5,3)+3)/12))</f>
        <v>0</v>
      </c>
      <c r="AC1343">
        <f>AB1343-W1343</f>
        <v>0</v>
      </c>
      <c r="AD1343" cm="1">
        <f t="array" ref="AD1343">IFERROR(IF(AC1343&lt;0,0,AC1343/($R$1312-INDEX(hd_off,MATCH(AQ1343,hd_mark,0),0)/12)),0)</f>
        <v>0</v>
      </c>
      <c r="AE1343">
        <f>IF(S1343=0,0,$AD$1312*$AM$1303)</f>
        <v>0</v>
      </c>
      <c r="AF1343">
        <f>IFERROR(AE1343/$R$1312,0)</f>
        <v>0</v>
      </c>
      <c r="AG1343">
        <f>AE1343*($F$23+IF($F$23=0,0,($C$14+$C$15+IF($C$13="single",1.5,3)+3)/12))</f>
        <v>0</v>
      </c>
      <c r="AH1343">
        <f>AG1343-X1343</f>
        <v>0</v>
      </c>
      <c r="AI1343" cm="1">
        <f t="array" ref="AI1343">IFERROR(IF(AH1343&lt;0,0,AH1343/($R$1312-INDEX(hd_off,MATCH(AQ1343,hd_mark,0),0)/12)),0)</f>
        <v>0</v>
      </c>
      <c r="AJ1343">
        <f>MAX($F$23,$AA$1312)/$Q$1332</f>
        <v>0</v>
      </c>
      <c r="AK1343">
        <f t="shared" si="840"/>
        <v>0</v>
      </c>
      <c r="AL1343" cm="1">
        <f t="array" ref="AL1343">IFERROR(INDEX(sheath_ecap_asd,MATCH(AP1343,sheath_mark,0),0)*AK1343,0)</f>
        <v>0</v>
      </c>
      <c r="AM1343" cm="1">
        <f t="array" ref="AM1343">IFERROR(INDEX(sheath_wcap_asd,MATCH(AP1343,sheath_mark,0),0)*AK1343,0)</f>
        <v>0</v>
      </c>
      <c r="AN1343" cm="1">
        <f t="array" ref="AN1343">IFERROR(INDEX(hd_cap,MATCH(AQ1343,hd_mark,0),0),0)</f>
        <v>0</v>
      </c>
      <c r="AP1343" s="19"/>
      <c r="AQ1343" s="19"/>
      <c r="AR1343" s="100"/>
      <c r="AS1343" s="93"/>
      <c r="AT1343" s="109" t="s">
        <v>491</v>
      </c>
      <c r="AU1343" t="str">
        <f>$Q$1303</f>
        <v>L4</v>
      </c>
      <c r="AV1343">
        <f>$E$23</f>
        <v>0</v>
      </c>
      <c r="AW1343" cm="1">
        <f t="array" ref="AW1343">IFERROR(IF(AV1343=0,0,(INDEX($C$33:$C$38,MATCH($AZ$1312,$B$33:$B$38,0),0)*(AV1345+$BA$1312)+$AW$1312*COUNTIF(AV1343:AV1344,"&gt;0")*$C$32+$AY$1312*$C$31)*$AU$1312),0)</f>
        <v>0</v>
      </c>
      <c r="AX1343">
        <f>IF(AV1343=0,0,-(COUNTIF(AV1343:AV1344,"&gt;0")*$AW$1312*$C$32+$AY$1312*$C$31)*$H$27*$AU$1312)</f>
        <v>0</v>
      </c>
      <c r="AY1343">
        <f>IF(AV1343=0,0,$AY$1312*$H$26*$AU$1312)</f>
        <v>0</v>
      </c>
      <c r="AZ1343">
        <f>(0.6*AW1343+0.7*AX1343)*$AU$1312/2</f>
        <v>0</v>
      </c>
      <c r="BA1343">
        <f>AW1343*$AU$1312/2</f>
        <v>0</v>
      </c>
      <c r="BC1343">
        <f>IF(AV1343=0,0,$BG$1312*$AP$1303)</f>
        <v>0</v>
      </c>
      <c r="BD1343">
        <f>IFERROR(BC1343/$AU$1312,0)</f>
        <v>0</v>
      </c>
      <c r="BE1343">
        <f>BC1343*($F$23+IF($F$23=0,0,($C$14+$C$15+IF($C$13="single",1.5,3)+3)/12))</f>
        <v>0</v>
      </c>
      <c r="BF1343">
        <f>BE1343-AZ1343</f>
        <v>0</v>
      </c>
      <c r="BG1343" cm="1">
        <f t="array" ref="BG1343">IFERROR(IF(BF1343&lt;0,0,BF1343/($AU$1312-INDEX(hd_off,MATCH(BT1343,hd_mark,0),0)/12)),0)</f>
        <v>0</v>
      </c>
      <c r="BH1343">
        <f>IF(AV1343=0,0,$BG$1312*$AM$1303)</f>
        <v>0</v>
      </c>
      <c r="BI1343">
        <f>IFERROR(BH1343/$AU$1312,0)</f>
        <v>0</v>
      </c>
      <c r="BJ1343">
        <f>BH1343*($F$23+IF($F$23=0,0,($C$14+$C$15+IF($C$13="single",1.5,3)+3)/12))</f>
        <v>0</v>
      </c>
      <c r="BK1343">
        <f>BJ1343-BA1343</f>
        <v>0</v>
      </c>
      <c r="BL1343" cm="1">
        <f t="array" ref="BL1343">IFERROR(IF(BK1343&lt;0,0,BK1343/($AU$1312-INDEX(hd_off,MATCH(BT1343,hd_mark,0),0)/12)),0)</f>
        <v>0</v>
      </c>
      <c r="BM1343">
        <f>MAX($F$23,$BD$1312)/$Q$1332</f>
        <v>0</v>
      </c>
      <c r="BN1343">
        <f t="shared" si="841"/>
        <v>0</v>
      </c>
      <c r="BO1343" cm="1">
        <f t="array" ref="BO1343">IFERROR(INDEX(sheath_ecap_asd,MATCH(BS1343,sheath_mark,0),0)*BN1343,0)</f>
        <v>0</v>
      </c>
      <c r="BP1343" cm="1">
        <f t="array" ref="BP1343">IFERROR(INDEX(sheath_wcap_asd,MATCH(BS1343,sheath_mark,0),0)*BN1343,0)</f>
        <v>0</v>
      </c>
      <c r="BQ1343" cm="1">
        <f t="array" ref="BQ1343">IFERROR(INDEX(hd_cap,MATCH(BT1343,hd_mark,0),0),0)</f>
        <v>0</v>
      </c>
      <c r="BS1343" s="19"/>
      <c r="BT1343" s="19"/>
      <c r="BU1343" s="100"/>
    </row>
    <row r="1344" x14ac:dyDescent="0.25">
      <c r="B1344" t="s">
        <v>470</v>
      </c>
      <c r="C1344" s="19"/>
      <c r="D1344" s="19"/>
      <c r="E1344">
        <f t="shared" si="833"/>
        <v>0</v>
      </c>
      <c r="H1344">
        <v>23</v>
      </c>
      <c r="I1344" s="19"/>
      <c r="J1344" s="19"/>
      <c r="K1344">
        <f t="shared" si="834"/>
        <v>0</v>
      </c>
      <c r="P1344" s="93"/>
      <c r="Q1344" s="111">
        <f>$R$1312</f>
        <v>0</v>
      </c>
      <c r="R1344" t="str">
        <f>$Q$1304</f>
        <v>L5</v>
      </c>
      <c r="S1344">
        <f>$E$24</f>
        <v>0</v>
      </c>
      <c r="T1344" cm="1">
        <f t="array" ref="T1344">IFERROR(IF(S1344=0,0,(INDEX($C$33:$C$38,MATCH($W$1312,$B$33:$B$38,0),0)*(S1345+$X$1312)+$T$1312*COUNTIF(S1344:S1344,"&gt;0")*$C$32+$V$1312*$C$31)*$R$1312),0)</f>
        <v>0</v>
      </c>
      <c r="U1344">
        <f>IF(S1344=0,0,-(COUNTIF(S1344:S1344,"&gt;0")*$T$1312*$C$32+$V$1312*$C$31)*$H$27*$R$1312)</f>
        <v>0</v>
      </c>
      <c r="V1344">
        <f>IF(S1344=0,0,$V$1312*$H$26*$R$1312)</f>
        <v>0</v>
      </c>
      <c r="W1344">
        <f>(0.6*T1344+0.7*U1344)*$R$1312/2</f>
        <v>0</v>
      </c>
      <c r="X1344">
        <f>T1344*$R$1312/2</f>
        <v>0</v>
      </c>
      <c r="Z1344">
        <f>IF(S1344=0,0,$AD$1312*$AP$1304)</f>
        <v>0</v>
      </c>
      <c r="AA1344">
        <f>IFERROR(Z1344/$R$1312,0)</f>
        <v>0</v>
      </c>
      <c r="AB1344">
        <f>Z1344*($F$24+IF($F$24=0,0,($C$14+$C$15+IF($C$13="single",1.5,3)+3)/12))</f>
        <v>0</v>
      </c>
      <c r="AC1344">
        <f>AB1344-W1344</f>
        <v>0</v>
      </c>
      <c r="AD1344" cm="1">
        <f t="array" ref="AD1344">IFERROR(IF(AC1344&lt;0,0,AC1344/($R$1312-INDEX(hd_off,MATCH(AQ1344,hd_mark,0),0)/12)),0)</f>
        <v>0</v>
      </c>
      <c r="AE1344">
        <f>IF(S1344=0,0,$AD$1312*$AM$1304)</f>
        <v>0</v>
      </c>
      <c r="AF1344">
        <f>IFERROR(AE1344/$R$1312,0)</f>
        <v>0</v>
      </c>
      <c r="AG1344">
        <f>AE1344*($F$24+IF($F$24=0,0,($C$14+$C$15+IF($C$13="single",1.5,3)+3)/12))</f>
        <v>0</v>
      </c>
      <c r="AH1344">
        <f>AG1344-X1344</f>
        <v>0</v>
      </c>
      <c r="AI1344" cm="1">
        <f t="array" ref="AI1344">IFERROR(IF(AH1344&lt;0,0,AH1344/($R$1312-INDEX(hd_off,MATCH(AQ1344,hd_mark,0),0)/12)),0)</f>
        <v>0</v>
      </c>
      <c r="AJ1344">
        <f>MAX($F$24,$AB$1312)/$Q$1332</f>
        <v>0</v>
      </c>
      <c r="AK1344">
        <f t="shared" si="840"/>
        <v>0</v>
      </c>
      <c r="AL1344" cm="1">
        <f t="array" ref="AL1344">IFERROR(INDEX(sheath_ecap_asd,MATCH(AP1344,sheath_mark,0),0)*AK1344,0)</f>
        <v>0</v>
      </c>
      <c r="AM1344" cm="1">
        <f t="array" ref="AM1344">IFERROR(INDEX(sheath_wcap_asd,MATCH(AP1344,sheath_mark,0),0)*AK1344,0)</f>
        <v>0</v>
      </c>
      <c r="AN1344" cm="1">
        <f t="array" ref="AN1344">IFERROR(INDEX(hd_cap,MATCH(AQ1344,hd_mark,0),0),0)</f>
        <v>0</v>
      </c>
      <c r="AP1344" s="19"/>
      <c r="AQ1344" s="19"/>
      <c r="AR1344" s="100"/>
      <c r="AS1344" s="93"/>
      <c r="AT1344" s="111">
        <f>$R$1312</f>
        <v>0</v>
      </c>
      <c r="AU1344" t="str">
        <f>$Q$1304</f>
        <v>L5</v>
      </c>
      <c r="AV1344">
        <f>$E$24</f>
        <v>0</v>
      </c>
      <c r="AW1344" cm="1">
        <f t="array" ref="AW1344">IFERROR(IF(AV1344=0,0,(INDEX($C$33:$C$38,MATCH($AZ$1312,$B$33:$B$38,0),0)*(AV1345+$BA$1312)+$AW$1312*COUNTIF(AV1344:AV1344,"&gt;0")*$C$32+$AY$1312*$C$31)*$AU$1312),0)</f>
        <v>0</v>
      </c>
      <c r="AX1344">
        <f>IF(AV1344=0,0,-(COUNTIF(AV1344:AV1344,"&gt;0")*$AW$1312*$C$32+$AY$1312*$C$31)*$H$27*$AU$1312)</f>
        <v>0</v>
      </c>
      <c r="AY1344">
        <f>IF(AV1344=0,0,$AY$1312*$H$26*$AU$1312)</f>
        <v>0</v>
      </c>
      <c r="AZ1344">
        <f>(0.6*AW1344+0.7*AX1344)*$AU$1312/2</f>
        <v>0</v>
      </c>
      <c r="BA1344">
        <f>AW1344*$AU$1312/2</f>
        <v>0</v>
      </c>
      <c r="BC1344">
        <f>IF(AV1344=0,0,$BG$1312*$AP$1304)</f>
        <v>0</v>
      </c>
      <c r="BD1344">
        <f>IFERROR(BC1344/$AU$1312,0)</f>
        <v>0</v>
      </c>
      <c r="BE1344">
        <f>BC1344*($F$24+IF($F$24=0,0,($C$14+$C$15+IF($C$13="single",1.5,3)+3)/12))</f>
        <v>0</v>
      </c>
      <c r="BF1344">
        <f>BE1344-AZ1344</f>
        <v>0</v>
      </c>
      <c r="BG1344" cm="1">
        <f t="array" ref="BG1344">IFERROR(IF(BF1344&lt;0,0,BF1344/($AU$1312-INDEX(hd_off,MATCH(BT1344,hd_mark,0),0)/12)),0)</f>
        <v>0</v>
      </c>
      <c r="BH1344">
        <f>IF(AV1344=0,0,$BG$1312*$AM$1304)</f>
        <v>0</v>
      </c>
      <c r="BI1344">
        <f>IFERROR(BH1344/$AU$1312,0)</f>
        <v>0</v>
      </c>
      <c r="BJ1344">
        <f>BH1344*($F$24+IF($F$24=0,0,($C$14+$C$15+IF($C$13="single",1.5,3)+3)/12))</f>
        <v>0</v>
      </c>
      <c r="BK1344">
        <f>BJ1344-BA1344</f>
        <v>0</v>
      </c>
      <c r="BL1344" cm="1">
        <f t="array" ref="BL1344">IFERROR(IF(BK1344&lt;0,0,BK1344/($AU$1312-INDEX(hd_off,MATCH(BT1344,hd_mark,0),0)/12)),0)</f>
        <v>0</v>
      </c>
      <c r="BM1344">
        <f>MAX($F$24,$BE$1312)/$Q$1332</f>
        <v>0</v>
      </c>
      <c r="BN1344">
        <f t="shared" si="841"/>
        <v>0</v>
      </c>
      <c r="BO1344" cm="1">
        <f t="array" ref="BO1344">IFERROR(INDEX(sheath_ecap_asd,MATCH(BS1344,sheath_mark,0),0)*BN1344,0)</f>
        <v>0</v>
      </c>
      <c r="BP1344" cm="1">
        <f t="array" ref="BP1344">IFERROR(INDEX(sheath_wcap_asd,MATCH(BS1344,sheath_mark,0),0)*BN1344,0)</f>
        <v>0</v>
      </c>
      <c r="BQ1344" cm="1">
        <f t="array" ref="BQ1344">IFERROR(INDEX(hd_cap,MATCH(BT1344,hd_mark,0),0),0)</f>
        <v>0</v>
      </c>
      <c r="BS1344" s="19"/>
      <c r="BT1344" s="19"/>
      <c r="BU1344" s="100"/>
    </row>
    <row r="1345" x14ac:dyDescent="0.25">
      <c r="B1345" t="s">
        <v>471</v>
      </c>
      <c r="C1345" s="19"/>
      <c r="D1345" s="19"/>
      <c r="E1345">
        <f t="shared" si="833"/>
        <v>0</v>
      </c>
      <c r="H1345">
        <v>24</v>
      </c>
      <c r="I1345" s="19"/>
      <c r="J1345" s="19"/>
      <c r="K1345">
        <f t="shared" si="834"/>
        <v>0</v>
      </c>
      <c r="P1345" s="93"/>
      <c r="Q1345" s="109"/>
      <c r="R1345" t="str">
        <f>$Q$1305</f>
        <v>Roof</v>
      </c>
      <c r="S1345">
        <f>$E$25</f>
        <v>33.171875</v>
      </c>
      <c r="T1345" cm="1">
        <f t="array" ref="T1345">IFERROR(IF(S1345=0,0,(INDEX($C$33:$C$38,MATCH($W$1312,$B$33:$B$38,0),0)*(S1345+$X$1312)+$V$1312*$C$31)*$R$1312),0)</f>
        <v>0</v>
      </c>
      <c r="U1345">
        <f>IF(S1345=0,0,-$V$1312*$C$31*$H$27*$R$1312)</f>
        <v>0</v>
      </c>
      <c r="V1345">
        <f>IF(S1345=0,0,$V$1312*$H$26*$R$1312)</f>
        <v>0</v>
      </c>
      <c r="W1345">
        <f>(0.6*T1345+0.7*U1345)*$R$1312/2</f>
        <v>0</v>
      </c>
      <c r="X1345">
        <f>T1345*$R$1312/2</f>
        <v>0</v>
      </c>
      <c r="Z1345">
        <f>IF(S1345=0,0,$AD$1312*$AP$1305)</f>
        <v>0</v>
      </c>
      <c r="AA1345">
        <f>IFERROR(Z1345/$R$1312,0)</f>
        <v>0</v>
      </c>
      <c r="AB1345">
        <f>Z1345*($F$25+($C$16+$C$17+IF($C$13="single",1.5,3)+3)/12)</f>
        <v>0</v>
      </c>
      <c r="AC1345">
        <f>AB1345-W1345</f>
        <v>0</v>
      </c>
      <c r="AD1345" cm="1">
        <f t="array" ref="AD1345">IFERROR(IF(AC1345&lt;0,0,AC1345/($R$1312-INDEX(hd_off,MATCH(AQ1345,hd_mark,0),0)/12)),0)</f>
        <v>0</v>
      </c>
      <c r="AE1345">
        <f>IF(S1345=0,0,$AD$1312*$AM$1305)</f>
        <v>0</v>
      </c>
      <c r="AF1345">
        <f>IFERROR(AE1345/$R$1312,0)</f>
        <v>0</v>
      </c>
      <c r="AG1345">
        <f>AE1345*($F$25+($C$16+$C$17+IF($C$13="single",1.5,3)+3)/12)</f>
        <v>0</v>
      </c>
      <c r="AH1345">
        <f>AG1345-X1345</f>
        <v>0</v>
      </c>
      <c r="AI1345" cm="1">
        <f t="array" ref="AI1345">IFERROR(IF(AH1345&lt;0,0,AH1345/($R$1312-INDEX(hd_off,MATCH(AQ1345,hd_mark,0),0)/12)),0)</f>
        <v>0</v>
      </c>
      <c r="AJ1345">
        <f>MAX($F$25,$AC$1312)/$Q$1332</f>
        <v>0.29920977011494249</v>
      </c>
      <c r="AK1345">
        <f t="shared" si="840"/>
        <v>1</v>
      </c>
      <c r="AL1345" cm="1">
        <f t="array" ref="AL1345">IFERROR(INDEX(sheath_ecap_asd,MATCH(AP1345,sheath_mark,0),0)*AK1345,0)</f>
        <v>0</v>
      </c>
      <c r="AM1345" cm="1">
        <f t="array" ref="AM1345">IFERROR(INDEX(sheath_wcap_asd,MATCH(AP1345,sheath_mark,0),0)*AK1345,0)</f>
        <v>0</v>
      </c>
      <c r="AN1345" cm="1">
        <f t="array" ref="AN1345">IFERROR(INDEX(hd_cap,MATCH(AQ1345,hd_mark,0),0),0)</f>
        <v>0</v>
      </c>
      <c r="AP1345" s="19"/>
      <c r="AQ1345" s="19"/>
      <c r="AR1345" s="100"/>
      <c r="AS1345" s="93"/>
      <c r="AT1345" s="109"/>
      <c r="AU1345" t="str">
        <f>$Q$1305</f>
        <v>Roof</v>
      </c>
      <c r="AV1345">
        <f>$E$25</f>
        <v>33.171875</v>
      </c>
      <c r="AW1345" cm="1">
        <f t="array" ref="AW1345">IFERROR(IF(AV1345=0,0,(INDEX($C$33:$C$38,MATCH($AZ$1312,$B$33:$B$38,0),0)*(AV1345+$BA$1312)+$AY$1312*$C$31)*$AU$1312),0)</f>
        <v>0</v>
      </c>
      <c r="AX1345">
        <f>IF(AV1345=0,0,-$AY$1312*$C$31*$H$27*$AU$1312)</f>
        <v>0</v>
      </c>
      <c r="AY1345">
        <f>IF(AV1345=0,0,$AY$1312*$H$26*$AU$1312)</f>
        <v>0</v>
      </c>
      <c r="AZ1345">
        <f>(0.6*AW1345+0.7*AX1345)*$AU$1312/2</f>
        <v>0</v>
      </c>
      <c r="BA1345">
        <f>AW1345*$AU$1312/2</f>
        <v>0</v>
      </c>
      <c r="BC1345">
        <f>IF(AV1345=0,0,$BG$1312*$AP$1305)</f>
        <v>0</v>
      </c>
      <c r="BD1345">
        <f>IFERROR(BC1345/$AU$1312,0)</f>
        <v>0</v>
      </c>
      <c r="BE1345">
        <f>BC1345*($F$25+($C$16+$C$17+IF($C$13="single",1.5,3)+3)/12)</f>
        <v>0</v>
      </c>
      <c r="BF1345">
        <f>BE1345-AZ1345</f>
        <v>0</v>
      </c>
      <c r="BG1345" cm="1">
        <f t="array" ref="BG1345">IFERROR(IF(BF1345&lt;0,0,BF1345/($AU$1312-INDEX(hd_off,MATCH(BT1345,hd_mark,0),0)/12)),0)</f>
        <v>0</v>
      </c>
      <c r="BH1345">
        <f>IF(AV1345=0,0,$BG$1312*$AM$1305)</f>
        <v>0</v>
      </c>
      <c r="BI1345">
        <f>IFERROR(BH1345/$AU$1312,0)</f>
        <v>0</v>
      </c>
      <c r="BJ1345">
        <f>BH1345*($F$25+($C$16+$C$17+IF($C$13="single",1.5,3)+3)/12)</f>
        <v>0</v>
      </c>
      <c r="BK1345">
        <f>BJ1345-BA1345</f>
        <v>0</v>
      </c>
      <c r="BL1345" cm="1">
        <f t="array" ref="BL1345">IFERROR(IF(BK1345&lt;0,0,BK1345/($AU$1312-INDEX(hd_off,MATCH(BT1345,hd_mark,0),0)/12)),0)</f>
        <v>0</v>
      </c>
      <c r="BM1345">
        <f>MAX($F$25,$BF$1312)/$Q$1332</f>
        <v>0.29920977011494249</v>
      </c>
      <c r="BN1345">
        <f t="shared" si="841"/>
        <v>1</v>
      </c>
      <c r="BO1345" cm="1">
        <f t="array" ref="BO1345">IFERROR(INDEX(sheath_ecap_asd,MATCH(BS1345,sheath_mark,0),0)*BN1345,0)</f>
        <v>0</v>
      </c>
      <c r="BP1345" cm="1">
        <f t="array" ref="BP1345">IFERROR(INDEX(sheath_wcap_asd,MATCH(BS1345,sheath_mark,0),0)*BN1345,0)</f>
        <v>0</v>
      </c>
      <c r="BQ1345" cm="1">
        <f t="array" ref="BQ1345">IFERROR(INDEX(hd_cap,MATCH(BT1345,hd_mark,0),0),0)</f>
        <v>0</v>
      </c>
      <c r="BS1345" s="19"/>
      <c r="BT1345" s="19"/>
      <c r="BU1345" s="100"/>
    </row>
    <row r="1346" x14ac:dyDescent="0.25">
      <c r="B1346" t="s">
        <v>472</v>
      </c>
      <c r="C1346" s="19"/>
      <c r="D1346" s="19"/>
      <c r="E1346">
        <f t="shared" si="833"/>
        <v>0</v>
      </c>
      <c r="H1346">
        <v>25</v>
      </c>
      <c r="I1346" s="19"/>
      <c r="J1346" s="19"/>
      <c r="K1346">
        <f t="shared" si="834"/>
        <v>0</v>
      </c>
      <c r="P1346" s="93"/>
      <c r="AR1346" s="100"/>
      <c r="AS1346" s="93"/>
      <c r="BU1346" s="100"/>
    </row>
    <row r="1347" x14ac:dyDescent="0.25">
      <c r="B1347" t="s">
        <v>473</v>
      </c>
      <c r="C1347" s="19"/>
      <c r="D1347" s="19"/>
      <c r="E1347">
        <f t="shared" si="833"/>
        <v>0</v>
      </c>
      <c r="H1347">
        <v>26</v>
      </c>
      <c r="I1347" s="19"/>
      <c r="J1347" s="19"/>
      <c r="K1347">
        <f t="shared" si="834"/>
        <v>0</v>
      </c>
      <c r="P1347" s="93"/>
      <c r="Q1347" s="110" t="str">
        <f>$Q$1313</f>
        <v>A.04</v>
      </c>
      <c r="R1347" t="str">
        <f>$Q$1301</f>
        <v>L2</v>
      </c>
      <c r="S1347">
        <f>$E$21</f>
        <v>10.6875</v>
      </c>
      <c r="T1347" cm="1">
        <f t="array" ref="T1347">IFERROR(IF(S1347=0,0,(INDEX($C$33:$C$38,MATCH($W$1313,$B$33:$B$38,0),0)*(S1351+$X$1313)+$T$1313*COUNTIF(S1347:S1350,"&gt;0")*$C$32+$V$1313*$C$31)*$R$1313),0)</f>
        <v>0</v>
      </c>
      <c r="U1347">
        <f>IF(S1347=0,0,-(COUNTIF(S1347:S1350,"&gt;0")*$T$1313*$C$32+$V$1313*$C$31)*$H$27*$R$1313)</f>
        <v>0</v>
      </c>
      <c r="V1347">
        <f>IF(S1347=0,0,$V$1313*$H$26*$R$1313)</f>
        <v>0</v>
      </c>
      <c r="W1347">
        <f>(0.6*T1347+0.7*U1347)*$R$1313/2</f>
        <v>0</v>
      </c>
      <c r="X1347">
        <f>(0.6*T1347+0.6*V1347)*$R$1313/2</f>
        <v>0</v>
      </c>
      <c r="Z1347">
        <f>IF(S1347=0,0,$AD$1313*$AP$1301)</f>
        <v>0</v>
      </c>
      <c r="AA1347">
        <f>IFERROR(Z1347/$R$1313,0)</f>
        <v>0</v>
      </c>
      <c r="AB1347">
        <f>Z1347*($F$21+IF($F$21=0,0,($C$14+$C$15+IF($C$13="single",1.5,3)+3)/12))</f>
        <v>0</v>
      </c>
      <c r="AC1347">
        <f>AB1347-W1347</f>
        <v>0</v>
      </c>
      <c r="AD1347" cm="1">
        <f t="array" ref="AD1347">IFERROR(IF(AC1347&lt;0,0,AC1347/($R$1313-INDEX(hd_off,MATCH(AQ1347,hd_mark,0),0)/12)),0)</f>
        <v>0</v>
      </c>
      <c r="AE1347">
        <f>IF(S1347=0,0,$AD$1313*$AM$1301)</f>
        <v>0</v>
      </c>
      <c r="AF1347">
        <f>IFERROR(AE1347/$R$1313,0)</f>
        <v>0</v>
      </c>
      <c r="AG1347">
        <f>AE1347*($F$21+IF($F$21=0,0,($C$14+$C$15+IF($C$13="single",1.5,3)+3)/12))</f>
        <v>0</v>
      </c>
      <c r="AH1347">
        <f>AG1347-X1347</f>
        <v>0</v>
      </c>
      <c r="AI1347" cm="1">
        <f t="array" ref="AI1347">IFERROR(IF(AH1347&lt;0,0,AH1347/($R$1313-INDEX(hd_off,MATCH(AQ1347,hd_mark,0),0)/12)),0)</f>
        <v>0</v>
      </c>
      <c r="AJ1347">
        <f>MAX($F$21,$Y$1313)/$Q$1332</f>
        <v>0.30172413793103448</v>
      </c>
      <c r="AK1347">
        <f>IF(AJ1347=0,0,IF(AJ1347&gt;2,1.25-0.125*AJ1347,1))</f>
        <v>1</v>
      </c>
      <c r="AL1347" cm="1">
        <f t="array" ref="AL1347">IFERROR(INDEX(sheath_ecap_asd,MATCH(AP1347,sheath_mark,0),0)*AK1347,0)</f>
        <v>0</v>
      </c>
      <c r="AM1347" cm="1">
        <f t="array" ref="AM1347">IFERROR(INDEX(sheath_wcap_asd,MATCH(AP1347,sheath_mark,0),0)*AK1347,0)</f>
        <v>0</v>
      </c>
      <c r="AN1347" cm="1">
        <f t="array" ref="AN1347">IFERROR(INDEX(hd_cap,MATCH(AQ1347,hd_mark,0),0),0)</f>
        <v>0</v>
      </c>
      <c r="AP1347" s="19"/>
      <c r="AQ1347" s="19"/>
      <c r="AR1347" s="100"/>
      <c r="AS1347" s="93"/>
      <c r="AT1347" s="110" t="str">
        <f>$AT$1313</f>
        <v>1.04</v>
      </c>
      <c r="AU1347" t="str">
        <f>$Q$1301</f>
        <v>L2</v>
      </c>
      <c r="AV1347">
        <f>$E$21</f>
        <v>10.6875</v>
      </c>
      <c r="AW1347" cm="1">
        <f t="array" ref="AW1347">IFERROR(IF(AV1347=0,0,(INDEX($C$33:$C$38,MATCH($AZ$1313,$B$33:$B$38,0),0)*(AV1351+$BA$1313)+$AW$1313*COUNTIF(AV1347:AV1350,"&gt;0")*$C$32+$AY$1313*$C$31)*$AU$1313),0)</f>
        <v>0</v>
      </c>
      <c r="AX1347">
        <f>IF(AV1347=0,0,-(COUNTIF(AV1347:AV1350,"&gt;0")*$AW$1313*$C$32+$AY$1313*$C$31)*$H$27*$AU$1313)</f>
        <v>0</v>
      </c>
      <c r="AY1347">
        <f>IF(AV1347=0,0,$AY$1313*$H$26*$AU$1313)</f>
        <v>0</v>
      </c>
      <c r="AZ1347">
        <f>(0.6*AW1347+0.7*AX1347)*$AU$1313/2</f>
        <v>0</v>
      </c>
      <c r="BA1347">
        <f>(0.6*AW1347+0.6*AY1347)*$AU$1313/2</f>
        <v>0</v>
      </c>
      <c r="BC1347">
        <f>IF(AV1347=0,0,$BG$1313*$AP$1301)</f>
        <v>0</v>
      </c>
      <c r="BD1347">
        <f>IFERROR(BC1347/$AU$1313,0)</f>
        <v>0</v>
      </c>
      <c r="BE1347">
        <f>BC1347*($F$21+IF($F$21=0,0,($C$14+$C$15+IF($C$13="single",1.5,3)+3)/12))</f>
        <v>0</v>
      </c>
      <c r="BF1347">
        <f>BE1347-AZ1347</f>
        <v>0</v>
      </c>
      <c r="BG1347" cm="1">
        <f t="array" ref="BG1347">IFERROR(IF(BF1347&lt;0,0,BF1347/($AU$1313-INDEX(hd_off,MATCH(BT1347,hd_mark,0),0)/12)),0)</f>
        <v>0</v>
      </c>
      <c r="BH1347">
        <f>IF(AV1347=0,0,$BG$1313*$AM$1301)</f>
        <v>0</v>
      </c>
      <c r="BI1347">
        <f>IFERROR(BH1347/$AU$1313,0)</f>
        <v>0</v>
      </c>
      <c r="BJ1347">
        <f>BH1347*($F$21+IF($F$21=0,0,($C$14+$C$15+IF($C$13="single",1.5,3)+3)/12))</f>
        <v>0</v>
      </c>
      <c r="BK1347">
        <f>BJ1347-BA1347</f>
        <v>0</v>
      </c>
      <c r="BL1347" cm="1">
        <f t="array" ref="BL1347">IFERROR(IF(BK1347&lt;0,0,BK1347/($AU$1313-INDEX(hd_off,MATCH(BT1347,hd_mark,0),0)/12)),0)</f>
        <v>0</v>
      </c>
      <c r="BM1347">
        <f>MAX($F$21,$BB$1313)/$Q$1332</f>
        <v>0.30172413793103448</v>
      </c>
      <c r="BN1347">
        <f>IF(BM1347=0,0,IF(BM1347&gt;2,1.25-0.125*BM1347,1))</f>
        <v>1</v>
      </c>
      <c r="BO1347" cm="1">
        <f t="array" ref="BO1347">IFERROR(INDEX(sheath_ecap_asd,MATCH(BS1347,sheath_mark,0),0)*BN1347,0)</f>
        <v>0</v>
      </c>
      <c r="BP1347" cm="1">
        <f t="array" ref="BP1347">IFERROR(INDEX(sheath_wcap_asd,MATCH(BS1347,sheath_mark,0),0)*BN1347,0)</f>
        <v>0</v>
      </c>
      <c r="BQ1347" cm="1">
        <f t="array" ref="BQ1347">IFERROR(INDEX(hd_cap,MATCH(BT1347,hd_mark,0),0),0)</f>
        <v>0</v>
      </c>
      <c r="BS1347" s="19"/>
      <c r="BT1347" s="19"/>
      <c r="BU1347" s="100"/>
    </row>
    <row r="1348" x14ac:dyDescent="0.25">
      <c r="P1348" s="93"/>
      <c r="Q1348" s="109"/>
      <c r="R1348" t="str">
        <f>$Q$1302</f>
        <v>L3</v>
      </c>
      <c r="S1348">
        <f>$E$22</f>
        <v>21.375</v>
      </c>
      <c r="T1348" cm="1">
        <f t="array" ref="T1348">IFERROR(IF(S1348=0,0,(INDEX($C$33:$C$38,MATCH($W$1313,$B$33:$B$38,0),0)*(S1351+$X$1313)+$T$1313*COUNTIF(S1348:S1350,"&gt;0")*$C$32+$V$1313*$C$31)*$R$1313),0)</f>
        <v>0</v>
      </c>
      <c r="U1348">
        <f>IF(S1348=0,0,-(COUNTIF(S1348:S1350,"&gt;0")*$T$1313*$C$32+$V$1313*$C$31)*$H$27*$R$1313)</f>
        <v>0</v>
      </c>
      <c r="V1348">
        <f>IF(S1348=0,0,$V$1313*$H$26*$R$1313)</f>
        <v>0</v>
      </c>
      <c r="W1348">
        <f>(0.6*T1348+0.7*U1348)*$R$1313/2</f>
        <v>0</v>
      </c>
      <c r="X1348">
        <f>T1348*$R$1313/2</f>
        <v>0</v>
      </c>
      <c r="Z1348">
        <f>IF(S1348=0,0,$AD$1313*$AP$1302)</f>
        <v>0</v>
      </c>
      <c r="AA1348">
        <f>IFERROR(Z1348/$R$1313,0)</f>
        <v>0</v>
      </c>
      <c r="AB1348">
        <f>Z1348*($F$22+IF($F$22=0,0,($C$14+$C$15+IF($C$13="single",1.5,3)+3)/12))</f>
        <v>0</v>
      </c>
      <c r="AC1348">
        <f>AB1348-W1348</f>
        <v>0</v>
      </c>
      <c r="AD1348" cm="1">
        <f t="array" ref="AD1348">IFERROR(IF(AC1348&lt;0,0,AC1348/($R$1313-INDEX(hd_off,MATCH(AQ1348,hd_mark,0),0)/12)),0)</f>
        <v>0</v>
      </c>
      <c r="AE1348">
        <f>IF(S1348=0,0,$AD$1313*$AM$1302)</f>
        <v>0</v>
      </c>
      <c r="AF1348">
        <f>IFERROR(AE1348/$R$1313,0)</f>
        <v>0</v>
      </c>
      <c r="AG1348">
        <f>AE1348*($F$22+IF($F$22=0,0,($C$14+$C$15+IF($C$13="single",1.5,3)+3)/12))</f>
        <v>0</v>
      </c>
      <c r="AH1348">
        <f>AG1348-X1348</f>
        <v>0</v>
      </c>
      <c r="AI1348" cm="1">
        <f t="array" ref="AI1348">IFERROR(IF(AH1348&lt;0,0,AH1348/($R$1313-INDEX(hd_off,MATCH(AQ1348,hd_mark,0),0)/12)),0)</f>
        <v>0</v>
      </c>
      <c r="AJ1348">
        <f>MAX($F$22,$Z$1313)/$Q$1332</f>
        <v>0.30172413793103448</v>
      </c>
      <c r="AK1348">
        <f t="shared" ref="AK1348:AK1351" si="842">IF(AJ1348=0,0,IF(AJ1348&gt;2,1.25-0.125*AJ1348,1))</f>
        <v>1</v>
      </c>
      <c r="AL1348" cm="1">
        <f t="array" ref="AL1348">IFERROR(INDEX(sheath_ecap_asd,MATCH(AP1348,sheath_mark,0),0)*AK1348,0)</f>
        <v>0</v>
      </c>
      <c r="AM1348" cm="1">
        <f t="array" ref="AM1348">IFERROR(INDEX(sheath_wcap_asd,MATCH(AP1348,sheath_mark,0),0)*AK1348,0)</f>
        <v>0</v>
      </c>
      <c r="AN1348" cm="1">
        <f t="array" ref="AN1348">IFERROR(INDEX(hd_cap,MATCH(AQ1348,hd_mark,0),0),0)</f>
        <v>0</v>
      </c>
      <c r="AP1348" s="19"/>
      <c r="AQ1348" s="19"/>
      <c r="AR1348" s="100"/>
      <c r="AS1348" s="93"/>
      <c r="AT1348" s="109"/>
      <c r="AU1348" t="str">
        <f>$Q$1302</f>
        <v>L3</v>
      </c>
      <c r="AV1348">
        <f>$E$22</f>
        <v>21.375</v>
      </c>
      <c r="AW1348" cm="1">
        <f t="array" ref="AW1348">IFERROR(IF(AV1348=0,0,(INDEX($C$33:$C$38,MATCH($AZ$1313,$B$33:$B$38,0),0)*(AV1351+$BA$1313)+$AW$1313*COUNTIF(AV1348:AV1350,"&gt;0")*$C$32+$AY$1313*$C$31)*$AU$1313),0)</f>
        <v>0</v>
      </c>
      <c r="AX1348">
        <f>IF(AV1348=0,0,-(COUNTIF(AV1348:AV1350,"&gt;0")*$AW$1313*$C$32+$AY$1313*$C$31)*$H$27*$AU$1313)</f>
        <v>0</v>
      </c>
      <c r="AY1348">
        <f>IF(AV1348=0,0,$AY$1313*$H$26*$AU$1313)</f>
        <v>0</v>
      </c>
      <c r="AZ1348">
        <f>(0.6*AW1348+0.7*AX1348)*$AU$1313/2</f>
        <v>0</v>
      </c>
      <c r="BA1348">
        <f>AW1348*$AU$1313/2</f>
        <v>0</v>
      </c>
      <c r="BC1348">
        <f>IF(AV1348=0,0,$BG$1313*$AP$1302)</f>
        <v>0</v>
      </c>
      <c r="BD1348">
        <f>IFERROR(BC1348/$AU$1313,0)</f>
        <v>0</v>
      </c>
      <c r="BE1348">
        <f>BC1348*($F$22+IF($F$22=0,0,($C$14+$C$15+IF($C$13="single",1.5,3)+3)/12))</f>
        <v>0</v>
      </c>
      <c r="BF1348">
        <f>BE1348-AZ1348</f>
        <v>0</v>
      </c>
      <c r="BG1348" cm="1">
        <f t="array" ref="BG1348">IFERROR(IF(BF1348&lt;0,0,BF1348/($AU$1313-INDEX(hd_off,MATCH(BT1348,hd_mark,0),0)/12)),0)</f>
        <v>0</v>
      </c>
      <c r="BH1348">
        <f>IF(AV1348=0,0,$BG$1313*$AM$1302)</f>
        <v>0</v>
      </c>
      <c r="BI1348">
        <f>IFERROR(BH1348/$AU$1313,0)</f>
        <v>0</v>
      </c>
      <c r="BJ1348">
        <f>BH1348*($F$22+IF($F$22=0,0,($C$14+$C$15+IF($C$13="single",1.5,3)+3)/12))</f>
        <v>0</v>
      </c>
      <c r="BK1348">
        <f>BJ1348-BA1348</f>
        <v>0</v>
      </c>
      <c r="BL1348" cm="1">
        <f t="array" ref="BL1348">IFERROR(IF(BK1348&lt;0,0,BK1348/($AU$1313-INDEX(hd_off,MATCH(BT1348,hd_mark,0),0)/12)),0)</f>
        <v>0</v>
      </c>
      <c r="BM1348">
        <f>MAX($F$22,$BC$1313)/$Q$1332</f>
        <v>0.30172413793103448</v>
      </c>
      <c r="BN1348">
        <f t="shared" ref="BN1348:BN1351" si="843">IF(BM1348=0,0,IF(BM1348&gt;2,1.25-0.125*BM1348,1))</f>
        <v>1</v>
      </c>
      <c r="BO1348" cm="1">
        <f t="array" ref="BO1348">IFERROR(INDEX(sheath_ecap_asd,MATCH(BS1348,sheath_mark,0),0)*BN1348,0)</f>
        <v>0</v>
      </c>
      <c r="BP1348" cm="1">
        <f t="array" ref="BP1348">IFERROR(INDEX(sheath_wcap_asd,MATCH(BS1348,sheath_mark,0),0)*BN1348,0)</f>
        <v>0</v>
      </c>
      <c r="BQ1348" cm="1">
        <f t="array" ref="BQ1348">IFERROR(INDEX(hd_cap,MATCH(BT1348,hd_mark,0),0),0)</f>
        <v>0</v>
      </c>
      <c r="BS1348" s="19"/>
      <c r="BT1348" s="19"/>
      <c r="BU1348" s="100"/>
    </row>
    <row r="1349" x14ac:dyDescent="0.25">
      <c r="B1349" s="1"/>
      <c r="P1349" s="93"/>
      <c r="Q1349" s="109" t="s">
        <v>491</v>
      </c>
      <c r="R1349" t="str">
        <f>$Q$1303</f>
        <v>L4</v>
      </c>
      <c r="S1349">
        <f>$E$23</f>
        <v>0</v>
      </c>
      <c r="T1349" cm="1">
        <f t="array" ref="T1349">IFERROR(IF(S1349=0,0,(INDEX($C$33:$C$38,MATCH($W$1313,$B$33:$B$38,0),0)*(S1351+$X$1313)+$T$1313*COUNTIF(S1349:S1350,"&gt;0")*$C$32+$V$1313*$C$31)*$R$1313),0)</f>
        <v>0</v>
      </c>
      <c r="U1349">
        <f>IF(S1349=0,0,-(COUNTIF(S1349:S1350,"&gt;0")*$T$1313*$C$32+$V$1313*$C$31)*$H$27*$R$1313)</f>
        <v>0</v>
      </c>
      <c r="V1349">
        <f>IF(S1349=0,0,$V$1313*$H$26*$R$1313)</f>
        <v>0</v>
      </c>
      <c r="W1349">
        <f>(0.6*T1349+0.7*U1349)*$R$1313/2</f>
        <v>0</v>
      </c>
      <c r="X1349">
        <f>T1349*$R$1313/2</f>
        <v>0</v>
      </c>
      <c r="Z1349">
        <f>IF(S1349=0,0,$AD$1313*$AP$1303)</f>
        <v>0</v>
      </c>
      <c r="AA1349">
        <f>IFERROR(Z1349/$R$1313,0)</f>
        <v>0</v>
      </c>
      <c r="AB1349">
        <f>Z1349*($F$23+IF($F$23=0,0,($C$14+$C$15+IF($C$13="single",1.5,3)+3)/12))</f>
        <v>0</v>
      </c>
      <c r="AC1349">
        <f>AB1349-W1349</f>
        <v>0</v>
      </c>
      <c r="AD1349" cm="1">
        <f t="array" ref="AD1349">IFERROR(IF(AC1349&lt;0,0,AC1349/($R$1313-INDEX(hd_off,MATCH(AQ1349,hd_mark,0),0)/12)),0)</f>
        <v>0</v>
      </c>
      <c r="AE1349">
        <f>IF(S1349=0,0,$AD$1313*$AM$1303)</f>
        <v>0</v>
      </c>
      <c r="AF1349">
        <f>IFERROR(AE1349/$R$1313,0)</f>
        <v>0</v>
      </c>
      <c r="AG1349">
        <f>AE1349*($F$23+IF($F$23=0,0,($C$14+$C$15+IF($C$13="single",1.5,3)+3)/12))</f>
        <v>0</v>
      </c>
      <c r="AH1349">
        <f>AG1349-X1349</f>
        <v>0</v>
      </c>
      <c r="AI1349" cm="1">
        <f t="array" ref="AI1349">IFERROR(IF(AH1349&lt;0,0,AH1349/($R$1313-INDEX(hd_off,MATCH(AQ1349,hd_mark,0),0)/12)),0)</f>
        <v>0</v>
      </c>
      <c r="AJ1349">
        <f>MAX($F$23,$AA$1313)/$Q$1332</f>
        <v>0</v>
      </c>
      <c r="AK1349">
        <f t="shared" si="842"/>
        <v>0</v>
      </c>
      <c r="AL1349" cm="1">
        <f t="array" ref="AL1349">IFERROR(INDEX(sheath_ecap_asd,MATCH(AP1349,sheath_mark,0),0)*AK1349,0)</f>
        <v>0</v>
      </c>
      <c r="AM1349" cm="1">
        <f t="array" ref="AM1349">IFERROR(INDEX(sheath_wcap_asd,MATCH(AP1349,sheath_mark,0),0)*AK1349,0)</f>
        <v>0</v>
      </c>
      <c r="AN1349" cm="1">
        <f t="array" ref="AN1349">IFERROR(INDEX(hd_cap,MATCH(AQ1349,hd_mark,0),0),0)</f>
        <v>0</v>
      </c>
      <c r="AP1349" s="19"/>
      <c r="AQ1349" s="19"/>
      <c r="AR1349" s="100"/>
      <c r="AS1349" s="93"/>
      <c r="AT1349" s="109" t="s">
        <v>491</v>
      </c>
      <c r="AU1349" t="str">
        <f>$Q$1303</f>
        <v>L4</v>
      </c>
      <c r="AV1349">
        <f>$E$23</f>
        <v>0</v>
      </c>
      <c r="AW1349" cm="1">
        <f t="array" ref="AW1349">IFERROR(IF(AV1349=0,0,(INDEX($C$33:$C$38,MATCH($AZ$1313,$B$33:$B$38,0),0)*(AV1351+$BA$1313)+$AW$1313*COUNTIF(AV1349:AV1350,"&gt;0")*$C$32+$AY$1313*$C$31)*$AU$1313),0)</f>
        <v>0</v>
      </c>
      <c r="AX1349">
        <f>IF(AV1349=0,0,-(COUNTIF(AV1349:AV1350,"&gt;0")*$AW$1313*$C$32+$AY$1313*$C$31)*$H$27*$AU$1313)</f>
        <v>0</v>
      </c>
      <c r="AY1349">
        <f>IF(AV1349=0,0,$AY$1313*$H$26*$AU$1313)</f>
        <v>0</v>
      </c>
      <c r="AZ1349">
        <f>(0.6*AW1349+0.7*AX1349)*$AU$1313/2</f>
        <v>0</v>
      </c>
      <c r="BA1349">
        <f>AW1349*$AU$1313/2</f>
        <v>0</v>
      </c>
      <c r="BC1349">
        <f>IF(AV1349=0,0,$BG$1313*$AP$1303)</f>
        <v>0</v>
      </c>
      <c r="BD1349">
        <f>IFERROR(BC1349/$AU$1313,0)</f>
        <v>0</v>
      </c>
      <c r="BE1349">
        <f>BC1349*($F$23+IF($F$23=0,0,($C$14+$C$15+IF($C$13="single",1.5,3)+3)/12))</f>
        <v>0</v>
      </c>
      <c r="BF1349">
        <f>BE1349-AZ1349</f>
        <v>0</v>
      </c>
      <c r="BG1349" cm="1">
        <f t="array" ref="BG1349">IFERROR(IF(BF1349&lt;0,0,BF1349/($AU$1313-INDEX(hd_off,MATCH(BT1349,hd_mark,0),0)/12)),0)</f>
        <v>0</v>
      </c>
      <c r="BH1349">
        <f>IF(AV1349=0,0,$BG$1313*$AM$1303)</f>
        <v>0</v>
      </c>
      <c r="BI1349">
        <f>IFERROR(BH1349/$AU$1313,0)</f>
        <v>0</v>
      </c>
      <c r="BJ1349">
        <f>BH1349*($F$23+IF($F$23=0,0,($C$14+$C$15+IF($C$13="single",1.5,3)+3)/12))</f>
        <v>0</v>
      </c>
      <c r="BK1349">
        <f>BJ1349-BA1349</f>
        <v>0</v>
      </c>
      <c r="BL1349" cm="1">
        <f t="array" ref="BL1349">IFERROR(IF(BK1349&lt;0,0,BK1349/($AU$1313-INDEX(hd_off,MATCH(BT1349,hd_mark,0),0)/12)),0)</f>
        <v>0</v>
      </c>
      <c r="BM1349">
        <f>MAX($F$23,$BD$1313)/$Q$1332</f>
        <v>0</v>
      </c>
      <c r="BN1349">
        <f t="shared" si="843"/>
        <v>0</v>
      </c>
      <c r="BO1349" cm="1">
        <f t="array" ref="BO1349">IFERROR(INDEX(sheath_ecap_asd,MATCH(BS1349,sheath_mark,0),0)*BN1349,0)</f>
        <v>0</v>
      </c>
      <c r="BP1349" cm="1">
        <f t="array" ref="BP1349">IFERROR(INDEX(sheath_wcap_asd,MATCH(BS1349,sheath_mark,0),0)*BN1349,0)</f>
        <v>0</v>
      </c>
      <c r="BQ1349" cm="1">
        <f t="array" ref="BQ1349">IFERROR(INDEX(hd_cap,MATCH(BT1349,hd_mark,0),0),0)</f>
        <v>0</v>
      </c>
      <c r="BS1349" s="19"/>
      <c r="BT1349" s="19"/>
      <c r="BU1349" s="100"/>
    </row>
    <row r="1350" x14ac:dyDescent="0.25">
      <c r="P1350" s="93"/>
      <c r="Q1350" s="111">
        <f>$R$1313</f>
        <v>0</v>
      </c>
      <c r="R1350" t="str">
        <f>$Q$1304</f>
        <v>L5</v>
      </c>
      <c r="S1350">
        <f>$E$24</f>
        <v>0</v>
      </c>
      <c r="T1350" cm="1">
        <f t="array" ref="T1350">IFERROR(IF(S1350=0,0,(INDEX($C$33:$C$38,MATCH($W$1313,$B$33:$B$38,0),0)*(S1351+$X$1313)+$T$1313*COUNTIF(S1350:S1350,"&gt;0")*$C$32+$V$1313*$C$31)*$R$1313),0)</f>
        <v>0</v>
      </c>
      <c r="U1350">
        <f>IF(S1350=0,0,-(COUNTIF(S1350:S1350,"&gt;0")*$T$1313*$C$32+$V$1313*$C$31)*$H$27*$R$1313)</f>
        <v>0</v>
      </c>
      <c r="V1350">
        <f>IF(S1350=0,0,$V$1313*$H$26*$R$1313)</f>
        <v>0</v>
      </c>
      <c r="W1350">
        <f>(0.6*T1350+0.7*U1350)*$R$1313/2</f>
        <v>0</v>
      </c>
      <c r="X1350">
        <f>T1350*$R$1313/2</f>
        <v>0</v>
      </c>
      <c r="Z1350">
        <f>IF(S1350=0,0,$AD$1313*$AP$1304)</f>
        <v>0</v>
      </c>
      <c r="AA1350">
        <f>IFERROR(Z1350/$R$1313,0)</f>
        <v>0</v>
      </c>
      <c r="AB1350">
        <f>Z1350*($F$24+IF($F$24=0,0,($C$14+$C$15+IF($C$13="single",1.5,3)+3)/12))</f>
        <v>0</v>
      </c>
      <c r="AC1350">
        <f>AB1350-W1350</f>
        <v>0</v>
      </c>
      <c r="AD1350" cm="1">
        <f t="array" ref="AD1350">IFERROR(IF(AC1350&lt;0,0,AC1350/($R$1313-INDEX(hd_off,MATCH(AQ1350,hd_mark,0),0)/12)),0)</f>
        <v>0</v>
      </c>
      <c r="AE1350">
        <f>IF(S1350=0,0,$AD$1313*$AM$1304)</f>
        <v>0</v>
      </c>
      <c r="AF1350">
        <f>IFERROR(AE1350/$R$1313,0)</f>
        <v>0</v>
      </c>
      <c r="AG1350">
        <f>AE1350*($F$24+IF($F$24=0,0,($C$14+$C$15+IF($C$13="single",1.5,3)+3)/12))</f>
        <v>0</v>
      </c>
      <c r="AH1350">
        <f>AG1350-X1350</f>
        <v>0</v>
      </c>
      <c r="AI1350" cm="1">
        <f t="array" ref="AI1350">IFERROR(IF(AH1350&lt;0,0,AH1350/($R$1313-INDEX(hd_off,MATCH(AQ1350,hd_mark,0),0)/12)),0)</f>
        <v>0</v>
      </c>
      <c r="AJ1350">
        <f>MAX($F$24,$AB$1313)/$Q$1332</f>
        <v>0</v>
      </c>
      <c r="AK1350">
        <f t="shared" si="842"/>
        <v>0</v>
      </c>
      <c r="AL1350" cm="1">
        <f t="array" ref="AL1350">IFERROR(INDEX(sheath_ecap_asd,MATCH(AP1350,sheath_mark,0),0)*AK1350,0)</f>
        <v>0</v>
      </c>
      <c r="AM1350" cm="1">
        <f t="array" ref="AM1350">IFERROR(INDEX(sheath_wcap_asd,MATCH(AP1350,sheath_mark,0),0)*AK1350,0)</f>
        <v>0</v>
      </c>
      <c r="AN1350" cm="1">
        <f t="array" ref="AN1350">IFERROR(INDEX(hd_cap,MATCH(AQ1350,hd_mark,0),0),0)</f>
        <v>0</v>
      </c>
      <c r="AP1350" s="19"/>
      <c r="AQ1350" s="19"/>
      <c r="AR1350" s="100"/>
      <c r="AS1350" s="93"/>
      <c r="AT1350" s="111">
        <f>$R$1313</f>
        <v>0</v>
      </c>
      <c r="AU1350" t="str">
        <f>$Q$1304</f>
        <v>L5</v>
      </c>
      <c r="AV1350">
        <f>$E$24</f>
        <v>0</v>
      </c>
      <c r="AW1350" cm="1">
        <f t="array" ref="AW1350">IFERROR(IF(AV1350=0,0,(INDEX($C$33:$C$38,MATCH($AZ$1313,$B$33:$B$38,0),0)*(AV1351+$BA$1313)+$AW$1313*COUNTIF(AV1350:AV1350,"&gt;0")*$C$32+$AY$1313*$C$31)*$AU$1313),0)</f>
        <v>0</v>
      </c>
      <c r="AX1350">
        <f>IF(AV1350=0,0,-(COUNTIF(AV1350:AV1350,"&gt;0")*$AW$1313*$C$32+$AY$1313*$C$31)*$H$27*$AU$1313)</f>
        <v>0</v>
      </c>
      <c r="AY1350">
        <f>IF(AV1350=0,0,$AY$1313*$H$26*$AU$1313)</f>
        <v>0</v>
      </c>
      <c r="AZ1350">
        <f>(0.6*AW1350+0.7*AX1350)*$AU$1313/2</f>
        <v>0</v>
      </c>
      <c r="BA1350">
        <f>AW1350*$AU$1313/2</f>
        <v>0</v>
      </c>
      <c r="BC1350">
        <f>IF(AV1350=0,0,$BG$1313*$AP$1304)</f>
        <v>0</v>
      </c>
      <c r="BD1350">
        <f>IFERROR(BC1350/$AU$1313,0)</f>
        <v>0</v>
      </c>
      <c r="BE1350">
        <f>BC1350*($F$24+IF($F$24=0,0,($C$14+$C$15+IF($C$13="single",1.5,3)+3)/12))</f>
        <v>0</v>
      </c>
      <c r="BF1350">
        <f>BE1350-AZ1350</f>
        <v>0</v>
      </c>
      <c r="BG1350" cm="1">
        <f t="array" ref="BG1350">IFERROR(IF(BF1350&lt;0,0,BF1350/($AU$1313-INDEX(hd_off,MATCH(BT1350,hd_mark,0),0)/12)),0)</f>
        <v>0</v>
      </c>
      <c r="BH1350">
        <f>IF(AV1350=0,0,$BG$1313*$AM$1304)</f>
        <v>0</v>
      </c>
      <c r="BI1350">
        <f>IFERROR(BH1350/$AU$1313,0)</f>
        <v>0</v>
      </c>
      <c r="BJ1350">
        <f>BH1350*($F$24+IF($F$24=0,0,($C$14+$C$15+IF($C$13="single",1.5,3)+3)/12))</f>
        <v>0</v>
      </c>
      <c r="BK1350">
        <f>BJ1350-BA1350</f>
        <v>0</v>
      </c>
      <c r="BL1350" cm="1">
        <f t="array" ref="BL1350">IFERROR(IF(BK1350&lt;0,0,BK1350/($AU$1313-INDEX(hd_off,MATCH(BT1350,hd_mark,0),0)/12)),0)</f>
        <v>0</v>
      </c>
      <c r="BM1350">
        <f>MAX($F$24,$BE$1313)/$Q$1332</f>
        <v>0</v>
      </c>
      <c r="BN1350">
        <f t="shared" si="843"/>
        <v>0</v>
      </c>
      <c r="BO1350" cm="1">
        <f t="array" ref="BO1350">IFERROR(INDEX(sheath_ecap_asd,MATCH(BS1350,sheath_mark,0),0)*BN1350,0)</f>
        <v>0</v>
      </c>
      <c r="BP1350" cm="1">
        <f t="array" ref="BP1350">IFERROR(INDEX(sheath_wcap_asd,MATCH(BS1350,sheath_mark,0),0)*BN1350,0)</f>
        <v>0</v>
      </c>
      <c r="BQ1350" cm="1">
        <f t="array" ref="BQ1350">IFERROR(INDEX(hd_cap,MATCH(BT1350,hd_mark,0),0),0)</f>
        <v>0</v>
      </c>
      <c r="BS1350" s="19"/>
      <c r="BT1350" s="19"/>
      <c r="BU1350" s="100"/>
    </row>
    <row r="1351" x14ac:dyDescent="0.25">
      <c r="P1351" s="93"/>
      <c r="Q1351" s="109"/>
      <c r="R1351" t="str">
        <f>$Q$1305</f>
        <v>Roof</v>
      </c>
      <c r="S1351">
        <f>$E$25</f>
        <v>33.171875</v>
      </c>
      <c r="T1351" cm="1">
        <f t="array" ref="T1351">IFERROR(IF(S1351=0,0,(INDEX($C$33:$C$38,MATCH($W$1313,$B$33:$B$38,0),0)*(S1351+$X$1313)+$V$1313*$C$31)*$R$1313),0)</f>
        <v>0</v>
      </c>
      <c r="U1351">
        <f>IF(S1351=0,0,-$V$1313*$C$31*$H$27*$R$1313)</f>
        <v>0</v>
      </c>
      <c r="V1351">
        <f>IF(S1351=0,0,$V$1313*$H$26*$R$1313)</f>
        <v>0</v>
      </c>
      <c r="W1351">
        <f>(0.6*T1351+0.7*U1351)*$R$1313/2</f>
        <v>0</v>
      </c>
      <c r="X1351">
        <f>T1351*$R$1313/2</f>
        <v>0</v>
      </c>
      <c r="Z1351">
        <f>IF(S1351=0,0,$AD$1313*$AP$1305)</f>
        <v>0</v>
      </c>
      <c r="AA1351">
        <f>IFERROR(Z1351/$R$1313,0)</f>
        <v>0</v>
      </c>
      <c r="AB1351">
        <f>Z1351*($F$25+($C$16+$C$17+IF($C$13="single",1.5,3)+3)/12)</f>
        <v>0</v>
      </c>
      <c r="AC1351">
        <f>AB1351-W1351</f>
        <v>0</v>
      </c>
      <c r="AD1351" cm="1">
        <f t="array" ref="AD1351">IFERROR(IF(AC1351&lt;0,0,AC1351/($R$1313-INDEX(hd_off,MATCH(AQ1351,hd_mark,0),0)/12)),0)</f>
        <v>0</v>
      </c>
      <c r="AE1351">
        <f>IF(S1351=0,0,$AD$1313*$AM$1305)</f>
        <v>0</v>
      </c>
      <c r="AF1351">
        <f>IFERROR(AE1351/$R$1313,0)</f>
        <v>0</v>
      </c>
      <c r="AG1351">
        <f>AE1351*($F$25+($C$16+$C$17+IF($C$13="single",1.5,3)+3)/12)</f>
        <v>0</v>
      </c>
      <c r="AH1351">
        <f>AG1351-X1351</f>
        <v>0</v>
      </c>
      <c r="AI1351" cm="1">
        <f t="array" ref="AI1351">IFERROR(IF(AH1351&lt;0,0,AH1351/($R$1313-INDEX(hd_off,MATCH(AQ1351,hd_mark,0),0)/12)),0)</f>
        <v>0</v>
      </c>
      <c r="AJ1351">
        <f>MAX($F$25,$AC$1313)/$Q$1332</f>
        <v>0.29920977011494249</v>
      </c>
      <c r="AK1351">
        <f t="shared" si="842"/>
        <v>1</v>
      </c>
      <c r="AL1351" cm="1">
        <f t="array" ref="AL1351">IFERROR(INDEX(sheath_ecap_asd,MATCH(AP1351,sheath_mark,0),0)*AK1351,0)</f>
        <v>0</v>
      </c>
      <c r="AM1351" cm="1">
        <f t="array" ref="AM1351">IFERROR(INDEX(sheath_wcap_asd,MATCH(AP1351,sheath_mark,0),0)*AK1351,0)</f>
        <v>0</v>
      </c>
      <c r="AN1351" cm="1">
        <f t="array" ref="AN1351">IFERROR(INDEX(hd_cap,MATCH(AQ1351,hd_mark,0),0),0)</f>
        <v>0</v>
      </c>
      <c r="AP1351" s="19"/>
      <c r="AQ1351" s="19"/>
      <c r="AR1351" s="100"/>
      <c r="AS1351" s="93"/>
      <c r="AT1351" s="109"/>
      <c r="AU1351" t="str">
        <f>$Q$1305</f>
        <v>Roof</v>
      </c>
      <c r="AV1351">
        <f>$E$25</f>
        <v>33.171875</v>
      </c>
      <c r="AW1351" cm="1">
        <f t="array" ref="AW1351">IFERROR(IF(AV1351=0,0,(INDEX($C$33:$C$38,MATCH($AZ$1313,$B$33:$B$38,0),0)*(AV1351+$BA$1313)+$AY$1313*$C$31)*$AU$1313),0)</f>
        <v>0</v>
      </c>
      <c r="AX1351">
        <f>IF(AV1351=0,0,-$AY$1313*$C$31*$H$27*$AU$1313)</f>
        <v>0</v>
      </c>
      <c r="AY1351">
        <f>IF(AV1351=0,0,$AY$1313*$H$26*$AU$1313)</f>
        <v>0</v>
      </c>
      <c r="AZ1351">
        <f>(0.6*AW1351+0.7*AX1351)*$AU$1313/2</f>
        <v>0</v>
      </c>
      <c r="BA1351">
        <f>AW1351*$AU$1313/2</f>
        <v>0</v>
      </c>
      <c r="BC1351">
        <f>IF(AV1351=0,0,$BG$1313*$AP$1305)</f>
        <v>0</v>
      </c>
      <c r="BD1351">
        <f>IFERROR(BC1351/$AU$1313,0)</f>
        <v>0</v>
      </c>
      <c r="BE1351">
        <f>BC1351*($F$25+($C$16+$C$17+IF($C$13="single",1.5,3)+3)/12)</f>
        <v>0</v>
      </c>
      <c r="BF1351">
        <f>BE1351-AZ1351</f>
        <v>0</v>
      </c>
      <c r="BG1351" cm="1">
        <f t="array" ref="BG1351">IFERROR(IF(BF1351&lt;0,0,BF1351/($AU$1313-INDEX(hd_off,MATCH(BT1351,hd_mark,0),0)/12)),0)</f>
        <v>0</v>
      </c>
      <c r="BH1351">
        <f>IF(AV1351=0,0,$BG$1313*$AM$1305)</f>
        <v>0</v>
      </c>
      <c r="BI1351">
        <f>IFERROR(BH1351/$AU$1313,0)</f>
        <v>0</v>
      </c>
      <c r="BJ1351">
        <f>BH1351*($F$25+($C$16+$C$17+IF($C$13="single",1.5,3)+3)/12)</f>
        <v>0</v>
      </c>
      <c r="BK1351">
        <f>BJ1351-BA1351</f>
        <v>0</v>
      </c>
      <c r="BL1351" cm="1">
        <f t="array" ref="BL1351">IFERROR(IF(BK1351&lt;0,0,BK1351/($AU$1313-INDEX(hd_off,MATCH(BT1351,hd_mark,0),0)/12)),0)</f>
        <v>0</v>
      </c>
      <c r="BM1351">
        <f>MAX($F$25,$BF$1313)/$Q$1332</f>
        <v>0.29920977011494249</v>
      </c>
      <c r="BN1351">
        <f t="shared" si="843"/>
        <v>1</v>
      </c>
      <c r="BO1351" cm="1">
        <f t="array" ref="BO1351">IFERROR(INDEX(sheath_ecap_asd,MATCH(BS1351,sheath_mark,0),0)*BN1351,0)</f>
        <v>0</v>
      </c>
      <c r="BP1351" cm="1">
        <f t="array" ref="BP1351">IFERROR(INDEX(sheath_wcap_asd,MATCH(BS1351,sheath_mark,0),0)*BN1351,0)</f>
        <v>0</v>
      </c>
      <c r="BQ1351" cm="1">
        <f t="array" ref="BQ1351">IFERROR(INDEX(hd_cap,MATCH(BT1351,hd_mark,0),0),0)</f>
        <v>0</v>
      </c>
      <c r="BS1351" s="19"/>
      <c r="BT1351" s="19"/>
      <c r="BU1351" s="100"/>
    </row>
    <row r="1352" x14ac:dyDescent="0.25">
      <c r="P1352" s="93"/>
      <c r="AR1352" s="100"/>
      <c r="AS1352" s="93"/>
      <c r="BU1352" s="100"/>
    </row>
    <row r="1353" x14ac:dyDescent="0.25">
      <c r="P1353" s="93"/>
      <c r="Q1353" s="110" t="str">
        <f>$Q$1314</f>
        <v>A.05</v>
      </c>
      <c r="R1353" t="str">
        <f>$Q$1301</f>
        <v>L2</v>
      </c>
      <c r="S1353">
        <f>$E$21</f>
        <v>10.6875</v>
      </c>
      <c r="T1353" cm="1">
        <f t="array" ref="T1353">IFERROR(IF(S1353=0,0,(INDEX($C$33:$C$38,MATCH($W$1314,$B$33:$B$38,0),0)*(S1357+$X$1314)+$T$1314*COUNTIF(S1353:S1356,"&gt;0")*$C$32+$V$1314*$C$31)*$R$1314),0)</f>
        <v>0</v>
      </c>
      <c r="U1353">
        <f>IF(S1353=0,0,-(COUNTIF(S1353:S1356,"&gt;0")*$T$1314*$C$32+$V$1314*$C$31)*$H$27*$R$1314)</f>
        <v>0</v>
      </c>
      <c r="V1353">
        <f>IF(S1353=0,0,$V$1314*$H$26*$R$1314)</f>
        <v>0</v>
      </c>
      <c r="W1353">
        <f>(0.6*T1353+0.7*U1353)*$R$1314/2</f>
        <v>0</v>
      </c>
      <c r="X1353">
        <f>(0.6*T1353+0.6*V1353)*$R$1314/2</f>
        <v>0</v>
      </c>
      <c r="Z1353">
        <f>IF(S1353=0,0,$AD$1314*$AP$1301)</f>
        <v>0</v>
      </c>
      <c r="AA1353">
        <f>IFERROR(Z1353/$R$1314,0)</f>
        <v>0</v>
      </c>
      <c r="AB1353">
        <f>Z1353*($F$21+IF($F$21=0,0,($C$14+$C$15+IF($C$13="single",1.5,3)+3)/12))</f>
        <v>0</v>
      </c>
      <c r="AC1353">
        <f>AB1353-W1353</f>
        <v>0</v>
      </c>
      <c r="AD1353" cm="1">
        <f t="array" ref="AD1353">IFERROR(IF(AC1353&lt;0,0,AC1353/($R$1314-INDEX(hd_off,MATCH(AQ1353,hd_mark,0),0)/12)),0)</f>
        <v>0</v>
      </c>
      <c r="AE1353">
        <f>IF(S1353=0,0,$AD$1314*$AM$1301)</f>
        <v>0</v>
      </c>
      <c r="AF1353">
        <f>IFERROR(AE1353/$R$1314,0)</f>
        <v>0</v>
      </c>
      <c r="AG1353">
        <f>AE1353*($F$21+IF($F$21=0,0,($C$14+$C$15+IF($C$13="single",1.5,3)+3)/12))</f>
        <v>0</v>
      </c>
      <c r="AH1353">
        <f>AG1353-X1353</f>
        <v>0</v>
      </c>
      <c r="AI1353" cm="1">
        <f t="array" ref="AI1353">IFERROR(IF(AH1353&lt;0,0,AH1353/($R$1314-INDEX(hd_off,MATCH(AQ1353,hd_mark,0),0)/12)),0)</f>
        <v>0</v>
      </c>
      <c r="AJ1353">
        <f>MAX($F$21,$Y$1314)/$Q$1332</f>
        <v>0.30172413793103448</v>
      </c>
      <c r="AK1353">
        <f>IF(AJ1353=0,0,IF(AJ1353&gt;2,1.25-0.125*AJ1353,1))</f>
        <v>1</v>
      </c>
      <c r="AL1353" cm="1">
        <f t="array" ref="AL1353">IFERROR(INDEX(sheath_ecap_asd,MATCH(AP1353,sheath_mark,0),0)*AK1353,0)</f>
        <v>0</v>
      </c>
      <c r="AM1353" cm="1">
        <f t="array" ref="AM1353">IFERROR(INDEX(sheath_wcap_asd,MATCH(AP1353,sheath_mark,0),0)*AK1353,0)</f>
        <v>0</v>
      </c>
      <c r="AN1353" cm="1">
        <f t="array" ref="AN1353">IFERROR(INDEX(hd_cap,MATCH(AQ1353,hd_mark,0),0),0)</f>
        <v>0</v>
      </c>
      <c r="AP1353" s="19"/>
      <c r="AQ1353" s="19"/>
      <c r="AR1353" s="100"/>
      <c r="AS1353" s="93"/>
      <c r="AT1353" s="110" t="str">
        <f>$AT$1314</f>
        <v>1.05</v>
      </c>
      <c r="AU1353" t="str">
        <f>$Q$1301</f>
        <v>L2</v>
      </c>
      <c r="AV1353">
        <f>$E$21</f>
        <v>10.6875</v>
      </c>
      <c r="AW1353" cm="1">
        <f t="array" ref="AW1353">IFERROR(IF(AV1353=0,0,(INDEX($C$33:$C$38,MATCH($AZ$1314,$B$33:$B$38,0),0)*(AV1357+$BA$1314)+$AW$1314*COUNTIF(AV1353:AV1356,"&gt;0")*$C$32+$AY$1314*$C$31)*$AU$1314),0)</f>
        <v>0</v>
      </c>
      <c r="AX1353">
        <f>IF(AV1353=0,0,-(COUNTIF(AV1353:AV1356,"&gt;0")*$AW$1314*$C$32+$AY$1314*$C$31)*$H$27*$AU$1314)</f>
        <v>0</v>
      </c>
      <c r="AY1353">
        <f>IF(AV1353=0,0,$AY$1314*$H$26*$AU$1314)</f>
        <v>0</v>
      </c>
      <c r="AZ1353">
        <f>(0.6*AW1353+0.7*AX1353)*$AU$1314/2</f>
        <v>0</v>
      </c>
      <c r="BA1353">
        <f>(0.6*AW1353+0.6*AY1353)*$AU$1314/2</f>
        <v>0</v>
      </c>
      <c r="BC1353">
        <f>IF(AV1353=0,0,$BG$1314*$AP$1301)</f>
        <v>0</v>
      </c>
      <c r="BD1353">
        <f>IFERROR(BC1353/$AU$1314,0)</f>
        <v>0</v>
      </c>
      <c r="BE1353">
        <f>BC1353*($F$21+IF($F$21=0,0,($C$14+$C$15+IF($C$13="single",1.5,3)+3)/12))</f>
        <v>0</v>
      </c>
      <c r="BF1353">
        <f>BE1353-AZ1353</f>
        <v>0</v>
      </c>
      <c r="BG1353" cm="1">
        <f t="array" ref="BG1353">IFERROR(IF(BF1353&lt;0,0,BF1353/($AU$1314-INDEX(hd_off,MATCH(BT1353,hd_mark,0),0)/12)),0)</f>
        <v>0</v>
      </c>
      <c r="BH1353">
        <f>IF(AV1353=0,0,$BG$1314*$AM$1301)</f>
        <v>0</v>
      </c>
      <c r="BI1353">
        <f>IFERROR(BH1353/$AU$1314,0)</f>
        <v>0</v>
      </c>
      <c r="BJ1353">
        <f>BH1353*($F$21+IF($F$21=0,0,($C$14+$C$15+IF($C$13="single",1.5,3)+3)/12))</f>
        <v>0</v>
      </c>
      <c r="BK1353">
        <f>BJ1353-BA1353</f>
        <v>0</v>
      </c>
      <c r="BL1353" cm="1">
        <f t="array" ref="BL1353">IFERROR(IF(BK1353&lt;0,0,BK1353/($AU$1314-INDEX(hd_off,MATCH(BT1353,hd_mark,0),0)/12)),0)</f>
        <v>0</v>
      </c>
      <c r="BM1353">
        <f>MAX($F$21,$BB$1314)/$Q$1332</f>
        <v>0.30172413793103448</v>
      </c>
      <c r="BN1353">
        <f>IF(BM1353=0,0,IF(BM1353&gt;2,1.25-0.125*BM1353,1))</f>
        <v>1</v>
      </c>
      <c r="BO1353" cm="1">
        <f t="array" ref="BO1353">IFERROR(INDEX(sheath_ecap_asd,MATCH(BS1353,sheath_mark,0),0)*BN1353,0)</f>
        <v>0</v>
      </c>
      <c r="BP1353" cm="1">
        <f t="array" ref="BP1353">IFERROR(INDEX(sheath_wcap_asd,MATCH(BS1353,sheath_mark,0),0)*BN1353,0)</f>
        <v>0</v>
      </c>
      <c r="BQ1353" cm="1">
        <f t="array" ref="BQ1353">IFERROR(INDEX(hd_cap,MATCH(BT1353,hd_mark,0),0),0)</f>
        <v>0</v>
      </c>
      <c r="BS1353" s="19"/>
      <c r="BT1353" s="19"/>
      <c r="BU1353" s="100"/>
    </row>
    <row r="1354" x14ac:dyDescent="0.25">
      <c r="B1354" s="1"/>
      <c r="P1354" s="93"/>
      <c r="Q1354" s="109"/>
      <c r="R1354" t="str">
        <f>$Q$1302</f>
        <v>L3</v>
      </c>
      <c r="S1354">
        <f>$E$22</f>
        <v>21.375</v>
      </c>
      <c r="T1354" cm="1">
        <f t="array" ref="T1354">IFERROR(IF(S1354=0,0,(INDEX($C$33:$C$38,MATCH($W$1314,$B$33:$B$38,0),0)*(S1357+$X$1314)+$T$1314*COUNTIF(S1354:S1356,"&gt;0")*$C$32+$V$1314*$C$31)*$R$1314),0)</f>
        <v>0</v>
      </c>
      <c r="U1354">
        <f>IF(S1354=0,0,-(COUNTIF(S1354:S1356,"&gt;0")*$T$1314*$C$32+$V$1314*$C$31)*$H$27*$R$1314)</f>
        <v>0</v>
      </c>
      <c r="V1354">
        <f>IF(S1354=0,0,$V$1314*$H$26*$R$1314)</f>
        <v>0</v>
      </c>
      <c r="W1354">
        <f>(0.6*T1354+0.7*U1354)*$R$1314/2</f>
        <v>0</v>
      </c>
      <c r="X1354">
        <f>T1354*$R$1314/2</f>
        <v>0</v>
      </c>
      <c r="Z1354">
        <f>IF(S1354=0,0,$AD$1314*$AP$1302)</f>
        <v>0</v>
      </c>
      <c r="AA1354">
        <f>IFERROR(Z1354/$R$1314,0)</f>
        <v>0</v>
      </c>
      <c r="AB1354">
        <f>Z1354*($F$22+IF($F$22=0,0,($C$14+$C$15+IF($C$13="single",1.5,3)+3)/12))</f>
        <v>0</v>
      </c>
      <c r="AC1354">
        <f>AB1354-W1354</f>
        <v>0</v>
      </c>
      <c r="AD1354" cm="1">
        <f t="array" ref="AD1354">IFERROR(IF(AC1354&lt;0,0,AC1354/($R$1314-INDEX(hd_off,MATCH(AQ1354,hd_mark,0),0)/12)),0)</f>
        <v>0</v>
      </c>
      <c r="AE1354">
        <f>IF(S1354=0,0,$AD$1314*$AM$1302)</f>
        <v>0</v>
      </c>
      <c r="AF1354">
        <f>IFERROR(AE1354/$R$1314,0)</f>
        <v>0</v>
      </c>
      <c r="AG1354">
        <f>AE1354*($F$22+IF($F$22=0,0,($C$14+$C$15+IF($C$13="single",1.5,3)+3)/12))</f>
        <v>0</v>
      </c>
      <c r="AH1354">
        <f>AG1354-X1354</f>
        <v>0</v>
      </c>
      <c r="AI1354" cm="1">
        <f t="array" ref="AI1354">IFERROR(IF(AH1354&lt;0,0,AH1354/($R$1314-INDEX(hd_off,MATCH(AQ1354,hd_mark,0),0)/12)),0)</f>
        <v>0</v>
      </c>
      <c r="AJ1354">
        <f>MAX($F$22,$Z$1314)/$Q$1332</f>
        <v>0.30172413793103448</v>
      </c>
      <c r="AK1354">
        <f t="shared" ref="AK1354:AK1357" si="844">IF(AJ1354=0,0,IF(AJ1354&gt;2,1.25-0.125*AJ1354,1))</f>
        <v>1</v>
      </c>
      <c r="AL1354" cm="1">
        <f t="array" ref="AL1354">IFERROR(INDEX(sheath_ecap_asd,MATCH(AP1354,sheath_mark,0),0)*AK1354,0)</f>
        <v>0</v>
      </c>
      <c r="AM1354" cm="1">
        <f t="array" ref="AM1354">IFERROR(INDEX(sheath_wcap_asd,MATCH(AP1354,sheath_mark,0),0)*AK1354,0)</f>
        <v>0</v>
      </c>
      <c r="AN1354" cm="1">
        <f t="array" ref="AN1354">IFERROR(INDEX(hd_cap,MATCH(AQ1354,hd_mark,0),0),0)</f>
        <v>0</v>
      </c>
      <c r="AP1354" s="19"/>
      <c r="AQ1354" s="19"/>
      <c r="AR1354" s="100"/>
      <c r="AS1354" s="93"/>
      <c r="AT1354" s="109"/>
      <c r="AU1354" t="str">
        <f>$Q$1302</f>
        <v>L3</v>
      </c>
      <c r="AV1354">
        <f>$E$22</f>
        <v>21.375</v>
      </c>
      <c r="AW1354" cm="1">
        <f t="array" ref="AW1354">IFERROR(IF(AV1354=0,0,(INDEX($C$33:$C$38,MATCH($AZ$1314,$B$33:$B$38,0),0)*(AV1357+$BA$1314)+$AW$1314*COUNTIF(AV1354:AV1356,"&gt;0")*$C$32+$AY$1314*$C$31)*$AU$1314),0)</f>
        <v>0</v>
      </c>
      <c r="AX1354">
        <f>IF(AV1354=0,0,-(COUNTIF(AV1354:AV1356,"&gt;0")*$AW$1314*$C$32+$AY$1314*$C$31)*$H$27*$AU$1314)</f>
        <v>0</v>
      </c>
      <c r="AY1354">
        <f>IF(AV1354=0,0,$AY$1314*$H$26*$AU$1314)</f>
        <v>0</v>
      </c>
      <c r="AZ1354">
        <f>(0.6*AW1354+0.7*AX1354)*$AU$1314/2</f>
        <v>0</v>
      </c>
      <c r="BA1354">
        <f>AW1354*$AU$1314/2</f>
        <v>0</v>
      </c>
      <c r="BC1354">
        <f>IF(AV1354=0,0,$BG$1314*$AP$1302)</f>
        <v>0</v>
      </c>
      <c r="BD1354">
        <f>IFERROR(BC1354/$AU$1314,0)</f>
        <v>0</v>
      </c>
      <c r="BE1354">
        <f>BC1354*($F$22+IF($F$22=0,0,($C$14+$C$15+IF($C$13="single",1.5,3)+3)/12))</f>
        <v>0</v>
      </c>
      <c r="BF1354">
        <f>BE1354-AZ1354</f>
        <v>0</v>
      </c>
      <c r="BG1354" cm="1">
        <f t="array" ref="BG1354">IFERROR(IF(BF1354&lt;0,0,BF1354/($AU$1314-INDEX(hd_off,MATCH(BT1354,hd_mark,0),0)/12)),0)</f>
        <v>0</v>
      </c>
      <c r="BH1354">
        <f>IF(AV1354=0,0,$BG$1314*$AM$1302)</f>
        <v>0</v>
      </c>
      <c r="BI1354">
        <f>IFERROR(BH1354/$AU$1314,0)</f>
        <v>0</v>
      </c>
      <c r="BJ1354">
        <f>BH1354*($F$22+IF($F$22=0,0,($C$14+$C$15+IF($C$13="single",1.5,3)+3)/12))</f>
        <v>0</v>
      </c>
      <c r="BK1354">
        <f>BJ1354-BA1354</f>
        <v>0</v>
      </c>
      <c r="BL1354" cm="1">
        <f t="array" ref="BL1354">IFERROR(IF(BK1354&lt;0,0,BK1354/($AU$1314-INDEX(hd_off,MATCH(BT1354,hd_mark,0),0)/12)),0)</f>
        <v>0</v>
      </c>
      <c r="BM1354">
        <f>MAX($F$22,$BC$1314)/$Q$1332</f>
        <v>0.30172413793103448</v>
      </c>
      <c r="BN1354">
        <f t="shared" ref="BN1354:BN1357" si="845">IF(BM1354=0,0,IF(BM1354&gt;2,1.25-0.125*BM1354,1))</f>
        <v>1</v>
      </c>
      <c r="BO1354" cm="1">
        <f t="array" ref="BO1354">IFERROR(INDEX(sheath_ecap_asd,MATCH(BS1354,sheath_mark,0),0)*BN1354,0)</f>
        <v>0</v>
      </c>
      <c r="BP1354" cm="1">
        <f t="array" ref="BP1354">IFERROR(INDEX(sheath_wcap_asd,MATCH(BS1354,sheath_mark,0),0)*BN1354,0)</f>
        <v>0</v>
      </c>
      <c r="BQ1354" cm="1">
        <f t="array" ref="BQ1354">IFERROR(INDEX(hd_cap,MATCH(BT1354,hd_mark,0),0),0)</f>
        <v>0</v>
      </c>
      <c r="BS1354" s="19"/>
      <c r="BT1354" s="19"/>
      <c r="BU1354" s="100"/>
    </row>
    <row r="1355" x14ac:dyDescent="0.25">
      <c r="P1355" s="93"/>
      <c r="Q1355" s="109" t="s">
        <v>491</v>
      </c>
      <c r="R1355" t="str">
        <f>$Q$1303</f>
        <v>L4</v>
      </c>
      <c r="S1355">
        <f>$E$23</f>
        <v>0</v>
      </c>
      <c r="T1355" cm="1">
        <f t="array" ref="T1355">IFERROR(IF(S1355=0,0,(INDEX($C$33:$C$38,MATCH($W$1314,$B$33:$B$38,0),0)*(S1357+$X$1314)+$T$1314*COUNTIF(S1355:S1356,"&gt;0")*$C$32+$V$1314*$C$31)*$R$1314),0)</f>
        <v>0</v>
      </c>
      <c r="U1355">
        <f>IF(S1355=0,0,-(COUNTIF(S1355:S1356,"&gt;0")*$T$1314*$C$32+$V$1314*$C$31)*$H$27*$R$1314)</f>
        <v>0</v>
      </c>
      <c r="V1355">
        <f>IF(S1355=0,0,$V$1314*$H$26*$R$1314)</f>
        <v>0</v>
      </c>
      <c r="W1355">
        <f>(0.6*T1355+0.7*U1355)*$R$1314/2</f>
        <v>0</v>
      </c>
      <c r="X1355">
        <f>T1355*$R$1314/2</f>
        <v>0</v>
      </c>
      <c r="Z1355">
        <f>IF(S1355=0,0,$AD$1314*$AP$1303)</f>
        <v>0</v>
      </c>
      <c r="AA1355">
        <f>IFERROR(Z1355/$R$1314,0)</f>
        <v>0</v>
      </c>
      <c r="AB1355">
        <f>Z1355*($F$23+IF($F$23=0,0,($C$14+$C$15+IF($C$13="single",1.5,3)+3)/12))</f>
        <v>0</v>
      </c>
      <c r="AC1355">
        <f>AB1355-W1355</f>
        <v>0</v>
      </c>
      <c r="AD1355" cm="1">
        <f t="array" ref="AD1355">IFERROR(IF(AC1355&lt;0,0,AC1355/($R$1314-INDEX(hd_off,MATCH(AQ1355,hd_mark,0),0)/12)),0)</f>
        <v>0</v>
      </c>
      <c r="AE1355">
        <f>IF(S1355=0,0,$AD$1314*$AM$1303)</f>
        <v>0</v>
      </c>
      <c r="AF1355">
        <f>IFERROR(AE1355/$R$1314,0)</f>
        <v>0</v>
      </c>
      <c r="AG1355">
        <f>AE1355*($F$23+IF($F$23=0,0,($C$14+$C$15+IF($C$13="single",1.5,3)+3)/12))</f>
        <v>0</v>
      </c>
      <c r="AH1355">
        <f>AG1355-X1355</f>
        <v>0</v>
      </c>
      <c r="AI1355" cm="1">
        <f t="array" ref="AI1355">IFERROR(IF(AH1355&lt;0,0,AH1355/($R$1314-INDEX(hd_off,MATCH(AQ1355,hd_mark,0),0)/12)),0)</f>
        <v>0</v>
      </c>
      <c r="AJ1355">
        <f>MAX($F$23,$AA$1314)/$Q$1332</f>
        <v>0</v>
      </c>
      <c r="AK1355">
        <f t="shared" si="844"/>
        <v>0</v>
      </c>
      <c r="AL1355" cm="1">
        <f t="array" ref="AL1355">IFERROR(INDEX(sheath_ecap_asd,MATCH(AP1355,sheath_mark,0),0)*AK1355,0)</f>
        <v>0</v>
      </c>
      <c r="AM1355" cm="1">
        <f t="array" ref="AM1355">IFERROR(INDEX(sheath_wcap_asd,MATCH(AP1355,sheath_mark,0),0)*AK1355,0)</f>
        <v>0</v>
      </c>
      <c r="AN1355" cm="1">
        <f t="array" ref="AN1355">IFERROR(INDEX(hd_cap,MATCH(AQ1355,hd_mark,0),0),0)</f>
        <v>0</v>
      </c>
      <c r="AP1355" s="19"/>
      <c r="AQ1355" s="19"/>
      <c r="AR1355" s="100"/>
      <c r="AS1355" s="93"/>
      <c r="AT1355" s="109" t="s">
        <v>491</v>
      </c>
      <c r="AU1355" t="str">
        <f>$Q$1303</f>
        <v>L4</v>
      </c>
      <c r="AV1355">
        <f>$E$23</f>
        <v>0</v>
      </c>
      <c r="AW1355" cm="1">
        <f t="array" ref="AW1355">IFERROR(IF(AV1355=0,0,(INDEX($C$33:$C$38,MATCH($AZ$1314,$B$33:$B$38,0),0)*(AV1357+$BA$1314)+$AW$1314*COUNTIF(AV1355:AV1356,"&gt;0")*$C$32+$AY$1314*$C$31)*$AU$1314),0)</f>
        <v>0</v>
      </c>
      <c r="AX1355">
        <f>IF(AV1355=0,0,-(COUNTIF(AV1355:AV1356,"&gt;0")*$AW$1314*$C$32+$AY$1314*$C$31)*$H$27*$AU$1314)</f>
        <v>0</v>
      </c>
      <c r="AY1355">
        <f>IF(AV1355=0,0,$AY$1314*$H$26*$AU$1314)</f>
        <v>0</v>
      </c>
      <c r="AZ1355">
        <f>(0.6*AW1355+0.7*AX1355)*$AU$1314/2</f>
        <v>0</v>
      </c>
      <c r="BA1355">
        <f>AW1355*$AU$1314/2</f>
        <v>0</v>
      </c>
      <c r="BC1355">
        <f>IF(AV1355=0,0,$BG$1314*$AP$1303)</f>
        <v>0</v>
      </c>
      <c r="BD1355">
        <f>IFERROR(BC1355/$AU$1314,0)</f>
        <v>0</v>
      </c>
      <c r="BE1355">
        <f>BC1355*($F$23+IF($F$23=0,0,($C$14+$C$15+IF($C$13="single",1.5,3)+3)/12))</f>
        <v>0</v>
      </c>
      <c r="BF1355">
        <f>BE1355-AZ1355</f>
        <v>0</v>
      </c>
      <c r="BG1355" cm="1">
        <f t="array" ref="BG1355">IFERROR(IF(BF1355&lt;0,0,BF1355/($AU$1314-INDEX(hd_off,MATCH(BT1355,hd_mark,0),0)/12)),0)</f>
        <v>0</v>
      </c>
      <c r="BH1355">
        <f>IF(AV1355=0,0,$BG$1314*$AM$1303)</f>
        <v>0</v>
      </c>
      <c r="BI1355">
        <f>IFERROR(BH1355/$AU$1314,0)</f>
        <v>0</v>
      </c>
      <c r="BJ1355">
        <f>BH1355*($F$23+IF($F$23=0,0,($C$14+$C$15+IF($C$13="single",1.5,3)+3)/12))</f>
        <v>0</v>
      </c>
      <c r="BK1355">
        <f>BJ1355-BA1355</f>
        <v>0</v>
      </c>
      <c r="BL1355" cm="1">
        <f t="array" ref="BL1355">IFERROR(IF(BK1355&lt;0,0,BK1355/($AU$1314-INDEX(hd_off,MATCH(BT1355,hd_mark,0),0)/12)),0)</f>
        <v>0</v>
      </c>
      <c r="BM1355">
        <f>MAX($F$23,$BD$1314)/$Q$1332</f>
        <v>0</v>
      </c>
      <c r="BN1355">
        <f t="shared" si="845"/>
        <v>0</v>
      </c>
      <c r="BO1355" cm="1">
        <f t="array" ref="BO1355">IFERROR(INDEX(sheath_ecap_asd,MATCH(BS1355,sheath_mark,0),0)*BN1355,0)</f>
        <v>0</v>
      </c>
      <c r="BP1355" cm="1">
        <f t="array" ref="BP1355">IFERROR(INDEX(sheath_wcap_asd,MATCH(BS1355,sheath_mark,0),0)*BN1355,0)</f>
        <v>0</v>
      </c>
      <c r="BQ1355" cm="1">
        <f t="array" ref="BQ1355">IFERROR(INDEX(hd_cap,MATCH(BT1355,hd_mark,0),0),0)</f>
        <v>0</v>
      </c>
      <c r="BS1355" s="19"/>
      <c r="BT1355" s="19"/>
      <c r="BU1355" s="100"/>
    </row>
    <row r="1356" x14ac:dyDescent="0.25">
      <c r="P1356" s="93"/>
      <c r="Q1356" s="111">
        <f>$R$1314</f>
        <v>0</v>
      </c>
      <c r="R1356" t="str">
        <f>$Q$1304</f>
        <v>L5</v>
      </c>
      <c r="S1356">
        <f>$E$24</f>
        <v>0</v>
      </c>
      <c r="T1356" cm="1">
        <f t="array" ref="T1356">IFERROR(IF(S1356=0,0,(INDEX($C$33:$C$38,MATCH($W$1314,$B$33:$B$38,0),0)*(S1357+$X$1314)+$T$1314*COUNTIF(S1356:S1356,"&gt;0")*$C$32+$V$1314*$C$31)*$R$1314),0)</f>
        <v>0</v>
      </c>
      <c r="U1356">
        <f>IF(S1356=0,0,-(COUNTIF(S1356:S1356,"&gt;0")*$T$1314*$C$32+$V$1314*$C$31)*$H$27*$R$1314)</f>
        <v>0</v>
      </c>
      <c r="V1356">
        <f>IF(S1356=0,0,$V$1314*$H$26*$R$1314)</f>
        <v>0</v>
      </c>
      <c r="W1356">
        <f>(0.6*T1356+0.7*U1356)*$R$1314/2</f>
        <v>0</v>
      </c>
      <c r="X1356">
        <f>T1356*$R$1314/2</f>
        <v>0</v>
      </c>
      <c r="Z1356">
        <f>IF(S1356=0,0,$AD$1314*$AP$1304)</f>
        <v>0</v>
      </c>
      <c r="AA1356">
        <f>IFERROR(Z1356/$R$1314,0)</f>
        <v>0</v>
      </c>
      <c r="AB1356">
        <f>Z1356*($F$24+IF($F$24=0,0,($C$14+$C$15+IF($C$13="single",1.5,3)+3)/12))</f>
        <v>0</v>
      </c>
      <c r="AC1356">
        <f>AB1356-W1356</f>
        <v>0</v>
      </c>
      <c r="AD1356" cm="1">
        <f t="array" ref="AD1356">IFERROR(IF(AC1356&lt;0,0,AC1356/($R$1314-INDEX(hd_off,MATCH(AQ1356,hd_mark,0),0)/12)),0)</f>
        <v>0</v>
      </c>
      <c r="AE1356">
        <f>IF(S1356=0,0,$AD$1314*$AM$1304)</f>
        <v>0</v>
      </c>
      <c r="AF1356">
        <f>IFERROR(AE1356/$R$1314,0)</f>
        <v>0</v>
      </c>
      <c r="AG1356">
        <f>AE1356*($F$24+IF($F$24=0,0,($C$14+$C$15+IF($C$13="single",1.5,3)+3)/12))</f>
        <v>0</v>
      </c>
      <c r="AH1356">
        <f>AG1356-X1356</f>
        <v>0</v>
      </c>
      <c r="AI1356" cm="1">
        <f t="array" ref="AI1356">IFERROR(IF(AH1356&lt;0,0,AH1356/($R$1314-INDEX(hd_off,MATCH(AQ1356,hd_mark,0),0)/12)),0)</f>
        <v>0</v>
      </c>
      <c r="AJ1356">
        <f>MAX($F$24,$AB$1314)/$Q$1332</f>
        <v>0</v>
      </c>
      <c r="AK1356">
        <f t="shared" si="844"/>
        <v>0</v>
      </c>
      <c r="AL1356" cm="1">
        <f t="array" ref="AL1356">IFERROR(INDEX(sheath_ecap_asd,MATCH(AP1356,sheath_mark,0),0)*AK1356,0)</f>
        <v>0</v>
      </c>
      <c r="AM1356" cm="1">
        <f t="array" ref="AM1356">IFERROR(INDEX(sheath_wcap_asd,MATCH(AP1356,sheath_mark,0),0)*AK1356,0)</f>
        <v>0</v>
      </c>
      <c r="AN1356" cm="1">
        <f t="array" ref="AN1356">IFERROR(INDEX(hd_cap,MATCH(AQ1356,hd_mark,0),0),0)</f>
        <v>0</v>
      </c>
      <c r="AP1356" s="19"/>
      <c r="AQ1356" s="19"/>
      <c r="AR1356" s="100"/>
      <c r="AS1356" s="93"/>
      <c r="AT1356" s="111">
        <f>$R$1314</f>
        <v>0</v>
      </c>
      <c r="AU1356" t="str">
        <f>$Q$1304</f>
        <v>L5</v>
      </c>
      <c r="AV1356">
        <f>$E$24</f>
        <v>0</v>
      </c>
      <c r="AW1356" cm="1">
        <f t="array" ref="AW1356">IFERROR(IF(AV1356=0,0,(INDEX($C$33:$C$38,MATCH($AZ$1314,$B$33:$B$38,0),0)*(AV1357+$BA$1314)+$AW$1314*COUNTIF(AV1356:AV1356,"&gt;0")*$C$32+$AY$1314*$C$31)*$AU$1314),0)</f>
        <v>0</v>
      </c>
      <c r="AX1356">
        <f>IF(AV1356=0,0,-(COUNTIF(AV1356:AV1356,"&gt;0")*$AW$1314*$C$32+$AY$1314*$C$31)*$H$27*$AU$1314)</f>
        <v>0</v>
      </c>
      <c r="AY1356">
        <f>IF(AV1356=0,0,$AY$1314*$H$26*$AU$1314)</f>
        <v>0</v>
      </c>
      <c r="AZ1356">
        <f>(0.6*AW1356+0.7*AX1356)*$AU$1314/2</f>
        <v>0</v>
      </c>
      <c r="BA1356">
        <f>AW1356*$AU$1314/2</f>
        <v>0</v>
      </c>
      <c r="BC1356">
        <f>IF(AV1356=0,0,$BG$1314*$AP$1304)</f>
        <v>0</v>
      </c>
      <c r="BD1356">
        <f>IFERROR(BC1356/$AU$1314,0)</f>
        <v>0</v>
      </c>
      <c r="BE1356">
        <f>BC1356*($F$24+IF($F$24=0,0,($C$14+$C$15+IF($C$13="single",1.5,3)+3)/12))</f>
        <v>0</v>
      </c>
      <c r="BF1356">
        <f>BE1356-AZ1356</f>
        <v>0</v>
      </c>
      <c r="BG1356" cm="1">
        <f t="array" ref="BG1356">IFERROR(IF(BF1356&lt;0,0,BF1356/($AU$1314-INDEX(hd_off,MATCH(BT1356,hd_mark,0),0)/12)),0)</f>
        <v>0</v>
      </c>
      <c r="BH1356">
        <f>IF(AV1356=0,0,$BG$1314*$AM$1304)</f>
        <v>0</v>
      </c>
      <c r="BI1356">
        <f>IFERROR(BH1356/$AU$1314,0)</f>
        <v>0</v>
      </c>
      <c r="BJ1356">
        <f>BH1356*($F$24+IF($F$24=0,0,($C$14+$C$15+IF($C$13="single",1.5,3)+3)/12))</f>
        <v>0</v>
      </c>
      <c r="BK1356">
        <f>BJ1356-BA1356</f>
        <v>0</v>
      </c>
      <c r="BL1356" cm="1">
        <f t="array" ref="BL1356">IFERROR(IF(BK1356&lt;0,0,BK1356/($AU$1314-INDEX(hd_off,MATCH(BT1356,hd_mark,0),0)/12)),0)</f>
        <v>0</v>
      </c>
      <c r="BM1356">
        <f>MAX($F$24,$BE$1314)/$Q$1332</f>
        <v>0</v>
      </c>
      <c r="BN1356">
        <f t="shared" si="845"/>
        <v>0</v>
      </c>
      <c r="BO1356" cm="1">
        <f t="array" ref="BO1356">IFERROR(INDEX(sheath_ecap_asd,MATCH(BS1356,sheath_mark,0),0)*BN1356,0)</f>
        <v>0</v>
      </c>
      <c r="BP1356" cm="1">
        <f t="array" ref="BP1356">IFERROR(INDEX(sheath_wcap_asd,MATCH(BS1356,sheath_mark,0),0)*BN1356,0)</f>
        <v>0</v>
      </c>
      <c r="BQ1356" cm="1">
        <f t="array" ref="BQ1356">IFERROR(INDEX(hd_cap,MATCH(BT1356,hd_mark,0),0),0)</f>
        <v>0</v>
      </c>
      <c r="BS1356" s="19"/>
      <c r="BT1356" s="19"/>
      <c r="BU1356" s="100"/>
    </row>
    <row r="1357" x14ac:dyDescent="0.25">
      <c r="P1357" s="93"/>
      <c r="Q1357" s="109"/>
      <c r="R1357" t="str">
        <f>$Q$1305</f>
        <v>Roof</v>
      </c>
      <c r="S1357">
        <f>$E$25</f>
        <v>33.171875</v>
      </c>
      <c r="T1357" cm="1">
        <f t="array" ref="T1357">IFERROR(IF(S1357=0,0,(INDEX($C$33:$C$38,MATCH($W$1314,$B$33:$B$38,0),0)*(S1357+$X$1314)+$V$1314*$C$31)*$R$1314),0)</f>
        <v>0</v>
      </c>
      <c r="U1357">
        <f>IF(S1357=0,0,-$V$1314*$C$31*$H$27*$R$1314)</f>
        <v>0</v>
      </c>
      <c r="V1357">
        <f>IF(S1357=0,0,$V$1314*$H$26*$R$1314)</f>
        <v>0</v>
      </c>
      <c r="W1357">
        <f>(0.6*T1357+0.7*U1357)*$R$1314/2</f>
        <v>0</v>
      </c>
      <c r="X1357">
        <f>T1357*$R$1314/2</f>
        <v>0</v>
      </c>
      <c r="Z1357">
        <f>IF(S1357=0,0,$AD$1314*$AP$1305)</f>
        <v>0</v>
      </c>
      <c r="AA1357">
        <f>IFERROR(Z1357/$R$1314,0)</f>
        <v>0</v>
      </c>
      <c r="AB1357">
        <f>Z1357*($F$25+($C$16+$C$17+IF($C$13="single",1.5,3)+3)/12)</f>
        <v>0</v>
      </c>
      <c r="AC1357">
        <f>AB1357-W1357</f>
        <v>0</v>
      </c>
      <c r="AD1357" cm="1">
        <f t="array" ref="AD1357">IFERROR(IF(AC1357&lt;0,0,AC1357/($R$1314-INDEX(hd_off,MATCH(AQ1357,hd_mark,0),0)/12)),0)</f>
        <v>0</v>
      </c>
      <c r="AE1357">
        <f>IF(S1357=0,0,$AD$1314*$AM$1305)</f>
        <v>0</v>
      </c>
      <c r="AF1357">
        <f>IFERROR(AE1357/$R$1314,0)</f>
        <v>0</v>
      </c>
      <c r="AG1357">
        <f>AE1357*($F$25+($C$16+$C$17+IF($C$13="single",1.5,3)+3)/12)</f>
        <v>0</v>
      </c>
      <c r="AH1357">
        <f>AG1357-X1357</f>
        <v>0</v>
      </c>
      <c r="AI1357" cm="1">
        <f t="array" ref="AI1357">IFERROR(IF(AH1357&lt;0,0,AH1357/($R$1314-INDEX(hd_off,MATCH(AQ1357,hd_mark,0),0)/12)),0)</f>
        <v>0</v>
      </c>
      <c r="AJ1357">
        <f>MAX($F$25,$AC$1314)/$Q$1332</f>
        <v>0.29920977011494249</v>
      </c>
      <c r="AK1357">
        <f t="shared" si="844"/>
        <v>1</v>
      </c>
      <c r="AL1357" cm="1">
        <f t="array" ref="AL1357">IFERROR(INDEX(sheath_ecap_asd,MATCH(AP1357,sheath_mark,0),0)*AK1357,0)</f>
        <v>0</v>
      </c>
      <c r="AM1357" cm="1">
        <f t="array" ref="AM1357">IFERROR(INDEX(sheath_wcap_asd,MATCH(AP1357,sheath_mark,0),0)*AK1357,0)</f>
        <v>0</v>
      </c>
      <c r="AN1357" cm="1">
        <f t="array" ref="AN1357">IFERROR(INDEX(hd_cap,MATCH(AQ1357,hd_mark,0),0),0)</f>
        <v>0</v>
      </c>
      <c r="AP1357" s="19"/>
      <c r="AQ1357" s="19"/>
      <c r="AR1357" s="100"/>
      <c r="AS1357" s="93"/>
      <c r="AT1357" s="109"/>
      <c r="AU1357" t="str">
        <f>$Q$1305</f>
        <v>Roof</v>
      </c>
      <c r="AV1357">
        <f>$E$25</f>
        <v>33.171875</v>
      </c>
      <c r="AW1357" cm="1">
        <f t="array" ref="AW1357">IFERROR(IF(AV1357=0,0,(INDEX($C$33:$C$38,MATCH($AZ$1314,$B$33:$B$38,0),0)*(AV1357+$BA$1314)+$AY$1314*$C$31)*$AU$1314),0)</f>
        <v>0</v>
      </c>
      <c r="AX1357">
        <f>IF(AV1357=0,0,-$AY$1314*$C$31*$H$27*$AU$1314)</f>
        <v>0</v>
      </c>
      <c r="AY1357">
        <f>IF(AV1357=0,0,$AY$1314*$H$26*$AU$1314)</f>
        <v>0</v>
      </c>
      <c r="AZ1357">
        <f>(0.6*AW1357+0.7*AX1357)*$AU$1314/2</f>
        <v>0</v>
      </c>
      <c r="BA1357">
        <f>AW1357*$AU$1314/2</f>
        <v>0</v>
      </c>
      <c r="BC1357">
        <f>IF(AV1357=0,0,$BG$1314*$AP$1305)</f>
        <v>0</v>
      </c>
      <c r="BD1357">
        <f>IFERROR(BC1357/$AU$1314,0)</f>
        <v>0</v>
      </c>
      <c r="BE1357">
        <f>BC1357*($F$25+($C$16+$C$17+IF($C$13="single",1.5,3)+3)/12)</f>
        <v>0</v>
      </c>
      <c r="BF1357">
        <f>BE1357-AZ1357</f>
        <v>0</v>
      </c>
      <c r="BG1357" cm="1">
        <f t="array" ref="BG1357">IFERROR(IF(BF1357&lt;0,0,BF1357/($AU$1314-INDEX(hd_off,MATCH(BT1357,hd_mark,0),0)/12)),0)</f>
        <v>0</v>
      </c>
      <c r="BH1357">
        <f>IF(AV1357=0,0,$BG$1314*$AM$1305)</f>
        <v>0</v>
      </c>
      <c r="BI1357">
        <f>IFERROR(BH1357/$AU$1314,0)</f>
        <v>0</v>
      </c>
      <c r="BJ1357">
        <f>BH1357*($F$25+($C$16+$C$17+IF($C$13="single",1.5,3)+3)/12)</f>
        <v>0</v>
      </c>
      <c r="BK1357">
        <f>BJ1357-BA1357</f>
        <v>0</v>
      </c>
      <c r="BL1357" cm="1">
        <f t="array" ref="BL1357">IFERROR(IF(BK1357&lt;0,0,BK1357/($AU$1314-INDEX(hd_off,MATCH(BT1357,hd_mark,0),0)/12)),0)</f>
        <v>0</v>
      </c>
      <c r="BM1357">
        <f>MAX($F$25,$BF$1314)/$Q$1332</f>
        <v>0.29920977011494249</v>
      </c>
      <c r="BN1357">
        <f t="shared" si="845"/>
        <v>1</v>
      </c>
      <c r="BO1357" cm="1">
        <f t="array" ref="BO1357">IFERROR(INDEX(sheath_ecap_asd,MATCH(BS1357,sheath_mark,0),0)*BN1357,0)</f>
        <v>0</v>
      </c>
      <c r="BP1357" cm="1">
        <f t="array" ref="BP1357">IFERROR(INDEX(sheath_wcap_asd,MATCH(BS1357,sheath_mark,0),0)*BN1357,0)</f>
        <v>0</v>
      </c>
      <c r="BQ1357" cm="1">
        <f t="array" ref="BQ1357">IFERROR(INDEX(hd_cap,MATCH(BT1357,hd_mark,0),0),0)</f>
        <v>0</v>
      </c>
      <c r="BS1357" s="19"/>
      <c r="BT1357" s="19"/>
      <c r="BU1357" s="100"/>
    </row>
    <row r="1358" x14ac:dyDescent="0.25">
      <c r="P1358" s="93"/>
      <c r="AR1358" s="100"/>
      <c r="AS1358" s="93"/>
      <c r="BU1358" s="100"/>
    </row>
    <row r="1359" x14ac:dyDescent="0.25">
      <c r="P1359" s="93"/>
      <c r="Q1359" s="110" t="str">
        <f>$Q$1315</f>
        <v>A.06</v>
      </c>
      <c r="R1359" t="str">
        <f>$Q$1301</f>
        <v>L2</v>
      </c>
      <c r="S1359">
        <f>$E$21</f>
        <v>10.6875</v>
      </c>
      <c r="T1359" cm="1">
        <f t="array" ref="T1359">IFERROR(IF(S1359=0,0,(INDEX($C$33:$C$38,MATCH($W$1315,$B$33:$B$38,0),0)*(S1363+$X$1315)+$T$1315*COUNTIF(S1359:S1362,"&gt;0")*$C$32+$V$1315*$C$31)*$R$1315),0)</f>
        <v>0</v>
      </c>
      <c r="U1359">
        <f>IF(S1359=0,0,-(COUNTIF(S1359:S1362,"&gt;0")*$T$1315*$C$32+$V$1315*$C$31)*$H$27*$R$1315)</f>
        <v>0</v>
      </c>
      <c r="V1359">
        <f>IF(S1359=0,0,$V$1315*$H$26*$R$1315)</f>
        <v>0</v>
      </c>
      <c r="W1359">
        <f>(0.6*T1359+0.7*U1359)*$R$1315/2</f>
        <v>0</v>
      </c>
      <c r="X1359">
        <f>(0.6*T1359+0.6*V1359)*$R$1315/2</f>
        <v>0</v>
      </c>
      <c r="Z1359">
        <f>IF(S1359=0,0,$AD$1315*$AP$1301)</f>
        <v>0</v>
      </c>
      <c r="AA1359">
        <f>IFERROR(Z1359/$R$1315,0)</f>
        <v>0</v>
      </c>
      <c r="AB1359">
        <f>Z1359*($F$21+IF($F$21=0,0,($C$14+$C$15+IF($C$13="single",1.5,3)+3)/12))</f>
        <v>0</v>
      </c>
      <c r="AC1359">
        <f>AB1359-W1359</f>
        <v>0</v>
      </c>
      <c r="AD1359" cm="1">
        <f t="array" ref="AD1359">IFERROR(IF(AC1359&lt;0,0,AC1359/($R$1315-INDEX(hd_off,MATCH(AQ1359,hd_mark,0),0)/12)),0)</f>
        <v>0</v>
      </c>
      <c r="AE1359">
        <f>IF(S1359=0,0,$AD$1315*$AM$1301)</f>
        <v>0</v>
      </c>
      <c r="AF1359">
        <f>IFERROR(AE1359/$R$1315,0)</f>
        <v>0</v>
      </c>
      <c r="AG1359">
        <f>AE1359*($F$21+IF($F$21=0,0,($C$14+$C$15+IF($C$13="single",1.5,3)+3)/12))</f>
        <v>0</v>
      </c>
      <c r="AH1359">
        <f>AG1359-X1359</f>
        <v>0</v>
      </c>
      <c r="AI1359" cm="1">
        <f t="array" ref="AI1359">IFERROR(IF(AH1359&lt;0,0,AH1359/($R$1315-INDEX(hd_off,MATCH(AQ1359,hd_mark,0),0)/12)),0)</f>
        <v>0</v>
      </c>
      <c r="AJ1359">
        <f>MAX($F$21,$Y$1315)/$Q$1332</f>
        <v>0.30172413793103448</v>
      </c>
      <c r="AK1359">
        <f>IF(AJ1359=0,0,IF(AJ1359&gt;2,1.25-0.125*AJ1359,1))</f>
        <v>1</v>
      </c>
      <c r="AL1359" cm="1">
        <f t="array" ref="AL1359">IFERROR(INDEX(sheath_ecap_asd,MATCH(AP1359,sheath_mark,0),0)*AK1359,0)</f>
        <v>0</v>
      </c>
      <c r="AM1359" cm="1">
        <f t="array" ref="AM1359">IFERROR(INDEX(sheath_wcap_asd,MATCH(AP1359,sheath_mark,0),0)*AK1359,0)</f>
        <v>0</v>
      </c>
      <c r="AN1359" cm="1">
        <f t="array" ref="AN1359">IFERROR(INDEX(hd_cap,MATCH(AQ1359,hd_mark,0),0),0)</f>
        <v>0</v>
      </c>
      <c r="AP1359" s="19"/>
      <c r="AQ1359" s="19"/>
      <c r="AR1359" s="100"/>
      <c r="AS1359" s="93"/>
      <c r="AT1359" s="110" t="str">
        <f>$AT$1315</f>
        <v>1.06</v>
      </c>
      <c r="AU1359" t="str">
        <f>$Q$1301</f>
        <v>L2</v>
      </c>
      <c r="AV1359">
        <f>$E$21</f>
        <v>10.6875</v>
      </c>
      <c r="AW1359" cm="1">
        <f t="array" ref="AW1359">IFERROR(IF(AV1359=0,0,(INDEX($C$33:$C$38,MATCH($AZ$1315,$B$33:$B$38,0),0)*(AV1363+$BA$1315)+$AW$1315*COUNTIF(AV1359:AV1362,"&gt;0")*$C$32+$AY$1315*$C$31)*$AU$1315),0)</f>
        <v>0</v>
      </c>
      <c r="AX1359">
        <f>IF(AV1359=0,0,-(COUNTIF(AV1359:AV1362,"&gt;0")*$AW$1315*$C$32+$AY$1315*$C$31)*$H$27*$AU$1315)</f>
        <v>0</v>
      </c>
      <c r="AY1359">
        <f>IF(AV1359=0,0,$AY$1315*$H$26*$AU$1315)</f>
        <v>0</v>
      </c>
      <c r="AZ1359">
        <f>(0.6*AW1359+0.7*AX1359)*$AU$1315/2</f>
        <v>0</v>
      </c>
      <c r="BA1359">
        <f>(0.6*AW1359+0.6*AY1359)*$AU$1315/2</f>
        <v>0</v>
      </c>
      <c r="BC1359">
        <f>IF(AV1359=0,0,$BG$1315*$AP$1301)</f>
        <v>0</v>
      </c>
      <c r="BD1359">
        <f>IFERROR(BC1359/$AU$1315,0)</f>
        <v>0</v>
      </c>
      <c r="BE1359">
        <f>BC1359*($F$21+IF($F$21=0,0,($C$14+$C$15+IF($C$13="single",1.5,3)+3)/12))</f>
        <v>0</v>
      </c>
      <c r="BF1359">
        <f>BE1359-AZ1359</f>
        <v>0</v>
      </c>
      <c r="BG1359" cm="1">
        <f t="array" ref="BG1359">IFERROR(IF(BF1359&lt;0,0,BF1359/($AU$1315-INDEX(hd_off,MATCH(BT1359,hd_mark,0),0)/12)),0)</f>
        <v>0</v>
      </c>
      <c r="BH1359">
        <f>IF(AV1359=0,0,$BG$1315*$AM$1301)</f>
        <v>0</v>
      </c>
      <c r="BI1359">
        <f>IFERROR(BH1359/$AU$1315,0)</f>
        <v>0</v>
      </c>
      <c r="BJ1359">
        <f>BH1359*($F$21+IF($F$21=0,0,($C$14+$C$15+IF($C$13="single",1.5,3)+3)/12))</f>
        <v>0</v>
      </c>
      <c r="BK1359">
        <f>BJ1359-BA1359</f>
        <v>0</v>
      </c>
      <c r="BL1359" cm="1">
        <f t="array" ref="BL1359">IFERROR(IF(BK1359&lt;0,0,BK1359/($AU$1315-INDEX(hd_off,MATCH(BT1359,hd_mark,0),0)/12)),0)</f>
        <v>0</v>
      </c>
      <c r="BM1359">
        <f>MAX($F$21,$BB$1315)/$Q$1332</f>
        <v>0.30172413793103448</v>
      </c>
      <c r="BN1359">
        <f>IF(BM1359=0,0,IF(BM1359&gt;2,1.25-0.125*BM1359,1))</f>
        <v>1</v>
      </c>
      <c r="BO1359" cm="1">
        <f t="array" ref="BO1359">IFERROR(INDEX(sheath_ecap_asd,MATCH(BS1359,sheath_mark,0),0)*BN1359,0)</f>
        <v>0</v>
      </c>
      <c r="BP1359" cm="1">
        <f t="array" ref="BP1359">IFERROR(INDEX(sheath_wcap_asd,MATCH(BS1359,sheath_mark,0),0)*BN1359,0)</f>
        <v>0</v>
      </c>
      <c r="BQ1359" cm="1">
        <f t="array" ref="BQ1359">IFERROR(INDEX(hd_cap,MATCH(BT1359,hd_mark,0),0),0)</f>
        <v>0</v>
      </c>
      <c r="BS1359" s="19"/>
      <c r="BT1359" s="19"/>
      <c r="BU1359" s="100"/>
    </row>
    <row r="1360" x14ac:dyDescent="0.25">
      <c r="P1360" s="93"/>
      <c r="Q1360" s="109"/>
      <c r="R1360" t="str">
        <f>$Q$1302</f>
        <v>L3</v>
      </c>
      <c r="S1360">
        <f>$E$22</f>
        <v>21.375</v>
      </c>
      <c r="T1360" cm="1">
        <f t="array" ref="T1360">IFERROR(IF(S1360=0,0,(INDEX($C$33:$C$38,MATCH($W$1315,$B$33:$B$38,0),0)*(S1363+$X$1315)+$T$1315*COUNTIF(S1360:S1362,"&gt;0")*$C$32+$V$1315*$C$31)*$R$1315),0)</f>
        <v>0</v>
      </c>
      <c r="U1360">
        <f>IF(S1360=0,0,-(COUNTIF(S1360:S1362,"&gt;0")*$T$1315*$C$32+$V$1315*$C$31)*$H$27*$R$1315)</f>
        <v>0</v>
      </c>
      <c r="V1360">
        <f>IF(S1360=0,0,$V$1315*$H$26*$R$1315)</f>
        <v>0</v>
      </c>
      <c r="W1360">
        <f>(0.6*T1360+0.7*U1360)*$R$1315/2</f>
        <v>0</v>
      </c>
      <c r="X1360">
        <f>T1360*$R$1315/2</f>
        <v>0</v>
      </c>
      <c r="Z1360">
        <f>IF(S1360=0,0,$AD$1315*$AP$1302)</f>
        <v>0</v>
      </c>
      <c r="AA1360">
        <f>IFERROR(Z1360/$R$1315,0)</f>
        <v>0</v>
      </c>
      <c r="AB1360">
        <f>Z1360*($F$22+IF($F$22=0,0,($C$14+$C$15+IF($C$13="single",1.5,3)+3)/12))</f>
        <v>0</v>
      </c>
      <c r="AC1360">
        <f>AB1360-W1360</f>
        <v>0</v>
      </c>
      <c r="AD1360" cm="1">
        <f t="array" ref="AD1360">IFERROR(IF(AC1360&lt;0,0,AC1360/($R$1315-INDEX(hd_off,MATCH(AQ1360,hd_mark,0),0)/12)),0)</f>
        <v>0</v>
      </c>
      <c r="AE1360">
        <f>IF(S1360=0,0,$AD$1315*$AM$1302)</f>
        <v>0</v>
      </c>
      <c r="AF1360">
        <f>IFERROR(AE1360/$R$1315,0)</f>
        <v>0</v>
      </c>
      <c r="AG1360">
        <f>AE1360*($F$22+IF($F$22=0,0,($C$14+$C$15+IF($C$13="single",1.5,3)+3)/12))</f>
        <v>0</v>
      </c>
      <c r="AH1360">
        <f>AG1360-X1360</f>
        <v>0</v>
      </c>
      <c r="AI1360" cm="1">
        <f t="array" ref="AI1360">IFERROR(IF(AH1360&lt;0,0,AH1360/($R$1315-INDEX(hd_off,MATCH(AQ1360,hd_mark,0),0)/12)),0)</f>
        <v>0</v>
      </c>
      <c r="AJ1360">
        <f>MAX($F$22,$Z$1315)/$Q$1332</f>
        <v>0.30172413793103448</v>
      </c>
      <c r="AK1360">
        <f t="shared" ref="AK1360:AK1363" si="846">IF(AJ1360=0,0,IF(AJ1360&gt;2,1.25-0.125*AJ1360,1))</f>
        <v>1</v>
      </c>
      <c r="AL1360" cm="1">
        <f t="array" ref="AL1360">IFERROR(INDEX(sheath_ecap_asd,MATCH(AP1360,sheath_mark,0),0)*AK1360,0)</f>
        <v>0</v>
      </c>
      <c r="AM1360" cm="1">
        <f t="array" ref="AM1360">IFERROR(INDEX(sheath_wcap_asd,MATCH(AP1360,sheath_mark,0),0)*AK1360,0)</f>
        <v>0</v>
      </c>
      <c r="AN1360" cm="1">
        <f t="array" ref="AN1360">IFERROR(INDEX(hd_cap,MATCH(AQ1360,hd_mark,0),0),0)</f>
        <v>0</v>
      </c>
      <c r="AP1360" s="19"/>
      <c r="AQ1360" s="19"/>
      <c r="AR1360" s="100"/>
      <c r="AS1360" s="93"/>
      <c r="AT1360" s="109"/>
      <c r="AU1360" t="str">
        <f>$Q$1302</f>
        <v>L3</v>
      </c>
      <c r="AV1360">
        <f>$E$22</f>
        <v>21.375</v>
      </c>
      <c r="AW1360" cm="1">
        <f t="array" ref="AW1360">IFERROR(IF(AV1360=0,0,(INDEX($C$33:$C$38,MATCH($AZ$1315,$B$33:$B$38,0),0)*(AV1363+$BA$1315)+$AW$1315*COUNTIF(AV1360:AV1362,"&gt;0")*$C$32+$AY$1315*$C$31)*$AU$1315),0)</f>
        <v>0</v>
      </c>
      <c r="AX1360">
        <f>IF(AV1360=0,0,-(COUNTIF(AV1360:AV1362,"&gt;0")*$AW$1315*$C$32+$AY$1315*$C$31)*$H$27*$AU$1315)</f>
        <v>0</v>
      </c>
      <c r="AY1360">
        <f>IF(AV1360=0,0,$AY$1315*$H$26*$AU$1315)</f>
        <v>0</v>
      </c>
      <c r="AZ1360">
        <f>(0.6*AW1360+0.7*AX1360)*$AU$1315/2</f>
        <v>0</v>
      </c>
      <c r="BA1360">
        <f>AW1360*$AU$1315/2</f>
        <v>0</v>
      </c>
      <c r="BC1360">
        <f>IF(AV1360=0,0,$BG$1315*$AP$1302)</f>
        <v>0</v>
      </c>
      <c r="BD1360">
        <f>IFERROR(BC1360/$AU$1315,0)</f>
        <v>0</v>
      </c>
      <c r="BE1360">
        <f>BC1360*($F$22+IF($F$22=0,0,($C$14+$C$15+IF($C$13="single",1.5,3)+3)/12))</f>
        <v>0</v>
      </c>
      <c r="BF1360">
        <f>BE1360-AZ1360</f>
        <v>0</v>
      </c>
      <c r="BG1360" cm="1">
        <f t="array" ref="BG1360">IFERROR(IF(BF1360&lt;0,0,BF1360/($AU$1315-INDEX(hd_off,MATCH(BT1360,hd_mark,0),0)/12)),0)</f>
        <v>0</v>
      </c>
      <c r="BH1360">
        <f>IF(AV1360=0,0,$BG$1315*$AM$1302)</f>
        <v>0</v>
      </c>
      <c r="BI1360">
        <f>IFERROR(BH1360/$AU$1315,0)</f>
        <v>0</v>
      </c>
      <c r="BJ1360">
        <f>BH1360*($F$22+IF($F$22=0,0,($C$14+$C$15+IF($C$13="single",1.5,3)+3)/12))</f>
        <v>0</v>
      </c>
      <c r="BK1360">
        <f>BJ1360-BA1360</f>
        <v>0</v>
      </c>
      <c r="BL1360" cm="1">
        <f t="array" ref="BL1360">IFERROR(IF(BK1360&lt;0,0,BK1360/($AU$1315-INDEX(hd_off,MATCH(BT1360,hd_mark,0),0)/12)),0)</f>
        <v>0</v>
      </c>
      <c r="BM1360">
        <f>MAX($F$22,$BC$1315)/$Q$1332</f>
        <v>0.30172413793103448</v>
      </c>
      <c r="BN1360">
        <f t="shared" ref="BN1360:BN1363" si="847">IF(BM1360=0,0,IF(BM1360&gt;2,1.25-0.125*BM1360,1))</f>
        <v>1</v>
      </c>
      <c r="BO1360" cm="1">
        <f t="array" ref="BO1360">IFERROR(INDEX(sheath_ecap_asd,MATCH(BS1360,sheath_mark,0),0)*BN1360,0)</f>
        <v>0</v>
      </c>
      <c r="BP1360" cm="1">
        <f t="array" ref="BP1360">IFERROR(INDEX(sheath_wcap_asd,MATCH(BS1360,sheath_mark,0),0)*BN1360,0)</f>
        <v>0</v>
      </c>
      <c r="BQ1360" cm="1">
        <f t="array" ref="BQ1360">IFERROR(INDEX(hd_cap,MATCH(BT1360,hd_mark,0),0),0)</f>
        <v>0</v>
      </c>
      <c r="BS1360" s="19"/>
      <c r="BT1360" s="19"/>
      <c r="BU1360" s="100"/>
    </row>
    <row r="1361" x14ac:dyDescent="0.25">
      <c r="P1361" s="93"/>
      <c r="Q1361" s="109" t="s">
        <v>491</v>
      </c>
      <c r="R1361" t="str">
        <f>$Q$1303</f>
        <v>L4</v>
      </c>
      <c r="S1361">
        <f>$E$23</f>
        <v>0</v>
      </c>
      <c r="T1361" cm="1">
        <f t="array" ref="T1361">IFERROR(IF(S1361=0,0,(INDEX($C$33:$C$38,MATCH($W$1315,$B$33:$B$38,0),0)*(S1363+$X$1315)+$T$1315*COUNTIF(S1361:S1362,"&gt;0")*$C$32+$V$1315*$C$31)*$R$1315),0)</f>
        <v>0</v>
      </c>
      <c r="U1361">
        <f>IF(S1361=0,0,-(COUNTIF(S1361:S1362,"&gt;0")*$T$1315*$C$32+$V$1315*$C$31)*$H$27*$R$1315)</f>
        <v>0</v>
      </c>
      <c r="V1361">
        <f>IF(S1361=0,0,$V$1315*$H$26*$R$1315)</f>
        <v>0</v>
      </c>
      <c r="W1361">
        <f>(0.6*T1361+0.7*U1361)*$R$1315/2</f>
        <v>0</v>
      </c>
      <c r="X1361">
        <f>T1361*$R$1315/2</f>
        <v>0</v>
      </c>
      <c r="Z1361">
        <f>IF(S1361=0,0,$AD$1315*$AP$1303)</f>
        <v>0</v>
      </c>
      <c r="AA1361">
        <f>IFERROR(Z1361/$R$1315,0)</f>
        <v>0</v>
      </c>
      <c r="AB1361">
        <f>Z1361*($F$23+IF($F$23=0,0,($C$14+$C$15+IF($C$13="single",1.5,3)+3)/12))</f>
        <v>0</v>
      </c>
      <c r="AC1361">
        <f>AB1361-W1361</f>
        <v>0</v>
      </c>
      <c r="AD1361" cm="1">
        <f t="array" ref="AD1361">IFERROR(IF(AC1361&lt;0,0,AC1361/($R$1315-INDEX(hd_off,MATCH(AQ1361,hd_mark,0),0)/12)),0)</f>
        <v>0</v>
      </c>
      <c r="AE1361">
        <f>IF(S1361=0,0,$AD$1315*$AM$1303)</f>
        <v>0</v>
      </c>
      <c r="AF1361">
        <f>IFERROR(AE1361/$R$1315,0)</f>
        <v>0</v>
      </c>
      <c r="AG1361">
        <f>AE1361*($F$23+IF($F$23=0,0,($C$14+$C$15+IF($C$13="single",1.5,3)+3)/12))</f>
        <v>0</v>
      </c>
      <c r="AH1361">
        <f>AG1361-X1361</f>
        <v>0</v>
      </c>
      <c r="AI1361" cm="1">
        <f t="array" ref="AI1361">IFERROR(IF(AH1361&lt;0,0,AH1361/($R$1315-INDEX(hd_off,MATCH(AQ1361,hd_mark,0),0)/12)),0)</f>
        <v>0</v>
      </c>
      <c r="AJ1361">
        <f>MAX($F$23,$AA$1315)/$Q$1332</f>
        <v>0</v>
      </c>
      <c r="AK1361">
        <f t="shared" si="846"/>
        <v>0</v>
      </c>
      <c r="AL1361" cm="1">
        <f t="array" ref="AL1361">IFERROR(INDEX(sheath_ecap_asd,MATCH(AP1361,sheath_mark,0),0)*AK1361,0)</f>
        <v>0</v>
      </c>
      <c r="AM1361" cm="1">
        <f t="array" ref="AM1361">IFERROR(INDEX(sheath_wcap_asd,MATCH(AP1361,sheath_mark,0),0)*AK1361,0)</f>
        <v>0</v>
      </c>
      <c r="AN1361" cm="1">
        <f t="array" ref="AN1361">IFERROR(INDEX(hd_cap,MATCH(AQ1361,hd_mark,0),0),0)</f>
        <v>0</v>
      </c>
      <c r="AP1361" s="19"/>
      <c r="AQ1361" s="19"/>
      <c r="AR1361" s="100"/>
      <c r="AS1361" s="93"/>
      <c r="AT1361" s="109" t="s">
        <v>491</v>
      </c>
      <c r="AU1361" t="str">
        <f>$Q$1303</f>
        <v>L4</v>
      </c>
      <c r="AV1361">
        <f>$E$23</f>
        <v>0</v>
      </c>
      <c r="AW1361" cm="1">
        <f t="array" ref="AW1361">IFERROR(IF(AV1361=0,0,(INDEX($C$33:$C$38,MATCH($AZ$1315,$B$33:$B$38,0),0)*(AV1363+$BA$1315)+$AW$1315*COUNTIF(AV1361:AV1362,"&gt;0")*$C$32+$AY$1315*$C$31)*$AU$1315),0)</f>
        <v>0</v>
      </c>
      <c r="AX1361">
        <f>IF(AV1361=0,0,-(COUNTIF(AV1361:AV1362,"&gt;0")*$AW$1315*$C$32+$AY$1315*$C$31)*$H$27*$AU$1315)</f>
        <v>0</v>
      </c>
      <c r="AY1361">
        <f>IF(AV1361=0,0,$AY$1315*$H$26*$AU$1315)</f>
        <v>0</v>
      </c>
      <c r="AZ1361">
        <f>(0.6*AW1361+0.7*AX1361)*$AU$1315/2</f>
        <v>0</v>
      </c>
      <c r="BA1361">
        <f>AW1361*$AU$1315/2</f>
        <v>0</v>
      </c>
      <c r="BC1361">
        <f>IF(AV1361=0,0,$BG$1315*$AP$1303)</f>
        <v>0</v>
      </c>
      <c r="BD1361">
        <f>IFERROR(BC1361/$AU$1315,0)</f>
        <v>0</v>
      </c>
      <c r="BE1361">
        <f>BC1361*($F$23+IF($F$23=0,0,($C$14+$C$15+IF($C$13="single",1.5,3)+3)/12))</f>
        <v>0</v>
      </c>
      <c r="BF1361">
        <f>BE1361-AZ1361</f>
        <v>0</v>
      </c>
      <c r="BG1361" cm="1">
        <f t="array" ref="BG1361">IFERROR(IF(BF1361&lt;0,0,BF1361/($AU$1315-INDEX(hd_off,MATCH(BT1361,hd_mark,0),0)/12)),0)</f>
        <v>0</v>
      </c>
      <c r="BH1361">
        <f>IF(AV1361=0,0,$BG$1315*$AM$1303)</f>
        <v>0</v>
      </c>
      <c r="BI1361">
        <f>IFERROR(BH1361/$AU$1315,0)</f>
        <v>0</v>
      </c>
      <c r="BJ1361">
        <f>BH1361*($F$23+IF($F$23=0,0,($C$14+$C$15+IF($C$13="single",1.5,3)+3)/12))</f>
        <v>0</v>
      </c>
      <c r="BK1361">
        <f>BJ1361-BA1361</f>
        <v>0</v>
      </c>
      <c r="BL1361" cm="1">
        <f t="array" ref="BL1361">IFERROR(IF(BK1361&lt;0,0,BK1361/($AU$1315-INDEX(hd_off,MATCH(BT1361,hd_mark,0),0)/12)),0)</f>
        <v>0</v>
      </c>
      <c r="BM1361">
        <f>MAX($F$23,$BD$1315)/$Q$1332</f>
        <v>0</v>
      </c>
      <c r="BN1361">
        <f t="shared" si="847"/>
        <v>0</v>
      </c>
      <c r="BO1361" cm="1">
        <f t="array" ref="BO1361">IFERROR(INDEX(sheath_ecap_asd,MATCH(BS1361,sheath_mark,0),0)*BN1361,0)</f>
        <v>0</v>
      </c>
      <c r="BP1361" cm="1">
        <f t="array" ref="BP1361">IFERROR(INDEX(sheath_wcap_asd,MATCH(BS1361,sheath_mark,0),0)*BN1361,0)</f>
        <v>0</v>
      </c>
      <c r="BQ1361" cm="1">
        <f t="array" ref="BQ1361">IFERROR(INDEX(hd_cap,MATCH(BT1361,hd_mark,0),0),0)</f>
        <v>0</v>
      </c>
      <c r="BS1361" s="19"/>
      <c r="BT1361" s="19"/>
      <c r="BU1361" s="100"/>
    </row>
    <row r="1362" x14ac:dyDescent="0.25">
      <c r="P1362" s="93"/>
      <c r="Q1362" s="111">
        <f>$R$1315</f>
        <v>0</v>
      </c>
      <c r="R1362" t="str">
        <f>$Q$1304</f>
        <v>L5</v>
      </c>
      <c r="S1362">
        <f>$E$24</f>
        <v>0</v>
      </c>
      <c r="T1362" cm="1">
        <f t="array" ref="T1362">IFERROR(IF(S1362=0,0,(INDEX($C$33:$C$38,MATCH($W$1315,$B$33:$B$38,0),0)*(S1363+$X$1315)+$T$1315*COUNTIF(S1362:S1362,"&gt;0")*$C$32+$V$1315*$C$31)*$R$1315),0)</f>
        <v>0</v>
      </c>
      <c r="U1362">
        <f>IF(S1362=0,0,-(COUNTIF(S1362:S1362,"&gt;0")*$T$1315*$C$32+$V$1315*$C$31)*$H$27*$R$1315)</f>
        <v>0</v>
      </c>
      <c r="V1362">
        <f>IF(S1362=0,0,$V$1315*$H$26*$R$1315)</f>
        <v>0</v>
      </c>
      <c r="W1362">
        <f>(0.6*T1362+0.7*U1362)*$R$1315/2</f>
        <v>0</v>
      </c>
      <c r="X1362">
        <f>T1362*$R$1315/2</f>
        <v>0</v>
      </c>
      <c r="Z1362">
        <f>IF(S1362=0,0,$AD$1315*$AP$1304)</f>
        <v>0</v>
      </c>
      <c r="AA1362">
        <f>IFERROR(Z1362/$R$1315,0)</f>
        <v>0</v>
      </c>
      <c r="AB1362">
        <f>Z1362*($F$24+IF($F$24=0,0,($C$14+$C$15+IF($C$13="single",1.5,3)+3)/12))</f>
        <v>0</v>
      </c>
      <c r="AC1362">
        <f>AB1362-W1362</f>
        <v>0</v>
      </c>
      <c r="AD1362" cm="1">
        <f t="array" ref="AD1362">IFERROR(IF(AC1362&lt;0,0,AC1362/($R$1315-INDEX(hd_off,MATCH(AQ1362,hd_mark,0),0)/12)),0)</f>
        <v>0</v>
      </c>
      <c r="AE1362">
        <f>IF(S1362=0,0,$AD$1315*$AM$1304)</f>
        <v>0</v>
      </c>
      <c r="AF1362">
        <f>IFERROR(AE1362/$R$1315,0)</f>
        <v>0</v>
      </c>
      <c r="AG1362">
        <f>AE1362*($F$24+IF($F$24=0,0,($C$14+$C$15+IF($C$13="single",1.5,3)+3)/12))</f>
        <v>0</v>
      </c>
      <c r="AH1362">
        <f>AG1362-X1362</f>
        <v>0</v>
      </c>
      <c r="AI1362" cm="1">
        <f t="array" ref="AI1362">IFERROR(IF(AH1362&lt;0,0,AH1362/($R$1315-INDEX(hd_off,MATCH(AQ1362,hd_mark,0),0)/12)),0)</f>
        <v>0</v>
      </c>
      <c r="AJ1362">
        <f>MAX($F$24,$AB$1315)/$Q$1332</f>
        <v>0</v>
      </c>
      <c r="AK1362">
        <f t="shared" si="846"/>
        <v>0</v>
      </c>
      <c r="AL1362" cm="1">
        <f t="array" ref="AL1362">IFERROR(INDEX(sheath_ecap_asd,MATCH(AP1362,sheath_mark,0),0)*AK1362,0)</f>
        <v>0</v>
      </c>
      <c r="AM1362" cm="1">
        <f t="array" ref="AM1362">IFERROR(INDEX(sheath_wcap_asd,MATCH(AP1362,sheath_mark,0),0)*AK1362,0)</f>
        <v>0</v>
      </c>
      <c r="AN1362" cm="1">
        <f t="array" ref="AN1362">IFERROR(INDEX(hd_cap,MATCH(AQ1362,hd_mark,0),0),0)</f>
        <v>0</v>
      </c>
      <c r="AP1362" s="19"/>
      <c r="AQ1362" s="19"/>
      <c r="AR1362" s="100"/>
      <c r="AS1362" s="93"/>
      <c r="AT1362" s="111">
        <f>$R$1315</f>
        <v>0</v>
      </c>
      <c r="AU1362" t="str">
        <f>$Q$1304</f>
        <v>L5</v>
      </c>
      <c r="AV1362">
        <f>$E$24</f>
        <v>0</v>
      </c>
      <c r="AW1362" cm="1">
        <f t="array" ref="AW1362">IFERROR(IF(AV1362=0,0,(INDEX($C$33:$C$38,MATCH($AZ$1315,$B$33:$B$38,0),0)*(AV1363+$BA$1315)+$AW$1315*COUNTIF(AV1362:AV1362,"&gt;0")*$C$32+$AY$1315*$C$31)*$AU$1315),0)</f>
        <v>0</v>
      </c>
      <c r="AX1362">
        <f>IF(AV1362=0,0,-(COUNTIF(AV1362:AV1362,"&gt;0")*$AW$1315*$C$32+$AY$1315*$C$31)*$H$27*$AU$1315)</f>
        <v>0</v>
      </c>
      <c r="AY1362">
        <f>IF(AV1362=0,0,$AY$1315*$H$26*$AU$1315)</f>
        <v>0</v>
      </c>
      <c r="AZ1362">
        <f>(0.6*AW1362+0.7*AX1362)*$AU$1315/2</f>
        <v>0</v>
      </c>
      <c r="BA1362">
        <f>AW1362*$AU$1315/2</f>
        <v>0</v>
      </c>
      <c r="BC1362">
        <f>IF(AV1362=0,0,$BG$1315*$AP$1304)</f>
        <v>0</v>
      </c>
      <c r="BD1362">
        <f>IFERROR(BC1362/$AU$1315,0)</f>
        <v>0</v>
      </c>
      <c r="BE1362">
        <f>BC1362*($F$24+IF($F$24=0,0,($C$14+$C$15+IF($C$13="single",1.5,3)+3)/12))</f>
        <v>0</v>
      </c>
      <c r="BF1362">
        <f>BE1362-AZ1362</f>
        <v>0</v>
      </c>
      <c r="BG1362" cm="1">
        <f t="array" ref="BG1362">IFERROR(IF(BF1362&lt;0,0,BF1362/($AU$1315-INDEX(hd_off,MATCH(BT1362,hd_mark,0),0)/12)),0)</f>
        <v>0</v>
      </c>
      <c r="BH1362">
        <f>IF(AV1362=0,0,$BG$1315*$AM$1304)</f>
        <v>0</v>
      </c>
      <c r="BI1362">
        <f>IFERROR(BH1362/$AU$1315,0)</f>
        <v>0</v>
      </c>
      <c r="BJ1362">
        <f>BH1362*($F$24+IF($F$24=0,0,($C$14+$C$15+IF($C$13="single",1.5,3)+3)/12))</f>
        <v>0</v>
      </c>
      <c r="BK1362">
        <f>BJ1362-BA1362</f>
        <v>0</v>
      </c>
      <c r="BL1362" cm="1">
        <f t="array" ref="BL1362">IFERROR(IF(BK1362&lt;0,0,BK1362/($AU$1315-INDEX(hd_off,MATCH(BT1362,hd_mark,0),0)/12)),0)</f>
        <v>0</v>
      </c>
      <c r="BM1362">
        <f>MAX($F$24,$BE$1315)/$Q$1332</f>
        <v>0</v>
      </c>
      <c r="BN1362">
        <f t="shared" si="847"/>
        <v>0</v>
      </c>
      <c r="BO1362" cm="1">
        <f t="array" ref="BO1362">IFERROR(INDEX(sheath_ecap_asd,MATCH(BS1362,sheath_mark,0),0)*BN1362,0)</f>
        <v>0</v>
      </c>
      <c r="BP1362" cm="1">
        <f t="array" ref="BP1362">IFERROR(INDEX(sheath_wcap_asd,MATCH(BS1362,sheath_mark,0),0)*BN1362,0)</f>
        <v>0</v>
      </c>
      <c r="BQ1362" cm="1">
        <f t="array" ref="BQ1362">IFERROR(INDEX(hd_cap,MATCH(BT1362,hd_mark,0),0),0)</f>
        <v>0</v>
      </c>
      <c r="BS1362" s="19"/>
      <c r="BT1362" s="19"/>
      <c r="BU1362" s="100"/>
    </row>
    <row r="1363" x14ac:dyDescent="0.25">
      <c r="P1363" s="93"/>
      <c r="Q1363" s="109"/>
      <c r="R1363" t="str">
        <f>$Q$1305</f>
        <v>Roof</v>
      </c>
      <c r="S1363">
        <f>$E$25</f>
        <v>33.171875</v>
      </c>
      <c r="T1363" cm="1">
        <f t="array" ref="T1363">IFERROR(IF(S1363=0,0,(INDEX($C$33:$C$38,MATCH($W$1315,$B$33:$B$38,0),0)*(S1363+$X$1315)+$V$1315*$C$31)*$R$1315),0)</f>
        <v>0</v>
      </c>
      <c r="U1363">
        <f>IF(S1363=0,0,-$V$1315*$C$31*$H$27*$R$1315)</f>
        <v>0</v>
      </c>
      <c r="V1363">
        <f>IF(S1363=0,0,$V$1315*$H$26*$R$1315)</f>
        <v>0</v>
      </c>
      <c r="W1363">
        <f>(0.6*T1363+0.7*U1363)*$R$1315/2</f>
        <v>0</v>
      </c>
      <c r="X1363">
        <f>T1363*$R$1315/2</f>
        <v>0</v>
      </c>
      <c r="Z1363">
        <f>IF(S1363=0,0,$AD$1315*$AP$1305)</f>
        <v>0</v>
      </c>
      <c r="AA1363">
        <f>IFERROR(Z1363/$R$1315,0)</f>
        <v>0</v>
      </c>
      <c r="AB1363">
        <f>Z1363*($F$25+($C$16+$C$17+IF($C$13="single",1.5,3)+3)/12)</f>
        <v>0</v>
      </c>
      <c r="AC1363">
        <f>AB1363-W1363</f>
        <v>0</v>
      </c>
      <c r="AD1363" cm="1">
        <f t="array" ref="AD1363">IFERROR(IF(AC1363&lt;0,0,AC1363/($R$1315-INDEX(hd_off,MATCH(AQ1363,hd_mark,0),0)/12)),0)</f>
        <v>0</v>
      </c>
      <c r="AE1363">
        <f>IF(S1363=0,0,$AD$1315*$AM$1305)</f>
        <v>0</v>
      </c>
      <c r="AF1363">
        <f>IFERROR(AE1363/$R$1315,0)</f>
        <v>0</v>
      </c>
      <c r="AG1363">
        <f>AE1363*($F$25+($C$16+$C$17+IF($C$13="single",1.5,3)+3)/12)</f>
        <v>0</v>
      </c>
      <c r="AH1363">
        <f>AG1363-X1363</f>
        <v>0</v>
      </c>
      <c r="AI1363" cm="1">
        <f t="array" ref="AI1363">IFERROR(IF(AH1363&lt;0,0,AH1363/($R$1315-INDEX(hd_off,MATCH(AQ1363,hd_mark,0),0)/12)),0)</f>
        <v>0</v>
      </c>
      <c r="AJ1363">
        <f>MAX($F$25,$AC$1315)/$Q$1332</f>
        <v>0.29920977011494249</v>
      </c>
      <c r="AK1363">
        <f t="shared" si="846"/>
        <v>1</v>
      </c>
      <c r="AL1363" cm="1">
        <f t="array" ref="AL1363">IFERROR(INDEX(sheath_ecap_asd,MATCH(AP1363,sheath_mark,0),0)*AK1363,0)</f>
        <v>0</v>
      </c>
      <c r="AM1363" cm="1">
        <f t="array" ref="AM1363">IFERROR(INDEX(sheath_wcap_asd,MATCH(AP1363,sheath_mark,0),0)*AK1363,0)</f>
        <v>0</v>
      </c>
      <c r="AN1363" cm="1">
        <f t="array" ref="AN1363">IFERROR(INDEX(hd_cap,MATCH(AQ1363,hd_mark,0),0),0)</f>
        <v>0</v>
      </c>
      <c r="AP1363" s="19"/>
      <c r="AQ1363" s="19"/>
      <c r="AR1363" s="100"/>
      <c r="AS1363" s="93"/>
      <c r="AT1363" s="109"/>
      <c r="AU1363" t="str">
        <f>$Q$1305</f>
        <v>Roof</v>
      </c>
      <c r="AV1363">
        <f>$E$25</f>
        <v>33.171875</v>
      </c>
      <c r="AW1363" cm="1">
        <f t="array" ref="AW1363">IFERROR(IF(AV1363=0,0,(INDEX($C$33:$C$38,MATCH($AZ$1315,$B$33:$B$38,0),0)*(AV1363+$BA$1315)+$AY$1315*$C$31)*$AU$1315),0)</f>
        <v>0</v>
      </c>
      <c r="AX1363">
        <f>IF(AV1363=0,0,-$AY$1315*$C$31*$H$27*$AU$1315)</f>
        <v>0</v>
      </c>
      <c r="AY1363">
        <f>IF(AV1363=0,0,$AY$1315*$H$26*$AU$1315)</f>
        <v>0</v>
      </c>
      <c r="AZ1363">
        <f>(0.6*AW1363+0.7*AX1363)*$AU$1315/2</f>
        <v>0</v>
      </c>
      <c r="BA1363">
        <f>AW1363*$AU$1315/2</f>
        <v>0</v>
      </c>
      <c r="BC1363">
        <f>IF(AV1363=0,0,$BG$1315*$AP$1305)</f>
        <v>0</v>
      </c>
      <c r="BD1363">
        <f>IFERROR(BC1363/$AU$1315,0)</f>
        <v>0</v>
      </c>
      <c r="BE1363">
        <f>BC1363*($F$25+($C$16+$C$17+IF($C$13="single",1.5,3)+3)/12)</f>
        <v>0</v>
      </c>
      <c r="BF1363">
        <f>BE1363-AZ1363</f>
        <v>0</v>
      </c>
      <c r="BG1363" cm="1">
        <f t="array" ref="BG1363">IFERROR(IF(BF1363&lt;0,0,BF1363/($AU$1315-INDEX(hd_off,MATCH(BT1363,hd_mark,0),0)/12)),0)</f>
        <v>0</v>
      </c>
      <c r="BH1363">
        <f>IF(AV1363=0,0,$BG$1315*$AM$1305)</f>
        <v>0</v>
      </c>
      <c r="BI1363">
        <f>IFERROR(BH1363/$AU$1315,0)</f>
        <v>0</v>
      </c>
      <c r="BJ1363">
        <f>BH1363*($F$25+($C$16+$C$17+IF($C$13="single",1.5,3)+3)/12)</f>
        <v>0</v>
      </c>
      <c r="BK1363">
        <f>BJ1363-BA1363</f>
        <v>0</v>
      </c>
      <c r="BL1363" cm="1">
        <f t="array" ref="BL1363">IFERROR(IF(BK1363&lt;0,0,BK1363/($AU$1315-INDEX(hd_off,MATCH(BT1363,hd_mark,0),0)/12)),0)</f>
        <v>0</v>
      </c>
      <c r="BM1363">
        <f>MAX($F$25,$BF$1315)/$Q$1332</f>
        <v>0.29920977011494249</v>
      </c>
      <c r="BN1363">
        <f t="shared" si="847"/>
        <v>1</v>
      </c>
      <c r="BO1363" cm="1">
        <f t="array" ref="BO1363">IFERROR(INDEX(sheath_ecap_asd,MATCH(BS1363,sheath_mark,0),0)*BN1363,0)</f>
        <v>0</v>
      </c>
      <c r="BP1363" cm="1">
        <f t="array" ref="BP1363">IFERROR(INDEX(sheath_wcap_asd,MATCH(BS1363,sheath_mark,0),0)*BN1363,0)</f>
        <v>0</v>
      </c>
      <c r="BQ1363" cm="1">
        <f t="array" ref="BQ1363">IFERROR(INDEX(hd_cap,MATCH(BT1363,hd_mark,0),0),0)</f>
        <v>0</v>
      </c>
      <c r="BS1363" s="19"/>
      <c r="BT1363" s="19"/>
      <c r="BU1363" s="100"/>
    </row>
    <row r="1364" x14ac:dyDescent="0.25">
      <c r="P1364" s="93"/>
      <c r="AR1364" s="100"/>
      <c r="AS1364" s="93"/>
      <c r="BU1364" s="100"/>
    </row>
    <row r="1365" x14ac:dyDescent="0.25">
      <c r="P1365" s="93"/>
      <c r="Q1365" s="110" t="str">
        <f>$Q$1316</f>
        <v>A.07</v>
      </c>
      <c r="R1365" t="str">
        <f>$Q$1301</f>
        <v>L2</v>
      </c>
      <c r="S1365">
        <f>$E$21</f>
        <v>10.6875</v>
      </c>
      <c r="T1365" cm="1">
        <f t="array" ref="T1365">IFERROR(IF(S1365=0,0,(INDEX($C$33:$C$38,MATCH($W$1316,$B$33:$B$38,0),0)*(S1369+$X$1316)+$T$1316*COUNTIF(S1365:S1368,"&gt;0")*$C$32+$V$1316*$C$31)*$R$1316),0)</f>
        <v>0</v>
      </c>
      <c r="U1365">
        <f>IF(S1365=0,0,-(COUNTIF(S1365:S1368,"&gt;0")*$T$1316*$C$32+$V$1316*$C$31)*$H$27*$R$1316)</f>
        <v>0</v>
      </c>
      <c r="V1365">
        <f>IF(S1365=0,0,$V$1316*$H$26*$R$1316)</f>
        <v>0</v>
      </c>
      <c r="W1365">
        <f>(0.6*T1365+0.7*U1365)*$R$1316/2</f>
        <v>0</v>
      </c>
      <c r="X1365">
        <f>(0.6*T1365+0.6*V1365)*$R$1316/2</f>
        <v>0</v>
      </c>
      <c r="Z1365">
        <f>IF(S1365=0,0,$AD$1316*$AP$1301)</f>
        <v>0</v>
      </c>
      <c r="AA1365">
        <f>IFERROR(Z1365/$R$1316,0)</f>
        <v>0</v>
      </c>
      <c r="AB1365">
        <f>Z1365*($F$21+IF($F$21=0,0,($C$14+$C$15+IF($C$13="single",1.5,3)+3)/12))</f>
        <v>0</v>
      </c>
      <c r="AC1365">
        <f>AB1365-W1365</f>
        <v>0</v>
      </c>
      <c r="AD1365" cm="1">
        <f t="array" ref="AD1365">IFERROR(IF(AC1365&lt;0,0,AC1365/($R$1316-INDEX(hd_off,MATCH(AQ1365,hd_mark,0),0)/12)),0)</f>
        <v>0</v>
      </c>
      <c r="AE1365">
        <f>IF(S1365=0,0,$AD$1316*$AM$1301)</f>
        <v>0</v>
      </c>
      <c r="AF1365">
        <f>IFERROR(AE1365/$R$1316,0)</f>
        <v>0</v>
      </c>
      <c r="AG1365">
        <f>AE1365*($F$21+IF($F$21=0,0,($C$14+$C$15+IF($C$13="single",1.5,3)+3)/12))</f>
        <v>0</v>
      </c>
      <c r="AH1365">
        <f>AG1365-X1365</f>
        <v>0</v>
      </c>
      <c r="AI1365" cm="1">
        <f t="array" ref="AI1365">IFERROR(IF(AH1365&lt;0,0,AH1365/($R$1316-INDEX(hd_off,MATCH(AQ1365,hd_mark,0),0)/12)),0)</f>
        <v>0</v>
      </c>
      <c r="AJ1365">
        <f>MAX($F$21,$Y$1316)/$Q$1332</f>
        <v>0.30172413793103448</v>
      </c>
      <c r="AK1365">
        <f>IF(AJ1365=0,0,IF(AJ1365&gt;2,1.25-0.125*AJ1365,1))</f>
        <v>1</v>
      </c>
      <c r="AL1365" cm="1">
        <f t="array" ref="AL1365">IFERROR(INDEX(sheath_ecap_asd,MATCH(AP1365,sheath_mark,0),0)*AK1365,0)</f>
        <v>0</v>
      </c>
      <c r="AM1365" cm="1">
        <f t="array" ref="AM1365">IFERROR(INDEX(sheath_wcap_asd,MATCH(AP1365,sheath_mark,0),0)*AK1365,0)</f>
        <v>0</v>
      </c>
      <c r="AN1365" cm="1">
        <f t="array" ref="AN1365">IFERROR(INDEX(hd_cap,MATCH(AQ1365,hd_mark,0),0),0)</f>
        <v>0</v>
      </c>
      <c r="AP1365" s="19"/>
      <c r="AQ1365" s="19"/>
      <c r="AR1365" s="100"/>
      <c r="AS1365" s="93"/>
      <c r="AT1365" s="110" t="str">
        <f>$AT$1316</f>
        <v>1.07</v>
      </c>
      <c r="AU1365" t="str">
        <f>$Q$1301</f>
        <v>L2</v>
      </c>
      <c r="AV1365">
        <f>$E$21</f>
        <v>10.6875</v>
      </c>
      <c r="AW1365" cm="1">
        <f t="array" ref="AW1365">IFERROR(IF(AV1365=0,0,(INDEX($C$33:$C$38,MATCH($AZ$1316,$B$33:$B$38,0),0)*(AV1369+$BA$1316)+$AW$1316*COUNTIF(AV1365:AV1368,"&gt;0")*$C$32+$AY$1316*$C$31)*$AU$1316),0)</f>
        <v>0</v>
      </c>
      <c r="AX1365">
        <f>IF(AV1365=0,0,-(COUNTIF(AV1365:AV1368,"&gt;0")*$AW$1316*$C$32+$AY$1316*$C$31)*$H$27*$AU$1316)</f>
        <v>0</v>
      </c>
      <c r="AY1365">
        <f>IF(AV1365=0,0,$AY$1316*$H$26*$AU$1316)</f>
        <v>0</v>
      </c>
      <c r="AZ1365">
        <f>(0.6*AW1365+0.7*AX1365)*$AU$1316/2</f>
        <v>0</v>
      </c>
      <c r="BA1365">
        <f>(0.6*AW1365+0.6*AY1365)*$AU$1316/2</f>
        <v>0</v>
      </c>
      <c r="BC1365">
        <f>IF(AV1365=0,0,$BG$1316*$AP$1301)</f>
        <v>0</v>
      </c>
      <c r="BD1365">
        <f>IFERROR(BC1365/$AU$1316,0)</f>
        <v>0</v>
      </c>
      <c r="BE1365">
        <f>BC1365*($F$21+IF($F$21=0,0,($C$14+$C$15+IF($C$13="single",1.5,3)+3)/12))</f>
        <v>0</v>
      </c>
      <c r="BF1365">
        <f>BE1365-AZ1365</f>
        <v>0</v>
      </c>
      <c r="BG1365" cm="1">
        <f t="array" ref="BG1365">IFERROR(IF(BF1365&lt;0,0,BF1365/($AU$1316-INDEX(hd_off,MATCH(BT1365,hd_mark,0),0)/12)),0)</f>
        <v>0</v>
      </c>
      <c r="BH1365">
        <f>IF(AV1365=0,0,$BG$1316*$AM$1301)</f>
        <v>0</v>
      </c>
      <c r="BI1365">
        <f>IFERROR(BH1365/$AU$1316,0)</f>
        <v>0</v>
      </c>
      <c r="BJ1365">
        <f>BH1365*($F$21+IF($F$21=0,0,($C$14+$C$15+IF($C$13="single",1.5,3)+3)/12))</f>
        <v>0</v>
      </c>
      <c r="BK1365">
        <f>BJ1365-BA1365</f>
        <v>0</v>
      </c>
      <c r="BL1365" cm="1">
        <f t="array" ref="BL1365">IFERROR(IF(BK1365&lt;0,0,BK1365/($AU$1316-INDEX(hd_off,MATCH(BT1365,hd_mark,0),0)/12)),0)</f>
        <v>0</v>
      </c>
      <c r="BM1365">
        <f>MAX($F$21,$BB$1316)/$Q$1332</f>
        <v>0.30172413793103448</v>
      </c>
      <c r="BN1365">
        <f>IF(BM1365=0,0,IF(BM1365&gt;2,1.25-0.125*BM1365,1))</f>
        <v>1</v>
      </c>
      <c r="BO1365" cm="1">
        <f t="array" ref="BO1365">IFERROR(INDEX(sheath_ecap_asd,MATCH(BS1365,sheath_mark,0),0)*BN1365,0)</f>
        <v>0</v>
      </c>
      <c r="BP1365" cm="1">
        <f t="array" ref="BP1365">IFERROR(INDEX(sheath_wcap_asd,MATCH(BS1365,sheath_mark,0),0)*BN1365,0)</f>
        <v>0</v>
      </c>
      <c r="BQ1365" cm="1">
        <f t="array" ref="BQ1365">IFERROR(INDEX(hd_cap,MATCH(BT1365,hd_mark,0),0),0)</f>
        <v>0</v>
      </c>
      <c r="BS1365" s="19"/>
      <c r="BT1365" s="19"/>
      <c r="BU1365" s="100"/>
    </row>
    <row r="1366" x14ac:dyDescent="0.25">
      <c r="P1366" s="93"/>
      <c r="Q1366" s="109"/>
      <c r="R1366" t="str">
        <f>$Q$1302</f>
        <v>L3</v>
      </c>
      <c r="S1366">
        <f>$E$22</f>
        <v>21.375</v>
      </c>
      <c r="T1366" cm="1">
        <f t="array" ref="T1366">IFERROR(IF(S1366=0,0,(INDEX($C$33:$C$38,MATCH($W$1316,$B$33:$B$38,0),0)*(S1369+$X$1316)+$T$1316*COUNTIF(S1366:S1368,"&gt;0")*$C$32+$V$1316*$C$31)*$R$1316),0)</f>
        <v>0</v>
      </c>
      <c r="U1366">
        <f>IF(S1366=0,0,-(COUNTIF(S1366:S1368,"&gt;0")*$T$1316*$C$32+$V$1316*$C$31)*$H$27*$R$1316)</f>
        <v>0</v>
      </c>
      <c r="V1366">
        <f>IF(S1366=0,0,$V$1316*$H$26*$R$1316)</f>
        <v>0</v>
      </c>
      <c r="W1366">
        <f>(0.6*T1366+0.7*U1366)*$R$1316/2</f>
        <v>0</v>
      </c>
      <c r="X1366">
        <f>T1366*$R$1316/2</f>
        <v>0</v>
      </c>
      <c r="Z1366">
        <f>IF(S1366=0,0,$AD$1316*$AP$1302)</f>
        <v>0</v>
      </c>
      <c r="AA1366">
        <f>IFERROR(Z1366/$R$1316,0)</f>
        <v>0</v>
      </c>
      <c r="AB1366">
        <f>Z1366*($F$22+IF($F$22=0,0,($C$14+$C$15+IF($C$13="single",1.5,3)+3)/12))</f>
        <v>0</v>
      </c>
      <c r="AC1366">
        <f>AB1366-W1366</f>
        <v>0</v>
      </c>
      <c r="AD1366" cm="1">
        <f t="array" ref="AD1366">IFERROR(IF(AC1366&lt;0,0,AC1366/($R$1316-INDEX(hd_off,MATCH(AQ1366,hd_mark,0),0)/12)),0)</f>
        <v>0</v>
      </c>
      <c r="AE1366">
        <f>IF(S1366=0,0,$AD$1316*$AM$1302)</f>
        <v>0</v>
      </c>
      <c r="AF1366">
        <f>IFERROR(AE1366/$R$1316,0)</f>
        <v>0</v>
      </c>
      <c r="AG1366">
        <f>AE1366*($F$22+IF($F$22=0,0,($C$14+$C$15+IF($C$13="single",1.5,3)+3)/12))</f>
        <v>0</v>
      </c>
      <c r="AH1366">
        <f>AG1366-X1366</f>
        <v>0</v>
      </c>
      <c r="AI1366" cm="1">
        <f t="array" ref="AI1366">IFERROR(IF(AH1366&lt;0,0,AH1366/($R$1316-INDEX(hd_off,MATCH(AQ1366,hd_mark,0),0)/12)),0)</f>
        <v>0</v>
      </c>
      <c r="AJ1366">
        <f>MAX($F$22,$Z$1316)/$Q$1332</f>
        <v>0.30172413793103448</v>
      </c>
      <c r="AK1366">
        <f t="shared" ref="AK1366:AK1369" si="848">IF(AJ1366=0,0,IF(AJ1366&gt;2,1.25-0.125*AJ1366,1))</f>
        <v>1</v>
      </c>
      <c r="AL1366" cm="1">
        <f t="array" ref="AL1366">IFERROR(INDEX(sheath_ecap_asd,MATCH(AP1366,sheath_mark,0),0)*AK1366,0)</f>
        <v>0</v>
      </c>
      <c r="AM1366" cm="1">
        <f t="array" ref="AM1366">IFERROR(INDEX(sheath_wcap_asd,MATCH(AP1366,sheath_mark,0),0)*AK1366,0)</f>
        <v>0</v>
      </c>
      <c r="AN1366" cm="1">
        <f t="array" ref="AN1366">IFERROR(INDEX(hd_cap,MATCH(AQ1366,hd_mark,0),0),0)</f>
        <v>0</v>
      </c>
      <c r="AP1366" s="19"/>
      <c r="AQ1366" s="19"/>
      <c r="AR1366" s="100"/>
      <c r="AS1366" s="93"/>
      <c r="AT1366" s="109"/>
      <c r="AU1366" t="str">
        <f>$Q$1302</f>
        <v>L3</v>
      </c>
      <c r="AV1366">
        <f>$E$22</f>
        <v>21.375</v>
      </c>
      <c r="AW1366" cm="1">
        <f t="array" ref="AW1366">IFERROR(IF(AV1366=0,0,(INDEX($C$33:$C$38,MATCH($AZ$1316,$B$33:$B$38,0),0)*(AV1369+$BA$1316)+$AW$1316*COUNTIF(AV1366:AV1368,"&gt;0")*$C$32+$AY$1316*$C$31)*$AU$1316),0)</f>
        <v>0</v>
      </c>
      <c r="AX1366">
        <f>IF(AV1366=0,0,-(COUNTIF(AV1366:AV1368,"&gt;0")*$AW$1316*$C$32+$AY$1316*$C$31)*$H$27*$AU$1316)</f>
        <v>0</v>
      </c>
      <c r="AY1366">
        <f>IF(AV1366=0,0,$AY$1316*$H$26*$AU$1316)</f>
        <v>0</v>
      </c>
      <c r="AZ1366">
        <f>(0.6*AW1366+0.7*AX1366)*$AU$1316/2</f>
        <v>0</v>
      </c>
      <c r="BA1366">
        <f>AW1366*$AU$1316/2</f>
        <v>0</v>
      </c>
      <c r="BC1366">
        <f>IF(AV1366=0,0,$BG$1316*$AP$1302)</f>
        <v>0</v>
      </c>
      <c r="BD1366">
        <f>IFERROR(BC1366/$AU$1316,0)</f>
        <v>0</v>
      </c>
      <c r="BE1366">
        <f>BC1366*($F$22+IF($F$22=0,0,($C$14+$C$15+IF($C$13="single",1.5,3)+3)/12))</f>
        <v>0</v>
      </c>
      <c r="BF1366">
        <f>BE1366-AZ1366</f>
        <v>0</v>
      </c>
      <c r="BG1366" cm="1">
        <f t="array" ref="BG1366">IFERROR(IF(BF1366&lt;0,0,BF1366/($AU$1316-INDEX(hd_off,MATCH(BT1366,hd_mark,0),0)/12)),0)</f>
        <v>0</v>
      </c>
      <c r="BH1366">
        <f>IF(AV1366=0,0,$BG$1316*$AM$1302)</f>
        <v>0</v>
      </c>
      <c r="BI1366">
        <f>IFERROR(BH1366/$AU$1316,0)</f>
        <v>0</v>
      </c>
      <c r="BJ1366">
        <f>BH1366*($F$22+IF($F$22=0,0,($C$14+$C$15+IF($C$13="single",1.5,3)+3)/12))</f>
        <v>0</v>
      </c>
      <c r="BK1366">
        <f>BJ1366-BA1366</f>
        <v>0</v>
      </c>
      <c r="BL1366" cm="1">
        <f t="array" ref="BL1366">IFERROR(IF(BK1366&lt;0,0,BK1366/($AU$1316-INDEX(hd_off,MATCH(BT1366,hd_mark,0),0)/12)),0)</f>
        <v>0</v>
      </c>
      <c r="BM1366">
        <f>MAX($F$22,$BC$1316)/$Q$1332</f>
        <v>0.30172413793103448</v>
      </c>
      <c r="BN1366">
        <f t="shared" ref="BN1366:BN1369" si="849">IF(BM1366=0,0,IF(BM1366&gt;2,1.25-0.125*BM1366,1))</f>
        <v>1</v>
      </c>
      <c r="BO1366" cm="1">
        <f t="array" ref="BO1366">IFERROR(INDEX(sheath_ecap_asd,MATCH(BS1366,sheath_mark,0),0)*BN1366,0)</f>
        <v>0</v>
      </c>
      <c r="BP1366" cm="1">
        <f t="array" ref="BP1366">IFERROR(INDEX(sheath_wcap_asd,MATCH(BS1366,sheath_mark,0),0)*BN1366,0)</f>
        <v>0</v>
      </c>
      <c r="BQ1366" cm="1">
        <f t="array" ref="BQ1366">IFERROR(INDEX(hd_cap,MATCH(BT1366,hd_mark,0),0),0)</f>
        <v>0</v>
      </c>
      <c r="BS1366" s="19"/>
      <c r="BT1366" s="19"/>
      <c r="BU1366" s="100"/>
    </row>
    <row r="1367" x14ac:dyDescent="0.25">
      <c r="P1367" s="93"/>
      <c r="Q1367" s="109" t="s">
        <v>491</v>
      </c>
      <c r="R1367" t="str">
        <f>$Q$1303</f>
        <v>L4</v>
      </c>
      <c r="S1367">
        <f>$E$23</f>
        <v>0</v>
      </c>
      <c r="T1367" cm="1">
        <f t="array" ref="T1367">IFERROR(IF(S1367=0,0,(INDEX($C$33:$C$38,MATCH($W$1316,$B$33:$B$38,0),0)*(S1369+$X$1316)+$T$1316*COUNTIF(S1367:S1368,"&gt;0")*$C$32+$V$1316*$C$31)*$R$1316),0)</f>
        <v>0</v>
      </c>
      <c r="U1367">
        <f>IF(S1367=0,0,-(COUNTIF(S1367:S1368,"&gt;0")*$T$1316*$C$32+$V$1316*$C$31)*$H$27*$R$1316)</f>
        <v>0</v>
      </c>
      <c r="V1367">
        <f>IF(S1367=0,0,$V$1316*$H$26*$R$1316)</f>
        <v>0</v>
      </c>
      <c r="W1367">
        <f>(0.6*T1367+0.7*U1367)*$R$1316/2</f>
        <v>0</v>
      </c>
      <c r="X1367">
        <f>T1367*$R$1316/2</f>
        <v>0</v>
      </c>
      <c r="Z1367">
        <f>IF(S1367=0,0,$AD$1316*$AP$1303)</f>
        <v>0</v>
      </c>
      <c r="AA1367">
        <f>IFERROR(Z1367/$R$1316,0)</f>
        <v>0</v>
      </c>
      <c r="AB1367">
        <f>Z1367*($F$23+IF($F$23=0,0,($C$14+$C$15+IF($C$13="single",1.5,3)+3)/12))</f>
        <v>0</v>
      </c>
      <c r="AC1367">
        <f>AB1367-W1367</f>
        <v>0</v>
      </c>
      <c r="AD1367" cm="1">
        <f t="array" ref="AD1367">IFERROR(IF(AC1367&lt;0,0,AC1367/($R$1316-INDEX(hd_off,MATCH(AQ1367,hd_mark,0),0)/12)),0)</f>
        <v>0</v>
      </c>
      <c r="AE1367">
        <f>IF(S1367=0,0,$AD$1316*$AM$1303)</f>
        <v>0</v>
      </c>
      <c r="AF1367">
        <f>IFERROR(AE1367/$R$1316,0)</f>
        <v>0</v>
      </c>
      <c r="AG1367">
        <f>AE1367*($F$23+IF($F$23=0,0,($C$14+$C$15+IF($C$13="single",1.5,3)+3)/12))</f>
        <v>0</v>
      </c>
      <c r="AH1367">
        <f>AG1367-X1367</f>
        <v>0</v>
      </c>
      <c r="AI1367" cm="1">
        <f t="array" ref="AI1367">IFERROR(IF(AH1367&lt;0,0,AH1367/($R$1316-INDEX(hd_off,MATCH(AQ1367,hd_mark,0),0)/12)),0)</f>
        <v>0</v>
      </c>
      <c r="AJ1367">
        <f>MAX($F$23,$AA$1316)/$Q$1332</f>
        <v>0</v>
      </c>
      <c r="AK1367">
        <f t="shared" si="848"/>
        <v>0</v>
      </c>
      <c r="AL1367" cm="1">
        <f t="array" ref="AL1367">IFERROR(INDEX(sheath_ecap_asd,MATCH(AP1367,sheath_mark,0),0)*AK1367,0)</f>
        <v>0</v>
      </c>
      <c r="AM1367" cm="1">
        <f t="array" ref="AM1367">IFERROR(INDEX(sheath_wcap_asd,MATCH(AP1367,sheath_mark,0),0)*AK1367,0)</f>
        <v>0</v>
      </c>
      <c r="AN1367" cm="1">
        <f t="array" ref="AN1367">IFERROR(INDEX(hd_cap,MATCH(AQ1367,hd_mark,0),0),0)</f>
        <v>0</v>
      </c>
      <c r="AP1367" s="19"/>
      <c r="AQ1367" s="19"/>
      <c r="AR1367" s="100"/>
      <c r="AS1367" s="93"/>
      <c r="AT1367" s="109" t="s">
        <v>491</v>
      </c>
      <c r="AU1367" t="str">
        <f>$Q$1303</f>
        <v>L4</v>
      </c>
      <c r="AV1367">
        <f>$E$23</f>
        <v>0</v>
      </c>
      <c r="AW1367" cm="1">
        <f t="array" ref="AW1367">IFERROR(IF(AV1367=0,0,(INDEX($C$33:$C$38,MATCH($AZ$1316,$B$33:$B$38,0),0)*(AV1369+$BA$1316)+$AW$1316*COUNTIF(AV1367:AV1368,"&gt;0")*$C$32+$AY$1316*$C$31)*$AU$1316),0)</f>
        <v>0</v>
      </c>
      <c r="AX1367">
        <f>IF(AV1367=0,0,-(COUNTIF(AV1367:AV1368,"&gt;0")*$AW$1316*$C$32+$AY$1316*$C$31)*$H$27*$AU$1316)</f>
        <v>0</v>
      </c>
      <c r="AY1367">
        <f>IF(AV1367=0,0,$AY$1316*$H$26*$AU$1316)</f>
        <v>0</v>
      </c>
      <c r="AZ1367">
        <f>(0.6*AW1367+0.7*AX1367)*$AU$1316/2</f>
        <v>0</v>
      </c>
      <c r="BA1367">
        <f>AW1367*$AU$1316/2</f>
        <v>0</v>
      </c>
      <c r="BC1367">
        <f>IF(AV1367=0,0,$BG$1316*$AP$1303)</f>
        <v>0</v>
      </c>
      <c r="BD1367">
        <f>IFERROR(BC1367/$AU$1316,0)</f>
        <v>0</v>
      </c>
      <c r="BE1367">
        <f>BC1367*($F$23+IF($F$23=0,0,($C$14+$C$15+IF($C$13="single",1.5,3)+3)/12))</f>
        <v>0</v>
      </c>
      <c r="BF1367">
        <f>BE1367-AZ1367</f>
        <v>0</v>
      </c>
      <c r="BG1367" cm="1">
        <f t="array" ref="BG1367">IFERROR(IF(BF1367&lt;0,0,BF1367/($AU$1316-INDEX(hd_off,MATCH(BT1367,hd_mark,0),0)/12)),0)</f>
        <v>0</v>
      </c>
      <c r="BH1367">
        <f>IF(AV1367=0,0,$BG$1316*$AM$1303)</f>
        <v>0</v>
      </c>
      <c r="BI1367">
        <f>IFERROR(BH1367/$AU$1316,0)</f>
        <v>0</v>
      </c>
      <c r="BJ1367">
        <f>BH1367*($F$23+IF($F$23=0,0,($C$14+$C$15+IF($C$13="single",1.5,3)+3)/12))</f>
        <v>0</v>
      </c>
      <c r="BK1367">
        <f>BJ1367-BA1367</f>
        <v>0</v>
      </c>
      <c r="BL1367" cm="1">
        <f t="array" ref="BL1367">IFERROR(IF(BK1367&lt;0,0,BK1367/($AU$1316-INDEX(hd_off,MATCH(BT1367,hd_mark,0),0)/12)),0)</f>
        <v>0</v>
      </c>
      <c r="BM1367">
        <f>MAX($F$23,$BD$1316)/$Q$1332</f>
        <v>0</v>
      </c>
      <c r="BN1367">
        <f t="shared" si="849"/>
        <v>0</v>
      </c>
      <c r="BO1367" cm="1">
        <f t="array" ref="BO1367">IFERROR(INDEX(sheath_ecap_asd,MATCH(BS1367,sheath_mark,0),0)*BN1367,0)</f>
        <v>0</v>
      </c>
      <c r="BP1367" cm="1">
        <f t="array" ref="BP1367">IFERROR(INDEX(sheath_wcap_asd,MATCH(BS1367,sheath_mark,0),0)*BN1367,0)</f>
        <v>0</v>
      </c>
      <c r="BQ1367" cm="1">
        <f t="array" ref="BQ1367">IFERROR(INDEX(hd_cap,MATCH(BT1367,hd_mark,0),0),0)</f>
        <v>0</v>
      </c>
      <c r="BS1367" s="19"/>
      <c r="BT1367" s="19"/>
      <c r="BU1367" s="100"/>
    </row>
    <row r="1368" x14ac:dyDescent="0.25">
      <c r="P1368" s="93"/>
      <c r="Q1368" s="111">
        <f>$R$1316</f>
        <v>0</v>
      </c>
      <c r="R1368" t="str">
        <f>$Q$1304</f>
        <v>L5</v>
      </c>
      <c r="S1368">
        <f>$E$24</f>
        <v>0</v>
      </c>
      <c r="T1368" cm="1">
        <f t="array" ref="T1368">IFERROR(IF(S1368=0,0,(INDEX($C$33:$C$38,MATCH($W$1316,$B$33:$B$38,0),0)*(S1369+$X$1316)+$T$1316*COUNTIF(S1368:S1368,"&gt;0")*$C$32+$V$1316*$C$31)*$R$1316),0)</f>
        <v>0</v>
      </c>
      <c r="U1368">
        <f>IF(S1368=0,0,-(COUNTIF(S1368:S1368,"&gt;0")*$T$1316*$C$32+$V$1316*$C$31)*$H$27*$R$1316)</f>
        <v>0</v>
      </c>
      <c r="V1368">
        <f>IF(S1368=0,0,$V$1316*$H$26*$R$1316)</f>
        <v>0</v>
      </c>
      <c r="W1368">
        <f>(0.6*T1368+0.7*U1368)*$R$1316/2</f>
        <v>0</v>
      </c>
      <c r="X1368">
        <f>T1368*$R$1316/2</f>
        <v>0</v>
      </c>
      <c r="Z1368">
        <f>IF(S1368=0,0,$AD$1316*$AP$1304)</f>
        <v>0</v>
      </c>
      <c r="AA1368">
        <f>IFERROR(Z1368/$R$1316,0)</f>
        <v>0</v>
      </c>
      <c r="AB1368">
        <f>Z1368*($F$24+IF($F$24=0,0,($C$14+$C$15+IF($C$13="single",1.5,3)+3)/12))</f>
        <v>0</v>
      </c>
      <c r="AC1368">
        <f>AB1368-W1368</f>
        <v>0</v>
      </c>
      <c r="AD1368" cm="1">
        <f t="array" ref="AD1368">IFERROR(IF(AC1368&lt;0,0,AC1368/($R$1316-INDEX(hd_off,MATCH(AQ1368,hd_mark,0),0)/12)),0)</f>
        <v>0</v>
      </c>
      <c r="AE1368">
        <f>IF(S1368=0,0,$AD$1316*$AM$1304)</f>
        <v>0</v>
      </c>
      <c r="AF1368">
        <f>IFERROR(AE1368/$R$1316,0)</f>
        <v>0</v>
      </c>
      <c r="AG1368">
        <f>AE1368*($F$24+IF($F$24=0,0,($C$14+$C$15+IF($C$13="single",1.5,3)+3)/12))</f>
        <v>0</v>
      </c>
      <c r="AH1368">
        <f>AG1368-X1368</f>
        <v>0</v>
      </c>
      <c r="AI1368" cm="1">
        <f t="array" ref="AI1368">IFERROR(IF(AH1368&lt;0,0,AH1368/($R$1316-INDEX(hd_off,MATCH(AQ1368,hd_mark,0),0)/12)),0)</f>
        <v>0</v>
      </c>
      <c r="AJ1368">
        <f>MAX($F$24,$AB$1316)/$Q$1332</f>
        <v>0</v>
      </c>
      <c r="AK1368">
        <f t="shared" si="848"/>
        <v>0</v>
      </c>
      <c r="AL1368" cm="1">
        <f t="array" ref="AL1368">IFERROR(INDEX(sheath_ecap_asd,MATCH(AP1368,sheath_mark,0),0)*AK1368,0)</f>
        <v>0</v>
      </c>
      <c r="AM1368" cm="1">
        <f t="array" ref="AM1368">IFERROR(INDEX(sheath_wcap_asd,MATCH(AP1368,sheath_mark,0),0)*AK1368,0)</f>
        <v>0</v>
      </c>
      <c r="AN1368" cm="1">
        <f t="array" ref="AN1368">IFERROR(INDEX(hd_cap,MATCH(AQ1368,hd_mark,0),0),0)</f>
        <v>0</v>
      </c>
      <c r="AP1368" s="19"/>
      <c r="AQ1368" s="19"/>
      <c r="AR1368" s="100"/>
      <c r="AS1368" s="93"/>
      <c r="AT1368" s="111">
        <f>$R$1316</f>
        <v>0</v>
      </c>
      <c r="AU1368" t="str">
        <f>$Q$1304</f>
        <v>L5</v>
      </c>
      <c r="AV1368">
        <f>$E$24</f>
        <v>0</v>
      </c>
      <c r="AW1368" cm="1">
        <f t="array" ref="AW1368">IFERROR(IF(AV1368=0,0,(INDEX($C$33:$C$38,MATCH($AZ$1316,$B$33:$B$38,0),0)*(AV1369+$BA$1316)+$AW$1316*COUNTIF(AV1368:AV1368,"&gt;0")*$C$32+$AY$1316*$C$31)*$AU$1316),0)</f>
        <v>0</v>
      </c>
      <c r="AX1368">
        <f>IF(AV1368=0,0,-(COUNTIF(AV1368:AV1368,"&gt;0")*$AW$1316*$C$32+$AY$1316*$C$31)*$H$27*$AU$1316)</f>
        <v>0</v>
      </c>
      <c r="AY1368">
        <f>IF(AV1368=0,0,$AY$1316*$H$26*$AU$1316)</f>
        <v>0</v>
      </c>
      <c r="AZ1368">
        <f>(0.6*AW1368+0.7*AX1368)*$AU$1316/2</f>
        <v>0</v>
      </c>
      <c r="BA1368">
        <f>AW1368*$AU$1316/2</f>
        <v>0</v>
      </c>
      <c r="BC1368">
        <f>IF(AV1368=0,0,$BG$1316*$AP$1304)</f>
        <v>0</v>
      </c>
      <c r="BD1368">
        <f>IFERROR(BC1368/$AU$1316,0)</f>
        <v>0</v>
      </c>
      <c r="BE1368">
        <f>BC1368*($F$24+IF($F$24=0,0,($C$14+$C$15+IF($C$13="single",1.5,3)+3)/12))</f>
        <v>0</v>
      </c>
      <c r="BF1368">
        <f>BE1368-AZ1368</f>
        <v>0</v>
      </c>
      <c r="BG1368" cm="1">
        <f t="array" ref="BG1368">IFERROR(IF(BF1368&lt;0,0,BF1368/($AU$1316-INDEX(hd_off,MATCH(BT1368,hd_mark,0),0)/12)),0)</f>
        <v>0</v>
      </c>
      <c r="BH1368">
        <f>IF(AV1368=0,0,$BG$1316*$AM$1304)</f>
        <v>0</v>
      </c>
      <c r="BI1368">
        <f>IFERROR(BH1368/$AU$1316,0)</f>
        <v>0</v>
      </c>
      <c r="BJ1368">
        <f>BH1368*($F$24+IF($F$24=0,0,($C$14+$C$15+IF($C$13="single",1.5,3)+3)/12))</f>
        <v>0</v>
      </c>
      <c r="BK1368">
        <f>BJ1368-BA1368</f>
        <v>0</v>
      </c>
      <c r="BL1368" cm="1">
        <f t="array" ref="BL1368">IFERROR(IF(BK1368&lt;0,0,BK1368/($AU$1316-INDEX(hd_off,MATCH(BT1368,hd_mark,0),0)/12)),0)</f>
        <v>0</v>
      </c>
      <c r="BM1368">
        <f>MAX($F$24,$BE$1316)/$Q$1332</f>
        <v>0</v>
      </c>
      <c r="BN1368">
        <f t="shared" si="849"/>
        <v>0</v>
      </c>
      <c r="BO1368" cm="1">
        <f t="array" ref="BO1368">IFERROR(INDEX(sheath_ecap_asd,MATCH(BS1368,sheath_mark,0),0)*BN1368,0)</f>
        <v>0</v>
      </c>
      <c r="BP1368" cm="1">
        <f t="array" ref="BP1368">IFERROR(INDEX(sheath_wcap_asd,MATCH(BS1368,sheath_mark,0),0)*BN1368,0)</f>
        <v>0</v>
      </c>
      <c r="BQ1368" cm="1">
        <f t="array" ref="BQ1368">IFERROR(INDEX(hd_cap,MATCH(BT1368,hd_mark,0),0),0)</f>
        <v>0</v>
      </c>
      <c r="BS1368" s="19"/>
      <c r="BT1368" s="19"/>
      <c r="BU1368" s="100"/>
    </row>
    <row r="1369" x14ac:dyDescent="0.25">
      <c r="P1369" s="93"/>
      <c r="Q1369" s="109"/>
      <c r="R1369" t="str">
        <f>$Q$1305</f>
        <v>Roof</v>
      </c>
      <c r="S1369">
        <f>$E$25</f>
        <v>33.171875</v>
      </c>
      <c r="T1369" cm="1">
        <f t="array" ref="T1369">IFERROR(IF(S1369=0,0,(INDEX($C$33:$C$38,MATCH($W$1316,$B$33:$B$38,0),0)*(S1369+$X$1316)+$V$1316*$C$31)*$R$1316),0)</f>
        <v>0</v>
      </c>
      <c r="U1369">
        <f>IF(S1369=0,0,-$V$1316*$C$31*$H$27*$R$1316)</f>
        <v>0</v>
      </c>
      <c r="V1369">
        <f>IF(S1369=0,0,$V$1316*$H$26*$R$1316)</f>
        <v>0</v>
      </c>
      <c r="W1369">
        <f>(0.6*T1369+0.7*U1369)*$R$1316/2</f>
        <v>0</v>
      </c>
      <c r="X1369">
        <f>T1369*$R$1316/2</f>
        <v>0</v>
      </c>
      <c r="Z1369">
        <f>IF(S1369=0,0,$AD$1316*$AP$1305)</f>
        <v>0</v>
      </c>
      <c r="AA1369">
        <f>IFERROR(Z1369/$R$1316,0)</f>
        <v>0</v>
      </c>
      <c r="AB1369">
        <f>Z1369*($F$25+($C$16+$C$17+IF($C$13="single",1.5,3)+3)/12)</f>
        <v>0</v>
      </c>
      <c r="AC1369">
        <f>AB1369-W1369</f>
        <v>0</v>
      </c>
      <c r="AD1369" cm="1">
        <f t="array" ref="AD1369">IFERROR(IF(AC1369&lt;0,0,AC1369/($R$1316-INDEX(hd_off,MATCH(AQ1369,hd_mark,0),0)/12)),0)</f>
        <v>0</v>
      </c>
      <c r="AE1369">
        <f>IF(S1369=0,0,$AD$1316*$AM$1305)</f>
        <v>0</v>
      </c>
      <c r="AF1369">
        <f>IFERROR(AE1369/$R$1316,0)</f>
        <v>0</v>
      </c>
      <c r="AG1369">
        <f>AE1369*($F$25+($C$16+$C$17+IF($C$13="single",1.5,3)+3)/12)</f>
        <v>0</v>
      </c>
      <c r="AH1369">
        <f>AG1369-X1369</f>
        <v>0</v>
      </c>
      <c r="AI1369" cm="1">
        <f t="array" ref="AI1369">IFERROR(IF(AH1369&lt;0,0,AH1369/($R$1316-INDEX(hd_off,MATCH(AQ1369,hd_mark,0),0)/12)),0)</f>
        <v>0</v>
      </c>
      <c r="AJ1369">
        <f>MAX($F$25,$AC$1316)/$Q$1332</f>
        <v>0.29920977011494249</v>
      </c>
      <c r="AK1369">
        <f t="shared" si="848"/>
        <v>1</v>
      </c>
      <c r="AL1369" cm="1">
        <f t="array" ref="AL1369">IFERROR(INDEX(sheath_ecap_asd,MATCH(AP1369,sheath_mark,0),0)*AK1369,0)</f>
        <v>0</v>
      </c>
      <c r="AM1369" cm="1">
        <f t="array" ref="AM1369">IFERROR(INDEX(sheath_wcap_asd,MATCH(AP1369,sheath_mark,0),0)*AK1369,0)</f>
        <v>0</v>
      </c>
      <c r="AN1369" cm="1">
        <f t="array" ref="AN1369">IFERROR(INDEX(hd_cap,MATCH(AQ1369,hd_mark,0),0),0)</f>
        <v>0</v>
      </c>
      <c r="AP1369" s="19"/>
      <c r="AQ1369" s="19"/>
      <c r="AR1369" s="100"/>
      <c r="AS1369" s="93"/>
      <c r="AT1369" s="109"/>
      <c r="AU1369" t="str">
        <f>$Q$1305</f>
        <v>Roof</v>
      </c>
      <c r="AV1369">
        <f>$E$25</f>
        <v>33.171875</v>
      </c>
      <c r="AW1369" cm="1">
        <f t="array" ref="AW1369">IFERROR(IF(AV1369=0,0,(INDEX($C$33:$C$38,MATCH($AZ$1316,$B$33:$B$38,0),0)*(AV1369+$BA$1316)+$AY$1316*$C$31)*$AU$1316),0)</f>
        <v>0</v>
      </c>
      <c r="AX1369">
        <f>IF(AV1369=0,0,-$AY$1316*$C$31*$H$27*$AU$1316)</f>
        <v>0</v>
      </c>
      <c r="AY1369">
        <f>IF(AV1369=0,0,$AY$1316*$H$26*$AU$1316)</f>
        <v>0</v>
      </c>
      <c r="AZ1369">
        <f>(0.6*AW1369+0.7*AX1369)*$AU$1316/2</f>
        <v>0</v>
      </c>
      <c r="BA1369">
        <f>AW1369*$AU$1316/2</f>
        <v>0</v>
      </c>
      <c r="BC1369">
        <f>IF(AV1369=0,0,$BG$1316*$AP$1305)</f>
        <v>0</v>
      </c>
      <c r="BD1369">
        <f>IFERROR(BC1369/$AU$1316,0)</f>
        <v>0</v>
      </c>
      <c r="BE1369">
        <f>BC1369*($F$25+($C$16+$C$17+IF($C$13="single",1.5,3)+3)/12)</f>
        <v>0</v>
      </c>
      <c r="BF1369">
        <f>BE1369-AZ1369</f>
        <v>0</v>
      </c>
      <c r="BG1369" cm="1">
        <f t="array" ref="BG1369">IFERROR(IF(BF1369&lt;0,0,BF1369/($AU$1316-INDEX(hd_off,MATCH(BT1369,hd_mark,0),0)/12)),0)</f>
        <v>0</v>
      </c>
      <c r="BH1369">
        <f>IF(AV1369=0,0,$BG$1316*$AM$1305)</f>
        <v>0</v>
      </c>
      <c r="BI1369">
        <f>IFERROR(BH1369/$AU$1316,0)</f>
        <v>0</v>
      </c>
      <c r="BJ1369">
        <f>BH1369*($F$25+($C$16+$C$17+IF($C$13="single",1.5,3)+3)/12)</f>
        <v>0</v>
      </c>
      <c r="BK1369">
        <f>BJ1369-BA1369</f>
        <v>0</v>
      </c>
      <c r="BL1369" cm="1">
        <f t="array" ref="BL1369">IFERROR(IF(BK1369&lt;0,0,BK1369/($AU$1316-INDEX(hd_off,MATCH(BT1369,hd_mark,0),0)/12)),0)</f>
        <v>0</v>
      </c>
      <c r="BM1369">
        <f>MAX($F$25,$BF$1316)/$Q$1332</f>
        <v>0.29920977011494249</v>
      </c>
      <c r="BN1369">
        <f t="shared" si="849"/>
        <v>1</v>
      </c>
      <c r="BO1369" cm="1">
        <f t="array" ref="BO1369">IFERROR(INDEX(sheath_ecap_asd,MATCH(BS1369,sheath_mark,0),0)*BN1369,0)</f>
        <v>0</v>
      </c>
      <c r="BP1369" cm="1">
        <f t="array" ref="BP1369">IFERROR(INDEX(sheath_wcap_asd,MATCH(BS1369,sheath_mark,0),0)*BN1369,0)</f>
        <v>0</v>
      </c>
      <c r="BQ1369" cm="1">
        <f t="array" ref="BQ1369">IFERROR(INDEX(hd_cap,MATCH(BT1369,hd_mark,0),0),0)</f>
        <v>0</v>
      </c>
      <c r="BS1369" s="19"/>
      <c r="BT1369" s="19"/>
      <c r="BU1369" s="100"/>
    </row>
    <row r="1370" x14ac:dyDescent="0.25">
      <c r="P1370" s="93"/>
      <c r="AR1370" s="100"/>
      <c r="AS1370" s="93"/>
      <c r="BU1370" s="100"/>
    </row>
    <row r="1371" x14ac:dyDescent="0.25">
      <c r="P1371" s="93"/>
      <c r="Q1371" s="110" t="str">
        <f>$Q$1317</f>
        <v>A.08</v>
      </c>
      <c r="R1371" t="str">
        <f>$Q$1301</f>
        <v>L2</v>
      </c>
      <c r="S1371">
        <f>$E$21</f>
        <v>10.6875</v>
      </c>
      <c r="T1371" cm="1">
        <f t="array" ref="T1371">IFERROR(IF(S1371=0,0,(INDEX($C$33:$C$38,MATCH($W$1317,$B$33:$B$38,0),0)*(S1375+$X$1317)+$T$1317*COUNTIF(S1371:S1374,"&gt;0")*$C$32+$V$1317*$C$31)*$R$1317),0)</f>
        <v>0</v>
      </c>
      <c r="U1371">
        <f>IF(S1371=0,0,-(COUNTIF(S1371:S1374,"&gt;0")*$T$1317*$C$32+$V$1317*$C$31)*$H$27*$R$1317)</f>
        <v>0</v>
      </c>
      <c r="V1371">
        <f>IF(S1371=0,0,$V$1317*$H$26*$R$1317)</f>
        <v>0</v>
      </c>
      <c r="W1371">
        <f>(0.6*T1371+0.7*U1371)*$R$1317/2</f>
        <v>0</v>
      </c>
      <c r="X1371">
        <f>(0.6*T1371+0.6*V1371)*$R$1317/2</f>
        <v>0</v>
      </c>
      <c r="Z1371">
        <f>IF(S1371=0,0,$AD$1317*$AP$1301)</f>
        <v>0</v>
      </c>
      <c r="AA1371">
        <f>IFERROR(Z1371/$R$1317,0)</f>
        <v>0</v>
      </c>
      <c r="AB1371">
        <f>Z1371*($F$21+IF($F$21=0,0,($C$14+$C$15+IF($C$13="single",1.5,3)+3)/12))</f>
        <v>0</v>
      </c>
      <c r="AC1371">
        <f>AB1371-W1371</f>
        <v>0</v>
      </c>
      <c r="AD1371" cm="1">
        <f t="array" ref="AD1371">IFERROR(IF(AC1371&lt;0,0,AC1371/($R$1317-INDEX(hd_off,MATCH(AQ1371,hd_mark,0),0)/12)),0)</f>
        <v>0</v>
      </c>
      <c r="AE1371">
        <f>IF(S1371=0,0,$AD$1317*$AM$1301)</f>
        <v>0</v>
      </c>
      <c r="AF1371">
        <f>IFERROR(AE1371/$R$1317,0)</f>
        <v>0</v>
      </c>
      <c r="AG1371">
        <f>AE1371*($F$21+IF($F$21=0,0,($C$14+$C$15+IF($C$13="single",1.5,3)+3)/12))</f>
        <v>0</v>
      </c>
      <c r="AH1371">
        <f>AG1371-X1371</f>
        <v>0</v>
      </c>
      <c r="AI1371" cm="1">
        <f t="array" ref="AI1371">IFERROR(IF(AH1371&lt;0,0,AH1371/($R$1317-INDEX(hd_off,MATCH(AQ1371,hd_mark,0),0)/12)),0)</f>
        <v>0</v>
      </c>
      <c r="AJ1371">
        <f>MAX($F$21,$Y$1317)/$Q$1332</f>
        <v>0.30172413793103448</v>
      </c>
      <c r="AK1371">
        <f>IF(AJ1371=0,0,IF(AJ1371&gt;2,1.25-0.125*AJ1371,1))</f>
        <v>1</v>
      </c>
      <c r="AL1371" cm="1">
        <f t="array" ref="AL1371">IFERROR(INDEX(sheath_ecap_asd,MATCH(AP1371,sheath_mark,0),0)*AK1371,0)</f>
        <v>0</v>
      </c>
      <c r="AM1371" cm="1">
        <f t="array" ref="AM1371">IFERROR(INDEX(sheath_wcap_asd,MATCH(AP1371,sheath_mark,0),0)*AK1371,0)</f>
        <v>0</v>
      </c>
      <c r="AN1371" cm="1">
        <f t="array" ref="AN1371">IFERROR(INDEX(hd_cap,MATCH(AQ1371,hd_mark,0),0),0)</f>
        <v>0</v>
      </c>
      <c r="AP1371" s="19"/>
      <c r="AQ1371" s="19"/>
      <c r="AR1371" s="100"/>
      <c r="AS1371" s="93"/>
      <c r="AT1371" s="110" t="str">
        <f>$AT$1317</f>
        <v>1.08</v>
      </c>
      <c r="AU1371" t="str">
        <f>$Q$1301</f>
        <v>L2</v>
      </c>
      <c r="AV1371">
        <f>$E$21</f>
        <v>10.6875</v>
      </c>
      <c r="AW1371" cm="1">
        <f t="array" ref="AW1371">IFERROR(IF(AV1371=0,0,(INDEX($C$33:$C$38,MATCH($AZ$1317,$B$33:$B$38,0),0)*(AV1375+$BA$1317)+$AW$1317*COUNTIF(AV1371:AV1374,"&gt;0")*$C$32+$AY$1317*$C$31)*$AU$1317),0)</f>
        <v>0</v>
      </c>
      <c r="AX1371">
        <f>IF(AV1371=0,0,-(COUNTIF(AV1371:AV1374,"&gt;0")*$AW$1317*$C$32+$AY$1317*$C$31)*$H$27*$AU$1317)</f>
        <v>0</v>
      </c>
      <c r="AY1371">
        <f>IF(AV1371=0,0,$AY$1317*$H$26*$AU$1317)</f>
        <v>0</v>
      </c>
      <c r="AZ1371">
        <f>(0.6*AW1371+0.7*AX1371)*$AU$1317/2</f>
        <v>0</v>
      </c>
      <c r="BA1371">
        <f>(0.6*AW1371+0.6*AY1371)*$AU$1317/2</f>
        <v>0</v>
      </c>
      <c r="BC1371">
        <f>IF(AV1371=0,0,$BG$1317*$AP$1301)</f>
        <v>0</v>
      </c>
      <c r="BD1371">
        <f>IFERROR(BC1371/$AU$1317,0)</f>
        <v>0</v>
      </c>
      <c r="BE1371">
        <f>BC1371*($F$21+IF($F$21=0,0,($C$14+$C$15+IF($C$13="single",1.5,3)+3)/12))</f>
        <v>0</v>
      </c>
      <c r="BF1371">
        <f>BE1371-AZ1371</f>
        <v>0</v>
      </c>
      <c r="BG1371" cm="1">
        <f t="array" ref="BG1371">IFERROR(IF(BF1371&lt;0,0,BF1371/($AU$1317-INDEX(hd_off,MATCH(BT1371,hd_mark,0),0)/12)),0)</f>
        <v>0</v>
      </c>
      <c r="BH1371">
        <f>IF(AV1371=0,0,$BG$1317*$AM$1301)</f>
        <v>0</v>
      </c>
      <c r="BI1371">
        <f>IFERROR(BH1371/$AU$1317,0)</f>
        <v>0</v>
      </c>
      <c r="BJ1371">
        <f>BH1371*($F$21+IF($F$21=0,0,($C$14+$C$15+IF($C$13="single",1.5,3)+3)/12))</f>
        <v>0</v>
      </c>
      <c r="BK1371">
        <f>BJ1371-BA1371</f>
        <v>0</v>
      </c>
      <c r="BL1371" cm="1">
        <f t="array" ref="BL1371">IFERROR(IF(BK1371&lt;0,0,BK1371/($AU$1317-INDEX(hd_off,MATCH(BT1371,hd_mark,0),0)/12)),0)</f>
        <v>0</v>
      </c>
      <c r="BM1371">
        <f>MAX($F$21,$BB$1317)/$Q$1332</f>
        <v>0.30172413793103448</v>
      </c>
      <c r="BN1371">
        <f>IF(BM1371=0,0,IF(BM1371&gt;2,1.25-0.125*BM1371,1))</f>
        <v>1</v>
      </c>
      <c r="BO1371" cm="1">
        <f t="array" ref="BO1371">IFERROR(INDEX(sheath_ecap_asd,MATCH(BS1371,sheath_mark,0),0)*BN1371,0)</f>
        <v>0</v>
      </c>
      <c r="BP1371" cm="1">
        <f t="array" ref="BP1371">IFERROR(INDEX(sheath_wcap_asd,MATCH(BS1371,sheath_mark,0),0)*BN1371,0)</f>
        <v>0</v>
      </c>
      <c r="BQ1371" cm="1">
        <f t="array" ref="BQ1371">IFERROR(INDEX(hd_cap,MATCH(BT1371,hd_mark,0),0),0)</f>
        <v>0</v>
      </c>
      <c r="BS1371" s="19"/>
      <c r="BT1371" s="19"/>
      <c r="BU1371" s="100"/>
    </row>
    <row r="1372" x14ac:dyDescent="0.25">
      <c r="P1372" s="93"/>
      <c r="Q1372" s="109"/>
      <c r="R1372" t="str">
        <f>$Q$1302</f>
        <v>L3</v>
      </c>
      <c r="S1372">
        <f>$E$22</f>
        <v>21.375</v>
      </c>
      <c r="T1372" cm="1">
        <f t="array" ref="T1372">IFERROR(IF(S1372=0,0,(INDEX($C$33:$C$38,MATCH($W$1317,$B$33:$B$38,0),0)*(S1375+$X$1317)+$T$1317*COUNTIF(S1372:S1374,"&gt;0")*$C$32+$V$1317*$C$31)*$R$1317),0)</f>
        <v>0</v>
      </c>
      <c r="U1372">
        <f>IF(S1372=0,0,-(COUNTIF(S1372:S1374,"&gt;0")*$T$1317*$C$32+$V$1317*$C$31)*$H$27*$R$1317)</f>
        <v>0</v>
      </c>
      <c r="V1372">
        <f>IF(S1372=0,0,$V$1317*$H$26*$R$1317)</f>
        <v>0</v>
      </c>
      <c r="W1372">
        <f>(0.6*T1372+0.7*U1372)*$R$1317/2</f>
        <v>0</v>
      </c>
      <c r="X1372">
        <f>T1372*$R$1317/2</f>
        <v>0</v>
      </c>
      <c r="Z1372">
        <f>IF(S1372=0,0,$AD$1317*$AP$1302)</f>
        <v>0</v>
      </c>
      <c r="AA1372">
        <f>IFERROR(Z1372/$R$1317,0)</f>
        <v>0</v>
      </c>
      <c r="AB1372">
        <f>Z1372*($F$22+IF($F$22=0,0,($C$14+$C$15+IF($C$13="single",1.5,3)+3)/12))</f>
        <v>0</v>
      </c>
      <c r="AC1372">
        <f>AB1372-W1372</f>
        <v>0</v>
      </c>
      <c r="AD1372" cm="1">
        <f t="array" ref="AD1372">IFERROR(IF(AC1372&lt;0,0,AC1372/($R$1317-INDEX(hd_off,MATCH(AQ1372,hd_mark,0),0)/12)),0)</f>
        <v>0</v>
      </c>
      <c r="AE1372">
        <f>IF(S1372=0,0,$AD$1317*$AM$1302)</f>
        <v>0</v>
      </c>
      <c r="AF1372">
        <f>IFERROR(AE1372/$R$1317,0)</f>
        <v>0</v>
      </c>
      <c r="AG1372">
        <f>AE1372*($F$22+IF($F$22=0,0,($C$14+$C$15+IF($C$13="single",1.5,3)+3)/12))</f>
        <v>0</v>
      </c>
      <c r="AH1372">
        <f>AG1372-X1372</f>
        <v>0</v>
      </c>
      <c r="AI1372" cm="1">
        <f t="array" ref="AI1372">IFERROR(IF(AH1372&lt;0,0,AH1372/($R$1317-INDEX(hd_off,MATCH(AQ1372,hd_mark,0),0)/12)),0)</f>
        <v>0</v>
      </c>
      <c r="AJ1372">
        <f>MAX($F$22,$Z$1317)/$Q$1332</f>
        <v>0.30172413793103448</v>
      </c>
      <c r="AK1372">
        <f t="shared" ref="AK1372:AK1375" si="850">IF(AJ1372=0,0,IF(AJ1372&gt;2,1.25-0.125*AJ1372,1))</f>
        <v>1</v>
      </c>
      <c r="AL1372" cm="1">
        <f t="array" ref="AL1372">IFERROR(INDEX(sheath_ecap_asd,MATCH(AP1372,sheath_mark,0),0)*AK1372,0)</f>
        <v>0</v>
      </c>
      <c r="AM1372" cm="1">
        <f t="array" ref="AM1372">IFERROR(INDEX(sheath_wcap_asd,MATCH(AP1372,sheath_mark,0),0)*AK1372,0)</f>
        <v>0</v>
      </c>
      <c r="AN1372" cm="1">
        <f t="array" ref="AN1372">IFERROR(INDEX(hd_cap,MATCH(AQ1372,hd_mark,0),0),0)</f>
        <v>0</v>
      </c>
      <c r="AP1372" s="19"/>
      <c r="AQ1372" s="19"/>
      <c r="AR1372" s="100"/>
      <c r="AS1372" s="93"/>
      <c r="AT1372" s="109"/>
      <c r="AU1372" t="str">
        <f>$Q$1302</f>
        <v>L3</v>
      </c>
      <c r="AV1372">
        <f>$E$22</f>
        <v>21.375</v>
      </c>
      <c r="AW1372" cm="1">
        <f t="array" ref="AW1372">IFERROR(IF(AV1372=0,0,(INDEX($C$33:$C$38,MATCH($AZ$1317,$B$33:$B$38,0),0)*(AV1375+$BA$1317)+$AW$1317*COUNTIF(AV1372:AV1374,"&gt;0")*$C$32+$AY$1317*$C$31)*$AU$1317),0)</f>
        <v>0</v>
      </c>
      <c r="AX1372">
        <f>IF(AV1372=0,0,-(COUNTIF(AV1372:AV1374,"&gt;0")*$AW$1317*$C$32+$AY$1317*$C$31)*$H$27*$AU$1317)</f>
        <v>0</v>
      </c>
      <c r="AY1372">
        <f>IF(AV1372=0,0,$AY$1317*$H$26*$AU$1317)</f>
        <v>0</v>
      </c>
      <c r="AZ1372">
        <f>(0.6*AW1372+0.7*AX1372)*$AU$1317/2</f>
        <v>0</v>
      </c>
      <c r="BA1372">
        <f>AW1372*$AU$1317/2</f>
        <v>0</v>
      </c>
      <c r="BC1372">
        <f>IF(AV1372=0,0,$BG$1317*$AP$1302)</f>
        <v>0</v>
      </c>
      <c r="BD1372">
        <f>IFERROR(BC1372/$AU$1317,0)</f>
        <v>0</v>
      </c>
      <c r="BE1372">
        <f>BC1372*($F$22+IF($F$22=0,0,($C$14+$C$15+IF($C$13="single",1.5,3)+3)/12))</f>
        <v>0</v>
      </c>
      <c r="BF1372">
        <f>BE1372-AZ1372</f>
        <v>0</v>
      </c>
      <c r="BG1372" cm="1">
        <f t="array" ref="BG1372">IFERROR(IF(BF1372&lt;0,0,BF1372/($AU$1317-INDEX(hd_off,MATCH(BT1372,hd_mark,0),0)/12)),0)</f>
        <v>0</v>
      </c>
      <c r="BH1372">
        <f>IF(AV1372=0,0,$BG$1317*$AM$1302)</f>
        <v>0</v>
      </c>
      <c r="BI1372">
        <f>IFERROR(BH1372/$AU$1317,0)</f>
        <v>0</v>
      </c>
      <c r="BJ1372">
        <f>BH1372*($F$22+IF($F$22=0,0,($C$14+$C$15+IF($C$13="single",1.5,3)+3)/12))</f>
        <v>0</v>
      </c>
      <c r="BK1372">
        <f>BJ1372-BA1372</f>
        <v>0</v>
      </c>
      <c r="BL1372" cm="1">
        <f t="array" ref="BL1372">IFERROR(IF(BK1372&lt;0,0,BK1372/($AU$1317-INDEX(hd_off,MATCH(BT1372,hd_mark,0),0)/12)),0)</f>
        <v>0</v>
      </c>
      <c r="BM1372">
        <f>MAX($F$22,$BC$1317)/$Q$1332</f>
        <v>0.30172413793103448</v>
      </c>
      <c r="BN1372">
        <f t="shared" ref="BN1372:BN1375" si="851">IF(BM1372=0,0,IF(BM1372&gt;2,1.25-0.125*BM1372,1))</f>
        <v>1</v>
      </c>
      <c r="BO1372" cm="1">
        <f t="array" ref="BO1372">IFERROR(INDEX(sheath_ecap_asd,MATCH(BS1372,sheath_mark,0),0)*BN1372,0)</f>
        <v>0</v>
      </c>
      <c r="BP1372" cm="1">
        <f t="array" ref="BP1372">IFERROR(INDEX(sheath_wcap_asd,MATCH(BS1372,sheath_mark,0),0)*BN1372,0)</f>
        <v>0</v>
      </c>
      <c r="BQ1372" cm="1">
        <f t="array" ref="BQ1372">IFERROR(INDEX(hd_cap,MATCH(BT1372,hd_mark,0),0),0)</f>
        <v>0</v>
      </c>
      <c r="BS1372" s="19"/>
      <c r="BT1372" s="19"/>
      <c r="BU1372" s="100"/>
    </row>
    <row r="1373" x14ac:dyDescent="0.25">
      <c r="P1373" s="93"/>
      <c r="Q1373" s="109" t="s">
        <v>491</v>
      </c>
      <c r="R1373" t="str">
        <f>$Q$1303</f>
        <v>L4</v>
      </c>
      <c r="S1373">
        <f>$E$23</f>
        <v>0</v>
      </c>
      <c r="T1373" cm="1">
        <f t="array" ref="T1373">IFERROR(IF(S1373=0,0,(INDEX($C$33:$C$38,MATCH($W$1317,$B$33:$B$38,0),0)*(S1375+$X$1317)+$T$1317*COUNTIF(S1373:S1374,"&gt;0")*$C$32+$V$1317*$C$31)*$R$1317),0)</f>
        <v>0</v>
      </c>
      <c r="U1373">
        <f>IF(S1373=0,0,-(COUNTIF(S1373:S1374,"&gt;0")*$T$1317*$C$32+$V$1317*$C$31)*$H$27*$R$1317)</f>
        <v>0</v>
      </c>
      <c r="V1373">
        <f>IF(S1373=0,0,$V$1317*$H$26*$R$1317)</f>
        <v>0</v>
      </c>
      <c r="W1373">
        <f>(0.6*T1373+0.7*U1373)*$R$1317/2</f>
        <v>0</v>
      </c>
      <c r="X1373">
        <f>T1373*$R$1317/2</f>
        <v>0</v>
      </c>
      <c r="Z1373">
        <f>IF(S1373=0,0,$AD$1317*$AP$1303)</f>
        <v>0</v>
      </c>
      <c r="AA1373">
        <f>IFERROR(Z1373/$R$1317,0)</f>
        <v>0</v>
      </c>
      <c r="AB1373">
        <f>Z1373*($F$23+IF($F$23=0,0,($C$14+$C$15+IF($C$13="single",1.5,3)+3)/12))</f>
        <v>0</v>
      </c>
      <c r="AC1373">
        <f>AB1373-W1373</f>
        <v>0</v>
      </c>
      <c r="AD1373" cm="1">
        <f t="array" ref="AD1373">IFERROR(IF(AC1373&lt;0,0,AC1373/($R$1317-INDEX(hd_off,MATCH(AQ1373,hd_mark,0),0)/12)),0)</f>
        <v>0</v>
      </c>
      <c r="AE1373">
        <f>IF(S1373=0,0,$AD$1317*$AM$1303)</f>
        <v>0</v>
      </c>
      <c r="AF1373">
        <f>IFERROR(AE1373/$R$1317,0)</f>
        <v>0</v>
      </c>
      <c r="AG1373">
        <f>AE1373*($F$23+IF($F$23=0,0,($C$14+$C$15+IF($C$13="single",1.5,3)+3)/12))</f>
        <v>0</v>
      </c>
      <c r="AH1373">
        <f>AG1373-X1373</f>
        <v>0</v>
      </c>
      <c r="AI1373" cm="1">
        <f t="array" ref="AI1373">IFERROR(IF(AH1373&lt;0,0,AH1373/($R$1317-INDEX(hd_off,MATCH(AQ1373,hd_mark,0),0)/12)),0)</f>
        <v>0</v>
      </c>
      <c r="AJ1373">
        <f>MAX($F$23,$AA$1317)/$Q$1332</f>
        <v>0</v>
      </c>
      <c r="AK1373">
        <f t="shared" si="850"/>
        <v>0</v>
      </c>
      <c r="AL1373" cm="1">
        <f t="array" ref="AL1373">IFERROR(INDEX(sheath_ecap_asd,MATCH(AP1373,sheath_mark,0),0)*AK1373,0)</f>
        <v>0</v>
      </c>
      <c r="AM1373" cm="1">
        <f t="array" ref="AM1373">IFERROR(INDEX(sheath_wcap_asd,MATCH(AP1373,sheath_mark,0),0)*AK1373,0)</f>
        <v>0</v>
      </c>
      <c r="AN1373" cm="1">
        <f t="array" ref="AN1373">IFERROR(INDEX(hd_cap,MATCH(AQ1373,hd_mark,0),0),0)</f>
        <v>0</v>
      </c>
      <c r="AP1373" s="19"/>
      <c r="AQ1373" s="19"/>
      <c r="AR1373" s="100"/>
      <c r="AS1373" s="93"/>
      <c r="AT1373" s="109" t="s">
        <v>491</v>
      </c>
      <c r="AU1373" t="str">
        <f>$Q$1303</f>
        <v>L4</v>
      </c>
      <c r="AV1373">
        <f>$E$23</f>
        <v>0</v>
      </c>
      <c r="AW1373" cm="1">
        <f t="array" ref="AW1373">IFERROR(IF(AV1373=0,0,(INDEX($C$33:$C$38,MATCH($AZ$1317,$B$33:$B$38,0),0)*(AV1375+$BA$1317)+$AW$1317*COUNTIF(AV1373:AV1374,"&gt;0")*$C$32+$AY$1317*$C$31)*$AU$1317),0)</f>
        <v>0</v>
      </c>
      <c r="AX1373">
        <f>IF(AV1373=0,0,-(COUNTIF(AV1373:AV1374,"&gt;0")*$AW$1317*$C$32+$AY$1317*$C$31)*$H$27*$AU$1317)</f>
        <v>0</v>
      </c>
      <c r="AY1373">
        <f>IF(AV1373=0,0,$AY$1317*$H$26*$AU$1317)</f>
        <v>0</v>
      </c>
      <c r="AZ1373">
        <f>(0.6*AW1373+0.7*AX1373)*$AU$1317/2</f>
        <v>0</v>
      </c>
      <c r="BA1373">
        <f>AW1373*$AU$1317/2</f>
        <v>0</v>
      </c>
      <c r="BC1373">
        <f>IF(AV1373=0,0,$BG$1317*$AP$1303)</f>
        <v>0</v>
      </c>
      <c r="BD1373">
        <f>IFERROR(BC1373/$AU$1317,0)</f>
        <v>0</v>
      </c>
      <c r="BE1373">
        <f>BC1373*($F$23+IF($F$23=0,0,($C$14+$C$15+IF($C$13="single",1.5,3)+3)/12))</f>
        <v>0</v>
      </c>
      <c r="BF1373">
        <f>BE1373-AZ1373</f>
        <v>0</v>
      </c>
      <c r="BG1373" cm="1">
        <f t="array" ref="BG1373">IFERROR(IF(BF1373&lt;0,0,BF1373/($AU$1317-INDEX(hd_off,MATCH(BT1373,hd_mark,0),0)/12)),0)</f>
        <v>0</v>
      </c>
      <c r="BH1373">
        <f>IF(AV1373=0,0,$BG$1317*$AM$1303)</f>
        <v>0</v>
      </c>
      <c r="BI1373">
        <f>IFERROR(BH1373/$AU$1317,0)</f>
        <v>0</v>
      </c>
      <c r="BJ1373">
        <f>BH1373*($F$23+IF($F$23=0,0,($C$14+$C$15+IF($C$13="single",1.5,3)+3)/12))</f>
        <v>0</v>
      </c>
      <c r="BK1373">
        <f>BJ1373-BA1373</f>
        <v>0</v>
      </c>
      <c r="BL1373" cm="1">
        <f t="array" ref="BL1373">IFERROR(IF(BK1373&lt;0,0,BK1373/($AU$1317-INDEX(hd_off,MATCH(BT1373,hd_mark,0),0)/12)),0)</f>
        <v>0</v>
      </c>
      <c r="BM1373">
        <f>MAX($F$23,$BD$1317)/$Q$1332</f>
        <v>0</v>
      </c>
      <c r="BN1373">
        <f t="shared" si="851"/>
        <v>0</v>
      </c>
      <c r="BO1373" cm="1">
        <f t="array" ref="BO1373">IFERROR(INDEX(sheath_ecap_asd,MATCH(BS1373,sheath_mark,0),0)*BN1373,0)</f>
        <v>0</v>
      </c>
      <c r="BP1373" cm="1">
        <f t="array" ref="BP1373">IFERROR(INDEX(sheath_wcap_asd,MATCH(BS1373,sheath_mark,0),0)*BN1373,0)</f>
        <v>0</v>
      </c>
      <c r="BQ1373" cm="1">
        <f t="array" ref="BQ1373">IFERROR(INDEX(hd_cap,MATCH(BT1373,hd_mark,0),0),0)</f>
        <v>0</v>
      </c>
      <c r="BS1373" s="19"/>
      <c r="BT1373" s="19"/>
      <c r="BU1373" s="100"/>
    </row>
    <row r="1374" x14ac:dyDescent="0.25">
      <c r="P1374" s="93"/>
      <c r="Q1374" s="111">
        <f>$R$1317</f>
        <v>0</v>
      </c>
      <c r="R1374" t="str">
        <f>$Q$1304</f>
        <v>L5</v>
      </c>
      <c r="S1374">
        <f>$E$24</f>
        <v>0</v>
      </c>
      <c r="T1374" cm="1">
        <f t="array" ref="T1374">IFERROR(IF(S1374=0,0,(INDEX($C$33:$C$38,MATCH($W$1317,$B$33:$B$38,0),0)*(S1375+$X$1317)+$T$1317*COUNTIF(S1374:S1374,"&gt;0")*$C$32+$V$1317*$C$31)*$R$1317),0)</f>
        <v>0</v>
      </c>
      <c r="U1374">
        <f>IF(S1374=0,0,-(COUNTIF(S1374:S1374,"&gt;0")*$T$1317*$C$32+$V$1317*$C$31)*$H$27*$R$1317)</f>
        <v>0</v>
      </c>
      <c r="V1374">
        <f>IF(S1374=0,0,$V$1317*$H$26*$R$1317)</f>
        <v>0</v>
      </c>
      <c r="W1374">
        <f>(0.6*T1374+0.7*U1374)*$R$1317/2</f>
        <v>0</v>
      </c>
      <c r="X1374">
        <f>T1374*$R$1317/2</f>
        <v>0</v>
      </c>
      <c r="Z1374">
        <f>IF(S1374=0,0,$AD$1317*$AP$1304)</f>
        <v>0</v>
      </c>
      <c r="AA1374">
        <f>IFERROR(Z1374/$R$1317,0)</f>
        <v>0</v>
      </c>
      <c r="AB1374">
        <f>Z1374*($F$24+IF($F$24=0,0,($C$14+$C$15+IF($C$13="single",1.5,3)+3)/12))</f>
        <v>0</v>
      </c>
      <c r="AC1374">
        <f>AB1374-W1374</f>
        <v>0</v>
      </c>
      <c r="AD1374" cm="1">
        <f t="array" ref="AD1374">IFERROR(IF(AC1374&lt;0,0,AC1374/($R$1317-INDEX(hd_off,MATCH(AQ1374,hd_mark,0),0)/12)),0)</f>
        <v>0</v>
      </c>
      <c r="AE1374">
        <f>IF(S1374=0,0,$AD$1317*$AM$1304)</f>
        <v>0</v>
      </c>
      <c r="AF1374">
        <f>IFERROR(AE1374/$R$1317,0)</f>
        <v>0</v>
      </c>
      <c r="AG1374">
        <f>AE1374*($F$24+IF($F$24=0,0,($C$14+$C$15+IF($C$13="single",1.5,3)+3)/12))</f>
        <v>0</v>
      </c>
      <c r="AH1374">
        <f>AG1374-X1374</f>
        <v>0</v>
      </c>
      <c r="AI1374" cm="1">
        <f t="array" ref="AI1374">IFERROR(IF(AH1374&lt;0,0,AH1374/($R$1317-INDEX(hd_off,MATCH(AQ1374,hd_mark,0),0)/12)),0)</f>
        <v>0</v>
      </c>
      <c r="AJ1374">
        <f>MAX($F$24,$AB$1317)/$Q$1332</f>
        <v>0</v>
      </c>
      <c r="AK1374">
        <f t="shared" si="850"/>
        <v>0</v>
      </c>
      <c r="AL1374" cm="1">
        <f t="array" ref="AL1374">IFERROR(INDEX(sheath_ecap_asd,MATCH(AP1374,sheath_mark,0),0)*AK1374,0)</f>
        <v>0</v>
      </c>
      <c r="AM1374" cm="1">
        <f t="array" ref="AM1374">IFERROR(INDEX(sheath_wcap_asd,MATCH(AP1374,sheath_mark,0),0)*AK1374,0)</f>
        <v>0</v>
      </c>
      <c r="AN1374" cm="1">
        <f t="array" ref="AN1374">IFERROR(INDEX(hd_cap,MATCH(AQ1374,hd_mark,0),0),0)</f>
        <v>0</v>
      </c>
      <c r="AP1374" s="19"/>
      <c r="AQ1374" s="19"/>
      <c r="AR1374" s="100"/>
      <c r="AS1374" s="93"/>
      <c r="AT1374" s="111">
        <f>$R$1317</f>
        <v>0</v>
      </c>
      <c r="AU1374" t="str">
        <f>$Q$1304</f>
        <v>L5</v>
      </c>
      <c r="AV1374">
        <f>$E$24</f>
        <v>0</v>
      </c>
      <c r="AW1374" cm="1">
        <f t="array" ref="AW1374">IFERROR(IF(AV1374=0,0,(INDEX($C$33:$C$38,MATCH($AZ$1317,$B$33:$B$38,0),0)*(AV1375+$BA$1317)+$AW$1317*COUNTIF(AV1374:AV1374,"&gt;0")*$C$32+$AY$1317*$C$31)*$AU$1317),0)</f>
        <v>0</v>
      </c>
      <c r="AX1374">
        <f>IF(AV1374=0,0,-(COUNTIF(AV1374:AV1374,"&gt;0")*$AW$1317*$C$32+$AY$1317*$C$31)*$H$27*$AU$1317)</f>
        <v>0</v>
      </c>
      <c r="AY1374">
        <f>IF(AV1374=0,0,$AY$1317*$H$26*$AU$1317)</f>
        <v>0</v>
      </c>
      <c r="AZ1374">
        <f>(0.6*AW1374+0.7*AX1374)*$AU$1317/2</f>
        <v>0</v>
      </c>
      <c r="BA1374">
        <f>AW1374*$AU$1317/2</f>
        <v>0</v>
      </c>
      <c r="BC1374">
        <f>IF(AV1374=0,0,$BG$1317*$AP$1304)</f>
        <v>0</v>
      </c>
      <c r="BD1374">
        <f>IFERROR(BC1374/$AU$1317,0)</f>
        <v>0</v>
      </c>
      <c r="BE1374">
        <f>BC1374*($F$24+IF($F$24=0,0,($C$14+$C$15+IF($C$13="single",1.5,3)+3)/12))</f>
        <v>0</v>
      </c>
      <c r="BF1374">
        <f>BE1374-AZ1374</f>
        <v>0</v>
      </c>
      <c r="BG1374" cm="1">
        <f t="array" ref="BG1374">IFERROR(IF(BF1374&lt;0,0,BF1374/($AU$1317-INDEX(hd_off,MATCH(BT1374,hd_mark,0),0)/12)),0)</f>
        <v>0</v>
      </c>
      <c r="BH1374">
        <f>IF(AV1374=0,0,$BG$1317*$AM$1304)</f>
        <v>0</v>
      </c>
      <c r="BI1374">
        <f>IFERROR(BH1374/$AU$1317,0)</f>
        <v>0</v>
      </c>
      <c r="BJ1374">
        <f>BH1374*($F$24+IF($F$24=0,0,($C$14+$C$15+IF($C$13="single",1.5,3)+3)/12))</f>
        <v>0</v>
      </c>
      <c r="BK1374">
        <f>BJ1374-BA1374</f>
        <v>0</v>
      </c>
      <c r="BL1374" cm="1">
        <f t="array" ref="BL1374">IFERROR(IF(BK1374&lt;0,0,BK1374/($AU$1317-INDEX(hd_off,MATCH(BT1374,hd_mark,0),0)/12)),0)</f>
        <v>0</v>
      </c>
      <c r="BM1374">
        <f>MAX($F$24,$BE$1317)/$Q$1332</f>
        <v>0</v>
      </c>
      <c r="BN1374">
        <f t="shared" si="851"/>
        <v>0</v>
      </c>
      <c r="BO1374" cm="1">
        <f t="array" ref="BO1374">IFERROR(INDEX(sheath_ecap_asd,MATCH(BS1374,sheath_mark,0),0)*BN1374,0)</f>
        <v>0</v>
      </c>
      <c r="BP1374" cm="1">
        <f t="array" ref="BP1374">IFERROR(INDEX(sheath_wcap_asd,MATCH(BS1374,sheath_mark,0),0)*BN1374,0)</f>
        <v>0</v>
      </c>
      <c r="BQ1374" cm="1">
        <f t="array" ref="BQ1374">IFERROR(INDEX(hd_cap,MATCH(BT1374,hd_mark,0),0),0)</f>
        <v>0</v>
      </c>
      <c r="BS1374" s="19"/>
      <c r="BT1374" s="19"/>
      <c r="BU1374" s="100"/>
    </row>
    <row r="1375" x14ac:dyDescent="0.25">
      <c r="P1375" s="93"/>
      <c r="Q1375" s="109"/>
      <c r="R1375" t="str">
        <f>$Q$1305</f>
        <v>Roof</v>
      </c>
      <c r="S1375">
        <f>$E$25</f>
        <v>33.171875</v>
      </c>
      <c r="T1375" cm="1">
        <f t="array" ref="T1375">IFERROR(IF(S1375=0,0,(INDEX($C$33:$C$38,MATCH($W$1317,$B$33:$B$38,0),0)*(S1375+$X$1317)+$V$1317*$C$31)*$R$1317),0)</f>
        <v>0</v>
      </c>
      <c r="U1375">
        <f>IF(S1375=0,0,-$V$1317*$C$31*$H$27*$R$1317)</f>
        <v>0</v>
      </c>
      <c r="V1375">
        <f>IF(S1375=0,0,$V$1317*$H$26*$R$1317)</f>
        <v>0</v>
      </c>
      <c r="W1375">
        <f>(0.6*T1375+0.7*U1375)*$R$1317/2</f>
        <v>0</v>
      </c>
      <c r="X1375">
        <f>T1375*$R$1317/2</f>
        <v>0</v>
      </c>
      <c r="Z1375">
        <f>IF(S1375=0,0,$AD$1317*$AP$1305)</f>
        <v>0</v>
      </c>
      <c r="AA1375">
        <f>IFERROR(Z1375/$R$1317,0)</f>
        <v>0</v>
      </c>
      <c r="AB1375">
        <f>Z1375*($F$25+($C$16+$C$17+IF($C$13="single",1.5,3)+3)/12)</f>
        <v>0</v>
      </c>
      <c r="AC1375">
        <f>AB1375-W1375</f>
        <v>0</v>
      </c>
      <c r="AD1375" cm="1">
        <f t="array" ref="AD1375">IFERROR(IF(AC1375&lt;0,0,AC1375/($R$1317-INDEX(hd_off,MATCH(AQ1375,hd_mark,0),0)/12)),0)</f>
        <v>0</v>
      </c>
      <c r="AE1375">
        <f>IF(S1375=0,0,$AD$1317*$AM$1305)</f>
        <v>0</v>
      </c>
      <c r="AF1375">
        <f>IFERROR(AE1375/$R$1317,0)</f>
        <v>0</v>
      </c>
      <c r="AG1375">
        <f>AE1375*($F$25+($C$16+$C$17+IF($C$13="single",1.5,3)+3)/12)</f>
        <v>0</v>
      </c>
      <c r="AH1375">
        <f>AG1375-X1375</f>
        <v>0</v>
      </c>
      <c r="AI1375" cm="1">
        <f t="array" ref="AI1375">IFERROR(IF(AH1375&lt;0,0,AH1375/($R$1317-INDEX(hd_off,MATCH(AQ1375,hd_mark,0),0)/12)),0)</f>
        <v>0</v>
      </c>
      <c r="AJ1375">
        <f>MAX($F$25,$AC$1317)/$Q$1332</f>
        <v>0.29920977011494249</v>
      </c>
      <c r="AK1375">
        <f t="shared" si="850"/>
        <v>1</v>
      </c>
      <c r="AL1375" cm="1">
        <f t="array" ref="AL1375">IFERROR(INDEX(sheath_ecap_asd,MATCH(AP1375,sheath_mark,0),0)*AK1375,0)</f>
        <v>0</v>
      </c>
      <c r="AM1375" cm="1">
        <f t="array" ref="AM1375">IFERROR(INDEX(sheath_wcap_asd,MATCH(AP1375,sheath_mark,0),0)*AK1375,0)</f>
        <v>0</v>
      </c>
      <c r="AN1375" cm="1">
        <f t="array" ref="AN1375">IFERROR(INDEX(hd_cap,MATCH(AQ1375,hd_mark,0),0),0)</f>
        <v>0</v>
      </c>
      <c r="AP1375" s="19"/>
      <c r="AQ1375" s="19"/>
      <c r="AR1375" s="100"/>
      <c r="AS1375" s="93"/>
      <c r="AT1375" s="109"/>
      <c r="AU1375" t="str">
        <f>$Q$1305</f>
        <v>Roof</v>
      </c>
      <c r="AV1375">
        <f>$E$25</f>
        <v>33.171875</v>
      </c>
      <c r="AW1375" cm="1">
        <f t="array" ref="AW1375">IFERROR(IF(AV1375=0,0,(INDEX($C$33:$C$38,MATCH($AZ$1317,$B$33:$B$38,0),0)*(AV1375+$BA$1317)+$AY$1317*$C$31)*$AU$1317),0)</f>
        <v>0</v>
      </c>
      <c r="AX1375">
        <f>IF(AV1375=0,0,-$AY$1317*$C$31*$H$27*$AU$1317)</f>
        <v>0</v>
      </c>
      <c r="AY1375">
        <f>IF(AV1375=0,0,$AY$1317*$H$26*$AU$1317)</f>
        <v>0</v>
      </c>
      <c r="AZ1375">
        <f>(0.6*AW1375+0.7*AX1375)*$AU$1317/2</f>
        <v>0</v>
      </c>
      <c r="BA1375">
        <f>AW1375*$AU$1317/2</f>
        <v>0</v>
      </c>
      <c r="BC1375">
        <f>IF(AV1375=0,0,$BG$1317*$AP$1305)</f>
        <v>0</v>
      </c>
      <c r="BD1375">
        <f>IFERROR(BC1375/$AU$1317,0)</f>
        <v>0</v>
      </c>
      <c r="BE1375">
        <f>BC1375*($F$25+($C$16+$C$17+IF($C$13="single",1.5,3)+3)/12)</f>
        <v>0</v>
      </c>
      <c r="BF1375">
        <f>BE1375-AZ1375</f>
        <v>0</v>
      </c>
      <c r="BG1375" cm="1">
        <f t="array" ref="BG1375">IFERROR(IF(BF1375&lt;0,0,BF1375/($AU$1317-INDEX(hd_off,MATCH(BT1375,hd_mark,0),0)/12)),0)</f>
        <v>0</v>
      </c>
      <c r="BH1375">
        <f>IF(AV1375=0,0,$BG$1317*$AM$1305)</f>
        <v>0</v>
      </c>
      <c r="BI1375">
        <f>IFERROR(BH1375/$AU$1317,0)</f>
        <v>0</v>
      </c>
      <c r="BJ1375">
        <f>BH1375*($F$25+($C$16+$C$17+IF($C$13="single",1.5,3)+3)/12)</f>
        <v>0</v>
      </c>
      <c r="BK1375">
        <f>BJ1375-BA1375</f>
        <v>0</v>
      </c>
      <c r="BL1375" cm="1">
        <f t="array" ref="BL1375">IFERROR(IF(BK1375&lt;0,0,BK1375/($AU$1317-INDEX(hd_off,MATCH(BT1375,hd_mark,0),0)/12)),0)</f>
        <v>0</v>
      </c>
      <c r="BM1375">
        <f>MAX($F$25,$BF$1317)/$Q$1332</f>
        <v>0.29920977011494249</v>
      </c>
      <c r="BN1375">
        <f t="shared" si="851"/>
        <v>1</v>
      </c>
      <c r="BO1375" cm="1">
        <f t="array" ref="BO1375">IFERROR(INDEX(sheath_ecap_asd,MATCH(BS1375,sheath_mark,0),0)*BN1375,0)</f>
        <v>0</v>
      </c>
      <c r="BP1375" cm="1">
        <f t="array" ref="BP1375">IFERROR(INDEX(sheath_wcap_asd,MATCH(BS1375,sheath_mark,0),0)*BN1375,0)</f>
        <v>0</v>
      </c>
      <c r="BQ1375" cm="1">
        <f t="array" ref="BQ1375">IFERROR(INDEX(hd_cap,MATCH(BT1375,hd_mark,0),0),0)</f>
        <v>0</v>
      </c>
      <c r="BS1375" s="19"/>
      <c r="BT1375" s="19"/>
      <c r="BU1375" s="100"/>
    </row>
    <row r="1376" x14ac:dyDescent="0.25">
      <c r="P1376" s="93"/>
      <c r="AR1376" s="100"/>
      <c r="AS1376" s="93"/>
      <c r="BU1376" s="100"/>
    </row>
    <row r="1377" x14ac:dyDescent="0.25">
      <c r="P1377" s="93"/>
      <c r="Q1377" s="110" t="str">
        <f>$Q$1318</f>
        <v>A.09</v>
      </c>
      <c r="R1377" t="str">
        <f>$Q$1301</f>
        <v>L2</v>
      </c>
      <c r="S1377">
        <f>$E$21</f>
        <v>10.6875</v>
      </c>
      <c r="T1377" cm="1">
        <f t="array" ref="T1377">IFERROR(IF(S1377=0,0,(INDEX($C$33:$C$38,MATCH($W$1318,$B$33:$B$38,0),0)*(S1381+$X$1318)+$T$1318*COUNTIF(S1377:S1380,"&gt;0")*$C$32+$V$1318*$C$31)*$R$1318),0)</f>
        <v>0</v>
      </c>
      <c r="U1377">
        <f>IF(S1377=0,0,-(COUNTIF(S1377:S1380,"&gt;0")*$T$1318*$C$32+$V$1318*$C$31)*$H$27*$R$1318)</f>
        <v>0</v>
      </c>
      <c r="V1377">
        <f>IF(S1377=0,0,$V$1318*$H$26*$R$1318)</f>
        <v>0</v>
      </c>
      <c r="W1377">
        <f>(0.6*T1377+0.7*U1377)*$R$1318/2</f>
        <v>0</v>
      </c>
      <c r="X1377">
        <f>(0.6*T1377+0.6*V1377)*$R$1318/2</f>
        <v>0</v>
      </c>
      <c r="Z1377">
        <f>IF(S1377=0,0,$AD$1318*$AP$1301)</f>
        <v>0</v>
      </c>
      <c r="AA1377">
        <f>IFERROR(Z1377/$R$1318,0)</f>
        <v>0</v>
      </c>
      <c r="AB1377">
        <f>Z1377*($F$21+IF($F$21=0,0,($C$14+$C$15+IF($C$13="single",1.5,3)+3)/12))</f>
        <v>0</v>
      </c>
      <c r="AC1377">
        <f>AB1377-W1377</f>
        <v>0</v>
      </c>
      <c r="AD1377" cm="1">
        <f t="array" ref="AD1377">IFERROR(IF(AC1377&lt;0,0,AC1377/($R$1318-INDEX(hd_off,MATCH(AQ1377,hd_mark,0),0)/12)),0)</f>
        <v>0</v>
      </c>
      <c r="AE1377">
        <f>IF(S1377=0,0,$AD$1318*$AM$1301)</f>
        <v>0</v>
      </c>
      <c r="AF1377">
        <f>IFERROR(AE1377/$R$1318,0)</f>
        <v>0</v>
      </c>
      <c r="AG1377">
        <f>AE1377*($F$21+IF($F$21=0,0,($C$14+$C$15+IF($C$13="single",1.5,3)+3)/12))</f>
        <v>0</v>
      </c>
      <c r="AH1377">
        <f>AG1377-X1377</f>
        <v>0</v>
      </c>
      <c r="AI1377" cm="1">
        <f t="array" ref="AI1377">IFERROR(IF(AH1377&lt;0,0,AH1377/($R$1318-INDEX(hd_off,MATCH(AQ1377,hd_mark,0),0)/12)),0)</f>
        <v>0</v>
      </c>
      <c r="AJ1377">
        <f>MAX($F$21,$Y$1318)/$Q$1332</f>
        <v>0.30172413793103448</v>
      </c>
      <c r="AK1377">
        <f>IF(AJ1377=0,0,IF(AJ1377&gt;2,1.25-0.125*AJ1377,1))</f>
        <v>1</v>
      </c>
      <c r="AL1377" cm="1">
        <f t="array" ref="AL1377">IFERROR(INDEX(sheath_ecap_asd,MATCH(AP1377,sheath_mark,0),0)*AK1377,0)</f>
        <v>0</v>
      </c>
      <c r="AM1377" cm="1">
        <f t="array" ref="AM1377">IFERROR(INDEX(sheath_wcap_asd,MATCH(AP1377,sheath_mark,0),0)*AK1377,0)</f>
        <v>0</v>
      </c>
      <c r="AN1377" cm="1">
        <f t="array" ref="AN1377">IFERROR(INDEX(hd_cap,MATCH(AQ1377,hd_mark,0),0),0)</f>
        <v>0</v>
      </c>
      <c r="AP1377" s="19"/>
      <c r="AQ1377" s="19"/>
      <c r="AR1377" s="100"/>
      <c r="AS1377" s="93"/>
      <c r="AT1377" s="110" t="str">
        <f>$AT$1318</f>
        <v>1.09</v>
      </c>
      <c r="AU1377" t="str">
        <f>$Q$1301</f>
        <v>L2</v>
      </c>
      <c r="AV1377">
        <f>$E$21</f>
        <v>10.6875</v>
      </c>
      <c r="AW1377" cm="1">
        <f t="array" ref="AW1377">IFERROR(IF(AV1377=0,0,(INDEX($C$33:$C$38,MATCH($AZ$1318,$B$33:$B$38,0),0)*(AV1381+$BA$1318)+$AW$1318*COUNTIF(AV1377:AV1380,"&gt;0")*$C$32+$AY$1318*$C$31)*$AU$1318),0)</f>
        <v>0</v>
      </c>
      <c r="AX1377">
        <f>IF(AV1377=0,0,-(COUNTIF(AV1377:AV1380,"&gt;0")*$AW$1318*$C$32+$AY$1318*$C$31)*$H$27*$AU$1318)</f>
        <v>0</v>
      </c>
      <c r="AY1377">
        <f>IF(AV1377=0,0,$AY$1318*$H$26*$AU$1318)</f>
        <v>0</v>
      </c>
      <c r="AZ1377">
        <f>(0.6*AW1377+0.7*AX1377)*$AU$1318/2</f>
        <v>0</v>
      </c>
      <c r="BA1377">
        <f>(0.6*AW1377+0.6*AY1377)*$AU$1318/2</f>
        <v>0</v>
      </c>
      <c r="BC1377">
        <f>IF(AV1377=0,0,$BG$1318*$AP$1301)</f>
        <v>0</v>
      </c>
      <c r="BD1377">
        <f>IFERROR(BC1377/$AU$1318,0)</f>
        <v>0</v>
      </c>
      <c r="BE1377">
        <f>BC1377*($F$21+IF($F$21=0,0,($C$14+$C$15+IF($C$13="single",1.5,3)+3)/12))</f>
        <v>0</v>
      </c>
      <c r="BF1377">
        <f>BE1377-AZ1377</f>
        <v>0</v>
      </c>
      <c r="BG1377" cm="1">
        <f t="array" ref="BG1377">IFERROR(IF(BF1377&lt;0,0,BF1377/($AU$1318-INDEX(hd_off,MATCH(BT1377,hd_mark,0),0)/12)),0)</f>
        <v>0</v>
      </c>
      <c r="BH1377">
        <f>IF(AV1377=0,0,$BG$1318*$AM$1301)</f>
        <v>0</v>
      </c>
      <c r="BI1377">
        <f>IFERROR(BH1377/$AU$1318,0)</f>
        <v>0</v>
      </c>
      <c r="BJ1377">
        <f>BH1377*($F$21+IF($F$21=0,0,($C$14+$C$15+IF($C$13="single",1.5,3)+3)/12))</f>
        <v>0</v>
      </c>
      <c r="BK1377">
        <f>BJ1377-BA1377</f>
        <v>0</v>
      </c>
      <c r="BL1377" cm="1">
        <f t="array" ref="BL1377">IFERROR(IF(BK1377&lt;0,0,BK1377/($AU$1318-INDEX(hd_off,MATCH(BT1377,hd_mark,0),0)/12)),0)</f>
        <v>0</v>
      </c>
      <c r="BM1377">
        <f>MAX($F$21,$BB$1318)/$Q$1332</f>
        <v>0.30172413793103448</v>
      </c>
      <c r="BN1377">
        <f>IF(BM1377=0,0,IF(BM1377&gt;2,1.25-0.125*BM1377,1))</f>
        <v>1</v>
      </c>
      <c r="BO1377" cm="1">
        <f t="array" ref="BO1377">IFERROR(INDEX(sheath_ecap_asd,MATCH(BS1377,sheath_mark,0),0)*BN1377,0)</f>
        <v>0</v>
      </c>
      <c r="BP1377" cm="1">
        <f t="array" ref="BP1377">IFERROR(INDEX(sheath_wcap_asd,MATCH(BS1377,sheath_mark,0),0)*BN1377,0)</f>
        <v>0</v>
      </c>
      <c r="BQ1377" cm="1">
        <f t="array" ref="BQ1377">IFERROR(INDEX(hd_cap,MATCH(BT1377,hd_mark,0),0),0)</f>
        <v>0</v>
      </c>
      <c r="BS1377" s="19"/>
      <c r="BT1377" s="19"/>
      <c r="BU1377" s="100"/>
    </row>
    <row r="1378" x14ac:dyDescent="0.25">
      <c r="P1378" s="93"/>
      <c r="Q1378" s="109"/>
      <c r="R1378" t="str">
        <f>$Q$1302</f>
        <v>L3</v>
      </c>
      <c r="S1378">
        <f>$E$22</f>
        <v>21.375</v>
      </c>
      <c r="T1378" cm="1">
        <f t="array" ref="T1378">IFERROR(IF(S1378=0,0,(INDEX($C$33:$C$38,MATCH($W$1318,$B$33:$B$38,0),0)*(S1381+$X$1318)+$T$1318*COUNTIF(S1378:S1380,"&gt;0")*$C$32+$V$1318*$C$31)*$R$1318),0)</f>
        <v>0</v>
      </c>
      <c r="U1378">
        <f>IF(S1378=0,0,-(COUNTIF(S1378:S1380,"&gt;0")*$T$1318*$C$32+$V$1318*$C$31)*$H$27*$R$1318)</f>
        <v>0</v>
      </c>
      <c r="V1378">
        <f>IF(S1378=0,0,$V$1318*$H$26*$R$1318)</f>
        <v>0</v>
      </c>
      <c r="W1378">
        <f>(0.6*T1378+0.7*U1378)*$R$1318/2</f>
        <v>0</v>
      </c>
      <c r="X1378">
        <f>T1378*$R$1318/2</f>
        <v>0</v>
      </c>
      <c r="Z1378">
        <f>IF(S1378=0,0,$AD$1318*$AP$1302)</f>
        <v>0</v>
      </c>
      <c r="AA1378">
        <f>IFERROR(Z1378/$R$1318,0)</f>
        <v>0</v>
      </c>
      <c r="AB1378">
        <f>Z1378*($F$22+IF($F$22=0,0,($C$14+$C$15+IF($C$13="single",1.5,3)+3)/12))</f>
        <v>0</v>
      </c>
      <c r="AC1378">
        <f>AB1378-W1378</f>
        <v>0</v>
      </c>
      <c r="AD1378" cm="1">
        <f t="array" ref="AD1378">IFERROR(IF(AC1378&lt;0,0,AC1378/($R$1318-INDEX(hd_off,MATCH(AQ1378,hd_mark,0),0)/12)),0)</f>
        <v>0</v>
      </c>
      <c r="AE1378">
        <f>IF(S1378=0,0,$AD$1318*$AM$1302)</f>
        <v>0</v>
      </c>
      <c r="AF1378">
        <f>IFERROR(AE1378/$R$1318,0)</f>
        <v>0</v>
      </c>
      <c r="AG1378">
        <f>AE1378*($F$22+IF($F$22=0,0,($C$14+$C$15+IF($C$13="single",1.5,3)+3)/12))</f>
        <v>0</v>
      </c>
      <c r="AH1378">
        <f>AG1378-X1378</f>
        <v>0</v>
      </c>
      <c r="AI1378" cm="1">
        <f t="array" ref="AI1378">IFERROR(IF(AH1378&lt;0,0,AH1378/($R$1318-INDEX(hd_off,MATCH(AQ1378,hd_mark,0),0)/12)),0)</f>
        <v>0</v>
      </c>
      <c r="AJ1378">
        <f>MAX($F$22,$Z$1318)/$Q$1332</f>
        <v>0.30172413793103448</v>
      </c>
      <c r="AK1378">
        <f t="shared" ref="AK1378:AK1381" si="852">IF(AJ1378=0,0,IF(AJ1378&gt;2,1.25-0.125*AJ1378,1))</f>
        <v>1</v>
      </c>
      <c r="AL1378" cm="1">
        <f t="array" ref="AL1378">IFERROR(INDEX(sheath_ecap_asd,MATCH(AP1378,sheath_mark,0),0)*AK1378,0)</f>
        <v>0</v>
      </c>
      <c r="AM1378" cm="1">
        <f t="array" ref="AM1378">IFERROR(INDEX(sheath_wcap_asd,MATCH(AP1378,sheath_mark,0),0)*AK1378,0)</f>
        <v>0</v>
      </c>
      <c r="AN1378" cm="1">
        <f t="array" ref="AN1378">IFERROR(INDEX(hd_cap,MATCH(AQ1378,hd_mark,0),0),0)</f>
        <v>0</v>
      </c>
      <c r="AP1378" s="19"/>
      <c r="AQ1378" s="19"/>
      <c r="AR1378" s="100"/>
      <c r="AS1378" s="93"/>
      <c r="AT1378" s="109"/>
      <c r="AU1378" t="str">
        <f>$Q$1302</f>
        <v>L3</v>
      </c>
      <c r="AV1378">
        <f>$E$22</f>
        <v>21.375</v>
      </c>
      <c r="AW1378" cm="1">
        <f t="array" ref="AW1378">IFERROR(IF(AV1378=0,0,(INDEX($C$33:$C$38,MATCH($AZ$1318,$B$33:$B$38,0),0)*(AV1381+$BA$1318)+$AW$1318*COUNTIF(AV1378:AV1380,"&gt;0")*$C$32+$AY$1318*$C$31)*$AU$1318),0)</f>
        <v>0</v>
      </c>
      <c r="AX1378">
        <f>IF(AV1378=0,0,-(COUNTIF(AV1378:AV1380,"&gt;0")*$AW$1318*$C$32+$AY$1318*$C$31)*$H$27*$AU$1318)</f>
        <v>0</v>
      </c>
      <c r="AY1378">
        <f>IF(AV1378=0,0,$AY$1318*$H$26*$AU$1318)</f>
        <v>0</v>
      </c>
      <c r="AZ1378">
        <f>(0.6*AW1378+0.7*AX1378)*$AU$1318/2</f>
        <v>0</v>
      </c>
      <c r="BA1378">
        <f>AW1378*$AU$1318/2</f>
        <v>0</v>
      </c>
      <c r="BC1378">
        <f>IF(AV1378=0,0,$BG$1318*$AP$1302)</f>
        <v>0</v>
      </c>
      <c r="BD1378">
        <f>IFERROR(BC1378/$AU$1318,0)</f>
        <v>0</v>
      </c>
      <c r="BE1378">
        <f>BC1378*($F$22+IF($F$22=0,0,($C$14+$C$15+IF($C$13="single",1.5,3)+3)/12))</f>
        <v>0</v>
      </c>
      <c r="BF1378">
        <f>BE1378-AZ1378</f>
        <v>0</v>
      </c>
      <c r="BG1378" cm="1">
        <f t="array" ref="BG1378">IFERROR(IF(BF1378&lt;0,0,BF1378/($AU$1318-INDEX(hd_off,MATCH(BT1378,hd_mark,0),0)/12)),0)</f>
        <v>0</v>
      </c>
      <c r="BH1378">
        <f>IF(AV1378=0,0,$BG$1318*$AM$1302)</f>
        <v>0</v>
      </c>
      <c r="BI1378">
        <f>IFERROR(BH1378/$AU$1318,0)</f>
        <v>0</v>
      </c>
      <c r="BJ1378">
        <f>BH1378*($F$22+IF($F$22=0,0,($C$14+$C$15+IF($C$13="single",1.5,3)+3)/12))</f>
        <v>0</v>
      </c>
      <c r="BK1378">
        <f>BJ1378-BA1378</f>
        <v>0</v>
      </c>
      <c r="BL1378" cm="1">
        <f t="array" ref="BL1378">IFERROR(IF(BK1378&lt;0,0,BK1378/($AU$1318-INDEX(hd_off,MATCH(BT1378,hd_mark,0),0)/12)),0)</f>
        <v>0</v>
      </c>
      <c r="BM1378">
        <f>MAX($F$22,$BC$1318)/$Q$1332</f>
        <v>0.30172413793103448</v>
      </c>
      <c r="BN1378">
        <f t="shared" ref="BN1378:BN1381" si="853">IF(BM1378=0,0,IF(BM1378&gt;2,1.25-0.125*BM1378,1))</f>
        <v>1</v>
      </c>
      <c r="BO1378" cm="1">
        <f t="array" ref="BO1378">IFERROR(INDEX(sheath_ecap_asd,MATCH(BS1378,sheath_mark,0),0)*BN1378,0)</f>
        <v>0</v>
      </c>
      <c r="BP1378" cm="1">
        <f t="array" ref="BP1378">IFERROR(INDEX(sheath_wcap_asd,MATCH(BS1378,sheath_mark,0),0)*BN1378,0)</f>
        <v>0</v>
      </c>
      <c r="BQ1378" cm="1">
        <f t="array" ref="BQ1378">IFERROR(INDEX(hd_cap,MATCH(BT1378,hd_mark,0),0),0)</f>
        <v>0</v>
      </c>
      <c r="BS1378" s="19"/>
      <c r="BT1378" s="19"/>
      <c r="BU1378" s="100"/>
    </row>
    <row r="1379" x14ac:dyDescent="0.25">
      <c r="P1379" s="93"/>
      <c r="Q1379" s="109" t="s">
        <v>491</v>
      </c>
      <c r="R1379" t="str">
        <f>$Q$1303</f>
        <v>L4</v>
      </c>
      <c r="S1379">
        <f>$E$23</f>
        <v>0</v>
      </c>
      <c r="T1379" cm="1">
        <f t="array" ref="T1379">IFERROR(IF(S1379=0,0,(INDEX($C$33:$C$38,MATCH($W$1318,$B$33:$B$38,0),0)*(S1381+$X$1318)+$T$1318*COUNTIF(S1379:S1380,"&gt;0")*$C$32+$V$1318*$C$31)*$R$1318),0)</f>
        <v>0</v>
      </c>
      <c r="U1379">
        <f>IF(S1379=0,0,-(COUNTIF(S1379:S1380,"&gt;0")*$T$1318*$C$32+$V$1318*$C$31)*$H$27*$R$1318)</f>
        <v>0</v>
      </c>
      <c r="V1379">
        <f>IF(S1379=0,0,$V$1318*$H$26*$R$1318)</f>
        <v>0</v>
      </c>
      <c r="W1379">
        <f>(0.6*T1379+0.7*U1379)*$R$1318/2</f>
        <v>0</v>
      </c>
      <c r="X1379">
        <f>T1379*$R$1318/2</f>
        <v>0</v>
      </c>
      <c r="Z1379">
        <f>IF(S1379=0,0,$AD$1318*$AP$1303)</f>
        <v>0</v>
      </c>
      <c r="AA1379">
        <f>IFERROR(Z1379/$R$1318,0)</f>
        <v>0</v>
      </c>
      <c r="AB1379">
        <f>Z1379*($F$23+IF($F$23=0,0,($C$14+$C$15+IF($C$13="single",1.5,3)+3)/12))</f>
        <v>0</v>
      </c>
      <c r="AC1379">
        <f>AB1379-W1379</f>
        <v>0</v>
      </c>
      <c r="AD1379" cm="1">
        <f t="array" ref="AD1379">IFERROR(IF(AC1379&lt;0,0,AC1379/($R$1318-INDEX(hd_off,MATCH(AQ1379,hd_mark,0),0)/12)),0)</f>
        <v>0</v>
      </c>
      <c r="AE1379">
        <f>IF(S1379=0,0,$AD$1318*$AM$1303)</f>
        <v>0</v>
      </c>
      <c r="AF1379">
        <f>IFERROR(AE1379/$R$1318,0)</f>
        <v>0</v>
      </c>
      <c r="AG1379">
        <f>AE1379*($F$23+IF($F$23=0,0,($C$14+$C$15+IF($C$13="single",1.5,3)+3)/12))</f>
        <v>0</v>
      </c>
      <c r="AH1379">
        <f>AG1379-X1379</f>
        <v>0</v>
      </c>
      <c r="AI1379" cm="1">
        <f t="array" ref="AI1379">IFERROR(IF(AH1379&lt;0,0,AH1379/($R$1318-INDEX(hd_off,MATCH(AQ1379,hd_mark,0),0)/12)),0)</f>
        <v>0</v>
      </c>
      <c r="AJ1379">
        <f>MAX($F$23,$AA$1318)/$Q$1332</f>
        <v>0</v>
      </c>
      <c r="AK1379">
        <f t="shared" si="852"/>
        <v>0</v>
      </c>
      <c r="AL1379" cm="1">
        <f t="array" ref="AL1379">IFERROR(INDEX(sheath_ecap_asd,MATCH(AP1379,sheath_mark,0),0)*AK1379,0)</f>
        <v>0</v>
      </c>
      <c r="AM1379" cm="1">
        <f t="array" ref="AM1379">IFERROR(INDEX(sheath_wcap_asd,MATCH(AP1379,sheath_mark,0),0)*AK1379,0)</f>
        <v>0</v>
      </c>
      <c r="AN1379" cm="1">
        <f t="array" ref="AN1379">IFERROR(INDEX(hd_cap,MATCH(AQ1379,hd_mark,0),0),0)</f>
        <v>0</v>
      </c>
      <c r="AP1379" s="19"/>
      <c r="AQ1379" s="19"/>
      <c r="AR1379" s="100"/>
      <c r="AS1379" s="93"/>
      <c r="AT1379" s="109" t="s">
        <v>491</v>
      </c>
      <c r="AU1379" t="str">
        <f>$Q$1303</f>
        <v>L4</v>
      </c>
      <c r="AV1379">
        <f>$E$23</f>
        <v>0</v>
      </c>
      <c r="AW1379" cm="1">
        <f t="array" ref="AW1379">IFERROR(IF(AV1379=0,0,(INDEX($C$33:$C$38,MATCH($AZ$1318,$B$33:$B$38,0),0)*(AV1381+$BA$1318)+$AW$1318*COUNTIF(AV1379:AV1380,"&gt;0")*$C$32+$AY$1318*$C$31)*$AU$1318),0)</f>
        <v>0</v>
      </c>
      <c r="AX1379">
        <f>IF(AV1379=0,0,-(COUNTIF(AV1379:AV1380,"&gt;0")*$AW$1318*$C$32+$AY$1318*$C$31)*$H$27*$AU$1318)</f>
        <v>0</v>
      </c>
      <c r="AY1379">
        <f>IF(AV1379=0,0,$AY$1318*$H$26*$AU$1318)</f>
        <v>0</v>
      </c>
      <c r="AZ1379">
        <f>(0.6*AW1379+0.7*AX1379)*$AU$1318/2</f>
        <v>0</v>
      </c>
      <c r="BA1379">
        <f>AW1379*$AU$1318/2</f>
        <v>0</v>
      </c>
      <c r="BC1379">
        <f>IF(AV1379=0,0,$BG$1318*$AP$1303)</f>
        <v>0</v>
      </c>
      <c r="BD1379">
        <f>IFERROR(BC1379/$AU$1318,0)</f>
        <v>0</v>
      </c>
      <c r="BE1379">
        <f>BC1379*($F$23+IF($F$23=0,0,($C$14+$C$15+IF($C$13="single",1.5,3)+3)/12))</f>
        <v>0</v>
      </c>
      <c r="BF1379">
        <f>BE1379-AZ1379</f>
        <v>0</v>
      </c>
      <c r="BG1379" cm="1">
        <f t="array" ref="BG1379">IFERROR(IF(BF1379&lt;0,0,BF1379/($AU$1318-INDEX(hd_off,MATCH(BT1379,hd_mark,0),0)/12)),0)</f>
        <v>0</v>
      </c>
      <c r="BH1379">
        <f>IF(AV1379=0,0,$BG$1318*$AM$1303)</f>
        <v>0</v>
      </c>
      <c r="BI1379">
        <f>IFERROR(BH1379/$AU$1318,0)</f>
        <v>0</v>
      </c>
      <c r="BJ1379">
        <f>BH1379*($F$23+IF($F$23=0,0,($C$14+$C$15+IF($C$13="single",1.5,3)+3)/12))</f>
        <v>0</v>
      </c>
      <c r="BK1379">
        <f>BJ1379-BA1379</f>
        <v>0</v>
      </c>
      <c r="BL1379" cm="1">
        <f t="array" ref="BL1379">IFERROR(IF(BK1379&lt;0,0,BK1379/($AU$1318-INDEX(hd_off,MATCH(BT1379,hd_mark,0),0)/12)),0)</f>
        <v>0</v>
      </c>
      <c r="BM1379">
        <f>MAX($F$23,$BD$1318)/$Q$1332</f>
        <v>0</v>
      </c>
      <c r="BN1379">
        <f t="shared" si="853"/>
        <v>0</v>
      </c>
      <c r="BO1379" cm="1">
        <f t="array" ref="BO1379">IFERROR(INDEX(sheath_ecap_asd,MATCH(BS1379,sheath_mark,0),0)*BN1379,0)</f>
        <v>0</v>
      </c>
      <c r="BP1379" cm="1">
        <f t="array" ref="BP1379">IFERROR(INDEX(sheath_wcap_asd,MATCH(BS1379,sheath_mark,0),0)*BN1379,0)</f>
        <v>0</v>
      </c>
      <c r="BQ1379" cm="1">
        <f t="array" ref="BQ1379">IFERROR(INDEX(hd_cap,MATCH(BT1379,hd_mark,0),0),0)</f>
        <v>0</v>
      </c>
      <c r="BS1379" s="19"/>
      <c r="BT1379" s="19"/>
      <c r="BU1379" s="100"/>
    </row>
    <row r="1380" x14ac:dyDescent="0.25">
      <c r="P1380" s="93"/>
      <c r="Q1380" s="111">
        <f>$R$1318</f>
        <v>0</v>
      </c>
      <c r="R1380" t="str">
        <f>$Q$1304</f>
        <v>L5</v>
      </c>
      <c r="S1380">
        <f>$E$24</f>
        <v>0</v>
      </c>
      <c r="T1380" cm="1">
        <f t="array" ref="T1380">IFERROR(IF(S1380=0,0,(INDEX($C$33:$C$38,MATCH($W$1318,$B$33:$B$38,0),0)*(S1381+$X$1318)+$T$1318*COUNTIF(S1380:S1380,"&gt;0")*$C$32+$V$1318*$C$31)*$R$1318),0)</f>
        <v>0</v>
      </c>
      <c r="U1380">
        <f>IF(S1380=0,0,-(COUNTIF(S1380:S1380,"&gt;0")*$T$1318*$C$32+$V$1318*$C$31)*$H$27*$R$1318)</f>
        <v>0</v>
      </c>
      <c r="V1380">
        <f>IF(S1380=0,0,$V$1318*$H$26*$R$1318)</f>
        <v>0</v>
      </c>
      <c r="W1380">
        <f>(0.6*T1380+0.7*U1380)*$R$1318/2</f>
        <v>0</v>
      </c>
      <c r="X1380">
        <f>T1380*$R$1318/2</f>
        <v>0</v>
      </c>
      <c r="Z1380">
        <f>IF(S1380=0,0,$AD$1318*$AP$1304)</f>
        <v>0</v>
      </c>
      <c r="AA1380">
        <f>IFERROR(Z1380/$R$1318,0)</f>
        <v>0</v>
      </c>
      <c r="AB1380">
        <f>Z1380*($F$24+IF($F$24=0,0,($C$14+$C$15+IF($C$13="single",1.5,3)+3)/12))</f>
        <v>0</v>
      </c>
      <c r="AC1380">
        <f>AB1380-W1380</f>
        <v>0</v>
      </c>
      <c r="AD1380" cm="1">
        <f t="array" ref="AD1380">IFERROR(IF(AC1380&lt;0,0,AC1380/($R$1318-INDEX(hd_off,MATCH(AQ1380,hd_mark,0),0)/12)),0)</f>
        <v>0</v>
      </c>
      <c r="AE1380">
        <f>IF(S1380=0,0,$AD$1318*$AM$1304)</f>
        <v>0</v>
      </c>
      <c r="AF1380">
        <f>IFERROR(AE1380/$R$1318,0)</f>
        <v>0</v>
      </c>
      <c r="AG1380">
        <f>AE1380*($F$24+IF($F$24=0,0,($C$14+$C$15+IF($C$13="single",1.5,3)+3)/12))</f>
        <v>0</v>
      </c>
      <c r="AH1380">
        <f>AG1380-X1380</f>
        <v>0</v>
      </c>
      <c r="AI1380" cm="1">
        <f t="array" ref="AI1380">IFERROR(IF(AH1380&lt;0,0,AH1380/($R$1318-INDEX(hd_off,MATCH(AQ1380,hd_mark,0),0)/12)),0)</f>
        <v>0</v>
      </c>
      <c r="AJ1380">
        <f>MAX($F$24,$AB$1318)/$Q$1332</f>
        <v>0</v>
      </c>
      <c r="AK1380">
        <f t="shared" si="852"/>
        <v>0</v>
      </c>
      <c r="AL1380" cm="1">
        <f t="array" ref="AL1380">IFERROR(INDEX(sheath_ecap_asd,MATCH(AP1380,sheath_mark,0),0)*AK1380,0)</f>
        <v>0</v>
      </c>
      <c r="AM1380" cm="1">
        <f t="array" ref="AM1380">IFERROR(INDEX(sheath_wcap_asd,MATCH(AP1380,sheath_mark,0),0)*AK1380,0)</f>
        <v>0</v>
      </c>
      <c r="AN1380" cm="1">
        <f t="array" ref="AN1380">IFERROR(INDEX(hd_cap,MATCH(AQ1380,hd_mark,0),0),0)</f>
        <v>0</v>
      </c>
      <c r="AP1380" s="19"/>
      <c r="AQ1380" s="19"/>
      <c r="AR1380" s="100"/>
      <c r="AS1380" s="93"/>
      <c r="AT1380" s="111">
        <f>$R$1318</f>
        <v>0</v>
      </c>
      <c r="AU1380" t="str">
        <f>$Q$1304</f>
        <v>L5</v>
      </c>
      <c r="AV1380">
        <f>$E$24</f>
        <v>0</v>
      </c>
      <c r="AW1380" cm="1">
        <f t="array" ref="AW1380">IFERROR(IF(AV1380=0,0,(INDEX($C$33:$C$38,MATCH($AZ$1318,$B$33:$B$38,0),0)*(AV1381+$BA$1318)+$AW$1318*COUNTIF(AV1380:AV1380,"&gt;0")*$C$32+$AY$1318*$C$31)*$AU$1318),0)</f>
        <v>0</v>
      </c>
      <c r="AX1380">
        <f>IF(AV1380=0,0,-(COUNTIF(AV1380:AV1380,"&gt;0")*$AW$1318*$C$32+$AY$1318*$C$31)*$H$27*$AU$1318)</f>
        <v>0</v>
      </c>
      <c r="AY1380">
        <f>IF(AV1380=0,0,$AY$1318*$H$26*$AU$1318)</f>
        <v>0</v>
      </c>
      <c r="AZ1380">
        <f>(0.6*AW1380+0.7*AX1380)*$AU$1318/2</f>
        <v>0</v>
      </c>
      <c r="BA1380">
        <f>AW1380*$AU$1318/2</f>
        <v>0</v>
      </c>
      <c r="BC1380">
        <f>IF(AV1380=0,0,$BG$1318*$AP$1304)</f>
        <v>0</v>
      </c>
      <c r="BD1380">
        <f>IFERROR(BC1380/$AU$1318,0)</f>
        <v>0</v>
      </c>
      <c r="BE1380">
        <f>BC1380*($F$24+IF($F$24=0,0,($C$14+$C$15+IF($C$13="single",1.5,3)+3)/12))</f>
        <v>0</v>
      </c>
      <c r="BF1380">
        <f>BE1380-AZ1380</f>
        <v>0</v>
      </c>
      <c r="BG1380" cm="1">
        <f t="array" ref="BG1380">IFERROR(IF(BF1380&lt;0,0,BF1380/($AU$1318-INDEX(hd_off,MATCH(BT1380,hd_mark,0),0)/12)),0)</f>
        <v>0</v>
      </c>
      <c r="BH1380">
        <f>IF(AV1380=0,0,$BG$1318*$AM$1304)</f>
        <v>0</v>
      </c>
      <c r="BI1380">
        <f>IFERROR(BH1380/$AU$1318,0)</f>
        <v>0</v>
      </c>
      <c r="BJ1380">
        <f>BH1380*($F$24+IF($F$24=0,0,($C$14+$C$15+IF($C$13="single",1.5,3)+3)/12))</f>
        <v>0</v>
      </c>
      <c r="BK1380">
        <f>BJ1380-BA1380</f>
        <v>0</v>
      </c>
      <c r="BL1380" cm="1">
        <f t="array" ref="BL1380">IFERROR(IF(BK1380&lt;0,0,BK1380/($AU$1318-INDEX(hd_off,MATCH(BT1380,hd_mark,0),0)/12)),0)</f>
        <v>0</v>
      </c>
      <c r="BM1380">
        <f>MAX($F$24,$BE$1318)/$Q$1332</f>
        <v>0</v>
      </c>
      <c r="BN1380">
        <f t="shared" si="853"/>
        <v>0</v>
      </c>
      <c r="BO1380" cm="1">
        <f t="array" ref="BO1380">IFERROR(INDEX(sheath_ecap_asd,MATCH(BS1380,sheath_mark,0),0)*BN1380,0)</f>
        <v>0</v>
      </c>
      <c r="BP1380" cm="1">
        <f t="array" ref="BP1380">IFERROR(INDEX(sheath_wcap_asd,MATCH(BS1380,sheath_mark,0),0)*BN1380,0)</f>
        <v>0</v>
      </c>
      <c r="BQ1380" cm="1">
        <f t="array" ref="BQ1380">IFERROR(INDEX(hd_cap,MATCH(BT1380,hd_mark,0),0),0)</f>
        <v>0</v>
      </c>
      <c r="BS1380" s="19"/>
      <c r="BT1380" s="19"/>
      <c r="BU1380" s="100"/>
    </row>
    <row r="1381" x14ac:dyDescent="0.25">
      <c r="P1381" s="93"/>
      <c r="Q1381" s="109"/>
      <c r="R1381" t="str">
        <f>$Q$1305</f>
        <v>Roof</v>
      </c>
      <c r="S1381">
        <f>$E$25</f>
        <v>33.171875</v>
      </c>
      <c r="T1381" cm="1">
        <f t="array" ref="T1381">IFERROR(IF(S1381=0,0,(INDEX($C$33:$C$38,MATCH($W$1318,$B$33:$B$38,0),0)*(S1381+$X$1318)+$V$1318*$C$31)*$R$1318),0)</f>
        <v>0</v>
      </c>
      <c r="U1381">
        <f>IF(S1381=0,0,-$V$1318*$C$31*$H$27*$R$1318)</f>
        <v>0</v>
      </c>
      <c r="V1381">
        <f>IF(S1381=0,0,$V$1318*$H$26*$R$1318)</f>
        <v>0</v>
      </c>
      <c r="W1381">
        <f>(0.6*T1381+0.7*U1381)*$R$1318/2</f>
        <v>0</v>
      </c>
      <c r="X1381">
        <f>T1381*$R$1318/2</f>
        <v>0</v>
      </c>
      <c r="Z1381">
        <f>IF(S1381=0,0,$AD$1318*$AP$1305)</f>
        <v>0</v>
      </c>
      <c r="AA1381">
        <f>IFERROR(Z1381/$R$1318,0)</f>
        <v>0</v>
      </c>
      <c r="AB1381">
        <f>Z1381*($F$25+($C$16+$C$17+IF($C$13="single",1.5,3)+3)/12)</f>
        <v>0</v>
      </c>
      <c r="AC1381">
        <f>AB1381-W1381</f>
        <v>0</v>
      </c>
      <c r="AD1381" cm="1">
        <f t="array" ref="AD1381">IFERROR(IF(AC1381&lt;0,0,AC1381/($R$1318-INDEX(hd_off,MATCH(AQ1381,hd_mark,0),0)/12)),0)</f>
        <v>0</v>
      </c>
      <c r="AE1381">
        <f>IF(S1381=0,0,$AD$1318*$AM$1305)</f>
        <v>0</v>
      </c>
      <c r="AF1381">
        <f>IFERROR(AE1381/$R$1318,0)</f>
        <v>0</v>
      </c>
      <c r="AG1381">
        <f>AE1381*($F$25+($C$16+$C$17+IF($C$13="single",1.5,3)+3)/12)</f>
        <v>0</v>
      </c>
      <c r="AH1381">
        <f>AG1381-X1381</f>
        <v>0</v>
      </c>
      <c r="AI1381" cm="1">
        <f t="array" ref="AI1381">IFERROR(IF(AH1381&lt;0,0,AH1381/($R$1318-INDEX(hd_off,MATCH(AQ1381,hd_mark,0),0)/12)),0)</f>
        <v>0</v>
      </c>
      <c r="AJ1381">
        <f>MAX($F$25,$AC$1318)/$Q$1332</f>
        <v>0.29920977011494249</v>
      </c>
      <c r="AK1381">
        <f t="shared" si="852"/>
        <v>1</v>
      </c>
      <c r="AL1381" cm="1">
        <f t="array" ref="AL1381">IFERROR(INDEX(sheath_ecap_asd,MATCH(AP1381,sheath_mark,0),0)*AK1381,0)</f>
        <v>0</v>
      </c>
      <c r="AM1381" cm="1">
        <f t="array" ref="AM1381">IFERROR(INDEX(sheath_wcap_asd,MATCH(AP1381,sheath_mark,0),0)*AK1381,0)</f>
        <v>0</v>
      </c>
      <c r="AN1381" cm="1">
        <f t="array" ref="AN1381">IFERROR(INDEX(hd_cap,MATCH(AQ1381,hd_mark,0),0),0)</f>
        <v>0</v>
      </c>
      <c r="AP1381" s="19"/>
      <c r="AQ1381" s="19"/>
      <c r="AR1381" s="100"/>
      <c r="AS1381" s="93"/>
      <c r="AT1381" s="109"/>
      <c r="AU1381" t="str">
        <f>$Q$1305</f>
        <v>Roof</v>
      </c>
      <c r="AV1381">
        <f>$E$25</f>
        <v>33.171875</v>
      </c>
      <c r="AW1381" cm="1">
        <f t="array" ref="AW1381">IFERROR(IF(AV1381=0,0,(INDEX($C$33:$C$38,MATCH($AZ$1318,$B$33:$B$38,0),0)*(AV1381+$BA$1318)+$AY$1318*$C$31)*$AU$1318),0)</f>
        <v>0</v>
      </c>
      <c r="AX1381">
        <f>IF(AV1381=0,0,-$AY$1318*$C$31*$H$27*$AU$1318)</f>
        <v>0</v>
      </c>
      <c r="AY1381">
        <f>IF(AV1381=0,0,$AY$1318*$H$26*$AU$1318)</f>
        <v>0</v>
      </c>
      <c r="AZ1381">
        <f>(0.6*AW1381+0.7*AX1381)*$AU$1318/2</f>
        <v>0</v>
      </c>
      <c r="BA1381">
        <f>AW1381*$AU$1318/2</f>
        <v>0</v>
      </c>
      <c r="BC1381">
        <f>IF(AV1381=0,0,$BG$1318*$AP$1305)</f>
        <v>0</v>
      </c>
      <c r="BD1381">
        <f>IFERROR(BC1381/$AU$1318,0)</f>
        <v>0</v>
      </c>
      <c r="BE1381">
        <f>BC1381*($F$25+($C$16+$C$17+IF($C$13="single",1.5,3)+3)/12)</f>
        <v>0</v>
      </c>
      <c r="BF1381">
        <f>BE1381-AZ1381</f>
        <v>0</v>
      </c>
      <c r="BG1381" cm="1">
        <f t="array" ref="BG1381">IFERROR(IF(BF1381&lt;0,0,BF1381/($AU$1318-INDEX(hd_off,MATCH(BT1381,hd_mark,0),0)/12)),0)</f>
        <v>0</v>
      </c>
      <c r="BH1381">
        <f>IF(AV1381=0,0,$BG$1318*$AM$1305)</f>
        <v>0</v>
      </c>
      <c r="BI1381">
        <f>IFERROR(BH1381/$AU$1318,0)</f>
        <v>0</v>
      </c>
      <c r="BJ1381">
        <f>BH1381*($F$25+($C$16+$C$17+IF($C$13="single",1.5,3)+3)/12)</f>
        <v>0</v>
      </c>
      <c r="BK1381">
        <f>BJ1381-BA1381</f>
        <v>0</v>
      </c>
      <c r="BL1381" cm="1">
        <f t="array" ref="BL1381">IFERROR(IF(BK1381&lt;0,0,BK1381/($AU$1318-INDEX(hd_off,MATCH(BT1381,hd_mark,0),0)/12)),0)</f>
        <v>0</v>
      </c>
      <c r="BM1381">
        <f>MAX($F$25,$BF$1318)/$Q$1332</f>
        <v>0.29920977011494249</v>
      </c>
      <c r="BN1381">
        <f t="shared" si="853"/>
        <v>1</v>
      </c>
      <c r="BO1381" cm="1">
        <f t="array" ref="BO1381">IFERROR(INDEX(sheath_ecap_asd,MATCH(BS1381,sheath_mark,0),0)*BN1381,0)</f>
        <v>0</v>
      </c>
      <c r="BP1381" cm="1">
        <f t="array" ref="BP1381">IFERROR(INDEX(sheath_wcap_asd,MATCH(BS1381,sheath_mark,0),0)*BN1381,0)</f>
        <v>0</v>
      </c>
      <c r="BQ1381" cm="1">
        <f t="array" ref="BQ1381">IFERROR(INDEX(hd_cap,MATCH(BT1381,hd_mark,0),0),0)</f>
        <v>0</v>
      </c>
      <c r="BS1381" s="19"/>
      <c r="BT1381" s="19"/>
      <c r="BU1381" s="100"/>
    </row>
    <row r="1382" x14ac:dyDescent="0.25">
      <c r="P1382" s="93"/>
      <c r="AR1382" s="100"/>
      <c r="AS1382" s="93"/>
      <c r="BU1382" s="100"/>
    </row>
    <row r="1383" x14ac:dyDescent="0.25">
      <c r="P1383" s="93"/>
      <c r="Q1383" s="110" t="str">
        <f>$Q$1319</f>
        <v>A.10</v>
      </c>
      <c r="R1383" t="str">
        <f>$Q$1301</f>
        <v>L2</v>
      </c>
      <c r="S1383">
        <f>$E$21</f>
        <v>10.6875</v>
      </c>
      <c r="T1383" cm="1">
        <f t="array" ref="T1383">IFERROR(IF(S1383=0,0,(INDEX($C$33:$C$38,MATCH($W$1319,$B$33:$B$38,0),0)*(S1387+$X$1319)+$T$1319*COUNTIF(S1383:S1386,"&gt;0")*$C$32+$V$1319*$C$31)*$R$1319),0)</f>
        <v>0</v>
      </c>
      <c r="U1383">
        <f>IF(S1383=0,0,-(COUNTIF(S1383:S1386,"&gt;0")*$T$1319*$C$32+$V$1319*$C$31)*$H$27*$R$1319)</f>
        <v>0</v>
      </c>
      <c r="V1383">
        <f>IF(S1383=0,0,$V$1319*$H$26*$R$1319)</f>
        <v>0</v>
      </c>
      <c r="W1383">
        <f>(0.6*T1383+0.7*U1383)*$R$1319/2</f>
        <v>0</v>
      </c>
      <c r="X1383">
        <f>(0.6*T1383+0.6*V1383)*$R$1319/2</f>
        <v>0</v>
      </c>
      <c r="Z1383">
        <f>IF(S1383=0,0,$AD$1319*$AP$1301)</f>
        <v>0</v>
      </c>
      <c r="AA1383">
        <f>IFERROR(Z1383/$R$1319,0)</f>
        <v>0</v>
      </c>
      <c r="AB1383">
        <f>Z1383*($F$21+IF($F$21=0,0,($C$14+$C$15+IF($C$13="single",1.5,3)+3)/12))</f>
        <v>0</v>
      </c>
      <c r="AC1383">
        <f>AB1383-W1383</f>
        <v>0</v>
      </c>
      <c r="AD1383" cm="1">
        <f t="array" ref="AD1383">IFERROR(IF(AC1383&lt;0,0,AC1383/($R$1319-INDEX(hd_off,MATCH(AQ1383,hd_mark,0),0)/12)),0)</f>
        <v>0</v>
      </c>
      <c r="AE1383">
        <f>IF(S1383=0,0,$AD$1319*$AM$1301)</f>
        <v>0</v>
      </c>
      <c r="AF1383">
        <f>IFERROR(AE1383/$R$1319,0)</f>
        <v>0</v>
      </c>
      <c r="AG1383">
        <f>AE1383*($F$21+IF($F$21=0,0,($C$14+$C$15+IF($C$13="single",1.5,3)+3)/12))</f>
        <v>0</v>
      </c>
      <c r="AH1383">
        <f>AG1383-X1383</f>
        <v>0</v>
      </c>
      <c r="AI1383" cm="1">
        <f t="array" ref="AI1383">IFERROR(IF(AH1383&lt;0,0,AH1383/($R$1319-INDEX(hd_off,MATCH(AQ1383,hd_mark,0),0)/12)),0)</f>
        <v>0</v>
      </c>
      <c r="AJ1383">
        <f>MAX($F$21,$Y$1319)/$Q$1332</f>
        <v>0.30172413793103448</v>
      </c>
      <c r="AK1383">
        <f>IF(AJ1383=0,0,IF(AJ1383&gt;2,1.25-0.125*AJ1383,1))</f>
        <v>1</v>
      </c>
      <c r="AL1383" cm="1">
        <f t="array" ref="AL1383">IFERROR(INDEX(sheath_ecap_asd,MATCH(AP1383,sheath_mark,0),0)*AK1383,0)</f>
        <v>0</v>
      </c>
      <c r="AM1383" cm="1">
        <f t="array" ref="AM1383">IFERROR(INDEX(sheath_wcap_asd,MATCH(AP1383,sheath_mark,0),0)*AK1383,0)</f>
        <v>0</v>
      </c>
      <c r="AN1383" cm="1">
        <f t="array" ref="AN1383">IFERROR(INDEX(hd_cap,MATCH(AQ1383,hd_mark,0),0),0)</f>
        <v>0</v>
      </c>
      <c r="AP1383" s="19"/>
      <c r="AQ1383" s="19"/>
      <c r="AR1383" s="100"/>
      <c r="AS1383" s="93"/>
      <c r="AT1383" s="110" t="str">
        <f>$AT$1319</f>
        <v>1.10</v>
      </c>
      <c r="AU1383" t="str">
        <f>$Q$1301</f>
        <v>L2</v>
      </c>
      <c r="AV1383">
        <f>$E$21</f>
        <v>10.6875</v>
      </c>
      <c r="AW1383" cm="1">
        <f t="array" ref="AW1383">IFERROR(IF(AV1383=0,0,(INDEX($C$33:$C$38,MATCH($AZ$1319,$B$33:$B$38,0),0)*(AV1387+$BA$1319)+$AW$1319*COUNTIF(AV1383:AV1386,"&gt;0")*$C$32+$AY$1319*$C$31)*$AU$1319),0)</f>
        <v>0</v>
      </c>
      <c r="AX1383">
        <f>IF(AV1383=0,0,-(COUNTIF(AV1383:AV1386,"&gt;0")*$AW$1319*$C$32+$AY$1319*$C$31)*$H$27*$AU$1319)</f>
        <v>0</v>
      </c>
      <c r="AY1383">
        <f>IF(AV1383=0,0,$AY$1319*$H$26*$AU$1319)</f>
        <v>0</v>
      </c>
      <c r="AZ1383">
        <f>(0.6*AW1383+0.7*AX1383)*$AU$1319/2</f>
        <v>0</v>
      </c>
      <c r="BA1383">
        <f>(0.6*AW1383+0.6*AY1383)*$AU$1319/2</f>
        <v>0</v>
      </c>
      <c r="BC1383">
        <f>IF(AV1383=0,0,$BG$1319*$AP$1301)</f>
        <v>0</v>
      </c>
      <c r="BD1383">
        <f>IFERROR(BC1383/$AU$1319,0)</f>
        <v>0</v>
      </c>
      <c r="BE1383">
        <f>BC1383*($F$21+IF($F$21=0,0,($C$14+$C$15+IF($C$13="single",1.5,3)+3)/12))</f>
        <v>0</v>
      </c>
      <c r="BF1383">
        <f>BE1383-AZ1383</f>
        <v>0</v>
      </c>
      <c r="BG1383" cm="1">
        <f t="array" ref="BG1383">IFERROR(IF(BF1383&lt;0,0,BF1383/($AU$1319-INDEX(hd_off,MATCH(BT1383,hd_mark,0),0)/12)),0)</f>
        <v>0</v>
      </c>
      <c r="BH1383">
        <f>IF(AV1383=0,0,$BG$1319*$AM$1301)</f>
        <v>0</v>
      </c>
      <c r="BI1383">
        <f>IFERROR(BH1383/$AU$1319,0)</f>
        <v>0</v>
      </c>
      <c r="BJ1383">
        <f>BH1383*($F$21+IF($F$21=0,0,($C$14+$C$15+IF($C$13="single",1.5,3)+3)/12))</f>
        <v>0</v>
      </c>
      <c r="BK1383">
        <f>BJ1383-BA1383</f>
        <v>0</v>
      </c>
      <c r="BL1383" cm="1">
        <f t="array" ref="BL1383">IFERROR(IF(BK1383&lt;0,0,BK1383/($AU$1319-INDEX(hd_off,MATCH(BT1383,hd_mark,0),0)/12)),0)</f>
        <v>0</v>
      </c>
      <c r="BM1383">
        <f>MAX($F$21,$BB$1319)/$Q$1332</f>
        <v>0.30172413793103448</v>
      </c>
      <c r="BN1383">
        <f>IF(BM1383=0,0,IF(BM1383&gt;2,1.25-0.125*BM1383,1))</f>
        <v>1</v>
      </c>
      <c r="BO1383" cm="1">
        <f t="array" ref="BO1383">IFERROR(INDEX(sheath_ecap_asd,MATCH(BS1383,sheath_mark,0),0)*BN1383,0)</f>
        <v>0</v>
      </c>
      <c r="BP1383" cm="1">
        <f t="array" ref="BP1383">IFERROR(INDEX(sheath_wcap_asd,MATCH(BS1383,sheath_mark,0),0)*BN1383,0)</f>
        <v>0</v>
      </c>
      <c r="BQ1383" cm="1">
        <f t="array" ref="BQ1383">IFERROR(INDEX(hd_cap,MATCH(BT1383,hd_mark,0),0),0)</f>
        <v>0</v>
      </c>
      <c r="BS1383" s="19"/>
      <c r="BT1383" s="19"/>
      <c r="BU1383" s="100"/>
    </row>
    <row r="1384" x14ac:dyDescent="0.25">
      <c r="P1384" s="93"/>
      <c r="Q1384" s="109"/>
      <c r="R1384" t="str">
        <f>$Q$1302</f>
        <v>L3</v>
      </c>
      <c r="S1384">
        <f>$E$22</f>
        <v>21.375</v>
      </c>
      <c r="T1384" cm="1">
        <f t="array" ref="T1384">IFERROR(IF(S1384=0,0,(INDEX($C$33:$C$38,MATCH($W$1319,$B$33:$B$38,0),0)*(S1387+$X$1319)+$T$1319*COUNTIF(S1384:S1386,"&gt;0")*$C$32+$V$1319*$C$31)*$R$1319),0)</f>
        <v>0</v>
      </c>
      <c r="U1384">
        <f>IF(S1384=0,0,-(COUNTIF(S1384:S1386,"&gt;0")*$T$1319*$C$32+$V$1319*$C$31)*$H$27*$R$1319)</f>
        <v>0</v>
      </c>
      <c r="V1384">
        <f>IF(S1384=0,0,$V$1319*$H$26*$R$1319)</f>
        <v>0</v>
      </c>
      <c r="W1384">
        <f>(0.6*T1384+0.7*U1384)*$R$1319/2</f>
        <v>0</v>
      </c>
      <c r="X1384">
        <f>T1384*$R$1319/2</f>
        <v>0</v>
      </c>
      <c r="Z1384">
        <f>IF(S1384=0,0,$AD$1319*$AP$1302)</f>
        <v>0</v>
      </c>
      <c r="AA1384">
        <f>IFERROR(Z1384/$R$1319,0)</f>
        <v>0</v>
      </c>
      <c r="AB1384">
        <f>Z1384*($F$22+IF($F$22=0,0,($C$14+$C$15+IF($C$13="single",1.5,3)+3)/12))</f>
        <v>0</v>
      </c>
      <c r="AC1384">
        <f>AB1384-W1384</f>
        <v>0</v>
      </c>
      <c r="AD1384" cm="1">
        <f t="array" ref="AD1384">IFERROR(IF(AC1384&lt;0,0,AC1384/($R$1319-INDEX(hd_off,MATCH(AQ1384,hd_mark,0),0)/12)),0)</f>
        <v>0</v>
      </c>
      <c r="AE1384">
        <f>IF(S1384=0,0,$AD$1319*$AM$1302)</f>
        <v>0</v>
      </c>
      <c r="AF1384">
        <f>IFERROR(AE1384/$R$1319,0)</f>
        <v>0</v>
      </c>
      <c r="AG1384">
        <f>AE1384*($F$22+IF($F$22=0,0,($C$14+$C$15+IF($C$13="single",1.5,3)+3)/12))</f>
        <v>0</v>
      </c>
      <c r="AH1384">
        <f>AG1384-X1384</f>
        <v>0</v>
      </c>
      <c r="AI1384" cm="1">
        <f t="array" ref="AI1384">IFERROR(IF(AH1384&lt;0,0,AH1384/($R$1319-INDEX(hd_off,MATCH(AQ1384,hd_mark,0),0)/12)),0)</f>
        <v>0</v>
      </c>
      <c r="AJ1384">
        <f>MAX($F$22,$Z$1319)/$Q$1332</f>
        <v>0.30172413793103448</v>
      </c>
      <c r="AK1384">
        <f t="shared" ref="AK1384:AK1387" si="854">IF(AJ1384=0,0,IF(AJ1384&gt;2,1.25-0.125*AJ1384,1))</f>
        <v>1</v>
      </c>
      <c r="AL1384" cm="1">
        <f t="array" ref="AL1384">IFERROR(INDEX(sheath_ecap_asd,MATCH(AP1384,sheath_mark,0),0)*AK1384,0)</f>
        <v>0</v>
      </c>
      <c r="AM1384" cm="1">
        <f t="array" ref="AM1384">IFERROR(INDEX(sheath_wcap_asd,MATCH(AP1384,sheath_mark,0),0)*AK1384,0)</f>
        <v>0</v>
      </c>
      <c r="AN1384" cm="1">
        <f t="array" ref="AN1384">IFERROR(INDEX(hd_cap,MATCH(AQ1384,hd_mark,0),0),0)</f>
        <v>0</v>
      </c>
      <c r="AP1384" s="19"/>
      <c r="AQ1384" s="19"/>
      <c r="AR1384" s="100"/>
      <c r="AS1384" s="93"/>
      <c r="AT1384" s="109"/>
      <c r="AU1384" t="str">
        <f>$Q$1302</f>
        <v>L3</v>
      </c>
      <c r="AV1384">
        <f>$E$22</f>
        <v>21.375</v>
      </c>
      <c r="AW1384" cm="1">
        <f t="array" ref="AW1384">IFERROR(IF(AV1384=0,0,(INDEX($C$33:$C$38,MATCH($AZ$1319,$B$33:$B$38,0),0)*(AV1387+$BA$1319)+$AW$1319*COUNTIF(AV1384:AV1386,"&gt;0")*$C$32+$AY$1319*$C$31)*$AU$1319),0)</f>
        <v>0</v>
      </c>
      <c r="AX1384">
        <f>IF(AV1384=0,0,-(COUNTIF(AV1384:AV1386,"&gt;0")*$AW$1319*$C$32+$AY$1319*$C$31)*$H$27*$AU$1319)</f>
        <v>0</v>
      </c>
      <c r="AY1384">
        <f>IF(AV1384=0,0,$AY$1319*$H$26*$AU$1319)</f>
        <v>0</v>
      </c>
      <c r="AZ1384">
        <f>(0.6*AW1384+0.7*AX1384)*$AU$1319/2</f>
        <v>0</v>
      </c>
      <c r="BA1384">
        <f>AW1384*$AU$1319/2</f>
        <v>0</v>
      </c>
      <c r="BC1384">
        <f>IF(AV1384=0,0,$BG$1319*$AP$1302)</f>
        <v>0</v>
      </c>
      <c r="BD1384">
        <f>IFERROR(BC1384/$AU$1319,0)</f>
        <v>0</v>
      </c>
      <c r="BE1384">
        <f>BC1384*($F$22+IF($F$22=0,0,($C$14+$C$15+IF($C$13="single",1.5,3)+3)/12))</f>
        <v>0</v>
      </c>
      <c r="BF1384">
        <f>BE1384-AZ1384</f>
        <v>0</v>
      </c>
      <c r="BG1384" cm="1">
        <f t="array" ref="BG1384">IFERROR(IF(BF1384&lt;0,0,BF1384/($AU$1319-INDEX(hd_off,MATCH(BT1384,hd_mark,0),0)/12)),0)</f>
        <v>0</v>
      </c>
      <c r="BH1384">
        <f>IF(AV1384=0,0,$BG$1319*$AM$1302)</f>
        <v>0</v>
      </c>
      <c r="BI1384">
        <f>IFERROR(BH1384/$AU$1319,0)</f>
        <v>0</v>
      </c>
      <c r="BJ1384">
        <f>BH1384*($F$22+IF($F$22=0,0,($C$14+$C$15+IF($C$13="single",1.5,3)+3)/12))</f>
        <v>0</v>
      </c>
      <c r="BK1384">
        <f>BJ1384-BA1384</f>
        <v>0</v>
      </c>
      <c r="BL1384" cm="1">
        <f t="array" ref="BL1384">IFERROR(IF(BK1384&lt;0,0,BK1384/($AU$1319-INDEX(hd_off,MATCH(BT1384,hd_mark,0),0)/12)),0)</f>
        <v>0</v>
      </c>
      <c r="BM1384">
        <f>MAX($F$22,$BC$1319)/$Q$1332</f>
        <v>0.30172413793103448</v>
      </c>
      <c r="BN1384">
        <f t="shared" ref="BN1384:BN1387" si="855">IF(BM1384=0,0,IF(BM1384&gt;2,1.25-0.125*BM1384,1))</f>
        <v>1</v>
      </c>
      <c r="BO1384" cm="1">
        <f t="array" ref="BO1384">IFERROR(INDEX(sheath_ecap_asd,MATCH(BS1384,sheath_mark,0),0)*BN1384,0)</f>
        <v>0</v>
      </c>
      <c r="BP1384" cm="1">
        <f t="array" ref="BP1384">IFERROR(INDEX(sheath_wcap_asd,MATCH(BS1384,sheath_mark,0),0)*BN1384,0)</f>
        <v>0</v>
      </c>
      <c r="BQ1384" cm="1">
        <f t="array" ref="BQ1384">IFERROR(INDEX(hd_cap,MATCH(BT1384,hd_mark,0),0),0)</f>
        <v>0</v>
      </c>
      <c r="BS1384" s="19"/>
      <c r="BT1384" s="19"/>
      <c r="BU1384" s="100"/>
    </row>
    <row r="1385" x14ac:dyDescent="0.25">
      <c r="P1385" s="93"/>
      <c r="Q1385" s="109" t="s">
        <v>491</v>
      </c>
      <c r="R1385" t="str">
        <f>$Q$1303</f>
        <v>L4</v>
      </c>
      <c r="S1385">
        <f>$E$23</f>
        <v>0</v>
      </c>
      <c r="T1385" cm="1">
        <f t="array" ref="T1385">IFERROR(IF(S1385=0,0,(INDEX($C$33:$C$38,MATCH($W$1319,$B$33:$B$38,0),0)*(S1387+$X$1319)+$T$1319*COUNTIF(S1385:S1386,"&gt;0")*$C$32+$V$1319*$C$31)*$R$1319),0)</f>
        <v>0</v>
      </c>
      <c r="U1385">
        <f>IF(S1385=0,0,-(COUNTIF(S1385:S1386,"&gt;0")*$T$1319*$C$32+$V$1319*$C$31)*$H$27*$R$1319)</f>
        <v>0</v>
      </c>
      <c r="V1385">
        <f>IF(S1385=0,0,$V$1319*$H$26*$R$1319)</f>
        <v>0</v>
      </c>
      <c r="W1385">
        <f>(0.6*T1385+0.7*U1385)*$R$1319/2</f>
        <v>0</v>
      </c>
      <c r="X1385">
        <f>T1385*$R$1319/2</f>
        <v>0</v>
      </c>
      <c r="Z1385">
        <f>IF(S1385=0,0,$AD$1319*$AP$1303)</f>
        <v>0</v>
      </c>
      <c r="AA1385">
        <f>IFERROR(Z1385/$R$1319,0)</f>
        <v>0</v>
      </c>
      <c r="AB1385">
        <f>Z1385*($F$23+IF($F$23=0,0,($C$14+$C$15+IF($C$13="single",1.5,3)+3)/12))</f>
        <v>0</v>
      </c>
      <c r="AC1385">
        <f>AB1385-W1385</f>
        <v>0</v>
      </c>
      <c r="AD1385" cm="1">
        <f t="array" ref="AD1385">IFERROR(IF(AC1385&lt;0,0,AC1385/($R$1319-INDEX(hd_off,MATCH(AQ1385,hd_mark,0),0)/12)),0)</f>
        <v>0</v>
      </c>
      <c r="AE1385">
        <f>IF(S1385=0,0,$AD$1319*$AM$1303)</f>
        <v>0</v>
      </c>
      <c r="AF1385">
        <f>IFERROR(AE1385/$R$1319,0)</f>
        <v>0</v>
      </c>
      <c r="AG1385">
        <f>AE1385*($F$23+IF($F$23=0,0,($C$14+$C$15+IF($C$13="single",1.5,3)+3)/12))</f>
        <v>0</v>
      </c>
      <c r="AH1385">
        <f>AG1385-X1385</f>
        <v>0</v>
      </c>
      <c r="AI1385" cm="1">
        <f t="array" ref="AI1385">IFERROR(IF(AH1385&lt;0,0,AH1385/($R$1319-INDEX(hd_off,MATCH(AQ1385,hd_mark,0),0)/12)),0)</f>
        <v>0</v>
      </c>
      <c r="AJ1385">
        <f>MAX($F$23,$AA$1319)/$Q$1332</f>
        <v>0</v>
      </c>
      <c r="AK1385">
        <f t="shared" si="854"/>
        <v>0</v>
      </c>
      <c r="AL1385" cm="1">
        <f t="array" ref="AL1385">IFERROR(INDEX(sheath_ecap_asd,MATCH(AP1385,sheath_mark,0),0)*AK1385,0)</f>
        <v>0</v>
      </c>
      <c r="AM1385" cm="1">
        <f t="array" ref="AM1385">IFERROR(INDEX(sheath_wcap_asd,MATCH(AP1385,sheath_mark,0),0)*AK1385,0)</f>
        <v>0</v>
      </c>
      <c r="AN1385" cm="1">
        <f t="array" ref="AN1385">IFERROR(INDEX(hd_cap,MATCH(AQ1385,hd_mark,0),0),0)</f>
        <v>0</v>
      </c>
      <c r="AP1385" s="19"/>
      <c r="AQ1385" s="19"/>
      <c r="AR1385" s="100"/>
      <c r="AS1385" s="93"/>
      <c r="AT1385" s="109" t="s">
        <v>491</v>
      </c>
      <c r="AU1385" t="str">
        <f>$Q$1303</f>
        <v>L4</v>
      </c>
      <c r="AV1385">
        <f>$E$23</f>
        <v>0</v>
      </c>
      <c r="AW1385" cm="1">
        <f t="array" ref="AW1385">IFERROR(IF(AV1385=0,0,(INDEX($C$33:$C$38,MATCH($AZ$1319,$B$33:$B$38,0),0)*(AV1387+$BA$1319)+$AW$1319*COUNTIF(AV1385:AV1386,"&gt;0")*$C$32+$AY$1319*$C$31)*$AU$1319),0)</f>
        <v>0</v>
      </c>
      <c r="AX1385">
        <f>IF(AV1385=0,0,-(COUNTIF(AV1385:AV1386,"&gt;0")*$AW$1319*$C$32+$AY$1319*$C$31)*$H$27*$AU$1319)</f>
        <v>0</v>
      </c>
      <c r="AY1385">
        <f>IF(AV1385=0,0,$AY$1319*$H$26*$AU$1319)</f>
        <v>0</v>
      </c>
      <c r="AZ1385">
        <f>(0.6*AW1385+0.7*AX1385)*$AU$1319/2</f>
        <v>0</v>
      </c>
      <c r="BA1385">
        <f>AW1385*$AU$1319/2</f>
        <v>0</v>
      </c>
      <c r="BC1385">
        <f>IF(AV1385=0,0,$BG$1319*$AP$1303)</f>
        <v>0</v>
      </c>
      <c r="BD1385">
        <f>IFERROR(BC1385/$AU$1319,0)</f>
        <v>0</v>
      </c>
      <c r="BE1385">
        <f>BC1385*($F$23+IF($F$23=0,0,($C$14+$C$15+IF($C$13="single",1.5,3)+3)/12))</f>
        <v>0</v>
      </c>
      <c r="BF1385">
        <f>BE1385-AZ1385</f>
        <v>0</v>
      </c>
      <c r="BG1385" cm="1">
        <f t="array" ref="BG1385">IFERROR(IF(BF1385&lt;0,0,BF1385/($AU$1319-INDEX(hd_off,MATCH(BT1385,hd_mark,0),0)/12)),0)</f>
        <v>0</v>
      </c>
      <c r="BH1385">
        <f>IF(AV1385=0,0,$BG$1319*$AM$1303)</f>
        <v>0</v>
      </c>
      <c r="BI1385">
        <f>IFERROR(BH1385/$AU$1319,0)</f>
        <v>0</v>
      </c>
      <c r="BJ1385">
        <f>BH1385*($F$23+IF($F$23=0,0,($C$14+$C$15+IF($C$13="single",1.5,3)+3)/12))</f>
        <v>0</v>
      </c>
      <c r="BK1385">
        <f>BJ1385-BA1385</f>
        <v>0</v>
      </c>
      <c r="BL1385" cm="1">
        <f t="array" ref="BL1385">IFERROR(IF(BK1385&lt;0,0,BK1385/($AU$1319-INDEX(hd_off,MATCH(BT1385,hd_mark,0),0)/12)),0)</f>
        <v>0</v>
      </c>
      <c r="BM1385">
        <f>MAX($F$23,$BD$1319)/$Q$1332</f>
        <v>0</v>
      </c>
      <c r="BN1385">
        <f t="shared" si="855"/>
        <v>0</v>
      </c>
      <c r="BO1385" cm="1">
        <f t="array" ref="BO1385">IFERROR(INDEX(sheath_ecap_asd,MATCH(BS1385,sheath_mark,0),0)*BN1385,0)</f>
        <v>0</v>
      </c>
      <c r="BP1385" cm="1">
        <f t="array" ref="BP1385">IFERROR(INDEX(sheath_wcap_asd,MATCH(BS1385,sheath_mark,0),0)*BN1385,0)</f>
        <v>0</v>
      </c>
      <c r="BQ1385" cm="1">
        <f t="array" ref="BQ1385">IFERROR(INDEX(hd_cap,MATCH(BT1385,hd_mark,0),0),0)</f>
        <v>0</v>
      </c>
      <c r="BS1385" s="19"/>
      <c r="BT1385" s="19"/>
      <c r="BU1385" s="100"/>
    </row>
    <row r="1386" x14ac:dyDescent="0.25">
      <c r="P1386" s="93"/>
      <c r="Q1386" s="111">
        <f>$R$1319</f>
        <v>0</v>
      </c>
      <c r="R1386" t="str">
        <f>$Q$1304</f>
        <v>L5</v>
      </c>
      <c r="S1386">
        <f>$E$24</f>
        <v>0</v>
      </c>
      <c r="T1386" cm="1">
        <f t="array" ref="T1386">IFERROR(IF(S1386=0,0,(INDEX($C$33:$C$38,MATCH($W$1319,$B$33:$B$38,0),0)*(S1387+$X$1319)+$T$1319*COUNTIF(S1386:S1386,"&gt;0")*$C$32+$V$1319*$C$31)*$R$1319),0)</f>
        <v>0</v>
      </c>
      <c r="U1386">
        <f>IF(S1386=0,0,-(COUNTIF(S1386:S1386,"&gt;0")*$T$1319*$C$32+$V$1319*$C$31)*$H$27*$R$1319)</f>
        <v>0</v>
      </c>
      <c r="V1386">
        <f>IF(S1386=0,0,$V$1319*$H$26*$R$1319)</f>
        <v>0</v>
      </c>
      <c r="W1386">
        <f>(0.6*T1386+0.7*U1386)*$R$1319/2</f>
        <v>0</v>
      </c>
      <c r="X1386">
        <f>T1386*$R$1319/2</f>
        <v>0</v>
      </c>
      <c r="Z1386">
        <f>IF(S1386=0,0,$AD$1319*$AP$1304)</f>
        <v>0</v>
      </c>
      <c r="AA1386">
        <f>IFERROR(Z1386/$R$1319,0)</f>
        <v>0</v>
      </c>
      <c r="AB1386">
        <f>Z1386*($F$24+IF($F$24=0,0,($C$14+$C$15+IF($C$13="single",1.5,3)+3)/12))</f>
        <v>0</v>
      </c>
      <c r="AC1386">
        <f>AB1386-W1386</f>
        <v>0</v>
      </c>
      <c r="AD1386" cm="1">
        <f t="array" ref="AD1386">IFERROR(IF(AC1386&lt;0,0,AC1386/($R$1319-INDEX(hd_off,MATCH(AQ1386,hd_mark,0),0)/12)),0)</f>
        <v>0</v>
      </c>
      <c r="AE1386">
        <f>IF(S1386=0,0,$AD$1319*$AM$1304)</f>
        <v>0</v>
      </c>
      <c r="AF1386">
        <f>IFERROR(AE1386/$R$1319,0)</f>
        <v>0</v>
      </c>
      <c r="AG1386">
        <f>AE1386*($F$24+IF($F$24=0,0,($C$14+$C$15+IF($C$13="single",1.5,3)+3)/12))</f>
        <v>0</v>
      </c>
      <c r="AH1386">
        <f>AG1386-X1386</f>
        <v>0</v>
      </c>
      <c r="AI1386" cm="1">
        <f t="array" ref="AI1386">IFERROR(IF(AH1386&lt;0,0,AH1386/($R$1319-INDEX(hd_off,MATCH(AQ1386,hd_mark,0),0)/12)),0)</f>
        <v>0</v>
      </c>
      <c r="AJ1386">
        <f>MAX($F$24,$AB$1319)/$Q$1332</f>
        <v>0</v>
      </c>
      <c r="AK1386">
        <f t="shared" si="854"/>
        <v>0</v>
      </c>
      <c r="AL1386" cm="1">
        <f t="array" ref="AL1386">IFERROR(INDEX(sheath_ecap_asd,MATCH(AP1386,sheath_mark,0),0)*AK1386,0)</f>
        <v>0</v>
      </c>
      <c r="AM1386" cm="1">
        <f t="array" ref="AM1386">IFERROR(INDEX(sheath_wcap_asd,MATCH(AP1386,sheath_mark,0),0)*AK1386,0)</f>
        <v>0</v>
      </c>
      <c r="AN1386" cm="1">
        <f t="array" ref="AN1386">IFERROR(INDEX(hd_cap,MATCH(AQ1386,hd_mark,0),0),0)</f>
        <v>0</v>
      </c>
      <c r="AP1386" s="19"/>
      <c r="AQ1386" s="19"/>
      <c r="AR1386" s="100"/>
      <c r="AS1386" s="93"/>
      <c r="AT1386" s="111">
        <f>$R$1319</f>
        <v>0</v>
      </c>
      <c r="AU1386" t="str">
        <f>$Q$1304</f>
        <v>L5</v>
      </c>
      <c r="AV1386">
        <f>$E$24</f>
        <v>0</v>
      </c>
      <c r="AW1386" cm="1">
        <f t="array" ref="AW1386">IFERROR(IF(AV1386=0,0,(INDEX($C$33:$C$38,MATCH($AZ$1319,$B$33:$B$38,0),0)*(AV1387+$BA$1319)+$AW$1319*COUNTIF(AV1386:AV1386,"&gt;0")*$C$32+$AY$1319*$C$31)*$AU$1319),0)</f>
        <v>0</v>
      </c>
      <c r="AX1386">
        <f>IF(AV1386=0,0,-(COUNTIF(AV1386:AV1386,"&gt;0")*$AW$1319*$C$32+$AY$1319*$C$31)*$H$27*$AU$1319)</f>
        <v>0</v>
      </c>
      <c r="AY1386">
        <f>IF(AV1386=0,0,$AY$1319*$H$26*$AU$1319)</f>
        <v>0</v>
      </c>
      <c r="AZ1386">
        <f>(0.6*AW1386+0.7*AX1386)*$AU$1319/2</f>
        <v>0</v>
      </c>
      <c r="BA1386">
        <f>AW1386*$AU$1319/2</f>
        <v>0</v>
      </c>
      <c r="BC1386">
        <f>IF(AV1386=0,0,$BG$1319*$AP$1304)</f>
        <v>0</v>
      </c>
      <c r="BD1386">
        <f>IFERROR(BC1386/$AU$1319,0)</f>
        <v>0</v>
      </c>
      <c r="BE1386">
        <f>BC1386*($F$24+IF($F$24=0,0,($C$14+$C$15+IF($C$13="single",1.5,3)+3)/12))</f>
        <v>0</v>
      </c>
      <c r="BF1386">
        <f>BE1386-AZ1386</f>
        <v>0</v>
      </c>
      <c r="BG1386" cm="1">
        <f t="array" ref="BG1386">IFERROR(IF(BF1386&lt;0,0,BF1386/($AU$1319-INDEX(hd_off,MATCH(BT1386,hd_mark,0),0)/12)),0)</f>
        <v>0</v>
      </c>
      <c r="BH1386">
        <f>IF(AV1386=0,0,$BG$1319*$AM$1304)</f>
        <v>0</v>
      </c>
      <c r="BI1386">
        <f>IFERROR(BH1386/$AU$1319,0)</f>
        <v>0</v>
      </c>
      <c r="BJ1386">
        <f>BH1386*($F$24+IF($F$24=0,0,($C$14+$C$15+IF($C$13="single",1.5,3)+3)/12))</f>
        <v>0</v>
      </c>
      <c r="BK1386">
        <f>BJ1386-BA1386</f>
        <v>0</v>
      </c>
      <c r="BL1386" cm="1">
        <f t="array" ref="BL1386">IFERROR(IF(BK1386&lt;0,0,BK1386/($AU$1319-INDEX(hd_off,MATCH(BT1386,hd_mark,0),0)/12)),0)</f>
        <v>0</v>
      </c>
      <c r="BM1386">
        <f>MAX($F$24,$BE$1319)/$Q$1332</f>
        <v>0</v>
      </c>
      <c r="BN1386">
        <f t="shared" si="855"/>
        <v>0</v>
      </c>
      <c r="BO1386" cm="1">
        <f t="array" ref="BO1386">IFERROR(INDEX(sheath_ecap_asd,MATCH(BS1386,sheath_mark,0),0)*BN1386,0)</f>
        <v>0</v>
      </c>
      <c r="BP1386" cm="1">
        <f t="array" ref="BP1386">IFERROR(INDEX(sheath_wcap_asd,MATCH(BS1386,sheath_mark,0),0)*BN1386,0)</f>
        <v>0</v>
      </c>
      <c r="BQ1386" cm="1">
        <f t="array" ref="BQ1386">IFERROR(INDEX(hd_cap,MATCH(BT1386,hd_mark,0),0),0)</f>
        <v>0</v>
      </c>
      <c r="BS1386" s="19"/>
      <c r="BT1386" s="19"/>
      <c r="BU1386" s="100"/>
    </row>
    <row r="1387" x14ac:dyDescent="0.25">
      <c r="P1387" s="93"/>
      <c r="Q1387" s="109"/>
      <c r="R1387" t="str">
        <f>$Q$1305</f>
        <v>Roof</v>
      </c>
      <c r="S1387">
        <f>$E$25</f>
        <v>33.171875</v>
      </c>
      <c r="T1387" cm="1">
        <f t="array" ref="T1387">IFERROR(IF(S1387=0,0,(INDEX($C$33:$C$38,MATCH($W$1319,$B$33:$B$38,0),0)*(S1387+$X$1319)+$V$1319*$C$31)*$R$1319),0)</f>
        <v>0</v>
      </c>
      <c r="U1387">
        <f>IF(S1387=0,0,-$V$1319*$C$31*$H$27*$R$1319)</f>
        <v>0</v>
      </c>
      <c r="V1387">
        <f>IF(S1387=0,0,$V$1319*$H$26*$R$1319)</f>
        <v>0</v>
      </c>
      <c r="W1387">
        <f>(0.6*T1387+0.7*U1387)*$R$1319/2</f>
        <v>0</v>
      </c>
      <c r="X1387">
        <f>T1387*$R$1319/2</f>
        <v>0</v>
      </c>
      <c r="Z1387">
        <f>IF(S1387=0,0,$AD$1319*$AP$1305)</f>
        <v>0</v>
      </c>
      <c r="AA1387">
        <f>IFERROR(Z1387/$R$1319,0)</f>
        <v>0</v>
      </c>
      <c r="AB1387">
        <f>Z1387*($F$25+($C$16+$C$17+IF($C$13="single",1.5,3)+3)/12)</f>
        <v>0</v>
      </c>
      <c r="AC1387">
        <f>AB1387-W1387</f>
        <v>0</v>
      </c>
      <c r="AD1387" cm="1">
        <f t="array" ref="AD1387">IFERROR(IF(AC1387&lt;0,0,AC1387/($R$1319-INDEX(hd_off,MATCH(AQ1387,hd_mark,0),0)/12)),0)</f>
        <v>0</v>
      </c>
      <c r="AE1387">
        <f>IF(S1387=0,0,$AD$1319*$AM$1305)</f>
        <v>0</v>
      </c>
      <c r="AF1387">
        <f>IFERROR(AE1387/$R$1319,0)</f>
        <v>0</v>
      </c>
      <c r="AG1387">
        <f>AE1387*($F$25+($C$16+$C$17+IF($C$13="single",1.5,3)+3)/12)</f>
        <v>0</v>
      </c>
      <c r="AH1387">
        <f>AG1387-X1387</f>
        <v>0</v>
      </c>
      <c r="AI1387" cm="1">
        <f t="array" ref="AI1387">IFERROR(IF(AH1387&lt;0,0,AH1387/($R$1319-INDEX(hd_off,MATCH(AQ1387,hd_mark,0),0)/12)),0)</f>
        <v>0</v>
      </c>
      <c r="AJ1387">
        <f>MAX($F$25,$AC$1319)/$Q$1332</f>
        <v>0.29920977011494249</v>
      </c>
      <c r="AK1387">
        <f t="shared" si="854"/>
        <v>1</v>
      </c>
      <c r="AL1387" cm="1">
        <f t="array" ref="AL1387">IFERROR(INDEX(sheath_ecap_asd,MATCH(AP1387,sheath_mark,0),0)*AK1387,0)</f>
        <v>0</v>
      </c>
      <c r="AM1387" cm="1">
        <f t="array" ref="AM1387">IFERROR(INDEX(sheath_wcap_asd,MATCH(AP1387,sheath_mark,0),0)*AK1387,0)</f>
        <v>0</v>
      </c>
      <c r="AN1387" cm="1">
        <f t="array" ref="AN1387">IFERROR(INDEX(hd_cap,MATCH(AQ1387,hd_mark,0),0),0)</f>
        <v>0</v>
      </c>
      <c r="AP1387" s="19"/>
      <c r="AQ1387" s="19"/>
      <c r="AR1387" s="100"/>
      <c r="AS1387" s="93"/>
      <c r="AT1387" s="109"/>
      <c r="AU1387" t="str">
        <f>$Q$1305</f>
        <v>Roof</v>
      </c>
      <c r="AV1387">
        <f>$E$25</f>
        <v>33.171875</v>
      </c>
      <c r="AW1387" cm="1">
        <f t="array" ref="AW1387">IFERROR(IF(AV1387=0,0,(INDEX($C$33:$C$38,MATCH($AZ$1319,$B$33:$B$38,0),0)*(AV1387+$BA$1319)+$AY$1319*$C$31)*$AU$1319),0)</f>
        <v>0</v>
      </c>
      <c r="AX1387">
        <f>IF(AV1387=0,0,-$AY$1319*$C$31*$H$27*$AU$1319)</f>
        <v>0</v>
      </c>
      <c r="AY1387">
        <f>IF(AV1387=0,0,$AY$1319*$H$26*$AU$1319)</f>
        <v>0</v>
      </c>
      <c r="AZ1387">
        <f>(0.6*AW1387+0.7*AX1387)*$AU$1319/2</f>
        <v>0</v>
      </c>
      <c r="BA1387">
        <f>AW1387*$AU$1319/2</f>
        <v>0</v>
      </c>
      <c r="BC1387">
        <f>IF(AV1387=0,0,$BG$1319*$AP$1305)</f>
        <v>0</v>
      </c>
      <c r="BD1387">
        <f>IFERROR(BC1387/$AU$1319,0)</f>
        <v>0</v>
      </c>
      <c r="BE1387">
        <f>BC1387*($F$25+($C$16+$C$17+IF($C$13="single",1.5,3)+3)/12)</f>
        <v>0</v>
      </c>
      <c r="BF1387">
        <f>BE1387-AZ1387</f>
        <v>0</v>
      </c>
      <c r="BG1387" cm="1">
        <f t="array" ref="BG1387">IFERROR(IF(BF1387&lt;0,0,BF1387/($AU$1319-INDEX(hd_off,MATCH(BT1387,hd_mark,0),0)/12)),0)</f>
        <v>0</v>
      </c>
      <c r="BH1387">
        <f>IF(AV1387=0,0,$BG$1319*$AM$1305)</f>
        <v>0</v>
      </c>
      <c r="BI1387">
        <f>IFERROR(BH1387/$AU$1319,0)</f>
        <v>0</v>
      </c>
      <c r="BJ1387">
        <f>BH1387*($F$25+($C$16+$C$17+IF($C$13="single",1.5,3)+3)/12)</f>
        <v>0</v>
      </c>
      <c r="BK1387">
        <f>BJ1387-BA1387</f>
        <v>0</v>
      </c>
      <c r="BL1387" cm="1">
        <f t="array" ref="BL1387">IFERROR(IF(BK1387&lt;0,0,BK1387/($AU$1319-INDEX(hd_off,MATCH(BT1387,hd_mark,0),0)/12)),0)</f>
        <v>0</v>
      </c>
      <c r="BM1387">
        <f>MAX($F$25,$BF$1319)/$Q$1332</f>
        <v>0.29920977011494249</v>
      </c>
      <c r="BN1387">
        <f t="shared" si="855"/>
        <v>1</v>
      </c>
      <c r="BO1387" cm="1">
        <f t="array" ref="BO1387">IFERROR(INDEX(sheath_ecap_asd,MATCH(BS1387,sheath_mark,0),0)*BN1387,0)</f>
        <v>0</v>
      </c>
      <c r="BP1387" cm="1">
        <f t="array" ref="BP1387">IFERROR(INDEX(sheath_wcap_asd,MATCH(BS1387,sheath_mark,0),0)*BN1387,0)</f>
        <v>0</v>
      </c>
      <c r="BQ1387" cm="1">
        <f t="array" ref="BQ1387">IFERROR(INDEX(hd_cap,MATCH(BT1387,hd_mark,0),0),0)</f>
        <v>0</v>
      </c>
      <c r="BS1387" s="19"/>
      <c r="BT1387" s="19"/>
      <c r="BU1387" s="100"/>
    </row>
    <row r="1388" x14ac:dyDescent="0.25">
      <c r="P1388" s="93"/>
      <c r="AR1388" s="100"/>
      <c r="AS1388" s="93"/>
      <c r="BU1388" s="100"/>
    </row>
    <row r="1389" x14ac:dyDescent="0.25">
      <c r="P1389" s="93"/>
      <c r="Q1389" s="110" t="str">
        <f>$Q$1320</f>
        <v>A.11</v>
      </c>
      <c r="R1389" t="str">
        <f>$Q$1301</f>
        <v>L2</v>
      </c>
      <c r="S1389">
        <f>$E$21</f>
        <v>10.6875</v>
      </c>
      <c r="T1389" cm="1">
        <f t="array" ref="T1389">IFERROR(IF(S1389=0,0,(INDEX($C$33:$C$38,MATCH($W$1320,$B$33:$B$38,0),0)*(S1393+$X$1320)+$T$1320*COUNTIF(S1389:S1392,"&gt;0")*$C$32+$V$1320*$C$31)*$R$1320),0)</f>
        <v>0</v>
      </c>
      <c r="U1389">
        <f>IF(S1389=0,0,-(COUNTIF(S1389:S1392,"&gt;0")*$T$1320*$C$32+$V$1320*$C$31)*$H$27*$R$1320)</f>
        <v>0</v>
      </c>
      <c r="V1389">
        <f>IF(S1389=0,0,$V$1320*$H$26*$R$1320)</f>
        <v>0</v>
      </c>
      <c r="W1389">
        <f>(0.6*T1389+0.7*U1389)*$R$1320/2</f>
        <v>0</v>
      </c>
      <c r="X1389">
        <f>(0.6*T1389+0.6*V1389)*$R$1320/2</f>
        <v>0</v>
      </c>
      <c r="Z1389">
        <f>IF(S1389=0,0,$AD$1320*$AP$1301)</f>
        <v>0</v>
      </c>
      <c r="AA1389">
        <f>IFERROR(Z1389/$R$1320,0)</f>
        <v>0</v>
      </c>
      <c r="AB1389">
        <f>Z1389*($F$21+IF($F$21=0,0,($C$14+$C$15+IF($C$13="single",1.5,3)+3)/12))</f>
        <v>0</v>
      </c>
      <c r="AC1389">
        <f>AB1389-W1389</f>
        <v>0</v>
      </c>
      <c r="AD1389" cm="1">
        <f t="array" ref="AD1389">IFERROR(IF(AC1389&lt;0,0,AC1389/($R$1320-INDEX(hd_off,MATCH(AQ1389,hd_mark,0),0)/12)),0)</f>
        <v>0</v>
      </c>
      <c r="AE1389">
        <f>IF(S1389=0,0,$AD$1320*$AM$1301)</f>
        <v>0</v>
      </c>
      <c r="AF1389">
        <f>IFERROR(AE1389/$R$1320,0)</f>
        <v>0</v>
      </c>
      <c r="AG1389">
        <f>AE1389*($F$21+IF($F$21=0,0,($C$14+$C$15+IF($C$13="single",1.5,3)+3)/12))</f>
        <v>0</v>
      </c>
      <c r="AH1389">
        <f>AG1389-X1389</f>
        <v>0</v>
      </c>
      <c r="AI1389" cm="1">
        <f t="array" ref="AI1389">IFERROR(IF(AH1389&lt;0,0,AH1389/($R$1320-INDEX(hd_off,MATCH(AQ1389,hd_mark,0),0)/12)),0)</f>
        <v>0</v>
      </c>
      <c r="AJ1389">
        <f>MAX($F$21,$Y$1320)/$Q$1332</f>
        <v>0.30172413793103448</v>
      </c>
      <c r="AK1389">
        <f>IF(AJ1389=0,0,IF(AJ1389&gt;2,1.25-0.125*AJ1389,1))</f>
        <v>1</v>
      </c>
      <c r="AL1389" cm="1">
        <f t="array" ref="AL1389">IFERROR(INDEX(sheath_ecap_asd,MATCH(AP1389,sheath_mark,0),0)*AK1389,0)</f>
        <v>0</v>
      </c>
      <c r="AM1389" cm="1">
        <f t="array" ref="AM1389">IFERROR(INDEX(sheath_wcap_asd,MATCH(AP1389,sheath_mark,0),0)*AK1389,0)</f>
        <v>0</v>
      </c>
      <c r="AN1389" cm="1">
        <f t="array" ref="AN1389">IFERROR(INDEX(hd_cap,MATCH(AQ1389,hd_mark,0),0),0)</f>
        <v>0</v>
      </c>
      <c r="AP1389" s="19"/>
      <c r="AQ1389" s="19"/>
      <c r="AR1389" s="100"/>
      <c r="AS1389" s="93"/>
      <c r="AT1389" s="110" t="str">
        <f>$AT$1320</f>
        <v>1.11</v>
      </c>
      <c r="AU1389" t="str">
        <f>$Q$1301</f>
        <v>L2</v>
      </c>
      <c r="AV1389">
        <f>$E$21</f>
        <v>10.6875</v>
      </c>
      <c r="AW1389" cm="1">
        <f t="array" ref="AW1389">IFERROR(IF(AV1389=0,0,(INDEX($C$33:$C$38,MATCH($AZ$1320,$B$33:$B$38,0),0)*(AV1393+$BA$1320)+$AW$1320*COUNTIF(AV1389:AV1392,"&gt;0")*$C$32+$AY$1320*$C$31)*$AU$1320),0)</f>
        <v>0</v>
      </c>
      <c r="AX1389">
        <f>IF(AV1389=0,0,-(COUNTIF(AV1389:AV1392,"&gt;0")*$AW$1320*$C$32+$AY$1320*$C$31)*$H$27*$AU$1320)</f>
        <v>0</v>
      </c>
      <c r="AY1389">
        <f>IF(AV1389=0,0,$AY$1320*$H$26*$AU$1320)</f>
        <v>0</v>
      </c>
      <c r="AZ1389">
        <f>(0.6*AW1389+0.7*AX1389)*$AU$1320/2</f>
        <v>0</v>
      </c>
      <c r="BA1389">
        <f>(0.6*AW1389+0.6*AY1389)*$AU$1320/2</f>
        <v>0</v>
      </c>
      <c r="BC1389">
        <f>IF(AV1389=0,0,$BG$1320*$AP$1301)</f>
        <v>0</v>
      </c>
      <c r="BD1389">
        <f>IFERROR(BC1389/$AU$1320,0)</f>
        <v>0</v>
      </c>
      <c r="BE1389">
        <f>BC1389*($F$21+IF($F$21=0,0,($C$14+$C$15+IF($C$13="single",1.5,3)+3)/12))</f>
        <v>0</v>
      </c>
      <c r="BF1389">
        <f>BE1389-AZ1389</f>
        <v>0</v>
      </c>
      <c r="BG1389" cm="1">
        <f t="array" ref="BG1389">IFERROR(IF(BF1389&lt;0,0,BF1389/($AU$1320-INDEX(hd_off,MATCH(BT1389,hd_mark,0),0)/12)),0)</f>
        <v>0</v>
      </c>
      <c r="BH1389">
        <f>IF(AV1389=0,0,$BG$1320*$AM$1301)</f>
        <v>0</v>
      </c>
      <c r="BI1389">
        <f>IFERROR(BH1389/$AU$1320,0)</f>
        <v>0</v>
      </c>
      <c r="BJ1389">
        <f>BH1389*($F$21+IF($F$21=0,0,($C$14+$C$15+IF($C$13="single",1.5,3)+3)/12))</f>
        <v>0</v>
      </c>
      <c r="BK1389">
        <f>BJ1389-BA1389</f>
        <v>0</v>
      </c>
      <c r="BL1389" cm="1">
        <f t="array" ref="BL1389">IFERROR(IF(BK1389&lt;0,0,BK1389/($AU$1320-INDEX(hd_off,MATCH(BT1389,hd_mark,0),0)/12)),0)</f>
        <v>0</v>
      </c>
      <c r="BM1389">
        <f>MAX($F$21,$BB$1320)/$Q$1332</f>
        <v>0.30172413793103448</v>
      </c>
      <c r="BN1389">
        <f>IF(BM1389=0,0,IF(BM1389&gt;2,1.25-0.125*BM1389,1))</f>
        <v>1</v>
      </c>
      <c r="BO1389" cm="1">
        <f t="array" ref="BO1389">IFERROR(INDEX(sheath_ecap_asd,MATCH(BS1389,sheath_mark,0),0)*BN1389,0)</f>
        <v>0</v>
      </c>
      <c r="BP1389" cm="1">
        <f t="array" ref="BP1389">IFERROR(INDEX(sheath_wcap_asd,MATCH(BS1389,sheath_mark,0),0)*BN1389,0)</f>
        <v>0</v>
      </c>
      <c r="BQ1389" cm="1">
        <f t="array" ref="BQ1389">IFERROR(INDEX(hd_cap,MATCH(BT1389,hd_mark,0),0),0)</f>
        <v>0</v>
      </c>
      <c r="BS1389" s="19"/>
      <c r="BT1389" s="19"/>
      <c r="BU1389" s="100"/>
    </row>
    <row r="1390" x14ac:dyDescent="0.25">
      <c r="P1390" s="93"/>
      <c r="Q1390" s="109"/>
      <c r="R1390" t="str">
        <f>$Q$1302</f>
        <v>L3</v>
      </c>
      <c r="S1390">
        <f>$E$22</f>
        <v>21.375</v>
      </c>
      <c r="T1390" cm="1">
        <f t="array" ref="T1390">IFERROR(IF(S1390=0,0,(INDEX($C$33:$C$38,MATCH($W$1320,$B$33:$B$38,0),0)*(S1393+$X$1320)+$T$1320*COUNTIF(S1390:S1392,"&gt;0")*$C$32+$V$1320*$C$31)*$R$1320),0)</f>
        <v>0</v>
      </c>
      <c r="U1390">
        <f>IF(S1390=0,0,-(COUNTIF(S1390:S1392,"&gt;0")*$T$1320*$C$32+$V$1320*$C$31)*$H$27*$R$1320)</f>
        <v>0</v>
      </c>
      <c r="V1390">
        <f>IF(S1390=0,0,$V$1320*$H$26*$R$1320)</f>
        <v>0</v>
      </c>
      <c r="W1390">
        <f>(0.6*T1390+0.7*U1390)*$R$1320/2</f>
        <v>0</v>
      </c>
      <c r="X1390">
        <f>T1390*$R$1320/2</f>
        <v>0</v>
      </c>
      <c r="Z1390">
        <f>IF(S1390=0,0,$AD$1320*$AP$1302)</f>
        <v>0</v>
      </c>
      <c r="AA1390">
        <f>IFERROR(Z1390/$R$1320,0)</f>
        <v>0</v>
      </c>
      <c r="AB1390">
        <f>Z1390*($F$22+IF($F$22=0,0,($C$14+$C$15+IF($C$13="single",1.5,3)+3)/12))</f>
        <v>0</v>
      </c>
      <c r="AC1390">
        <f>AB1390-W1390</f>
        <v>0</v>
      </c>
      <c r="AD1390" cm="1">
        <f t="array" ref="AD1390">IFERROR(IF(AC1390&lt;0,0,AC1390/($R$1320-INDEX(hd_off,MATCH(AQ1390,hd_mark,0),0)/12)),0)</f>
        <v>0</v>
      </c>
      <c r="AE1390">
        <f>IF(S1390=0,0,$AD$1320*$AM$1302)</f>
        <v>0</v>
      </c>
      <c r="AF1390">
        <f>IFERROR(AE1390/$R$1320,0)</f>
        <v>0</v>
      </c>
      <c r="AG1390">
        <f>AE1390*($F$22+IF($F$22=0,0,($C$14+$C$15+IF($C$13="single",1.5,3)+3)/12))</f>
        <v>0</v>
      </c>
      <c r="AH1390">
        <f>AG1390-X1390</f>
        <v>0</v>
      </c>
      <c r="AI1390" cm="1">
        <f t="array" ref="AI1390">IFERROR(IF(AH1390&lt;0,0,AH1390/($R$1320-INDEX(hd_off,MATCH(AQ1390,hd_mark,0),0)/12)),0)</f>
        <v>0</v>
      </c>
      <c r="AJ1390">
        <f>MAX($F$22,$Z$1320)/$Q$1332</f>
        <v>0.30172413793103448</v>
      </c>
      <c r="AK1390">
        <f t="shared" ref="AK1390:AK1393" si="856">IF(AJ1390=0,0,IF(AJ1390&gt;2,1.25-0.125*AJ1390,1))</f>
        <v>1</v>
      </c>
      <c r="AL1390" cm="1">
        <f t="array" ref="AL1390">IFERROR(INDEX(sheath_ecap_asd,MATCH(AP1390,sheath_mark,0),0)*AK1390,0)</f>
        <v>0</v>
      </c>
      <c r="AM1390" cm="1">
        <f t="array" ref="AM1390">IFERROR(INDEX(sheath_wcap_asd,MATCH(AP1390,sheath_mark,0),0)*AK1390,0)</f>
        <v>0</v>
      </c>
      <c r="AN1390" cm="1">
        <f t="array" ref="AN1390">IFERROR(INDEX(hd_cap,MATCH(AQ1390,hd_mark,0),0),0)</f>
        <v>0</v>
      </c>
      <c r="AP1390" s="19"/>
      <c r="AQ1390" s="19"/>
      <c r="AR1390" s="100"/>
      <c r="AS1390" s="93"/>
      <c r="AT1390" s="109"/>
      <c r="AU1390" t="str">
        <f>$Q$1302</f>
        <v>L3</v>
      </c>
      <c r="AV1390">
        <f>$E$22</f>
        <v>21.375</v>
      </c>
      <c r="AW1390" cm="1">
        <f t="array" ref="AW1390">IFERROR(IF(AV1390=0,0,(INDEX($C$33:$C$38,MATCH($AZ$1320,$B$33:$B$38,0),0)*(AV1393+$BA$1320)+$AW$1320*COUNTIF(AV1390:AV1392,"&gt;0")*$C$32+$AY$1320*$C$31)*$AU$1320),0)</f>
        <v>0</v>
      </c>
      <c r="AX1390">
        <f>IF(AV1390=0,0,-(COUNTIF(AV1390:AV1392,"&gt;0")*$AW$1320*$C$32+$AY$1320*$C$31)*$H$27*$AU$1320)</f>
        <v>0</v>
      </c>
      <c r="AY1390">
        <f>IF(AV1390=0,0,$AY$1320*$H$26*$AU$1320)</f>
        <v>0</v>
      </c>
      <c r="AZ1390">
        <f>(0.6*AW1390+0.7*AX1390)*$AU$1320/2</f>
        <v>0</v>
      </c>
      <c r="BA1390">
        <f>AW1390*$AU$1320/2</f>
        <v>0</v>
      </c>
      <c r="BC1390">
        <f>IF(AV1390=0,0,$BG$1320*$AP$1302)</f>
        <v>0</v>
      </c>
      <c r="BD1390">
        <f>IFERROR(BC1390/$AU$1320,0)</f>
        <v>0</v>
      </c>
      <c r="BE1390">
        <f>BC1390*($F$22+IF($F$22=0,0,($C$14+$C$15+IF($C$13="single",1.5,3)+3)/12))</f>
        <v>0</v>
      </c>
      <c r="BF1390">
        <f>BE1390-AZ1390</f>
        <v>0</v>
      </c>
      <c r="BG1390" cm="1">
        <f t="array" ref="BG1390">IFERROR(IF(BF1390&lt;0,0,BF1390/($AU$1320-INDEX(hd_off,MATCH(BT1390,hd_mark,0),0)/12)),0)</f>
        <v>0</v>
      </c>
      <c r="BH1390">
        <f>IF(AV1390=0,0,$BG$1320*$AM$1302)</f>
        <v>0</v>
      </c>
      <c r="BI1390">
        <f>IFERROR(BH1390/$AU$1320,0)</f>
        <v>0</v>
      </c>
      <c r="BJ1390">
        <f>BH1390*($F$22+IF($F$22=0,0,($C$14+$C$15+IF($C$13="single",1.5,3)+3)/12))</f>
        <v>0</v>
      </c>
      <c r="BK1390">
        <f>BJ1390-BA1390</f>
        <v>0</v>
      </c>
      <c r="BL1390" cm="1">
        <f t="array" ref="BL1390">IFERROR(IF(BK1390&lt;0,0,BK1390/($AU$1320-INDEX(hd_off,MATCH(BT1390,hd_mark,0),0)/12)),0)</f>
        <v>0</v>
      </c>
      <c r="BM1390">
        <f>MAX($F$22,$BC$1320)/$Q$1332</f>
        <v>0.30172413793103448</v>
      </c>
      <c r="BN1390">
        <f t="shared" ref="BN1390:BN1393" si="857">IF(BM1390=0,0,IF(BM1390&gt;2,1.25-0.125*BM1390,1))</f>
        <v>1</v>
      </c>
      <c r="BO1390" cm="1">
        <f t="array" ref="BO1390">IFERROR(INDEX(sheath_ecap_asd,MATCH(BS1390,sheath_mark,0),0)*BN1390,0)</f>
        <v>0</v>
      </c>
      <c r="BP1390" cm="1">
        <f t="array" ref="BP1390">IFERROR(INDEX(sheath_wcap_asd,MATCH(BS1390,sheath_mark,0),0)*BN1390,0)</f>
        <v>0</v>
      </c>
      <c r="BQ1390" cm="1">
        <f t="array" ref="BQ1390">IFERROR(INDEX(hd_cap,MATCH(BT1390,hd_mark,0),0),0)</f>
        <v>0</v>
      </c>
      <c r="BS1390" s="19"/>
      <c r="BT1390" s="19"/>
      <c r="BU1390" s="100"/>
    </row>
    <row r="1391" x14ac:dyDescent="0.25">
      <c r="P1391" s="93"/>
      <c r="Q1391" s="109" t="s">
        <v>491</v>
      </c>
      <c r="R1391" t="str">
        <f>$Q$1303</f>
        <v>L4</v>
      </c>
      <c r="S1391">
        <f>$E$23</f>
        <v>0</v>
      </c>
      <c r="T1391" cm="1">
        <f t="array" ref="T1391">IFERROR(IF(S1391=0,0,(INDEX($C$33:$C$38,MATCH($W$1320,$B$33:$B$38,0),0)*(S1393+$X$1320)+$T$1320*COUNTIF(S1391:S1392,"&gt;0")*$C$32+$V$1320*$C$31)*$R$1320),0)</f>
        <v>0</v>
      </c>
      <c r="U1391">
        <f>IF(S1391=0,0,-(COUNTIF(S1391:S1392,"&gt;0")*$T$1320*$C$32+$V$1320*$C$31)*$H$27*$R$1320)</f>
        <v>0</v>
      </c>
      <c r="V1391">
        <f>IF(S1391=0,0,$V$1320*$H$26*$R$1320)</f>
        <v>0</v>
      </c>
      <c r="W1391">
        <f>(0.6*T1391+0.7*U1391)*$R$1320/2</f>
        <v>0</v>
      </c>
      <c r="X1391">
        <f>T1391*$R$1320/2</f>
        <v>0</v>
      </c>
      <c r="Z1391">
        <f>IF(S1391=0,0,$AD$1320*$AP$1303)</f>
        <v>0</v>
      </c>
      <c r="AA1391">
        <f>IFERROR(Z1391/$R$1320,0)</f>
        <v>0</v>
      </c>
      <c r="AB1391">
        <f>Z1391*($F$23+IF($F$23=0,0,($C$14+$C$15+IF($C$13="single",1.5,3)+3)/12))</f>
        <v>0</v>
      </c>
      <c r="AC1391">
        <f>AB1391-W1391</f>
        <v>0</v>
      </c>
      <c r="AD1391" cm="1">
        <f t="array" ref="AD1391">IFERROR(IF(AC1391&lt;0,0,AC1391/($R$1320-INDEX(hd_off,MATCH(AQ1391,hd_mark,0),0)/12)),0)</f>
        <v>0</v>
      </c>
      <c r="AE1391">
        <f>IF(S1391=0,0,$AD$1320*$AM$1303)</f>
        <v>0</v>
      </c>
      <c r="AF1391">
        <f>IFERROR(AE1391/$R$1320,0)</f>
        <v>0</v>
      </c>
      <c r="AG1391">
        <f>AE1391*($F$23+IF($F$23=0,0,($C$14+$C$15+IF($C$13="single",1.5,3)+3)/12))</f>
        <v>0</v>
      </c>
      <c r="AH1391">
        <f>AG1391-X1391</f>
        <v>0</v>
      </c>
      <c r="AI1391" cm="1">
        <f t="array" ref="AI1391">IFERROR(IF(AH1391&lt;0,0,AH1391/($R$1320-INDEX(hd_off,MATCH(AQ1391,hd_mark,0),0)/12)),0)</f>
        <v>0</v>
      </c>
      <c r="AJ1391">
        <f>MAX($F$23,$AA$1320)/$Q$1332</f>
        <v>0</v>
      </c>
      <c r="AK1391">
        <f t="shared" si="856"/>
        <v>0</v>
      </c>
      <c r="AL1391" cm="1">
        <f t="array" ref="AL1391">IFERROR(INDEX(sheath_ecap_asd,MATCH(AP1391,sheath_mark,0),0)*AK1391,0)</f>
        <v>0</v>
      </c>
      <c r="AM1391" cm="1">
        <f t="array" ref="AM1391">IFERROR(INDEX(sheath_wcap_asd,MATCH(AP1391,sheath_mark,0),0)*AK1391,0)</f>
        <v>0</v>
      </c>
      <c r="AN1391" cm="1">
        <f t="array" ref="AN1391">IFERROR(INDEX(hd_cap,MATCH(AQ1391,hd_mark,0),0),0)</f>
        <v>0</v>
      </c>
      <c r="AP1391" s="19"/>
      <c r="AQ1391" s="19"/>
      <c r="AR1391" s="100"/>
      <c r="AS1391" s="93"/>
      <c r="AT1391" s="109" t="s">
        <v>491</v>
      </c>
      <c r="AU1391" t="str">
        <f>$Q$1303</f>
        <v>L4</v>
      </c>
      <c r="AV1391">
        <f>$E$23</f>
        <v>0</v>
      </c>
      <c r="AW1391" cm="1">
        <f t="array" ref="AW1391">IFERROR(IF(AV1391=0,0,(INDEX($C$33:$C$38,MATCH($AZ$1320,$B$33:$B$38,0),0)*(AV1393+$BA$1320)+$AW$1320*COUNTIF(AV1391:AV1392,"&gt;0")*$C$32+$AY$1320*$C$31)*$AU$1320),0)</f>
        <v>0</v>
      </c>
      <c r="AX1391">
        <f>IF(AV1391=0,0,-(COUNTIF(AV1391:AV1392,"&gt;0")*$AW$1320*$C$32+$AY$1320*$C$31)*$H$27*$AU$1320)</f>
        <v>0</v>
      </c>
      <c r="AY1391">
        <f>IF(AV1391=0,0,$AY$1320*$H$26*$AU$1320)</f>
        <v>0</v>
      </c>
      <c r="AZ1391">
        <f>(0.6*AW1391+0.7*AX1391)*$AU$1320/2</f>
        <v>0</v>
      </c>
      <c r="BA1391">
        <f>AW1391*$AU$1320/2</f>
        <v>0</v>
      </c>
      <c r="BC1391">
        <f>IF(AV1391=0,0,$BG$1320*$AP$1303)</f>
        <v>0</v>
      </c>
      <c r="BD1391">
        <f>IFERROR(BC1391/$AU$1320,0)</f>
        <v>0</v>
      </c>
      <c r="BE1391">
        <f>BC1391*($F$23+IF($F$23=0,0,($C$14+$C$15+IF($C$13="single",1.5,3)+3)/12))</f>
        <v>0</v>
      </c>
      <c r="BF1391">
        <f>BE1391-AZ1391</f>
        <v>0</v>
      </c>
      <c r="BG1391" cm="1">
        <f t="array" ref="BG1391">IFERROR(IF(BF1391&lt;0,0,BF1391/($AU$1320-INDEX(hd_off,MATCH(BT1391,hd_mark,0),0)/12)),0)</f>
        <v>0</v>
      </c>
      <c r="BH1391">
        <f>IF(AV1391=0,0,$BG$1320*$AM$1303)</f>
        <v>0</v>
      </c>
      <c r="BI1391">
        <f>IFERROR(BH1391/$AU$1320,0)</f>
        <v>0</v>
      </c>
      <c r="BJ1391">
        <f>BH1391*($F$23+IF($F$23=0,0,($C$14+$C$15+IF($C$13="single",1.5,3)+3)/12))</f>
        <v>0</v>
      </c>
      <c r="BK1391">
        <f>BJ1391-BA1391</f>
        <v>0</v>
      </c>
      <c r="BL1391" cm="1">
        <f t="array" ref="BL1391">IFERROR(IF(BK1391&lt;0,0,BK1391/($AU$1320-INDEX(hd_off,MATCH(BT1391,hd_mark,0),0)/12)),0)</f>
        <v>0</v>
      </c>
      <c r="BM1391">
        <f>MAX($F$23,$BD$1320)/$Q$1332</f>
        <v>0</v>
      </c>
      <c r="BN1391">
        <f t="shared" si="857"/>
        <v>0</v>
      </c>
      <c r="BO1391" cm="1">
        <f t="array" ref="BO1391">IFERROR(INDEX(sheath_ecap_asd,MATCH(BS1391,sheath_mark,0),0)*BN1391,0)</f>
        <v>0</v>
      </c>
      <c r="BP1391" cm="1">
        <f t="array" ref="BP1391">IFERROR(INDEX(sheath_wcap_asd,MATCH(BS1391,sheath_mark,0),0)*BN1391,0)</f>
        <v>0</v>
      </c>
      <c r="BQ1391" cm="1">
        <f t="array" ref="BQ1391">IFERROR(INDEX(hd_cap,MATCH(BT1391,hd_mark,0),0),0)</f>
        <v>0</v>
      </c>
      <c r="BS1391" s="19"/>
      <c r="BT1391" s="19"/>
      <c r="BU1391" s="100"/>
    </row>
    <row r="1392" x14ac:dyDescent="0.25">
      <c r="P1392" s="93"/>
      <c r="Q1392" s="111">
        <f>$R$1320</f>
        <v>0</v>
      </c>
      <c r="R1392" t="str">
        <f>$Q$1304</f>
        <v>L5</v>
      </c>
      <c r="S1392">
        <f>$E$24</f>
        <v>0</v>
      </c>
      <c r="T1392" cm="1">
        <f t="array" ref="T1392">IFERROR(IF(S1392=0,0,(INDEX($C$33:$C$38,MATCH($W$1320,$B$33:$B$38,0),0)*(S1393+$X$1320)+$T$1320*COUNTIF(S1392:S1392,"&gt;0")*$C$32+$V$1320*$C$31)*$R$1320),0)</f>
        <v>0</v>
      </c>
      <c r="U1392">
        <f>IF(S1392=0,0,-(COUNTIF(S1392:S1392,"&gt;0")*$T$1320*$C$32+$V$1320*$C$31)*$H$27*$R$1320)</f>
        <v>0</v>
      </c>
      <c r="V1392">
        <f>IF(S1392=0,0,$V$1320*$H$26*$R$1320)</f>
        <v>0</v>
      </c>
      <c r="W1392">
        <f>(0.6*T1392+0.7*U1392)*$R$1320/2</f>
        <v>0</v>
      </c>
      <c r="X1392">
        <f>T1392*$R$1320/2</f>
        <v>0</v>
      </c>
      <c r="Z1392">
        <f>IF(S1392=0,0,$AD$1320*$AP$1304)</f>
        <v>0</v>
      </c>
      <c r="AA1392">
        <f>IFERROR(Z1392/$R$1320,0)</f>
        <v>0</v>
      </c>
      <c r="AB1392">
        <f>Z1392*($F$24+IF($F$24=0,0,($C$14+$C$15+IF($C$13="single",1.5,3)+3)/12))</f>
        <v>0</v>
      </c>
      <c r="AC1392">
        <f>AB1392-W1392</f>
        <v>0</v>
      </c>
      <c r="AD1392" cm="1">
        <f t="array" ref="AD1392">IFERROR(IF(AC1392&lt;0,0,AC1392/($R$1320-INDEX(hd_off,MATCH(AQ1392,hd_mark,0),0)/12)),0)</f>
        <v>0</v>
      </c>
      <c r="AE1392">
        <f>IF(S1392=0,0,$AD$1320*$AM$1304)</f>
        <v>0</v>
      </c>
      <c r="AF1392">
        <f>IFERROR(AE1392/$R$1320,0)</f>
        <v>0</v>
      </c>
      <c r="AG1392">
        <f>AE1392*($F$24+IF($F$24=0,0,($C$14+$C$15+IF($C$13="single",1.5,3)+3)/12))</f>
        <v>0</v>
      </c>
      <c r="AH1392">
        <f>AG1392-X1392</f>
        <v>0</v>
      </c>
      <c r="AI1392" cm="1">
        <f t="array" ref="AI1392">IFERROR(IF(AH1392&lt;0,0,AH1392/($R$1320-INDEX(hd_off,MATCH(AQ1392,hd_mark,0),0)/12)),0)</f>
        <v>0</v>
      </c>
      <c r="AJ1392">
        <f>MAX($F$24,$AB$1320)/$Q$1332</f>
        <v>0</v>
      </c>
      <c r="AK1392">
        <f t="shared" si="856"/>
        <v>0</v>
      </c>
      <c r="AL1392" cm="1">
        <f t="array" ref="AL1392">IFERROR(INDEX(sheath_ecap_asd,MATCH(AP1392,sheath_mark,0),0)*AK1392,0)</f>
        <v>0</v>
      </c>
      <c r="AM1392" cm="1">
        <f t="array" ref="AM1392">IFERROR(INDEX(sheath_wcap_asd,MATCH(AP1392,sheath_mark,0),0)*AK1392,0)</f>
        <v>0</v>
      </c>
      <c r="AN1392" cm="1">
        <f t="array" ref="AN1392">IFERROR(INDEX(hd_cap,MATCH(AQ1392,hd_mark,0),0),0)</f>
        <v>0</v>
      </c>
      <c r="AP1392" s="19"/>
      <c r="AQ1392" s="19"/>
      <c r="AR1392" s="100"/>
      <c r="AS1392" s="93"/>
      <c r="AT1392" s="111">
        <f>$R$1320</f>
        <v>0</v>
      </c>
      <c r="AU1392" t="str">
        <f>$Q$1304</f>
        <v>L5</v>
      </c>
      <c r="AV1392">
        <f>$E$24</f>
        <v>0</v>
      </c>
      <c r="AW1392" cm="1">
        <f t="array" ref="AW1392">IFERROR(IF(AV1392=0,0,(INDEX($C$33:$C$38,MATCH($AZ$1320,$B$33:$B$38,0),0)*(AV1393+$BA$1320)+$AW$1320*COUNTIF(AV1392:AV1392,"&gt;0")*$C$32+$AY$1320*$C$31)*$AU$1320),0)</f>
        <v>0</v>
      </c>
      <c r="AX1392">
        <f>IF(AV1392=0,0,-(COUNTIF(AV1392:AV1392,"&gt;0")*$AW$1320*$C$32+$AY$1320*$C$31)*$H$27*$AU$1320)</f>
        <v>0</v>
      </c>
      <c r="AY1392">
        <f>IF(AV1392=0,0,$AY$1320*$H$26*$AU$1320)</f>
        <v>0</v>
      </c>
      <c r="AZ1392">
        <f>(0.6*AW1392+0.7*AX1392)*$AU$1320/2</f>
        <v>0</v>
      </c>
      <c r="BA1392">
        <f>AW1392*$AU$1320/2</f>
        <v>0</v>
      </c>
      <c r="BC1392">
        <f>IF(AV1392=0,0,$BG$1320*$AP$1304)</f>
        <v>0</v>
      </c>
      <c r="BD1392">
        <f>IFERROR(BC1392/$AU$1320,0)</f>
        <v>0</v>
      </c>
      <c r="BE1392">
        <f>BC1392*($F$24+IF($F$24=0,0,($C$14+$C$15+IF($C$13="single",1.5,3)+3)/12))</f>
        <v>0</v>
      </c>
      <c r="BF1392">
        <f>BE1392-AZ1392</f>
        <v>0</v>
      </c>
      <c r="BG1392" cm="1">
        <f t="array" ref="BG1392">IFERROR(IF(BF1392&lt;0,0,BF1392/($AU$1320-INDEX(hd_off,MATCH(BT1392,hd_mark,0),0)/12)),0)</f>
        <v>0</v>
      </c>
      <c r="BH1392">
        <f>IF(AV1392=0,0,$BG$1320*$AM$1304)</f>
        <v>0</v>
      </c>
      <c r="BI1392">
        <f>IFERROR(BH1392/$AU$1320,0)</f>
        <v>0</v>
      </c>
      <c r="BJ1392">
        <f>BH1392*($F$24+IF($F$24=0,0,($C$14+$C$15+IF($C$13="single",1.5,3)+3)/12))</f>
        <v>0</v>
      </c>
      <c r="BK1392">
        <f>BJ1392-BA1392</f>
        <v>0</v>
      </c>
      <c r="BL1392" cm="1">
        <f t="array" ref="BL1392">IFERROR(IF(BK1392&lt;0,0,BK1392/($AU$1320-INDEX(hd_off,MATCH(BT1392,hd_mark,0),0)/12)),0)</f>
        <v>0</v>
      </c>
      <c r="BM1392">
        <f>MAX($F$24,$BE$1320)/$Q$1332</f>
        <v>0</v>
      </c>
      <c r="BN1392">
        <f t="shared" si="857"/>
        <v>0</v>
      </c>
      <c r="BO1392" cm="1">
        <f t="array" ref="BO1392">IFERROR(INDEX(sheath_ecap_asd,MATCH(BS1392,sheath_mark,0),0)*BN1392,0)</f>
        <v>0</v>
      </c>
      <c r="BP1392" cm="1">
        <f t="array" ref="BP1392">IFERROR(INDEX(sheath_wcap_asd,MATCH(BS1392,sheath_mark,0),0)*BN1392,0)</f>
        <v>0</v>
      </c>
      <c r="BQ1392" cm="1">
        <f t="array" ref="BQ1392">IFERROR(INDEX(hd_cap,MATCH(BT1392,hd_mark,0),0),0)</f>
        <v>0</v>
      </c>
      <c r="BS1392" s="19"/>
      <c r="BT1392" s="19"/>
      <c r="BU1392" s="100"/>
    </row>
    <row r="1393" x14ac:dyDescent="0.25">
      <c r="P1393" s="93"/>
      <c r="Q1393" s="109"/>
      <c r="R1393" t="str">
        <f>$Q$1305</f>
        <v>Roof</v>
      </c>
      <c r="S1393">
        <f>$E$25</f>
        <v>33.171875</v>
      </c>
      <c r="T1393" cm="1">
        <f t="array" ref="T1393">IFERROR(IF(S1393=0,0,(INDEX($C$33:$C$38,MATCH($W$1320,$B$33:$B$38,0),0)*(S1393+$X$1320)+$V$1320*$C$31)*$R$1320),0)</f>
        <v>0</v>
      </c>
      <c r="U1393">
        <f>IF(S1393=0,0,-$V$1320*$C$31*$H$27*$R$1320)</f>
        <v>0</v>
      </c>
      <c r="V1393">
        <f>IF(S1393=0,0,$V$1320*$H$26*$R$1320)</f>
        <v>0</v>
      </c>
      <c r="W1393">
        <f>(0.6*T1393+0.7*U1393)*$R$1320/2</f>
        <v>0</v>
      </c>
      <c r="X1393">
        <f>T1393*$R$1320/2</f>
        <v>0</v>
      </c>
      <c r="Z1393">
        <f>IF(S1393=0,0,$AD$1320*$AP$1305)</f>
        <v>0</v>
      </c>
      <c r="AA1393">
        <f>IFERROR(Z1393/$R$1320,0)</f>
        <v>0</v>
      </c>
      <c r="AB1393">
        <f>Z1393*($F$25+($C$16+$C$17+IF($C$13="single",1.5,3)+3)/12)</f>
        <v>0</v>
      </c>
      <c r="AC1393">
        <f>AB1393-W1393</f>
        <v>0</v>
      </c>
      <c r="AD1393" cm="1">
        <f t="array" ref="AD1393">IFERROR(IF(AC1393&lt;0,0,AC1393/($R$1320-INDEX(hd_off,MATCH(AQ1393,hd_mark,0),0)/12)),0)</f>
        <v>0</v>
      </c>
      <c r="AE1393">
        <f>IF(S1393=0,0,$AD$1320*$AM$1305)</f>
        <v>0</v>
      </c>
      <c r="AF1393">
        <f>IFERROR(AE1393/$R$1320,0)</f>
        <v>0</v>
      </c>
      <c r="AG1393">
        <f>AE1393*($F$25+($C$16+$C$17+IF($C$13="single",1.5,3)+3)/12)</f>
        <v>0</v>
      </c>
      <c r="AH1393">
        <f>AG1393-X1393</f>
        <v>0</v>
      </c>
      <c r="AI1393" cm="1">
        <f t="array" ref="AI1393">IFERROR(IF(AH1393&lt;0,0,AH1393/($R$1320-INDEX(hd_off,MATCH(AQ1393,hd_mark,0),0)/12)),0)</f>
        <v>0</v>
      </c>
      <c r="AJ1393">
        <f>MAX($F$25,$AC$1320)/$Q$1332</f>
        <v>0.29920977011494249</v>
      </c>
      <c r="AK1393">
        <f t="shared" si="856"/>
        <v>1</v>
      </c>
      <c r="AL1393" cm="1">
        <f t="array" ref="AL1393">IFERROR(INDEX(sheath_ecap_asd,MATCH(AP1393,sheath_mark,0),0)*AK1393,0)</f>
        <v>0</v>
      </c>
      <c r="AM1393" cm="1">
        <f t="array" ref="AM1393">IFERROR(INDEX(sheath_wcap_asd,MATCH(AP1393,sheath_mark,0),0)*AK1393,0)</f>
        <v>0</v>
      </c>
      <c r="AN1393" cm="1">
        <f t="array" ref="AN1393">IFERROR(INDEX(hd_cap,MATCH(AQ1393,hd_mark,0),0),0)</f>
        <v>0</v>
      </c>
      <c r="AP1393" s="19"/>
      <c r="AQ1393" s="19"/>
      <c r="AR1393" s="100"/>
      <c r="AS1393" s="93"/>
      <c r="AT1393" s="109"/>
      <c r="AU1393" t="str">
        <f>$Q$1305</f>
        <v>Roof</v>
      </c>
      <c r="AV1393">
        <f>$E$25</f>
        <v>33.171875</v>
      </c>
      <c r="AW1393" cm="1">
        <f t="array" ref="AW1393">IFERROR(IF(AV1393=0,0,(INDEX($C$33:$C$38,MATCH($AZ$1320,$B$33:$B$38,0),0)*(AV1393+$BA$1320)+$AY$1320*$C$31)*$AU$1320),0)</f>
        <v>0</v>
      </c>
      <c r="AX1393">
        <f>IF(AV1393=0,0,-$AY$1320*$C$31*$H$27*$AU$1320)</f>
        <v>0</v>
      </c>
      <c r="AY1393">
        <f>IF(AV1393=0,0,$AY$1320*$H$26*$AU$1320)</f>
        <v>0</v>
      </c>
      <c r="AZ1393">
        <f>(0.6*AW1393+0.7*AX1393)*$AU$1320/2</f>
        <v>0</v>
      </c>
      <c r="BA1393">
        <f>AW1393*$AU$1320/2</f>
        <v>0</v>
      </c>
      <c r="BC1393">
        <f>IF(AV1393=0,0,$BG$1320*$AP$1305)</f>
        <v>0</v>
      </c>
      <c r="BD1393">
        <f>IFERROR(BC1393/$AU$1320,0)</f>
        <v>0</v>
      </c>
      <c r="BE1393">
        <f>BC1393*($F$25+($C$16+$C$17+IF($C$13="single",1.5,3)+3)/12)</f>
        <v>0</v>
      </c>
      <c r="BF1393">
        <f>BE1393-AZ1393</f>
        <v>0</v>
      </c>
      <c r="BG1393" cm="1">
        <f t="array" ref="BG1393">IFERROR(IF(BF1393&lt;0,0,BF1393/($AU$1320-INDEX(hd_off,MATCH(BT1393,hd_mark,0),0)/12)),0)</f>
        <v>0</v>
      </c>
      <c r="BH1393">
        <f>IF(AV1393=0,0,$BG$1320*$AM$1305)</f>
        <v>0</v>
      </c>
      <c r="BI1393">
        <f>IFERROR(BH1393/$AU$1320,0)</f>
        <v>0</v>
      </c>
      <c r="BJ1393">
        <f>BH1393*($F$25+($C$16+$C$17+IF($C$13="single",1.5,3)+3)/12)</f>
        <v>0</v>
      </c>
      <c r="BK1393">
        <f>BJ1393-BA1393</f>
        <v>0</v>
      </c>
      <c r="BL1393" cm="1">
        <f t="array" ref="BL1393">IFERROR(IF(BK1393&lt;0,0,BK1393/($AU$1320-INDEX(hd_off,MATCH(BT1393,hd_mark,0),0)/12)),0)</f>
        <v>0</v>
      </c>
      <c r="BM1393">
        <f>MAX($F$25,$BF$1320)/$Q$1332</f>
        <v>0.29920977011494249</v>
      </c>
      <c r="BN1393">
        <f t="shared" si="857"/>
        <v>1</v>
      </c>
      <c r="BO1393" cm="1">
        <f t="array" ref="BO1393">IFERROR(INDEX(sheath_ecap_asd,MATCH(BS1393,sheath_mark,0),0)*BN1393,0)</f>
        <v>0</v>
      </c>
      <c r="BP1393" cm="1">
        <f t="array" ref="BP1393">IFERROR(INDEX(sheath_wcap_asd,MATCH(BS1393,sheath_mark,0),0)*BN1393,0)</f>
        <v>0</v>
      </c>
      <c r="BQ1393" cm="1">
        <f t="array" ref="BQ1393">IFERROR(INDEX(hd_cap,MATCH(BT1393,hd_mark,0),0),0)</f>
        <v>0</v>
      </c>
      <c r="BS1393" s="19"/>
      <c r="BT1393" s="19"/>
      <c r="BU1393" s="100"/>
    </row>
    <row r="1394" x14ac:dyDescent="0.25">
      <c r="P1394" s="93"/>
      <c r="AR1394" s="100"/>
      <c r="AS1394" s="93"/>
      <c r="BU1394" s="100"/>
    </row>
    <row r="1395" x14ac:dyDescent="0.25">
      <c r="P1395" s="93"/>
      <c r="Q1395" s="110" t="str">
        <f>$Q$1321</f>
        <v>A.12</v>
      </c>
      <c r="R1395" t="str">
        <f>$Q$1301</f>
        <v>L2</v>
      </c>
      <c r="S1395">
        <f>$E$21</f>
        <v>10.6875</v>
      </c>
      <c r="T1395" cm="1">
        <f t="array" ref="T1395">IFERROR(IF(S1395=0,0,(INDEX($C$33:$C$38,MATCH($W$1321,$B$33:$B$38,0),0)*(S1399+$X$1321)+$T$1321*COUNTIF(S1395:S1398,"&gt;0")*$C$32+$V$1321*$C$31)*$R$1321),0)</f>
        <v>0</v>
      </c>
      <c r="U1395">
        <f>IF(S1395=0,0,-(COUNTIF(S1395:S1398,"&gt;0")*$T$1321*$C$32+$V$1321*$C$31)*$H$27*$R$1321)</f>
        <v>0</v>
      </c>
      <c r="V1395">
        <f>IF(S1395=0,0,$V$1321*$H$26*$R$1321)</f>
        <v>0</v>
      </c>
      <c r="W1395">
        <f>(0.6*T1395+0.7*U1395)*$R$1321/2</f>
        <v>0</v>
      </c>
      <c r="X1395">
        <f>(0.6*T1395+0.6*V1395)*$R$1321/2</f>
        <v>0</v>
      </c>
      <c r="Z1395">
        <f>IF(S1395=0,0,$AD$1321*$AP$1301)</f>
        <v>0</v>
      </c>
      <c r="AA1395">
        <f>IFERROR(Z1395/$R$1321,0)</f>
        <v>0</v>
      </c>
      <c r="AB1395">
        <f>Z1395*($F$21+IF($F$21=0,0,($C$14+$C$15+IF($C$13="single",1.5,3)+3)/12))</f>
        <v>0</v>
      </c>
      <c r="AC1395">
        <f>AB1395-W1395</f>
        <v>0</v>
      </c>
      <c r="AD1395" cm="1">
        <f t="array" ref="AD1395">IFERROR(IF(AC1395&lt;0,0,AC1395/($R$1321-INDEX(hd_off,MATCH(AQ1395,hd_mark,0),0)/12)),0)</f>
        <v>0</v>
      </c>
      <c r="AE1395">
        <f>IF(S1395=0,0,$AD$1321*$AM$1301)</f>
        <v>0</v>
      </c>
      <c r="AF1395">
        <f>IFERROR(AE1395/$R$1321,0)</f>
        <v>0</v>
      </c>
      <c r="AG1395">
        <f>AE1395*($F$21+IF($F$21=0,0,($C$14+$C$15+IF($C$13="single",1.5,3)+3)/12))</f>
        <v>0</v>
      </c>
      <c r="AH1395">
        <f>AG1395-X1395</f>
        <v>0</v>
      </c>
      <c r="AI1395" cm="1">
        <f t="array" ref="AI1395">IFERROR(IF(AH1395&lt;0,0,AH1395/($R$1321-INDEX(hd_off,MATCH(AQ1395,hd_mark,0),0)/12)),0)</f>
        <v>0</v>
      </c>
      <c r="AJ1395">
        <f>MAX($F$21,$Y$1321)/$Q$1332</f>
        <v>0.30172413793103448</v>
      </c>
      <c r="AK1395">
        <f>IF(AJ1395=0,0,IF(AJ1395&gt;2,1.25-0.125*AJ1395,1))</f>
        <v>1</v>
      </c>
      <c r="AL1395" cm="1">
        <f t="array" ref="AL1395">IFERROR(INDEX(sheath_ecap_asd,MATCH(AP1395,sheath_mark,0),0)*AK1395,0)</f>
        <v>0</v>
      </c>
      <c r="AM1395" cm="1">
        <f t="array" ref="AM1395">IFERROR(INDEX(sheath_wcap_asd,MATCH(AP1395,sheath_mark,0),0)*AK1395,0)</f>
        <v>0</v>
      </c>
      <c r="AN1395" cm="1">
        <f t="array" ref="AN1395">IFERROR(INDEX(hd_cap,MATCH(AQ1395,hd_mark,0),0),0)</f>
        <v>0</v>
      </c>
      <c r="AP1395" s="19"/>
      <c r="AQ1395" s="19"/>
      <c r="AR1395" s="100"/>
      <c r="AS1395" s="93"/>
      <c r="AT1395" s="110" t="str">
        <f>$AT$1321</f>
        <v>1.12</v>
      </c>
      <c r="AU1395" t="str">
        <f>$Q$1301</f>
        <v>L2</v>
      </c>
      <c r="AV1395">
        <f>$E$21</f>
        <v>10.6875</v>
      </c>
      <c r="AW1395" cm="1">
        <f t="array" ref="AW1395">IFERROR(IF(AV1395=0,0,(INDEX($C$33:$C$38,MATCH($AZ$1321,$B$33:$B$38,0),0)*(AV1399+$BA$1321)+$AW$1321*COUNTIF(AV1395:AV1398,"&gt;0")*$C$32+$AY$1321*$C$31)*$AU$1321),0)</f>
        <v>0</v>
      </c>
      <c r="AX1395">
        <f>IF(AV1395=0,0,-(COUNTIF(AV1395:AV1398,"&gt;0")*$AW$1321*$C$32+$AY$1321*$C$31)*$H$27*$AU$1321)</f>
        <v>0</v>
      </c>
      <c r="AY1395">
        <f>IF(AV1395=0,0,$AY$1321*$H$26*$AU$1321)</f>
        <v>0</v>
      </c>
      <c r="AZ1395">
        <f>(0.6*AW1395+0.7*AX1395)*$AU$1321/2</f>
        <v>0</v>
      </c>
      <c r="BA1395">
        <f>(0.6*AW1395+0.6*AY1395)*$AU$1321/2</f>
        <v>0</v>
      </c>
      <c r="BC1395">
        <f>IF(AV1395=0,0,$BG$1321*$AP$1301)</f>
        <v>0</v>
      </c>
      <c r="BD1395">
        <f>IFERROR(BC1395/$AU$1321,0)</f>
        <v>0</v>
      </c>
      <c r="BE1395">
        <f>BC1395*($F$21+IF($F$21=0,0,($C$14+$C$15+IF($C$13="single",1.5,3)+3)/12))</f>
        <v>0</v>
      </c>
      <c r="BF1395">
        <f>BE1395-AZ1395</f>
        <v>0</v>
      </c>
      <c r="BG1395" cm="1">
        <f t="array" ref="BG1395">IFERROR(IF(BF1395&lt;0,0,BF1395/($AU$1321-INDEX(hd_off,MATCH(BT1395,hd_mark,0),0)/12)),0)</f>
        <v>0</v>
      </c>
      <c r="BH1395">
        <f>IF(AV1395=0,0,$BG$1321*$AM$1301)</f>
        <v>0</v>
      </c>
      <c r="BI1395">
        <f>IFERROR(BH1395/$AU$1321,0)</f>
        <v>0</v>
      </c>
      <c r="BJ1395">
        <f>BH1395*($F$21+IF($F$21=0,0,($C$14+$C$15+IF($C$13="single",1.5,3)+3)/12))</f>
        <v>0</v>
      </c>
      <c r="BK1395">
        <f>BJ1395-BA1395</f>
        <v>0</v>
      </c>
      <c r="BL1395" cm="1">
        <f t="array" ref="BL1395">IFERROR(IF(BK1395&lt;0,0,BK1395/($AU$1321-INDEX(hd_off,MATCH(BT1395,hd_mark,0),0)/12)),0)</f>
        <v>0</v>
      </c>
      <c r="BM1395">
        <f>MAX($F$21,$BB$1321)/$Q$1332</f>
        <v>0.30172413793103448</v>
      </c>
      <c r="BN1395">
        <f>IF(BM1395=0,0,IF(BM1395&gt;2,1.25-0.125*BM1395,1))</f>
        <v>1</v>
      </c>
      <c r="BO1395" cm="1">
        <f t="array" ref="BO1395">IFERROR(INDEX(sheath_ecap_asd,MATCH(BS1395,sheath_mark,0),0)*BN1395,0)</f>
        <v>0</v>
      </c>
      <c r="BP1395" cm="1">
        <f t="array" ref="BP1395">IFERROR(INDEX(sheath_wcap_asd,MATCH(BS1395,sheath_mark,0),0)*BN1395,0)</f>
        <v>0</v>
      </c>
      <c r="BQ1395" cm="1">
        <f t="array" ref="BQ1395">IFERROR(INDEX(hd_cap,MATCH(BT1395,hd_mark,0),0),0)</f>
        <v>0</v>
      </c>
      <c r="BS1395" s="19"/>
      <c r="BT1395" s="19"/>
      <c r="BU1395" s="100"/>
    </row>
    <row r="1396" x14ac:dyDescent="0.25">
      <c r="P1396" s="93"/>
      <c r="Q1396" s="109"/>
      <c r="R1396" t="str">
        <f>$Q$1302</f>
        <v>L3</v>
      </c>
      <c r="S1396">
        <f>$E$22</f>
        <v>21.375</v>
      </c>
      <c r="T1396" cm="1">
        <f t="array" ref="T1396">IFERROR(IF(S1396=0,0,(INDEX($C$33:$C$38,MATCH($W$1321,$B$33:$B$38,0),0)*(S1399+$X$1321)+$T$1321*COUNTIF(S1396:S1398,"&gt;0")*$C$32+$V$1321*$C$31)*$R$1321),0)</f>
        <v>0</v>
      </c>
      <c r="U1396">
        <f>IF(S1396=0,0,-(COUNTIF(S1396:S1398,"&gt;0")*$T$1321*$C$32+$V$1321*$C$31)*$H$27*$R$1321)</f>
        <v>0</v>
      </c>
      <c r="V1396">
        <f>IF(S1396=0,0,$V$1321*$H$26*$R$1321)</f>
        <v>0</v>
      </c>
      <c r="W1396">
        <f>(0.6*T1396+0.7*U1396)*$R$1321/2</f>
        <v>0</v>
      </c>
      <c r="X1396">
        <f>T1396*$R$1321/2</f>
        <v>0</v>
      </c>
      <c r="Z1396">
        <f>IF(S1396=0,0,$AD$1321*$AP$1302)</f>
        <v>0</v>
      </c>
      <c r="AA1396">
        <f>IFERROR(Z1396/$R$1321,0)</f>
        <v>0</v>
      </c>
      <c r="AB1396">
        <f>Z1396*($F$22+IF($F$22=0,0,($C$14+$C$15+IF($C$13="single",1.5,3)+3)/12))</f>
        <v>0</v>
      </c>
      <c r="AC1396">
        <f>AB1396-W1396</f>
        <v>0</v>
      </c>
      <c r="AD1396" cm="1">
        <f t="array" ref="AD1396">IFERROR(IF(AC1396&lt;0,0,AC1396/($R$1321-INDEX(hd_off,MATCH(AQ1396,hd_mark,0),0)/12)),0)</f>
        <v>0</v>
      </c>
      <c r="AE1396">
        <f>IF(S1396=0,0,$AD$1321*$AM$1302)</f>
        <v>0</v>
      </c>
      <c r="AF1396">
        <f>IFERROR(AE1396/$R$1321,0)</f>
        <v>0</v>
      </c>
      <c r="AG1396">
        <f>AE1396*($F$22+IF($F$22=0,0,($C$14+$C$15+IF($C$13="single",1.5,3)+3)/12))</f>
        <v>0</v>
      </c>
      <c r="AH1396">
        <f>AG1396-X1396</f>
        <v>0</v>
      </c>
      <c r="AI1396" cm="1">
        <f t="array" ref="AI1396">IFERROR(IF(AH1396&lt;0,0,AH1396/($R$1321-INDEX(hd_off,MATCH(AQ1396,hd_mark,0),0)/12)),0)</f>
        <v>0</v>
      </c>
      <c r="AJ1396">
        <f>MAX($F$22,$Z$1321)/$Q$1332</f>
        <v>0.30172413793103448</v>
      </c>
      <c r="AK1396">
        <f t="shared" ref="AK1396:AK1399" si="858">IF(AJ1396=0,0,IF(AJ1396&gt;2,1.25-0.125*AJ1396,1))</f>
        <v>1</v>
      </c>
      <c r="AL1396" cm="1">
        <f t="array" ref="AL1396">IFERROR(INDEX(sheath_ecap_asd,MATCH(AP1396,sheath_mark,0),0)*AK1396,0)</f>
        <v>0</v>
      </c>
      <c r="AM1396" cm="1">
        <f t="array" ref="AM1396">IFERROR(INDEX(sheath_wcap_asd,MATCH(AP1396,sheath_mark,0),0)*AK1396,0)</f>
        <v>0</v>
      </c>
      <c r="AN1396" cm="1">
        <f t="array" ref="AN1396">IFERROR(INDEX(hd_cap,MATCH(AQ1396,hd_mark,0),0),0)</f>
        <v>0</v>
      </c>
      <c r="AP1396" s="19"/>
      <c r="AQ1396" s="19"/>
      <c r="AR1396" s="100"/>
      <c r="AS1396" s="93"/>
      <c r="AT1396" s="109"/>
      <c r="AU1396" t="str">
        <f>$Q$1302</f>
        <v>L3</v>
      </c>
      <c r="AV1396">
        <f>$E$22</f>
        <v>21.375</v>
      </c>
      <c r="AW1396" cm="1">
        <f t="array" ref="AW1396">IFERROR(IF(AV1396=0,0,(INDEX($C$33:$C$38,MATCH($AZ$1321,$B$33:$B$38,0),0)*(AV1399+$BA$1321)+$AW$1321*COUNTIF(AV1396:AV1398,"&gt;0")*$C$32+$AY$1321*$C$31)*$AU$1321),0)</f>
        <v>0</v>
      </c>
      <c r="AX1396">
        <f>IF(AV1396=0,0,-(COUNTIF(AV1396:AV1398,"&gt;0")*$AW$1321*$C$32+$AY$1321*$C$31)*$H$27*$AU$1321)</f>
        <v>0</v>
      </c>
      <c r="AY1396">
        <f>IF(AV1396=0,0,$AY$1321*$H$26*$AU$1321)</f>
        <v>0</v>
      </c>
      <c r="AZ1396">
        <f>(0.6*AW1396+0.7*AX1396)*$AU$1321/2</f>
        <v>0</v>
      </c>
      <c r="BA1396">
        <f>AW1396*$AU$1321/2</f>
        <v>0</v>
      </c>
      <c r="BC1396">
        <f>IF(AV1396=0,0,$BG$1321*$AP$1302)</f>
        <v>0</v>
      </c>
      <c r="BD1396">
        <f>IFERROR(BC1396/$AU$1321,0)</f>
        <v>0</v>
      </c>
      <c r="BE1396">
        <f>BC1396*($F$22+IF($F$22=0,0,($C$14+$C$15+IF($C$13="single",1.5,3)+3)/12))</f>
        <v>0</v>
      </c>
      <c r="BF1396">
        <f>BE1396-AZ1396</f>
        <v>0</v>
      </c>
      <c r="BG1396" cm="1">
        <f t="array" ref="BG1396">IFERROR(IF(BF1396&lt;0,0,BF1396/($AU$1321-INDEX(hd_off,MATCH(BT1396,hd_mark,0),0)/12)),0)</f>
        <v>0</v>
      </c>
      <c r="BH1396">
        <f>IF(AV1396=0,0,$BG$1321*$AM$1302)</f>
        <v>0</v>
      </c>
      <c r="BI1396">
        <f>IFERROR(BH1396/$AU$1321,0)</f>
        <v>0</v>
      </c>
      <c r="BJ1396">
        <f>BH1396*($F$22+IF($F$22=0,0,($C$14+$C$15+IF($C$13="single",1.5,3)+3)/12))</f>
        <v>0</v>
      </c>
      <c r="BK1396">
        <f>BJ1396-BA1396</f>
        <v>0</v>
      </c>
      <c r="BL1396" cm="1">
        <f t="array" ref="BL1396">IFERROR(IF(BK1396&lt;0,0,BK1396/($AU$1321-INDEX(hd_off,MATCH(BT1396,hd_mark,0),0)/12)),0)</f>
        <v>0</v>
      </c>
      <c r="BM1396">
        <f>MAX($F$22,$BC$1321)/$Q$1332</f>
        <v>0.30172413793103448</v>
      </c>
      <c r="BN1396">
        <f t="shared" ref="BN1396:BN1399" si="859">IF(BM1396=0,0,IF(BM1396&gt;2,1.25-0.125*BM1396,1))</f>
        <v>1</v>
      </c>
      <c r="BO1396" cm="1">
        <f t="array" ref="BO1396">IFERROR(INDEX(sheath_ecap_asd,MATCH(BS1396,sheath_mark,0),0)*BN1396,0)</f>
        <v>0</v>
      </c>
      <c r="BP1396" cm="1">
        <f t="array" ref="BP1396">IFERROR(INDEX(sheath_wcap_asd,MATCH(BS1396,sheath_mark,0),0)*BN1396,0)</f>
        <v>0</v>
      </c>
      <c r="BQ1396" cm="1">
        <f t="array" ref="BQ1396">IFERROR(INDEX(hd_cap,MATCH(BT1396,hd_mark,0),0),0)</f>
        <v>0</v>
      </c>
      <c r="BS1396" s="19"/>
      <c r="BT1396" s="19"/>
      <c r="BU1396" s="100"/>
    </row>
    <row r="1397" x14ac:dyDescent="0.25">
      <c r="P1397" s="93"/>
      <c r="Q1397" s="109" t="s">
        <v>491</v>
      </c>
      <c r="R1397" t="str">
        <f>$Q$1303</f>
        <v>L4</v>
      </c>
      <c r="S1397">
        <f>$E$23</f>
        <v>0</v>
      </c>
      <c r="T1397" cm="1">
        <f t="array" ref="T1397">IFERROR(IF(S1397=0,0,(INDEX($C$33:$C$38,MATCH($W$1321,$B$33:$B$38,0),0)*(S1399+$X$1321)+$T$1321*COUNTIF(S1397:S1398,"&gt;0")*$C$32+$V$1321*$C$31)*$R$1321),0)</f>
        <v>0</v>
      </c>
      <c r="U1397">
        <f>IF(S1397=0,0,-(COUNTIF(S1397:S1398,"&gt;0")*$T$1321*$C$32+$V$1321*$C$31)*$H$27*$R$1321)</f>
        <v>0</v>
      </c>
      <c r="V1397">
        <f>IF(S1397=0,0,$V$1321*$H$26*$R$1321)</f>
        <v>0</v>
      </c>
      <c r="W1397">
        <f>(0.6*T1397+0.7*U1397)*$R$1321/2</f>
        <v>0</v>
      </c>
      <c r="X1397">
        <f>T1397*$R$1321/2</f>
        <v>0</v>
      </c>
      <c r="Z1397">
        <f>IF(S1397=0,0,$AD$1321*$AP$1303)</f>
        <v>0</v>
      </c>
      <c r="AA1397">
        <f>IFERROR(Z1397/$R$1321,0)</f>
        <v>0</v>
      </c>
      <c r="AB1397">
        <f>Z1397*($F$23+IF($F$23=0,0,($C$14+$C$15+IF($C$13="single",1.5,3)+3)/12))</f>
        <v>0</v>
      </c>
      <c r="AC1397">
        <f>AB1397-W1397</f>
        <v>0</v>
      </c>
      <c r="AD1397" cm="1">
        <f t="array" ref="AD1397">IFERROR(IF(AC1397&lt;0,0,AC1397/($R$1321-INDEX(hd_off,MATCH(AQ1397,hd_mark,0),0)/12)),0)</f>
        <v>0</v>
      </c>
      <c r="AE1397">
        <f>IF(S1397=0,0,$AD$1321*$AM$1303)</f>
        <v>0</v>
      </c>
      <c r="AF1397">
        <f>IFERROR(AE1397/$R$1321,0)</f>
        <v>0</v>
      </c>
      <c r="AG1397">
        <f>AE1397*($F$23+IF($F$23=0,0,($C$14+$C$15+IF($C$13="single",1.5,3)+3)/12))</f>
        <v>0</v>
      </c>
      <c r="AH1397">
        <f>AG1397-X1397</f>
        <v>0</v>
      </c>
      <c r="AI1397" cm="1">
        <f t="array" ref="AI1397">IFERROR(IF(AH1397&lt;0,0,AH1397/($R$1321-INDEX(hd_off,MATCH(AQ1397,hd_mark,0),0)/12)),0)</f>
        <v>0</v>
      </c>
      <c r="AJ1397">
        <f>MAX($F$23,$AA$1321)/$Q$1332</f>
        <v>0</v>
      </c>
      <c r="AK1397">
        <f t="shared" si="858"/>
        <v>0</v>
      </c>
      <c r="AL1397" cm="1">
        <f t="array" ref="AL1397">IFERROR(INDEX(sheath_ecap_asd,MATCH(AP1397,sheath_mark,0),0)*AK1397,0)</f>
        <v>0</v>
      </c>
      <c r="AM1397" cm="1">
        <f t="array" ref="AM1397">IFERROR(INDEX(sheath_wcap_asd,MATCH(AP1397,sheath_mark,0),0)*AK1397,0)</f>
        <v>0</v>
      </c>
      <c r="AN1397" cm="1">
        <f t="array" ref="AN1397">IFERROR(INDEX(hd_cap,MATCH(AQ1397,hd_mark,0),0),0)</f>
        <v>0</v>
      </c>
      <c r="AP1397" s="19"/>
      <c r="AQ1397" s="19"/>
      <c r="AR1397" s="100"/>
      <c r="AS1397" s="93"/>
      <c r="AT1397" s="109" t="s">
        <v>491</v>
      </c>
      <c r="AU1397" t="str">
        <f>$Q$1303</f>
        <v>L4</v>
      </c>
      <c r="AV1397">
        <f>$E$23</f>
        <v>0</v>
      </c>
      <c r="AW1397" cm="1">
        <f t="array" ref="AW1397">IFERROR(IF(AV1397=0,0,(INDEX($C$33:$C$38,MATCH($AZ$1321,$B$33:$B$38,0),0)*(AV1399+$BA$1321)+$AW$1321*COUNTIF(AV1397:AV1398,"&gt;0")*$C$32+$AY$1321*$C$31)*$AU$1321),0)</f>
        <v>0</v>
      </c>
      <c r="AX1397">
        <f>IF(AV1397=0,0,-(COUNTIF(AV1397:AV1398,"&gt;0")*$AW$1321*$C$32+$AY$1321*$C$31)*$H$27*$AU$1321)</f>
        <v>0</v>
      </c>
      <c r="AY1397">
        <f>IF(AV1397=0,0,$AY$1321*$H$26*$AU$1321)</f>
        <v>0</v>
      </c>
      <c r="AZ1397">
        <f>(0.6*AW1397+0.7*AX1397)*$AU$1321/2</f>
        <v>0</v>
      </c>
      <c r="BA1397">
        <f>AW1397*$AU$1321/2</f>
        <v>0</v>
      </c>
      <c r="BC1397">
        <f>IF(AV1397=0,0,$BG$1321*$AP$1303)</f>
        <v>0</v>
      </c>
      <c r="BD1397">
        <f>IFERROR(BC1397/$AU$1321,0)</f>
        <v>0</v>
      </c>
      <c r="BE1397">
        <f>BC1397*($F$23+IF($F$23=0,0,($C$14+$C$15+IF($C$13="single",1.5,3)+3)/12))</f>
        <v>0</v>
      </c>
      <c r="BF1397">
        <f>BE1397-AZ1397</f>
        <v>0</v>
      </c>
      <c r="BG1397" cm="1">
        <f t="array" ref="BG1397">IFERROR(IF(BF1397&lt;0,0,BF1397/($AU$1321-INDEX(hd_off,MATCH(BT1397,hd_mark,0),0)/12)),0)</f>
        <v>0</v>
      </c>
      <c r="BH1397">
        <f>IF(AV1397=0,0,$BG$1321*$AM$1303)</f>
        <v>0</v>
      </c>
      <c r="BI1397">
        <f>IFERROR(BH1397/$AU$1321,0)</f>
        <v>0</v>
      </c>
      <c r="BJ1397">
        <f>BH1397*($F$23+IF($F$23=0,0,($C$14+$C$15+IF($C$13="single",1.5,3)+3)/12))</f>
        <v>0</v>
      </c>
      <c r="BK1397">
        <f>BJ1397-BA1397</f>
        <v>0</v>
      </c>
      <c r="BL1397" cm="1">
        <f t="array" ref="BL1397">IFERROR(IF(BK1397&lt;0,0,BK1397/($AU$1321-INDEX(hd_off,MATCH(BT1397,hd_mark,0),0)/12)),0)</f>
        <v>0</v>
      </c>
      <c r="BM1397">
        <f>MAX($F$23,$BD$1321)/$Q$1332</f>
        <v>0</v>
      </c>
      <c r="BN1397">
        <f t="shared" si="859"/>
        <v>0</v>
      </c>
      <c r="BO1397" cm="1">
        <f t="array" ref="BO1397">IFERROR(INDEX(sheath_ecap_asd,MATCH(BS1397,sheath_mark,0),0)*BN1397,0)</f>
        <v>0</v>
      </c>
      <c r="BP1397" cm="1">
        <f t="array" ref="BP1397">IFERROR(INDEX(sheath_wcap_asd,MATCH(BS1397,sheath_mark,0),0)*BN1397,0)</f>
        <v>0</v>
      </c>
      <c r="BQ1397" cm="1">
        <f t="array" ref="BQ1397">IFERROR(INDEX(hd_cap,MATCH(BT1397,hd_mark,0),0),0)</f>
        <v>0</v>
      </c>
      <c r="BS1397" s="19"/>
      <c r="BT1397" s="19"/>
      <c r="BU1397" s="100"/>
    </row>
    <row r="1398" x14ac:dyDescent="0.25">
      <c r="P1398" s="93"/>
      <c r="Q1398" s="111">
        <f>$R$1321</f>
        <v>0</v>
      </c>
      <c r="R1398" t="str">
        <f>$Q$1304</f>
        <v>L5</v>
      </c>
      <c r="S1398">
        <f>$E$24</f>
        <v>0</v>
      </c>
      <c r="T1398" cm="1">
        <f t="array" ref="T1398">IFERROR(IF(S1398=0,0,(INDEX($C$33:$C$38,MATCH($W$1321,$B$33:$B$38,0),0)*(S1399+$X$1321)+$T$1321*COUNTIF(S1398:S1398,"&gt;0")*$C$32+$V$1321*$C$31)*$R$1321),0)</f>
        <v>0</v>
      </c>
      <c r="U1398">
        <f>IF(S1398=0,0,-(COUNTIF(S1398:S1398,"&gt;0")*$T$1321*$C$32+$V$1321*$C$31)*$H$27*$R$1321)</f>
        <v>0</v>
      </c>
      <c r="V1398">
        <f>IF(S1398=0,0,$V$1321*$H$26*$R$1321)</f>
        <v>0</v>
      </c>
      <c r="W1398">
        <f>(0.6*T1398+0.7*U1398)*$R$1321/2</f>
        <v>0</v>
      </c>
      <c r="X1398">
        <f>T1398*$R$1321/2</f>
        <v>0</v>
      </c>
      <c r="Z1398">
        <f>IF(S1398=0,0,$AD$1321*$AP$1304)</f>
        <v>0</v>
      </c>
      <c r="AA1398">
        <f>IFERROR(Z1398/$R$1321,0)</f>
        <v>0</v>
      </c>
      <c r="AB1398">
        <f>Z1398*($F$24+IF($F$24=0,0,($C$14+$C$15+IF($C$13="single",1.5,3)+3)/12))</f>
        <v>0</v>
      </c>
      <c r="AC1398">
        <f>AB1398-W1398</f>
        <v>0</v>
      </c>
      <c r="AD1398" cm="1">
        <f t="array" ref="AD1398">IFERROR(IF(AC1398&lt;0,0,AC1398/($R$1321-INDEX(hd_off,MATCH(AQ1398,hd_mark,0),0)/12)),0)</f>
        <v>0</v>
      </c>
      <c r="AE1398">
        <f>IF(S1398=0,0,$AD$1321*$AM$1304)</f>
        <v>0</v>
      </c>
      <c r="AF1398">
        <f>IFERROR(AE1398/$R$1321,0)</f>
        <v>0</v>
      </c>
      <c r="AG1398">
        <f>AE1398*($F$24+IF($F$24=0,0,($C$14+$C$15+IF($C$13="single",1.5,3)+3)/12))</f>
        <v>0</v>
      </c>
      <c r="AH1398">
        <f>AG1398-X1398</f>
        <v>0</v>
      </c>
      <c r="AI1398" cm="1">
        <f t="array" ref="AI1398">IFERROR(IF(AH1398&lt;0,0,AH1398/($R$1321-INDEX(hd_off,MATCH(AQ1398,hd_mark,0),0)/12)),0)</f>
        <v>0</v>
      </c>
      <c r="AJ1398">
        <f>MAX($F$24,$AB$1321)/$Q$1332</f>
        <v>0</v>
      </c>
      <c r="AK1398">
        <f t="shared" si="858"/>
        <v>0</v>
      </c>
      <c r="AL1398" cm="1">
        <f t="array" ref="AL1398">IFERROR(INDEX(sheath_ecap_asd,MATCH(AP1398,sheath_mark,0),0)*AK1398,0)</f>
        <v>0</v>
      </c>
      <c r="AM1398" cm="1">
        <f t="array" ref="AM1398">IFERROR(INDEX(sheath_wcap_asd,MATCH(AP1398,sheath_mark,0),0)*AK1398,0)</f>
        <v>0</v>
      </c>
      <c r="AN1398" cm="1">
        <f t="array" ref="AN1398">IFERROR(INDEX(hd_cap,MATCH(AQ1398,hd_mark,0),0),0)</f>
        <v>0</v>
      </c>
      <c r="AP1398" s="19"/>
      <c r="AQ1398" s="19"/>
      <c r="AR1398" s="100"/>
      <c r="AS1398" s="93"/>
      <c r="AT1398" s="111">
        <f>$R$1321</f>
        <v>0</v>
      </c>
      <c r="AU1398" t="str">
        <f>$Q$1304</f>
        <v>L5</v>
      </c>
      <c r="AV1398">
        <f>$E$24</f>
        <v>0</v>
      </c>
      <c r="AW1398" cm="1">
        <f t="array" ref="AW1398">IFERROR(IF(AV1398=0,0,(INDEX($C$33:$C$38,MATCH($AZ$1321,$B$33:$B$38,0),0)*(AV1399+$BA$1321)+$AW$1321*COUNTIF(AV1398:AV1398,"&gt;0")*$C$32+$AY$1321*$C$31)*$AU$1321),0)</f>
        <v>0</v>
      </c>
      <c r="AX1398">
        <f>IF(AV1398=0,0,-(COUNTIF(AV1398:AV1398,"&gt;0")*$AW$1321*$C$32+$AY$1321*$C$31)*$H$27*$AU$1321)</f>
        <v>0</v>
      </c>
      <c r="AY1398">
        <f>IF(AV1398=0,0,$AY$1321*$H$26*$AU$1321)</f>
        <v>0</v>
      </c>
      <c r="AZ1398">
        <f>(0.6*AW1398+0.7*AX1398)*$AU$1321/2</f>
        <v>0</v>
      </c>
      <c r="BA1398">
        <f>AW1398*$AU$1321/2</f>
        <v>0</v>
      </c>
      <c r="BC1398">
        <f>IF(AV1398=0,0,$BG$1321*$AP$1304)</f>
        <v>0</v>
      </c>
      <c r="BD1398">
        <f>IFERROR(BC1398/$AU$1321,0)</f>
        <v>0</v>
      </c>
      <c r="BE1398">
        <f>BC1398*($F$24+IF($F$24=0,0,($C$14+$C$15+IF($C$13="single",1.5,3)+3)/12))</f>
        <v>0</v>
      </c>
      <c r="BF1398">
        <f>BE1398-AZ1398</f>
        <v>0</v>
      </c>
      <c r="BG1398" cm="1">
        <f t="array" ref="BG1398">IFERROR(IF(BF1398&lt;0,0,BF1398/($AU$1321-INDEX(hd_off,MATCH(BT1398,hd_mark,0),0)/12)),0)</f>
        <v>0</v>
      </c>
      <c r="BH1398">
        <f>IF(AV1398=0,0,$BG$1321*$AM$1304)</f>
        <v>0</v>
      </c>
      <c r="BI1398">
        <f>IFERROR(BH1398/$AU$1321,0)</f>
        <v>0</v>
      </c>
      <c r="BJ1398">
        <f>BH1398*($F$24+IF($F$24=0,0,($C$14+$C$15+IF($C$13="single",1.5,3)+3)/12))</f>
        <v>0</v>
      </c>
      <c r="BK1398">
        <f>BJ1398-BA1398</f>
        <v>0</v>
      </c>
      <c r="BL1398" cm="1">
        <f t="array" ref="BL1398">IFERROR(IF(BK1398&lt;0,0,BK1398/($AU$1321-INDEX(hd_off,MATCH(BT1398,hd_mark,0),0)/12)),0)</f>
        <v>0</v>
      </c>
      <c r="BM1398">
        <f>MAX($F$24,$BE$1321)/$Q$1332</f>
        <v>0</v>
      </c>
      <c r="BN1398">
        <f t="shared" si="859"/>
        <v>0</v>
      </c>
      <c r="BO1398" cm="1">
        <f t="array" ref="BO1398">IFERROR(INDEX(sheath_ecap_asd,MATCH(BS1398,sheath_mark,0),0)*BN1398,0)</f>
        <v>0</v>
      </c>
      <c r="BP1398" cm="1">
        <f t="array" ref="BP1398">IFERROR(INDEX(sheath_wcap_asd,MATCH(BS1398,sheath_mark,0),0)*BN1398,0)</f>
        <v>0</v>
      </c>
      <c r="BQ1398" cm="1">
        <f t="array" ref="BQ1398">IFERROR(INDEX(hd_cap,MATCH(BT1398,hd_mark,0),0),0)</f>
        <v>0</v>
      </c>
      <c r="BS1398" s="19"/>
      <c r="BT1398" s="19"/>
      <c r="BU1398" s="100"/>
    </row>
    <row r="1399" x14ac:dyDescent="0.25">
      <c r="P1399" s="93"/>
      <c r="Q1399" s="109"/>
      <c r="R1399" t="str">
        <f>$Q$1305</f>
        <v>Roof</v>
      </c>
      <c r="S1399">
        <f>$E$25</f>
        <v>33.171875</v>
      </c>
      <c r="T1399" cm="1">
        <f t="array" ref="T1399">IFERROR(IF(S1399=0,0,(INDEX($C$33:$C$38,MATCH($W$1321,$B$33:$B$38,0),0)*(S1399+$X$1321)+$V$1321*$C$31)*$R$1321),0)</f>
        <v>0</v>
      </c>
      <c r="U1399">
        <f>IF(S1399=0,0,-$V$1321*$C$31*$H$27*$R$1321)</f>
        <v>0</v>
      </c>
      <c r="V1399">
        <f>IF(S1399=0,0,$V$1321*$H$26*$R$1321)</f>
        <v>0</v>
      </c>
      <c r="W1399">
        <f>(0.6*T1399+0.7*U1399)*$R$1321/2</f>
        <v>0</v>
      </c>
      <c r="X1399">
        <f>T1399*$R$1321/2</f>
        <v>0</v>
      </c>
      <c r="Z1399">
        <f>IF(S1399=0,0,$AD$1321*$AP$1305)</f>
        <v>0</v>
      </c>
      <c r="AA1399">
        <f>IFERROR(Z1399/$R$1321,0)</f>
        <v>0</v>
      </c>
      <c r="AB1399">
        <f>Z1399*($F$25+($C$16+$C$17+IF($C$13="single",1.5,3)+3)/12)</f>
        <v>0</v>
      </c>
      <c r="AC1399">
        <f>AB1399-W1399</f>
        <v>0</v>
      </c>
      <c r="AD1399" cm="1">
        <f t="array" ref="AD1399">IFERROR(IF(AC1399&lt;0,0,AC1399/($R$1321-INDEX(hd_off,MATCH(AQ1399,hd_mark,0),0)/12)),0)</f>
        <v>0</v>
      </c>
      <c r="AE1399">
        <f>IF(S1399=0,0,$AD$1321*$AM$1305)</f>
        <v>0</v>
      </c>
      <c r="AF1399">
        <f>IFERROR(AE1399/$R$1321,0)</f>
        <v>0</v>
      </c>
      <c r="AG1399">
        <f>AE1399*($F$25+($C$16+$C$17+IF($C$13="single",1.5,3)+3)/12)</f>
        <v>0</v>
      </c>
      <c r="AH1399">
        <f>AG1399-X1399</f>
        <v>0</v>
      </c>
      <c r="AI1399" cm="1">
        <f t="array" ref="AI1399">IFERROR(IF(AH1399&lt;0,0,AH1399/($R$1321-INDEX(hd_off,MATCH(AQ1399,hd_mark,0),0)/12)),0)</f>
        <v>0</v>
      </c>
      <c r="AJ1399">
        <f>MAX($F$25,$AC$1321)/$Q$1332</f>
        <v>0.29920977011494249</v>
      </c>
      <c r="AK1399">
        <f t="shared" si="858"/>
        <v>1</v>
      </c>
      <c r="AL1399" cm="1">
        <f t="array" ref="AL1399">IFERROR(INDEX(sheath_ecap_asd,MATCH(AP1399,sheath_mark,0),0)*AK1399,0)</f>
        <v>0</v>
      </c>
      <c r="AM1399" cm="1">
        <f t="array" ref="AM1399">IFERROR(INDEX(sheath_wcap_asd,MATCH(AP1399,sheath_mark,0),0)*AK1399,0)</f>
        <v>0</v>
      </c>
      <c r="AN1399" cm="1">
        <f t="array" ref="AN1399">IFERROR(INDEX(hd_cap,MATCH(AQ1399,hd_mark,0),0),0)</f>
        <v>0</v>
      </c>
      <c r="AP1399" s="19"/>
      <c r="AQ1399" s="19"/>
      <c r="AR1399" s="100"/>
      <c r="AS1399" s="93"/>
      <c r="AT1399" s="109"/>
      <c r="AU1399" t="str">
        <f>$Q$1305</f>
        <v>Roof</v>
      </c>
      <c r="AV1399">
        <f>$E$25</f>
        <v>33.171875</v>
      </c>
      <c r="AW1399" cm="1">
        <f t="array" ref="AW1399">IFERROR(IF(AV1399=0,0,(INDEX($C$33:$C$38,MATCH($AZ$1321,$B$33:$B$38,0),0)*(AV1399+$BA$1321)+$AY$1321*$C$31)*$AU$1321),0)</f>
        <v>0</v>
      </c>
      <c r="AX1399">
        <f>IF(AV1399=0,0,-$AY$1321*$C$31*$H$27*$AU$1321)</f>
        <v>0</v>
      </c>
      <c r="AY1399">
        <f>IF(AV1399=0,0,$AY$1321*$H$26*$AU$1321)</f>
        <v>0</v>
      </c>
      <c r="AZ1399">
        <f>(0.6*AW1399+0.7*AX1399)*$AU$1321/2</f>
        <v>0</v>
      </c>
      <c r="BA1399">
        <f>AW1399*$AU$1321/2</f>
        <v>0</v>
      </c>
      <c r="BC1399">
        <f>IF(AV1399=0,0,$BG$1321*$AP$1305)</f>
        <v>0</v>
      </c>
      <c r="BD1399">
        <f>IFERROR(BC1399/$AU$1321,0)</f>
        <v>0</v>
      </c>
      <c r="BE1399">
        <f>BC1399*($F$25+($C$16+$C$17+IF($C$13="single",1.5,3)+3)/12)</f>
        <v>0</v>
      </c>
      <c r="BF1399">
        <f>BE1399-AZ1399</f>
        <v>0</v>
      </c>
      <c r="BG1399" cm="1">
        <f t="array" ref="BG1399">IFERROR(IF(BF1399&lt;0,0,BF1399/($AU$1321-INDEX(hd_off,MATCH(BT1399,hd_mark,0),0)/12)),0)</f>
        <v>0</v>
      </c>
      <c r="BH1399">
        <f>IF(AV1399=0,0,$BG$1321*$AM$1305)</f>
        <v>0</v>
      </c>
      <c r="BI1399">
        <f>IFERROR(BH1399/$AU$1321,0)</f>
        <v>0</v>
      </c>
      <c r="BJ1399">
        <f>BH1399*($F$25+($C$16+$C$17+IF($C$13="single",1.5,3)+3)/12)</f>
        <v>0</v>
      </c>
      <c r="BK1399">
        <f>BJ1399-BA1399</f>
        <v>0</v>
      </c>
      <c r="BL1399" cm="1">
        <f t="array" ref="BL1399">IFERROR(IF(BK1399&lt;0,0,BK1399/($AU$1321-INDEX(hd_off,MATCH(BT1399,hd_mark,0),0)/12)),0)</f>
        <v>0</v>
      </c>
      <c r="BM1399">
        <f>MAX($F$25,$BF$1321)/$Q$1332</f>
        <v>0.29920977011494249</v>
      </c>
      <c r="BN1399">
        <f t="shared" si="859"/>
        <v>1</v>
      </c>
      <c r="BO1399" cm="1">
        <f t="array" ref="BO1399">IFERROR(INDEX(sheath_ecap_asd,MATCH(BS1399,sheath_mark,0),0)*BN1399,0)</f>
        <v>0</v>
      </c>
      <c r="BP1399" cm="1">
        <f t="array" ref="BP1399">IFERROR(INDEX(sheath_wcap_asd,MATCH(BS1399,sheath_mark,0),0)*BN1399,0)</f>
        <v>0</v>
      </c>
      <c r="BQ1399" cm="1">
        <f t="array" ref="BQ1399">IFERROR(INDEX(hd_cap,MATCH(BT1399,hd_mark,0),0),0)</f>
        <v>0</v>
      </c>
      <c r="BS1399" s="19"/>
      <c r="BT1399" s="19"/>
      <c r="BU1399" s="100"/>
    </row>
    <row r="1400" x14ac:dyDescent="0.25">
      <c r="P1400" s="93"/>
      <c r="AR1400" s="100"/>
      <c r="AS1400" s="93"/>
      <c r="BU1400" s="100"/>
    </row>
    <row r="1401" x14ac:dyDescent="0.25">
      <c r="P1401" s="93"/>
      <c r="Q1401" s="110" t="str">
        <f>$Q$1322</f>
        <v>A.13</v>
      </c>
      <c r="R1401" t="str">
        <f>$Q$1301</f>
        <v>L2</v>
      </c>
      <c r="S1401">
        <f>$E$21</f>
        <v>10.6875</v>
      </c>
      <c r="T1401" cm="1">
        <f t="array" ref="T1401">IFERROR(IF(S1401=0,0,(INDEX($C$33:$C$38,MATCH($W$1322,$B$33:$B$38,0),0)*(S1405+$X$1322)+$T$1322*COUNTIF(S1401:S1404,"&gt;0")*$C$32+$V$1322*$C$31)*$R$1322),0)</f>
        <v>0</v>
      </c>
      <c r="U1401">
        <f>IF(S1401=0,0,-(COUNTIF(S1401:S1404,"&gt;0")*$T$1322*$C$32+$V$1322*$C$31)*$H$27*$R$1322)</f>
        <v>0</v>
      </c>
      <c r="V1401">
        <f>IF(S1401=0,0,$V$1322*$H$26*$R$1322)</f>
        <v>0</v>
      </c>
      <c r="W1401">
        <f>(0.6*T1401+0.7*U1401)*$R$1322/2</f>
        <v>0</v>
      </c>
      <c r="X1401">
        <f>(0.6*T1401+0.6*V1401)*$R$1322/2</f>
        <v>0</v>
      </c>
      <c r="Z1401">
        <f>IF(S1401=0,0,$AD$1322*$AP$1301)</f>
        <v>0</v>
      </c>
      <c r="AA1401">
        <f>IFERROR(Z1401/$R$1322,0)</f>
        <v>0</v>
      </c>
      <c r="AB1401">
        <f>Z1401*($F$21+IF($F$21=0,0,($C$14+$C$15+IF($C$13="single",1.5,3)+3)/12))</f>
        <v>0</v>
      </c>
      <c r="AC1401">
        <f>AB1401-W1401</f>
        <v>0</v>
      </c>
      <c r="AD1401" cm="1">
        <f t="array" ref="AD1401">IFERROR(IF(AC1401&lt;0,0,AC1401/($R$1322-INDEX(hd_off,MATCH(AQ1401,hd_mark,0),0)/12)),0)</f>
        <v>0</v>
      </c>
      <c r="AE1401">
        <f>IF(S1401=0,0,$AD$1322*$AM$1301)</f>
        <v>0</v>
      </c>
      <c r="AF1401">
        <f>IFERROR(AE1401/$R$1322,0)</f>
        <v>0</v>
      </c>
      <c r="AG1401">
        <f>AE1401*($F$21+IF($F$21=0,0,($C$14+$C$15+IF($C$13="single",1.5,3)+3)/12))</f>
        <v>0</v>
      </c>
      <c r="AH1401">
        <f>AG1401-X1401</f>
        <v>0</v>
      </c>
      <c r="AI1401" cm="1">
        <f t="array" ref="AI1401">IFERROR(IF(AH1401&lt;0,0,AH1401/($R$1322-INDEX(hd_off,MATCH(AQ1401,hd_mark,0),0)/12)),0)</f>
        <v>0</v>
      </c>
      <c r="AJ1401">
        <f>MAX($F$21,$Y$1322)/$Q$1332</f>
        <v>0.30172413793103448</v>
      </c>
      <c r="AK1401">
        <f>IF(AJ1401=0,0,IF(AJ1401&gt;2,1.25-0.125*AJ1401,1))</f>
        <v>1</v>
      </c>
      <c r="AL1401" cm="1">
        <f t="array" ref="AL1401">IFERROR(INDEX(sheath_ecap_asd,MATCH(AP1401,sheath_mark,0),0)*AK1401,0)</f>
        <v>0</v>
      </c>
      <c r="AM1401" cm="1">
        <f t="array" ref="AM1401">IFERROR(INDEX(sheath_wcap_asd,MATCH(AP1401,sheath_mark,0),0)*AK1401,0)</f>
        <v>0</v>
      </c>
      <c r="AN1401" cm="1">
        <f t="array" ref="AN1401">IFERROR(INDEX(hd_cap,MATCH(AQ1401,hd_mark,0),0),0)</f>
        <v>0</v>
      </c>
      <c r="AP1401" s="19"/>
      <c r="AQ1401" s="19"/>
      <c r="AR1401" s="100"/>
      <c r="AS1401" s="93"/>
      <c r="AT1401" s="110" t="str">
        <f>$AT$1322</f>
        <v>1.13</v>
      </c>
      <c r="AU1401" t="str">
        <f>$Q$1301</f>
        <v>L2</v>
      </c>
      <c r="AV1401">
        <f>$E$21</f>
        <v>10.6875</v>
      </c>
      <c r="AW1401" cm="1">
        <f t="array" ref="AW1401">IFERROR(IF(AV1401=0,0,(INDEX($C$33:$C$38,MATCH($AZ$1322,$B$33:$B$38,0),0)*(AV1405+$BA$1322)+$AW$1322*COUNTIF(AV1401:AV1404,"&gt;0")*$C$32+$AY$1322*$C$31)*$AU$1322),0)</f>
        <v>0</v>
      </c>
      <c r="AX1401">
        <f>IF(AV1401=0,0,-(COUNTIF(AV1401:AV1404,"&gt;0")*$AW$1322*$C$32+$AY$1322*$C$31)*$H$27*$AU$1322)</f>
        <v>0</v>
      </c>
      <c r="AY1401">
        <f>IF(AV1401=0,0,$AY$1322*$H$26*$AU$1322)</f>
        <v>0</v>
      </c>
      <c r="AZ1401">
        <f>(0.6*AW1401+0.7*AX1401)*$AU$1322/2</f>
        <v>0</v>
      </c>
      <c r="BA1401">
        <f>(0.6*AW1401+0.6*AY1401)*$AU$1322/2</f>
        <v>0</v>
      </c>
      <c r="BC1401">
        <f>IF(AV1401=0,0,$BG$1322*$AP$1301)</f>
        <v>0</v>
      </c>
      <c r="BD1401">
        <f>IFERROR(BC1401/$AU$1322,0)</f>
        <v>0</v>
      </c>
      <c r="BE1401">
        <f>BC1401*($F$21+IF($F$21=0,0,($C$14+$C$15+IF($C$13="single",1.5,3)+3)/12))</f>
        <v>0</v>
      </c>
      <c r="BF1401">
        <f>BE1401-AZ1401</f>
        <v>0</v>
      </c>
      <c r="BG1401" cm="1">
        <f t="array" ref="BG1401">IFERROR(IF(BF1401&lt;0,0,BF1401/($AU$1322-INDEX(hd_off,MATCH(BT1401,hd_mark,0),0)/12)),0)</f>
        <v>0</v>
      </c>
      <c r="BH1401">
        <f>IF(AV1401=0,0,$BG$1322*$AM$1301)</f>
        <v>0</v>
      </c>
      <c r="BI1401">
        <f>IFERROR(BH1401/$AU$1322,0)</f>
        <v>0</v>
      </c>
      <c r="BJ1401">
        <f>BH1401*($F$21+IF($F$21=0,0,($C$14+$C$15+IF($C$13="single",1.5,3)+3)/12))</f>
        <v>0</v>
      </c>
      <c r="BK1401">
        <f>BJ1401-BA1401</f>
        <v>0</v>
      </c>
      <c r="BL1401" cm="1">
        <f t="array" ref="BL1401">IFERROR(IF(BK1401&lt;0,0,BK1401/($AU$1322-INDEX(hd_off,MATCH(BT1401,hd_mark,0),0)/12)),0)</f>
        <v>0</v>
      </c>
      <c r="BM1401">
        <f>MAX($F$21,$BB$1322)/$Q$1332</f>
        <v>0.30172413793103448</v>
      </c>
      <c r="BN1401">
        <f>IF(BM1401=0,0,IF(BM1401&gt;2,1.25-0.125*BM1401,1))</f>
        <v>1</v>
      </c>
      <c r="BO1401" cm="1">
        <f t="array" ref="BO1401">IFERROR(INDEX(sheath_ecap_asd,MATCH(BS1401,sheath_mark,0),0)*BN1401,0)</f>
        <v>0</v>
      </c>
      <c r="BP1401" cm="1">
        <f t="array" ref="BP1401">IFERROR(INDEX(sheath_wcap_asd,MATCH(BS1401,sheath_mark,0),0)*BN1401,0)</f>
        <v>0</v>
      </c>
      <c r="BQ1401" cm="1">
        <f t="array" ref="BQ1401">IFERROR(INDEX(hd_cap,MATCH(BT1401,hd_mark,0),0),0)</f>
        <v>0</v>
      </c>
      <c r="BS1401" s="19"/>
      <c r="BT1401" s="19"/>
      <c r="BU1401" s="100"/>
    </row>
    <row r="1402" x14ac:dyDescent="0.25">
      <c r="P1402" s="93"/>
      <c r="Q1402" s="109"/>
      <c r="R1402" t="str">
        <f>$Q$1302</f>
        <v>L3</v>
      </c>
      <c r="S1402">
        <f>$E$22</f>
        <v>21.375</v>
      </c>
      <c r="T1402" cm="1">
        <f t="array" ref="T1402">IFERROR(IF(S1402=0,0,(INDEX($C$33:$C$38,MATCH($W$1322,$B$33:$B$38,0),0)*(S1405+$X$1322)+$T$1322*COUNTIF(S1402:S1404,"&gt;0")*$C$32+$V$1322*$C$31)*$R$1322),0)</f>
        <v>0</v>
      </c>
      <c r="U1402">
        <f>IF(S1402=0,0,-(COUNTIF(S1402:S1404,"&gt;0")*$T$1322*$C$32+$V$1322*$C$31)*$H$27*$R$1322)</f>
        <v>0</v>
      </c>
      <c r="V1402">
        <f>IF(S1402=0,0,$V$1322*$H$26*$R$1322)</f>
        <v>0</v>
      </c>
      <c r="W1402">
        <f>(0.6*T1402+0.7*U1402)*$R$1322/2</f>
        <v>0</v>
      </c>
      <c r="X1402">
        <f>T1402*$R$1322/2</f>
        <v>0</v>
      </c>
      <c r="Z1402">
        <f>IF(S1402=0,0,$AD$1322*$AP$1302)</f>
        <v>0</v>
      </c>
      <c r="AA1402">
        <f>IFERROR(Z1402/$R$1322,0)</f>
        <v>0</v>
      </c>
      <c r="AB1402">
        <f>Z1402*($F$22+IF($F$22=0,0,($C$14+$C$15+IF($C$13="single",1.5,3)+3)/12))</f>
        <v>0</v>
      </c>
      <c r="AC1402">
        <f>AB1402-W1402</f>
        <v>0</v>
      </c>
      <c r="AD1402" cm="1">
        <f t="array" ref="AD1402">IFERROR(IF(AC1402&lt;0,0,AC1402/($R$1322-INDEX(hd_off,MATCH(AQ1402,hd_mark,0),0)/12)),0)</f>
        <v>0</v>
      </c>
      <c r="AE1402">
        <f>IF(S1402=0,0,$AD$1322*$AM$1302)</f>
        <v>0</v>
      </c>
      <c r="AF1402">
        <f>IFERROR(AE1402/$R$1322,0)</f>
        <v>0</v>
      </c>
      <c r="AG1402">
        <f>AE1402*($F$22+IF($F$22=0,0,($C$14+$C$15+IF($C$13="single",1.5,3)+3)/12))</f>
        <v>0</v>
      </c>
      <c r="AH1402">
        <f>AG1402-X1402</f>
        <v>0</v>
      </c>
      <c r="AI1402" cm="1">
        <f t="array" ref="AI1402">IFERROR(IF(AH1402&lt;0,0,AH1402/($R$1322-INDEX(hd_off,MATCH(AQ1402,hd_mark,0),0)/12)),0)</f>
        <v>0</v>
      </c>
      <c r="AJ1402">
        <f>MAX($F$22,$Z$1322)/$Q$1332</f>
        <v>0.30172413793103448</v>
      </c>
      <c r="AK1402">
        <f t="shared" ref="AK1402:AK1405" si="860">IF(AJ1402=0,0,IF(AJ1402&gt;2,1.25-0.125*AJ1402,1))</f>
        <v>1</v>
      </c>
      <c r="AL1402" cm="1">
        <f t="array" ref="AL1402">IFERROR(INDEX(sheath_ecap_asd,MATCH(AP1402,sheath_mark,0),0)*AK1402,0)</f>
        <v>0</v>
      </c>
      <c r="AM1402" cm="1">
        <f t="array" ref="AM1402">IFERROR(INDEX(sheath_wcap_asd,MATCH(AP1402,sheath_mark,0),0)*AK1402,0)</f>
        <v>0</v>
      </c>
      <c r="AN1402" cm="1">
        <f t="array" ref="AN1402">IFERROR(INDEX(hd_cap,MATCH(AQ1402,hd_mark,0),0),0)</f>
        <v>0</v>
      </c>
      <c r="AP1402" s="19"/>
      <c r="AQ1402" s="19"/>
      <c r="AR1402" s="100"/>
      <c r="AS1402" s="93"/>
      <c r="AT1402" s="109"/>
      <c r="AU1402" t="str">
        <f>$Q$1302</f>
        <v>L3</v>
      </c>
      <c r="AV1402">
        <f>$E$22</f>
        <v>21.375</v>
      </c>
      <c r="AW1402" cm="1">
        <f t="array" ref="AW1402">IFERROR(IF(AV1402=0,0,(INDEX($C$33:$C$38,MATCH($AZ$1322,$B$33:$B$38,0),0)*(AV1405+$BA$1322)+$AW$1322*COUNTIF(AV1402:AV1404,"&gt;0")*$C$32+$AY$1322*$C$31)*$AU$1322),0)</f>
        <v>0</v>
      </c>
      <c r="AX1402">
        <f>IF(AV1402=0,0,-(COUNTIF(AV1402:AV1404,"&gt;0")*$AW$1322*$C$32+$AY$1322*$C$31)*$H$27*$AU$1322)</f>
        <v>0</v>
      </c>
      <c r="AY1402">
        <f>IF(AV1402=0,0,$AY$1322*$H$26*$AU$1322)</f>
        <v>0</v>
      </c>
      <c r="AZ1402">
        <f>(0.6*AW1402+0.7*AX1402)*$AU$1322/2</f>
        <v>0</v>
      </c>
      <c r="BA1402">
        <f>AW1402*$AU$1322/2</f>
        <v>0</v>
      </c>
      <c r="BC1402">
        <f>IF(AV1402=0,0,$BG$1322*$AP$1302)</f>
        <v>0</v>
      </c>
      <c r="BD1402">
        <f>IFERROR(BC1402/$AU$1322,0)</f>
        <v>0</v>
      </c>
      <c r="BE1402">
        <f>BC1402*($F$22+IF($F$22=0,0,($C$14+$C$15+IF($C$13="single",1.5,3)+3)/12))</f>
        <v>0</v>
      </c>
      <c r="BF1402">
        <f>BE1402-AZ1402</f>
        <v>0</v>
      </c>
      <c r="BG1402" cm="1">
        <f t="array" ref="BG1402">IFERROR(IF(BF1402&lt;0,0,BF1402/($AU$1322-INDEX(hd_off,MATCH(BT1402,hd_mark,0),0)/12)),0)</f>
        <v>0</v>
      </c>
      <c r="BH1402">
        <f>IF(AV1402=0,0,$BG$1322*$AM$1302)</f>
        <v>0</v>
      </c>
      <c r="BI1402">
        <f>IFERROR(BH1402/$AU$1322,0)</f>
        <v>0</v>
      </c>
      <c r="BJ1402">
        <f>BH1402*($F$22+IF($F$22=0,0,($C$14+$C$15+IF($C$13="single",1.5,3)+3)/12))</f>
        <v>0</v>
      </c>
      <c r="BK1402">
        <f>BJ1402-BA1402</f>
        <v>0</v>
      </c>
      <c r="BL1402" cm="1">
        <f t="array" ref="BL1402">IFERROR(IF(BK1402&lt;0,0,BK1402/($AU$1322-INDEX(hd_off,MATCH(BT1402,hd_mark,0),0)/12)),0)</f>
        <v>0</v>
      </c>
      <c r="BM1402">
        <f>MAX($F$22,$BC$1322)/$Q$1332</f>
        <v>0.30172413793103448</v>
      </c>
      <c r="BN1402">
        <f t="shared" ref="BN1402:BN1405" si="861">IF(BM1402=0,0,IF(BM1402&gt;2,1.25-0.125*BM1402,1))</f>
        <v>1</v>
      </c>
      <c r="BO1402" cm="1">
        <f t="array" ref="BO1402">IFERROR(INDEX(sheath_ecap_asd,MATCH(BS1402,sheath_mark,0),0)*BN1402,0)</f>
        <v>0</v>
      </c>
      <c r="BP1402" cm="1">
        <f t="array" ref="BP1402">IFERROR(INDEX(sheath_wcap_asd,MATCH(BS1402,sheath_mark,0),0)*BN1402,0)</f>
        <v>0</v>
      </c>
      <c r="BQ1402" cm="1">
        <f t="array" ref="BQ1402">IFERROR(INDEX(hd_cap,MATCH(BT1402,hd_mark,0),0),0)</f>
        <v>0</v>
      </c>
      <c r="BS1402" s="19"/>
      <c r="BT1402" s="19"/>
      <c r="BU1402" s="100"/>
    </row>
    <row r="1403" x14ac:dyDescent="0.25">
      <c r="P1403" s="93"/>
      <c r="Q1403" s="109" t="s">
        <v>491</v>
      </c>
      <c r="R1403" t="str">
        <f>$Q$1303</f>
        <v>L4</v>
      </c>
      <c r="S1403">
        <f>$E$23</f>
        <v>0</v>
      </c>
      <c r="T1403" cm="1">
        <f t="array" ref="T1403">IFERROR(IF(S1403=0,0,(INDEX($C$33:$C$38,MATCH($W$1322,$B$33:$B$38,0),0)*(S1405+$X$1322)+$T$1322*COUNTIF(S1403:S1404,"&gt;0")*$C$32+$V$1322*$C$31)*$R$1322),0)</f>
        <v>0</v>
      </c>
      <c r="U1403">
        <f>IF(S1403=0,0,-(COUNTIF(S1403:S1404,"&gt;0")*$T$1322*$C$32+$V$1322*$C$31)*$H$27*$R$1322)</f>
        <v>0</v>
      </c>
      <c r="V1403">
        <f>IF(S1403=0,0,$V$1322*$H$26*$R$1322)</f>
        <v>0</v>
      </c>
      <c r="W1403">
        <f>(0.6*T1403+0.7*U1403)*$R$1322/2</f>
        <v>0</v>
      </c>
      <c r="X1403">
        <f>T1403*$R$1322/2</f>
        <v>0</v>
      </c>
      <c r="Z1403">
        <f>IF(S1403=0,0,$AD$1322*$AP$1303)</f>
        <v>0</v>
      </c>
      <c r="AA1403">
        <f>IFERROR(Z1403/$R$1322,0)</f>
        <v>0</v>
      </c>
      <c r="AB1403">
        <f>Z1403*($F$23+IF($F$23=0,0,($C$14+$C$15+IF($C$13="single",1.5,3)+3)/12))</f>
        <v>0</v>
      </c>
      <c r="AC1403">
        <f>AB1403-W1403</f>
        <v>0</v>
      </c>
      <c r="AD1403" cm="1">
        <f t="array" ref="AD1403">IFERROR(IF(AC1403&lt;0,0,AC1403/($R$1322-INDEX(hd_off,MATCH(AQ1403,hd_mark,0),0)/12)),0)</f>
        <v>0</v>
      </c>
      <c r="AE1403">
        <f>IF(S1403=0,0,$AD$1322*$AM$1303)</f>
        <v>0</v>
      </c>
      <c r="AF1403">
        <f>IFERROR(AE1403/$R$1322,0)</f>
        <v>0</v>
      </c>
      <c r="AG1403">
        <f>AE1403*($F$23+IF($F$23=0,0,($C$14+$C$15+IF($C$13="single",1.5,3)+3)/12))</f>
        <v>0</v>
      </c>
      <c r="AH1403">
        <f>AG1403-X1403</f>
        <v>0</v>
      </c>
      <c r="AI1403" cm="1">
        <f t="array" ref="AI1403">IFERROR(IF(AH1403&lt;0,0,AH1403/($R$1322-INDEX(hd_off,MATCH(AQ1403,hd_mark,0),0)/12)),0)</f>
        <v>0</v>
      </c>
      <c r="AJ1403">
        <f>MAX($F$23,$AA$1322)/$Q$1332</f>
        <v>0</v>
      </c>
      <c r="AK1403">
        <f t="shared" si="860"/>
        <v>0</v>
      </c>
      <c r="AL1403" cm="1">
        <f t="array" ref="AL1403">IFERROR(INDEX(sheath_ecap_asd,MATCH(AP1403,sheath_mark,0),0)*AK1403,0)</f>
        <v>0</v>
      </c>
      <c r="AM1403" cm="1">
        <f t="array" ref="AM1403">IFERROR(INDEX(sheath_wcap_asd,MATCH(AP1403,sheath_mark,0),0)*AK1403,0)</f>
        <v>0</v>
      </c>
      <c r="AN1403" cm="1">
        <f t="array" ref="AN1403">IFERROR(INDEX(hd_cap,MATCH(AQ1403,hd_mark,0),0),0)</f>
        <v>0</v>
      </c>
      <c r="AP1403" s="19"/>
      <c r="AQ1403" s="19"/>
      <c r="AR1403" s="100"/>
      <c r="AS1403" s="93"/>
      <c r="AT1403" s="109" t="s">
        <v>491</v>
      </c>
      <c r="AU1403" t="str">
        <f>$Q$1303</f>
        <v>L4</v>
      </c>
      <c r="AV1403">
        <f>$E$23</f>
        <v>0</v>
      </c>
      <c r="AW1403" cm="1">
        <f t="array" ref="AW1403">IFERROR(IF(AV1403=0,0,(INDEX($C$33:$C$38,MATCH($AZ$1322,$B$33:$B$38,0),0)*(AV1405+$BA$1322)+$AW$1322*COUNTIF(AV1403:AV1404,"&gt;0")*$C$32+$AY$1322*$C$31)*$AU$1322),0)</f>
        <v>0</v>
      </c>
      <c r="AX1403">
        <f>IF(AV1403=0,0,-(COUNTIF(AV1403:AV1404,"&gt;0")*$AW$1322*$C$32+$AY$1322*$C$31)*$H$27*$AU$1322)</f>
        <v>0</v>
      </c>
      <c r="AY1403">
        <f>IF(AV1403=0,0,$AY$1322*$H$26*$AU$1322)</f>
        <v>0</v>
      </c>
      <c r="AZ1403">
        <f>(0.6*AW1403+0.7*AX1403)*$AU$1322/2</f>
        <v>0</v>
      </c>
      <c r="BA1403">
        <f>AW1403*$AU$1322/2</f>
        <v>0</v>
      </c>
      <c r="BC1403">
        <f>IF(AV1403=0,0,$BG$1322*$AP$1303)</f>
        <v>0</v>
      </c>
      <c r="BD1403">
        <f>IFERROR(BC1403/$AU$1322,0)</f>
        <v>0</v>
      </c>
      <c r="BE1403">
        <f>BC1403*($F$23+IF($F$23=0,0,($C$14+$C$15+IF($C$13="single",1.5,3)+3)/12))</f>
        <v>0</v>
      </c>
      <c r="BF1403">
        <f>BE1403-AZ1403</f>
        <v>0</v>
      </c>
      <c r="BG1403" cm="1">
        <f t="array" ref="BG1403">IFERROR(IF(BF1403&lt;0,0,BF1403/($AU$1322-INDEX(hd_off,MATCH(BT1403,hd_mark,0),0)/12)),0)</f>
        <v>0</v>
      </c>
      <c r="BH1403">
        <f>IF(AV1403=0,0,$BG$1322*$AM$1303)</f>
        <v>0</v>
      </c>
      <c r="BI1403">
        <f>IFERROR(BH1403/$AU$1322,0)</f>
        <v>0</v>
      </c>
      <c r="BJ1403">
        <f>BH1403*($F$23+IF($F$23=0,0,($C$14+$C$15+IF($C$13="single",1.5,3)+3)/12))</f>
        <v>0</v>
      </c>
      <c r="BK1403">
        <f>BJ1403-BA1403</f>
        <v>0</v>
      </c>
      <c r="BL1403" cm="1">
        <f t="array" ref="BL1403">IFERROR(IF(BK1403&lt;0,0,BK1403/($AU$1322-INDEX(hd_off,MATCH(BT1403,hd_mark,0),0)/12)),0)</f>
        <v>0</v>
      </c>
      <c r="BM1403">
        <f>MAX($F$23,$BD$1322)/$Q$1332</f>
        <v>0</v>
      </c>
      <c r="BN1403">
        <f t="shared" si="861"/>
        <v>0</v>
      </c>
      <c r="BO1403" cm="1">
        <f t="array" ref="BO1403">IFERROR(INDEX(sheath_ecap_asd,MATCH(BS1403,sheath_mark,0),0)*BN1403,0)</f>
        <v>0</v>
      </c>
      <c r="BP1403" cm="1">
        <f t="array" ref="BP1403">IFERROR(INDEX(sheath_wcap_asd,MATCH(BS1403,sheath_mark,0),0)*BN1403,0)</f>
        <v>0</v>
      </c>
      <c r="BQ1403" cm="1">
        <f t="array" ref="BQ1403">IFERROR(INDEX(hd_cap,MATCH(BT1403,hd_mark,0),0),0)</f>
        <v>0</v>
      </c>
      <c r="BS1403" s="19"/>
      <c r="BT1403" s="19"/>
      <c r="BU1403" s="100"/>
    </row>
    <row r="1404" x14ac:dyDescent="0.25">
      <c r="P1404" s="93"/>
      <c r="Q1404" s="111">
        <f>$R$1322</f>
        <v>0</v>
      </c>
      <c r="R1404" t="str">
        <f>$Q$1304</f>
        <v>L5</v>
      </c>
      <c r="S1404">
        <f>$E$24</f>
        <v>0</v>
      </c>
      <c r="T1404" cm="1">
        <f t="array" ref="T1404">IFERROR(IF(S1404=0,0,(INDEX($C$33:$C$38,MATCH($W$1322,$B$33:$B$38,0),0)*(S1405+$X$1322)+$T$1322*COUNTIF(S1404:S1404,"&gt;0")*$C$32+$V$1322*$C$31)*$R$1322),0)</f>
        <v>0</v>
      </c>
      <c r="U1404">
        <f>IF(S1404=0,0,-(COUNTIF(S1404:S1404,"&gt;0")*$T$1322*$C$32+$V$1322*$C$31)*$H$27*$R$1322)</f>
        <v>0</v>
      </c>
      <c r="V1404">
        <f>IF(S1404=0,0,$V$1322*$H$26*$R$1322)</f>
        <v>0</v>
      </c>
      <c r="W1404">
        <f>(0.6*T1404+0.7*U1404)*$R$1322/2</f>
        <v>0</v>
      </c>
      <c r="X1404">
        <f>T1404*$R$1322/2</f>
        <v>0</v>
      </c>
      <c r="Z1404">
        <f>IF(S1404=0,0,$AD$1322*$AP$1304)</f>
        <v>0</v>
      </c>
      <c r="AA1404">
        <f>IFERROR(Z1404/$R$1322,0)</f>
        <v>0</v>
      </c>
      <c r="AB1404">
        <f>Z1404*($F$24+IF($F$24=0,0,($C$14+$C$15+IF($C$13="single",1.5,3)+3)/12))</f>
        <v>0</v>
      </c>
      <c r="AC1404">
        <f>AB1404-W1404</f>
        <v>0</v>
      </c>
      <c r="AD1404" cm="1">
        <f t="array" ref="AD1404">IFERROR(IF(AC1404&lt;0,0,AC1404/($R$1322-INDEX(hd_off,MATCH(AQ1404,hd_mark,0),0)/12)),0)</f>
        <v>0</v>
      </c>
      <c r="AE1404">
        <f>IF(S1404=0,0,$AD$1322*$AM$1304)</f>
        <v>0</v>
      </c>
      <c r="AF1404">
        <f>IFERROR(AE1404/$R$1322,0)</f>
        <v>0</v>
      </c>
      <c r="AG1404">
        <f>AE1404*($F$24+IF($F$24=0,0,($C$14+$C$15+IF($C$13="single",1.5,3)+3)/12))</f>
        <v>0</v>
      </c>
      <c r="AH1404">
        <f>AG1404-X1404</f>
        <v>0</v>
      </c>
      <c r="AI1404" cm="1">
        <f t="array" ref="AI1404">IFERROR(IF(AH1404&lt;0,0,AH1404/($R$1322-INDEX(hd_off,MATCH(AQ1404,hd_mark,0),0)/12)),0)</f>
        <v>0</v>
      </c>
      <c r="AJ1404">
        <f>MAX($F$24,$AB$1322)/$Q$1332</f>
        <v>0</v>
      </c>
      <c r="AK1404">
        <f t="shared" si="860"/>
        <v>0</v>
      </c>
      <c r="AL1404" cm="1">
        <f t="array" ref="AL1404">IFERROR(INDEX(sheath_ecap_asd,MATCH(AP1404,sheath_mark,0),0)*AK1404,0)</f>
        <v>0</v>
      </c>
      <c r="AM1404" cm="1">
        <f t="array" ref="AM1404">IFERROR(INDEX(sheath_wcap_asd,MATCH(AP1404,sheath_mark,0),0)*AK1404,0)</f>
        <v>0</v>
      </c>
      <c r="AN1404" cm="1">
        <f t="array" ref="AN1404">IFERROR(INDEX(hd_cap,MATCH(AQ1404,hd_mark,0),0),0)</f>
        <v>0</v>
      </c>
      <c r="AP1404" s="19"/>
      <c r="AQ1404" s="19"/>
      <c r="AR1404" s="100"/>
      <c r="AS1404" s="93"/>
      <c r="AT1404" s="111">
        <f>$R$1322</f>
        <v>0</v>
      </c>
      <c r="AU1404" t="str">
        <f>$Q$1304</f>
        <v>L5</v>
      </c>
      <c r="AV1404">
        <f>$E$24</f>
        <v>0</v>
      </c>
      <c r="AW1404" cm="1">
        <f t="array" ref="AW1404">IFERROR(IF(AV1404=0,0,(INDEX($C$33:$C$38,MATCH($AZ$1322,$B$33:$B$38,0),0)*(AV1405+$BA$1322)+$AW$1322*COUNTIF(AV1404:AV1404,"&gt;0")*$C$32+$AY$1322*$C$31)*$AU$1322),0)</f>
        <v>0</v>
      </c>
      <c r="AX1404">
        <f>IF(AV1404=0,0,-(COUNTIF(AV1404:AV1404,"&gt;0")*$AW$1322*$C$32+$AY$1322*$C$31)*$H$27*$AU$1322)</f>
        <v>0</v>
      </c>
      <c r="AY1404">
        <f>IF(AV1404=0,0,$AY$1322*$H$26*$AU$1322)</f>
        <v>0</v>
      </c>
      <c r="AZ1404">
        <f>(0.6*AW1404+0.7*AX1404)*$AU$1322/2</f>
        <v>0</v>
      </c>
      <c r="BA1404">
        <f>AW1404*$AU$1322/2</f>
        <v>0</v>
      </c>
      <c r="BC1404">
        <f>IF(AV1404=0,0,$BG$1322*$AP$1304)</f>
        <v>0</v>
      </c>
      <c r="BD1404">
        <f>IFERROR(BC1404/$AU$1322,0)</f>
        <v>0</v>
      </c>
      <c r="BE1404">
        <f>BC1404*($F$24+IF($F$24=0,0,($C$14+$C$15+IF($C$13="single",1.5,3)+3)/12))</f>
        <v>0</v>
      </c>
      <c r="BF1404">
        <f>BE1404-AZ1404</f>
        <v>0</v>
      </c>
      <c r="BG1404" cm="1">
        <f t="array" ref="BG1404">IFERROR(IF(BF1404&lt;0,0,BF1404/($AU$1322-INDEX(hd_off,MATCH(BT1404,hd_mark,0),0)/12)),0)</f>
        <v>0</v>
      </c>
      <c r="BH1404">
        <f>IF(AV1404=0,0,$BG$1322*$AM$1304)</f>
        <v>0</v>
      </c>
      <c r="BI1404">
        <f>IFERROR(BH1404/$AU$1322,0)</f>
        <v>0</v>
      </c>
      <c r="BJ1404">
        <f>BH1404*($F$24+IF($F$24=0,0,($C$14+$C$15+IF($C$13="single",1.5,3)+3)/12))</f>
        <v>0</v>
      </c>
      <c r="BK1404">
        <f>BJ1404-BA1404</f>
        <v>0</v>
      </c>
      <c r="BL1404" cm="1">
        <f t="array" ref="BL1404">IFERROR(IF(BK1404&lt;0,0,BK1404/($AU$1322-INDEX(hd_off,MATCH(BT1404,hd_mark,0),0)/12)),0)</f>
        <v>0</v>
      </c>
      <c r="BM1404">
        <f>MAX($F$24,$BE$1322)/$Q$1332</f>
        <v>0</v>
      </c>
      <c r="BN1404">
        <f t="shared" si="861"/>
        <v>0</v>
      </c>
      <c r="BO1404" cm="1">
        <f t="array" ref="BO1404">IFERROR(INDEX(sheath_ecap_asd,MATCH(BS1404,sheath_mark,0),0)*BN1404,0)</f>
        <v>0</v>
      </c>
      <c r="BP1404" cm="1">
        <f t="array" ref="BP1404">IFERROR(INDEX(sheath_wcap_asd,MATCH(BS1404,sheath_mark,0),0)*BN1404,0)</f>
        <v>0</v>
      </c>
      <c r="BQ1404" cm="1">
        <f t="array" ref="BQ1404">IFERROR(INDEX(hd_cap,MATCH(BT1404,hd_mark,0),0),0)</f>
        <v>0</v>
      </c>
      <c r="BS1404" s="19"/>
      <c r="BT1404" s="19"/>
      <c r="BU1404" s="100"/>
    </row>
    <row r="1405" x14ac:dyDescent="0.25">
      <c r="P1405" s="93"/>
      <c r="Q1405" s="109"/>
      <c r="R1405" t="str">
        <f>$Q$1305</f>
        <v>Roof</v>
      </c>
      <c r="S1405">
        <f>$E$25</f>
        <v>33.171875</v>
      </c>
      <c r="T1405" cm="1">
        <f t="array" ref="T1405">IFERROR(IF(S1405=0,0,(INDEX($C$33:$C$38,MATCH($W$1322,$B$33:$B$38,0),0)*(S1405+$X$1322)+$V$1322*$C$31)*$R$1322),0)</f>
        <v>0</v>
      </c>
      <c r="U1405">
        <f>IF(S1405=0,0,-$V$1322*$C$31*$H$27*$R$1322)</f>
        <v>0</v>
      </c>
      <c r="V1405">
        <f>IF(S1405=0,0,$V$1322*$H$26*$R$1322)</f>
        <v>0</v>
      </c>
      <c r="W1405">
        <f>(0.6*T1405+0.7*U1405)*$R$1322/2</f>
        <v>0</v>
      </c>
      <c r="X1405">
        <f>T1405*$R$1322/2</f>
        <v>0</v>
      </c>
      <c r="Z1405">
        <f>IF(S1405=0,0,$AD$1322*$AP$1305)</f>
        <v>0</v>
      </c>
      <c r="AA1405">
        <f>IFERROR(Z1405/$R$1322,0)</f>
        <v>0</v>
      </c>
      <c r="AB1405">
        <f>Z1405*($F$25+($C$16+$C$17+IF($C$13="single",1.5,3)+3)/12)</f>
        <v>0</v>
      </c>
      <c r="AC1405">
        <f>AB1405-W1405</f>
        <v>0</v>
      </c>
      <c r="AD1405" cm="1">
        <f t="array" ref="AD1405">IFERROR(IF(AC1405&lt;0,0,AC1405/($R$1322-INDEX(hd_off,MATCH(AQ1405,hd_mark,0),0)/12)),0)</f>
        <v>0</v>
      </c>
      <c r="AE1405">
        <f>IF(S1405=0,0,$AD$1322*$AM$1305)</f>
        <v>0</v>
      </c>
      <c r="AF1405">
        <f>IFERROR(AE1405/$R$1322,0)</f>
        <v>0</v>
      </c>
      <c r="AG1405">
        <f>AE1405*($F$25+($C$16+$C$17+IF($C$13="single",1.5,3)+3)/12)</f>
        <v>0</v>
      </c>
      <c r="AH1405">
        <f>AG1405-X1405</f>
        <v>0</v>
      </c>
      <c r="AI1405" cm="1">
        <f t="array" ref="AI1405">IFERROR(IF(AH1405&lt;0,0,AH1405/($R$1322-INDEX(hd_off,MATCH(AQ1405,hd_mark,0),0)/12)),0)</f>
        <v>0</v>
      </c>
      <c r="AJ1405">
        <f>MAX($F$25,$AC$1322)/$Q$1332</f>
        <v>0.29920977011494249</v>
      </c>
      <c r="AK1405">
        <f t="shared" si="860"/>
        <v>1</v>
      </c>
      <c r="AL1405" cm="1">
        <f t="array" ref="AL1405">IFERROR(INDEX(sheath_ecap_asd,MATCH(AP1405,sheath_mark,0),0)*AK1405,0)</f>
        <v>0</v>
      </c>
      <c r="AM1405" cm="1">
        <f t="array" ref="AM1405">IFERROR(INDEX(sheath_wcap_asd,MATCH(AP1405,sheath_mark,0),0)*AK1405,0)</f>
        <v>0</v>
      </c>
      <c r="AN1405" cm="1">
        <f t="array" ref="AN1405">IFERROR(INDEX(hd_cap,MATCH(AQ1405,hd_mark,0),0),0)</f>
        <v>0</v>
      </c>
      <c r="AP1405" s="19"/>
      <c r="AQ1405" s="19"/>
      <c r="AR1405" s="100"/>
      <c r="AS1405" s="93"/>
      <c r="AT1405" s="109"/>
      <c r="AU1405" t="str">
        <f>$Q$1305</f>
        <v>Roof</v>
      </c>
      <c r="AV1405">
        <f>$E$25</f>
        <v>33.171875</v>
      </c>
      <c r="AW1405" cm="1">
        <f t="array" ref="AW1405">IFERROR(IF(AV1405=0,0,(INDEX($C$33:$C$38,MATCH($AZ$1322,$B$33:$B$38,0),0)*(AV1405+$BA$1322)+$AY$1322*$C$31)*$AU$1322),0)</f>
        <v>0</v>
      </c>
      <c r="AX1405">
        <f>IF(AV1405=0,0,-$AY$1322*$C$31*$H$27*$AU$1322)</f>
        <v>0</v>
      </c>
      <c r="AY1405">
        <f>IF(AV1405=0,0,$AY$1322*$H$26*$AU$1322)</f>
        <v>0</v>
      </c>
      <c r="AZ1405">
        <f>(0.6*AW1405+0.7*AX1405)*$AU$1322/2</f>
        <v>0</v>
      </c>
      <c r="BA1405">
        <f>AW1405*$AU$1322/2</f>
        <v>0</v>
      </c>
      <c r="BC1405">
        <f>IF(AV1405=0,0,$BG$1322*$AP$1305)</f>
        <v>0</v>
      </c>
      <c r="BD1405">
        <f>IFERROR(BC1405/$AU$1322,0)</f>
        <v>0</v>
      </c>
      <c r="BE1405">
        <f>BC1405*($F$25+($C$16+$C$17+IF($C$13="single",1.5,3)+3)/12)</f>
        <v>0</v>
      </c>
      <c r="BF1405">
        <f>BE1405-AZ1405</f>
        <v>0</v>
      </c>
      <c r="BG1405" cm="1">
        <f t="array" ref="BG1405">IFERROR(IF(BF1405&lt;0,0,BF1405/($AU$1322-INDEX(hd_off,MATCH(BT1405,hd_mark,0),0)/12)),0)</f>
        <v>0</v>
      </c>
      <c r="BH1405">
        <f>IF(AV1405=0,0,$BG$1322*$AM$1305)</f>
        <v>0</v>
      </c>
      <c r="BI1405">
        <f>IFERROR(BH1405/$AU$1322,0)</f>
        <v>0</v>
      </c>
      <c r="BJ1405">
        <f>BH1405*($F$25+($C$16+$C$17+IF($C$13="single",1.5,3)+3)/12)</f>
        <v>0</v>
      </c>
      <c r="BK1405">
        <f>BJ1405-BA1405</f>
        <v>0</v>
      </c>
      <c r="BL1405" cm="1">
        <f t="array" ref="BL1405">IFERROR(IF(BK1405&lt;0,0,BK1405/($AU$1322-INDEX(hd_off,MATCH(BT1405,hd_mark,0),0)/12)),0)</f>
        <v>0</v>
      </c>
      <c r="BM1405">
        <f>MAX($F$25,$BF$1322)/$Q$1332</f>
        <v>0.29920977011494249</v>
      </c>
      <c r="BN1405">
        <f t="shared" si="861"/>
        <v>1</v>
      </c>
      <c r="BO1405" cm="1">
        <f t="array" ref="BO1405">IFERROR(INDEX(sheath_ecap_asd,MATCH(BS1405,sheath_mark,0),0)*BN1405,0)</f>
        <v>0</v>
      </c>
      <c r="BP1405" cm="1">
        <f t="array" ref="BP1405">IFERROR(INDEX(sheath_wcap_asd,MATCH(BS1405,sheath_mark,0),0)*BN1405,0)</f>
        <v>0</v>
      </c>
      <c r="BQ1405" cm="1">
        <f t="array" ref="BQ1405">IFERROR(INDEX(hd_cap,MATCH(BT1405,hd_mark,0),0),0)</f>
        <v>0</v>
      </c>
      <c r="BS1405" s="19"/>
      <c r="BT1405" s="19"/>
      <c r="BU1405" s="100"/>
    </row>
    <row r="1406" x14ac:dyDescent="0.25">
      <c r="P1406" s="93"/>
      <c r="AR1406" s="100"/>
      <c r="AS1406" s="93"/>
      <c r="BU1406" s="100"/>
    </row>
    <row r="1407" x14ac:dyDescent="0.25">
      <c r="P1407" s="93"/>
      <c r="Q1407" s="110" t="str">
        <f>$Q$1323</f>
        <v>A.14</v>
      </c>
      <c r="R1407" t="str">
        <f>$Q$1301</f>
        <v>L2</v>
      </c>
      <c r="S1407">
        <f>$E$21</f>
        <v>10.6875</v>
      </c>
      <c r="T1407" cm="1">
        <f t="array" ref="T1407">IFERROR(IF(S1407=0,0,(INDEX($C$33:$C$38,MATCH($W$1323,$B$33:$B$38,0),0)*(S1411+$X$1323)+$T$1323*COUNTIF(S1407:S1423,"&gt;0")*$C$32+$V$1323*$C$31)*$R$1323),0)</f>
        <v>0</v>
      </c>
      <c r="U1407">
        <f>IF(S1407=0,0,-(COUNTIF(S1407:S1423,"&gt;0")*$T$1323*$C$32+$V$1323*$C$31)*$H$27*$R$1323)</f>
        <v>0</v>
      </c>
      <c r="V1407">
        <f>IF(S1407=0,0,$V$1323*$H$26*$R$1323)</f>
        <v>0</v>
      </c>
      <c r="W1407">
        <f>(0.6*T1407+0.7*U1407)*$R$1323/2</f>
        <v>0</v>
      </c>
      <c r="X1407">
        <f>(0.6*T1407+0.6*V1407)*$R$1323/2</f>
        <v>0</v>
      </c>
      <c r="Z1407">
        <f>IF(S1407=0,0,$AD$1323*$AP$1301)</f>
        <v>0</v>
      </c>
      <c r="AA1407">
        <f>IFERROR(Z1407/$R$1323,0)</f>
        <v>0</v>
      </c>
      <c r="AB1407">
        <f>Z1407*($F$21+IF($F$21=0,0,($C$14+$C$15+IF($C$13="single",1.5,3)+3)/12))</f>
        <v>0</v>
      </c>
      <c r="AC1407">
        <f>AB1407-W1407</f>
        <v>0</v>
      </c>
      <c r="AD1407" cm="1">
        <f t="array" ref="AD1407">IFERROR(IF(AC1407&lt;0,0,AC1407/($R$1323-INDEX(hd_off,MATCH(AQ1407,hd_mark,0),0)/12)),0)</f>
        <v>0</v>
      </c>
      <c r="AE1407">
        <f>IF(S1407=0,0,$AD$1323*$AM$1301)</f>
        <v>0</v>
      </c>
      <c r="AF1407">
        <f>IFERROR(AE1407/$R$1323,0)</f>
        <v>0</v>
      </c>
      <c r="AG1407">
        <f>AE1407*($F$21+IF($F$21=0,0,($C$14+$C$15+IF($C$13="single",1.5,3)+3)/12))</f>
        <v>0</v>
      </c>
      <c r="AH1407">
        <f>AG1407-X1407</f>
        <v>0</v>
      </c>
      <c r="AI1407" cm="1">
        <f t="array" ref="AI1407">IFERROR(IF(AH1407&lt;0,0,AH1407/($R$1323-INDEX(hd_off,MATCH(AQ1407,hd_mark,0),0)/12)),0)</f>
        <v>0</v>
      </c>
      <c r="AJ1407">
        <f>MAX($F$21,$Y$1323)/$Q$1332</f>
        <v>0.30172413793103448</v>
      </c>
      <c r="AK1407">
        <f>IF(AJ1407=0,0,IF(AJ1407&gt;2,1.25-0.125*AJ1407,1))</f>
        <v>1</v>
      </c>
      <c r="AL1407" cm="1">
        <f t="array" ref="AL1407">IFERROR(INDEX(sheath_ecap_asd,MATCH(AP1407,sheath_mark,0),0)*AK1407,0)</f>
        <v>0</v>
      </c>
      <c r="AM1407" cm="1">
        <f t="array" ref="AM1407">IFERROR(INDEX(sheath_wcap_asd,MATCH(AP1407,sheath_mark,0),0)*AK1407,0)</f>
        <v>0</v>
      </c>
      <c r="AN1407" cm="1">
        <f t="array" ref="AN1407">IFERROR(INDEX(hd_cap,MATCH(AQ1407,hd_mark,0),0),0)</f>
        <v>0</v>
      </c>
      <c r="AP1407" s="19"/>
      <c r="AQ1407" s="19"/>
      <c r="AR1407" s="100"/>
      <c r="AS1407" s="93"/>
      <c r="AT1407" s="110" t="str">
        <f>$AT$1323</f>
        <v>1.14</v>
      </c>
      <c r="AU1407" t="str">
        <f>$Q$1301</f>
        <v>L2</v>
      </c>
      <c r="AV1407">
        <f>$E$21</f>
        <v>10.6875</v>
      </c>
      <c r="AW1407" cm="1">
        <f t="array" ref="AW1407">IFERROR(IF(AV1407=0,0,(INDEX($C$33:$C$38,MATCH($AZ$1323,$B$33:$B$38,0),0)*(AV1411+$BA$1323)+$AW$1323*COUNTIF(AV1407:AV1423,"&gt;0")*$C$32+$AY$1323*$C$31)*$AU$1323),0)</f>
        <v>0</v>
      </c>
      <c r="AX1407">
        <f>IF(AV1407=0,0,-(COUNTIF(AV1407:AV1423,"&gt;0")*$AW$1323*$C$32+$AY$1323*$C$31)*$H$27*$AU$1323)</f>
        <v>0</v>
      </c>
      <c r="AY1407">
        <f>IF(AV1407=0,0,$AY$1323*$H$26*$AU$1323)</f>
        <v>0</v>
      </c>
      <c r="AZ1407">
        <f>(0.6*AW1407+0.7*AX1407)*$AU$1323/2</f>
        <v>0</v>
      </c>
      <c r="BA1407">
        <f>(0.6*AW1407+0.6*AY1407)*$AU$1323/2</f>
        <v>0</v>
      </c>
      <c r="BC1407">
        <f>IF(AV1407=0,0,$BG$1323*$AP$1301)</f>
        <v>0</v>
      </c>
      <c r="BD1407">
        <f>IFERROR(BC1407/$AU$1323,0)</f>
        <v>0</v>
      </c>
      <c r="BE1407">
        <f>BC1407*($F$21+IF($F$21=0,0,($C$14+$C$15+IF($C$13="single",1.5,3)+3)/12))</f>
        <v>0</v>
      </c>
      <c r="BF1407">
        <f>BE1407-AZ1407</f>
        <v>0</v>
      </c>
      <c r="BG1407" cm="1">
        <f t="array" ref="BG1407">IFERROR(IF(BF1407&lt;0,0,BF1407/($AU$1323-INDEX(hd_off,MATCH(BT1407,hd_mark,0),0)/12)),0)</f>
        <v>0</v>
      </c>
      <c r="BH1407">
        <f>IF(AV1407=0,0,$BG$1323*$AM$1301)</f>
        <v>0</v>
      </c>
      <c r="BI1407">
        <f>IFERROR(BH1407/$AU$1323,0)</f>
        <v>0</v>
      </c>
      <c r="BJ1407">
        <f>BH1407*($F$21+IF($F$21=0,0,($C$14+$C$15+IF($C$13="single",1.5,3)+3)/12))</f>
        <v>0</v>
      </c>
      <c r="BK1407">
        <f>BJ1407-BA1407</f>
        <v>0</v>
      </c>
      <c r="BL1407" cm="1">
        <f t="array" ref="BL1407">IFERROR(IF(BK1407&lt;0,0,BK1407/($AU$1323-INDEX(hd_off,MATCH(BT1407,hd_mark,0),0)/12)),0)</f>
        <v>0</v>
      </c>
      <c r="BM1407">
        <f>MAX($F$21,$BB$1323)/$Q$1332</f>
        <v>0.30172413793103448</v>
      </c>
      <c r="BN1407">
        <f>IF(BM1407=0,0,IF(BM1407&gt;2,1.25-0.125*BM1407,1))</f>
        <v>1</v>
      </c>
      <c r="BO1407" cm="1">
        <f t="array" ref="BO1407">IFERROR(INDEX(sheath_ecap_asd,MATCH(BS1407,sheath_mark,0),0)*BN1407,0)</f>
        <v>0</v>
      </c>
      <c r="BP1407" cm="1">
        <f t="array" ref="BP1407">IFERROR(INDEX(sheath_wcap_asd,MATCH(BS1407,sheath_mark,0),0)*BN1407,0)</f>
        <v>0</v>
      </c>
      <c r="BQ1407" cm="1">
        <f t="array" ref="BQ1407">IFERROR(INDEX(hd_cap,MATCH(BT1407,hd_mark,0),0),0)</f>
        <v>0</v>
      </c>
      <c r="BS1407" s="19"/>
      <c r="BT1407" s="19"/>
      <c r="BU1407" s="100"/>
    </row>
    <row r="1408" x14ac:dyDescent="0.25">
      <c r="P1408" s="93"/>
      <c r="Q1408" s="109"/>
      <c r="R1408" t="str">
        <f>$Q$1302</f>
        <v>L3</v>
      </c>
      <c r="S1408">
        <f>$E$22</f>
        <v>21.375</v>
      </c>
      <c r="T1408" cm="1">
        <f t="array" ref="T1408">IFERROR(IF(S1408=0,0,(INDEX($C$33:$C$38,MATCH($W$1323,$B$33:$B$38,0),0)*(S1411+$X$1323)+$T$1323*COUNTIF(S1408:S1423,"&gt;0")*$C$32+$V$1323*$C$31)*$R$1323),0)</f>
        <v>0</v>
      </c>
      <c r="U1408">
        <f>IF(S1408=0,0,-(COUNTIF(S1408:S1423,"&gt;0")*$T$1323*$C$32+$V$1323*$C$31)*$H$27*$R$1323)</f>
        <v>0</v>
      </c>
      <c r="V1408">
        <f>IF(S1408=0,0,$V$1323*$H$26*$R$1323)</f>
        <v>0</v>
      </c>
      <c r="W1408">
        <f>(0.6*T1408+0.7*U1408)*$R$1323/2</f>
        <v>0</v>
      </c>
      <c r="X1408">
        <f>T1408*$R$1323/2</f>
        <v>0</v>
      </c>
      <c r="Z1408">
        <f>IF(S1408=0,0,$AD$1323*$AP$1302)</f>
        <v>0</v>
      </c>
      <c r="AA1408">
        <f>IFERROR(Z1408/$R$1323,0)</f>
        <v>0</v>
      </c>
      <c r="AB1408">
        <f>Z1408*($F$22+IF($F$22=0,0,($C$14+$C$15+IF($C$13="single",1.5,3)+3)/12))</f>
        <v>0</v>
      </c>
      <c r="AC1408">
        <f>AB1408-W1408</f>
        <v>0</v>
      </c>
      <c r="AD1408" cm="1">
        <f t="array" ref="AD1408">IFERROR(IF(AC1408&lt;0,0,AC1408/($R$1323-INDEX(hd_off,MATCH(AQ1408,hd_mark,0),0)/12)),0)</f>
        <v>0</v>
      </c>
      <c r="AE1408">
        <f>IF(S1408=0,0,$AD$1323*$AM$1302)</f>
        <v>0</v>
      </c>
      <c r="AF1408">
        <f>IFERROR(AE1408/$R$1323,0)</f>
        <v>0</v>
      </c>
      <c r="AG1408">
        <f>AE1408*($F$22+IF($F$22=0,0,($C$14+$C$15+IF($C$13="single",1.5,3)+3)/12))</f>
        <v>0</v>
      </c>
      <c r="AH1408">
        <f>AG1408-X1408</f>
        <v>0</v>
      </c>
      <c r="AI1408" cm="1">
        <f t="array" ref="AI1408">IFERROR(IF(AH1408&lt;0,0,AH1408/($R$1323-INDEX(hd_off,MATCH(AQ1408,hd_mark,0),0)/12)),0)</f>
        <v>0</v>
      </c>
      <c r="AJ1408">
        <f>MAX($F$22,$Z$1323)/$Q$1332</f>
        <v>0.30172413793103448</v>
      </c>
      <c r="AK1408">
        <f t="shared" ref="AK1408:AK1411" si="862">IF(AJ1408=0,0,IF(AJ1408&gt;2,1.25-0.125*AJ1408,1))</f>
        <v>1</v>
      </c>
      <c r="AL1408" cm="1">
        <f t="array" ref="AL1408">IFERROR(INDEX(sheath_ecap_asd,MATCH(AP1408,sheath_mark,0),0)*AK1408,0)</f>
        <v>0</v>
      </c>
      <c r="AM1408" cm="1">
        <f t="array" ref="AM1408">IFERROR(INDEX(sheath_wcap_asd,MATCH(AP1408,sheath_mark,0),0)*AK1408,0)</f>
        <v>0</v>
      </c>
      <c r="AN1408" cm="1">
        <f t="array" ref="AN1408">IFERROR(INDEX(hd_cap,MATCH(AQ1408,hd_mark,0),0),0)</f>
        <v>0</v>
      </c>
      <c r="AP1408" s="19"/>
      <c r="AQ1408" s="19"/>
      <c r="AR1408" s="100"/>
      <c r="AS1408" s="93"/>
      <c r="AT1408" s="109"/>
      <c r="AU1408" t="str">
        <f>$Q$1302</f>
        <v>L3</v>
      </c>
      <c r="AV1408">
        <f>$E$22</f>
        <v>21.375</v>
      </c>
      <c r="AW1408" cm="1">
        <f t="array" ref="AW1408">IFERROR(IF(AV1408=0,0,(INDEX($C$33:$C$38,MATCH($AZ$1323,$B$33:$B$38,0),0)*(AV1411+$BA$1323)+$AW$1323*COUNTIF(AV1408:AV1423,"&gt;0")*$C$32+$AY$1323*$C$31)*$AU$1323),0)</f>
        <v>0</v>
      </c>
      <c r="AX1408">
        <f>IF(AV1408=0,0,-(COUNTIF(AV1408:AV1423,"&gt;0")*$AW$1323*$C$32+$AY$1323*$C$31)*$H$27*$AU$1323)</f>
        <v>0</v>
      </c>
      <c r="AY1408">
        <f>IF(AV1408=0,0,$AY$1323*$H$26*$AU$1323)</f>
        <v>0</v>
      </c>
      <c r="AZ1408">
        <f>(0.6*AW1408+0.7*AX1408)*$AU$1323/2</f>
        <v>0</v>
      </c>
      <c r="BA1408">
        <f>AW1408*$AU$1323/2</f>
        <v>0</v>
      </c>
      <c r="BC1408">
        <f>IF(AV1408=0,0,$BG$1323*$AP$1302)</f>
        <v>0</v>
      </c>
      <c r="BD1408">
        <f>IFERROR(BC1408/$AU$1323,0)</f>
        <v>0</v>
      </c>
      <c r="BE1408">
        <f>BC1408*($F$22+IF($F$22=0,0,($C$14+$C$15+IF($C$13="single",1.5,3)+3)/12))</f>
        <v>0</v>
      </c>
      <c r="BF1408">
        <f>BE1408-AZ1408</f>
        <v>0</v>
      </c>
      <c r="BG1408" cm="1">
        <f t="array" ref="BG1408">IFERROR(IF(BF1408&lt;0,0,BF1408/($AU$1323-INDEX(hd_off,MATCH(BT1408,hd_mark,0),0)/12)),0)</f>
        <v>0</v>
      </c>
      <c r="BH1408">
        <f>IF(AV1408=0,0,$BG$1323*$AM$1302)</f>
        <v>0</v>
      </c>
      <c r="BI1408">
        <f>IFERROR(BH1408/$AU$1323,0)</f>
        <v>0</v>
      </c>
      <c r="BJ1408">
        <f>BH1408*($F$22+IF($F$22=0,0,($C$14+$C$15+IF($C$13="single",1.5,3)+3)/12))</f>
        <v>0</v>
      </c>
      <c r="BK1408">
        <f>BJ1408-BA1408</f>
        <v>0</v>
      </c>
      <c r="BL1408" cm="1">
        <f t="array" ref="BL1408">IFERROR(IF(BK1408&lt;0,0,BK1408/($AU$1323-INDEX(hd_off,MATCH(BT1408,hd_mark,0),0)/12)),0)</f>
        <v>0</v>
      </c>
      <c r="BM1408">
        <f>MAX($F$22,$BC$1323)/$Q$1332</f>
        <v>0.30172413793103448</v>
      </c>
      <c r="BN1408">
        <f t="shared" ref="BN1408:BN1409" si="863">IF(BM1408=0,0,IF(BM1408&gt;2,1.25-0.125*BM1408,1))</f>
        <v>1</v>
      </c>
      <c r="BO1408" cm="1">
        <f t="array" ref="BO1408">IFERROR(INDEX(sheath_ecap_asd,MATCH(BS1408,sheath_mark,0),0)*BN1408,0)</f>
        <v>0</v>
      </c>
      <c r="BP1408" cm="1">
        <f t="array" ref="BP1408">IFERROR(INDEX(sheath_wcap_asd,MATCH(BS1408,sheath_mark,0),0)*BN1408,0)</f>
        <v>0</v>
      </c>
      <c r="BQ1408" cm="1">
        <f t="array" ref="BQ1408">IFERROR(INDEX(hd_cap,MATCH(BT1408,hd_mark,0),0),0)</f>
        <v>0</v>
      </c>
      <c r="BS1408" s="19"/>
      <c r="BT1408" s="19"/>
      <c r="BU1408" s="100"/>
    </row>
    <row r="1409" x14ac:dyDescent="0.25">
      <c r="P1409" s="93"/>
      <c r="Q1409" s="109" t="s">
        <v>491</v>
      </c>
      <c r="R1409" t="str">
        <f>$Q$1303</f>
        <v>L4</v>
      </c>
      <c r="S1409">
        <f>$E$23</f>
        <v>0</v>
      </c>
      <c r="T1409" cm="1">
        <f t="array" ref="T1409">IFERROR(IF(S1409=0,0,(INDEX($C$33:$C$38,MATCH($W$1323,$B$33:$B$38,0),0)*(S1411+$X$1323)+$T$1323*COUNTIF(S1409:S1423,"&gt;0")*$C$32+$V$1323*$C$31)*$R$1323),0)</f>
        <v>0</v>
      </c>
      <c r="U1409">
        <f>IF(S1409=0,0,-(COUNTIF(S1409:S1423,"&gt;0")*$T$1323*$C$32+$V$1323*$C$31)*$H$27*$R$1323)</f>
        <v>0</v>
      </c>
      <c r="V1409">
        <f>IF(S1409=0,0,$V$1323*$H$26*$R$1323)</f>
        <v>0</v>
      </c>
      <c r="W1409">
        <f>(0.6*T1409+0.7*U1409)*$R$1323/2</f>
        <v>0</v>
      </c>
      <c r="X1409">
        <f>T1409*$R$1323/2</f>
        <v>0</v>
      </c>
      <c r="Z1409">
        <f>IF(S1409=0,0,$AD$1323*$AP$1303)</f>
        <v>0</v>
      </c>
      <c r="AA1409">
        <f>IFERROR(Z1409/$R$1323,0)</f>
        <v>0</v>
      </c>
      <c r="AB1409">
        <f>Z1409*($F$23+IF($F$23=0,0,($C$14+$C$15+IF($C$13="single",1.5,3)+3)/12))</f>
        <v>0</v>
      </c>
      <c r="AC1409">
        <f>AB1409-W1409</f>
        <v>0</v>
      </c>
      <c r="AD1409" cm="1">
        <f t="array" ref="AD1409">IFERROR(IF(AC1409&lt;0,0,AC1409/($R$1323-INDEX(hd_off,MATCH(AQ1409,hd_mark,0),0)/12)),0)</f>
        <v>0</v>
      </c>
      <c r="AE1409">
        <f>IF(S1409=0,0,$AD$1323*$AM$1303)</f>
        <v>0</v>
      </c>
      <c r="AF1409">
        <f>IFERROR(AE1409/$R$1323,0)</f>
        <v>0</v>
      </c>
      <c r="AG1409">
        <f>AE1409*($F$23+IF($F$23=0,0,($C$14+$C$15+IF($C$13="single",1.5,3)+3)/12))</f>
        <v>0</v>
      </c>
      <c r="AH1409">
        <f>AG1409-X1409</f>
        <v>0</v>
      </c>
      <c r="AI1409" cm="1">
        <f t="array" ref="AI1409">IFERROR(IF(AH1409&lt;0,0,AH1409/($R$1323-INDEX(hd_off,MATCH(AQ1409,hd_mark,0),0)/12)),0)</f>
        <v>0</v>
      </c>
      <c r="AJ1409">
        <f>MAX($F$23,$AA$1323)/$Q$1332</f>
        <v>0</v>
      </c>
      <c r="AK1409">
        <f t="shared" si="862"/>
        <v>0</v>
      </c>
      <c r="AL1409" cm="1">
        <f t="array" ref="AL1409">IFERROR(INDEX(sheath_ecap_asd,MATCH(AP1409,sheath_mark,0),0)*AK1409,0)</f>
        <v>0</v>
      </c>
      <c r="AM1409" cm="1">
        <f t="array" ref="AM1409">IFERROR(INDEX(sheath_wcap_asd,MATCH(AP1409,sheath_mark,0),0)*AK1409,0)</f>
        <v>0</v>
      </c>
      <c r="AN1409" cm="1">
        <f t="array" ref="AN1409">IFERROR(INDEX(hd_cap,MATCH(AQ1409,hd_mark,0),0),0)</f>
        <v>0</v>
      </c>
      <c r="AP1409" s="19"/>
      <c r="AQ1409" s="19"/>
      <c r="AR1409" s="100"/>
      <c r="AS1409" s="93"/>
      <c r="AT1409" s="109" t="s">
        <v>491</v>
      </c>
      <c r="AU1409" t="str">
        <f>$Q$1303</f>
        <v>L4</v>
      </c>
      <c r="AV1409">
        <f>$E$23</f>
        <v>0</v>
      </c>
      <c r="AW1409" cm="1">
        <f t="array" ref="AW1409">IFERROR(IF(AV1409=0,0,(INDEX($C$33:$C$38,MATCH($AZ$1323,$B$33:$B$38,0),0)*(AV1411+$BA$1323)+$AW$1323*COUNTIF(AV1409:AV1423,"&gt;0")*$C$32+$AY$1323*$C$31)*$AU$1323),0)</f>
        <v>0</v>
      </c>
      <c r="AX1409">
        <f>IF(AV1409=0,0,-(COUNTIF(AV1409:AV1423,"&gt;0")*$AW$1323*$C$32+$AY$1323*$C$31)*$H$27*$AU$1323)</f>
        <v>0</v>
      </c>
      <c r="AY1409">
        <f>IF(AV1409=0,0,$AY$1323*$H$26*$AU$1323)</f>
        <v>0</v>
      </c>
      <c r="AZ1409">
        <f>(0.6*AW1409+0.7*AX1409)*$AU$1323/2</f>
        <v>0</v>
      </c>
      <c r="BA1409">
        <f>AW1409*$AU$1323/2</f>
        <v>0</v>
      </c>
      <c r="BC1409">
        <f>IF(AV1409=0,0,$BG$1323*$AP$1303)</f>
        <v>0</v>
      </c>
      <c r="BD1409">
        <f>IFERROR(BC1409/$AU$1323,0)</f>
        <v>0</v>
      </c>
      <c r="BE1409">
        <f>BC1409*($F$23+IF($F$23=0,0,($C$14+$C$15+IF($C$13="single",1.5,3)+3)/12))</f>
        <v>0</v>
      </c>
      <c r="BF1409">
        <f>BE1409-AZ1409</f>
        <v>0</v>
      </c>
      <c r="BG1409" cm="1">
        <f t="array" ref="BG1409">IFERROR(IF(BF1409&lt;0,0,BF1409/($AU$1323-INDEX(hd_off,MATCH(BT1409,hd_mark,0),0)/12)),0)</f>
        <v>0</v>
      </c>
      <c r="BH1409">
        <f>IF(AV1409=0,0,$BG$1323*$AM$1303)</f>
        <v>0</v>
      </c>
      <c r="BI1409">
        <f>IFERROR(BH1409/$AU$1323,0)</f>
        <v>0</v>
      </c>
      <c r="BJ1409">
        <f>BH1409*($F$23+IF($F$23=0,0,($C$14+$C$15+IF($C$13="single",1.5,3)+3)/12))</f>
        <v>0</v>
      </c>
      <c r="BK1409">
        <f>BJ1409-BA1409</f>
        <v>0</v>
      </c>
      <c r="BL1409" cm="1">
        <f t="array" ref="BL1409">IFERROR(IF(BK1409&lt;0,0,BK1409/($AU$1323-INDEX(hd_off,MATCH(BT1409,hd_mark,0),0)/12)),0)</f>
        <v>0</v>
      </c>
      <c r="BM1409">
        <f>MAX($F$23,$BD$1323)/$Q$1332</f>
        <v>0</v>
      </c>
      <c r="BN1409">
        <f t="shared" si="863"/>
        <v>0</v>
      </c>
      <c r="BO1409" cm="1">
        <f t="array" ref="BO1409">IFERROR(INDEX(sheath_ecap_asd,MATCH(BS1409,sheath_mark,0),0)*BN1409,0)</f>
        <v>0</v>
      </c>
      <c r="BP1409" cm="1">
        <f t="array" ref="BP1409">IFERROR(INDEX(sheath_wcap_asd,MATCH(BS1409,sheath_mark,0),0)*BN1409,0)</f>
        <v>0</v>
      </c>
      <c r="BQ1409" cm="1">
        <f t="array" ref="BQ1409">IFERROR(INDEX(hd_cap,MATCH(BT1409,hd_mark,0),0),0)</f>
        <v>0</v>
      </c>
      <c r="BS1409" s="19"/>
      <c r="BT1409" s="19"/>
      <c r="BU1409" s="100"/>
    </row>
    <row r="1410" x14ac:dyDescent="0.25">
      <c r="P1410" s="93"/>
      <c r="Q1410" s="111">
        <f>$R$1323</f>
        <v>0</v>
      </c>
      <c r="R1410" t="str">
        <f>$Q$1304</f>
        <v>L5</v>
      </c>
      <c r="S1410">
        <f>$E$24</f>
        <v>0</v>
      </c>
      <c r="T1410" cm="1">
        <f t="array" ref="T1410">IFERROR(IF(S1423=0,0,(INDEX($C$33:$C$38,MATCH($W$1323,$B$33:$B$38,0),0)*(S1411+$X$1323)+$T$1323*COUNTIF(S1423:S1423,"&gt;0")*$C$32+$V$1323*$C$31)*$R$1323),0)</f>
        <v>0</v>
      </c>
      <c r="U1410">
        <f>IF(S1423=0,0,-(COUNTIF(S1423:S1423,"&gt;0")*$T$1323*$C$32+$V$1323*$C$31)*$H$27*$R$1323)</f>
        <v>0</v>
      </c>
      <c r="V1410">
        <f>IF(S1423=0,0,$V$1323*$H$26*$R$1323)</f>
        <v>0</v>
      </c>
      <c r="W1410">
        <f>(0.6*T1423+0.7*U1423)*$R$1323/2</f>
        <v>0</v>
      </c>
      <c r="X1410">
        <f>T1423*$R$1323/2</f>
        <v>0</v>
      </c>
      <c r="Z1410">
        <f>IF(S1423=0,0,$AD$1323*$AP$1304)</f>
        <v>0</v>
      </c>
      <c r="AA1410">
        <f>IFERROR(Z1423/$R$1323,0)</f>
        <v>0</v>
      </c>
      <c r="AB1410">
        <f>Z1423*($F$24+IF($F$24=0,0,($C$14+$C$15+IF($C$13="single",1.5,3)+3)/12))</f>
        <v>0</v>
      </c>
      <c r="AC1410">
        <f>AB1423-W1423</f>
        <v>0</v>
      </c>
      <c r="AD1410" cm="1">
        <f t="array" ref="AD1410">IFERROR(IF(AC1423&lt;0,0,AC1423/($R$1323-INDEX(hd_off,MATCH(AQ1423,hd_mark,0),0)/12)),0)</f>
        <v>0</v>
      </c>
      <c r="AE1410">
        <f>IF(S1423=0,0,$AD$1323*$AM$1304)</f>
        <v>0</v>
      </c>
      <c r="AF1410">
        <f>IFERROR(AE1423/$R$1323,0)</f>
        <v>0</v>
      </c>
      <c r="AG1410">
        <f>AE1423*($F$24+IF($F$24=0,0,($C$14+$C$15+IF($C$13="single",1.5,3)+3)/12))</f>
        <v>0</v>
      </c>
      <c r="AH1410">
        <f>AG1423-X1423</f>
        <v>0</v>
      </c>
      <c r="AI1410" cm="1">
        <f t="array" ref="AI1410">IFERROR(IF(AH1423&lt;0,0,AH1423/($R$1323-INDEX(hd_off,MATCH(AQ1423,hd_mark,0),0)/12)),0)</f>
        <v>0</v>
      </c>
      <c r="AJ1410">
        <f>MAX($F$24,$AB$1323)/$Q$1332</f>
        <v>0</v>
      </c>
      <c r="AK1410">
        <f>IF(AJ1423=0,0,IF(AJ1423&gt;2,1.25-0.125*AJ1423,1))</f>
        <v>1</v>
      </c>
      <c r="AL1410" cm="1">
        <f t="array" ref="AL1410">IFERROR(INDEX(sheath_ecap_asd,MATCH(AP1423,sheath_mark,0),0)*AK1423,0)</f>
        <v>0</v>
      </c>
      <c r="AM1410" cm="1">
        <f t="array" ref="AM1410">IFERROR(INDEX(sheath_wcap_asd,MATCH(AP1423,sheath_mark,0),0)*AK1423,0)</f>
        <v>0</v>
      </c>
      <c r="AN1410" cm="1">
        <f t="array" ref="AN1410">IFERROR(INDEX(hd_cap,MATCH(AQ1423,hd_mark,0),0),0)</f>
        <v>0</v>
      </c>
      <c r="AP1410" s="19"/>
      <c r="AQ1410" s="19"/>
      <c r="AR1410" s="100"/>
      <c r="AS1410" s="93"/>
      <c r="AT1410" s="111">
        <f>$R$1323</f>
        <v>0</v>
      </c>
      <c r="AU1410" t="str">
        <f>$Q$1304</f>
        <v>L5</v>
      </c>
      <c r="AV1410">
        <f>$E$24</f>
        <v>0</v>
      </c>
      <c r="AW1410" cm="1">
        <f t="array" ref="AW1410">IFERROR(IF(AV1423=0,0,(INDEX($C$33:$C$38,MATCH($AZ$1323,$B$33:$B$38,0),0)*(AV1411+$BA$1323)+$AW$1323*COUNTIF(AV1423:AV1423,"&gt;0")*$C$32+$AY$1323*$C$31)*$AU$1323),0)</f>
        <v>0</v>
      </c>
      <c r="AX1410">
        <f>IF(AV1423=0,0,-(COUNTIF(AV1423:AV1423,"&gt;0")*$AW$1323*$C$32+$AY$1323*$C$31)*$H$27*$AU$1323)</f>
        <v>0</v>
      </c>
      <c r="AY1410">
        <f>IF(AV1423=0,0,$AY$1323*$H$26*$AU$1323)</f>
        <v>0</v>
      </c>
      <c r="AZ1410">
        <f>(0.6*AW1423+0.7*AX1423)*$AU$1323/2</f>
        <v>0</v>
      </c>
      <c r="BA1410">
        <f>AW1423*$AU$1323/2</f>
        <v>0</v>
      </c>
      <c r="BC1410">
        <f>IF(AV1423=0,0,$BG$1323*$AP$1304)</f>
        <v>0</v>
      </c>
      <c r="BD1410">
        <f>IFERROR(BC1423/$AU$1323,0)</f>
        <v>0</v>
      </c>
      <c r="BE1410">
        <f>BC1423*($F$24+IF($F$24=0,0,($C$14+$C$15+IF($C$13="single",1.5,3)+3)/12))</f>
        <v>0</v>
      </c>
      <c r="BF1410">
        <f>BE1423-AZ1423</f>
        <v>0</v>
      </c>
      <c r="BG1410" cm="1">
        <f t="array" ref="BG1410">IFERROR(IF(BF1423&lt;0,0,BF1423/($AU$1323-INDEX(hd_off,MATCH(BT1423,hd_mark,0),0)/12)),0)</f>
        <v>0</v>
      </c>
      <c r="BH1410">
        <f>IF(AV1423=0,0,$BG$1323*$AM$1304)</f>
        <v>0</v>
      </c>
      <c r="BI1410">
        <f>IFERROR(BH1423/$AU$1323,0)</f>
        <v>0</v>
      </c>
      <c r="BJ1410">
        <f>BH1423*($F$24+IF($F$24=0,0,($C$14+$C$15+IF($C$13="single",1.5,3)+3)/12))</f>
        <v>0</v>
      </c>
      <c r="BK1410">
        <f>BJ1423-BA1423</f>
        <v>0</v>
      </c>
      <c r="BL1410" cm="1">
        <f t="array" ref="BL1410">IFERROR(IF(BK1423&lt;0,0,BK1423/($AU$1323-INDEX(hd_off,MATCH(BT1423,hd_mark,0),0)/12)),0)</f>
        <v>0</v>
      </c>
      <c r="BM1410">
        <f>MAX($F$24,$BE$1323)/$Q$1332</f>
        <v>0</v>
      </c>
      <c r="BN1410">
        <f>IF(BM1423=0,0,IF(BM1423&gt;2,1.25-0.125*BM1423,1))</f>
        <v>0</v>
      </c>
      <c r="BO1410" cm="1">
        <f t="array" ref="BO1410">IFERROR(INDEX(sheath_ecap_asd,MATCH(BS1423,sheath_mark,0),0)*BN1423,0)</f>
        <v>0</v>
      </c>
      <c r="BP1410" cm="1">
        <f t="array" ref="BP1410">IFERROR(INDEX(sheath_wcap_asd,MATCH(BS1423,sheath_mark,0),0)*BN1423,0)</f>
        <v>0</v>
      </c>
      <c r="BQ1410" cm="1">
        <f t="array" ref="BQ1410">IFERROR(INDEX(hd_cap,MATCH(BT1423,hd_mark,0),0),0)</f>
        <v>0</v>
      </c>
      <c r="BS1410" s="19"/>
      <c r="BT1410" s="19"/>
      <c r="BU1410" s="100"/>
    </row>
    <row r="1411" x14ac:dyDescent="0.25">
      <c r="P1411" s="93"/>
      <c r="Q1411" s="109"/>
      <c r="R1411" t="str">
        <f>$Q$1305</f>
        <v>Roof</v>
      </c>
      <c r="S1411">
        <f>$E$25</f>
        <v>33.171875</v>
      </c>
      <c r="T1411" cm="1">
        <f t="array" ref="T1411">IFERROR(IF(S1411=0,0,(INDEX($C$33:$C$38,MATCH($W$1323,$B$33:$B$38,0),0)*(S1411+$X$1323)+$V$1323*$C$31)*$R$1323),0)</f>
        <v>0</v>
      </c>
      <c r="U1411">
        <f>IF(S1411=0,0,-$V$1323*$C$31*$H$27*$R$1323)</f>
        <v>0</v>
      </c>
      <c r="V1411">
        <f>IF(S1411=0,0,$V$1323*$H$26*$R$1323)</f>
        <v>0</v>
      </c>
      <c r="W1411">
        <f>(0.6*T1411+0.7*U1411)*$R$1323/2</f>
        <v>0</v>
      </c>
      <c r="X1411">
        <f>T1411*$R$1323/2</f>
        <v>0</v>
      </c>
      <c r="Z1411">
        <f>IF(S1411=0,0,$AD$1323*$AP$1305)</f>
        <v>0</v>
      </c>
      <c r="AA1411">
        <f>IFERROR(Z1411/$R$1323,0)</f>
        <v>0</v>
      </c>
      <c r="AB1411">
        <f>Z1411*($F$25+($C$16+$C$17+IF($C$13="single",1.5,3)+3)/12)</f>
        <v>0</v>
      </c>
      <c r="AC1411">
        <f>AB1411-W1411</f>
        <v>0</v>
      </c>
      <c r="AD1411" cm="1">
        <f t="array" ref="AD1411">IFERROR(IF(AC1411&lt;0,0,AC1411/($R$1323-INDEX(hd_off,MATCH(AQ1411,hd_mark,0),0)/12)),0)</f>
        <v>0</v>
      </c>
      <c r="AE1411">
        <f>IF(S1411=0,0,$AD$1323*$AM$1305)</f>
        <v>0</v>
      </c>
      <c r="AF1411">
        <f>IFERROR(AE1411/$R$1323,0)</f>
        <v>0</v>
      </c>
      <c r="AG1411">
        <f>AE1411*($F$25+($C$16+$C$17+IF($C$13="single",1.5,3)+3)/12)</f>
        <v>0</v>
      </c>
      <c r="AH1411">
        <f>AG1411-X1411</f>
        <v>0</v>
      </c>
      <c r="AI1411" cm="1">
        <f t="array" ref="AI1411">IFERROR(IF(AH1411&lt;0,0,AH1411/($R$1323-INDEX(hd_off,MATCH(AQ1411,hd_mark,0),0)/12)),0)</f>
        <v>0</v>
      </c>
      <c r="AJ1411">
        <f>MAX($F$25,$AC$1323)/$Q$1332</f>
        <v>0.29920977011494249</v>
      </c>
      <c r="AK1411">
        <f t="shared" si="862"/>
        <v>1</v>
      </c>
      <c r="AL1411" cm="1">
        <f t="array" ref="AL1411">IFERROR(INDEX(sheath_ecap_asd,MATCH(AP1411,sheath_mark,0),0)*AK1411,0)</f>
        <v>0</v>
      </c>
      <c r="AM1411" cm="1">
        <f t="array" ref="AM1411">IFERROR(INDEX(sheath_wcap_asd,MATCH(AP1411,sheath_mark,0),0)*AK1411,0)</f>
        <v>0</v>
      </c>
      <c r="AN1411" cm="1">
        <f t="array" ref="AN1411">IFERROR(INDEX(hd_cap,MATCH(AQ1411,hd_mark,0),0),0)</f>
        <v>0</v>
      </c>
      <c r="AP1411" s="19"/>
      <c r="AQ1411" s="19"/>
      <c r="AR1411" s="100"/>
      <c r="AS1411" s="93"/>
      <c r="AT1411" s="109"/>
      <c r="AU1411" t="str">
        <f>$Q$1305</f>
        <v>Roof</v>
      </c>
      <c r="AV1411">
        <f>$E$25</f>
        <v>33.171875</v>
      </c>
      <c r="AW1411" cm="1">
        <f t="array" ref="AW1411">IFERROR(IF(AV1411=0,0,(INDEX($C$33:$C$38,MATCH($AZ$1323,$B$33:$B$38,0),0)*(AV1411+$BA$1323)+$AY$1323*$C$31)*$AU$1323),0)</f>
        <v>0</v>
      </c>
      <c r="AX1411">
        <f>IF(AV1411=0,0,-$AY$1323*$C$31*$H$27*$AU$1323)</f>
        <v>0</v>
      </c>
      <c r="AY1411">
        <f>IF(AV1411=0,0,$AY$1323*$H$26*$AU$1323)</f>
        <v>0</v>
      </c>
      <c r="AZ1411">
        <f>(0.6*AW1411+0.7*AX1411)*$AU$1323/2</f>
        <v>0</v>
      </c>
      <c r="BA1411">
        <f>AW1411*$AU$1323/2</f>
        <v>0</v>
      </c>
      <c r="BC1411">
        <f>IF(AV1411=0,0,$BG$1323*$AP$1305)</f>
        <v>0</v>
      </c>
      <c r="BD1411">
        <f>IFERROR(BC1411/$AU$1323,0)</f>
        <v>0</v>
      </c>
      <c r="BE1411">
        <f>BC1411*($F$25+($C$16+$C$17+IF($C$13="single",1.5,3)+3)/12)</f>
        <v>0</v>
      </c>
      <c r="BF1411">
        <f>BE1411-AZ1411</f>
        <v>0</v>
      </c>
      <c r="BG1411" cm="1">
        <f t="array" ref="BG1411">IFERROR(IF(BF1411&lt;0,0,BF1411/($AU$1323-INDEX(hd_off,MATCH(BT1411,hd_mark,0),0)/12)),0)</f>
        <v>0</v>
      </c>
      <c r="BH1411">
        <f>IF(AV1411=0,0,$BG$1323*$AM$1305)</f>
        <v>0</v>
      </c>
      <c r="BI1411">
        <f>IFERROR(BH1411/$AU$1323,0)</f>
        <v>0</v>
      </c>
      <c r="BJ1411">
        <f>BH1411*($F$25+($C$16+$C$17+IF($C$13="single",1.5,3)+3)/12)</f>
        <v>0</v>
      </c>
      <c r="BK1411">
        <f>BJ1411-BA1411</f>
        <v>0</v>
      </c>
      <c r="BL1411" cm="1">
        <f t="array" ref="BL1411">IFERROR(IF(BK1411&lt;0,0,BK1411/($AU$1323-INDEX(hd_off,MATCH(BT1411,hd_mark,0),0)/12)),0)</f>
        <v>0</v>
      </c>
      <c r="BM1411">
        <f>MAX($F$25,$BF$1323)/$Q$1332</f>
        <v>0.29920977011494249</v>
      </c>
      <c r="BN1411">
        <f t="shared" ref="BN1411" si="864">IF(BM1411=0,0,IF(BM1411&gt;2,1.25-0.125*BM1411,1))</f>
        <v>1</v>
      </c>
      <c r="BO1411" cm="1">
        <f t="array" ref="BO1411">IFERROR(INDEX(sheath_ecap_asd,MATCH(BS1411,sheath_mark,0),0)*BN1411,0)</f>
        <v>0</v>
      </c>
      <c r="BP1411" cm="1">
        <f t="array" ref="BP1411">IFERROR(INDEX(sheath_wcap_asd,MATCH(BS1411,sheath_mark,0),0)*BN1411,0)</f>
        <v>0</v>
      </c>
      <c r="BQ1411" cm="1">
        <f t="array" ref="BQ1411">IFERROR(INDEX(hd_cap,MATCH(BT1411,hd_mark,0),0),0)</f>
        <v>0</v>
      </c>
      <c r="BS1411" s="19"/>
      <c r="BT1411" s="19"/>
      <c r="BU1411" s="100"/>
    </row>
    <row r="1412" x14ac:dyDescent="0.25">
      <c r="P1412" s="93"/>
      <c r="AR1412" s="100"/>
      <c r="AS1412" s="93"/>
      <c r="BU1412" s="100"/>
    </row>
    <row r="1413" x14ac:dyDescent="0.25">
      <c r="P1413" s="93"/>
      <c r="Q1413" s="110" t="str">
        <f>$Q$1324</f>
        <v>A.15</v>
      </c>
      <c r="R1413" t="str">
        <f>$Q$1301</f>
        <v>L2</v>
      </c>
      <c r="S1413">
        <f>$E$21</f>
        <v>10.6875</v>
      </c>
      <c r="T1413" cm="1">
        <f t="array" ref="T1413">IFERROR(IF(S1413=0,0,(INDEX($C$33:$C$38,MATCH($W$1324,$B$33:$B$38,0),0)*(S1417+$X$1324)+$T$1324*COUNTIF(S1413:S1416,"&gt;0")*$C$32+$V$1324*$C$31)*$R$1324),0)</f>
        <v>0</v>
      </c>
      <c r="U1413">
        <f>IF(S1413=0,0,-(COUNTIF(S1413:S1416,"&gt;0")*$T$1324*$C$32+$V$1324*$C$31)*$H$27*$R$1324)</f>
        <v>0</v>
      </c>
      <c r="V1413">
        <f>IF(S1413=0,0,$V$1324*$H$26*$R$1324)</f>
        <v>0</v>
      </c>
      <c r="W1413">
        <f>(0.6*T1413+0.7*U1413)*$R$1324/2</f>
        <v>0</v>
      </c>
      <c r="X1413">
        <f>(0.6*T1413+0.6*V1413)*$R$1324/2</f>
        <v>0</v>
      </c>
      <c r="Z1413">
        <f>IF(S1413=0,0,$AD$1324*$AP$1301)</f>
        <v>0</v>
      </c>
      <c r="AA1413">
        <f>IFERROR(Z1413/$R$1324,0)</f>
        <v>0</v>
      </c>
      <c r="AB1413">
        <f>Z1413*($F$21+IF($F$21=0,0,($C$14+$C$15+IF($C$13="single",1.5,3)+3)/12))</f>
        <v>0</v>
      </c>
      <c r="AC1413">
        <f>AB1413-W1413</f>
        <v>0</v>
      </c>
      <c r="AD1413" cm="1">
        <f t="array" ref="AD1413">IFERROR(IF(AC1413&lt;0,0,AC1413/($R$1324-INDEX(hd_off,MATCH(AQ1413,hd_mark,0),0)/12)),0)</f>
        <v>0</v>
      </c>
      <c r="AE1413">
        <f>IF(S1413=0,0,$AD$1324*$AM$1301)</f>
        <v>0</v>
      </c>
      <c r="AF1413">
        <f>IFERROR(AE1413/$R$1324,0)</f>
        <v>0</v>
      </c>
      <c r="AG1413">
        <f>AE1413*($F$21+IF($F$21=0,0,($C$14+$C$15+IF($C$13="single",1.5,3)+3)/12))</f>
        <v>0</v>
      </c>
      <c r="AH1413">
        <f>AG1413-X1413</f>
        <v>0</v>
      </c>
      <c r="AI1413" cm="1">
        <f t="array" ref="AI1413">IFERROR(IF(AH1413&lt;0,0,AH1413/($R$1324-INDEX(hd_off,MATCH(AQ1413,hd_mark,0),0)/12)),0)</f>
        <v>0</v>
      </c>
      <c r="AJ1413">
        <f>MAX($F$21,$Y$1324)/$Q$1332</f>
        <v>0.30172413793103448</v>
      </c>
      <c r="AK1413">
        <f>IF(AJ1413=0,0,IF(AJ1413&gt;2,1.25-0.125*AJ1413,1))</f>
        <v>1</v>
      </c>
      <c r="AL1413" cm="1">
        <f t="array" ref="AL1413">IFERROR(INDEX(sheath_ecap_asd,MATCH(AP1413,sheath_mark,0),0)*AK1413,0)</f>
        <v>0</v>
      </c>
      <c r="AM1413" cm="1">
        <f t="array" ref="AM1413">IFERROR(INDEX(sheath_wcap_asd,MATCH(AP1413,sheath_mark,0),0)*AK1413,0)</f>
        <v>0</v>
      </c>
      <c r="AN1413" cm="1">
        <f t="array" ref="AN1413">IFERROR(INDEX(hd_cap,MATCH(AQ1413,hd_mark,0),0),0)</f>
        <v>0</v>
      </c>
      <c r="AP1413" s="19"/>
      <c r="AQ1413" s="19"/>
      <c r="AR1413" s="100"/>
      <c r="AS1413" s="93"/>
      <c r="AT1413" s="110" t="str">
        <f>$AT$1324</f>
        <v>1.15</v>
      </c>
      <c r="AU1413" t="str">
        <f>$Q$1301</f>
        <v>L2</v>
      </c>
      <c r="AV1413">
        <f>$E$21</f>
        <v>10.6875</v>
      </c>
      <c r="AW1413" cm="1">
        <f t="array" ref="AW1413">IFERROR(IF(AV1413=0,0,(INDEX($C$33:$C$38,MATCH($AZ$1324,$B$33:$B$38,0),0)*(AV1417+$BA$1324)+$AW$1324*COUNTIF(AV1413:AV1416,"&gt;0")*$C$32+$AY$1324*$C$31)*$AU$1324),0)</f>
        <v>0</v>
      </c>
      <c r="AX1413">
        <f>IF(AV1413=0,0,-(COUNTIF(AV1413:AV1416,"&gt;0")*$AW$1324*$C$32+$AY$1324*$C$31)*$H$27*$AU$1324)</f>
        <v>0</v>
      </c>
      <c r="AY1413">
        <f>IF(AV1413=0,0,$AY$1324*$H$26*$AU$1324)</f>
        <v>0</v>
      </c>
      <c r="AZ1413">
        <f>(0.6*AW1413+0.7*AX1413)*$AU$1324/2</f>
        <v>0</v>
      </c>
      <c r="BA1413">
        <f>(0.6*AW1413+0.6*AY1413)*$AU$1324/2</f>
        <v>0</v>
      </c>
      <c r="BC1413">
        <f>IF(AV1413=0,0,$BG$1324*$AP$1301)</f>
        <v>0</v>
      </c>
      <c r="BD1413">
        <f>IFERROR(BC1413/$AU$1324,0)</f>
        <v>0</v>
      </c>
      <c r="BE1413">
        <f>BC1413*($F$21+IF($F$21=0,0,($C$14+$C$15+IF($C$13="single",1.5,3)+3)/12))</f>
        <v>0</v>
      </c>
      <c r="BF1413">
        <f>BE1413-AZ1413</f>
        <v>0</v>
      </c>
      <c r="BG1413" cm="1">
        <f t="array" ref="BG1413">IFERROR(IF(BF1413&lt;0,0,BF1413/($AU$1324-INDEX(hd_off,MATCH(BT1413,hd_mark,0),0)/12)),0)</f>
        <v>0</v>
      </c>
      <c r="BH1413">
        <f>IF(AV1413=0,0,$BG$1324*$AM$1301)</f>
        <v>0</v>
      </c>
      <c r="BI1413">
        <f>IFERROR(BH1413/$AU$1324,0)</f>
        <v>0</v>
      </c>
      <c r="BJ1413">
        <f>BH1413*($F$21+IF($F$21=0,0,($C$14+$C$15+IF($C$13="single",1.5,3)+3)/12))</f>
        <v>0</v>
      </c>
      <c r="BK1413">
        <f>BJ1413-BA1413</f>
        <v>0</v>
      </c>
      <c r="BL1413" cm="1">
        <f t="array" ref="BL1413">IFERROR(IF(BK1413&lt;0,0,BK1413/($AU$1324-INDEX(hd_off,MATCH(BT1413,hd_mark,0),0)/12)),0)</f>
        <v>0</v>
      </c>
      <c r="BM1413">
        <f>MAX($F$21,$BB$1324)/$Q$1332</f>
        <v>0.30172413793103448</v>
      </c>
      <c r="BN1413">
        <f>IF(BM1413=0,0,IF(BM1413&gt;2,1.25-0.125*BM1413,1))</f>
        <v>1</v>
      </c>
      <c r="BO1413" cm="1">
        <f t="array" ref="BO1413">IFERROR(INDEX(sheath_ecap_asd,MATCH(BS1413,sheath_mark,0),0)*BN1413,0)</f>
        <v>0</v>
      </c>
      <c r="BP1413" cm="1">
        <f t="array" ref="BP1413">IFERROR(INDEX(sheath_wcap_asd,MATCH(BS1413,sheath_mark,0),0)*BN1413,0)</f>
        <v>0</v>
      </c>
      <c r="BQ1413" cm="1">
        <f t="array" ref="BQ1413">IFERROR(INDEX(hd_cap,MATCH(BT1413,hd_mark,0),0),0)</f>
        <v>0</v>
      </c>
      <c r="BS1413" s="19"/>
      <c r="BT1413" s="19"/>
      <c r="BU1413" s="100"/>
    </row>
    <row r="1414" x14ac:dyDescent="0.25">
      <c r="P1414" s="93"/>
      <c r="Q1414" s="109"/>
      <c r="R1414" t="str">
        <f>$Q$1302</f>
        <v>L3</v>
      </c>
      <c r="S1414">
        <f>$E$22</f>
        <v>21.375</v>
      </c>
      <c r="T1414" cm="1">
        <f t="array" ref="T1414">IFERROR(IF(S1414=0,0,(INDEX($C$33:$C$38,MATCH($W$1324,$B$33:$B$38,0),0)*(S1417+$X$1324)+$T$1324*COUNTIF(S1414:S1416,"&gt;0")*$C$32+$V$1324*$C$31)*$R$1324),0)</f>
        <v>0</v>
      </c>
      <c r="U1414">
        <f>IF(S1414=0,0,-(COUNTIF(S1414:S1416,"&gt;0")*$T$1324*$C$32+$V$1324*$C$31)*$H$27*$R$1324)</f>
        <v>0</v>
      </c>
      <c r="V1414">
        <f>IF(S1414=0,0,$V$1324*$H$26*$R$1324)</f>
        <v>0</v>
      </c>
      <c r="W1414">
        <f>(0.6*T1414+0.7*U1414)*$R$1324/2</f>
        <v>0</v>
      </c>
      <c r="X1414">
        <f>T1414*$R$1324/2</f>
        <v>0</v>
      </c>
      <c r="Z1414">
        <f>IF(S1414=0,0,$AD$1324*$AP$1302)</f>
        <v>0</v>
      </c>
      <c r="AA1414">
        <f>IFERROR(Z1414/$R$1324,0)</f>
        <v>0</v>
      </c>
      <c r="AB1414">
        <f>Z1414*($F$22+IF($F$22=0,0,($C$14+$C$15+IF($C$13="single",1.5,3)+3)/12))</f>
        <v>0</v>
      </c>
      <c r="AC1414">
        <f>AB1414-W1414</f>
        <v>0</v>
      </c>
      <c r="AD1414" cm="1">
        <f t="array" ref="AD1414">IFERROR(IF(AC1414&lt;0,0,AC1414/($R$1324-INDEX(hd_off,MATCH(AQ1414,hd_mark,0),0)/12)),0)</f>
        <v>0</v>
      </c>
      <c r="AE1414">
        <f>IF(S1414=0,0,$AD$1324*$AM$1302)</f>
        <v>0</v>
      </c>
      <c r="AF1414">
        <f>IFERROR(AE1414/$R$1324,0)</f>
        <v>0</v>
      </c>
      <c r="AG1414">
        <f>AE1414*($F$22+IF($F$22=0,0,($C$14+$C$15+IF($C$13="single",1.5,3)+3)/12))</f>
        <v>0</v>
      </c>
      <c r="AH1414">
        <f>AG1414-X1414</f>
        <v>0</v>
      </c>
      <c r="AI1414" cm="1">
        <f t="array" ref="AI1414">IFERROR(IF(AH1414&lt;0,0,AH1414/($R$1324-INDEX(hd_off,MATCH(AQ1414,hd_mark,0),0)/12)),0)</f>
        <v>0</v>
      </c>
      <c r="AJ1414">
        <f>MAX($F$22,$Z$1324)/$Q$1332</f>
        <v>0.30172413793103448</v>
      </c>
      <c r="AK1414">
        <f t="shared" ref="AK1414:AK1417" si="865">IF(AJ1414=0,0,IF(AJ1414&gt;2,1.25-0.125*AJ1414,1))</f>
        <v>1</v>
      </c>
      <c r="AL1414" cm="1">
        <f t="array" ref="AL1414">IFERROR(INDEX(sheath_ecap_asd,MATCH(AP1414,sheath_mark,0),0)*AK1414,0)</f>
        <v>0</v>
      </c>
      <c r="AM1414" cm="1">
        <f t="array" ref="AM1414">IFERROR(INDEX(sheath_wcap_asd,MATCH(AP1414,sheath_mark,0),0)*AK1414,0)</f>
        <v>0</v>
      </c>
      <c r="AN1414" cm="1">
        <f t="array" ref="AN1414">IFERROR(INDEX(hd_cap,MATCH(AQ1414,hd_mark,0),0),0)</f>
        <v>0</v>
      </c>
      <c r="AP1414" s="19"/>
      <c r="AQ1414" s="19"/>
      <c r="AR1414" s="100"/>
      <c r="AS1414" s="93"/>
      <c r="AT1414" s="109"/>
      <c r="AU1414" t="str">
        <f>$Q$1302</f>
        <v>L3</v>
      </c>
      <c r="AV1414">
        <f>$E$22</f>
        <v>21.375</v>
      </c>
      <c r="AW1414" cm="1">
        <f t="array" ref="AW1414">IFERROR(IF(AV1414=0,0,(INDEX($C$33:$C$38,MATCH($AZ$1324,$B$33:$B$38,0),0)*(AV1417+$BA$1324)+$AW$1324*COUNTIF(AV1414:AV1416,"&gt;0")*$C$32+$AY$1324*$C$31)*$AU$1324),0)</f>
        <v>0</v>
      </c>
      <c r="AX1414">
        <f>IF(AV1414=0,0,-(COUNTIF(AV1414:AV1416,"&gt;0")*$AW$1324*$C$32+$AY$1324*$C$31)*$H$27*$AU$1324)</f>
        <v>0</v>
      </c>
      <c r="AY1414">
        <f>IF(AV1414=0,0,$AY$1324*$H$26*$AU$1324)</f>
        <v>0</v>
      </c>
      <c r="AZ1414">
        <f>(0.6*AW1414+0.7*AX1414)*$AU$1324/2</f>
        <v>0</v>
      </c>
      <c r="BA1414">
        <f>AW1414*$AU$1324/2</f>
        <v>0</v>
      </c>
      <c r="BC1414">
        <f>IF(AV1414=0,0,$BG$1324*$AP$1302)</f>
        <v>0</v>
      </c>
      <c r="BD1414">
        <f>IFERROR(BC1414/$AU$1324,0)</f>
        <v>0</v>
      </c>
      <c r="BE1414">
        <f>BC1414*($F$22+IF($F$22=0,0,($C$14+$C$15+IF($C$13="single",1.5,3)+3)/12))</f>
        <v>0</v>
      </c>
      <c r="BF1414">
        <f>BE1414-AZ1414</f>
        <v>0</v>
      </c>
      <c r="BG1414" cm="1">
        <f t="array" ref="BG1414">IFERROR(IF(BF1414&lt;0,0,BF1414/($AU$1324-INDEX(hd_off,MATCH(BT1414,hd_mark,0),0)/12)),0)</f>
        <v>0</v>
      </c>
      <c r="BH1414">
        <f>IF(AV1414=0,0,$BG$1324*$AM$1302)</f>
        <v>0</v>
      </c>
      <c r="BI1414">
        <f>IFERROR(BH1414/$AU$1324,0)</f>
        <v>0</v>
      </c>
      <c r="BJ1414">
        <f>BH1414*($F$22+IF($F$22=0,0,($C$14+$C$15+IF($C$13="single",1.5,3)+3)/12))</f>
        <v>0</v>
      </c>
      <c r="BK1414">
        <f>BJ1414-BA1414</f>
        <v>0</v>
      </c>
      <c r="BL1414" cm="1">
        <f t="array" ref="BL1414">IFERROR(IF(BK1414&lt;0,0,BK1414/($AU$1324-INDEX(hd_off,MATCH(BT1414,hd_mark,0),0)/12)),0)</f>
        <v>0</v>
      </c>
      <c r="BM1414">
        <f>MAX($F$22,$BC$1324)/$Q$1332</f>
        <v>0.30172413793103448</v>
      </c>
      <c r="BN1414">
        <f t="shared" ref="BN1414:BN1417" si="866">IF(BM1414=0,0,IF(BM1414&gt;2,1.25-0.125*BM1414,1))</f>
        <v>1</v>
      </c>
      <c r="BO1414" cm="1">
        <f t="array" ref="BO1414">IFERROR(INDEX(sheath_ecap_asd,MATCH(BS1414,sheath_mark,0),0)*BN1414,0)</f>
        <v>0</v>
      </c>
      <c r="BP1414" cm="1">
        <f t="array" ref="BP1414">IFERROR(INDEX(sheath_wcap_asd,MATCH(BS1414,sheath_mark,0),0)*BN1414,0)</f>
        <v>0</v>
      </c>
      <c r="BQ1414" cm="1">
        <f t="array" ref="BQ1414">IFERROR(INDEX(hd_cap,MATCH(BT1414,hd_mark,0),0),0)</f>
        <v>0</v>
      </c>
      <c r="BS1414" s="19"/>
      <c r="BT1414" s="19"/>
      <c r="BU1414" s="100"/>
    </row>
    <row r="1415" x14ac:dyDescent="0.25">
      <c r="P1415" s="93"/>
      <c r="Q1415" s="109" t="s">
        <v>491</v>
      </c>
      <c r="R1415" t="str">
        <f>$Q$1303</f>
        <v>L4</v>
      </c>
      <c r="S1415">
        <f>$E$23</f>
        <v>0</v>
      </c>
      <c r="T1415" cm="1">
        <f t="array" ref="T1415">IFERROR(IF(S1415=0,0,(INDEX($C$33:$C$38,MATCH($W$1324,$B$33:$B$38,0),0)*(S1417+$X$1324)+$T$1324*COUNTIF(S1415:S1416,"&gt;0")*$C$32+$V$1324*$C$31)*$R$1324),0)</f>
        <v>0</v>
      </c>
      <c r="U1415">
        <f>IF(S1415=0,0,-(COUNTIF(S1415:S1416,"&gt;0")*$T$1324*$C$32+$V$1324*$C$31)*$H$27*$R$1324)</f>
        <v>0</v>
      </c>
      <c r="V1415">
        <f>IF(S1415=0,0,$V$1324*$H$26*$R$1324)</f>
        <v>0</v>
      </c>
      <c r="W1415">
        <f>(0.6*T1415+0.7*U1415)*$R$1324/2</f>
        <v>0</v>
      </c>
      <c r="X1415">
        <f>T1415*$R$1324/2</f>
        <v>0</v>
      </c>
      <c r="Z1415">
        <f>IF(S1415=0,0,$AD$1324*$AP$1303)</f>
        <v>0</v>
      </c>
      <c r="AA1415">
        <f>IFERROR(Z1415/$R$1324,0)</f>
        <v>0</v>
      </c>
      <c r="AB1415">
        <f>Z1415*($F$23+IF($F$23=0,0,($C$14+$C$15+IF($C$13="single",1.5,3)+3)/12))</f>
        <v>0</v>
      </c>
      <c r="AC1415">
        <f>AB1415-W1415</f>
        <v>0</v>
      </c>
      <c r="AD1415" cm="1">
        <f t="array" ref="AD1415">IFERROR(IF(AC1415&lt;0,0,AC1415/($R$1324-INDEX(hd_off,MATCH(AQ1415,hd_mark,0),0)/12)),0)</f>
        <v>0</v>
      </c>
      <c r="AE1415">
        <f>IF(S1415=0,0,$AD$1324*$AM$1303)</f>
        <v>0</v>
      </c>
      <c r="AF1415">
        <f>IFERROR(AE1415/$R$1324,0)</f>
        <v>0</v>
      </c>
      <c r="AG1415">
        <f>AE1415*($F$23+IF($F$23=0,0,($C$14+$C$15+IF($C$13="single",1.5,3)+3)/12))</f>
        <v>0</v>
      </c>
      <c r="AH1415">
        <f>AG1415-X1415</f>
        <v>0</v>
      </c>
      <c r="AI1415" cm="1">
        <f t="array" ref="AI1415">IFERROR(IF(AH1415&lt;0,0,AH1415/($R$1324-INDEX(hd_off,MATCH(AQ1415,hd_mark,0),0)/12)),0)</f>
        <v>0</v>
      </c>
      <c r="AJ1415">
        <f>MAX($F$23,$AA$1324)/$Q$1332</f>
        <v>0</v>
      </c>
      <c r="AK1415">
        <f t="shared" si="865"/>
        <v>0</v>
      </c>
      <c r="AL1415" cm="1">
        <f t="array" ref="AL1415">IFERROR(INDEX(sheath_ecap_asd,MATCH(AP1415,sheath_mark,0),0)*AK1415,0)</f>
        <v>0</v>
      </c>
      <c r="AM1415" cm="1">
        <f t="array" ref="AM1415">IFERROR(INDEX(sheath_wcap_asd,MATCH(AP1415,sheath_mark,0),0)*AK1415,0)</f>
        <v>0</v>
      </c>
      <c r="AN1415" cm="1">
        <f t="array" ref="AN1415">IFERROR(INDEX(hd_cap,MATCH(AQ1415,hd_mark,0),0),0)</f>
        <v>0</v>
      </c>
      <c r="AP1415" s="19"/>
      <c r="AQ1415" s="19"/>
      <c r="AR1415" s="100"/>
      <c r="AS1415" s="93"/>
      <c r="AT1415" s="109" t="s">
        <v>491</v>
      </c>
      <c r="AU1415" t="str">
        <f>$Q$1303</f>
        <v>L4</v>
      </c>
      <c r="AV1415">
        <f>$E$23</f>
        <v>0</v>
      </c>
      <c r="AW1415" cm="1">
        <f t="array" ref="AW1415">IFERROR(IF(AV1415=0,0,(INDEX($C$33:$C$38,MATCH($AZ$1324,$B$33:$B$38,0),0)*(AV1417+$BA$1324)+$AW$1324*COUNTIF(AV1415:AV1416,"&gt;0")*$C$32+$AY$1324*$C$31)*$AU$1324),0)</f>
        <v>0</v>
      </c>
      <c r="AX1415">
        <f>IF(AV1415=0,0,-(COUNTIF(AV1415:AV1416,"&gt;0")*$AW$1324*$C$32+$AY$1324*$C$31)*$H$27*$AU$1324)</f>
        <v>0</v>
      </c>
      <c r="AY1415">
        <f>IF(AV1415=0,0,$AY$1324*$H$26*$AU$1324)</f>
        <v>0</v>
      </c>
      <c r="AZ1415">
        <f>(0.6*AW1415+0.7*AX1415)*$AU$1324/2</f>
        <v>0</v>
      </c>
      <c r="BA1415">
        <f>AW1415*$AU$1324/2</f>
        <v>0</v>
      </c>
      <c r="BC1415">
        <f>IF(AV1415=0,0,$BG$1324*$AP$1303)</f>
        <v>0</v>
      </c>
      <c r="BD1415">
        <f>IFERROR(BC1415/$AU$1324,0)</f>
        <v>0</v>
      </c>
      <c r="BE1415">
        <f>BC1415*($F$23+IF($F$23=0,0,($C$14+$C$15+IF($C$13="single",1.5,3)+3)/12))</f>
        <v>0</v>
      </c>
      <c r="BF1415">
        <f>BE1415-AZ1415</f>
        <v>0</v>
      </c>
      <c r="BG1415" cm="1">
        <f t="array" ref="BG1415">IFERROR(IF(BF1415&lt;0,0,BF1415/($AU$1324-INDEX(hd_off,MATCH(BT1415,hd_mark,0),0)/12)),0)</f>
        <v>0</v>
      </c>
      <c r="BH1415">
        <f>IF(AV1415=0,0,$BG$1324*$AM$1303)</f>
        <v>0</v>
      </c>
      <c r="BI1415">
        <f>IFERROR(BH1415/$AU$1324,0)</f>
        <v>0</v>
      </c>
      <c r="BJ1415">
        <f>BH1415*($F$23+IF($F$23=0,0,($C$14+$C$15+IF($C$13="single",1.5,3)+3)/12))</f>
        <v>0</v>
      </c>
      <c r="BK1415">
        <f>BJ1415-BA1415</f>
        <v>0</v>
      </c>
      <c r="BL1415" cm="1">
        <f t="array" ref="BL1415">IFERROR(IF(BK1415&lt;0,0,BK1415/($AU$1324-INDEX(hd_off,MATCH(BT1415,hd_mark,0),0)/12)),0)</f>
        <v>0</v>
      </c>
      <c r="BM1415">
        <f>MAX($F$23,$BD$1324)/$Q$1332</f>
        <v>0</v>
      </c>
      <c r="BN1415">
        <f t="shared" si="866"/>
        <v>0</v>
      </c>
      <c r="BO1415" cm="1">
        <f t="array" ref="BO1415">IFERROR(INDEX(sheath_ecap_asd,MATCH(BS1415,sheath_mark,0),0)*BN1415,0)</f>
        <v>0</v>
      </c>
      <c r="BP1415" cm="1">
        <f t="array" ref="BP1415">IFERROR(INDEX(sheath_wcap_asd,MATCH(BS1415,sheath_mark,0),0)*BN1415,0)</f>
        <v>0</v>
      </c>
      <c r="BQ1415" cm="1">
        <f t="array" ref="BQ1415">IFERROR(INDEX(hd_cap,MATCH(BT1415,hd_mark,0),0),0)</f>
        <v>0</v>
      </c>
      <c r="BS1415" s="19"/>
      <c r="BT1415" s="19"/>
      <c r="BU1415" s="100"/>
    </row>
    <row r="1416" x14ac:dyDescent="0.25">
      <c r="P1416" s="93"/>
      <c r="Q1416" s="111">
        <f>$R$1324</f>
        <v>0</v>
      </c>
      <c r="R1416" t="str">
        <f>$Q$1304</f>
        <v>L5</v>
      </c>
      <c r="S1416">
        <f>$E$24</f>
        <v>0</v>
      </c>
      <c r="T1416" cm="1">
        <f t="array" ref="T1416">IFERROR(IF(S1416=0,0,(INDEX($C$33:$C$38,MATCH($W$1324,$B$33:$B$38,0),0)*(S1417+$X$1324)+$T$1324*COUNTIF(S1416:S1416,"&gt;0")*$C$32+$V$1324*$C$31)*$R$1324),0)</f>
        <v>0</v>
      </c>
      <c r="U1416">
        <f>IF(S1416=0,0,-(COUNTIF(S1416:S1416,"&gt;0")*$T$1324*$C$32+$V$1324*$C$31)*$H$27*$R$1324)</f>
        <v>0</v>
      </c>
      <c r="V1416">
        <f>IF(S1416=0,0,$V$1324*$H$26*$R$1324)</f>
        <v>0</v>
      </c>
      <c r="W1416">
        <f>(0.6*T1416+0.7*U1416)*$R$1324/2</f>
        <v>0</v>
      </c>
      <c r="X1416">
        <f>T1416*$R$1324/2</f>
        <v>0</v>
      </c>
      <c r="Z1416">
        <f>IF(S1416=0,0,$AD$1324*$AP$1304)</f>
        <v>0</v>
      </c>
      <c r="AA1416">
        <f>IFERROR(Z1416/$R$1324,0)</f>
        <v>0</v>
      </c>
      <c r="AB1416">
        <f>Z1416*($F$24+IF($F$24=0,0,($C$14+$C$15+IF($C$13="single",1.5,3)+3)/12))</f>
        <v>0</v>
      </c>
      <c r="AC1416">
        <f>AB1416-W1416</f>
        <v>0</v>
      </c>
      <c r="AD1416" cm="1">
        <f t="array" ref="AD1416">IFERROR(IF(AC1416&lt;0,0,AC1416/($R$1324-INDEX(hd_off,MATCH(AQ1416,hd_mark,0),0)/12)),0)</f>
        <v>0</v>
      </c>
      <c r="AE1416">
        <f>IF(S1416=0,0,$AD$1324*$AM$1304)</f>
        <v>0</v>
      </c>
      <c r="AF1416">
        <f>IFERROR(AE1416/$R$1324,0)</f>
        <v>0</v>
      </c>
      <c r="AG1416">
        <f>AE1416*($F$24+IF($F$24=0,0,($C$14+$C$15+IF($C$13="single",1.5,3)+3)/12))</f>
        <v>0</v>
      </c>
      <c r="AH1416">
        <f>AG1416-X1416</f>
        <v>0</v>
      </c>
      <c r="AI1416" cm="1">
        <f t="array" ref="AI1416">IFERROR(IF(AH1416&lt;0,0,AH1416/($R$1324-INDEX(hd_off,MATCH(AQ1416,hd_mark,0),0)/12)),0)</f>
        <v>0</v>
      </c>
      <c r="AJ1416">
        <f>MAX($F$24,$AB$1324)/$Q$1332</f>
        <v>0</v>
      </c>
      <c r="AK1416">
        <f t="shared" si="865"/>
        <v>0</v>
      </c>
      <c r="AL1416" cm="1">
        <f t="array" ref="AL1416">IFERROR(INDEX(sheath_ecap_asd,MATCH(AP1416,sheath_mark,0),0)*AK1416,0)</f>
        <v>0</v>
      </c>
      <c r="AM1416" cm="1">
        <f t="array" ref="AM1416">IFERROR(INDEX(sheath_wcap_asd,MATCH(AP1416,sheath_mark,0),0)*AK1416,0)</f>
        <v>0</v>
      </c>
      <c r="AN1416" cm="1">
        <f t="array" ref="AN1416">IFERROR(INDEX(hd_cap,MATCH(AQ1416,hd_mark,0),0),0)</f>
        <v>0</v>
      </c>
      <c r="AP1416" s="19"/>
      <c r="AQ1416" s="19"/>
      <c r="AR1416" s="100"/>
      <c r="AS1416" s="93"/>
      <c r="AT1416" s="111">
        <f>$R$1324</f>
        <v>0</v>
      </c>
      <c r="AU1416" t="str">
        <f>$Q$1304</f>
        <v>L5</v>
      </c>
      <c r="AV1416">
        <f>$E$24</f>
        <v>0</v>
      </c>
      <c r="AW1416" cm="1">
        <f t="array" ref="AW1416">IFERROR(IF(AV1416=0,0,(INDEX($C$33:$C$38,MATCH($AZ$1324,$B$33:$B$38,0),0)*(AV1417+$BA$1324)+$AW$1324*COUNTIF(AV1416:AV1416,"&gt;0")*$C$32+$AY$1324*$C$31)*$AU$1324),0)</f>
        <v>0</v>
      </c>
      <c r="AX1416">
        <f>IF(AV1416=0,0,-(COUNTIF(AV1416:AV1416,"&gt;0")*$AW$1324*$C$32+$AY$1324*$C$31)*$H$27*$AU$1324)</f>
        <v>0</v>
      </c>
      <c r="AY1416">
        <f>IF(AV1416=0,0,$AY$1324*$H$26*$AU$1324)</f>
        <v>0</v>
      </c>
      <c r="AZ1416">
        <f>(0.6*AW1416+0.7*AX1416)*$AU$1324/2</f>
        <v>0</v>
      </c>
      <c r="BA1416">
        <f>AW1416*$AU$1324/2</f>
        <v>0</v>
      </c>
      <c r="BC1416">
        <f>IF(AV1416=0,0,$BG$1324*$AP$1304)</f>
        <v>0</v>
      </c>
      <c r="BD1416">
        <f>IFERROR(BC1416/$AU$1324,0)</f>
        <v>0</v>
      </c>
      <c r="BE1416">
        <f>BC1416*($F$24+IF($F$24=0,0,($C$14+$C$15+IF($C$13="single",1.5,3)+3)/12))</f>
        <v>0</v>
      </c>
      <c r="BF1416">
        <f>BE1416-AZ1416</f>
        <v>0</v>
      </c>
      <c r="BG1416" cm="1">
        <f t="array" ref="BG1416">IFERROR(IF(BF1416&lt;0,0,BF1416/($AU$1324-INDEX(hd_off,MATCH(BT1416,hd_mark,0),0)/12)),0)</f>
        <v>0</v>
      </c>
      <c r="BH1416">
        <f>IF(AV1416=0,0,$BG$1324*$AM$1304)</f>
        <v>0</v>
      </c>
      <c r="BI1416">
        <f>IFERROR(BH1416/$AU$1324,0)</f>
        <v>0</v>
      </c>
      <c r="BJ1416">
        <f>BH1416*($F$24+IF($F$24=0,0,($C$14+$C$15+IF($C$13="single",1.5,3)+3)/12))</f>
        <v>0</v>
      </c>
      <c r="BK1416">
        <f>BJ1416-BA1416</f>
        <v>0</v>
      </c>
      <c r="BL1416" cm="1">
        <f t="array" ref="BL1416">IFERROR(IF(BK1416&lt;0,0,BK1416/($AU$1324-INDEX(hd_off,MATCH(BT1416,hd_mark,0),0)/12)),0)</f>
        <v>0</v>
      </c>
      <c r="BM1416">
        <f>MAX($F$24,$BE$1324)/$Q$1332</f>
        <v>0</v>
      </c>
      <c r="BN1416">
        <f t="shared" si="866"/>
        <v>0</v>
      </c>
      <c r="BO1416" cm="1">
        <f t="array" ref="BO1416">IFERROR(INDEX(sheath_ecap_asd,MATCH(BS1416,sheath_mark,0),0)*BN1416,0)</f>
        <v>0</v>
      </c>
      <c r="BP1416" cm="1">
        <f t="array" ref="BP1416">IFERROR(INDEX(sheath_wcap_asd,MATCH(BS1416,sheath_mark,0),0)*BN1416,0)</f>
        <v>0</v>
      </c>
      <c r="BQ1416" cm="1">
        <f t="array" ref="BQ1416">IFERROR(INDEX(hd_cap,MATCH(BT1416,hd_mark,0),0),0)</f>
        <v>0</v>
      </c>
      <c r="BS1416" s="19"/>
      <c r="BT1416" s="19"/>
      <c r="BU1416" s="100"/>
    </row>
    <row r="1417" x14ac:dyDescent="0.25">
      <c r="P1417" s="93"/>
      <c r="Q1417" s="109"/>
      <c r="R1417" t="str">
        <f>$Q$1305</f>
        <v>Roof</v>
      </c>
      <c r="S1417">
        <f>$E$25</f>
        <v>33.171875</v>
      </c>
      <c r="T1417" cm="1">
        <f t="array" ref="T1417">IFERROR(IF(S1417=0,0,(INDEX($C$33:$C$38,MATCH($W$1324,$B$33:$B$38,0),0)*(S1417+$X$1324)+$V$1324*$C$31)*$R$1324),0)</f>
        <v>0</v>
      </c>
      <c r="U1417">
        <f>IF(S1417=0,0,-$V$1324*$C$31*$H$27*$R$1324)</f>
        <v>0</v>
      </c>
      <c r="V1417">
        <f>IF(S1417=0,0,$V$1324*$H$26*$R$1324)</f>
        <v>0</v>
      </c>
      <c r="W1417">
        <f>(0.6*T1417+0.7*U1417)*$R$1324/2</f>
        <v>0</v>
      </c>
      <c r="X1417">
        <f>T1417*$R$1324/2</f>
        <v>0</v>
      </c>
      <c r="Z1417">
        <f>IF(S1417=0,0,$AD$1324*$AP$1305)</f>
        <v>0</v>
      </c>
      <c r="AA1417">
        <f>IFERROR(Z1417/$R$1324,0)</f>
        <v>0</v>
      </c>
      <c r="AB1417">
        <f>Z1417*($F$25+($C$16+$C$17+IF($C$13="single",1.5,3)+3)/12)</f>
        <v>0</v>
      </c>
      <c r="AC1417">
        <f>AB1417-W1417</f>
        <v>0</v>
      </c>
      <c r="AD1417" cm="1">
        <f t="array" ref="AD1417">IFERROR(IF(AC1417&lt;0,0,AC1417/($R$1324-INDEX(hd_off,MATCH(AQ1417,hd_mark,0),0)/12)),0)</f>
        <v>0</v>
      </c>
      <c r="AE1417">
        <f>IF(S1417=0,0,$AD$1324*$AM$1305)</f>
        <v>0</v>
      </c>
      <c r="AF1417">
        <f>IFERROR(AE1417/$R$1324,0)</f>
        <v>0</v>
      </c>
      <c r="AG1417">
        <f>AE1417*($F$25+($C$16+$C$17+IF($C$13="single",1.5,3)+3)/12)</f>
        <v>0</v>
      </c>
      <c r="AH1417">
        <f>AG1417-X1417</f>
        <v>0</v>
      </c>
      <c r="AI1417" cm="1">
        <f t="array" ref="AI1417">IFERROR(IF(AH1417&lt;0,0,AH1417/($R$1324-INDEX(hd_off,MATCH(AQ1417,hd_mark,0),0)/12)),0)</f>
        <v>0</v>
      </c>
      <c r="AJ1417">
        <f>MAX($F$25,$AC$1324)/$Q$1332</f>
        <v>0.29920977011494249</v>
      </c>
      <c r="AK1417">
        <f t="shared" si="865"/>
        <v>1</v>
      </c>
      <c r="AL1417" cm="1">
        <f t="array" ref="AL1417">IFERROR(INDEX(sheath_ecap_asd,MATCH(AP1417,sheath_mark,0),0)*AK1417,0)</f>
        <v>0</v>
      </c>
      <c r="AM1417" cm="1">
        <f t="array" ref="AM1417">IFERROR(INDEX(sheath_wcap_asd,MATCH(AP1417,sheath_mark,0),0)*AK1417,0)</f>
        <v>0</v>
      </c>
      <c r="AN1417" cm="1">
        <f t="array" ref="AN1417">IFERROR(INDEX(hd_cap,MATCH(AQ1417,hd_mark,0),0),0)</f>
        <v>0</v>
      </c>
      <c r="AP1417" s="19"/>
      <c r="AQ1417" s="19"/>
      <c r="AR1417" s="100"/>
      <c r="AS1417" s="93"/>
      <c r="AT1417" s="109"/>
      <c r="AU1417" t="str">
        <f>$Q$1305</f>
        <v>Roof</v>
      </c>
      <c r="AV1417">
        <f>$E$25</f>
        <v>33.171875</v>
      </c>
      <c r="AW1417" cm="1">
        <f t="array" ref="AW1417">IFERROR(IF(AV1417=0,0,(INDEX($C$33:$C$38,MATCH($AZ$1324,$B$33:$B$38,0),0)*(AV1417+$BA$1324)+$AY$1324*$C$31)*$AU$1324),0)</f>
        <v>0</v>
      </c>
      <c r="AX1417">
        <f>IF(AV1417=0,0,-$AY$1324*$C$31*$H$27*$AU$1324)</f>
        <v>0</v>
      </c>
      <c r="AY1417">
        <f>IF(AV1417=0,0,$AY$1324*$H$26*$AU$1324)</f>
        <v>0</v>
      </c>
      <c r="AZ1417">
        <f>(0.6*AW1417+0.7*AX1417)*$AU$1324/2</f>
        <v>0</v>
      </c>
      <c r="BA1417">
        <f>AW1417*$AU$1324/2</f>
        <v>0</v>
      </c>
      <c r="BC1417">
        <f>IF(AV1417=0,0,$BG$1324*$AP$1305)</f>
        <v>0</v>
      </c>
      <c r="BD1417">
        <f>IFERROR(BC1417/$AU$1324,0)</f>
        <v>0</v>
      </c>
      <c r="BE1417">
        <f>BC1417*($F$25+($C$16+$C$17+IF($C$13="single",1.5,3)+3)/12)</f>
        <v>0</v>
      </c>
      <c r="BF1417">
        <f>BE1417-AZ1417</f>
        <v>0</v>
      </c>
      <c r="BG1417" cm="1">
        <f t="array" ref="BG1417">IFERROR(IF(BF1417&lt;0,0,BF1417/($AU$1324-INDEX(hd_off,MATCH(BT1417,hd_mark,0),0)/12)),0)</f>
        <v>0</v>
      </c>
      <c r="BH1417">
        <f>IF(AV1417=0,0,$BG$1324*$AM$1305)</f>
        <v>0</v>
      </c>
      <c r="BI1417">
        <f>IFERROR(BH1417/$AU$1324,0)</f>
        <v>0</v>
      </c>
      <c r="BJ1417">
        <f>BH1417*($F$25+($C$16+$C$17+IF($C$13="single",1.5,3)+3)/12)</f>
        <v>0</v>
      </c>
      <c r="BK1417">
        <f>BJ1417-BA1417</f>
        <v>0</v>
      </c>
      <c r="BL1417" cm="1">
        <f t="array" ref="BL1417">IFERROR(IF(BK1417&lt;0,0,BK1417/($AU$1324-INDEX(hd_off,MATCH(BT1417,hd_mark,0),0)/12)),0)</f>
        <v>0</v>
      </c>
      <c r="BM1417">
        <f>MAX($F$25,$BF$1324)/$Q$1332</f>
        <v>0.29920977011494249</v>
      </c>
      <c r="BN1417">
        <f t="shared" si="866"/>
        <v>1</v>
      </c>
      <c r="BO1417" cm="1">
        <f t="array" ref="BO1417">IFERROR(INDEX(sheath_ecap_asd,MATCH(BS1417,sheath_mark,0),0)*BN1417,0)</f>
        <v>0</v>
      </c>
      <c r="BP1417" cm="1">
        <f t="array" ref="BP1417">IFERROR(INDEX(sheath_wcap_asd,MATCH(BS1417,sheath_mark,0),0)*BN1417,0)</f>
        <v>0</v>
      </c>
      <c r="BQ1417" cm="1">
        <f t="array" ref="BQ1417">IFERROR(INDEX(hd_cap,MATCH(BT1417,hd_mark,0),0),0)</f>
        <v>0</v>
      </c>
      <c r="BS1417" s="19"/>
      <c r="BT1417" s="19"/>
      <c r="BU1417" s="100"/>
    </row>
    <row r="1418" x14ac:dyDescent="0.25">
      <c r="P1418" s="93"/>
      <c r="AR1418" s="100"/>
      <c r="AS1418" s="93"/>
      <c r="BU1418" s="100"/>
    </row>
    <row r="1419" x14ac:dyDescent="0.25">
      <c r="P1419" s="93"/>
      <c r="Q1419" s="110" t="str">
        <f>$Q$1325</f>
        <v>A.16</v>
      </c>
      <c r="R1419" t="str">
        <f>$Q$1301</f>
        <v>L2</v>
      </c>
      <c r="S1419">
        <f>$E$21</f>
        <v>10.6875</v>
      </c>
      <c r="T1419" cm="1">
        <f t="array" ref="T1419">IFERROR(IF(S1419=0,0,(INDEX($C$33:$C$38,MATCH($W$1325,$B$33:$B$38,0),0)*(S1423+$X$1325)+$T$1325*COUNTIF(S1419:S1422,"&gt;0")*$C$32+$V$1325*$C$31)*$R$1325),0)</f>
        <v>0</v>
      </c>
      <c r="U1419">
        <f>IF(S1419=0,0,-(COUNTIF(S1419:S1422,"&gt;0")*$T$1325*$C$32+$V$1325*$C$31)*$H$27*$R$1325)</f>
        <v>0</v>
      </c>
      <c r="V1419">
        <f>IF(S1419=0,0,$V$1325*$H$26*$R$1325)</f>
        <v>0</v>
      </c>
      <c r="W1419">
        <f>(0.6*T1419+0.7*U1419)*$R$1325/2</f>
        <v>0</v>
      </c>
      <c r="X1419">
        <f>(0.6*T1419+0.6*V1419)*$R$1325/2</f>
        <v>0</v>
      </c>
      <c r="Z1419">
        <f>IF(S1419=0,0,$AD$1325*$AP$1301)</f>
        <v>0</v>
      </c>
      <c r="AA1419">
        <f>IFERROR(Z1419/$R$1325,0)</f>
        <v>0</v>
      </c>
      <c r="AB1419">
        <f>Z1419*($F$21+IF($F$21=0,0,($C$14+$C$15+IF($C$13="single",1.5,3)+3)/12))</f>
        <v>0</v>
      </c>
      <c r="AC1419">
        <f>AB1419-W1419</f>
        <v>0</v>
      </c>
      <c r="AD1419" cm="1">
        <f t="array" ref="AD1419">IFERROR(IF(AC1419&lt;0,0,AC1419/($R$1325-INDEX(hd_off,MATCH(AQ1419,hd_mark,0),0)/12)),0)</f>
        <v>0</v>
      </c>
      <c r="AE1419">
        <f>IF(S1419=0,0,$AD$1325*$AM$1301)</f>
        <v>0</v>
      </c>
      <c r="AF1419">
        <f>IFERROR(AE1419/$R$1325,0)</f>
        <v>0</v>
      </c>
      <c r="AG1419">
        <f>AE1419*($F$21+IF($F$21=0,0,($C$14+$C$15+IF($C$13="single",1.5,3)+3)/12))</f>
        <v>0</v>
      </c>
      <c r="AH1419">
        <f>AG1419-X1419</f>
        <v>0</v>
      </c>
      <c r="AI1419" cm="1">
        <f t="array" ref="AI1419">IFERROR(IF(AH1419&lt;0,0,AH1419/($R$1325-INDEX(hd_off,MATCH(AQ1419,hd_mark,0),0)/12)),0)</f>
        <v>0</v>
      </c>
      <c r="AJ1419">
        <f>MAX($F$21,$Y$1325)/$Q$1332</f>
        <v>0.30172413793103448</v>
      </c>
      <c r="AK1419">
        <f>IF(AJ1419=0,0,IF(AJ1419&gt;2,1.25-0.125*AJ1419,1))</f>
        <v>1</v>
      </c>
      <c r="AL1419" cm="1">
        <f t="array" ref="AL1419">IFERROR(INDEX(sheath_ecap_asd,MATCH(AP1419,sheath_mark,0),0)*AK1419,0)</f>
        <v>0</v>
      </c>
      <c r="AM1419" cm="1">
        <f t="array" ref="AM1419">IFERROR(INDEX(sheath_wcap_asd,MATCH(AP1419,sheath_mark,0),0)*AK1419,0)</f>
        <v>0</v>
      </c>
      <c r="AN1419" cm="1">
        <f t="array" ref="AN1419">IFERROR(INDEX(hd_cap,MATCH(AQ1419,hd_mark,0),0),0)</f>
        <v>0</v>
      </c>
      <c r="AP1419" s="19"/>
      <c r="AQ1419" s="19"/>
      <c r="AR1419" s="100"/>
      <c r="AS1419" s="93"/>
      <c r="AT1419" s="110" t="str">
        <f>$AT$1325</f>
        <v>1.16</v>
      </c>
      <c r="AU1419" t="str">
        <f>$Q$1301</f>
        <v>L2</v>
      </c>
      <c r="AV1419">
        <f>$E$21</f>
        <v>10.6875</v>
      </c>
      <c r="AW1419" cm="1">
        <f t="array" ref="AW1419">IFERROR(IF(AV1419=0,0,(INDEX($C$33:$C$38,MATCH($AZ$1325,$B$33:$B$38,0),0)*(AV1423+$BA$1325)+$AW$1325*COUNTIF(AV1419:AV1422,"&gt;0")*$C$32+$AY$1325*$C$31)*$AU$1325),0)</f>
        <v>0</v>
      </c>
      <c r="AX1419">
        <f>IF(AV1419=0,0,-(COUNTIF(AV1419:AV1422,"&gt;0")*$AW$1325*$C$32+$AY$1325*$C$31)*$H$27*$AU$1325)</f>
        <v>0</v>
      </c>
      <c r="AY1419">
        <f>IF(AV1419=0,0,$AY$1325*$H$26*$AU$1325)</f>
        <v>0</v>
      </c>
      <c r="AZ1419">
        <f>(0.6*AW1419+0.7*AX1419)*$AU$1325/2</f>
        <v>0</v>
      </c>
      <c r="BA1419">
        <f>(0.6*AW1419+0.6*AY1419)*$AU$1325/2</f>
        <v>0</v>
      </c>
      <c r="BC1419">
        <f>IF(AV1419=0,0,$BG$1325*$AP$1301)</f>
        <v>0</v>
      </c>
      <c r="BD1419">
        <f>IFERROR(BC1419/$AU$1325,0)</f>
        <v>0</v>
      </c>
      <c r="BE1419">
        <f>BC1419*($F$21+IF($F$21=0,0,($C$14+$C$15+IF($C$13="single",1.5,3)+3)/12))</f>
        <v>0</v>
      </c>
      <c r="BF1419">
        <f>BE1419-AZ1419</f>
        <v>0</v>
      </c>
      <c r="BG1419" cm="1">
        <f t="array" ref="BG1419">IFERROR(IF(BF1419&lt;0,0,BF1419/($AU$1325-INDEX(hd_off,MATCH(BT1419,hd_mark,0),0)/12)),0)</f>
        <v>0</v>
      </c>
      <c r="BH1419">
        <f>IF(AV1419=0,0,$BG$1325*$AM$1301)</f>
        <v>0</v>
      </c>
      <c r="BI1419">
        <f>IFERROR(BH1419/$AU$1325,0)</f>
        <v>0</v>
      </c>
      <c r="BJ1419">
        <f>BH1419*($F$21+IF($F$21=0,0,($C$14+$C$15+IF($C$13="single",1.5,3)+3)/12))</f>
        <v>0</v>
      </c>
      <c r="BK1419">
        <f>BJ1419-BA1419</f>
        <v>0</v>
      </c>
      <c r="BL1419" cm="1">
        <f t="array" ref="BL1419">IFERROR(IF(BK1419&lt;0,0,BK1419/($AU$1325-INDEX(hd_off,MATCH(BT1419,hd_mark,0),0)/12)),0)</f>
        <v>0</v>
      </c>
      <c r="BM1419">
        <f>MAX($F$21,$BB$1325)/$Q$1332</f>
        <v>0.30172413793103448</v>
      </c>
      <c r="BN1419">
        <f>IF(BM1419=0,0,IF(BM1419&gt;2,1.25-0.125*BM1419,1))</f>
        <v>1</v>
      </c>
      <c r="BO1419" cm="1">
        <f t="array" ref="BO1419">IFERROR(INDEX(sheath_ecap_asd,MATCH(BS1419,sheath_mark,0),0)*BN1419,0)</f>
        <v>0</v>
      </c>
      <c r="BP1419" cm="1">
        <f t="array" ref="BP1419">IFERROR(INDEX(sheath_wcap_asd,MATCH(BS1419,sheath_mark,0),0)*BN1419,0)</f>
        <v>0</v>
      </c>
      <c r="BQ1419" cm="1">
        <f t="array" ref="BQ1419">IFERROR(INDEX(hd_cap,MATCH(BT1419,hd_mark,0),0),0)</f>
        <v>0</v>
      </c>
      <c r="BS1419" s="19"/>
      <c r="BT1419" s="19"/>
      <c r="BU1419" s="100"/>
    </row>
    <row r="1420" x14ac:dyDescent="0.25">
      <c r="P1420" s="93"/>
      <c r="Q1420" s="109"/>
      <c r="R1420" t="str">
        <f>$Q$1302</f>
        <v>L3</v>
      </c>
      <c r="S1420">
        <f>$E$22</f>
        <v>21.375</v>
      </c>
      <c r="T1420" cm="1">
        <f t="array" ref="T1420">IFERROR(IF(S1420=0,0,(INDEX($C$33:$C$38,MATCH($W$1325,$B$33:$B$38,0),0)*(S1423+$X$1325)+$T$1325*COUNTIF(S1420:S1422,"&gt;0")*$C$32+$V$1325*$C$31)*$R$1325),0)</f>
        <v>0</v>
      </c>
      <c r="U1420">
        <f>IF(S1420=0,0,-(COUNTIF(S1420:S1422,"&gt;0")*$T$1325*$C$32+$V$1325*$C$31)*$H$27*$R$1325)</f>
        <v>0</v>
      </c>
      <c r="V1420">
        <f>IF(S1420=0,0,$V$1325*$H$26*$R$1325)</f>
        <v>0</v>
      </c>
      <c r="W1420">
        <f>(0.6*T1420+0.7*U1420)*$R$1325/2</f>
        <v>0</v>
      </c>
      <c r="X1420">
        <f>T1420*$R$1325/2</f>
        <v>0</v>
      </c>
      <c r="Z1420">
        <f>IF(S1420=0,0,$AD$1325*$AP$1302)</f>
        <v>0</v>
      </c>
      <c r="AA1420">
        <f>IFERROR(Z1420/$R$1325,0)</f>
        <v>0</v>
      </c>
      <c r="AB1420">
        <f>Z1420*($F$22+IF($F$22=0,0,($C$14+$C$15+IF($C$13="single",1.5,3)+3)/12))</f>
        <v>0</v>
      </c>
      <c r="AC1420">
        <f>AB1420-W1420</f>
        <v>0</v>
      </c>
      <c r="AD1420" cm="1">
        <f t="array" ref="AD1420">IFERROR(IF(AC1420&lt;0,0,AC1420/($R$1325-INDEX(hd_off,MATCH(AQ1420,hd_mark,0),0)/12)),0)</f>
        <v>0</v>
      </c>
      <c r="AE1420">
        <f>IF(S1420=0,0,$AD$1325*$AM$1302)</f>
        <v>0</v>
      </c>
      <c r="AF1420">
        <f>IFERROR(AE1420/$R$1325,0)</f>
        <v>0</v>
      </c>
      <c r="AG1420">
        <f>AE1420*($F$22+IF($F$22=0,0,($C$14+$C$15+IF($C$13="single",1.5,3)+3)/12))</f>
        <v>0</v>
      </c>
      <c r="AH1420">
        <f>AG1420-X1420</f>
        <v>0</v>
      </c>
      <c r="AI1420" cm="1">
        <f t="array" ref="AI1420">IFERROR(IF(AH1420&lt;0,0,AH1420/($R$1325-INDEX(hd_off,MATCH(AQ1420,hd_mark,0),0)/12)),0)</f>
        <v>0</v>
      </c>
      <c r="AJ1420">
        <f>MAX($F$22,$Z$1325)/$Q$1332</f>
        <v>0.30172413793103448</v>
      </c>
      <c r="AK1420">
        <f t="shared" ref="AK1420:AK1423" si="867">IF(AJ1420=0,0,IF(AJ1420&gt;2,1.25-0.125*AJ1420,1))</f>
        <v>1</v>
      </c>
      <c r="AL1420" cm="1">
        <f t="array" ref="AL1420">IFERROR(INDEX(sheath_ecap_asd,MATCH(AP1420,sheath_mark,0),0)*AK1420,0)</f>
        <v>0</v>
      </c>
      <c r="AM1420" cm="1">
        <f t="array" ref="AM1420">IFERROR(INDEX(sheath_wcap_asd,MATCH(AP1420,sheath_mark,0),0)*AK1420,0)</f>
        <v>0</v>
      </c>
      <c r="AN1420" cm="1">
        <f t="array" ref="AN1420">IFERROR(INDEX(hd_cap,MATCH(AQ1420,hd_mark,0),0),0)</f>
        <v>0</v>
      </c>
      <c r="AP1420" s="19"/>
      <c r="AQ1420" s="19"/>
      <c r="AR1420" s="100"/>
      <c r="AS1420" s="93"/>
      <c r="AT1420" s="109"/>
      <c r="AU1420" t="str">
        <f>$Q$1302</f>
        <v>L3</v>
      </c>
      <c r="AV1420">
        <f>$E$22</f>
        <v>21.375</v>
      </c>
      <c r="AW1420" cm="1">
        <f t="array" ref="AW1420">IFERROR(IF(AV1420=0,0,(INDEX($C$33:$C$38,MATCH($AZ$1325,$B$33:$B$38,0),0)*(AV1423+$BA$1325)+$AW$1325*COUNTIF(AV1420:AV1422,"&gt;0")*$C$32+$AY$1325*$C$31)*$AU$1325),0)</f>
        <v>0</v>
      </c>
      <c r="AX1420">
        <f>IF(AV1420=0,0,-(COUNTIF(AV1420:AV1422,"&gt;0")*$AW$1325*$C$32+$AY$1325*$C$31)*$H$27*$AU$1325)</f>
        <v>0</v>
      </c>
      <c r="AY1420">
        <f>IF(AV1420=0,0,$AY$1325*$H$26*$AU$1325)</f>
        <v>0</v>
      </c>
      <c r="AZ1420">
        <f>(0.6*AW1420+0.7*AX1420)*$AU$1325/2</f>
        <v>0</v>
      </c>
      <c r="BA1420">
        <f>AW1420*$AU$1325/2</f>
        <v>0</v>
      </c>
      <c r="BC1420">
        <f>IF(AV1420=0,0,$BG$1325*$AP$1302)</f>
        <v>0</v>
      </c>
      <c r="BD1420">
        <f>IFERROR(BC1420/$AU$1325,0)</f>
        <v>0</v>
      </c>
      <c r="BE1420">
        <f>BC1420*($F$22+IF($F$22=0,0,($C$14+$C$15+IF($C$13="single",1.5,3)+3)/12))</f>
        <v>0</v>
      </c>
      <c r="BF1420">
        <f>BE1420-AZ1420</f>
        <v>0</v>
      </c>
      <c r="BG1420" cm="1">
        <f t="array" ref="BG1420">IFERROR(IF(BF1420&lt;0,0,BF1420/($AU$1325-INDEX(hd_off,MATCH(BT1420,hd_mark,0),0)/12)),0)</f>
        <v>0</v>
      </c>
      <c r="BH1420">
        <f>IF(AV1420=0,0,$BG$1325*$AM$1302)</f>
        <v>0</v>
      </c>
      <c r="BI1420">
        <f>IFERROR(BH1420/$AU$1325,0)</f>
        <v>0</v>
      </c>
      <c r="BJ1420">
        <f>BH1420*($F$22+IF($F$22=0,0,($C$14+$C$15+IF($C$13="single",1.5,3)+3)/12))</f>
        <v>0</v>
      </c>
      <c r="BK1420">
        <f>BJ1420-BA1420</f>
        <v>0</v>
      </c>
      <c r="BL1420" cm="1">
        <f t="array" ref="BL1420">IFERROR(IF(BK1420&lt;0,0,BK1420/($AU$1325-INDEX(hd_off,MATCH(BT1420,hd_mark,0),0)/12)),0)</f>
        <v>0</v>
      </c>
      <c r="BM1420">
        <f>MAX($F$22,$BC$1325)/$Q$1332</f>
        <v>0.30172413793103448</v>
      </c>
      <c r="BN1420">
        <f t="shared" ref="BN1420:BN1422" si="868">IF(BM1420=0,0,IF(BM1420&gt;2,1.25-0.125*BM1420,1))</f>
        <v>1</v>
      </c>
      <c r="BO1420" cm="1">
        <f t="array" ref="BO1420">IFERROR(INDEX(sheath_ecap_asd,MATCH(BS1420,sheath_mark,0),0)*BN1420,0)</f>
        <v>0</v>
      </c>
      <c r="BP1420" cm="1">
        <f t="array" ref="BP1420">IFERROR(INDEX(sheath_wcap_asd,MATCH(BS1420,sheath_mark,0),0)*BN1420,0)</f>
        <v>0</v>
      </c>
      <c r="BQ1420" cm="1">
        <f t="array" ref="BQ1420">IFERROR(INDEX(hd_cap,MATCH(BT1420,hd_mark,0),0),0)</f>
        <v>0</v>
      </c>
      <c r="BS1420" s="19"/>
      <c r="BT1420" s="19"/>
      <c r="BU1420" s="100"/>
    </row>
    <row r="1421" x14ac:dyDescent="0.25">
      <c r="P1421" s="93"/>
      <c r="Q1421" s="109" t="s">
        <v>491</v>
      </c>
      <c r="R1421" t="str">
        <f>$Q$1303</f>
        <v>L4</v>
      </c>
      <c r="S1421">
        <f>$E$23</f>
        <v>0</v>
      </c>
      <c r="T1421" cm="1">
        <f t="array" ref="T1421">IFERROR(IF(S1421=0,0,(INDEX($C$33:$C$38,MATCH($W$1325,$B$33:$B$38,0),0)*(S1423+$X$1325)+$T$1325*COUNTIF(S1421:S1422,"&gt;0")*$C$32+$V$1325*$C$31)*$R$1325),0)</f>
        <v>0</v>
      </c>
      <c r="U1421">
        <f>IF(S1421=0,0,-(COUNTIF(S1421:S1422,"&gt;0")*$T$1325*$C$32+$V$1325*$C$31)*$H$27*$R$1325)</f>
        <v>0</v>
      </c>
      <c r="V1421">
        <f>IF(S1421=0,0,$V$1325*$H$26*$R$1325)</f>
        <v>0</v>
      </c>
      <c r="W1421">
        <f>(0.6*T1421+0.7*U1421)*$R$1325/2</f>
        <v>0</v>
      </c>
      <c r="X1421">
        <f>T1421*$R$1325/2</f>
        <v>0</v>
      </c>
      <c r="Z1421">
        <f>IF(S1421=0,0,$AD$1325*$AP$1303)</f>
        <v>0</v>
      </c>
      <c r="AA1421">
        <f>IFERROR(Z1421/$R$1325,0)</f>
        <v>0</v>
      </c>
      <c r="AB1421">
        <f>Z1421*($F$23+IF($F$23=0,0,($C$14+$C$15+IF($C$13="single",1.5,3)+3)/12))</f>
        <v>0</v>
      </c>
      <c r="AC1421">
        <f>AB1421-W1421</f>
        <v>0</v>
      </c>
      <c r="AD1421" cm="1">
        <f t="array" ref="AD1421">IFERROR(IF(AC1421&lt;0,0,AC1421/($R$1325-INDEX(hd_off,MATCH(AQ1421,hd_mark,0),0)/12)),0)</f>
        <v>0</v>
      </c>
      <c r="AE1421">
        <f>IF(S1421=0,0,$AD$1325*$AM$1303)</f>
        <v>0</v>
      </c>
      <c r="AF1421">
        <f>IFERROR(AE1421/$R$1325,0)</f>
        <v>0</v>
      </c>
      <c r="AG1421">
        <f>AE1421*($F$23+IF($F$23=0,0,($C$14+$C$15+IF($C$13="single",1.5,3)+3)/12))</f>
        <v>0</v>
      </c>
      <c r="AH1421">
        <f>AG1421-X1421</f>
        <v>0</v>
      </c>
      <c r="AI1421" cm="1">
        <f t="array" ref="AI1421">IFERROR(IF(AH1421&lt;0,0,AH1421/($R$1325-INDEX(hd_off,MATCH(AQ1421,hd_mark,0),0)/12)),0)</f>
        <v>0</v>
      </c>
      <c r="AJ1421">
        <f>MAX($F$23,$AA$1325)/$Q$1332</f>
        <v>0</v>
      </c>
      <c r="AK1421">
        <f t="shared" si="867"/>
        <v>0</v>
      </c>
      <c r="AL1421" cm="1">
        <f t="array" ref="AL1421">IFERROR(INDEX(sheath_ecap_asd,MATCH(AP1421,sheath_mark,0),0)*AK1421,0)</f>
        <v>0</v>
      </c>
      <c r="AM1421" cm="1">
        <f t="array" ref="AM1421">IFERROR(INDEX(sheath_wcap_asd,MATCH(AP1421,sheath_mark,0),0)*AK1421,0)</f>
        <v>0</v>
      </c>
      <c r="AN1421" cm="1">
        <f t="array" ref="AN1421">IFERROR(INDEX(hd_cap,MATCH(AQ1421,hd_mark,0),0),0)</f>
        <v>0</v>
      </c>
      <c r="AP1421" s="19"/>
      <c r="AQ1421" s="19"/>
      <c r="AR1421" s="100"/>
      <c r="AS1421" s="93"/>
      <c r="AT1421" s="109" t="s">
        <v>491</v>
      </c>
      <c r="AU1421" t="str">
        <f>$Q$1303</f>
        <v>L4</v>
      </c>
      <c r="AV1421">
        <f>$E$23</f>
        <v>0</v>
      </c>
      <c r="AW1421" cm="1">
        <f t="array" ref="AW1421">IFERROR(IF(AV1421=0,0,(INDEX($C$33:$C$38,MATCH($AZ$1325,$B$33:$B$38,0),0)*(AV1423+$BA$1325)+$AW$1325*COUNTIF(AV1421:AV1422,"&gt;0")*$C$32+$AY$1325*$C$31)*$AU$1325),0)</f>
        <v>0</v>
      </c>
      <c r="AX1421">
        <f>IF(AV1421=0,0,-(COUNTIF(AV1421:AV1422,"&gt;0")*$AW$1325*$C$32+$AY$1325*$C$31)*$H$27*$AU$1325)</f>
        <v>0</v>
      </c>
      <c r="AY1421">
        <f>IF(AV1421=0,0,$AY$1325*$H$26*$AU$1325)</f>
        <v>0</v>
      </c>
      <c r="AZ1421">
        <f>(0.6*AW1421+0.7*AX1421)*$AU$1325/2</f>
        <v>0</v>
      </c>
      <c r="BA1421">
        <f>AW1421*$AU$1325/2</f>
        <v>0</v>
      </c>
      <c r="BC1421">
        <f>IF(AV1421=0,0,$BG$1325*$AP$1303)</f>
        <v>0</v>
      </c>
      <c r="BD1421">
        <f>IFERROR(BC1421/$AU$1325,0)</f>
        <v>0</v>
      </c>
      <c r="BE1421">
        <f>BC1421*($F$23+IF($F$23=0,0,($C$14+$C$15+IF($C$13="single",1.5,3)+3)/12))</f>
        <v>0</v>
      </c>
      <c r="BF1421">
        <f>BE1421-AZ1421</f>
        <v>0</v>
      </c>
      <c r="BG1421" cm="1">
        <f t="array" ref="BG1421">IFERROR(IF(BF1421&lt;0,0,BF1421/($AU$1325-INDEX(hd_off,MATCH(BT1421,hd_mark,0),0)/12)),0)</f>
        <v>0</v>
      </c>
      <c r="BH1421">
        <f>IF(AV1421=0,0,$BG$1325*$AM$1303)</f>
        <v>0</v>
      </c>
      <c r="BI1421">
        <f>IFERROR(BH1421/$AU$1325,0)</f>
        <v>0</v>
      </c>
      <c r="BJ1421">
        <f>BH1421*($F$23+IF($F$23=0,0,($C$14+$C$15+IF($C$13="single",1.5,3)+3)/12))</f>
        <v>0</v>
      </c>
      <c r="BK1421">
        <f>BJ1421-BA1421</f>
        <v>0</v>
      </c>
      <c r="BL1421" cm="1">
        <f t="array" ref="BL1421">IFERROR(IF(BK1421&lt;0,0,BK1421/($AU$1325-INDEX(hd_off,MATCH(BT1421,hd_mark,0),0)/12)),0)</f>
        <v>0</v>
      </c>
      <c r="BM1421">
        <f>MAX($F$23,$BD$1325)/$Q$1332</f>
        <v>0</v>
      </c>
      <c r="BN1421">
        <f t="shared" si="868"/>
        <v>0</v>
      </c>
      <c r="BO1421" cm="1">
        <f t="array" ref="BO1421">IFERROR(INDEX(sheath_ecap_asd,MATCH(BS1421,sheath_mark,0),0)*BN1421,0)</f>
        <v>0</v>
      </c>
      <c r="BP1421" cm="1">
        <f t="array" ref="BP1421">IFERROR(INDEX(sheath_wcap_asd,MATCH(BS1421,sheath_mark,0),0)*BN1421,0)</f>
        <v>0</v>
      </c>
      <c r="BQ1421" cm="1">
        <f t="array" ref="BQ1421">IFERROR(INDEX(hd_cap,MATCH(BT1421,hd_mark,0),0),0)</f>
        <v>0</v>
      </c>
      <c r="BS1421" s="19"/>
      <c r="BT1421" s="19"/>
      <c r="BU1421" s="100"/>
    </row>
    <row r="1422" x14ac:dyDescent="0.25">
      <c r="P1422" s="93"/>
      <c r="Q1422" s="111">
        <f>$R$1325</f>
        <v>0</v>
      </c>
      <c r="R1422" t="str">
        <f>$Q$1304</f>
        <v>L5</v>
      </c>
      <c r="S1422">
        <f>$E$24</f>
        <v>0</v>
      </c>
      <c r="T1422" cm="1">
        <f t="array" ref="T1422">IFERROR(IF(S1422=0,0,(INDEX($C$33:$C$38,MATCH($W$1325,$B$33:$B$38,0),0)*(S1423+$X$1325)+$T$1325*COUNTIF(S1422:S1422,"&gt;0")*$C$32+$V$1325*$C$31)*$R$1325),0)</f>
        <v>0</v>
      </c>
      <c r="U1422">
        <f>IF(S1422=0,0,-(COUNTIF(S1422:S1422,"&gt;0")*$T$1325*$C$32+$V$1325*$C$31)*$H$27*$R$1325)</f>
        <v>0</v>
      </c>
      <c r="V1422">
        <f>IF(S1422=0,0,$V$1325*$H$26*$R$1325)</f>
        <v>0</v>
      </c>
      <c r="W1422">
        <f>(0.6*T1422+0.7*U1422)*$R$1325/2</f>
        <v>0</v>
      </c>
      <c r="X1422">
        <f>T1422*$R$1325/2</f>
        <v>0</v>
      </c>
      <c r="Z1422">
        <f>IF(S1422=0,0,$AD$1325*$AP$1304)</f>
        <v>0</v>
      </c>
      <c r="AA1422">
        <f>IFERROR(Z1422/$R$1325,0)</f>
        <v>0</v>
      </c>
      <c r="AB1422">
        <f>Z1422*($F$24+IF($F$24=0,0,($C$14+$C$15+IF($C$13="single",1.5,3)+3)/12))</f>
        <v>0</v>
      </c>
      <c r="AC1422">
        <f>AB1422-W1422</f>
        <v>0</v>
      </c>
      <c r="AD1422" cm="1">
        <f t="array" ref="AD1422">IFERROR(IF(AC1422&lt;0,0,AC1422/($R$1325-INDEX(hd_off,MATCH(AQ1422,hd_mark,0),0)/12)),0)</f>
        <v>0</v>
      </c>
      <c r="AE1422">
        <f>IF(S1422=0,0,$AD$1325*$AM$1304)</f>
        <v>0</v>
      </c>
      <c r="AF1422">
        <f>IFERROR(AE1422/$R$1325,0)</f>
        <v>0</v>
      </c>
      <c r="AG1422">
        <f>AE1422*($F$24+IF($F$24=0,0,($C$14+$C$15+IF($C$13="single",1.5,3)+3)/12))</f>
        <v>0</v>
      </c>
      <c r="AH1422">
        <f>AG1422-X1422</f>
        <v>0</v>
      </c>
      <c r="AI1422" cm="1">
        <f t="array" ref="AI1422">IFERROR(IF(AH1422&lt;0,0,AH1422/($R$1325-INDEX(hd_off,MATCH(AQ1422,hd_mark,0),0)/12)),0)</f>
        <v>0</v>
      </c>
      <c r="AJ1422">
        <f>MAX($F$24,$AB$1325)/$Q$1332</f>
        <v>0</v>
      </c>
      <c r="AK1422">
        <f t="shared" si="867"/>
        <v>0</v>
      </c>
      <c r="AL1422" cm="1">
        <f t="array" ref="AL1422">IFERROR(INDEX(sheath_ecap_asd,MATCH(AP1422,sheath_mark,0),0)*AK1422,0)</f>
        <v>0</v>
      </c>
      <c r="AM1422" cm="1">
        <f t="array" ref="AM1422">IFERROR(INDEX(sheath_wcap_asd,MATCH(AP1422,sheath_mark,0),0)*AK1422,0)</f>
        <v>0</v>
      </c>
      <c r="AN1422" cm="1">
        <f t="array" ref="AN1422">IFERROR(INDEX(hd_cap,MATCH(AQ1422,hd_mark,0),0),0)</f>
        <v>0</v>
      </c>
      <c r="AP1422" s="19"/>
      <c r="AQ1422" s="19"/>
      <c r="AR1422" s="100"/>
      <c r="AS1422" s="93"/>
      <c r="AT1422" s="111">
        <f>$R$1325</f>
        <v>0</v>
      </c>
      <c r="AU1422" t="str">
        <f>$Q$1304</f>
        <v>L5</v>
      </c>
      <c r="AV1422">
        <f>$E$24</f>
        <v>0</v>
      </c>
      <c r="AW1422" cm="1">
        <f t="array" ref="AW1422">IFERROR(IF(AV1422=0,0,(INDEX($C$33:$C$38,MATCH($AZ$1325,$B$33:$B$38,0),0)*(AV1423+$BA$1325)+$AW$1325*COUNTIF(AV1422:AV1422,"&gt;0")*$C$32+$AY$1325*$C$31)*$AU$1325),0)</f>
        <v>0</v>
      </c>
      <c r="AX1422">
        <f>IF(AV1422=0,0,-(COUNTIF(AV1422:AV1422,"&gt;0")*$AW$1325*$C$32+$AY$1325*$C$31)*$H$27*$AU$1325)</f>
        <v>0</v>
      </c>
      <c r="AY1422">
        <f>IF(AV1422=0,0,$AY$1325*$H$26*$AU$1325)</f>
        <v>0</v>
      </c>
      <c r="AZ1422">
        <f>(0.6*AW1422+0.7*AX1422)*$AU$1325/2</f>
        <v>0</v>
      </c>
      <c r="BA1422">
        <f>AW1422*$AU$1325/2</f>
        <v>0</v>
      </c>
      <c r="BC1422">
        <f>IF(AV1422=0,0,$BG$1325*$AP$1304)</f>
        <v>0</v>
      </c>
      <c r="BD1422">
        <f>IFERROR(BC1422/$AU$1325,0)</f>
        <v>0</v>
      </c>
      <c r="BE1422">
        <f>BC1422*($F$24+IF($F$24=0,0,($C$14+$C$15+IF($C$13="single",1.5,3)+3)/12))</f>
        <v>0</v>
      </c>
      <c r="BF1422">
        <f>BE1422-AZ1422</f>
        <v>0</v>
      </c>
      <c r="BG1422" cm="1">
        <f t="array" ref="BG1422">IFERROR(IF(BF1422&lt;0,0,BF1422/($AU$1325-INDEX(hd_off,MATCH(BT1422,hd_mark,0),0)/12)),0)</f>
        <v>0</v>
      </c>
      <c r="BH1422">
        <f>IF(AV1422=0,0,$BG$1325*$AM$1304)</f>
        <v>0</v>
      </c>
      <c r="BI1422">
        <f>IFERROR(BH1422/$AU$1325,0)</f>
        <v>0</v>
      </c>
      <c r="BJ1422">
        <f>BH1422*($F$24+IF($F$24=0,0,($C$14+$C$15+IF($C$13="single",1.5,3)+3)/12))</f>
        <v>0</v>
      </c>
      <c r="BK1422">
        <f>BJ1422-BA1422</f>
        <v>0</v>
      </c>
      <c r="BL1422" cm="1">
        <f t="array" ref="BL1422">IFERROR(IF(BK1422&lt;0,0,BK1422/($AU$1325-INDEX(hd_off,MATCH(BT1422,hd_mark,0),0)/12)),0)</f>
        <v>0</v>
      </c>
      <c r="BM1422">
        <f>MAX($F$24,$BE$1325)/$Q$1332</f>
        <v>0</v>
      </c>
      <c r="BN1422">
        <f t="shared" si="868"/>
        <v>0</v>
      </c>
      <c r="BO1422" cm="1">
        <f t="array" ref="BO1422">IFERROR(INDEX(sheath_ecap_asd,MATCH(BS1422,sheath_mark,0),0)*BN1422,0)</f>
        <v>0</v>
      </c>
      <c r="BP1422" cm="1">
        <f t="array" ref="BP1422">IFERROR(INDEX(sheath_wcap_asd,MATCH(BS1422,sheath_mark,0),0)*BN1422,0)</f>
        <v>0</v>
      </c>
      <c r="BQ1422" cm="1">
        <f t="array" ref="BQ1422">IFERROR(INDEX(hd_cap,MATCH(BT1422,hd_mark,0),0),0)</f>
        <v>0</v>
      </c>
      <c r="BS1422" s="19"/>
      <c r="BT1422" s="19"/>
      <c r="BU1422" s="100"/>
    </row>
    <row r="1423" x14ac:dyDescent="0.25">
      <c r="P1423" s="93"/>
      <c r="Q1423" s="109"/>
      <c r="R1423" t="str">
        <f>$Q$1305</f>
        <v>Roof</v>
      </c>
      <c r="S1423">
        <f>$E$25</f>
        <v>33.171875</v>
      </c>
      <c r="T1423" cm="1">
        <f t="array" ref="T1423">IFERROR(IF(S1423=0,0,(INDEX($C$33:$C$38,MATCH($W$1325,$B$33:$B$38,0),0)*(S1423+$X$1325)+$V$1325*$C$31)*$R$1325),0)</f>
        <v>0</v>
      </c>
      <c r="U1423">
        <f>IF(S1423=0,0,-$V$1325*$C$31*$H$27*$R$1325)</f>
        <v>0</v>
      </c>
      <c r="V1423">
        <f>IF(S1423=0,0,$V$1325*$H$26*$R$1325)</f>
        <v>0</v>
      </c>
      <c r="W1423">
        <f>(0.6*T1423+0.7*U1423)*$R$1325/2</f>
        <v>0</v>
      </c>
      <c r="X1423">
        <f>T1423*$R$1325/2</f>
        <v>0</v>
      </c>
      <c r="Z1423">
        <f>IF(S1423=0,0,$AD$1325*$AP$1305)</f>
        <v>0</v>
      </c>
      <c r="AA1423">
        <f>IFERROR(Z1423/$R$1325,0)</f>
        <v>0</v>
      </c>
      <c r="AB1423">
        <f>Z1423*($F$25+($C$16+$C$17+IF($C$13="single",1.5,3)+3)/12)</f>
        <v>0</v>
      </c>
      <c r="AC1423">
        <f>AB1423-W1423</f>
        <v>0</v>
      </c>
      <c r="AD1423" cm="1">
        <f t="array" ref="AD1423">IFERROR(IF(AC1423&lt;0,0,AC1423/($R$1325-INDEX(hd_off,MATCH(AQ1423,hd_mark,0),0)/12)),0)</f>
        <v>0</v>
      </c>
      <c r="AE1423">
        <f>IF(S1423=0,0,$AD$1325*$AM$1305)</f>
        <v>0</v>
      </c>
      <c r="AF1423">
        <f>IFERROR(AE1423/$R$1325,0)</f>
        <v>0</v>
      </c>
      <c r="AG1423">
        <f>AE1423*($F$25+($C$16+$C$17+IF($C$13="single",1.5,3)+3)/12)</f>
        <v>0</v>
      </c>
      <c r="AH1423">
        <f>AG1423-X1423</f>
        <v>0</v>
      </c>
      <c r="AI1423" cm="1">
        <f t="array" ref="AI1423">IFERROR(IF(AH1423&lt;0,0,AH1423/($R$1325-INDEX(hd_off,MATCH(AQ1423,hd_mark,0),0)/12)),0)</f>
        <v>0</v>
      </c>
      <c r="AJ1423">
        <f>MAX($F$25,$AC$1325)/$Q$1332</f>
        <v>0.29920977011494249</v>
      </c>
      <c r="AK1423">
        <f t="shared" si="867"/>
        <v>1</v>
      </c>
      <c r="AL1423" cm="1">
        <f t="array" ref="AL1423">IFERROR(INDEX(sheath_ecap_asd,MATCH(AP1423,sheath_mark,0),0)*AK1423,0)</f>
        <v>0</v>
      </c>
      <c r="AM1423" cm="1">
        <f t="array" ref="AM1423">IFERROR(INDEX(sheath_wcap_asd,MATCH(AP1423,sheath_mark,0),0)*AK1423,0)</f>
        <v>0</v>
      </c>
      <c r="AN1423" cm="1">
        <f t="array" ref="AN1423">IFERROR(INDEX(hd_cap,MATCH(AQ1423,hd_mark,0),0),0)</f>
        <v>0</v>
      </c>
      <c r="AP1423" s="19"/>
      <c r="AQ1423" s="19"/>
      <c r="AR1423" s="100"/>
      <c r="AS1423" s="93"/>
      <c r="BU1423" s="100"/>
    </row>
    <row r="1424" x14ac:dyDescent="0.25">
      <c r="B1424" s="1" t="s">
        <v>569</v>
      </c>
      <c r="C1424">
        <f>E16+H16*12</f>
        <v>32.4375</v>
      </c>
      <c r="E1424" s="19">
        <v>24</v>
      </c>
      <c r="F1424" s="19">
        <f>32+5.625/12</f>
        <v>32.46875</v>
      </c>
      <c r="G1424" s="19">
        <f>33+10.5/12</f>
        <v>33.875</v>
      </c>
      <c r="H1424">
        <f>(G16-F16)/2</f>
        <v>0.703125</v>
      </c>
      <c r="P1424" s="93"/>
      <c r="Q1424" t="s">
        <v>524</v>
      </c>
      <c r="R1424" s="2" t="str">
        <f>$B$53</f>
        <v>A</v>
      </c>
      <c r="AR1424" s="100"/>
      <c r="AS1424" s="93"/>
      <c r="AT1424" t="s">
        <v>524</v>
      </c>
      <c r="AU1424" s="2">
        <f>H53</f>
        <v>1</v>
      </c>
      <c r="BU1424" s="100"/>
    </row>
    <row r="1425" x14ac:dyDescent="0.25">
      <c r="B1425" s="1" t="s">
        <v>500</v>
      </c>
      <c r="C1425" s="19">
        <v>0.5</v>
      </c>
      <c r="P1425" s="93"/>
      <c r="AR1425" s="100"/>
      <c r="AS1425" s="93"/>
      <c r="BU1425" s="100"/>
    </row>
    <row r="1426" x14ac:dyDescent="0.25">
      <c r="P1426" s="93"/>
      <c r="R1426" t="s">
        <v>482</v>
      </c>
      <c r="Z1426" t="s">
        <v>483</v>
      </c>
      <c r="AH1426" t="s">
        <v>502</v>
      </c>
      <c r="AJ1426" t="s">
        <v>454</v>
      </c>
      <c r="AR1426" s="100"/>
      <c r="AS1426" s="93"/>
      <c r="AU1426" t="s">
        <v>482</v>
      </c>
      <c r="BC1426" t="s">
        <v>483</v>
      </c>
      <c r="BK1426" t="s">
        <v>502</v>
      </c>
      <c r="BM1426" t="s">
        <v>454</v>
      </c>
      <c r="BU1426" s="100"/>
    </row>
    <row r="1427" x14ac:dyDescent="0.25">
      <c r="B1427" t="s">
        <v>448</v>
      </c>
      <c r="C1427" t="s">
        <v>272</v>
      </c>
      <c r="D1427" t="s">
        <v>193</v>
      </c>
      <c r="E1427" s="70" t="s">
        <v>454</v>
      </c>
      <c r="F1427" s="71" t="s">
        <v>501</v>
      </c>
      <c r="H1427" t="s">
        <v>475</v>
      </c>
      <c r="J1427" t="s">
        <v>476</v>
      </c>
      <c r="P1427" s="93"/>
      <c r="R1427" t="s">
        <v>480</v>
      </c>
      <c r="S1427" t="s">
        <v>481</v>
      </c>
      <c r="T1427" t="s">
        <v>486</v>
      </c>
      <c r="U1427" t="s">
        <v>487</v>
      </c>
      <c r="V1427" t="s">
        <v>484</v>
      </c>
      <c r="W1427" t="s">
        <v>485</v>
      </c>
      <c r="X1427" t="s">
        <v>488</v>
      </c>
      <c r="Y1427" t="s">
        <v>489</v>
      </c>
      <c r="Z1427" t="s">
        <v>480</v>
      </c>
      <c r="AA1427" t="s">
        <v>481</v>
      </c>
      <c r="AB1427" t="s">
        <v>486</v>
      </c>
      <c r="AC1427" t="s">
        <v>487</v>
      </c>
      <c r="AD1427" t="s">
        <v>484</v>
      </c>
      <c r="AE1427" t="s">
        <v>485</v>
      </c>
      <c r="AF1427" t="s">
        <v>488</v>
      </c>
      <c r="AG1427" t="s">
        <v>489</v>
      </c>
      <c r="AH1427" t="s">
        <v>312</v>
      </c>
      <c r="AI1427" t="s">
        <v>258</v>
      </c>
      <c r="AJ1427" t="s">
        <v>486</v>
      </c>
      <c r="AK1427" t="s">
        <v>490</v>
      </c>
      <c r="AL1427" t="s">
        <v>487</v>
      </c>
      <c r="AM1427" t="s">
        <v>490</v>
      </c>
      <c r="AN1427" t="s">
        <v>488</v>
      </c>
      <c r="AO1427" t="s">
        <v>490</v>
      </c>
      <c r="AP1427" t="s">
        <v>489</v>
      </c>
      <c r="AQ1427" t="s">
        <v>490</v>
      </c>
      <c r="AR1427" s="100"/>
      <c r="AS1427" s="93"/>
      <c r="AU1427" t="s">
        <v>480</v>
      </c>
      <c r="AV1427" t="s">
        <v>481</v>
      </c>
      <c r="AW1427" t="s">
        <v>486</v>
      </c>
      <c r="AX1427" t="s">
        <v>487</v>
      </c>
      <c r="AY1427" t="s">
        <v>484</v>
      </c>
      <c r="AZ1427" t="s">
        <v>485</v>
      </c>
      <c r="BA1427" t="s">
        <v>488</v>
      </c>
      <c r="BB1427" t="s">
        <v>489</v>
      </c>
      <c r="BC1427" t="s">
        <v>480</v>
      </c>
      <c r="BD1427" t="s">
        <v>481</v>
      </c>
      <c r="BE1427" t="s">
        <v>486</v>
      </c>
      <c r="BF1427" t="s">
        <v>487</v>
      </c>
      <c r="BG1427" t="s">
        <v>484</v>
      </c>
      <c r="BH1427" t="s">
        <v>485</v>
      </c>
      <c r="BI1427" t="s">
        <v>488</v>
      </c>
      <c r="BJ1427" t="s">
        <v>489</v>
      </c>
      <c r="BK1427" t="s">
        <v>312</v>
      </c>
      <c r="BL1427" t="s">
        <v>258</v>
      </c>
      <c r="BM1427" t="s">
        <v>486</v>
      </c>
      <c r="BN1427" t="s">
        <v>490</v>
      </c>
      <c r="BO1427" t="s">
        <v>487</v>
      </c>
      <c r="BP1427" t="s">
        <v>490</v>
      </c>
      <c r="BQ1427" t="s">
        <v>488</v>
      </c>
      <c r="BR1427" t="s">
        <v>490</v>
      </c>
      <c r="BS1427" t="s">
        <v>489</v>
      </c>
      <c r="BT1427" t="s">
        <v>490</v>
      </c>
      <c r="BU1427" s="100"/>
    </row>
    <row r="1428" x14ac:dyDescent="0.25">
      <c r="B1428" t="s">
        <v>449</v>
      </c>
      <c r="C1428" s="19">
        <v>0</v>
      </c>
      <c r="D1428" s="19">
        <v>0</v>
      </c>
      <c r="E1428" s="66">
        <f>C20+D20/12</f>
        <v>0</v>
      </c>
      <c r="F1428" s="67">
        <v>0</v>
      </c>
      <c r="H1428" s="19">
        <v>0</v>
      </c>
      <c r="I1428" s="64" t="s">
        <v>196</v>
      </c>
      <c r="J1428" s="19">
        <v>0</v>
      </c>
      <c r="K1428" s="19">
        <v>0</v>
      </c>
      <c r="L1428" s="19">
        <v>0</v>
      </c>
      <c r="M1428" s="19">
        <v>0</v>
      </c>
      <c r="P1428" s="93"/>
      <c r="Q1428" t="s">
        <v>449</v>
      </c>
      <c r="R1428" s="19">
        <f>$H$20</f>
        <v>0</v>
      </c>
      <c r="S1428">
        <f>R1428*0.6</f>
        <v>0</v>
      </c>
      <c r="T1428">
        <f>$C$53/2*R1428</f>
        <v>0</v>
      </c>
      <c r="U1428">
        <f>T1428*0.6</f>
        <v>0</v>
      </c>
      <c r="V1428" s="19">
        <v>0</v>
      </c>
      <c r="W1428">
        <f>V1428*0.7</f>
        <v>0</v>
      </c>
      <c r="X1428">
        <f>$C$53/2*V1428</f>
        <v>0</v>
      </c>
      <c r="Y1428">
        <f>X1428*0.7</f>
        <v>0</v>
      </c>
      <c r="Z1428" s="19">
        <f>$H$20</f>
        <v>0</v>
      </c>
      <c r="AA1428">
        <f>Z1428*0.6</f>
        <v>0</v>
      </c>
      <c r="AB1428">
        <f>$D$53/2*Z1428</f>
        <v>0</v>
      </c>
      <c r="AC1428">
        <f t="shared" ref="AC1428:AC1434" si="869">0.6*AB1428</f>
        <v>0</v>
      </c>
      <c r="AD1428" s="19">
        <v>0</v>
      </c>
      <c r="AE1428">
        <f>AD1428*0.7</f>
        <v>0</v>
      </c>
      <c r="AF1428">
        <f>$D$53/2*AD1428</f>
        <v>0</v>
      </c>
      <c r="AG1428">
        <f>AF1428*0.7</f>
        <v>0</v>
      </c>
      <c r="AH1428" s="19">
        <v>0</v>
      </c>
      <c r="AI1428" s="19">
        <v>0</v>
      </c>
      <c r="AJ1428" s="17">
        <f>T1428+AB1428+AH1428</f>
        <v>0</v>
      </c>
      <c r="AK1428" s="17">
        <f>AK1429+AJ1428</f>
        <v>13166</v>
      </c>
      <c r="AL1428" s="17">
        <f>AJ1428*0.6</f>
        <v>0</v>
      </c>
      <c r="AM1428" s="17">
        <f>AM1429+AL1428</f>
        <v>7899.5999999999995</v>
      </c>
      <c r="AN1428" s="17">
        <f>X1428+AF1428+AI1428</f>
        <v>0</v>
      </c>
      <c r="AO1428" s="17">
        <f t="shared" ref="AO1428:AQ1431" si="870">AN1428+AO1429</f>
        <v>1302.0999999999999</v>
      </c>
      <c r="AP1428" s="17">
        <f>AN1428*0.7</f>
        <v>0</v>
      </c>
      <c r="AQ1428" s="17">
        <f>AP1428+AQ1429</f>
        <v>911.46999999999991</v>
      </c>
      <c r="AR1428" s="100"/>
      <c r="AS1428" s="93"/>
      <c r="AT1428" t="s">
        <v>449</v>
      </c>
      <c r="AU1428" s="19">
        <f>$H$20</f>
        <v>0</v>
      </c>
      <c r="AV1428">
        <f>AU1428*0.6</f>
        <v>0</v>
      </c>
      <c r="AW1428">
        <f t="shared" ref="AW1428:AW1434" si="871">$I$53/2*AU1428</f>
        <v>0</v>
      </c>
      <c r="AX1428">
        <f>AW1428*0.6</f>
        <v>0</v>
      </c>
      <c r="AY1428" s="19">
        <v>0</v>
      </c>
      <c r="AZ1428">
        <f>AY1428*0.7</f>
        <v>0</v>
      </c>
      <c r="BA1428">
        <f t="shared" ref="BA1428:BA1433" si="872">$I$53/2*AY1428</f>
        <v>0</v>
      </c>
      <c r="BB1428">
        <f>BA1428*0.7</f>
        <v>0</v>
      </c>
      <c r="BC1428" s="19">
        <f>$H$20</f>
        <v>0</v>
      </c>
      <c r="BD1428">
        <f>BC1428*0.6</f>
        <v>0</v>
      </c>
      <c r="BE1428">
        <f t="shared" ref="BE1428:BE1434" si="873">$J$53/2*BC1428</f>
        <v>0</v>
      </c>
      <c r="BF1428">
        <f t="shared" ref="BF1428:BF1434" si="874">0.6*BE1428</f>
        <v>0</v>
      </c>
      <c r="BG1428" s="19">
        <v>0</v>
      </c>
      <c r="BH1428">
        <f>BG1428*0.7</f>
        <v>0</v>
      </c>
      <c r="BI1428">
        <f t="shared" ref="BI1428:BI1433" si="875">$J$53/2*BG1428</f>
        <v>0</v>
      </c>
      <c r="BJ1428">
        <f>BI1428*0.7</f>
        <v>0</v>
      </c>
      <c r="BK1428" s="19">
        <v>0</v>
      </c>
      <c r="BL1428" s="19">
        <v>0</v>
      </c>
      <c r="BM1428" s="17">
        <f>AW1428+BE1428+BK1428</f>
        <v>0</v>
      </c>
      <c r="BN1428" s="17">
        <f>BN1429+BM1428</f>
        <v>12258</v>
      </c>
      <c r="BO1428" s="17">
        <f>BM1428*0.6</f>
        <v>0</v>
      </c>
      <c r="BP1428" s="17">
        <f>BP1429+BO1428</f>
        <v>7354.7999999999993</v>
      </c>
      <c r="BQ1428" s="17">
        <f>BA1428+BI1428+BL1428</f>
        <v>0</v>
      </c>
      <c r="BR1428" s="17">
        <f t="shared" ref="BR1428:BR1431" si="876">BQ1428+BR1429</f>
        <v>1212.3</v>
      </c>
      <c r="BS1428" s="17">
        <f>BQ1428*0.7</f>
        <v>0</v>
      </c>
      <c r="BT1428" s="17">
        <f>BS1428+BT1429</f>
        <v>848.6099999999999</v>
      </c>
      <c r="BU1428" s="100"/>
    </row>
    <row r="1429" x14ac:dyDescent="0.25">
      <c r="B1429" t="s">
        <v>450</v>
      </c>
      <c r="C1429" s="19">
        <v>10</v>
      </c>
      <c r="D1429" s="19">
        <v>8.25</v>
      </c>
      <c r="E1429" s="66">
        <f>C21+D21/12</f>
        <v>10.6875</v>
      </c>
      <c r="F1429" s="67">
        <f>IF(E21&gt;0,E21-(C15+C14+2*1.5+IF(C13="single",1.5,3))/12-_xlfn.XLOOKUP(E21,E20,E20,,-1),0)</f>
        <v>8.75</v>
      </c>
      <c r="H1429" s="19">
        <v>236</v>
      </c>
      <c r="I1429" s="64" t="s">
        <v>196</v>
      </c>
      <c r="J1429" s="19">
        <v>33.799999999999997</v>
      </c>
      <c r="K1429" s="19">
        <v>65.599999999999994</v>
      </c>
      <c r="L1429" s="19">
        <v>19.3</v>
      </c>
      <c r="M1429" s="19">
        <v>119.6</v>
      </c>
      <c r="P1429" s="93"/>
      <c r="Q1429" t="s">
        <v>450</v>
      </c>
      <c r="R1429" s="19">
        <f>$H$21</f>
        <v>236</v>
      </c>
      <c r="S1429">
        <f t="shared" ref="S1429:S1434" si="877">R1429*0.6</f>
        <v>141.6</v>
      </c>
      <c r="T1429">
        <f t="shared" ref="T1429:T1433" si="878">$C$53/2*R1429</f>
        <v>0</v>
      </c>
      <c r="U1429">
        <f>T1429*0.6</f>
        <v>0</v>
      </c>
      <c r="V1429" s="19">
        <v>33.799999999999997</v>
      </c>
      <c r="W1429">
        <f t="shared" ref="W1429:W1433" si="879">V1429*0.7</f>
        <v>23.659999999999997</v>
      </c>
      <c r="X1429">
        <f t="shared" ref="X1429:X1433" si="880">$C$53/2*V1429</f>
        <v>0</v>
      </c>
      <c r="Y1429">
        <f t="shared" ref="Y1429:Y1433" si="881">X1429*0.7</f>
        <v>0</v>
      </c>
      <c r="Z1429" s="19">
        <f>$H$21</f>
        <v>236</v>
      </c>
      <c r="AA1429">
        <f t="shared" ref="AA1429:AA1433" si="882">Z1429*0.6</f>
        <v>141.6</v>
      </c>
      <c r="AB1429">
        <f t="shared" ref="AB1429:AB1433" si="883">$D$53/2*Z1429</f>
        <v>3422</v>
      </c>
      <c r="AC1429">
        <f t="shared" si="869"/>
        <v>2053.1999999999998</v>
      </c>
      <c r="AD1429" s="19">
        <v>33.799999999999997</v>
      </c>
      <c r="AE1429">
        <f t="shared" ref="AE1429:AE1433" si="884">AD1429*0.7</f>
        <v>23.659999999999997</v>
      </c>
      <c r="AF1429">
        <f t="shared" ref="AF1429:AF1433" si="885">$D$53/2*AD1429</f>
        <v>490.09999999999997</v>
      </c>
      <c r="AG1429">
        <f t="shared" ref="AG1429:AG1433" si="886">AF1429*0.7</f>
        <v>343.06999999999994</v>
      </c>
      <c r="AH1429" s="19">
        <v>0</v>
      </c>
      <c r="AI1429" s="19">
        <v>0</v>
      </c>
      <c r="AJ1429" s="17">
        <f>T1429+AB1429+AH1429</f>
        <v>3422</v>
      </c>
      <c r="AK1429" s="17">
        <f>AK1430+AJ1429</f>
        <v>13166</v>
      </c>
      <c r="AL1429" s="17">
        <f t="shared" ref="AL1429:AL1433" si="887">AJ1429*0.6</f>
        <v>2053.1999999999998</v>
      </c>
      <c r="AM1429" s="17">
        <f t="shared" ref="AM1429:AM1431" si="888">AM1430+AL1429</f>
        <v>7899.5999999999995</v>
      </c>
      <c r="AN1429" s="17">
        <f t="shared" ref="AN1429:AN1432" si="889">X1429+AF1429+AI1429</f>
        <v>490.09999999999997</v>
      </c>
      <c r="AO1429" s="17">
        <f t="shared" si="870"/>
        <v>1302.0999999999999</v>
      </c>
      <c r="AP1429" s="17">
        <f t="shared" ref="AP1429:AP1432" si="890">AN1429*0.7</f>
        <v>343.06999999999994</v>
      </c>
      <c r="AQ1429" s="17">
        <f t="shared" si="870"/>
        <v>911.46999999999991</v>
      </c>
      <c r="AR1429" s="100"/>
      <c r="AS1429" s="93"/>
      <c r="AT1429" t="s">
        <v>450</v>
      </c>
      <c r="AU1429" s="19">
        <f>$H$21</f>
        <v>236</v>
      </c>
      <c r="AV1429">
        <f t="shared" ref="AV1429:AV1434" si="891">AU1429*0.6</f>
        <v>141.6</v>
      </c>
      <c r="AW1429">
        <f t="shared" si="871"/>
        <v>0</v>
      </c>
      <c r="AX1429">
        <f>AW1429*0.6</f>
        <v>0</v>
      </c>
      <c r="AY1429" s="19">
        <v>33.799999999999997</v>
      </c>
      <c r="AZ1429">
        <f t="shared" ref="AZ1429:AZ1433" si="892">AY1429*0.7</f>
        <v>23.659999999999997</v>
      </c>
      <c r="BA1429">
        <f t="shared" si="872"/>
        <v>0</v>
      </c>
      <c r="BB1429">
        <f t="shared" ref="BB1429:BB1433" si="893">BA1429*0.7</f>
        <v>0</v>
      </c>
      <c r="BC1429" s="19">
        <f>$H$21</f>
        <v>236</v>
      </c>
      <c r="BD1429">
        <f t="shared" ref="BD1429:BD1433" si="894">BC1429*0.6</f>
        <v>141.6</v>
      </c>
      <c r="BE1429">
        <f t="shared" si="873"/>
        <v>3186</v>
      </c>
      <c r="BF1429">
        <f t="shared" si="874"/>
        <v>1911.6</v>
      </c>
      <c r="BG1429" s="19">
        <v>33.799999999999997</v>
      </c>
      <c r="BH1429">
        <f t="shared" ref="BH1429:BH1433" si="895">BG1429*0.7</f>
        <v>23.659999999999997</v>
      </c>
      <c r="BI1429">
        <f t="shared" si="875"/>
        <v>456.29999999999995</v>
      </c>
      <c r="BJ1429">
        <f t="shared" ref="BJ1429:BJ1433" si="896">BI1429*0.7</f>
        <v>319.40999999999997</v>
      </c>
      <c r="BK1429" s="19">
        <v>0</v>
      </c>
      <c r="BL1429" s="19">
        <v>0</v>
      </c>
      <c r="BM1429" s="17">
        <f>AW1429+BE1429+BK1429</f>
        <v>3186</v>
      </c>
      <c r="BN1429" s="17">
        <f>BN1430+BM1429</f>
        <v>12258</v>
      </c>
      <c r="BO1429" s="17">
        <f t="shared" ref="BO1429" si="897">BM1429*0.6</f>
        <v>1911.6</v>
      </c>
      <c r="BP1429" s="17">
        <f t="shared" ref="BP1429:BP1431" si="898">BP1430+BO1429</f>
        <v>7354.7999999999993</v>
      </c>
      <c r="BQ1429" s="17">
        <f t="shared" ref="BQ1429:BQ1432" si="899">BA1429+BI1429+BL1429</f>
        <v>456.29999999999995</v>
      </c>
      <c r="BR1429" s="17">
        <f t="shared" si="876"/>
        <v>1212.3</v>
      </c>
      <c r="BS1429" s="17">
        <f t="shared" ref="BS1429:BS1432" si="900">BQ1429*0.7</f>
        <v>319.40999999999997</v>
      </c>
      <c r="BT1429" s="17">
        <f t="shared" ref="BT1429:BT1431" si="901">BS1429+BT1430</f>
        <v>848.6099999999999</v>
      </c>
      <c r="BU1429" s="100"/>
    </row>
    <row r="1430" x14ac:dyDescent="0.25">
      <c r="B1430" t="s">
        <v>451</v>
      </c>
      <c r="C1430" s="19">
        <v>21</v>
      </c>
      <c r="D1430" s="19">
        <v>4.5</v>
      </c>
      <c r="E1430" s="66">
        <f t="shared" ref="E22:E25" si="902">C22+D22/12</f>
        <v>21.375</v>
      </c>
      <c r="F1430" s="67">
        <f>IF(E22&gt;0,E22-(C15+C14+2*1.5+IF(C13="single",1.5,3))/12-_xlfn.XLOOKUP(E22,E20:E21,E20:E21,,-1),0)</f>
        <v>8.75</v>
      </c>
      <c r="H1430" s="19">
        <v>229</v>
      </c>
      <c r="I1430" s="64" t="s">
        <v>196</v>
      </c>
      <c r="J1430" s="19">
        <v>37.1</v>
      </c>
      <c r="K1430" s="19">
        <v>71.8</v>
      </c>
      <c r="L1430" s="19">
        <v>21.1</v>
      </c>
      <c r="M1430" s="19">
        <v>131.1</v>
      </c>
      <c r="P1430" s="93"/>
      <c r="Q1430" t="s">
        <v>451</v>
      </c>
      <c r="R1430" s="19">
        <f>$H$22</f>
        <v>229</v>
      </c>
      <c r="S1430">
        <f t="shared" si="877"/>
        <v>137.4</v>
      </c>
      <c r="T1430">
        <f t="shared" si="878"/>
        <v>0</v>
      </c>
      <c r="U1430">
        <f t="shared" ref="U1430:U1434" si="903">T1430*0.6</f>
        <v>0</v>
      </c>
      <c r="V1430" s="19">
        <v>37.1</v>
      </c>
      <c r="W1430">
        <f t="shared" si="879"/>
        <v>25.97</v>
      </c>
      <c r="X1430">
        <f>$C$53/2*V1430</f>
        <v>0</v>
      </c>
      <c r="Y1430">
        <f t="shared" si="881"/>
        <v>0</v>
      </c>
      <c r="Z1430" s="19">
        <f>$H$22</f>
        <v>229</v>
      </c>
      <c r="AA1430">
        <f t="shared" si="882"/>
        <v>137.4</v>
      </c>
      <c r="AB1430">
        <f t="shared" si="883"/>
        <v>3320.5</v>
      </c>
      <c r="AC1430">
        <f t="shared" si="869"/>
        <v>1992.3</v>
      </c>
      <c r="AD1430" s="19">
        <v>37.1</v>
      </c>
      <c r="AE1430">
        <f t="shared" si="884"/>
        <v>25.97</v>
      </c>
      <c r="AF1430">
        <f t="shared" si="885"/>
        <v>537.95000000000005</v>
      </c>
      <c r="AG1430">
        <f t="shared" si="886"/>
        <v>376.565</v>
      </c>
      <c r="AH1430" s="19">
        <v>0</v>
      </c>
      <c r="AI1430" s="19">
        <v>0</v>
      </c>
      <c r="AJ1430" s="17">
        <f t="shared" ref="AJ1430:AJ1432" si="904">T1430+AB1430+AH1430</f>
        <v>3320.5</v>
      </c>
      <c r="AK1430" s="17">
        <f>AK1431+AJ1430</f>
        <v>9744</v>
      </c>
      <c r="AL1430" s="17">
        <f>AJ1430*0.6</f>
        <v>1992.3</v>
      </c>
      <c r="AM1430" s="17">
        <f t="shared" si="888"/>
        <v>5846.4</v>
      </c>
      <c r="AN1430" s="17">
        <f t="shared" si="889"/>
        <v>537.95000000000005</v>
      </c>
      <c r="AO1430" s="17">
        <f t="shared" si="870"/>
        <v>812</v>
      </c>
      <c r="AP1430" s="17">
        <f t="shared" si="890"/>
        <v>376.565</v>
      </c>
      <c r="AQ1430" s="17">
        <f t="shared" si="870"/>
        <v>568.4</v>
      </c>
      <c r="AR1430" s="100"/>
      <c r="AS1430" s="93"/>
      <c r="AT1430" t="s">
        <v>451</v>
      </c>
      <c r="AU1430" s="19">
        <f>$H$22</f>
        <v>229</v>
      </c>
      <c r="AV1430">
        <f t="shared" si="891"/>
        <v>137.4</v>
      </c>
      <c r="AW1430">
        <f t="shared" si="871"/>
        <v>0</v>
      </c>
      <c r="AX1430">
        <f t="shared" ref="AX1430:AX1434" si="905">AW1430*0.6</f>
        <v>0</v>
      </c>
      <c r="AY1430" s="19">
        <v>37.1</v>
      </c>
      <c r="AZ1430">
        <f t="shared" si="892"/>
        <v>25.97</v>
      </c>
      <c r="BA1430">
        <f t="shared" si="872"/>
        <v>0</v>
      </c>
      <c r="BB1430">
        <f t="shared" si="893"/>
        <v>0</v>
      </c>
      <c r="BC1430" s="19">
        <f>$H$22</f>
        <v>229</v>
      </c>
      <c r="BD1430">
        <f t="shared" si="894"/>
        <v>137.4</v>
      </c>
      <c r="BE1430">
        <f t="shared" si="873"/>
        <v>3091.5</v>
      </c>
      <c r="BF1430">
        <f t="shared" si="874"/>
        <v>1854.8999999999999</v>
      </c>
      <c r="BG1430" s="19">
        <v>37.1</v>
      </c>
      <c r="BH1430">
        <f t="shared" si="895"/>
        <v>25.97</v>
      </c>
      <c r="BI1430">
        <f t="shared" si="875"/>
        <v>500.85</v>
      </c>
      <c r="BJ1430">
        <f t="shared" si="896"/>
        <v>350.59499999999997</v>
      </c>
      <c r="BK1430" s="19">
        <v>0</v>
      </c>
      <c r="BL1430" s="19">
        <v>0</v>
      </c>
      <c r="BM1430" s="17">
        <f t="shared" ref="BM1430:BM1432" si="906">AW1430+BE1430+BK1430</f>
        <v>3091.5</v>
      </c>
      <c r="BN1430" s="17">
        <f>BN1431+BM1430</f>
        <v>9072</v>
      </c>
      <c r="BO1430" s="17">
        <f>BM1430*0.6</f>
        <v>1854.8999999999999</v>
      </c>
      <c r="BP1430" s="17">
        <f t="shared" si="898"/>
        <v>5443.2</v>
      </c>
      <c r="BQ1430" s="17">
        <f t="shared" si="899"/>
        <v>500.85</v>
      </c>
      <c r="BR1430" s="17">
        <f t="shared" si="876"/>
        <v>756</v>
      </c>
      <c r="BS1430" s="17">
        <f t="shared" si="900"/>
        <v>350.59499999999997</v>
      </c>
      <c r="BT1430" s="17">
        <f t="shared" si="901"/>
        <v>529.19999999999993</v>
      </c>
      <c r="BU1430" s="100"/>
    </row>
    <row r="1431" x14ac:dyDescent="0.25">
      <c r="B1431" t="s">
        <v>452</v>
      </c>
      <c r="C1431" s="19">
        <v>0</v>
      </c>
      <c r="D1431" s="19">
        <v>0</v>
      </c>
      <c r="E1431" s="66">
        <f t="shared" si="902"/>
        <v>0</v>
      </c>
      <c r="F1431" s="67">
        <f>IF(E23&gt;0,E23-(C15+C14+2*1.5+IF(C13="single",1.5,3))/12-_xlfn.XLOOKUP(E23,E20:E22,E20:E22,,-1),0)</f>
        <v>0</v>
      </c>
      <c r="H1431" s="19">
        <v>0</v>
      </c>
      <c r="I1431" s="64" t="s">
        <v>196</v>
      </c>
      <c r="J1431" s="19">
        <v>0</v>
      </c>
      <c r="K1431" s="19">
        <v>0</v>
      </c>
      <c r="L1431" s="19">
        <v>0</v>
      </c>
      <c r="M1431" s="19">
        <v>0</v>
      </c>
      <c r="P1431" s="93"/>
      <c r="Q1431" t="s">
        <v>452</v>
      </c>
      <c r="R1431" s="19">
        <f>$H$23</f>
        <v>0</v>
      </c>
      <c r="S1431">
        <f t="shared" si="877"/>
        <v>0</v>
      </c>
      <c r="T1431">
        <f t="shared" si="878"/>
        <v>0</v>
      </c>
      <c r="U1431">
        <f t="shared" si="903"/>
        <v>0</v>
      </c>
      <c r="V1431" s="19">
        <v>0</v>
      </c>
      <c r="W1431">
        <f t="shared" si="879"/>
        <v>0</v>
      </c>
      <c r="X1431">
        <f t="shared" si="880"/>
        <v>0</v>
      </c>
      <c r="Y1431">
        <f t="shared" si="881"/>
        <v>0</v>
      </c>
      <c r="Z1431" s="19">
        <f>$H$23</f>
        <v>0</v>
      </c>
      <c r="AA1431">
        <f t="shared" si="882"/>
        <v>0</v>
      </c>
      <c r="AB1431">
        <f t="shared" si="883"/>
        <v>0</v>
      </c>
      <c r="AC1431">
        <f t="shared" si="869"/>
        <v>0</v>
      </c>
      <c r="AD1431" s="19">
        <v>0</v>
      </c>
      <c r="AE1431">
        <f t="shared" si="884"/>
        <v>0</v>
      </c>
      <c r="AF1431">
        <f t="shared" si="885"/>
        <v>0</v>
      </c>
      <c r="AG1431">
        <f t="shared" si="886"/>
        <v>0</v>
      </c>
      <c r="AH1431" s="19">
        <v>0</v>
      </c>
      <c r="AI1431" s="19">
        <v>0</v>
      </c>
      <c r="AJ1431" s="17">
        <f t="shared" si="904"/>
        <v>0</v>
      </c>
      <c r="AK1431" s="17">
        <f>AK1432+AJ1431</f>
        <v>6423.5</v>
      </c>
      <c r="AL1431" s="17">
        <f>AJ1431*0.6</f>
        <v>0</v>
      </c>
      <c r="AM1431" s="17">
        <f t="shared" si="888"/>
        <v>3854.1</v>
      </c>
      <c r="AN1431" s="17">
        <f t="shared" si="889"/>
        <v>0</v>
      </c>
      <c r="AO1431" s="17">
        <f t="shared" si="870"/>
        <v>274.04999999999995</v>
      </c>
      <c r="AP1431" s="17">
        <f t="shared" si="890"/>
        <v>0</v>
      </c>
      <c r="AQ1431" s="17">
        <f t="shared" si="870"/>
        <v>191.83499999999995</v>
      </c>
      <c r="AR1431" s="100"/>
      <c r="AS1431" s="93"/>
      <c r="AT1431" t="s">
        <v>452</v>
      </c>
      <c r="AU1431" s="19">
        <f>$H$23</f>
        <v>0</v>
      </c>
      <c r="AV1431">
        <f t="shared" si="891"/>
        <v>0</v>
      </c>
      <c r="AW1431">
        <f t="shared" si="871"/>
        <v>0</v>
      </c>
      <c r="AX1431">
        <f t="shared" si="905"/>
        <v>0</v>
      </c>
      <c r="AY1431" s="19">
        <v>0</v>
      </c>
      <c r="AZ1431">
        <f t="shared" si="892"/>
        <v>0</v>
      </c>
      <c r="BA1431">
        <f t="shared" si="872"/>
        <v>0</v>
      </c>
      <c r="BB1431">
        <f t="shared" si="893"/>
        <v>0</v>
      </c>
      <c r="BC1431" s="19">
        <f>$H$23</f>
        <v>0</v>
      </c>
      <c r="BD1431">
        <f t="shared" si="894"/>
        <v>0</v>
      </c>
      <c r="BE1431">
        <f t="shared" si="873"/>
        <v>0</v>
      </c>
      <c r="BF1431">
        <f t="shared" si="874"/>
        <v>0</v>
      </c>
      <c r="BG1431" s="19">
        <v>0</v>
      </c>
      <c r="BH1431">
        <f t="shared" si="895"/>
        <v>0</v>
      </c>
      <c r="BI1431">
        <f t="shared" si="875"/>
        <v>0</v>
      </c>
      <c r="BJ1431">
        <f t="shared" si="896"/>
        <v>0</v>
      </c>
      <c r="BK1431" s="19">
        <v>0</v>
      </c>
      <c r="BL1431" s="19">
        <v>0</v>
      </c>
      <c r="BM1431" s="17">
        <f t="shared" si="906"/>
        <v>0</v>
      </c>
      <c r="BN1431" s="17">
        <f>BN1432+BM1431</f>
        <v>5980.5</v>
      </c>
      <c r="BO1431" s="17">
        <f>BM1431*0.6</f>
        <v>0</v>
      </c>
      <c r="BP1431" s="17">
        <f t="shared" si="898"/>
        <v>3588.2999999999997</v>
      </c>
      <c r="BQ1431" s="17">
        <f t="shared" si="899"/>
        <v>0</v>
      </c>
      <c r="BR1431" s="17">
        <f t="shared" si="876"/>
        <v>255.14999999999998</v>
      </c>
      <c r="BS1431" s="17">
        <f t="shared" si="900"/>
        <v>0</v>
      </c>
      <c r="BT1431" s="17">
        <f t="shared" si="901"/>
        <v>178.60499999999996</v>
      </c>
      <c r="BU1431" s="100"/>
    </row>
    <row r="1432" x14ac:dyDescent="0.25">
      <c r="B1432" t="s">
        <v>453</v>
      </c>
      <c r="C1432" s="19">
        <v>0</v>
      </c>
      <c r="D1432" s="19">
        <v>0</v>
      </c>
      <c r="E1432" s="66">
        <f t="shared" si="902"/>
        <v>0</v>
      </c>
      <c r="F1432" s="67">
        <f>IF(E24&gt;0,E24-(C15+C14+2*1.5+IF(C13="single",1.5,3))/12-_xlfn.XLOOKUP(E24,E20:E23,E20:E23,,-1),0)</f>
        <v>0</v>
      </c>
      <c r="H1432" s="19">
        <v>0</v>
      </c>
      <c r="I1432" s="64" t="s">
        <v>196</v>
      </c>
      <c r="J1432" s="19">
        <v>0</v>
      </c>
      <c r="K1432" s="19">
        <v>0</v>
      </c>
      <c r="L1432" s="19">
        <v>0</v>
      </c>
      <c r="M1432" s="19">
        <v>0</v>
      </c>
      <c r="P1432" s="93"/>
      <c r="Q1432" t="s">
        <v>453</v>
      </c>
      <c r="R1432" s="19">
        <f>$H$24</f>
        <v>0</v>
      </c>
      <c r="S1432">
        <f t="shared" si="877"/>
        <v>0</v>
      </c>
      <c r="T1432">
        <f t="shared" si="878"/>
        <v>0</v>
      </c>
      <c r="U1432">
        <f t="shared" si="903"/>
        <v>0</v>
      </c>
      <c r="V1432" s="19">
        <v>0</v>
      </c>
      <c r="W1432">
        <f t="shared" si="879"/>
        <v>0</v>
      </c>
      <c r="X1432">
        <f t="shared" si="880"/>
        <v>0</v>
      </c>
      <c r="Y1432">
        <f t="shared" si="881"/>
        <v>0</v>
      </c>
      <c r="Z1432" s="19">
        <f>$H$24</f>
        <v>0</v>
      </c>
      <c r="AA1432">
        <f t="shared" si="882"/>
        <v>0</v>
      </c>
      <c r="AB1432">
        <f t="shared" si="883"/>
        <v>0</v>
      </c>
      <c r="AC1432">
        <f t="shared" si="869"/>
        <v>0</v>
      </c>
      <c r="AD1432" s="19">
        <v>0</v>
      </c>
      <c r="AE1432">
        <f t="shared" si="884"/>
        <v>0</v>
      </c>
      <c r="AF1432">
        <f t="shared" si="885"/>
        <v>0</v>
      </c>
      <c r="AG1432">
        <f t="shared" si="886"/>
        <v>0</v>
      </c>
      <c r="AH1432" s="19">
        <v>0</v>
      </c>
      <c r="AI1432" s="19">
        <v>0</v>
      </c>
      <c r="AJ1432" s="17">
        <f t="shared" si="904"/>
        <v>0</v>
      </c>
      <c r="AK1432" s="17">
        <f>AK1433+IF(AJ1432=0,0,AJ1432)</f>
        <v>6423.5</v>
      </c>
      <c r="AL1432" s="17">
        <f t="shared" si="887"/>
        <v>0</v>
      </c>
      <c r="AM1432" s="17">
        <f>AM1433+AL1432</f>
        <v>3854.1</v>
      </c>
      <c r="AN1432" s="17">
        <f t="shared" si="889"/>
        <v>0</v>
      </c>
      <c r="AO1432" s="17">
        <f>AN1432+AO1433</f>
        <v>274.04999999999995</v>
      </c>
      <c r="AP1432" s="17">
        <f t="shared" si="890"/>
        <v>0</v>
      </c>
      <c r="AQ1432" s="17">
        <f>AP1432+AQ1433</f>
        <v>191.83499999999995</v>
      </c>
      <c r="AR1432" s="100"/>
      <c r="AS1432" s="93"/>
      <c r="AT1432" t="s">
        <v>453</v>
      </c>
      <c r="AU1432" s="19">
        <f>$H$24</f>
        <v>0</v>
      </c>
      <c r="AV1432">
        <f t="shared" si="891"/>
        <v>0</v>
      </c>
      <c r="AW1432">
        <f t="shared" si="871"/>
        <v>0</v>
      </c>
      <c r="AX1432">
        <f t="shared" si="905"/>
        <v>0</v>
      </c>
      <c r="AY1432" s="19">
        <v>0</v>
      </c>
      <c r="AZ1432">
        <f t="shared" si="892"/>
        <v>0</v>
      </c>
      <c r="BA1432">
        <f t="shared" si="872"/>
        <v>0</v>
      </c>
      <c r="BB1432">
        <f t="shared" si="893"/>
        <v>0</v>
      </c>
      <c r="BC1432" s="19">
        <f>$H$24</f>
        <v>0</v>
      </c>
      <c r="BD1432">
        <f t="shared" si="894"/>
        <v>0</v>
      </c>
      <c r="BE1432">
        <f t="shared" si="873"/>
        <v>0</v>
      </c>
      <c r="BF1432">
        <f t="shared" si="874"/>
        <v>0</v>
      </c>
      <c r="BG1432" s="19">
        <v>0</v>
      </c>
      <c r="BH1432">
        <f t="shared" si="895"/>
        <v>0</v>
      </c>
      <c r="BI1432">
        <f t="shared" si="875"/>
        <v>0</v>
      </c>
      <c r="BJ1432">
        <f t="shared" si="896"/>
        <v>0</v>
      </c>
      <c r="BK1432" s="19">
        <v>0</v>
      </c>
      <c r="BL1432" s="19">
        <v>0</v>
      </c>
      <c r="BM1432" s="17">
        <f t="shared" si="906"/>
        <v>0</v>
      </c>
      <c r="BN1432" s="17">
        <f>BN1433+IF(BM1432=0,0,BM1432)</f>
        <v>5980.5</v>
      </c>
      <c r="BO1432" s="17">
        <f t="shared" ref="BO1432:BO1433" si="907">BM1432*0.6</f>
        <v>0</v>
      </c>
      <c r="BP1432" s="17">
        <f>BP1433+BO1432</f>
        <v>3588.2999999999997</v>
      </c>
      <c r="BQ1432" s="17">
        <f t="shared" si="899"/>
        <v>0</v>
      </c>
      <c r="BR1432" s="17">
        <f>BQ1432+BR1433</f>
        <v>255.14999999999998</v>
      </c>
      <c r="BS1432" s="17">
        <f t="shared" si="900"/>
        <v>0</v>
      </c>
      <c r="BT1432" s="17">
        <f>BS1432+BT1433</f>
        <v>178.60499999999996</v>
      </c>
      <c r="BU1432" s="100"/>
    </row>
    <row r="1433" x14ac:dyDescent="0.25">
      <c r="B1433" t="s">
        <v>275</v>
      </c>
      <c r="C1433" s="19">
        <f>(33+32)/2</f>
        <v>32.5</v>
      </c>
      <c r="D1433" s="19">
        <f>(10.5+5.625)/2</f>
        <v>8.0625</v>
      </c>
      <c r="E1433" s="68">
        <f t="shared" si="902"/>
        <v>33.171875</v>
      </c>
      <c r="F1433" s="69">
        <f>E25-(C17+C16+2*1.5+IF(C13="single",1.5,3))/12-_xlfn.XLOOKUP(E25,E20:E24,E20:E24,,-1)</f>
        <v>8.6770833333333321</v>
      </c>
      <c r="H1433" s="19">
        <v>443</v>
      </c>
      <c r="I1433" s="64" t="s">
        <v>196</v>
      </c>
      <c r="J1433" s="19">
        <v>18.899999999999999</v>
      </c>
      <c r="K1433" s="19">
        <v>36.6</v>
      </c>
      <c r="L1433" s="19">
        <v>10.8</v>
      </c>
      <c r="M1433" s="19">
        <v>66.7</v>
      </c>
      <c r="P1433" s="93"/>
      <c r="Q1433" t="s">
        <v>275</v>
      </c>
      <c r="R1433" s="19">
        <f>$H$25</f>
        <v>443</v>
      </c>
      <c r="S1433">
        <f t="shared" si="877"/>
        <v>265.8</v>
      </c>
      <c r="T1433">
        <f t="shared" si="878"/>
        <v>0</v>
      </c>
      <c r="U1433">
        <f t="shared" si="903"/>
        <v>0</v>
      </c>
      <c r="V1433" s="19">
        <v>18.899999999999999</v>
      </c>
      <c r="W1433">
        <f t="shared" si="879"/>
        <v>13.229999999999999</v>
      </c>
      <c r="X1433">
        <f t="shared" si="880"/>
        <v>0</v>
      </c>
      <c r="Y1433">
        <f t="shared" si="881"/>
        <v>0</v>
      </c>
      <c r="Z1433" s="19">
        <f>$H$25</f>
        <v>443</v>
      </c>
      <c r="AA1433">
        <f t="shared" si="882"/>
        <v>265.8</v>
      </c>
      <c r="AB1433">
        <f t="shared" si="883"/>
        <v>6423.5</v>
      </c>
      <c r="AC1433">
        <f t="shared" si="869"/>
        <v>3854.1</v>
      </c>
      <c r="AD1433" s="19">
        <v>18.899999999999999</v>
      </c>
      <c r="AE1433">
        <f t="shared" si="884"/>
        <v>13.229999999999999</v>
      </c>
      <c r="AF1433">
        <f t="shared" si="885"/>
        <v>274.04999999999995</v>
      </c>
      <c r="AG1433">
        <f t="shared" si="886"/>
        <v>191.83499999999995</v>
      </c>
      <c r="AH1433" s="19">
        <v>0</v>
      </c>
      <c r="AI1433" s="19">
        <v>0</v>
      </c>
      <c r="AJ1433" s="17">
        <f>T1433+AB1433+AH1433</f>
        <v>6423.5</v>
      </c>
      <c r="AK1433" s="17">
        <f>AJ1433</f>
        <v>6423.5</v>
      </c>
      <c r="AL1433" s="17">
        <f t="shared" si="887"/>
        <v>3854.1</v>
      </c>
      <c r="AM1433" s="17">
        <f>AL1433</f>
        <v>3854.1</v>
      </c>
      <c r="AN1433" s="17">
        <f>X1433+AF1433+AI1433</f>
        <v>274.04999999999995</v>
      </c>
      <c r="AO1433" s="17">
        <f>AN1433</f>
        <v>274.04999999999995</v>
      </c>
      <c r="AP1433" s="17">
        <f>AN1433*0.7</f>
        <v>191.83499999999995</v>
      </c>
      <c r="AQ1433" s="17">
        <f>AP1433</f>
        <v>191.83499999999995</v>
      </c>
      <c r="AR1433" s="100"/>
      <c r="AS1433" s="93"/>
      <c r="AT1433" t="s">
        <v>275</v>
      </c>
      <c r="AU1433" s="19">
        <f>$H$25</f>
        <v>443</v>
      </c>
      <c r="AV1433">
        <f t="shared" si="891"/>
        <v>265.8</v>
      </c>
      <c r="AW1433">
        <f t="shared" si="871"/>
        <v>0</v>
      </c>
      <c r="AX1433">
        <f t="shared" si="905"/>
        <v>0</v>
      </c>
      <c r="AY1433" s="19">
        <v>18.899999999999999</v>
      </c>
      <c r="AZ1433">
        <f t="shared" si="892"/>
        <v>13.229999999999999</v>
      </c>
      <c r="BA1433">
        <f t="shared" si="872"/>
        <v>0</v>
      </c>
      <c r="BB1433">
        <f t="shared" si="893"/>
        <v>0</v>
      </c>
      <c r="BC1433" s="19">
        <f>$H$25</f>
        <v>443</v>
      </c>
      <c r="BD1433">
        <f t="shared" si="894"/>
        <v>265.8</v>
      </c>
      <c r="BE1433">
        <f t="shared" si="873"/>
        <v>5980.5</v>
      </c>
      <c r="BF1433">
        <f t="shared" si="874"/>
        <v>3588.2999999999997</v>
      </c>
      <c r="BG1433" s="19">
        <v>18.899999999999999</v>
      </c>
      <c r="BH1433">
        <f t="shared" si="895"/>
        <v>13.229999999999999</v>
      </c>
      <c r="BI1433">
        <f t="shared" si="875"/>
        <v>255.14999999999998</v>
      </c>
      <c r="BJ1433">
        <f t="shared" si="896"/>
        <v>178.60499999999996</v>
      </c>
      <c r="BK1433" s="19">
        <v>0</v>
      </c>
      <c r="BL1433" s="19">
        <v>0</v>
      </c>
      <c r="BM1433" s="17">
        <f>AW1433+BE1433+BK1433</f>
        <v>5980.5</v>
      </c>
      <c r="BN1433" s="17">
        <f>BM1433</f>
        <v>5980.5</v>
      </c>
      <c r="BO1433" s="17">
        <f t="shared" si="907"/>
        <v>3588.2999999999997</v>
      </c>
      <c r="BP1433" s="17">
        <f>BO1433</f>
        <v>3588.2999999999997</v>
      </c>
      <c r="BQ1433" s="17">
        <f>BA1433+BI1433+BL1433</f>
        <v>255.14999999999998</v>
      </c>
      <c r="BR1433" s="17">
        <f>BQ1433</f>
        <v>255.14999999999998</v>
      </c>
      <c r="BS1433" s="17">
        <f>BQ1433*0.7</f>
        <v>178.60499999999996</v>
      </c>
      <c r="BT1433" s="17">
        <f>BS1433</f>
        <v>178.60499999999996</v>
      </c>
      <c r="BU1433" s="100"/>
    </row>
    <row r="1434" x14ac:dyDescent="0.25">
      <c r="B1434" t="s">
        <v>530</v>
      </c>
      <c r="E1434" s="73"/>
      <c r="F1434" s="73"/>
      <c r="H1434" s="19">
        <v>-22.9</v>
      </c>
      <c r="I1434" s="64" t="s">
        <v>270</v>
      </c>
      <c r="P1434" s="93"/>
      <c r="R1434" s="19">
        <f>$H$26</f>
        <v>-22.9</v>
      </c>
      <c r="S1434">
        <f t="shared" si="877"/>
        <v>-13.739999999999998</v>
      </c>
      <c r="T1434">
        <f>$I$53/2*R1434</f>
        <v>0</v>
      </c>
      <c r="U1434">
        <f t="shared" si="903"/>
        <v>0</v>
      </c>
      <c r="Z1434" s="19">
        <f>$H$26</f>
        <v>-22.9</v>
      </c>
      <c r="AA1434">
        <f>Z1434*0.6</f>
        <v>-13.739999999999998</v>
      </c>
      <c r="AB1434">
        <f>$J$53/2*Z1434</f>
        <v>-309.14999999999998</v>
      </c>
      <c r="AC1434">
        <f t="shared" si="869"/>
        <v>-185.48999999999998</v>
      </c>
      <c r="AR1434" s="100"/>
      <c r="AS1434" s="93"/>
      <c r="AU1434" s="19">
        <f>$H$26</f>
        <v>-22.9</v>
      </c>
      <c r="AV1434">
        <f t="shared" si="891"/>
        <v>-13.739999999999998</v>
      </c>
      <c r="AW1434">
        <f t="shared" si="871"/>
        <v>0</v>
      </c>
      <c r="AX1434">
        <f t="shared" si="905"/>
        <v>0</v>
      </c>
      <c r="BC1434" s="19">
        <f>$H$26</f>
        <v>-22.9</v>
      </c>
      <c r="BD1434">
        <f>BC1434*0.6</f>
        <v>-13.739999999999998</v>
      </c>
      <c r="BE1434">
        <f t="shared" si="873"/>
        <v>-309.14999999999998</v>
      </c>
      <c r="BF1434">
        <f t="shared" si="874"/>
        <v>-185.48999999999998</v>
      </c>
      <c r="BU1434" s="100"/>
    </row>
    <row r="1435" x14ac:dyDescent="0.25">
      <c r="B1435" t="s">
        <v>531</v>
      </c>
      <c r="C1435" s="1" t="s">
        <v>533</v>
      </c>
      <c r="D1435" s="19">
        <v>0.18</v>
      </c>
      <c r="E1435" s="73"/>
      <c r="F1435" s="73"/>
      <c r="H1435">
        <f>0.2*D27</f>
        <v>3.5999999999999997E-2</v>
      </c>
      <c r="I1435" s="64" t="s">
        <v>534</v>
      </c>
      <c r="P1435" s="93"/>
      <c r="Q1435" s="1"/>
      <c r="AR1435" s="100"/>
      <c r="AS1435" s="93"/>
      <c r="AT1435" s="1"/>
      <c r="BU1435" s="100"/>
    </row>
    <row r="1436" x14ac:dyDescent="0.25">
      <c r="P1436" s="93"/>
      <c r="Y1436" s="112" t="s">
        <v>752</v>
      </c>
      <c r="Z1436" s="112"/>
      <c r="AA1436" s="112"/>
      <c r="AB1436" s="112"/>
      <c r="AC1436" s="112"/>
      <c r="AR1436" s="100"/>
      <c r="AS1436" s="93"/>
      <c r="BB1436" s="112" t="s">
        <v>752</v>
      </c>
      <c r="BC1436" s="112"/>
      <c r="BD1436" s="112"/>
      <c r="BE1436" s="112"/>
      <c r="BF1436" s="112"/>
      <c r="BU1436" s="100"/>
    </row>
    <row r="1437" x14ac:dyDescent="0.25">
      <c r="B1437" t="s">
        <v>513</v>
      </c>
      <c r="P1437" s="93"/>
      <c r="Q1437" t="s">
        <v>479</v>
      </c>
      <c r="R1437" t="s">
        <v>491</v>
      </c>
      <c r="S1437" t="s">
        <v>508</v>
      </c>
      <c r="T1437" t="s">
        <v>507</v>
      </c>
      <c r="U1437" t="s">
        <v>535</v>
      </c>
      <c r="V1437" t="s">
        <v>536</v>
      </c>
      <c r="W1437" t="s">
        <v>479</v>
      </c>
      <c r="X1437" t="s">
        <v>537</v>
      </c>
      <c r="Y1437" t="s">
        <v>450</v>
      </c>
      <c r="Z1437" t="s">
        <v>451</v>
      </c>
      <c r="AA1437" t="s">
        <v>452</v>
      </c>
      <c r="AB1437" t="s">
        <v>453</v>
      </c>
      <c r="AC1437" t="s">
        <v>753</v>
      </c>
      <c r="AD1437" t="s">
        <v>519</v>
      </c>
      <c r="AR1437" s="100"/>
      <c r="AS1437" s="93"/>
      <c r="AT1437" t="s">
        <v>479</v>
      </c>
      <c r="AU1437" t="s">
        <v>491</v>
      </c>
      <c r="AV1437" t="s">
        <v>508</v>
      </c>
      <c r="AW1437" t="s">
        <v>507</v>
      </c>
      <c r="AX1437" t="s">
        <v>535</v>
      </c>
      <c r="AY1437" t="s">
        <v>536</v>
      </c>
      <c r="AZ1437" t="s">
        <v>479</v>
      </c>
      <c r="BA1437" t="s">
        <v>537</v>
      </c>
      <c r="BB1437" t="s">
        <v>450</v>
      </c>
      <c r="BC1437" t="s">
        <v>451</v>
      </c>
      <c r="BD1437" t="s">
        <v>452</v>
      </c>
      <c r="BE1437" t="s">
        <v>453</v>
      </c>
      <c r="BF1437" t="s">
        <v>753</v>
      </c>
      <c r="BG1437" t="s">
        <v>519</v>
      </c>
      <c r="BU1437" s="100"/>
    </row>
    <row r="1438" x14ac:dyDescent="0.25">
      <c r="B1438" s="1" t="s">
        <v>275</v>
      </c>
      <c r="C1438" s="19">
        <v>20</v>
      </c>
      <c r="D1438" t="s">
        <v>567</v>
      </c>
      <c r="P1438" s="93"/>
      <c r="Q1438" s="109" t="str">
        <f>R1424&amp;".01"</f>
        <v>A.01</v>
      </c>
      <c r="R1438" s="19">
        <v>29</v>
      </c>
      <c r="S1438" s="19">
        <v>12</v>
      </c>
      <c r="T1438">
        <f>S1438/2</f>
        <v>6</v>
      </c>
      <c r="U1438" s="19">
        <v>4</v>
      </c>
      <c r="V1438">
        <f>U1438/2</f>
        <v>2</v>
      </c>
      <c r="W1438" s="19" t="s">
        <v>515</v>
      </c>
      <c r="X1438" s="19">
        <v>6</v>
      </c>
      <c r="Y1438" s="19"/>
      <c r="Z1438" s="19"/>
      <c r="AA1438" s="19"/>
      <c r="AB1438" s="19"/>
      <c r="AC1438" s="19"/>
      <c r="AD1438" s="108">
        <f>R1438/R1454</f>
        <v>1</v>
      </c>
      <c r="AR1438" s="100"/>
      <c r="AS1438" s="93"/>
      <c r="AT1438" s="109" t="str">
        <f>AU$1424&amp;".01"</f>
        <v>1.01</v>
      </c>
      <c r="AU1438" s="19">
        <v>29</v>
      </c>
      <c r="AV1438" s="19">
        <v>12</v>
      </c>
      <c r="AW1438">
        <f>AV1438/2</f>
        <v>6</v>
      </c>
      <c r="AX1438" s="19">
        <v>4</v>
      </c>
      <c r="AY1438">
        <f>AX1438/2</f>
        <v>2</v>
      </c>
      <c r="AZ1438" s="19" t="s">
        <v>515</v>
      </c>
      <c r="BA1438" s="19">
        <v>6</v>
      </c>
      <c r="BB1438" s="19"/>
      <c r="BC1438" s="19"/>
      <c r="BD1438" s="19"/>
      <c r="BE1438" s="19"/>
      <c r="BF1438" s="19"/>
      <c r="BG1438" s="108">
        <f>AU1438/AU1454</f>
        <v>1</v>
      </c>
      <c r="BU1438" s="100"/>
    </row>
    <row r="1439" x14ac:dyDescent="0.25">
      <c r="B1439" s="1"/>
      <c r="C1439">
        <f>0.9*C30</f>
        <v>18</v>
      </c>
      <c r="D1439" t="s">
        <v>532</v>
      </c>
      <c r="P1439" s="93"/>
      <c r="Q1439" s="109" t="str">
        <f>R1424&amp;".02"</f>
        <v>A.02</v>
      </c>
      <c r="R1439" s="19"/>
      <c r="S1439" s="19"/>
      <c r="T1439">
        <f t="shared" ref="T1439:T1453" si="908">S1439/2</f>
        <v>0</v>
      </c>
      <c r="U1439" s="19"/>
      <c r="V1439">
        <f t="shared" ref="V1439:V1453" si="909">U1439/2</f>
        <v>0</v>
      </c>
      <c r="W1439" s="19"/>
      <c r="X1439" s="19"/>
      <c r="Y1439" s="19"/>
      <c r="Z1439" s="19"/>
      <c r="AA1439" s="19"/>
      <c r="AB1439" s="19"/>
      <c r="AC1439" s="19"/>
      <c r="AR1439" s="100"/>
      <c r="AS1439" s="93"/>
      <c r="AT1439" s="109" t="str">
        <f>AU$1424&amp;".02"</f>
        <v>1.02</v>
      </c>
      <c r="AU1439" s="19"/>
      <c r="AV1439" s="19"/>
      <c r="AW1439">
        <f t="shared" ref="AW1439:AW1453" si="910">AV1439/2</f>
        <v>0</v>
      </c>
      <c r="AX1439" s="19"/>
      <c r="AY1439">
        <f t="shared" ref="AY1439:AY1453" si="911">AX1439/2</f>
        <v>0</v>
      </c>
      <c r="AZ1439" s="19"/>
      <c r="BA1439" s="19"/>
      <c r="BB1439" s="19"/>
      <c r="BC1439" s="19"/>
      <c r="BD1439" s="19"/>
      <c r="BE1439" s="19"/>
      <c r="BF1439" s="19"/>
      <c r="BU1439" s="100"/>
    </row>
    <row r="1440" x14ac:dyDescent="0.25">
      <c r="B1440" s="1" t="s">
        <v>514</v>
      </c>
      <c r="C1440" s="19">
        <v>26</v>
      </c>
      <c r="D1440" t="s">
        <v>512</v>
      </c>
      <c r="P1440" s="93"/>
      <c r="Q1440" s="109" t="str">
        <f>R1424&amp;".03"</f>
        <v>A.03</v>
      </c>
      <c r="R1440" s="19"/>
      <c r="S1440" s="19"/>
      <c r="T1440">
        <f t="shared" si="908"/>
        <v>0</v>
      </c>
      <c r="U1440" s="19"/>
      <c r="V1440">
        <f t="shared" si="909"/>
        <v>0</v>
      </c>
      <c r="W1440" s="19"/>
      <c r="X1440" s="19"/>
      <c r="Y1440" s="19"/>
      <c r="Z1440" s="19"/>
      <c r="AA1440" s="19"/>
      <c r="AB1440" s="19"/>
      <c r="AC1440" s="19"/>
      <c r="AR1440" s="100"/>
      <c r="AS1440" s="93"/>
      <c r="AT1440" s="109" t="str">
        <f>AU$1424&amp;".03"</f>
        <v>1.03</v>
      </c>
      <c r="AU1440" s="19"/>
      <c r="AV1440" s="19"/>
      <c r="AW1440">
        <f t="shared" si="910"/>
        <v>0</v>
      </c>
      <c r="AX1440" s="19"/>
      <c r="AY1440">
        <f t="shared" si="911"/>
        <v>0</v>
      </c>
      <c r="AZ1440" s="19"/>
      <c r="BA1440" s="19"/>
      <c r="BB1440" s="19"/>
      <c r="BC1440" s="19"/>
      <c r="BD1440" s="19"/>
      <c r="BE1440" s="19"/>
      <c r="BF1440" s="19"/>
      <c r="BU1440" s="100"/>
    </row>
    <row r="1441" x14ac:dyDescent="0.25">
      <c r="B1441" s="1" t="s">
        <v>477</v>
      </c>
      <c r="C1441" s="19">
        <v>11</v>
      </c>
      <c r="D1441" t="s">
        <v>509</v>
      </c>
      <c r="P1441" s="93"/>
      <c r="Q1441" s="109" t="str">
        <f>R1424&amp;".04"</f>
        <v>A.04</v>
      </c>
      <c r="R1441" s="19"/>
      <c r="S1441" s="19"/>
      <c r="T1441">
        <f t="shared" si="908"/>
        <v>0</v>
      </c>
      <c r="U1441" s="19"/>
      <c r="V1441">
        <f t="shared" si="909"/>
        <v>0</v>
      </c>
      <c r="W1441" s="19"/>
      <c r="X1441" s="19"/>
      <c r="Y1441" s="19"/>
      <c r="Z1441" s="19"/>
      <c r="AA1441" s="19"/>
      <c r="AB1441" s="19"/>
      <c r="AC1441" s="19"/>
      <c r="AR1441" s="100"/>
      <c r="AS1441" s="93"/>
      <c r="AT1441" s="109" t="str">
        <f>AU$1424&amp;".04"</f>
        <v>1.04</v>
      </c>
      <c r="AU1441" s="19"/>
      <c r="AV1441" s="19"/>
      <c r="AW1441">
        <f t="shared" si="910"/>
        <v>0</v>
      </c>
      <c r="AX1441" s="19"/>
      <c r="AY1441">
        <f t="shared" si="911"/>
        <v>0</v>
      </c>
      <c r="AZ1441" s="19"/>
      <c r="BA1441" s="19"/>
      <c r="BB1441" s="19"/>
      <c r="BC1441" s="19"/>
      <c r="BD1441" s="19"/>
      <c r="BE1441" s="19"/>
      <c r="BF1441" s="19"/>
      <c r="BU1441" s="100"/>
    </row>
    <row r="1442" x14ac:dyDescent="0.25">
      <c r="B1442" s="1" t="s">
        <v>478</v>
      </c>
      <c r="C1442" s="19">
        <v>13</v>
      </c>
      <c r="D1442" t="s">
        <v>510</v>
      </c>
      <c r="P1442" s="93"/>
      <c r="Q1442" s="109" t="str">
        <f>R1424&amp;".05"</f>
        <v>A.05</v>
      </c>
      <c r="R1442" s="19"/>
      <c r="S1442" s="19"/>
      <c r="T1442">
        <f t="shared" si="908"/>
        <v>0</v>
      </c>
      <c r="U1442" s="19"/>
      <c r="V1442">
        <f t="shared" si="909"/>
        <v>0</v>
      </c>
      <c r="W1442" s="19"/>
      <c r="X1442" s="19"/>
      <c r="Y1442" s="19"/>
      <c r="Z1442" s="19"/>
      <c r="AA1442" s="19"/>
      <c r="AB1442" s="19"/>
      <c r="AC1442" s="19"/>
      <c r="AR1442" s="100"/>
      <c r="AS1442" s="93"/>
      <c r="AT1442" s="109" t="str">
        <f>AU$1424&amp;".05"</f>
        <v>1.05</v>
      </c>
      <c r="AU1442" s="19"/>
      <c r="AV1442" s="19"/>
      <c r="AW1442">
        <f t="shared" si="910"/>
        <v>0</v>
      </c>
      <c r="AX1442" s="19"/>
      <c r="AY1442">
        <f t="shared" si="911"/>
        <v>0</v>
      </c>
      <c r="AZ1442" s="19"/>
      <c r="BA1442" s="19"/>
      <c r="BB1442" s="19"/>
      <c r="BC1442" s="19"/>
      <c r="BD1442" s="19"/>
      <c r="BE1442" s="19"/>
      <c r="BF1442" s="19"/>
      <c r="BU1442" s="100"/>
    </row>
    <row r="1443" x14ac:dyDescent="0.25">
      <c r="B1443" s="1" t="s">
        <v>515</v>
      </c>
      <c r="C1443" s="19">
        <v>18</v>
      </c>
      <c r="D1443" t="s">
        <v>511</v>
      </c>
      <c r="P1443" s="93"/>
      <c r="Q1443" s="109" t="str">
        <f>R1424&amp;".06"</f>
        <v>A.06</v>
      </c>
      <c r="R1443" s="19"/>
      <c r="S1443" s="19"/>
      <c r="T1443">
        <f t="shared" si="908"/>
        <v>0</v>
      </c>
      <c r="U1443" s="19"/>
      <c r="V1443">
        <f t="shared" si="909"/>
        <v>0</v>
      </c>
      <c r="W1443" s="19"/>
      <c r="X1443" s="19"/>
      <c r="Y1443" s="19"/>
      <c r="Z1443" s="19"/>
      <c r="AA1443" s="19"/>
      <c r="AB1443" s="19"/>
      <c r="AC1443" s="19"/>
      <c r="AR1443" s="100"/>
      <c r="AS1443" s="93"/>
      <c r="AT1443" s="109" t="str">
        <f>AU$1424&amp;".06"</f>
        <v>1.06</v>
      </c>
      <c r="AU1443" s="19"/>
      <c r="AV1443" s="19"/>
      <c r="AW1443">
        <f t="shared" si="910"/>
        <v>0</v>
      </c>
      <c r="AX1443" s="19"/>
      <c r="AY1443">
        <f t="shared" si="911"/>
        <v>0</v>
      </c>
      <c r="AZ1443" s="19"/>
      <c r="BA1443" s="19"/>
      <c r="BB1443" s="19"/>
      <c r="BC1443" s="19"/>
      <c r="BD1443" s="19"/>
      <c r="BE1443" s="19"/>
      <c r="BF1443" s="19"/>
      <c r="BU1443" s="100"/>
    </row>
    <row r="1444" x14ac:dyDescent="0.25">
      <c r="B1444" s="1" t="s">
        <v>516</v>
      </c>
      <c r="P1444" s="93"/>
      <c r="Q1444" s="109" t="str">
        <f>R1424&amp;".07"</f>
        <v>A.07</v>
      </c>
      <c r="R1444" s="19"/>
      <c r="S1444" s="19"/>
      <c r="T1444">
        <f t="shared" si="908"/>
        <v>0</v>
      </c>
      <c r="U1444" s="19"/>
      <c r="V1444">
        <f t="shared" si="909"/>
        <v>0</v>
      </c>
      <c r="W1444" s="19"/>
      <c r="X1444" s="19"/>
      <c r="Y1444" s="19"/>
      <c r="Z1444" s="19"/>
      <c r="AA1444" s="19"/>
      <c r="AB1444" s="19"/>
      <c r="AC1444" s="19"/>
      <c r="AF1444" s="109"/>
      <c r="AR1444" s="100"/>
      <c r="AS1444" s="93"/>
      <c r="AT1444" s="109" t="str">
        <f>AU$1424&amp;".07"</f>
        <v>1.07</v>
      </c>
      <c r="AU1444" s="19"/>
      <c r="AV1444" s="19"/>
      <c r="AW1444">
        <f t="shared" si="910"/>
        <v>0</v>
      </c>
      <c r="AX1444" s="19"/>
      <c r="AY1444">
        <f t="shared" si="911"/>
        <v>0</v>
      </c>
      <c r="AZ1444" s="19"/>
      <c r="BA1444" s="19"/>
      <c r="BB1444" s="19"/>
      <c r="BC1444" s="19"/>
      <c r="BD1444" s="19"/>
      <c r="BE1444" s="19"/>
      <c r="BF1444" s="19"/>
      <c r="BI1444" s="109"/>
      <c r="BU1444" s="100"/>
    </row>
    <row r="1445" x14ac:dyDescent="0.25">
      <c r="B1445" s="1" t="s">
        <v>517</v>
      </c>
      <c r="P1445" s="93"/>
      <c r="Q1445" s="109" t="str">
        <f>R1424&amp;".08"</f>
        <v>A.08</v>
      </c>
      <c r="R1445" s="19"/>
      <c r="S1445" s="19"/>
      <c r="T1445">
        <f t="shared" si="908"/>
        <v>0</v>
      </c>
      <c r="U1445" s="19"/>
      <c r="V1445">
        <f t="shared" si="909"/>
        <v>0</v>
      </c>
      <c r="W1445" s="19"/>
      <c r="X1445" s="19"/>
      <c r="Y1445" s="19"/>
      <c r="Z1445" s="19"/>
      <c r="AA1445" s="19"/>
      <c r="AB1445" s="19"/>
      <c r="AC1445" s="19"/>
      <c r="AF1445" s="109"/>
      <c r="AR1445" s="100"/>
      <c r="AS1445" s="93"/>
      <c r="AT1445" s="109" t="str">
        <f>AU$1424&amp;".08"</f>
        <v>1.08</v>
      </c>
      <c r="AU1445" s="19"/>
      <c r="AV1445" s="19"/>
      <c r="AW1445">
        <f t="shared" si="910"/>
        <v>0</v>
      </c>
      <c r="AX1445" s="19"/>
      <c r="AY1445">
        <f t="shared" si="911"/>
        <v>0</v>
      </c>
      <c r="AZ1445" s="19"/>
      <c r="BA1445" s="19"/>
      <c r="BB1445" s="19"/>
      <c r="BC1445" s="19"/>
      <c r="BD1445" s="19"/>
      <c r="BE1445" s="19"/>
      <c r="BF1445" s="19"/>
      <c r="BI1445" s="109"/>
      <c r="BU1445" s="100"/>
    </row>
    <row r="1446" x14ac:dyDescent="0.25">
      <c r="B1446" s="1" t="s">
        <v>518</v>
      </c>
      <c r="P1446" s="93"/>
      <c r="Q1446" s="109" t="str">
        <f>R1424&amp;".09"</f>
        <v>A.09</v>
      </c>
      <c r="R1446" s="19"/>
      <c r="S1446" s="19"/>
      <c r="T1446">
        <f t="shared" si="908"/>
        <v>0</v>
      </c>
      <c r="U1446" s="19"/>
      <c r="V1446">
        <f t="shared" si="909"/>
        <v>0</v>
      </c>
      <c r="W1446" s="19"/>
      <c r="X1446" s="19"/>
      <c r="Y1446" s="19"/>
      <c r="Z1446" s="19"/>
      <c r="AA1446" s="19"/>
      <c r="AB1446" s="19"/>
      <c r="AC1446" s="19"/>
      <c r="AF1446" s="109"/>
      <c r="AR1446" s="100"/>
      <c r="AS1446" s="93"/>
      <c r="AT1446" s="109" t="str">
        <f>AU$1424&amp;".09"</f>
        <v>1.09</v>
      </c>
      <c r="AU1446" s="19"/>
      <c r="AV1446" s="19"/>
      <c r="AW1446">
        <f t="shared" si="910"/>
        <v>0</v>
      </c>
      <c r="AX1446" s="19"/>
      <c r="AY1446">
        <f t="shared" si="911"/>
        <v>0</v>
      </c>
      <c r="AZ1446" s="19"/>
      <c r="BA1446" s="19"/>
      <c r="BB1446" s="19"/>
      <c r="BC1446" s="19"/>
      <c r="BD1446" s="19"/>
      <c r="BE1446" s="19"/>
      <c r="BF1446" s="19"/>
      <c r="BI1446" s="109"/>
      <c r="BU1446" s="100"/>
    </row>
    <row r="1447" x14ac:dyDescent="0.25">
      <c r="P1447" s="93"/>
      <c r="Q1447" s="109" t="str">
        <f>R1424&amp;".10"</f>
        <v>A.10</v>
      </c>
      <c r="R1447" s="19"/>
      <c r="S1447" s="19"/>
      <c r="T1447">
        <f t="shared" si="908"/>
        <v>0</v>
      </c>
      <c r="U1447" s="19"/>
      <c r="V1447">
        <f t="shared" si="909"/>
        <v>0</v>
      </c>
      <c r="W1447" s="19"/>
      <c r="X1447" s="19"/>
      <c r="Y1447" s="19"/>
      <c r="Z1447" s="19"/>
      <c r="AA1447" s="19"/>
      <c r="AB1447" s="19"/>
      <c r="AC1447" s="19"/>
      <c r="AF1447" s="109"/>
      <c r="AR1447" s="100"/>
      <c r="AS1447" s="93"/>
      <c r="AT1447" s="109" t="str">
        <f>AU$1424&amp;".10"</f>
        <v>1.10</v>
      </c>
      <c r="AU1447" s="19"/>
      <c r="AV1447" s="19"/>
      <c r="AW1447">
        <f t="shared" si="910"/>
        <v>0</v>
      </c>
      <c r="AX1447" s="19"/>
      <c r="AY1447">
        <f t="shared" si="911"/>
        <v>0</v>
      </c>
      <c r="AZ1447" s="19"/>
      <c r="BA1447" s="19"/>
      <c r="BB1447" s="19"/>
      <c r="BC1447" s="19"/>
      <c r="BD1447" s="19"/>
      <c r="BE1447" s="19"/>
      <c r="BF1447" s="19"/>
      <c r="BI1447" s="109"/>
      <c r="BU1447" s="100"/>
    </row>
    <row r="1448" x14ac:dyDescent="0.25">
      <c r="C1448" s="112" t="s">
        <v>495</v>
      </c>
      <c r="D1448" s="112"/>
      <c r="E1448" s="112"/>
      <c r="I1448" s="112" t="s">
        <v>495</v>
      </c>
      <c r="J1448" s="112"/>
      <c r="K1448" s="112"/>
      <c r="P1448" s="93"/>
      <c r="Q1448" s="109" t="str">
        <f>R1424&amp;".11"</f>
        <v>A.11</v>
      </c>
      <c r="R1448" s="19"/>
      <c r="S1448" s="19"/>
      <c r="T1448">
        <f t="shared" si="908"/>
        <v>0</v>
      </c>
      <c r="U1448" s="19"/>
      <c r="V1448">
        <f t="shared" si="909"/>
        <v>0</v>
      </c>
      <c r="W1448" s="19"/>
      <c r="X1448" s="19"/>
      <c r="Y1448" s="19"/>
      <c r="Z1448" s="19"/>
      <c r="AA1448" s="19"/>
      <c r="AB1448" s="19"/>
      <c r="AC1448" s="19"/>
      <c r="AF1448" s="109"/>
      <c r="AR1448" s="100"/>
      <c r="AS1448" s="93"/>
      <c r="AT1448" s="109" t="str">
        <f>AU$1424&amp;".11"</f>
        <v>1.11</v>
      </c>
      <c r="AU1448" s="19"/>
      <c r="AV1448" s="19"/>
      <c r="AW1448">
        <f t="shared" si="910"/>
        <v>0</v>
      </c>
      <c r="AX1448" s="19"/>
      <c r="AY1448">
        <f t="shared" si="911"/>
        <v>0</v>
      </c>
      <c r="AZ1448" s="19"/>
      <c r="BA1448" s="19"/>
      <c r="BB1448" s="19"/>
      <c r="BC1448" s="19"/>
      <c r="BD1448" s="19"/>
      <c r="BE1448" s="19"/>
      <c r="BF1448" s="19"/>
      <c r="BI1448" s="109"/>
      <c r="BU1448" s="100"/>
    </row>
    <row r="1449" x14ac:dyDescent="0.25">
      <c r="B1449" t="s">
        <v>474</v>
      </c>
      <c r="C1449" t="s">
        <v>492</v>
      </c>
      <c r="D1449" t="s">
        <v>493</v>
      </c>
      <c r="E1449" t="s">
        <v>494</v>
      </c>
      <c r="H1449" t="s">
        <v>455</v>
      </c>
      <c r="I1449" t="s">
        <v>492</v>
      </c>
      <c r="J1449" t="s">
        <v>493</v>
      </c>
      <c r="K1449" t="s">
        <v>494</v>
      </c>
      <c r="P1449" s="93"/>
      <c r="Q1449" s="109" t="str">
        <f>R1424&amp;".12"</f>
        <v>A.12</v>
      </c>
      <c r="R1449" s="19"/>
      <c r="S1449" s="19"/>
      <c r="T1449">
        <f t="shared" si="908"/>
        <v>0</v>
      </c>
      <c r="U1449" s="19"/>
      <c r="V1449">
        <f t="shared" si="909"/>
        <v>0</v>
      </c>
      <c r="W1449" s="19"/>
      <c r="X1449" s="19"/>
      <c r="Y1449" s="19"/>
      <c r="Z1449" s="19"/>
      <c r="AA1449" s="19"/>
      <c r="AB1449" s="19"/>
      <c r="AC1449" s="19"/>
      <c r="AF1449" s="109"/>
      <c r="AR1449" s="100"/>
      <c r="AS1449" s="93"/>
      <c r="AT1449" s="109" t="str">
        <f>AU$1424&amp;".12"</f>
        <v>1.12</v>
      </c>
      <c r="AU1449" s="19"/>
      <c r="AV1449" s="19"/>
      <c r="AW1449">
        <f t="shared" si="910"/>
        <v>0</v>
      </c>
      <c r="AX1449" s="19"/>
      <c r="AY1449">
        <f t="shared" si="911"/>
        <v>0</v>
      </c>
      <c r="AZ1449" s="19"/>
      <c r="BA1449" s="19"/>
      <c r="BB1449" s="19"/>
      <c r="BC1449" s="19"/>
      <c r="BD1449" s="19"/>
      <c r="BE1449" s="19"/>
      <c r="BF1449" s="19"/>
      <c r="BI1449" s="109"/>
      <c r="BU1449" s="100"/>
    </row>
    <row r="1450" x14ac:dyDescent="0.25">
      <c r="B1450" t="s">
        <v>274</v>
      </c>
      <c r="C1450" s="19">
        <v>0</v>
      </c>
      <c r="D1450" s="19">
        <v>29</v>
      </c>
      <c r="E1450">
        <f>C53+D53</f>
        <v>29</v>
      </c>
      <c r="H1450">
        <v>1</v>
      </c>
      <c r="I1450" s="19">
        <v>0</v>
      </c>
      <c r="J1450" s="19">
        <v>27</v>
      </c>
      <c r="K1450">
        <f>I53+J53</f>
        <v>27</v>
      </c>
      <c r="P1450" s="93"/>
      <c r="Q1450" s="109" t="str">
        <f>R1424&amp;".13"</f>
        <v>A.13</v>
      </c>
      <c r="R1450" s="19"/>
      <c r="S1450" s="19"/>
      <c r="T1450">
        <f t="shared" si="908"/>
        <v>0</v>
      </c>
      <c r="U1450" s="19"/>
      <c r="V1450">
        <f t="shared" si="909"/>
        <v>0</v>
      </c>
      <c r="W1450" s="19"/>
      <c r="X1450" s="19"/>
      <c r="Y1450" s="19"/>
      <c r="Z1450" s="19"/>
      <c r="AA1450" s="19"/>
      <c r="AB1450" s="19"/>
      <c r="AC1450" s="19"/>
      <c r="AF1450" s="109"/>
      <c r="AR1450" s="100"/>
      <c r="AS1450" s="93"/>
      <c r="AT1450" s="109" t="str">
        <f>AU$1424&amp;".13"</f>
        <v>1.13</v>
      </c>
      <c r="AU1450" s="19"/>
      <c r="AV1450" s="19"/>
      <c r="AW1450">
        <f t="shared" si="910"/>
        <v>0</v>
      </c>
      <c r="AX1450" s="19"/>
      <c r="AY1450">
        <f t="shared" si="911"/>
        <v>0</v>
      </c>
      <c r="AZ1450" s="19"/>
      <c r="BA1450" s="19"/>
      <c r="BB1450" s="19"/>
      <c r="BC1450" s="19"/>
      <c r="BD1450" s="19"/>
      <c r="BE1450" s="19"/>
      <c r="BF1450" s="19"/>
      <c r="BI1450" s="109"/>
      <c r="BU1450" s="100"/>
    </row>
    <row r="1451" x14ac:dyDescent="0.25">
      <c r="B1451" t="s">
        <v>279</v>
      </c>
      <c r="C1451" s="19">
        <v>29</v>
      </c>
      <c r="D1451" s="19">
        <v>6</v>
      </c>
      <c r="E1451">
        <f t="shared" ref="E43:E67" si="912">C43+D43</f>
        <v>35</v>
      </c>
      <c r="H1451">
        <v>2</v>
      </c>
      <c r="I1451" s="19">
        <v>27</v>
      </c>
      <c r="J1451" s="19">
        <v>14</v>
      </c>
      <c r="K1451">
        <f t="shared" ref="K43:K67" si="913">I43+J43</f>
        <v>41</v>
      </c>
      <c r="P1451" s="93"/>
      <c r="Q1451" s="109" t="str">
        <f>R1424&amp;".14"</f>
        <v>A.14</v>
      </c>
      <c r="R1451" s="19"/>
      <c r="S1451" s="19"/>
      <c r="T1451">
        <f t="shared" si="908"/>
        <v>0</v>
      </c>
      <c r="U1451" s="19"/>
      <c r="V1451">
        <f t="shared" si="909"/>
        <v>0</v>
      </c>
      <c r="W1451" s="19"/>
      <c r="X1451" s="19"/>
      <c r="Y1451" s="19"/>
      <c r="Z1451" s="19"/>
      <c r="AA1451" s="19"/>
      <c r="AB1451" s="19"/>
      <c r="AC1451" s="19"/>
      <c r="AF1451" s="109"/>
      <c r="AR1451" s="100"/>
      <c r="AS1451" s="93"/>
      <c r="AT1451" s="109" t="str">
        <f>AU$1424&amp;".14"</f>
        <v>1.14</v>
      </c>
      <c r="AU1451" s="19"/>
      <c r="AV1451" s="19"/>
      <c r="AW1451">
        <f t="shared" si="910"/>
        <v>0</v>
      </c>
      <c r="AX1451" s="19"/>
      <c r="AY1451">
        <f t="shared" si="911"/>
        <v>0</v>
      </c>
      <c r="AZ1451" s="19"/>
      <c r="BA1451" s="19"/>
      <c r="BB1451" s="19"/>
      <c r="BC1451" s="19"/>
      <c r="BD1451" s="19"/>
      <c r="BE1451" s="19"/>
      <c r="BF1451" s="19"/>
      <c r="BI1451" s="109"/>
      <c r="BU1451" s="100"/>
    </row>
    <row r="1452" x14ac:dyDescent="0.25">
      <c r="B1452" t="s">
        <v>283</v>
      </c>
      <c r="C1452" s="19">
        <v>6</v>
      </c>
      <c r="D1452" s="19">
        <v>29</v>
      </c>
      <c r="E1452">
        <f t="shared" si="912"/>
        <v>35</v>
      </c>
      <c r="H1452">
        <v>3</v>
      </c>
      <c r="I1452" s="19">
        <v>14</v>
      </c>
      <c r="J1452" s="19">
        <v>13</v>
      </c>
      <c r="K1452">
        <f t="shared" si="913"/>
        <v>27</v>
      </c>
      <c r="P1452" s="93"/>
      <c r="Q1452" s="109" t="str">
        <f>R1424&amp;".15"</f>
        <v>A.15</v>
      </c>
      <c r="R1452" s="19"/>
      <c r="S1452" s="19"/>
      <c r="T1452">
        <f t="shared" si="908"/>
        <v>0</v>
      </c>
      <c r="U1452" s="19"/>
      <c r="V1452">
        <f t="shared" si="909"/>
        <v>0</v>
      </c>
      <c r="W1452" s="19"/>
      <c r="X1452" s="19"/>
      <c r="Y1452" s="19"/>
      <c r="Z1452" s="19"/>
      <c r="AA1452" s="19"/>
      <c r="AB1452" s="19"/>
      <c r="AC1452" s="19"/>
      <c r="AF1452" s="109"/>
      <c r="AR1452" s="100"/>
      <c r="AS1452" s="93"/>
      <c r="AT1452" s="109" t="str">
        <f>AU$1424&amp;".15"</f>
        <v>1.15</v>
      </c>
      <c r="AU1452" s="19"/>
      <c r="AV1452" s="19"/>
      <c r="AW1452">
        <f t="shared" si="910"/>
        <v>0</v>
      </c>
      <c r="AX1452" s="19"/>
      <c r="AY1452">
        <f t="shared" si="911"/>
        <v>0</v>
      </c>
      <c r="AZ1452" s="19"/>
      <c r="BA1452" s="19"/>
      <c r="BB1452" s="19"/>
      <c r="BC1452" s="19"/>
      <c r="BD1452" s="19"/>
      <c r="BE1452" s="19"/>
      <c r="BF1452" s="19"/>
      <c r="BI1452" s="109"/>
      <c r="BU1452" s="100"/>
    </row>
    <row r="1453" x14ac:dyDescent="0.25">
      <c r="B1453" t="s">
        <v>287</v>
      </c>
      <c r="C1453" s="19">
        <v>26</v>
      </c>
      <c r="D1453" s="19">
        <v>26</v>
      </c>
      <c r="E1453">
        <f t="shared" si="912"/>
        <v>52</v>
      </c>
      <c r="F1453" t="s">
        <v>506</v>
      </c>
      <c r="H1453">
        <v>4</v>
      </c>
      <c r="I1453" s="19">
        <v>13</v>
      </c>
      <c r="J1453" s="19">
        <v>27</v>
      </c>
      <c r="K1453">
        <f t="shared" si="913"/>
        <v>40</v>
      </c>
      <c r="P1453" s="93"/>
      <c r="Q1453" s="109" t="str">
        <f>R1424&amp;".16"</f>
        <v>A.16</v>
      </c>
      <c r="R1453" s="19"/>
      <c r="S1453" s="19"/>
      <c r="T1453">
        <f t="shared" si="908"/>
        <v>0</v>
      </c>
      <c r="U1453" s="19"/>
      <c r="V1453">
        <f t="shared" si="909"/>
        <v>0</v>
      </c>
      <c r="W1453" s="19"/>
      <c r="X1453" s="19"/>
      <c r="Y1453" s="19"/>
      <c r="Z1453" s="19"/>
      <c r="AA1453" s="19"/>
      <c r="AB1453" s="19"/>
      <c r="AC1453" s="19"/>
      <c r="AF1453" s="109"/>
      <c r="AR1453" s="100"/>
      <c r="AS1453" s="93"/>
      <c r="AT1453" s="109" t="str">
        <f>AU$1424&amp;".16"</f>
        <v>1.16</v>
      </c>
      <c r="AU1453" s="19"/>
      <c r="AV1453" s="19"/>
      <c r="AW1453">
        <f t="shared" si="910"/>
        <v>0</v>
      </c>
      <c r="AX1453" s="19"/>
      <c r="AY1453">
        <f t="shared" si="911"/>
        <v>0</v>
      </c>
      <c r="AZ1453" s="19"/>
      <c r="BA1453" s="19"/>
      <c r="BB1453" s="19"/>
      <c r="BC1453" s="19"/>
      <c r="BD1453" s="19"/>
      <c r="BE1453" s="19"/>
      <c r="BF1453" s="19"/>
      <c r="BI1453" s="109"/>
      <c r="BU1453" s="100"/>
    </row>
    <row r="1454" x14ac:dyDescent="0.25">
      <c r="B1454" t="s">
        <v>288</v>
      </c>
      <c r="C1454" s="19">
        <v>29</v>
      </c>
      <c r="D1454" s="19">
        <v>0</v>
      </c>
      <c r="E1454">
        <f t="shared" si="912"/>
        <v>29</v>
      </c>
      <c r="H1454">
        <v>5</v>
      </c>
      <c r="I1454" s="19">
        <v>27</v>
      </c>
      <c r="J1454" s="19">
        <v>11</v>
      </c>
      <c r="K1454">
        <f t="shared" si="913"/>
        <v>38</v>
      </c>
      <c r="P1454" s="93"/>
      <c r="R1454">
        <f>SUM(R1438:R1453)</f>
        <v>29</v>
      </c>
      <c r="AR1454" s="100"/>
      <c r="AS1454" s="93"/>
      <c r="AU1454">
        <f>SUM(AU1438:AU1453)</f>
        <v>29</v>
      </c>
      <c r="BU1454" s="100"/>
    </row>
    <row r="1455" x14ac:dyDescent="0.25">
      <c r="B1455" t="s">
        <v>293</v>
      </c>
      <c r="C1455" s="19">
        <v>17</v>
      </c>
      <c r="D1455" s="19">
        <v>27</v>
      </c>
      <c r="E1455">
        <f t="shared" si="912"/>
        <v>44</v>
      </c>
      <c r="H1455">
        <v>6</v>
      </c>
      <c r="I1455" s="19">
        <v>11</v>
      </c>
      <c r="J1455" s="19">
        <v>6</v>
      </c>
      <c r="K1455">
        <f t="shared" si="913"/>
        <v>17</v>
      </c>
      <c r="P1455" s="93"/>
      <c r="AP1455" t="s">
        <v>746</v>
      </c>
      <c r="AR1455" s="100"/>
      <c r="AS1455" s="93"/>
      <c r="BS1455" t="s">
        <v>746</v>
      </c>
      <c r="BU1455" s="100"/>
    </row>
    <row r="1456" x14ac:dyDescent="0.25">
      <c r="B1456" t="s">
        <v>456</v>
      </c>
      <c r="C1456" s="19">
        <v>27</v>
      </c>
      <c r="D1456" s="19">
        <v>27</v>
      </c>
      <c r="E1456">
        <f t="shared" si="912"/>
        <v>54</v>
      </c>
      <c r="H1456">
        <v>7</v>
      </c>
      <c r="I1456" s="19">
        <v>6</v>
      </c>
      <c r="J1456" s="19">
        <v>11</v>
      </c>
      <c r="K1456">
        <f t="shared" si="913"/>
        <v>17</v>
      </c>
      <c r="P1456" s="93"/>
      <c r="Q1456" t="s">
        <v>525</v>
      </c>
      <c r="R1456" t="s">
        <v>263</v>
      </c>
      <c r="S1456" t="s">
        <v>526</v>
      </c>
      <c r="T1456" t="s">
        <v>570</v>
      </c>
      <c r="U1456" t="s">
        <v>571</v>
      </c>
      <c r="V1456" t="s">
        <v>572</v>
      </c>
      <c r="W1456" t="s">
        <v>539</v>
      </c>
      <c r="X1456" t="s">
        <v>538</v>
      </c>
      <c r="Z1456" t="s">
        <v>522</v>
      </c>
      <c r="AA1456" t="s">
        <v>523</v>
      </c>
      <c r="AB1456" t="s">
        <v>541</v>
      </c>
      <c r="AC1456" t="s">
        <v>540</v>
      </c>
      <c r="AD1456" t="s">
        <v>542</v>
      </c>
      <c r="AE1456" t="s">
        <v>520</v>
      </c>
      <c r="AF1456" t="s">
        <v>521</v>
      </c>
      <c r="AG1456" t="s">
        <v>527</v>
      </c>
      <c r="AH1456" t="s">
        <v>528</v>
      </c>
      <c r="AI1456" t="s">
        <v>543</v>
      </c>
      <c r="AJ1456" t="s">
        <v>744</v>
      </c>
      <c r="AK1456" t="s">
        <v>745</v>
      </c>
      <c r="AL1456" t="s">
        <v>749</v>
      </c>
      <c r="AM1456" t="s">
        <v>750</v>
      </c>
      <c r="AN1456" t="s">
        <v>751</v>
      </c>
      <c r="AP1456" t="s">
        <v>747</v>
      </c>
      <c r="AQ1456" t="s">
        <v>748</v>
      </c>
      <c r="AR1456" s="100"/>
      <c r="AS1456" s="93"/>
      <c r="AT1456" t="s">
        <v>525</v>
      </c>
      <c r="AU1456" t="s">
        <v>263</v>
      </c>
      <c r="AV1456" t="s">
        <v>526</v>
      </c>
      <c r="AW1456" t="s">
        <v>570</v>
      </c>
      <c r="AX1456" t="s">
        <v>571</v>
      </c>
      <c r="AY1456" t="s">
        <v>572</v>
      </c>
      <c r="AZ1456" t="s">
        <v>539</v>
      </c>
      <c r="BA1456" t="s">
        <v>538</v>
      </c>
      <c r="BC1456" t="s">
        <v>522</v>
      </c>
      <c r="BD1456" t="s">
        <v>523</v>
      </c>
      <c r="BE1456" t="s">
        <v>541</v>
      </c>
      <c r="BF1456" t="s">
        <v>540</v>
      </c>
      <c r="BG1456" t="s">
        <v>542</v>
      </c>
      <c r="BH1456" t="s">
        <v>520</v>
      </c>
      <c r="BI1456" t="s">
        <v>521</v>
      </c>
      <c r="BJ1456" t="s">
        <v>527</v>
      </c>
      <c r="BK1456" t="s">
        <v>528</v>
      </c>
      <c r="BL1456" t="s">
        <v>543</v>
      </c>
      <c r="BM1456" t="s">
        <v>744</v>
      </c>
      <c r="BN1456" t="s">
        <v>745</v>
      </c>
      <c r="BO1456" t="s">
        <v>749</v>
      </c>
      <c r="BP1456" t="s">
        <v>750</v>
      </c>
      <c r="BQ1456" t="s">
        <v>751</v>
      </c>
      <c r="BS1456" t="s">
        <v>747</v>
      </c>
      <c r="BT1456" t="s">
        <v>748</v>
      </c>
      <c r="BU1456" s="100"/>
    </row>
    <row r="1457" x14ac:dyDescent="0.25">
      <c r="B1457" t="s">
        <v>457</v>
      </c>
      <c r="C1457" s="19">
        <v>27</v>
      </c>
      <c r="D1457" s="19">
        <v>27</v>
      </c>
      <c r="E1457">
        <f t="shared" si="912"/>
        <v>54</v>
      </c>
      <c r="H1457">
        <v>8</v>
      </c>
      <c r="I1457" s="19">
        <v>20</v>
      </c>
      <c r="J1457" s="19">
        <v>0</v>
      </c>
      <c r="K1457">
        <f t="shared" si="913"/>
        <v>20</v>
      </c>
      <c r="L1457" t="s">
        <v>506</v>
      </c>
      <c r="P1457" s="93"/>
      <c r="Q1457" s="110" t="str">
        <f>$Q$1438</f>
        <v>A.01</v>
      </c>
      <c r="R1457" t="str">
        <f>$Q$1429</f>
        <v>L2</v>
      </c>
      <c r="S1457">
        <f>$E$21</f>
        <v>10.6875</v>
      </c>
      <c r="T1457" cm="1">
        <f t="array" ref="T1457">IFERROR(IF(S1457=0,0,(INDEX($C$33:$C$38,MATCH($W$1438,$B$33:$B$38,0),0)*(S1461+$X$1438)+$T$1438*COUNTIF(S1457:S1460,"&gt;0")*$C$32+$V$1438*$C$31)*$R$1438),0)</f>
        <v>30539.71875</v>
      </c>
      <c r="U1457">
        <f>IF(S1457=0,0,-(COUNTIF(S1457:S1460,"&gt;0")*$T$1438*$C$32+$V$1438*$C$31)*$H$27*$R$1438)</f>
        <v>-363.31199999999995</v>
      </c>
      <c r="V1457">
        <f>IF(S1457=0,0,$V$1438*$H$26*$R$1438)</f>
        <v>-1328.1999999999998</v>
      </c>
      <c r="W1457">
        <f>(0.6*T1457+0.7*U1457)*$R$1438/2</f>
        <v>262007.93632499999</v>
      </c>
      <c r="X1457">
        <f>(0.6*T1457+0.6*V1457)*$R$1438/2</f>
        <v>254140.21312500001</v>
      </c>
      <c r="Z1457">
        <f>IF(S1457=0,0,$AD$1438*$AP$1429)</f>
        <v>343.06999999999994</v>
      </c>
      <c r="AA1457">
        <f>IFERROR(Z1457/$R$1438,0)</f>
        <v>11.829999999999998</v>
      </c>
      <c r="AB1457">
        <f>Z1457*($F$21+IF($F$21=0,0,($C$14+$C$15+IF($C$13="single",1.5,3)+3)/12))</f>
        <v>3666.5606249999992</v>
      </c>
      <c r="AC1457">
        <f>AB1457-W1457</f>
        <v>-258341.37569999998</v>
      </c>
      <c r="AD1457" cm="1">
        <f t="array" ref="AD1457">IFERROR(IF(AC1457&lt;0,0,AC1457/($R$1438-INDEX(hd_off,MATCH(AQ1457,hd_mark,0),0)/12)),0)</f>
        <v>0</v>
      </c>
      <c r="AE1457">
        <f>IF(S1457=0,0,$AD$1438*$AM$1429)</f>
        <v>7899.5999999999995</v>
      </c>
      <c r="AF1457">
        <f>IFERROR(AE1457/$R$1438,0)</f>
        <v>272.39999999999998</v>
      </c>
      <c r="AG1457">
        <f>AE1457*($F$21+IF($F$21=0,0,($C$14+$C$15+IF($C$13="single",1.5,3)+3)/12))</f>
        <v>84426.974999999991</v>
      </c>
      <c r="AH1457">
        <f>AG1457-X1457</f>
        <v>-169713.23812500003</v>
      </c>
      <c r="AI1457" cm="1">
        <f t="array" ref="AI1457">IFERROR(IF(AH1457&lt;0,0,AH1457/($R$1438-INDEX(hd_off,MATCH(AQ1457,hd_mark,0),0)/12)),0)</f>
        <v>0</v>
      </c>
      <c r="AJ1457">
        <f>MAX($F$21,$Y$1438)/$Q$1460</f>
        <v>0.30172413793103448</v>
      </c>
      <c r="AK1457">
        <f>IF(AJ1457=0,0,IF(AJ1457&gt;2,1.25-0.125*AJ1457,1))</f>
        <v>1</v>
      </c>
      <c r="AL1457" cm="1">
        <f t="array" ref="AL1457">IFERROR(INDEX(sheath_ecap_asd,MATCH(AP1457,sheath_mark,0),0)*AK1457,0)</f>
        <v>239.85714285714286</v>
      </c>
      <c r="AM1457" cm="1">
        <f t="array" ref="AM1457">IFERROR(INDEX(sheath_wcap_asd,MATCH(AP1457,sheath_mark,0),0)*AK1457,0)</f>
        <v>335.8</v>
      </c>
      <c r="AN1457" cm="1">
        <f t="array" ref="AN1457">IFERROR(INDEX(hd_cap,MATCH(AQ1457,hd_mark,0),0),0)</f>
        <v>0</v>
      </c>
      <c r="AP1457" s="19">
        <v>21</v>
      </c>
      <c r="AQ1457" s="19"/>
      <c r="AR1457" s="100"/>
      <c r="AS1457" s="93"/>
      <c r="AT1457" s="110" t="str">
        <f>$AT$1438</f>
        <v>1.01</v>
      </c>
      <c r="AU1457" t="str">
        <f>$Q$1429</f>
        <v>L2</v>
      </c>
      <c r="AV1457">
        <f>$E$21</f>
        <v>10.6875</v>
      </c>
      <c r="AW1457" cm="1">
        <f t="array" ref="AW1457">IFERROR(IF(AV1457=0,0,(INDEX($C$33:$C$38,MATCH($AZ$1438,$B$33:$B$38,0),0)*(AV1461+$BA$1438)+$AW$1438*COUNTIF(AV1457:AV1460,"&gt;0")*$C$32+$AY$1438*$C$31)*$AU$1438),0)</f>
        <v>30539.71875</v>
      </c>
      <c r="AX1457">
        <f>IF(AV1457=0,0,-(COUNTIF(AV1457:AV1460,"&gt;0")*$AW$1438*$C$32+$AY$1438*$C$31)*$H$27*$AU$1438)</f>
        <v>-363.31199999999995</v>
      </c>
      <c r="AY1457">
        <f>IF(AV1457=0,0,$AY$1438*$H$26*$AU$1438)</f>
        <v>-1328.1999999999998</v>
      </c>
      <c r="AZ1457">
        <f>(0.6*AW1457+0.7*AX1457)*$AU$1438/2</f>
        <v>262007.93632499999</v>
      </c>
      <c r="BA1457">
        <f>(0.6*AW1457+0.6*AY1457)*$AU$1438/2</f>
        <v>254140.21312500001</v>
      </c>
      <c r="BC1457">
        <f>IF(AV1457=0,0,$BG$1438*$AP$1429)</f>
        <v>343.06999999999994</v>
      </c>
      <c r="BD1457">
        <f>IFERROR(BC1457/$AU$1438,0)</f>
        <v>11.829999999999998</v>
      </c>
      <c r="BE1457">
        <f>BC1457*($F$21+IF($F$21=0,0,($C$14+$C$15+IF($C$13="single",1.5,3)+3)/12))</f>
        <v>3666.5606249999992</v>
      </c>
      <c r="BF1457">
        <f>BE1457-AZ1457</f>
        <v>-258341.37569999998</v>
      </c>
      <c r="BG1457" cm="1">
        <f t="array" ref="BG1457">IFERROR(IF(BF1457&lt;0,0,BF1457/($AU$1438-INDEX(hd_off,MATCH(BT1457,hd_mark,0),0)/12)),0)</f>
        <v>0</v>
      </c>
      <c r="BH1457">
        <f>IF(AV1457=0,0,$BG$1438*$AM$1429)</f>
        <v>7899.5999999999995</v>
      </c>
      <c r="BI1457">
        <f>IFERROR(BH1457/$AU$1438,0)</f>
        <v>272.39999999999998</v>
      </c>
      <c r="BJ1457">
        <f>BH1457*($F$21+IF($F$21=0,0,($C$14+$C$15+IF($C$13="single",1.5,3)+3)/12))</f>
        <v>84426.974999999991</v>
      </c>
      <c r="BK1457">
        <f>BJ1457-BA1457</f>
        <v>-169713.23812500003</v>
      </c>
      <c r="BL1457" cm="1">
        <f t="array" ref="BL1457">IFERROR(IF(BK1457&lt;0,0,BK1457/($AU$1438-INDEX(hd_off,MATCH(BT1457,hd_mark,0),0)/12)),0)</f>
        <v>0</v>
      </c>
      <c r="BM1457">
        <f>MAX($F$21,$BB$1438)/$Q$1460</f>
        <v>0.30172413793103448</v>
      </c>
      <c r="BN1457">
        <f>IF(BM1457=0,0,IF(BM1457&gt;2,1.25-0.125*BM1457,1))</f>
        <v>1</v>
      </c>
      <c r="BO1457" cm="1">
        <f t="array" ref="BO1457">IFERROR(INDEX(sheath_ecap_asd,MATCH(BS1457,sheath_mark,0),0)*BN1457,0)</f>
        <v>239.85714285714286</v>
      </c>
      <c r="BP1457" cm="1">
        <f t="array" ref="BP1457">IFERROR(INDEX(sheath_wcap_asd,MATCH(BS1457,sheath_mark,0),0)*BN1457,0)</f>
        <v>335.8</v>
      </c>
      <c r="BQ1457" cm="1">
        <f t="array" ref="BQ1457">IFERROR(INDEX(hd_cap,MATCH(BT1457,hd_mark,0),0),0)</f>
        <v>0</v>
      </c>
      <c r="BS1457" s="19">
        <v>21</v>
      </c>
      <c r="BT1457" s="19"/>
      <c r="BU1457" s="100"/>
    </row>
    <row r="1458" x14ac:dyDescent="0.25">
      <c r="B1458" t="s">
        <v>458</v>
      </c>
      <c r="C1458" s="19">
        <v>27</v>
      </c>
      <c r="D1458" s="19">
        <v>27</v>
      </c>
      <c r="E1458">
        <f t="shared" si="912"/>
        <v>54</v>
      </c>
      <c r="H1458">
        <v>9</v>
      </c>
      <c r="I1458" s="19">
        <v>30</v>
      </c>
      <c r="J1458" s="19">
        <v>0</v>
      </c>
      <c r="K1458">
        <f t="shared" si="913"/>
        <v>30</v>
      </c>
      <c r="P1458" s="93"/>
      <c r="Q1458" s="109"/>
      <c r="R1458" t="str">
        <f>$Q$1430</f>
        <v>L3</v>
      </c>
      <c r="S1458">
        <f>$E$22</f>
        <v>21.375</v>
      </c>
      <c r="T1458" cm="1">
        <f t="array" ref="T1458">IFERROR(IF(S1458=0,0,(INDEX($C$33:$C$38,MATCH($W$1438,$B$33:$B$38,0),0)*(S1461+$X$1438)+$T$1438*COUNTIF(S1458:S1460,"&gt;0")*$C$32+$V$1438*$C$31)*$R$1438),0)</f>
        <v>26015.71875</v>
      </c>
      <c r="U1458">
        <f>IF(S1458=0,0,-(COUNTIF(S1458:S1460,"&gt;0")*$T$1438*$C$32+$V$1438*$C$31)*$H$27*$R$1438)</f>
        <v>-200.44799999999998</v>
      </c>
      <c r="V1458">
        <f>IF(S1458=0,0,$V$1438*$H$26*$R$1438)</f>
        <v>-1328.1999999999998</v>
      </c>
      <c r="W1458">
        <f t="shared" ref="W1458:W1460" si="914">(0.6*T1458+0.7*U1458)*$R$1438/2</f>
        <v>224302.20592500002</v>
      </c>
      <c r="X1458">
        <f>T1458*$R$1438/2</f>
        <v>377227.921875</v>
      </c>
      <c r="Z1458">
        <f>IF(S1458=0,0,$AD$1438*$AP$1430)</f>
        <v>376.565</v>
      </c>
      <c r="AA1458">
        <f>IFERROR(Z1458/$R$1438,0)</f>
        <v>12.984999999999999</v>
      </c>
      <c r="AB1458">
        <f>Z1458*($F$22+IF($F$22=0,0,($C$14+$C$15+IF($C$13="single",1.5,3)+3)/12))</f>
        <v>4024.5384374999999</v>
      </c>
      <c r="AC1458">
        <f>AB1458-W1458</f>
        <v>-220277.6674875</v>
      </c>
      <c r="AD1458" cm="1">
        <f t="array" ref="AD1458">IFERROR(IF(AC1458&lt;0,0,AC1458/($R$1438-INDEX(hd_off,MATCH(AQ1458,hd_mark,0),0)/12)),0)</f>
        <v>0</v>
      </c>
      <c r="AE1458">
        <f>IF(S1458=0,0,$AD$1438*$AM$1430)</f>
        <v>5846.4</v>
      </c>
      <c r="AF1458">
        <f>IFERROR(AE1458/$R$1438,0)</f>
        <v>201.6</v>
      </c>
      <c r="AG1458">
        <f>AE1458*($F$22+IF($F$22=0,0,($C$14+$C$15+IF($C$13="single",1.5,3)+3)/12))</f>
        <v>62483.399999999994</v>
      </c>
      <c r="AH1458">
        <f>AG1458-X1458</f>
        <v>-314744.52187499998</v>
      </c>
      <c r="AI1458" cm="1">
        <f t="array" ref="AI1458">IFERROR(IF(AH1458&lt;0,0,AH1458/($R$1438-INDEX(hd_off,MATCH(AQ1458,hd_mark,0),0)/12)),0)</f>
        <v>0</v>
      </c>
      <c r="AJ1458">
        <f>MAX($F$22,$Z$1438)/$Q$1460</f>
        <v>0.30172413793103448</v>
      </c>
      <c r="AK1458">
        <f t="shared" ref="AK1458:AK1461" si="915">IF(AJ1458=0,0,IF(AJ1458&gt;2,1.25-0.125*AJ1458,1))</f>
        <v>1</v>
      </c>
      <c r="AL1458" cm="1">
        <f t="array" ref="AL1458">IFERROR(INDEX(sheath_ecap_asd,MATCH(AP1458,sheath_mark,0),0)*AK1458,0)</f>
        <v>239.85714285714286</v>
      </c>
      <c r="AM1458" cm="1">
        <f t="array" ref="AM1458">IFERROR(INDEX(sheath_wcap_asd,MATCH(AP1458,sheath_mark,0),0)*AK1458,0)</f>
        <v>335.8</v>
      </c>
      <c r="AN1458" cm="1">
        <f t="array" ref="AN1458">IFERROR(INDEX(hd_cap,MATCH(AQ1458,hd_mark,0),0),0)</f>
        <v>0</v>
      </c>
      <c r="AP1458" s="19">
        <v>21</v>
      </c>
      <c r="AQ1458" s="19"/>
      <c r="AR1458" s="100"/>
      <c r="AS1458" s="93"/>
      <c r="AT1458" s="109"/>
      <c r="AU1458" t="str">
        <f>$Q$1430</f>
        <v>L3</v>
      </c>
      <c r="AV1458">
        <f>$E$22</f>
        <v>21.375</v>
      </c>
      <c r="AW1458" cm="1">
        <f t="array" ref="AW1458">IFERROR(IF(AV1458=0,0,(INDEX($C$33:$C$38,MATCH($AZ$1438,$B$33:$B$38,0),0)*(AV1461+$BA$1438)+$AW$1438*COUNTIF(AV1458:AV1460,"&gt;0")*$C$32+$AY$1438*$C$31)*$AU$1438),0)</f>
        <v>26015.71875</v>
      </c>
      <c r="AX1458">
        <f>IF(AV1458=0,0,-(COUNTIF(AV1458:AV1460,"&gt;0")*$AW$1438*$C$32+$AY$1438*$C$31)*$H$27*$AU$1438)</f>
        <v>-200.44799999999998</v>
      </c>
      <c r="AY1458">
        <f>IF(AV1458=0,0,$AY$1438*$H$26*$AU$1438)</f>
        <v>-1328.1999999999998</v>
      </c>
      <c r="AZ1458">
        <f>(0.6*AW1458+0.7*AX1458)*$AU$1438/2</f>
        <v>224302.20592500002</v>
      </c>
      <c r="BA1458">
        <f>AW1458*$AU$1438/2</f>
        <v>377227.921875</v>
      </c>
      <c r="BC1458">
        <f>IF(AV1458=0,0,$BG$1438*$AP$1430)</f>
        <v>376.565</v>
      </c>
      <c r="BD1458">
        <f>IFERROR(BC1458/$AU$1438,0)</f>
        <v>12.984999999999999</v>
      </c>
      <c r="BE1458">
        <f>BC1458*($F$22+IF($F$22=0,0,($C$14+$C$15+IF($C$13="single",1.5,3)+3)/12))</f>
        <v>4024.5384374999999</v>
      </c>
      <c r="BF1458">
        <f>BE1458-AZ1458</f>
        <v>-220277.6674875</v>
      </c>
      <c r="BG1458" cm="1">
        <f t="array" ref="BG1458">IFERROR(IF(BF1458&lt;0,0,BF1458/($AU$1438-INDEX(hd_off,MATCH(BT1458,hd_mark,0),0)/12)),0)</f>
        <v>0</v>
      </c>
      <c r="BH1458">
        <f>IF(AV1458=0,0,$BG$1438*$AM$1430)</f>
        <v>5846.4</v>
      </c>
      <c r="BI1458">
        <f>IFERROR(BH1458/$AU$1438,0)</f>
        <v>201.6</v>
      </c>
      <c r="BJ1458">
        <f>BH1458*($F$22+IF($F$22=0,0,($C$14+$C$15+IF($C$13="single",1.5,3)+3)/12))</f>
        <v>62483.399999999994</v>
      </c>
      <c r="BK1458">
        <f>BJ1458-BA1458</f>
        <v>-314744.52187499998</v>
      </c>
      <c r="BL1458" cm="1">
        <f t="array" ref="BL1458">IFERROR(IF(BK1458&lt;0,0,BK1458/($AU$1438-INDEX(hd_off,MATCH(BT1458,hd_mark,0),0)/12)),0)</f>
        <v>0</v>
      </c>
      <c r="BM1458">
        <f>MAX($F$22,$BC$1438)/$Q$1460</f>
        <v>0.30172413793103448</v>
      </c>
      <c r="BN1458">
        <f t="shared" ref="BN1458:BN1461" si="916">IF(BM1458=0,0,IF(BM1458&gt;2,1.25-0.125*BM1458,1))</f>
        <v>1</v>
      </c>
      <c r="BO1458" cm="1">
        <f t="array" ref="BO1458">IFERROR(INDEX(sheath_ecap_asd,MATCH(BS1458,sheath_mark,0),0)*BN1458,0)</f>
        <v>239.85714285714286</v>
      </c>
      <c r="BP1458" cm="1">
        <f t="array" ref="BP1458">IFERROR(INDEX(sheath_wcap_asd,MATCH(BS1458,sheath_mark,0),0)*BN1458,0)</f>
        <v>335.8</v>
      </c>
      <c r="BQ1458" cm="1">
        <f t="array" ref="BQ1458">IFERROR(INDEX(hd_cap,MATCH(BT1458,hd_mark,0),0),0)</f>
        <v>0</v>
      </c>
      <c r="BS1458" s="19">
        <v>21</v>
      </c>
      <c r="BT1458" s="19"/>
      <c r="BU1458" s="100"/>
    </row>
    <row r="1459" x14ac:dyDescent="0.25">
      <c r="B1459" t="s">
        <v>459</v>
      </c>
      <c r="C1459" s="19">
        <v>27</v>
      </c>
      <c r="D1459" s="19">
        <v>41</v>
      </c>
      <c r="E1459">
        <f t="shared" si="912"/>
        <v>68</v>
      </c>
      <c r="F1459" t="s">
        <v>506</v>
      </c>
      <c r="H1459">
        <v>10</v>
      </c>
      <c r="I1459" s="19">
        <v>30</v>
      </c>
      <c r="J1459" s="19">
        <v>0</v>
      </c>
      <c r="K1459">
        <f t="shared" si="913"/>
        <v>30</v>
      </c>
      <c r="P1459" s="93"/>
      <c r="Q1459" s="109" t="s">
        <v>491</v>
      </c>
      <c r="R1459" t="str">
        <f>$Q$1431</f>
        <v>L4</v>
      </c>
      <c r="S1459">
        <f>$E$23</f>
        <v>0</v>
      </c>
      <c r="T1459" cm="1">
        <f t="array" ref="T1459">IFERROR(IF(S1459=0,0,(INDEX($C$33:$C$38,MATCH($W$1438,$B$33:$B$38,0),0)*(S1461+$X$1438)+$T$1438*COUNTIF(S1459:S1460,"&gt;0")*$C$32+$V$1438*$C$31)*$R$1438),0)</f>
        <v>0</v>
      </c>
      <c r="U1459">
        <f>IF(S1459=0,0,-(COUNTIF(S1459:S1460,"&gt;0")*$T$1438*$C$32+$V$1438*$C$31)*$H$27*$R$1438)</f>
        <v>0</v>
      </c>
      <c r="V1459">
        <f>IF(S1459=0,0,$V$1438*$H$26*$R$1438)</f>
        <v>0</v>
      </c>
      <c r="W1459">
        <f t="shared" si="914"/>
        <v>0</v>
      </c>
      <c r="X1459">
        <f>T1459*$R$1438/2</f>
        <v>0</v>
      </c>
      <c r="Z1459">
        <f>IF(S1459=0,0,$AD$1438*$AP$1431)</f>
        <v>0</v>
      </c>
      <c r="AA1459">
        <f>IFERROR(Z1459/$R$1438,0)</f>
        <v>0</v>
      </c>
      <c r="AB1459">
        <f>Z1459*($F$23+IF($F$23=0,0,($C$14+$C$15+IF($C$13="single",1.5,3)+3)/12))</f>
        <v>0</v>
      </c>
      <c r="AC1459">
        <f>AB1459-W1459</f>
        <v>0</v>
      </c>
      <c r="AD1459" cm="1">
        <f t="array" ref="AD1459">IFERROR(IF(AC1459&lt;0,0,AC1459/($R$1438-INDEX(hd_off,MATCH(AQ1459,hd_mark,0),0)/12)),0)</f>
        <v>0</v>
      </c>
      <c r="AE1459">
        <f>IF(S1459=0,0,$AD$1438*$AM$1431)</f>
        <v>0</v>
      </c>
      <c r="AF1459">
        <f>IFERROR(AE1459/$R$1438,0)</f>
        <v>0</v>
      </c>
      <c r="AG1459">
        <f>AE1459*($F$23+IF($F$23=0,0,($C$14+$C$15+IF($C$13="single",1.5,3)+3)/12))</f>
        <v>0</v>
      </c>
      <c r="AH1459">
        <f>AG1459-X1459</f>
        <v>0</v>
      </c>
      <c r="AI1459" cm="1">
        <f t="array" ref="AI1459">IFERROR(IF(AH1459&lt;0,0,AH1459/($R$1438-INDEX(hd_off,MATCH(AQ1459,hd_mark,0),0)/12)),0)</f>
        <v>0</v>
      </c>
      <c r="AJ1459">
        <f>MAX($F$23,$AA$1438)/$Q$1460</f>
        <v>0</v>
      </c>
      <c r="AK1459">
        <f t="shared" si="915"/>
        <v>0</v>
      </c>
      <c r="AL1459" cm="1">
        <f t="array" ref="AL1459">IFERROR(INDEX(sheath_ecap_asd,MATCH(AP1459,sheath_mark,0),0)*AK1459,0)</f>
        <v>0</v>
      </c>
      <c r="AM1459" cm="1">
        <f t="array" ref="AM1459">IFERROR(INDEX(sheath_wcap_asd,MATCH(AP1459,sheath_mark,0),0)*AK1459,0)</f>
        <v>0</v>
      </c>
      <c r="AN1459" cm="1">
        <f t="array" ref="AN1459">IFERROR(INDEX(hd_cap,MATCH(AQ1459,hd_mark,0),0),0)</f>
        <v>0</v>
      </c>
      <c r="AP1459" s="19"/>
      <c r="AQ1459" s="19"/>
      <c r="AR1459" s="100"/>
      <c r="AS1459" s="93"/>
      <c r="AT1459" s="109" t="s">
        <v>491</v>
      </c>
      <c r="AU1459" t="str">
        <f>$Q$1431</f>
        <v>L4</v>
      </c>
      <c r="AV1459">
        <f>$E$23</f>
        <v>0</v>
      </c>
      <c r="AW1459" cm="1">
        <f t="array" ref="AW1459">IFERROR(IF(AV1459=0,0,(INDEX($C$33:$C$38,MATCH($AZ$1438,$B$33:$B$38,0),0)*(AV1461+$BA$1438)+$AW$1438*COUNTIF(AV1459:AV1460,"&gt;0")*$C$32+$AY$1438*$C$31)*$AU$1438),0)</f>
        <v>0</v>
      </c>
      <c r="AX1459">
        <f>IF(AV1459=0,0,-(COUNTIF(AV1459:AV1460,"&gt;0")*$AW$1438*$C$32+$AY$1438*$C$31)*$H$27*$AU$1438)</f>
        <v>0</v>
      </c>
      <c r="AY1459">
        <f>IF(AV1459=0,0,$AY$1438*$H$26*$AU$1438)</f>
        <v>0</v>
      </c>
      <c r="AZ1459">
        <f>(0.6*AW1459+0.7*AX1459)*$AU$1438/2</f>
        <v>0</v>
      </c>
      <c r="BA1459">
        <f>AW1459*$AU$1438/2</f>
        <v>0</v>
      </c>
      <c r="BC1459">
        <f>IF(AV1459=0,0,$BG$1438*$AP$1431)</f>
        <v>0</v>
      </c>
      <c r="BD1459">
        <f>IFERROR(BC1459/$AU$1438,0)</f>
        <v>0</v>
      </c>
      <c r="BE1459">
        <f>BC1459*($F$23+IF($F$23=0,0,($C$14+$C$15+IF($C$13="single",1.5,3)+3)/12))</f>
        <v>0</v>
      </c>
      <c r="BF1459">
        <f>BE1459-AZ1459</f>
        <v>0</v>
      </c>
      <c r="BG1459" cm="1">
        <f t="array" ref="BG1459">IFERROR(IF(BF1459&lt;0,0,BF1459/($AU$1438-INDEX(hd_off,MATCH(BT1459,hd_mark,0),0)/12)),0)</f>
        <v>0</v>
      </c>
      <c r="BH1459">
        <f>IF(AV1459=0,0,$BG$1438*$AM$1431)</f>
        <v>0</v>
      </c>
      <c r="BI1459">
        <f>IFERROR(BH1459/$AU$1438,0)</f>
        <v>0</v>
      </c>
      <c r="BJ1459">
        <f>BH1459*($F$23+IF($F$23=0,0,($C$14+$C$15+IF($C$13="single",1.5,3)+3)/12))</f>
        <v>0</v>
      </c>
      <c r="BK1459">
        <f>BJ1459-BA1459</f>
        <v>0</v>
      </c>
      <c r="BL1459" cm="1">
        <f t="array" ref="BL1459">IFERROR(IF(BK1459&lt;0,0,BK1459/($AU$1438-INDEX(hd_off,MATCH(BT1459,hd_mark,0),0)/12)),0)</f>
        <v>0</v>
      </c>
      <c r="BM1459">
        <f>MAX($F$23,$BD$1438)/$Q$1460</f>
        <v>0</v>
      </c>
      <c r="BN1459">
        <f t="shared" si="916"/>
        <v>0</v>
      </c>
      <c r="BO1459" cm="1">
        <f t="array" ref="BO1459">IFERROR(INDEX(sheath_ecap_asd,MATCH(BS1459,sheath_mark,0),0)*BN1459,0)</f>
        <v>0</v>
      </c>
      <c r="BP1459" cm="1">
        <f t="array" ref="BP1459">IFERROR(INDEX(sheath_wcap_asd,MATCH(BS1459,sheath_mark,0),0)*BN1459,0)</f>
        <v>0</v>
      </c>
      <c r="BQ1459" cm="1">
        <f t="array" ref="BQ1459">IFERROR(INDEX(hd_cap,MATCH(BT1459,hd_mark,0),0),0)</f>
        <v>0</v>
      </c>
      <c r="BS1459" s="19"/>
      <c r="BT1459" s="19"/>
      <c r="BU1459" s="100"/>
    </row>
    <row r="1460" x14ac:dyDescent="0.25">
      <c r="B1460" t="s">
        <v>171</v>
      </c>
      <c r="C1460" s="19">
        <v>0</v>
      </c>
      <c r="D1460" s="19">
        <v>29</v>
      </c>
      <c r="E1460">
        <f t="shared" si="912"/>
        <v>29</v>
      </c>
      <c r="H1460">
        <v>11</v>
      </c>
      <c r="I1460" s="19">
        <v>0</v>
      </c>
      <c r="J1460" s="19">
        <v>27</v>
      </c>
      <c r="K1460">
        <f t="shared" si="913"/>
        <v>27</v>
      </c>
      <c r="P1460" s="93"/>
      <c r="Q1460" s="111">
        <f>$R$1438</f>
        <v>29</v>
      </c>
      <c r="R1460" t="str">
        <f>$Q$1432</f>
        <v>L5</v>
      </c>
      <c r="S1460">
        <f>$E$24</f>
        <v>0</v>
      </c>
      <c r="T1460" cm="1">
        <f t="array" ref="T1460">IFERROR(IF(S1460=0,0,(INDEX($C$33:$C$38,MATCH($W$1438,$B$33:$B$38,0),0)*(S1461+$X$1438)+$T$1438*COUNTIF(S1460:S1460,"&gt;0")*$C$32+$V$1438*$C$31)*$R$1438),0)</f>
        <v>0</v>
      </c>
      <c r="U1460">
        <f>IF(S1460=0,0,-(COUNTIF(S1460:S1460,"&gt;0")*$T$1438*$C$32+$V$1438*$C$31)*$H$27*$R$1438)</f>
        <v>0</v>
      </c>
      <c r="V1460">
        <f>IF(S1460=0,0,$V$1438*$H$26*$R$1438)</f>
        <v>0</v>
      </c>
      <c r="W1460">
        <f t="shared" si="914"/>
        <v>0</v>
      </c>
      <c r="X1460">
        <f>T1460*$R$1438/2</f>
        <v>0</v>
      </c>
      <c r="Z1460">
        <f>IF(S1460=0,0,$AD$1438*$AP$1432)</f>
        <v>0</v>
      </c>
      <c r="AA1460">
        <f>IFERROR(Z1460/$R$1438,0)</f>
        <v>0</v>
      </c>
      <c r="AB1460">
        <f>Z1460*($F$24+IF($F$24=0,0,($C$14+$C$15+IF($C$13="single",1.5,3)+3)/12))</f>
        <v>0</v>
      </c>
      <c r="AC1460">
        <f>AB1460-W1460</f>
        <v>0</v>
      </c>
      <c r="AD1460" cm="1">
        <f t="array" ref="AD1460">IFERROR(IF(AC1460&lt;0,0,AC1460/($R$1438-INDEX(hd_off,MATCH(AQ1460,hd_mark,0),0)/12)),0)</f>
        <v>0</v>
      </c>
      <c r="AE1460">
        <f>IF(S1460=0,0,$AD$1438*$AM$1432)</f>
        <v>0</v>
      </c>
      <c r="AF1460">
        <f>IFERROR(AE1460/$R$1438,0)</f>
        <v>0</v>
      </c>
      <c r="AG1460">
        <f>AE1460*($F$24+IF($F$24=0,0,($C$14+$C$15+IF($C$13="single",1.5,3)+3)/12))</f>
        <v>0</v>
      </c>
      <c r="AH1460">
        <f>AG1460-X1460</f>
        <v>0</v>
      </c>
      <c r="AI1460" cm="1">
        <f t="array" ref="AI1460">IFERROR(IF(AH1460&lt;0,0,AH1460/($R$1438-INDEX(hd_off,MATCH(AQ1460,hd_mark,0),0)/12)),0)</f>
        <v>0</v>
      </c>
      <c r="AJ1460">
        <f>MAX($F$24,$AB$1438)/$Q$1460</f>
        <v>0</v>
      </c>
      <c r="AK1460">
        <f t="shared" si="915"/>
        <v>0</v>
      </c>
      <c r="AL1460" cm="1">
        <f t="array" ref="AL1460">IFERROR(INDEX(sheath_ecap_asd,MATCH(AP1460,sheath_mark,0),0)*AK1460,0)</f>
        <v>0</v>
      </c>
      <c r="AM1460" cm="1">
        <f t="array" ref="AM1460">IFERROR(INDEX(sheath_wcap_asd,MATCH(AP1460,sheath_mark,0),0)*AK1460,0)</f>
        <v>0</v>
      </c>
      <c r="AN1460" cm="1">
        <f t="array" ref="AN1460">IFERROR(INDEX(hd_cap,MATCH(AQ1460,hd_mark,0),0),0)</f>
        <v>0</v>
      </c>
      <c r="AP1460" s="19"/>
      <c r="AQ1460" s="19"/>
      <c r="AR1460" s="100"/>
      <c r="AS1460" s="93"/>
      <c r="AT1460" s="111">
        <f>$R$1438</f>
        <v>29</v>
      </c>
      <c r="AU1460" t="str">
        <f>$Q$1432</f>
        <v>L5</v>
      </c>
      <c r="AV1460">
        <f>$E$24</f>
        <v>0</v>
      </c>
      <c r="AW1460" cm="1">
        <f t="array" ref="AW1460">IFERROR(IF(AV1460=0,0,(INDEX($C$33:$C$38,MATCH($AZ$1438,$B$33:$B$38,0),0)*(AV1461+$BA$1438)+$AW$1438*COUNTIF(AV1460:AV1460,"&gt;0")*$C$32+$AY$1438*$C$31)*$AU$1438),0)</f>
        <v>0</v>
      </c>
      <c r="AX1460">
        <f>IF(AV1460=0,0,-(COUNTIF(AV1460:AV1460,"&gt;0")*$AW$1438*$C$32+$AY$1438*$C$31)*$H$27*$AU$1438)</f>
        <v>0</v>
      </c>
      <c r="AY1460">
        <f>IF(AV1460=0,0,$AY$1438*$H$26*$AU$1438)</f>
        <v>0</v>
      </c>
      <c r="AZ1460">
        <f>(0.6*AW1460+0.7*AX1460)*$AU$1438/2</f>
        <v>0</v>
      </c>
      <c r="BA1460">
        <f>AW1460*$AU$1438/2</f>
        <v>0</v>
      </c>
      <c r="BC1460">
        <f>IF(AV1460=0,0,$BG$1438*$AP$1432)</f>
        <v>0</v>
      </c>
      <c r="BD1460">
        <f>IFERROR(BC1460/$AU$1438,0)</f>
        <v>0</v>
      </c>
      <c r="BE1460">
        <f>BC1460*($F$24+IF($F$24=0,0,($C$14+$C$15+IF($C$13="single",1.5,3)+3)/12))</f>
        <v>0</v>
      </c>
      <c r="BF1460">
        <f>BE1460-AZ1460</f>
        <v>0</v>
      </c>
      <c r="BG1460" cm="1">
        <f t="array" ref="BG1460">IFERROR(IF(BF1460&lt;0,0,BF1460/($AU$1438-INDEX(hd_off,MATCH(BT1460,hd_mark,0),0)/12)),0)</f>
        <v>0</v>
      </c>
      <c r="BH1460">
        <f>IF(AV1460=0,0,$BG$1438*$AM$1432)</f>
        <v>0</v>
      </c>
      <c r="BI1460">
        <f>IFERROR(BH1460/$AU$1438,0)</f>
        <v>0</v>
      </c>
      <c r="BJ1460">
        <f>BH1460*($F$24+IF($F$24=0,0,($C$14+$C$15+IF($C$13="single",1.5,3)+3)/12))</f>
        <v>0</v>
      </c>
      <c r="BK1460">
        <f>BJ1460-BA1460</f>
        <v>0</v>
      </c>
      <c r="BL1460" cm="1">
        <f t="array" ref="BL1460">IFERROR(IF(BK1460&lt;0,0,BK1460/($AU$1438-INDEX(hd_off,MATCH(BT1460,hd_mark,0),0)/12)),0)</f>
        <v>0</v>
      </c>
      <c r="BM1460">
        <f>MAX($F$24,$BE$1438)/$Q$1460</f>
        <v>0</v>
      </c>
      <c r="BN1460">
        <f t="shared" si="916"/>
        <v>0</v>
      </c>
      <c r="BO1460" cm="1">
        <f t="array" ref="BO1460">IFERROR(INDEX(sheath_ecap_asd,MATCH(BS1460,sheath_mark,0),0)*BN1460,0)</f>
        <v>0</v>
      </c>
      <c r="BP1460" cm="1">
        <f t="array" ref="BP1460">IFERROR(INDEX(sheath_wcap_asd,MATCH(BS1460,sheath_mark,0),0)*BN1460,0)</f>
        <v>0</v>
      </c>
      <c r="BQ1460" cm="1">
        <f t="array" ref="BQ1460">IFERROR(INDEX(hd_cap,MATCH(BT1460,hd_mark,0),0),0)</f>
        <v>0</v>
      </c>
      <c r="BS1460" s="19"/>
      <c r="BT1460" s="19"/>
      <c r="BU1460" s="100"/>
    </row>
    <row r="1461" x14ac:dyDescent="0.25">
      <c r="B1461" t="s">
        <v>460</v>
      </c>
      <c r="C1461" s="19">
        <v>29</v>
      </c>
      <c r="D1461" s="19">
        <v>6</v>
      </c>
      <c r="E1461">
        <f t="shared" si="912"/>
        <v>35</v>
      </c>
      <c r="H1461">
        <v>12</v>
      </c>
      <c r="I1461" s="19">
        <v>27</v>
      </c>
      <c r="J1461" s="19">
        <v>14</v>
      </c>
      <c r="K1461">
        <f t="shared" si="913"/>
        <v>41</v>
      </c>
      <c r="P1461" s="93"/>
      <c r="Q1461" s="109"/>
      <c r="R1461" t="str">
        <f>$Q$1433</f>
        <v>Roof</v>
      </c>
      <c r="S1461">
        <f>$E$25</f>
        <v>33.171875</v>
      </c>
      <c r="T1461" cm="1">
        <f t="array" ref="T1461">IFERROR(IF(S1461=0,0,(INDEX($C$33:$C$38,MATCH($W$1438,$B$33:$B$38,0),0)*(S1461+$X$1438)+$V$1438*$C$31)*$R$1438),0)</f>
        <v>21491.71875</v>
      </c>
      <c r="U1461">
        <f>IF(S1461=0,0,-$V$1438*$C$31*$H$27*$R$1438)</f>
        <v>-37.583999999999996</v>
      </c>
      <c r="V1461">
        <f>IF(S1461=0,0,$V$1438*$H$26*$R$1438)</f>
        <v>-1328.1999999999998</v>
      </c>
      <c r="W1461">
        <f>(0.6*T1461+0.7*U1461)*$R$1438/2</f>
        <v>186596.47552499999</v>
      </c>
      <c r="X1461">
        <f>T1461*$R$1438/2</f>
        <v>311629.921875</v>
      </c>
      <c r="Z1461">
        <f>IF(S1461=0,0,$AD$1438*$AP$1433)</f>
        <v>191.83499999999995</v>
      </c>
      <c r="AA1461">
        <f>IFERROR(Z1461/$R$1438,0)</f>
        <v>6.6149999999999984</v>
      </c>
      <c r="AB1461">
        <f>Z1461*($F$25+($C$16+$C$17+IF($C$13="single",1.5,3)+3)/12)</f>
        <v>2263.0535156249989</v>
      </c>
      <c r="AC1461">
        <f>AB1461-W1461</f>
        <v>-184333.42200937498</v>
      </c>
      <c r="AD1461" cm="1">
        <f t="array" ref="AD1461">IFERROR(IF(AC1461&lt;0,0,AC1461/($R$1438-INDEX(hd_off,MATCH(AQ1461,hd_mark,0),0)/12)),0)</f>
        <v>0</v>
      </c>
      <c r="AE1461">
        <f>IF(S1461=0,0,$AD$1438*$AM$1433)</f>
        <v>3854.1</v>
      </c>
      <c r="AF1461">
        <f>IFERROR(AE1461/$R$1438,0)</f>
        <v>132.9</v>
      </c>
      <c r="AG1461">
        <f>AE1461*($F$25+($C$16+$C$17+IF($C$13="single",1.5,3)+3)/12)</f>
        <v>45466.335937499993</v>
      </c>
      <c r="AH1461">
        <f>AG1461-X1461</f>
        <v>-266163.5859375</v>
      </c>
      <c r="AI1461" cm="1">
        <f t="array" ref="AI1461">IFERROR(IF(AH1461&lt;0,0,AH1461/($R$1438-INDEX(hd_off,MATCH(AQ1461,hd_mark,0),0)/12)),0)</f>
        <v>0</v>
      </c>
      <c r="AJ1461">
        <f>MAX($F$25,$AC$1438)/$Q$1460</f>
        <v>0.29920977011494249</v>
      </c>
      <c r="AK1461">
        <f t="shared" si="915"/>
        <v>1</v>
      </c>
      <c r="AL1461" cm="1">
        <f t="array" ref="AL1461">IFERROR(INDEX(sheath_ecap_asd,MATCH(AP1461,sheath_mark,0),0)*AK1461,0)</f>
        <v>95.285714285714306</v>
      </c>
      <c r="AM1461" cm="1">
        <f t="array" ref="AM1461">IFERROR(INDEX(sheath_wcap_asd,MATCH(AP1461,sheath_mark,0),0)*AK1461,0)</f>
        <v>133.4</v>
      </c>
      <c r="AN1461" cm="1">
        <f t="array" ref="AN1461">IFERROR(INDEX(hd_cap,MATCH(AQ1461,hd_mark,0),0),0)</f>
        <v>0</v>
      </c>
      <c r="AP1461" s="19">
        <v>11</v>
      </c>
      <c r="AQ1461" s="19"/>
      <c r="AR1461" s="100"/>
      <c r="AS1461" s="93"/>
      <c r="AT1461" s="109"/>
      <c r="AU1461" t="str">
        <f>$Q$1433</f>
        <v>Roof</v>
      </c>
      <c r="AV1461">
        <f>$E$25</f>
        <v>33.171875</v>
      </c>
      <c r="AW1461" cm="1">
        <f t="array" ref="AW1461">IFERROR(IF(AV1461=0,0,(INDEX($C$33:$C$38,MATCH($AZ$1438,$B$33:$B$38,0),0)*(AV1461+$BA$1438)+$AY$1438*$C$31)*$AU$1438),0)</f>
        <v>21491.71875</v>
      </c>
      <c r="AX1461">
        <f>IF(AV1461=0,0,-$AY$1438*$C$31*$H$27*$AU$1438)</f>
        <v>-37.583999999999996</v>
      </c>
      <c r="AY1461">
        <f>IF(AV1461=0,0,$AY$1438*$H$26*$AU$1438)</f>
        <v>-1328.1999999999998</v>
      </c>
      <c r="AZ1461">
        <f>(0.6*AW1461+0.7*AX1461)*$AU$1438/2</f>
        <v>186596.47552499999</v>
      </c>
      <c r="BA1461">
        <f>AW1461*$AU$1438/2</f>
        <v>311629.921875</v>
      </c>
      <c r="BC1461">
        <f>IF(AV1461=0,0,$BG$1438*$AP$1433)</f>
        <v>191.83499999999995</v>
      </c>
      <c r="BD1461">
        <f>IFERROR(BC1461/$AU$1438,0)</f>
        <v>6.6149999999999984</v>
      </c>
      <c r="BE1461">
        <f>BC1461*($F$25+($C$16+$C$17+IF($C$13="single",1.5,3)+3)/12)</f>
        <v>2263.0535156249989</v>
      </c>
      <c r="BF1461">
        <f>BE1461-AZ1461</f>
        <v>-184333.42200937498</v>
      </c>
      <c r="BG1461" cm="1">
        <f t="array" ref="BG1461">IFERROR(IF(BF1461&lt;0,0,BF1461/($AU$1438-INDEX(hd_off,MATCH(BT1461,hd_mark,0),0)/12)),0)</f>
        <v>0</v>
      </c>
      <c r="BH1461">
        <f>IF(AV1461=0,0,$BG$1438*$AM$1433)</f>
        <v>3854.1</v>
      </c>
      <c r="BI1461">
        <f>IFERROR(BH1461/$AU$1438,0)</f>
        <v>132.9</v>
      </c>
      <c r="BJ1461">
        <f>BH1461*($F$25+($C$16+$C$17+IF($C$13="single",1.5,3)+3)/12)</f>
        <v>45466.335937499993</v>
      </c>
      <c r="BK1461">
        <f>BJ1461-BA1461</f>
        <v>-266163.5859375</v>
      </c>
      <c r="BL1461" cm="1">
        <f t="array" ref="BL1461">IFERROR(IF(BK1461&lt;0,0,BK1461/($AU$1438-INDEX(hd_off,MATCH(BT1461,hd_mark,0),0)/12)),0)</f>
        <v>0</v>
      </c>
      <c r="BM1461">
        <f>MAX($F$25,$BF$1438)/$Q$1460</f>
        <v>0.29920977011494249</v>
      </c>
      <c r="BN1461">
        <f t="shared" si="916"/>
        <v>1</v>
      </c>
      <c r="BO1461" cm="1">
        <f t="array" ref="BO1461">IFERROR(INDEX(sheath_ecap_asd,MATCH(BS1461,sheath_mark,0),0)*BN1461,0)</f>
        <v>95.285714285714306</v>
      </c>
      <c r="BP1461" cm="1">
        <f t="array" ref="BP1461">IFERROR(INDEX(sheath_wcap_asd,MATCH(BS1461,sheath_mark,0),0)*BN1461,0)</f>
        <v>133.4</v>
      </c>
      <c r="BQ1461" cm="1">
        <f t="array" ref="BQ1461">IFERROR(INDEX(hd_cap,MATCH(BT1461,hd_mark,0),0),0)</f>
        <v>0</v>
      </c>
      <c r="BS1461" s="19">
        <v>11</v>
      </c>
      <c r="BT1461" s="19"/>
      <c r="BU1461" s="100"/>
    </row>
    <row r="1462" x14ac:dyDescent="0.25">
      <c r="B1462" t="s">
        <v>461</v>
      </c>
      <c r="C1462" s="19">
        <v>6</v>
      </c>
      <c r="D1462" s="19">
        <v>29</v>
      </c>
      <c r="E1462">
        <f t="shared" si="912"/>
        <v>35</v>
      </c>
      <c r="H1462">
        <v>13</v>
      </c>
      <c r="I1462" s="19">
        <v>14</v>
      </c>
      <c r="J1462" s="19">
        <v>12</v>
      </c>
      <c r="K1462">
        <f t="shared" si="913"/>
        <v>26</v>
      </c>
      <c r="P1462" s="93"/>
      <c r="Q1462" s="109"/>
      <c r="AR1462" s="100"/>
      <c r="AS1462" s="93"/>
      <c r="AT1462" s="109"/>
      <c r="BU1462" s="100"/>
    </row>
    <row r="1463" x14ac:dyDescent="0.25">
      <c r="B1463" t="s">
        <v>462</v>
      </c>
      <c r="C1463" s="19">
        <v>29</v>
      </c>
      <c r="D1463" s="19">
        <v>0</v>
      </c>
      <c r="E1463">
        <f t="shared" si="912"/>
        <v>29</v>
      </c>
      <c r="H1463">
        <v>14</v>
      </c>
      <c r="I1463" s="19">
        <v>12</v>
      </c>
      <c r="J1463" s="19">
        <v>27</v>
      </c>
      <c r="K1463">
        <f t="shared" si="913"/>
        <v>39</v>
      </c>
      <c r="P1463" s="93"/>
      <c r="Q1463" s="110" t="str">
        <f>$Q$1439</f>
        <v>A.02</v>
      </c>
      <c r="R1463" t="str">
        <f>$Q$1429</f>
        <v>L2</v>
      </c>
      <c r="S1463">
        <f>$E$21</f>
        <v>10.6875</v>
      </c>
      <c r="T1463" cm="1">
        <f t="array" ref="T1463">IFERROR(IF(S1463=0,0,(INDEX($C$33:$C$38,MATCH($W$1439,$B$33:$B$38,0),0)*(S1467+$X$1439)+$T$1439*COUNTIF(S1463:S1466,"&gt;0")*$C$32+$V$1439*$C$31)*$R$1439),0)</f>
        <v>0</v>
      </c>
      <c r="U1463">
        <f>IF(S1463=0,0,-(COUNTIF(S1463:S1466,"&gt;0")*$T$1439*$C$32+$V$1439*$C$31)*$H$27*$R$1439)</f>
        <v>0</v>
      </c>
      <c r="V1463">
        <f>IF(S1463=0,0,$V$1439*$H$26*$R$1439)</f>
        <v>0</v>
      </c>
      <c r="W1463">
        <f>(0.6*T1463+0.7*U1463)*$R$1439/2</f>
        <v>0</v>
      </c>
      <c r="X1463">
        <f>(0.6*T1463+0.6*V1463)*$R$1439/2</f>
        <v>0</v>
      </c>
      <c r="Z1463">
        <f>IF(S1463=0,0,$AD$1439*$AP$1429)</f>
        <v>0</v>
      </c>
      <c r="AA1463">
        <f>IFERROR(Z1463/$R$1439,0)</f>
        <v>0</v>
      </c>
      <c r="AB1463">
        <f>Z1463*($F$21+IF($F$21=0,0,($C$14+$C$15+IF($C$13="single",1.5,3)+3)/12))</f>
        <v>0</v>
      </c>
      <c r="AC1463">
        <f>AB1463-W1463</f>
        <v>0</v>
      </c>
      <c r="AD1463" cm="1">
        <f t="array" ref="AD1463">IFERROR(IF(AC1463&lt;0,0,AC1463/($R$1439-INDEX(hd_off,MATCH(AQ1463,hd_mark,0),0)/12)),0)</f>
        <v>0</v>
      </c>
      <c r="AE1463">
        <f>IF(S1463=0,0,$AD$1439*$AM$1429)</f>
        <v>0</v>
      </c>
      <c r="AF1463">
        <f>IFERROR(AE1463/$R$1439,0)</f>
        <v>0</v>
      </c>
      <c r="AG1463">
        <f>AE1463*($F$21+IF($F$21=0,0,($C$14+$C$15+IF($C$13="single",1.5,3)+3)/12))</f>
        <v>0</v>
      </c>
      <c r="AH1463">
        <f>AG1463-X1463</f>
        <v>0</v>
      </c>
      <c r="AI1463" cm="1">
        <f t="array" ref="AI1463">IFERROR(IF(AH1463&lt;0,0,AH1463/($R$1439-INDEX(hd_off,MATCH(AQ1463,hd_mark,0),0)/12)),0)</f>
        <v>0</v>
      </c>
      <c r="AJ1463">
        <f>MAX($F$21,$Y$1439)/$Q$1460</f>
        <v>0.30172413793103448</v>
      </c>
      <c r="AK1463">
        <f>IF(AJ1463=0,0,IF(AJ1463&gt;2,1.25-0.125*AJ1463,1))</f>
        <v>1</v>
      </c>
      <c r="AL1463" cm="1">
        <f t="array" ref="AL1463">IFERROR(INDEX(sheath_ecap_asd,MATCH(AP1463,sheath_mark,0),0)*AK1463,0)</f>
        <v>0</v>
      </c>
      <c r="AM1463" cm="1">
        <f t="array" ref="AM1463">IFERROR(INDEX(sheath_wcap_asd,MATCH(AP1463,sheath_mark,0),0)*AK1463,0)</f>
        <v>0</v>
      </c>
      <c r="AN1463" cm="1">
        <f t="array" ref="AN1463">IFERROR(INDEX(hd_cap,MATCH(AQ1463,hd_mark,0),0),0)</f>
        <v>0</v>
      </c>
      <c r="AP1463" s="19"/>
      <c r="AQ1463" s="19"/>
      <c r="AR1463" s="100"/>
      <c r="AS1463" s="93"/>
      <c r="AT1463" s="110" t="str">
        <f>$AT$1439</f>
        <v>1.02</v>
      </c>
      <c r="AU1463" t="str">
        <f>$Q$1429</f>
        <v>L2</v>
      </c>
      <c r="AV1463">
        <f>$E$21</f>
        <v>10.6875</v>
      </c>
      <c r="AW1463" cm="1">
        <f t="array" ref="AW1463">IFERROR(IF(AV1463=0,0,(INDEX($C$33:$C$38,MATCH($AZ$1439,$B$33:$B$38,0),0)*(AV1467+$BA$1439)+$AW$1439*COUNTIF(AV1463:AV1466,"&gt;0")*$C$32+$AY$1439*$C$31)*$AU$1439),0)</f>
        <v>0</v>
      </c>
      <c r="AX1463">
        <f>IF(AV1463=0,0,-(COUNTIF(AV1463:AV1466,"&gt;0")*$AW$1439*$C$32+$AY$1439*$C$31)*$H$27*$AU$1439)</f>
        <v>0</v>
      </c>
      <c r="AY1463">
        <f>IF(AV1463=0,0,$AY$1439*$H$26*$AU$1439)</f>
        <v>0</v>
      </c>
      <c r="AZ1463">
        <f>(0.6*AW1463+0.7*AX1463)*$AU$1439/2</f>
        <v>0</v>
      </c>
      <c r="BA1463">
        <f>(0.6*AW1463+0.6*AY1463)*$AU$1439/2</f>
        <v>0</v>
      </c>
      <c r="BC1463">
        <f>IF(AV1463=0,0,$BG$1439*$AP$1429)</f>
        <v>0</v>
      </c>
      <c r="BD1463">
        <f>IFERROR(BC1463/$AU$1439,0)</f>
        <v>0</v>
      </c>
      <c r="BE1463">
        <f>BC1463*($F$21+IF($F$21=0,0,($C$14+$C$15+IF($C$13="single",1.5,3)+3)/12))</f>
        <v>0</v>
      </c>
      <c r="BF1463">
        <f>BE1463-AZ1463</f>
        <v>0</v>
      </c>
      <c r="BG1463" cm="1">
        <f t="array" ref="BG1463">IFERROR(IF(BF1463&lt;0,0,BF1463/($AU$1439-INDEX(hd_off,MATCH(BT1463,hd_mark,0),0)/12)),0)</f>
        <v>0</v>
      </c>
      <c r="BH1463">
        <f>IF(AV1463=0,0,$BG$1439*$AM$1429)</f>
        <v>0</v>
      </c>
      <c r="BI1463">
        <f>IFERROR(BH1463/$AU$1439,0)</f>
        <v>0</v>
      </c>
      <c r="BJ1463">
        <f>BH1463*($F$21+IF($F$21=0,0,($C$14+$C$15+IF($C$13="single",1.5,3)+3)/12))</f>
        <v>0</v>
      </c>
      <c r="BK1463">
        <f>BJ1463-BA1463</f>
        <v>0</v>
      </c>
      <c r="BL1463" cm="1">
        <f t="array" ref="BL1463">IFERROR(IF(BK1463&lt;0,0,BK1463/($AU$1439-INDEX(hd_off,MATCH(BT1463,hd_mark,0),0)/12)),0)</f>
        <v>0</v>
      </c>
      <c r="BM1463">
        <f>MAX($F$21,$BB$1439)/$Q$1460</f>
        <v>0.30172413793103448</v>
      </c>
      <c r="BN1463">
        <f>IF(BM1463=0,0,IF(BM1463&gt;2,1.25-0.125*BM1463,1))</f>
        <v>1</v>
      </c>
      <c r="BO1463" cm="1">
        <f t="array" ref="BO1463">IFERROR(INDEX(sheath_ecap_asd,MATCH(BS1463,sheath_mark,0),0)*BN1463,0)</f>
        <v>0</v>
      </c>
      <c r="BP1463" cm="1">
        <f t="array" ref="BP1463">IFERROR(INDEX(sheath_wcap_asd,MATCH(BS1463,sheath_mark,0),0)*BN1463,0)</f>
        <v>0</v>
      </c>
      <c r="BQ1463" cm="1">
        <f t="array" ref="BQ1463">IFERROR(INDEX(hd_cap,MATCH(BT1463,hd_mark,0),0),0)</f>
        <v>0</v>
      </c>
      <c r="BS1463" s="19"/>
      <c r="BT1463" s="19"/>
      <c r="BU1463" s="100"/>
    </row>
    <row r="1464" x14ac:dyDescent="0.25">
      <c r="B1464" t="s">
        <v>463</v>
      </c>
      <c r="C1464" s="19"/>
      <c r="D1464" s="19"/>
      <c r="E1464">
        <f t="shared" si="912"/>
        <v>0</v>
      </c>
      <c r="H1464">
        <v>15</v>
      </c>
      <c r="I1464" s="19">
        <v>27</v>
      </c>
      <c r="J1464" s="19">
        <v>18</v>
      </c>
      <c r="K1464">
        <f t="shared" si="913"/>
        <v>45</v>
      </c>
      <c r="P1464" s="93"/>
      <c r="Q1464" s="109"/>
      <c r="R1464" t="str">
        <f>$Q$1430</f>
        <v>L3</v>
      </c>
      <c r="S1464">
        <f>$E$22</f>
        <v>21.375</v>
      </c>
      <c r="T1464" cm="1">
        <f t="array" ref="T1464">IFERROR(IF(S1464=0,0,(INDEX($C$33:$C$38,MATCH($W$1439,$B$33:$B$38,0),0)*(S1467+$X$1439)+$T$1439*COUNTIF(S1464:S1466,"&gt;0")*$C$32+$V$1439*$C$31)*$R$1439),0)</f>
        <v>0</v>
      </c>
      <c r="U1464">
        <f>IF(S1464=0,0,-(COUNTIF(S1464:S1466,"&gt;0")*$T$1439*$C$32+$V$1439*$C$31)*$H$27*$R$1439)</f>
        <v>0</v>
      </c>
      <c r="V1464">
        <f>IF(S1464=0,0,$V$1439*$H$26*$R$1439)</f>
        <v>0</v>
      </c>
      <c r="W1464">
        <f>(0.6*T1464+0.7*U1464)*$R$1439/2</f>
        <v>0</v>
      </c>
      <c r="X1464">
        <f>T1464*$R$1439/2</f>
        <v>0</v>
      </c>
      <c r="Z1464">
        <f>IF(S1464=0,0,$AD$1439*$AP$1430)</f>
        <v>0</v>
      </c>
      <c r="AA1464">
        <f>IFERROR(Z1464/$R$1439,0)</f>
        <v>0</v>
      </c>
      <c r="AB1464">
        <f>Z1464*($F$22+IF($F$22=0,0,($C$14+$C$15+IF($C$13="single",1.5,3)+3)/12))</f>
        <v>0</v>
      </c>
      <c r="AC1464">
        <f>AB1464-W1464</f>
        <v>0</v>
      </c>
      <c r="AD1464" cm="1">
        <f t="array" ref="AD1464">IFERROR(IF(AC1464&lt;0,0,AC1464/($R$1439-INDEX(hd_off,MATCH(AQ1464,hd_mark,0),0)/12)),0)</f>
        <v>0</v>
      </c>
      <c r="AE1464">
        <f>IF(S1464=0,0,$AD$1439*$AM$1430)</f>
        <v>0</v>
      </c>
      <c r="AF1464">
        <f>IFERROR(AE1464/$R$1439,0)</f>
        <v>0</v>
      </c>
      <c r="AG1464">
        <f>AE1464*($F$22+IF($F$22=0,0,($C$14+$C$15+IF($C$13="single",1.5,3)+3)/12))</f>
        <v>0</v>
      </c>
      <c r="AH1464">
        <f>AG1464-X1464</f>
        <v>0</v>
      </c>
      <c r="AI1464" cm="1">
        <f t="array" ref="AI1464">IFERROR(IF(AH1464&lt;0,0,AH1464/($R$1439-INDEX(hd_off,MATCH(AQ1464,hd_mark,0),0)/12)),0)</f>
        <v>0</v>
      </c>
      <c r="AJ1464">
        <f>MAX($F$22,$Z$1439)/$Q$1460</f>
        <v>0.30172413793103448</v>
      </c>
      <c r="AK1464">
        <f t="shared" ref="AK1464:AK1467" si="917">IF(AJ1464=0,0,IF(AJ1464&gt;2,1.25-0.125*AJ1464,1))</f>
        <v>1</v>
      </c>
      <c r="AL1464" cm="1">
        <f t="array" ref="AL1464">IFERROR(INDEX(sheath_ecap_asd,MATCH(AP1464,sheath_mark,0),0)*AK1464,0)</f>
        <v>0</v>
      </c>
      <c r="AM1464" cm="1">
        <f t="array" ref="AM1464">IFERROR(INDEX(sheath_wcap_asd,MATCH(AP1464,sheath_mark,0),0)*AK1464,0)</f>
        <v>0</v>
      </c>
      <c r="AN1464" cm="1">
        <f t="array" ref="AN1464">IFERROR(INDEX(hd_cap,MATCH(AQ1464,hd_mark,0),0),0)</f>
        <v>0</v>
      </c>
      <c r="AP1464" s="19"/>
      <c r="AQ1464" s="19"/>
      <c r="AR1464" s="100"/>
      <c r="AS1464" s="93"/>
      <c r="AT1464" s="109"/>
      <c r="AU1464" t="str">
        <f>$Q$1430</f>
        <v>L3</v>
      </c>
      <c r="AV1464">
        <f>$E$22</f>
        <v>21.375</v>
      </c>
      <c r="AW1464" cm="1">
        <f t="array" ref="AW1464">IFERROR(IF(AV1464=0,0,(INDEX($C$33:$C$38,MATCH($AZ$1439,$B$33:$B$38,0),0)*(AV1467+$BA$1439)+$AW$1439*COUNTIF(AV1464:AV1466,"&gt;0")*$C$32+$AY$1439*$C$31)*$AU$1439),0)</f>
        <v>0</v>
      </c>
      <c r="AX1464">
        <f>IF(AV1464=0,0,-(COUNTIF(AV1464:AV1466,"&gt;0")*$AW$1439*$C$32+$AY$1439*$C$31)*$H$27*$AU$1439)</f>
        <v>0</v>
      </c>
      <c r="AY1464">
        <f>IF(AV1464=0,0,$AY$1439*$H$26*$AU$1439)</f>
        <v>0</v>
      </c>
      <c r="AZ1464">
        <f>(0.6*AW1464+0.7*AX1464)*$AU$1439/2</f>
        <v>0</v>
      </c>
      <c r="BA1464">
        <f>AW1464*$AU$1439/2</f>
        <v>0</v>
      </c>
      <c r="BC1464">
        <f>IF(AV1464=0,0,$BG$1439*$AP$1430)</f>
        <v>0</v>
      </c>
      <c r="BD1464">
        <f>IFERROR(BC1464/$AU$1439,0)</f>
        <v>0</v>
      </c>
      <c r="BE1464">
        <f>BC1464*($F$22+IF($F$22=0,0,($C$14+$C$15+IF($C$13="single",1.5,3)+3)/12))</f>
        <v>0</v>
      </c>
      <c r="BF1464">
        <f>BE1464-AZ1464</f>
        <v>0</v>
      </c>
      <c r="BG1464" cm="1">
        <f t="array" ref="BG1464">IFERROR(IF(BF1464&lt;0,0,BF1464/($AU$1439-INDEX(hd_off,MATCH(BT1464,hd_mark,0),0)/12)),0)</f>
        <v>0</v>
      </c>
      <c r="BH1464">
        <f>IF(AV1464=0,0,$BG$1439*$AM$1430)</f>
        <v>0</v>
      </c>
      <c r="BI1464">
        <f>IFERROR(BH1464/$AU$1439,0)</f>
        <v>0</v>
      </c>
      <c r="BJ1464">
        <f>BH1464*($F$22+IF($F$22=0,0,($C$14+$C$15+IF($C$13="single",1.5,3)+3)/12))</f>
        <v>0</v>
      </c>
      <c r="BK1464">
        <f>BJ1464-BA1464</f>
        <v>0</v>
      </c>
      <c r="BL1464" cm="1">
        <f t="array" ref="BL1464">IFERROR(IF(BK1464&lt;0,0,BK1464/($AU$1439-INDEX(hd_off,MATCH(BT1464,hd_mark,0),0)/12)),0)</f>
        <v>0</v>
      </c>
      <c r="BM1464">
        <f>MAX($F$22,$BC$1439)/$Q$1460</f>
        <v>0.30172413793103448</v>
      </c>
      <c r="BN1464">
        <f t="shared" ref="BN1464:BN1467" si="918">IF(BM1464=0,0,IF(BM1464&gt;2,1.25-0.125*BM1464,1))</f>
        <v>1</v>
      </c>
      <c r="BO1464" cm="1">
        <f t="array" ref="BO1464">IFERROR(INDEX(sheath_ecap_asd,MATCH(BS1464,sheath_mark,0),0)*BN1464,0)</f>
        <v>0</v>
      </c>
      <c r="BP1464" cm="1">
        <f t="array" ref="BP1464">IFERROR(INDEX(sheath_wcap_asd,MATCH(BS1464,sheath_mark,0),0)*BN1464,0)</f>
        <v>0</v>
      </c>
      <c r="BQ1464" cm="1">
        <f t="array" ref="BQ1464">IFERROR(INDEX(hd_cap,MATCH(BT1464,hd_mark,0),0),0)</f>
        <v>0</v>
      </c>
      <c r="BS1464" s="19"/>
      <c r="BT1464" s="19"/>
      <c r="BU1464" s="100"/>
    </row>
    <row r="1465" x14ac:dyDescent="0.25">
      <c r="B1465" t="s">
        <v>464</v>
      </c>
      <c r="C1465" s="19"/>
      <c r="D1465" s="19"/>
      <c r="E1465">
        <f t="shared" si="912"/>
        <v>0</v>
      </c>
      <c r="H1465">
        <v>16</v>
      </c>
      <c r="I1465" s="19"/>
      <c r="J1465" s="19"/>
      <c r="K1465">
        <f t="shared" si="913"/>
        <v>0</v>
      </c>
      <c r="P1465" s="93"/>
      <c r="Q1465" s="109" t="s">
        <v>491</v>
      </c>
      <c r="R1465" t="str">
        <f>$Q$1431</f>
        <v>L4</v>
      </c>
      <c r="S1465">
        <f>$E$23</f>
        <v>0</v>
      </c>
      <c r="T1465" cm="1">
        <f t="array" ref="T1465">IFERROR(IF(S1465=0,0,(INDEX($C$33:$C$38,MATCH($W$1439,$B$33:$B$38,0),0)*(S1467+$X$1439)+$T$1439*COUNTIF(S1465:S1466,"&gt;0")*$C$32+$V$1439*$C$31)*$R$1439),0)</f>
        <v>0</v>
      </c>
      <c r="U1465">
        <f>IF(S1465=0,0,-(COUNTIF(S1465:S1466,"&gt;0")*$T$1439*$C$32+$V$1439*$C$31)*$H$27*$R$1439)</f>
        <v>0</v>
      </c>
      <c r="V1465">
        <f>IF(S1465=0,0,$V$1439*$H$26*$R$1439)</f>
        <v>0</v>
      </c>
      <c r="W1465">
        <f>(0.6*T1465+0.7*U1465)*$R$1439/2</f>
        <v>0</v>
      </c>
      <c r="X1465">
        <f>T1465*$R$1439/2</f>
        <v>0</v>
      </c>
      <c r="Z1465">
        <f>IF(S1465=0,0,$AD$1439*$AP$1431)</f>
        <v>0</v>
      </c>
      <c r="AA1465">
        <f>IFERROR(Z1465/$R$1439,0)</f>
        <v>0</v>
      </c>
      <c r="AB1465">
        <f>Z1465*($F$23+IF($F$23=0,0,($C$14+$C$15+IF($C$13="single",1.5,3)+3)/12))</f>
        <v>0</v>
      </c>
      <c r="AC1465">
        <f>AB1465-W1465</f>
        <v>0</v>
      </c>
      <c r="AD1465" cm="1">
        <f t="array" ref="AD1465">IFERROR(IF(AC1465&lt;0,0,AC1465/($R$1439-INDEX(hd_off,MATCH(AQ1465,hd_mark,0),0)/12)),0)</f>
        <v>0</v>
      </c>
      <c r="AE1465">
        <f>IF(S1465=0,0,$AD$1439*$AM$1431)</f>
        <v>0</v>
      </c>
      <c r="AF1465">
        <f>IFERROR(AE1465/$R$1439,0)</f>
        <v>0</v>
      </c>
      <c r="AG1465">
        <f>AE1465*($F$23+IF($F$23=0,0,($C$14+$C$15+IF($C$13="single",1.5,3)+3)/12))</f>
        <v>0</v>
      </c>
      <c r="AH1465">
        <f>AG1465-X1465</f>
        <v>0</v>
      </c>
      <c r="AI1465" cm="1">
        <f t="array" ref="AI1465">IFERROR(IF(AH1465&lt;0,0,AH1465/($R$1439-INDEX(hd_off,MATCH(AQ1465,hd_mark,0),0)/12)),0)</f>
        <v>0</v>
      </c>
      <c r="AJ1465">
        <f>MAX($F$23,$AA$1439)/$Q$1460</f>
        <v>0</v>
      </c>
      <c r="AK1465">
        <f t="shared" si="917"/>
        <v>0</v>
      </c>
      <c r="AL1465" cm="1">
        <f t="array" ref="AL1465">IFERROR(INDEX(sheath_ecap_asd,MATCH(AP1465,sheath_mark,0),0)*AK1465,0)</f>
        <v>0</v>
      </c>
      <c r="AM1465" cm="1">
        <f t="array" ref="AM1465">IFERROR(INDEX(sheath_wcap_asd,MATCH(AP1465,sheath_mark,0),0)*AK1465,0)</f>
        <v>0</v>
      </c>
      <c r="AN1465" cm="1">
        <f t="array" ref="AN1465">IFERROR(INDEX(hd_cap,MATCH(AQ1465,hd_mark,0),0),0)</f>
        <v>0</v>
      </c>
      <c r="AP1465" s="19"/>
      <c r="AQ1465" s="19"/>
      <c r="AR1465" s="100"/>
      <c r="AS1465" s="93"/>
      <c r="AT1465" s="109" t="s">
        <v>491</v>
      </c>
      <c r="AU1465" t="str">
        <f>$Q$1431</f>
        <v>L4</v>
      </c>
      <c r="AV1465">
        <f>$E$23</f>
        <v>0</v>
      </c>
      <c r="AW1465" cm="1">
        <f t="array" ref="AW1465">IFERROR(IF(AV1465=0,0,(INDEX($C$33:$C$38,MATCH($AZ$1439,$B$33:$B$38,0),0)*(AV1467+$BA$1439)+$AW$1439*COUNTIF(AV1465:AV1466,"&gt;0")*$C$32+$AY$1439*$C$31)*$AU$1439),0)</f>
        <v>0</v>
      </c>
      <c r="AX1465">
        <f>IF(AV1465=0,0,-(COUNTIF(AV1465:AV1466,"&gt;0")*$AW$1439*$C$32+$AY$1439*$C$31)*$H$27*$AU$1439)</f>
        <v>0</v>
      </c>
      <c r="AY1465">
        <f>IF(AV1465=0,0,$AY$1439*$H$26*$AU$1439)</f>
        <v>0</v>
      </c>
      <c r="AZ1465">
        <f>(0.6*AW1465+0.7*AX1465)*$AU$1439/2</f>
        <v>0</v>
      </c>
      <c r="BA1465">
        <f>AW1465*$AU$1439/2</f>
        <v>0</v>
      </c>
      <c r="BC1465">
        <f>IF(AV1465=0,0,$BG$1439*$AP$1431)</f>
        <v>0</v>
      </c>
      <c r="BD1465">
        <f>IFERROR(BC1465/$AU$1439,0)</f>
        <v>0</v>
      </c>
      <c r="BE1465">
        <f>BC1465*($F$23+IF($F$23=0,0,($C$14+$C$15+IF($C$13="single",1.5,3)+3)/12))</f>
        <v>0</v>
      </c>
      <c r="BF1465">
        <f>BE1465-AZ1465</f>
        <v>0</v>
      </c>
      <c r="BG1465" cm="1">
        <f t="array" ref="BG1465">IFERROR(IF(BF1465&lt;0,0,BF1465/($AU$1439-INDEX(hd_off,MATCH(BT1465,hd_mark,0),0)/12)),0)</f>
        <v>0</v>
      </c>
      <c r="BH1465">
        <f>IF(AV1465=0,0,$BG$1439*$AM$1431)</f>
        <v>0</v>
      </c>
      <c r="BI1465">
        <f>IFERROR(BH1465/$AU$1439,0)</f>
        <v>0</v>
      </c>
      <c r="BJ1465">
        <f>BH1465*($F$23+IF($F$23=0,0,($C$14+$C$15+IF($C$13="single",1.5,3)+3)/12))</f>
        <v>0</v>
      </c>
      <c r="BK1465">
        <f>BJ1465-BA1465</f>
        <v>0</v>
      </c>
      <c r="BL1465" cm="1">
        <f t="array" ref="BL1465">IFERROR(IF(BK1465&lt;0,0,BK1465/($AU$1439-INDEX(hd_off,MATCH(BT1465,hd_mark,0),0)/12)),0)</f>
        <v>0</v>
      </c>
      <c r="BM1465">
        <f>MAX($F$23,$BD$1439)/$Q$1460</f>
        <v>0</v>
      </c>
      <c r="BN1465">
        <f t="shared" si="918"/>
        <v>0</v>
      </c>
      <c r="BO1465" cm="1">
        <f t="array" ref="BO1465">IFERROR(INDEX(sheath_ecap_asd,MATCH(BS1465,sheath_mark,0),0)*BN1465,0)</f>
        <v>0</v>
      </c>
      <c r="BP1465" cm="1">
        <f t="array" ref="BP1465">IFERROR(INDEX(sheath_wcap_asd,MATCH(BS1465,sheath_mark,0),0)*BN1465,0)</f>
        <v>0</v>
      </c>
      <c r="BQ1465" cm="1">
        <f t="array" ref="BQ1465">IFERROR(INDEX(hd_cap,MATCH(BT1465,hd_mark,0),0),0)</f>
        <v>0</v>
      </c>
      <c r="BS1465" s="19"/>
      <c r="BT1465" s="19"/>
      <c r="BU1465" s="100"/>
    </row>
    <row r="1466" x14ac:dyDescent="0.25">
      <c r="B1466" t="s">
        <v>465</v>
      </c>
      <c r="C1466" s="19"/>
      <c r="D1466" s="19"/>
      <c r="E1466">
        <f t="shared" si="912"/>
        <v>0</v>
      </c>
      <c r="H1466">
        <v>17</v>
      </c>
      <c r="I1466" s="19"/>
      <c r="J1466" s="19"/>
      <c r="K1466">
        <f t="shared" si="913"/>
        <v>0</v>
      </c>
      <c r="P1466" s="93"/>
      <c r="Q1466" s="111">
        <f>$R$1439</f>
        <v>0</v>
      </c>
      <c r="R1466" t="str">
        <f>$Q$1432</f>
        <v>L5</v>
      </c>
      <c r="S1466">
        <f>$E$24</f>
        <v>0</v>
      </c>
      <c r="T1466" cm="1">
        <f t="array" ref="T1466">IFERROR(IF(S1466=0,0,(INDEX($C$33:$C$38,MATCH($W$1439,$B$33:$B$38,0),0)*(S1467+$X$1439)+$T$1439*COUNTIF(S1466:S1466,"&gt;0")*$C$32+$V$1439*$C$31)*$R$1439),0)</f>
        <v>0</v>
      </c>
      <c r="U1466">
        <f>IF(S1466=0,0,-(COUNTIF(S1466:S1466,"&gt;0")*$T$1439*$C$32+$V$1439*$C$31)*$H$27*$R$1439)</f>
        <v>0</v>
      </c>
      <c r="V1466">
        <f>IF(S1466=0,0,$V$1439*$H$26*$R$1439)</f>
        <v>0</v>
      </c>
      <c r="W1466">
        <f>(0.6*T1466+0.7*U1466)*$R$1439/2</f>
        <v>0</v>
      </c>
      <c r="X1466">
        <f>T1466*$R$1439/2</f>
        <v>0</v>
      </c>
      <c r="Z1466">
        <f>IF(S1466=0,0,$AD$1439*$AP$1432)</f>
        <v>0</v>
      </c>
      <c r="AA1466">
        <f>IFERROR(Z1466/$R$1439,0)</f>
        <v>0</v>
      </c>
      <c r="AB1466">
        <f>Z1466*($F$24+IF($F$24=0,0,($C$14+$C$15+IF($C$13="single",1.5,3)+3)/12))</f>
        <v>0</v>
      </c>
      <c r="AC1466">
        <f>AB1466-W1466</f>
        <v>0</v>
      </c>
      <c r="AD1466" cm="1">
        <f t="array" ref="AD1466">IFERROR(IF(AC1466&lt;0,0,AC1466/($R$1439-INDEX(hd_off,MATCH(AQ1466,hd_mark,0),0)/12)),0)</f>
        <v>0</v>
      </c>
      <c r="AE1466">
        <f>IF(S1466=0,0,$AD$1439*$AM$1432)</f>
        <v>0</v>
      </c>
      <c r="AF1466">
        <f>IFERROR(AE1466/$R$1439,0)</f>
        <v>0</v>
      </c>
      <c r="AG1466">
        <f>AE1466*($F$24+IF($F$24=0,0,($C$14+$C$15+IF($C$13="single",1.5,3)+3)/12))</f>
        <v>0</v>
      </c>
      <c r="AH1466">
        <f>AG1466-X1466</f>
        <v>0</v>
      </c>
      <c r="AI1466" cm="1">
        <f t="array" ref="AI1466">IFERROR(IF(AH1466&lt;0,0,AH1466/($R$1439-INDEX(hd_off,MATCH(AQ1466,hd_mark,0),0)/12)),0)</f>
        <v>0</v>
      </c>
      <c r="AJ1466">
        <f>MAX($F$24,$AB$1439)/$Q$1460</f>
        <v>0</v>
      </c>
      <c r="AK1466">
        <f t="shared" si="917"/>
        <v>0</v>
      </c>
      <c r="AL1466" cm="1">
        <f t="array" ref="AL1466">IFERROR(INDEX(sheath_ecap_asd,MATCH(AP1466,sheath_mark,0),0)*AK1466,0)</f>
        <v>0</v>
      </c>
      <c r="AM1466" cm="1">
        <f t="array" ref="AM1466">IFERROR(INDEX(sheath_wcap_asd,MATCH(AP1466,sheath_mark,0),0)*AK1466,0)</f>
        <v>0</v>
      </c>
      <c r="AN1466" cm="1">
        <f t="array" ref="AN1466">IFERROR(INDEX(hd_cap,MATCH(AQ1466,hd_mark,0),0),0)</f>
        <v>0</v>
      </c>
      <c r="AP1466" s="19"/>
      <c r="AQ1466" s="19"/>
      <c r="AR1466" s="100"/>
      <c r="AS1466" s="93"/>
      <c r="AT1466" s="111">
        <f>$R$1439</f>
        <v>0</v>
      </c>
      <c r="AU1466" t="str">
        <f>$Q$1432</f>
        <v>L5</v>
      </c>
      <c r="AV1466">
        <f>$E$24</f>
        <v>0</v>
      </c>
      <c r="AW1466" cm="1">
        <f t="array" ref="AW1466">IFERROR(IF(AV1466=0,0,(INDEX($C$33:$C$38,MATCH($AZ$1439,$B$33:$B$38,0),0)*(AV1467+$BA$1439)+$AW$1439*COUNTIF(AV1466:AV1466,"&gt;0")*$C$32+$AY$1439*$C$31)*$AU$1439),0)</f>
        <v>0</v>
      </c>
      <c r="AX1466">
        <f>IF(AV1466=0,0,-(COUNTIF(AV1466:AV1466,"&gt;0")*$AW$1439*$C$32+$AY$1439*$C$31)*$H$27*$AU$1439)</f>
        <v>0</v>
      </c>
      <c r="AY1466">
        <f>IF(AV1466=0,0,$AY$1439*$H$26*$AU$1439)</f>
        <v>0</v>
      </c>
      <c r="AZ1466">
        <f>(0.6*AW1466+0.7*AX1466)*$AU$1439/2</f>
        <v>0</v>
      </c>
      <c r="BA1466">
        <f>AW1466*$AU$1439/2</f>
        <v>0</v>
      </c>
      <c r="BC1466">
        <f>IF(AV1466=0,0,$BG$1439*$AP$1432)</f>
        <v>0</v>
      </c>
      <c r="BD1466">
        <f>IFERROR(BC1466/$AU$1439,0)</f>
        <v>0</v>
      </c>
      <c r="BE1466">
        <f>BC1466*($F$24+IF($F$24=0,0,($C$14+$C$15+IF($C$13="single",1.5,3)+3)/12))</f>
        <v>0</v>
      </c>
      <c r="BF1466">
        <f>BE1466-AZ1466</f>
        <v>0</v>
      </c>
      <c r="BG1466" cm="1">
        <f t="array" ref="BG1466">IFERROR(IF(BF1466&lt;0,0,BF1466/($AU$1439-INDEX(hd_off,MATCH(BT1466,hd_mark,0),0)/12)),0)</f>
        <v>0</v>
      </c>
      <c r="BH1466">
        <f>IF(AV1466=0,0,$BG$1439*$AM$1432)</f>
        <v>0</v>
      </c>
      <c r="BI1466">
        <f>IFERROR(BH1466/$AU$1439,0)</f>
        <v>0</v>
      </c>
      <c r="BJ1466">
        <f>BH1466*($F$24+IF($F$24=0,0,($C$14+$C$15+IF($C$13="single",1.5,3)+3)/12))</f>
        <v>0</v>
      </c>
      <c r="BK1466">
        <f>BJ1466-BA1466</f>
        <v>0</v>
      </c>
      <c r="BL1466" cm="1">
        <f t="array" ref="BL1466">IFERROR(IF(BK1466&lt;0,0,BK1466/($AU$1439-INDEX(hd_off,MATCH(BT1466,hd_mark,0),0)/12)),0)</f>
        <v>0</v>
      </c>
      <c r="BM1466">
        <f>MAX($F$24,$BE$1439)/$Q$1460</f>
        <v>0</v>
      </c>
      <c r="BN1466">
        <f t="shared" si="918"/>
        <v>0</v>
      </c>
      <c r="BO1466" cm="1">
        <f t="array" ref="BO1466">IFERROR(INDEX(sheath_ecap_asd,MATCH(BS1466,sheath_mark,0),0)*BN1466,0)</f>
        <v>0</v>
      </c>
      <c r="BP1466" cm="1">
        <f t="array" ref="BP1466">IFERROR(INDEX(sheath_wcap_asd,MATCH(BS1466,sheath_mark,0),0)*BN1466,0)</f>
        <v>0</v>
      </c>
      <c r="BQ1466" cm="1">
        <f t="array" ref="BQ1466">IFERROR(INDEX(hd_cap,MATCH(BT1466,hd_mark,0),0),0)</f>
        <v>0</v>
      </c>
      <c r="BS1466" s="19"/>
      <c r="BT1466" s="19"/>
      <c r="BU1466" s="100"/>
    </row>
    <row r="1467" x14ac:dyDescent="0.25">
      <c r="B1467" t="s">
        <v>466</v>
      </c>
      <c r="C1467" s="19"/>
      <c r="D1467" s="19"/>
      <c r="E1467">
        <f t="shared" si="912"/>
        <v>0</v>
      </c>
      <c r="H1467">
        <v>18</v>
      </c>
      <c r="I1467" s="19"/>
      <c r="J1467" s="19"/>
      <c r="K1467">
        <f t="shared" si="913"/>
        <v>0</v>
      </c>
      <c r="P1467" s="93"/>
      <c r="Q1467" s="109"/>
      <c r="R1467" t="str">
        <f>$Q$1433</f>
        <v>Roof</v>
      </c>
      <c r="S1467">
        <f>$E$25</f>
        <v>33.171875</v>
      </c>
      <c r="T1467" cm="1">
        <f t="array" ref="T1467">IFERROR(IF(S1467=0,0,(INDEX($C$33:$C$38,MATCH($W$1439,$B$33:$B$38,0),0)*(S1467+$X$1439)+$V$1439*$C$31)*$R$1439),0)</f>
        <v>0</v>
      </c>
      <c r="U1467">
        <f>IF(S1467=0,0,-$V$1439*$C$31*$H$27*$R$1439)</f>
        <v>0</v>
      </c>
      <c r="V1467">
        <f>IF(S1467=0,0,$V$1439*$H$26*$R$1439)</f>
        <v>0</v>
      </c>
      <c r="W1467">
        <f>(0.6*T1467+0.7*U1467)*$R$1439/2</f>
        <v>0</v>
      </c>
      <c r="X1467">
        <f>T1467*$R$1439/2</f>
        <v>0</v>
      </c>
      <c r="Z1467">
        <f>IF(S1467=0,0,$AD$1439*$AP$1433)</f>
        <v>0</v>
      </c>
      <c r="AA1467">
        <f>IFERROR(Z1467/$R$1439,0)</f>
        <v>0</v>
      </c>
      <c r="AB1467">
        <f>Z1467*($F$25+($C$16+$C$17+IF($C$13="single",1.5,3)+3)/12)</f>
        <v>0</v>
      </c>
      <c r="AC1467">
        <f>AB1467-W1467</f>
        <v>0</v>
      </c>
      <c r="AD1467" cm="1">
        <f t="array" ref="AD1467">IFERROR(IF(AC1467&lt;0,0,AC1467/($R$1439-INDEX(hd_off,MATCH(AQ1467,hd_mark,0),0)/12)),0)</f>
        <v>0</v>
      </c>
      <c r="AE1467">
        <f>IF(S1467=0,0,$AD$1439*$AM$1433)</f>
        <v>0</v>
      </c>
      <c r="AF1467">
        <f>IFERROR(AE1467/$R$1439,0)</f>
        <v>0</v>
      </c>
      <c r="AG1467">
        <f>AE1467*($F$25+($C$16+$C$17+IF($C$13="single",1.5,3)+3)/12)</f>
        <v>0</v>
      </c>
      <c r="AH1467">
        <f>AG1467-X1467</f>
        <v>0</v>
      </c>
      <c r="AI1467" cm="1">
        <f t="array" ref="AI1467">IFERROR(IF(AH1467&lt;0,0,AH1467/($R$1439-INDEX(hd_off,MATCH(AQ1467,hd_mark,0),0)/12)),0)</f>
        <v>0</v>
      </c>
      <c r="AJ1467">
        <f>MAX($F$25,$AC$1439)/$Q$1460</f>
        <v>0.29920977011494249</v>
      </c>
      <c r="AK1467">
        <f t="shared" si="917"/>
        <v>1</v>
      </c>
      <c r="AL1467" cm="1">
        <f t="array" ref="AL1467">IFERROR(INDEX(sheath_ecap_asd,MATCH(AP1467,sheath_mark,0),0)*AK1467,0)</f>
        <v>0</v>
      </c>
      <c r="AM1467" cm="1">
        <f t="array" ref="AM1467">IFERROR(INDEX(sheath_wcap_asd,MATCH(AP1467,sheath_mark,0),0)*AK1467,0)</f>
        <v>0</v>
      </c>
      <c r="AN1467" cm="1">
        <f t="array" ref="AN1467">IFERROR(INDEX(hd_cap,MATCH(AQ1467,hd_mark,0),0),0)</f>
        <v>0</v>
      </c>
      <c r="AP1467" s="19"/>
      <c r="AQ1467" s="19"/>
      <c r="AR1467" s="100"/>
      <c r="AS1467" s="93"/>
      <c r="AT1467" s="109"/>
      <c r="AU1467" t="str">
        <f>$Q$1433</f>
        <v>Roof</v>
      </c>
      <c r="AV1467">
        <f>$E$25</f>
        <v>33.171875</v>
      </c>
      <c r="AW1467" cm="1">
        <f t="array" ref="AW1467">IFERROR(IF(AV1467=0,0,(INDEX($C$33:$C$38,MATCH($AZ$1439,$B$33:$B$38,0),0)*(AV1467+$BA$1439)+$AY$1439*$C$31)*$AU$1439),0)</f>
        <v>0</v>
      </c>
      <c r="AX1467">
        <f>IF(AV1467=0,0,-$AY$1439*$C$31*$H$27*$AU$1439)</f>
        <v>0</v>
      </c>
      <c r="AY1467">
        <f>IF(AV1467=0,0,$AY$1439*$H$26*$AU$1439)</f>
        <v>0</v>
      </c>
      <c r="AZ1467">
        <f>(0.6*AW1467+0.7*AX1467)*$AU$1439/2</f>
        <v>0</v>
      </c>
      <c r="BA1467">
        <f>AW1467*$AU$1439/2</f>
        <v>0</v>
      </c>
      <c r="BC1467">
        <f>IF(AV1467=0,0,$BG$1439*$AP$1433)</f>
        <v>0</v>
      </c>
      <c r="BD1467">
        <f>IFERROR(BC1467/$AU$1439,0)</f>
        <v>0</v>
      </c>
      <c r="BE1467">
        <f>BC1467*($F$25+($C$16+$C$17+IF($C$13="single",1.5,3)+3)/12)</f>
        <v>0</v>
      </c>
      <c r="BF1467">
        <f>BE1467-AZ1467</f>
        <v>0</v>
      </c>
      <c r="BG1467" cm="1">
        <f t="array" ref="BG1467">IFERROR(IF(BF1467&lt;0,0,BF1467/($AU$1439-INDEX(hd_off,MATCH(BT1467,hd_mark,0),0)/12)),0)</f>
        <v>0</v>
      </c>
      <c r="BH1467">
        <f>IF(AV1467=0,0,$BG$1439*$AM$1433)</f>
        <v>0</v>
      </c>
      <c r="BI1467">
        <f>IFERROR(BH1467/$AU$1439,0)</f>
        <v>0</v>
      </c>
      <c r="BJ1467">
        <f>BH1467*($F$25+($C$16+$C$17+IF($C$13="single",1.5,3)+3)/12)</f>
        <v>0</v>
      </c>
      <c r="BK1467">
        <f>BJ1467-BA1467</f>
        <v>0</v>
      </c>
      <c r="BL1467" cm="1">
        <f t="array" ref="BL1467">IFERROR(IF(BK1467&lt;0,0,BK1467/($AU$1439-INDEX(hd_off,MATCH(BT1467,hd_mark,0),0)/12)),0)</f>
        <v>0</v>
      </c>
      <c r="BM1467">
        <f>MAX($F$25,$BF$1439)/$Q$1460</f>
        <v>0.29920977011494249</v>
      </c>
      <c r="BN1467">
        <f t="shared" si="918"/>
        <v>1</v>
      </c>
      <c r="BO1467" cm="1">
        <f t="array" ref="BO1467">IFERROR(INDEX(sheath_ecap_asd,MATCH(BS1467,sheath_mark,0),0)*BN1467,0)</f>
        <v>0</v>
      </c>
      <c r="BP1467" cm="1">
        <f t="array" ref="BP1467">IFERROR(INDEX(sheath_wcap_asd,MATCH(BS1467,sheath_mark,0),0)*BN1467,0)</f>
        <v>0</v>
      </c>
      <c r="BQ1467" cm="1">
        <f t="array" ref="BQ1467">IFERROR(INDEX(hd_cap,MATCH(BT1467,hd_mark,0),0),0)</f>
        <v>0</v>
      </c>
      <c r="BS1467" s="19"/>
      <c r="BT1467" s="19"/>
      <c r="BU1467" s="100"/>
    </row>
    <row r="1468" x14ac:dyDescent="0.25">
      <c r="B1468" t="s">
        <v>467</v>
      </c>
      <c r="C1468" s="19"/>
      <c r="D1468" s="19"/>
      <c r="E1468">
        <f t="shared" si="912"/>
        <v>0</v>
      </c>
      <c r="H1468">
        <v>19</v>
      </c>
      <c r="I1468" s="19"/>
      <c r="J1468" s="19"/>
      <c r="K1468">
        <f t="shared" si="913"/>
        <v>0</v>
      </c>
      <c r="P1468" s="93"/>
      <c r="AR1468" s="100"/>
      <c r="AS1468" s="93"/>
      <c r="BU1468" s="100"/>
    </row>
    <row r="1469" x14ac:dyDescent="0.25">
      <c r="B1469" t="s">
        <v>468</v>
      </c>
      <c r="C1469" s="19"/>
      <c r="D1469" s="19"/>
      <c r="E1469">
        <f t="shared" si="912"/>
        <v>0</v>
      </c>
      <c r="H1469">
        <v>20</v>
      </c>
      <c r="I1469" s="19"/>
      <c r="J1469" s="19"/>
      <c r="K1469">
        <f t="shared" si="913"/>
        <v>0</v>
      </c>
      <c r="P1469" s="93"/>
      <c r="Q1469" s="110" t="str">
        <f>$Q$1440</f>
        <v>A.03</v>
      </c>
      <c r="R1469" t="str">
        <f>$Q$1429</f>
        <v>L2</v>
      </c>
      <c r="S1469">
        <f>$E$21</f>
        <v>10.6875</v>
      </c>
      <c r="T1469" cm="1">
        <f t="array" ref="T1469">IFERROR(IF(S1469=0,0,(INDEX($C$33:$C$38,MATCH($W$1440,$B$33:$B$38,0),0)*(S1473+$X$1440)+$T$1440*COUNTIF(S1469:S1472,"&gt;0")*$C$32+$V$1440*$C$31)*$R$1440),0)</f>
        <v>0</v>
      </c>
      <c r="U1469">
        <f>IF(S1469=0,0,-(COUNTIF(S1469:S1472,"&gt;0")*$T$1440*$C$32+$V$1440*$C$31)*$H$27*$R$1440)</f>
        <v>0</v>
      </c>
      <c r="V1469">
        <f>IF(S1469=0,0,$V$1440*$H$26*$R$1440)</f>
        <v>0</v>
      </c>
      <c r="W1469">
        <f>(0.6*T1469+0.7*U1469)*$R$1440/2</f>
        <v>0</v>
      </c>
      <c r="X1469">
        <f>(0.6*T1469+0.6*V1469)*$R$1440/2</f>
        <v>0</v>
      </c>
      <c r="Z1469">
        <f>IF(S1469=0,0,$AD$1440*$AP$1429)</f>
        <v>0</v>
      </c>
      <c r="AA1469">
        <f>IFERROR(Z1469/$R$1440,0)</f>
        <v>0</v>
      </c>
      <c r="AB1469">
        <f>Z1469*($F$21+IF($F$21=0,0,($C$14+$C$15+IF($C$13="single",1.5,3)+3)/12))</f>
        <v>0</v>
      </c>
      <c r="AC1469">
        <f>AB1469-W1469</f>
        <v>0</v>
      </c>
      <c r="AD1469" cm="1">
        <f t="array" ref="AD1469">IFERROR(IF(AC1469&lt;0,0,AC1469/($R$1440-INDEX(hd_off,MATCH(AQ1469,hd_mark,0),0)/12)),0)</f>
        <v>0</v>
      </c>
      <c r="AE1469">
        <f>IF(S1469=0,0,$AD$1440*$AM$1429)</f>
        <v>0</v>
      </c>
      <c r="AF1469">
        <f>IFERROR(AE1469/$R$1440,0)</f>
        <v>0</v>
      </c>
      <c r="AG1469">
        <f>AE1469*($F$21+IF($F$21=0,0,($C$14+$C$15+IF($C$13="single",1.5,3)+3)/12))</f>
        <v>0</v>
      </c>
      <c r="AH1469">
        <f>AG1469-X1469</f>
        <v>0</v>
      </c>
      <c r="AI1469" cm="1">
        <f t="array" ref="AI1469">IFERROR(IF(AH1469&lt;0,0,AH1469/($R$1440-INDEX(hd_off,MATCH(AQ1469,hd_mark,0),0)/12)),0)</f>
        <v>0</v>
      </c>
      <c r="AJ1469">
        <f>MAX($F$21,$Y$1440)/$Q$1460</f>
        <v>0.30172413793103448</v>
      </c>
      <c r="AK1469">
        <f>IF(AJ1469=0,0,IF(AJ1469&gt;2,1.25-0.125*AJ1469,1))</f>
        <v>1</v>
      </c>
      <c r="AL1469" cm="1">
        <f t="array" ref="AL1469">IFERROR(INDEX(sheath_ecap_asd,MATCH(AP1469,sheath_mark,0),0)*AK1469,0)</f>
        <v>0</v>
      </c>
      <c r="AM1469" cm="1">
        <f t="array" ref="AM1469">IFERROR(INDEX(sheath_wcap_asd,MATCH(AP1469,sheath_mark,0),0)*AK1469,0)</f>
        <v>0</v>
      </c>
      <c r="AN1469" cm="1">
        <f t="array" ref="AN1469">IFERROR(INDEX(hd_cap,MATCH(AQ1469,hd_mark,0),0),0)</f>
        <v>0</v>
      </c>
      <c r="AP1469" s="19"/>
      <c r="AQ1469" s="19"/>
      <c r="AR1469" s="100"/>
      <c r="AS1469" s="93"/>
      <c r="AT1469" s="110" t="str">
        <f>$AT$1440</f>
        <v>1.03</v>
      </c>
      <c r="AU1469" t="str">
        <f>$Q$1429</f>
        <v>L2</v>
      </c>
      <c r="AV1469">
        <f>$E$21</f>
        <v>10.6875</v>
      </c>
      <c r="AW1469" cm="1">
        <f t="array" ref="AW1469">IFERROR(IF(AV1469=0,0,(INDEX($C$33:$C$38,MATCH($AZ$1440,$B$33:$B$38,0),0)*(AV1473+$BA$1440)+$AW$1440*COUNTIF(AV1469:AV1472,"&gt;0")*$C$32+$AY$1440*$C$31)*$AU$1440),0)</f>
        <v>0</v>
      </c>
      <c r="AX1469">
        <f>IF(AV1469=0,0,-(COUNTIF(AV1469:AV1472,"&gt;0")*$AW$1440*$C$32+$AY$1440*$C$31)*$H$27*$AU$1440)</f>
        <v>0</v>
      </c>
      <c r="AY1469">
        <f>IF(AV1469=0,0,$AY$1440*$H$26*$AU$1440)</f>
        <v>0</v>
      </c>
      <c r="AZ1469">
        <f>(0.6*AW1469+0.7*AX1469)*$AU$1440/2</f>
        <v>0</v>
      </c>
      <c r="BA1469">
        <f>(0.6*AW1469+0.6*AY1469)*$AU$1440/2</f>
        <v>0</v>
      </c>
      <c r="BC1469">
        <f>IF(AV1469=0,0,$BG$1440*$AP$1429)</f>
        <v>0</v>
      </c>
      <c r="BD1469">
        <f>IFERROR(BC1469/$AU$1440,0)</f>
        <v>0</v>
      </c>
      <c r="BE1469">
        <f>BC1469*($F$21+IF($F$21=0,0,($C$14+$C$15+IF($C$13="single",1.5,3)+3)/12))</f>
        <v>0</v>
      </c>
      <c r="BF1469">
        <f>BE1469-AZ1469</f>
        <v>0</v>
      </c>
      <c r="BG1469" cm="1">
        <f t="array" ref="BG1469">IFERROR(IF(BF1469&lt;0,0,BF1469/($AU$1440-INDEX(hd_off,MATCH(BT1469,hd_mark,0),0)/12)),0)</f>
        <v>0</v>
      </c>
      <c r="BH1469">
        <f>IF(AV1469=0,0,$BG$1440*$AM$1429)</f>
        <v>0</v>
      </c>
      <c r="BI1469">
        <f>IFERROR(BH1469/$AU$1440,0)</f>
        <v>0</v>
      </c>
      <c r="BJ1469">
        <f>BH1469*($F$21+IF($F$21=0,0,($C$14+$C$15+IF($C$13="single",1.5,3)+3)/12))</f>
        <v>0</v>
      </c>
      <c r="BK1469">
        <f>BJ1469-BA1469</f>
        <v>0</v>
      </c>
      <c r="BL1469" cm="1">
        <f t="array" ref="BL1469">IFERROR(IF(BK1469&lt;0,0,BK1469/($AU$1440-INDEX(hd_off,MATCH(BT1469,hd_mark,0),0)/12)),0)</f>
        <v>0</v>
      </c>
      <c r="BM1469">
        <f>MAX($F$21,$BB$1440)/$Q$1460</f>
        <v>0.30172413793103448</v>
      </c>
      <c r="BN1469">
        <f>IF(BM1469=0,0,IF(BM1469&gt;2,1.25-0.125*BM1469,1))</f>
        <v>1</v>
      </c>
      <c r="BO1469" cm="1">
        <f t="array" ref="BO1469">IFERROR(INDEX(sheath_ecap_asd,MATCH(BS1469,sheath_mark,0),0)*BN1469,0)</f>
        <v>0</v>
      </c>
      <c r="BP1469" cm="1">
        <f t="array" ref="BP1469">IFERROR(INDEX(sheath_wcap_asd,MATCH(BS1469,sheath_mark,0),0)*BN1469,0)</f>
        <v>0</v>
      </c>
      <c r="BQ1469" cm="1">
        <f t="array" ref="BQ1469">IFERROR(INDEX(hd_cap,MATCH(BT1469,hd_mark,0),0),0)</f>
        <v>0</v>
      </c>
      <c r="BS1469" s="19"/>
      <c r="BT1469" s="19"/>
      <c r="BU1469" s="100"/>
    </row>
    <row r="1470" x14ac:dyDescent="0.25">
      <c r="B1470" t="s">
        <v>469</v>
      </c>
      <c r="C1470" s="19"/>
      <c r="D1470" s="19"/>
      <c r="E1470">
        <f t="shared" si="912"/>
        <v>0</v>
      </c>
      <c r="H1470">
        <v>21</v>
      </c>
      <c r="I1470" s="19"/>
      <c r="J1470" s="19"/>
      <c r="K1470">
        <f t="shared" si="913"/>
        <v>0</v>
      </c>
      <c r="P1470" s="93"/>
      <c r="Q1470" s="109"/>
      <c r="R1470" t="str">
        <f>$Q$1430</f>
        <v>L3</v>
      </c>
      <c r="S1470">
        <f>$E$22</f>
        <v>21.375</v>
      </c>
      <c r="T1470" cm="1">
        <f t="array" ref="T1470">IFERROR(IF(S1470=0,0,(INDEX($C$33:$C$38,MATCH($W$1440,$B$33:$B$38,0),0)*(S1473+$X$1440)+$T$1440*COUNTIF(S1470:S1472,"&gt;0")*$C$32+$V$1440*$C$31)*$R$1440),0)</f>
        <v>0</v>
      </c>
      <c r="U1470">
        <f>IF(S1470=0,0,-(COUNTIF(S1470:S1472,"&gt;0")*$T$1440*$C$32+$V$1440*$C$31)*$H$27*$R$1440)</f>
        <v>0</v>
      </c>
      <c r="V1470">
        <f>IF(S1470=0,0,$V$1440*$H$26*$R$1440)</f>
        <v>0</v>
      </c>
      <c r="W1470">
        <f>(0.6*T1470+0.7*U1470)*$R$1440/2</f>
        <v>0</v>
      </c>
      <c r="X1470">
        <f>T1470*$R$1440/2</f>
        <v>0</v>
      </c>
      <c r="Z1470">
        <f>IF(S1470=0,0,$AD$1440*$AP$1430)</f>
        <v>0</v>
      </c>
      <c r="AA1470">
        <f>IFERROR(Z1470/$R$1440,0)</f>
        <v>0</v>
      </c>
      <c r="AB1470">
        <f>Z1470*($F$22+IF($F$22=0,0,($C$14+$C$15+IF($C$13="single",1.5,3)+3)/12))</f>
        <v>0</v>
      </c>
      <c r="AC1470">
        <f>AB1470-W1470</f>
        <v>0</v>
      </c>
      <c r="AD1470" cm="1">
        <f t="array" ref="AD1470">IFERROR(IF(AC1470&lt;0,0,AC1470/($R$1440-INDEX(hd_off,MATCH(AQ1470,hd_mark,0),0)/12)),0)</f>
        <v>0</v>
      </c>
      <c r="AE1470">
        <f>IF(S1470=0,0,$AD$1440*$AM$1430)</f>
        <v>0</v>
      </c>
      <c r="AF1470">
        <f>IFERROR(AE1470/$R$1440,0)</f>
        <v>0</v>
      </c>
      <c r="AG1470">
        <f>AE1470*($F$22+IF($F$22=0,0,($C$14+$C$15+IF($C$13="single",1.5,3)+3)/12))</f>
        <v>0</v>
      </c>
      <c r="AH1470">
        <f>AG1470-X1470</f>
        <v>0</v>
      </c>
      <c r="AI1470" cm="1">
        <f t="array" ref="AI1470">IFERROR(IF(AH1470&lt;0,0,AH1470/($R$1440-INDEX(hd_off,MATCH(AQ1470,hd_mark,0),0)/12)),0)</f>
        <v>0</v>
      </c>
      <c r="AJ1470">
        <f>MAX($F$22,$Z$1440)/$Q$1460</f>
        <v>0.30172413793103448</v>
      </c>
      <c r="AK1470">
        <f t="shared" ref="AK1470:AK1473" si="919">IF(AJ1470=0,0,IF(AJ1470&gt;2,1.25-0.125*AJ1470,1))</f>
        <v>1</v>
      </c>
      <c r="AL1470" cm="1">
        <f t="array" ref="AL1470">IFERROR(INDEX(sheath_ecap_asd,MATCH(AP1470,sheath_mark,0),0)*AK1470,0)</f>
        <v>0</v>
      </c>
      <c r="AM1470" cm="1">
        <f t="array" ref="AM1470">IFERROR(INDEX(sheath_wcap_asd,MATCH(AP1470,sheath_mark,0),0)*AK1470,0)</f>
        <v>0</v>
      </c>
      <c r="AN1470" cm="1">
        <f t="array" ref="AN1470">IFERROR(INDEX(hd_cap,MATCH(AQ1470,hd_mark,0),0),0)</f>
        <v>0</v>
      </c>
      <c r="AP1470" s="19"/>
      <c r="AQ1470" s="19"/>
      <c r="AR1470" s="100"/>
      <c r="AS1470" s="93"/>
      <c r="AT1470" s="109"/>
      <c r="AU1470" t="str">
        <f>$Q$1430</f>
        <v>L3</v>
      </c>
      <c r="AV1470">
        <f>$E$22</f>
        <v>21.375</v>
      </c>
      <c r="AW1470" cm="1">
        <f t="array" ref="AW1470">IFERROR(IF(AV1470=0,0,(INDEX($C$33:$C$38,MATCH($AZ$1440,$B$33:$B$38,0),0)*(AV1473+$BA$1440)+$AW$1440*COUNTIF(AV1470:AV1472,"&gt;0")*$C$32+$AY$1440*$C$31)*$AU$1440),0)</f>
        <v>0</v>
      </c>
      <c r="AX1470">
        <f>IF(AV1470=0,0,-(COUNTIF(AV1470:AV1472,"&gt;0")*$AW$1440*$C$32+$AY$1440*$C$31)*$H$27*$AU$1440)</f>
        <v>0</v>
      </c>
      <c r="AY1470">
        <f>IF(AV1470=0,0,$AY$1440*$H$26*$AU$1440)</f>
        <v>0</v>
      </c>
      <c r="AZ1470">
        <f>(0.6*AW1470+0.7*AX1470)*$AU$1440/2</f>
        <v>0</v>
      </c>
      <c r="BA1470">
        <f>AW1470*$AU$1440/2</f>
        <v>0</v>
      </c>
      <c r="BC1470">
        <f>IF(AV1470=0,0,$BG$1440*$AP$1430)</f>
        <v>0</v>
      </c>
      <c r="BD1470">
        <f>IFERROR(BC1470/$AU$1440,0)</f>
        <v>0</v>
      </c>
      <c r="BE1470">
        <f>BC1470*($F$22+IF($F$22=0,0,($C$14+$C$15+IF($C$13="single",1.5,3)+3)/12))</f>
        <v>0</v>
      </c>
      <c r="BF1470">
        <f>BE1470-AZ1470</f>
        <v>0</v>
      </c>
      <c r="BG1470" cm="1">
        <f t="array" ref="BG1470">IFERROR(IF(BF1470&lt;0,0,BF1470/($AU$1440-INDEX(hd_off,MATCH(BT1470,hd_mark,0),0)/12)),0)</f>
        <v>0</v>
      </c>
      <c r="BH1470">
        <f>IF(AV1470=0,0,$BG$1440*$AM$1430)</f>
        <v>0</v>
      </c>
      <c r="BI1470">
        <f>IFERROR(BH1470/$AU$1440,0)</f>
        <v>0</v>
      </c>
      <c r="BJ1470">
        <f>BH1470*($F$22+IF($F$22=0,0,($C$14+$C$15+IF($C$13="single",1.5,3)+3)/12))</f>
        <v>0</v>
      </c>
      <c r="BK1470">
        <f>BJ1470-BA1470</f>
        <v>0</v>
      </c>
      <c r="BL1470" cm="1">
        <f t="array" ref="BL1470">IFERROR(IF(BK1470&lt;0,0,BK1470/($AU$1440-INDEX(hd_off,MATCH(BT1470,hd_mark,0),0)/12)),0)</f>
        <v>0</v>
      </c>
      <c r="BM1470">
        <f>MAX($F$22,$BC$1440)/$Q$1460</f>
        <v>0.30172413793103448</v>
      </c>
      <c r="BN1470">
        <f t="shared" ref="BN1470:BN1473" si="920">IF(BM1470=0,0,IF(BM1470&gt;2,1.25-0.125*BM1470,1))</f>
        <v>1</v>
      </c>
      <c r="BO1470" cm="1">
        <f t="array" ref="BO1470">IFERROR(INDEX(sheath_ecap_asd,MATCH(BS1470,sheath_mark,0),0)*BN1470,0)</f>
        <v>0</v>
      </c>
      <c r="BP1470" cm="1">
        <f t="array" ref="BP1470">IFERROR(INDEX(sheath_wcap_asd,MATCH(BS1470,sheath_mark,0),0)*BN1470,0)</f>
        <v>0</v>
      </c>
      <c r="BQ1470" cm="1">
        <f t="array" ref="BQ1470">IFERROR(INDEX(hd_cap,MATCH(BT1470,hd_mark,0),0),0)</f>
        <v>0</v>
      </c>
      <c r="BS1470" s="19"/>
      <c r="BT1470" s="19"/>
      <c r="BU1470" s="100"/>
    </row>
    <row r="1471" x14ac:dyDescent="0.25">
      <c r="B1471" t="s">
        <v>285</v>
      </c>
      <c r="C1471" s="19"/>
      <c r="D1471" s="19"/>
      <c r="E1471">
        <f t="shared" si="912"/>
        <v>0</v>
      </c>
      <c r="H1471">
        <v>22</v>
      </c>
      <c r="I1471" s="19"/>
      <c r="J1471" s="19"/>
      <c r="K1471">
        <f t="shared" si="913"/>
        <v>0</v>
      </c>
      <c r="P1471" s="93"/>
      <c r="Q1471" s="109" t="s">
        <v>491</v>
      </c>
      <c r="R1471" t="str">
        <f>$Q$1431</f>
        <v>L4</v>
      </c>
      <c r="S1471">
        <f>$E$23</f>
        <v>0</v>
      </c>
      <c r="T1471" cm="1">
        <f t="array" ref="T1471">IFERROR(IF(S1471=0,0,(INDEX($C$33:$C$38,MATCH($W$1440,$B$33:$B$38,0),0)*(S1473+$X$1440)+$T$1440*COUNTIF(S1471:S1472,"&gt;0")*$C$32+$V$1440*$C$31)*$R$1440),0)</f>
        <v>0</v>
      </c>
      <c r="U1471">
        <f>IF(S1471=0,0,-(COUNTIF(S1471:S1472,"&gt;0")*$T$1440*$C$32+$V$1440*$C$31)*$H$27*$R$1440)</f>
        <v>0</v>
      </c>
      <c r="V1471">
        <f>IF(S1471=0,0,$V$1440*$H$26*$R$1440)</f>
        <v>0</v>
      </c>
      <c r="W1471">
        <f>(0.6*T1471+0.7*U1471)*$R$1440/2</f>
        <v>0</v>
      </c>
      <c r="X1471">
        <f>T1471*$R$1440/2</f>
        <v>0</v>
      </c>
      <c r="Z1471">
        <f>IF(S1471=0,0,$AD$1440*$AP$1431)</f>
        <v>0</v>
      </c>
      <c r="AA1471">
        <f>IFERROR(Z1471/$R$1440,0)</f>
        <v>0</v>
      </c>
      <c r="AB1471">
        <f>Z1471*($F$23+IF($F$23=0,0,($C$14+$C$15+IF($C$13="single",1.5,3)+3)/12))</f>
        <v>0</v>
      </c>
      <c r="AC1471">
        <f>AB1471-W1471</f>
        <v>0</v>
      </c>
      <c r="AD1471" cm="1">
        <f t="array" ref="AD1471">IFERROR(IF(AC1471&lt;0,0,AC1471/($R$1440-INDEX(hd_off,MATCH(AQ1471,hd_mark,0),0)/12)),0)</f>
        <v>0</v>
      </c>
      <c r="AE1471">
        <f>IF(S1471=0,0,$AD$1440*$AM$1431)</f>
        <v>0</v>
      </c>
      <c r="AF1471">
        <f>IFERROR(AE1471/$R$1440,0)</f>
        <v>0</v>
      </c>
      <c r="AG1471">
        <f>AE1471*($F$23+IF($F$23=0,0,($C$14+$C$15+IF($C$13="single",1.5,3)+3)/12))</f>
        <v>0</v>
      </c>
      <c r="AH1471">
        <f>AG1471-X1471</f>
        <v>0</v>
      </c>
      <c r="AI1471" cm="1">
        <f t="array" ref="AI1471">IFERROR(IF(AH1471&lt;0,0,AH1471/($R$1440-INDEX(hd_off,MATCH(AQ1471,hd_mark,0),0)/12)),0)</f>
        <v>0</v>
      </c>
      <c r="AJ1471">
        <f>MAX($F$23,$AA$1440)/$Q$1460</f>
        <v>0</v>
      </c>
      <c r="AK1471">
        <f t="shared" si="919"/>
        <v>0</v>
      </c>
      <c r="AL1471" cm="1">
        <f t="array" ref="AL1471">IFERROR(INDEX(sheath_ecap_asd,MATCH(AP1471,sheath_mark,0),0)*AK1471,0)</f>
        <v>0</v>
      </c>
      <c r="AM1471" cm="1">
        <f t="array" ref="AM1471">IFERROR(INDEX(sheath_wcap_asd,MATCH(AP1471,sheath_mark,0),0)*AK1471,0)</f>
        <v>0</v>
      </c>
      <c r="AN1471" cm="1">
        <f t="array" ref="AN1471">IFERROR(INDEX(hd_cap,MATCH(AQ1471,hd_mark,0),0),0)</f>
        <v>0</v>
      </c>
      <c r="AP1471" s="19"/>
      <c r="AQ1471" s="19"/>
      <c r="AR1471" s="100"/>
      <c r="AS1471" s="93"/>
      <c r="AT1471" s="109" t="s">
        <v>491</v>
      </c>
      <c r="AU1471" t="str">
        <f>$Q$1431</f>
        <v>L4</v>
      </c>
      <c r="AV1471">
        <f>$E$23</f>
        <v>0</v>
      </c>
      <c r="AW1471" cm="1">
        <f t="array" ref="AW1471">IFERROR(IF(AV1471=0,0,(INDEX($C$33:$C$38,MATCH($AZ$1440,$B$33:$B$38,0),0)*(AV1473+$BA$1440)+$AW$1440*COUNTIF(AV1471:AV1472,"&gt;0")*$C$32+$AY$1440*$C$31)*$AU$1440),0)</f>
        <v>0</v>
      </c>
      <c r="AX1471">
        <f>IF(AV1471=0,0,-(COUNTIF(AV1471:AV1472,"&gt;0")*$AW$1440*$C$32+$AY$1440*$C$31)*$H$27*$AU$1440)</f>
        <v>0</v>
      </c>
      <c r="AY1471">
        <f>IF(AV1471=0,0,$AY$1440*$H$26*$AU$1440)</f>
        <v>0</v>
      </c>
      <c r="AZ1471">
        <f>(0.6*AW1471+0.7*AX1471)*$AU$1440/2</f>
        <v>0</v>
      </c>
      <c r="BA1471">
        <f>AW1471*$AU$1440/2</f>
        <v>0</v>
      </c>
      <c r="BC1471">
        <f>IF(AV1471=0,0,$BG$1440*$AP$1431)</f>
        <v>0</v>
      </c>
      <c r="BD1471">
        <f>IFERROR(BC1471/$AU$1440,0)</f>
        <v>0</v>
      </c>
      <c r="BE1471">
        <f>BC1471*($F$23+IF($F$23=0,0,($C$14+$C$15+IF($C$13="single",1.5,3)+3)/12))</f>
        <v>0</v>
      </c>
      <c r="BF1471">
        <f>BE1471-AZ1471</f>
        <v>0</v>
      </c>
      <c r="BG1471" cm="1">
        <f t="array" ref="BG1471">IFERROR(IF(BF1471&lt;0,0,BF1471/($AU$1440-INDEX(hd_off,MATCH(BT1471,hd_mark,0),0)/12)),0)</f>
        <v>0</v>
      </c>
      <c r="BH1471">
        <f>IF(AV1471=0,0,$BG$1440*$AM$1431)</f>
        <v>0</v>
      </c>
      <c r="BI1471">
        <f>IFERROR(BH1471/$AU$1440,0)</f>
        <v>0</v>
      </c>
      <c r="BJ1471">
        <f>BH1471*($F$23+IF($F$23=0,0,($C$14+$C$15+IF($C$13="single",1.5,3)+3)/12))</f>
        <v>0</v>
      </c>
      <c r="BK1471">
        <f>BJ1471-BA1471</f>
        <v>0</v>
      </c>
      <c r="BL1471" cm="1">
        <f t="array" ref="BL1471">IFERROR(IF(BK1471&lt;0,0,BK1471/($AU$1440-INDEX(hd_off,MATCH(BT1471,hd_mark,0),0)/12)),0)</f>
        <v>0</v>
      </c>
      <c r="BM1471">
        <f>MAX($F$23,$BD$1440)/$Q$1460</f>
        <v>0</v>
      </c>
      <c r="BN1471">
        <f t="shared" si="920"/>
        <v>0</v>
      </c>
      <c r="BO1471" cm="1">
        <f t="array" ref="BO1471">IFERROR(INDEX(sheath_ecap_asd,MATCH(BS1471,sheath_mark,0),0)*BN1471,0)</f>
        <v>0</v>
      </c>
      <c r="BP1471" cm="1">
        <f t="array" ref="BP1471">IFERROR(INDEX(sheath_wcap_asd,MATCH(BS1471,sheath_mark,0),0)*BN1471,0)</f>
        <v>0</v>
      </c>
      <c r="BQ1471" cm="1">
        <f t="array" ref="BQ1471">IFERROR(INDEX(hd_cap,MATCH(BT1471,hd_mark,0),0),0)</f>
        <v>0</v>
      </c>
      <c r="BS1471" s="19"/>
      <c r="BT1471" s="19"/>
      <c r="BU1471" s="100"/>
    </row>
    <row r="1472" x14ac:dyDescent="0.25">
      <c r="B1472" t="s">
        <v>470</v>
      </c>
      <c r="C1472" s="19"/>
      <c r="D1472" s="19"/>
      <c r="E1472">
        <f t="shared" si="912"/>
        <v>0</v>
      </c>
      <c r="H1472">
        <v>23</v>
      </c>
      <c r="I1472" s="19"/>
      <c r="J1472" s="19"/>
      <c r="K1472">
        <f t="shared" si="913"/>
        <v>0</v>
      </c>
      <c r="P1472" s="93"/>
      <c r="Q1472" s="111">
        <f>$R$1440</f>
        <v>0</v>
      </c>
      <c r="R1472" t="str">
        <f>$Q$1432</f>
        <v>L5</v>
      </c>
      <c r="S1472">
        <f>$E$24</f>
        <v>0</v>
      </c>
      <c r="T1472" cm="1">
        <f t="array" ref="T1472">IFERROR(IF(S1472=0,0,(INDEX($C$33:$C$38,MATCH($W$1440,$B$33:$B$38,0),0)*(S1473+$X$1440)+$T$1440*COUNTIF(S1472:S1472,"&gt;0")*$C$32+$V$1440*$C$31)*$R$1440),0)</f>
        <v>0</v>
      </c>
      <c r="U1472">
        <f>IF(S1472=0,0,-(COUNTIF(S1472:S1472,"&gt;0")*$T$1440*$C$32+$V$1440*$C$31)*$H$27*$R$1440)</f>
        <v>0</v>
      </c>
      <c r="V1472">
        <f>IF(S1472=0,0,$V$1440*$H$26*$R$1440)</f>
        <v>0</v>
      </c>
      <c r="W1472">
        <f>(0.6*T1472+0.7*U1472)*$R$1440/2</f>
        <v>0</v>
      </c>
      <c r="X1472">
        <f>T1472*$R$1440/2</f>
        <v>0</v>
      </c>
      <c r="Z1472">
        <f>IF(S1472=0,0,$AD$1440*$AP$1432)</f>
        <v>0</v>
      </c>
      <c r="AA1472">
        <f>IFERROR(Z1472/$R$1440,0)</f>
        <v>0</v>
      </c>
      <c r="AB1472">
        <f>Z1472*($F$24+IF($F$24=0,0,($C$14+$C$15+IF($C$13="single",1.5,3)+3)/12))</f>
        <v>0</v>
      </c>
      <c r="AC1472">
        <f>AB1472-W1472</f>
        <v>0</v>
      </c>
      <c r="AD1472" cm="1">
        <f t="array" ref="AD1472">IFERROR(IF(AC1472&lt;0,0,AC1472/($R$1440-INDEX(hd_off,MATCH(AQ1472,hd_mark,0),0)/12)),0)</f>
        <v>0</v>
      </c>
      <c r="AE1472">
        <f>IF(S1472=0,0,$AD$1440*$AM$1432)</f>
        <v>0</v>
      </c>
      <c r="AF1472">
        <f>IFERROR(AE1472/$R$1440,0)</f>
        <v>0</v>
      </c>
      <c r="AG1472">
        <f>AE1472*($F$24+IF($F$24=0,0,($C$14+$C$15+IF($C$13="single",1.5,3)+3)/12))</f>
        <v>0</v>
      </c>
      <c r="AH1472">
        <f>AG1472-X1472</f>
        <v>0</v>
      </c>
      <c r="AI1472" cm="1">
        <f t="array" ref="AI1472">IFERROR(IF(AH1472&lt;0,0,AH1472/($R$1440-INDEX(hd_off,MATCH(AQ1472,hd_mark,0),0)/12)),0)</f>
        <v>0</v>
      </c>
      <c r="AJ1472">
        <f>MAX($F$24,$AB$1440)/$Q$1460</f>
        <v>0</v>
      </c>
      <c r="AK1472">
        <f t="shared" si="919"/>
        <v>0</v>
      </c>
      <c r="AL1472" cm="1">
        <f t="array" ref="AL1472">IFERROR(INDEX(sheath_ecap_asd,MATCH(AP1472,sheath_mark,0),0)*AK1472,0)</f>
        <v>0</v>
      </c>
      <c r="AM1472" cm="1">
        <f t="array" ref="AM1472">IFERROR(INDEX(sheath_wcap_asd,MATCH(AP1472,sheath_mark,0),0)*AK1472,0)</f>
        <v>0</v>
      </c>
      <c r="AN1472" cm="1">
        <f t="array" ref="AN1472">IFERROR(INDEX(hd_cap,MATCH(AQ1472,hd_mark,0),0),0)</f>
        <v>0</v>
      </c>
      <c r="AP1472" s="19"/>
      <c r="AQ1472" s="19"/>
      <c r="AR1472" s="100"/>
      <c r="AS1472" s="93"/>
      <c r="AT1472" s="111">
        <f>$R$1440</f>
        <v>0</v>
      </c>
      <c r="AU1472" t="str">
        <f>$Q$1432</f>
        <v>L5</v>
      </c>
      <c r="AV1472">
        <f>$E$24</f>
        <v>0</v>
      </c>
      <c r="AW1472" cm="1">
        <f t="array" ref="AW1472">IFERROR(IF(AV1472=0,0,(INDEX($C$33:$C$38,MATCH($AZ$1440,$B$33:$B$38,0),0)*(AV1473+$BA$1440)+$AW$1440*COUNTIF(AV1472:AV1472,"&gt;0")*$C$32+$AY$1440*$C$31)*$AU$1440),0)</f>
        <v>0</v>
      </c>
      <c r="AX1472">
        <f>IF(AV1472=0,0,-(COUNTIF(AV1472:AV1472,"&gt;0")*$AW$1440*$C$32+$AY$1440*$C$31)*$H$27*$AU$1440)</f>
        <v>0</v>
      </c>
      <c r="AY1472">
        <f>IF(AV1472=0,0,$AY$1440*$H$26*$AU$1440)</f>
        <v>0</v>
      </c>
      <c r="AZ1472">
        <f>(0.6*AW1472+0.7*AX1472)*$AU$1440/2</f>
        <v>0</v>
      </c>
      <c r="BA1472">
        <f>AW1472*$AU$1440/2</f>
        <v>0</v>
      </c>
      <c r="BC1472">
        <f>IF(AV1472=0,0,$BG$1440*$AP$1432)</f>
        <v>0</v>
      </c>
      <c r="BD1472">
        <f>IFERROR(BC1472/$AU$1440,0)</f>
        <v>0</v>
      </c>
      <c r="BE1472">
        <f>BC1472*($F$24+IF($F$24=0,0,($C$14+$C$15+IF($C$13="single",1.5,3)+3)/12))</f>
        <v>0</v>
      </c>
      <c r="BF1472">
        <f>BE1472-AZ1472</f>
        <v>0</v>
      </c>
      <c r="BG1472" cm="1">
        <f t="array" ref="BG1472">IFERROR(IF(BF1472&lt;0,0,BF1472/($AU$1440-INDEX(hd_off,MATCH(BT1472,hd_mark,0),0)/12)),0)</f>
        <v>0</v>
      </c>
      <c r="BH1472">
        <f>IF(AV1472=0,0,$BG$1440*$AM$1432)</f>
        <v>0</v>
      </c>
      <c r="BI1472">
        <f>IFERROR(BH1472/$AU$1440,0)</f>
        <v>0</v>
      </c>
      <c r="BJ1472">
        <f>BH1472*($F$24+IF($F$24=0,0,($C$14+$C$15+IF($C$13="single",1.5,3)+3)/12))</f>
        <v>0</v>
      </c>
      <c r="BK1472">
        <f>BJ1472-BA1472</f>
        <v>0</v>
      </c>
      <c r="BL1472" cm="1">
        <f t="array" ref="BL1472">IFERROR(IF(BK1472&lt;0,0,BK1472/($AU$1440-INDEX(hd_off,MATCH(BT1472,hd_mark,0),0)/12)),0)</f>
        <v>0</v>
      </c>
      <c r="BM1472">
        <f>MAX($F$24,$BE$1440)/$Q$1460</f>
        <v>0</v>
      </c>
      <c r="BN1472">
        <f t="shared" si="920"/>
        <v>0</v>
      </c>
      <c r="BO1472" cm="1">
        <f t="array" ref="BO1472">IFERROR(INDEX(sheath_ecap_asd,MATCH(BS1472,sheath_mark,0),0)*BN1472,0)</f>
        <v>0</v>
      </c>
      <c r="BP1472" cm="1">
        <f t="array" ref="BP1472">IFERROR(INDEX(sheath_wcap_asd,MATCH(BS1472,sheath_mark,0),0)*BN1472,0)</f>
        <v>0</v>
      </c>
      <c r="BQ1472" cm="1">
        <f t="array" ref="BQ1472">IFERROR(INDEX(hd_cap,MATCH(BT1472,hd_mark,0),0),0)</f>
        <v>0</v>
      </c>
      <c r="BS1472" s="19"/>
      <c r="BT1472" s="19"/>
      <c r="BU1472" s="100"/>
    </row>
    <row r="1473" x14ac:dyDescent="0.25">
      <c r="B1473" t="s">
        <v>471</v>
      </c>
      <c r="C1473" s="19"/>
      <c r="D1473" s="19"/>
      <c r="E1473">
        <f t="shared" si="912"/>
        <v>0</v>
      </c>
      <c r="H1473">
        <v>24</v>
      </c>
      <c r="I1473" s="19"/>
      <c r="J1473" s="19"/>
      <c r="K1473">
        <f t="shared" si="913"/>
        <v>0</v>
      </c>
      <c r="P1473" s="93"/>
      <c r="Q1473" s="109"/>
      <c r="R1473" t="str">
        <f>$Q$1433</f>
        <v>Roof</v>
      </c>
      <c r="S1473">
        <f>$E$25</f>
        <v>33.171875</v>
      </c>
      <c r="T1473" cm="1">
        <f t="array" ref="T1473">IFERROR(IF(S1473=0,0,(INDEX($C$33:$C$38,MATCH($W$1440,$B$33:$B$38,0),0)*(S1473+$X$1440)+$V$1440*$C$31)*$R$1440),0)</f>
        <v>0</v>
      </c>
      <c r="U1473">
        <f>IF(S1473=0,0,-$V$1440*$C$31*$H$27*$R$1440)</f>
        <v>0</v>
      </c>
      <c r="V1473">
        <f>IF(S1473=0,0,$V$1440*$H$26*$R$1440)</f>
        <v>0</v>
      </c>
      <c r="W1473">
        <f>(0.6*T1473+0.7*U1473)*$R$1440/2</f>
        <v>0</v>
      </c>
      <c r="X1473">
        <f>T1473*$R$1440/2</f>
        <v>0</v>
      </c>
      <c r="Z1473">
        <f>IF(S1473=0,0,$AD$1440*$AP$1433)</f>
        <v>0</v>
      </c>
      <c r="AA1473">
        <f>IFERROR(Z1473/$R$1440,0)</f>
        <v>0</v>
      </c>
      <c r="AB1473">
        <f>Z1473*($F$25+($C$16+$C$17+IF($C$13="single",1.5,3)+3)/12)</f>
        <v>0</v>
      </c>
      <c r="AC1473">
        <f>AB1473-W1473</f>
        <v>0</v>
      </c>
      <c r="AD1473" cm="1">
        <f t="array" ref="AD1473">IFERROR(IF(AC1473&lt;0,0,AC1473/($R$1440-INDEX(hd_off,MATCH(AQ1473,hd_mark,0),0)/12)),0)</f>
        <v>0</v>
      </c>
      <c r="AE1473">
        <f>IF(S1473=0,0,$AD$1440*$AM$1433)</f>
        <v>0</v>
      </c>
      <c r="AF1473">
        <f>IFERROR(AE1473/$R$1440,0)</f>
        <v>0</v>
      </c>
      <c r="AG1473">
        <f>AE1473*($F$25+($C$16+$C$17+IF($C$13="single",1.5,3)+3)/12)</f>
        <v>0</v>
      </c>
      <c r="AH1473">
        <f>AG1473-X1473</f>
        <v>0</v>
      </c>
      <c r="AI1473" cm="1">
        <f t="array" ref="AI1473">IFERROR(IF(AH1473&lt;0,0,AH1473/($R$1440-INDEX(hd_off,MATCH(AQ1473,hd_mark,0),0)/12)),0)</f>
        <v>0</v>
      </c>
      <c r="AJ1473">
        <f>MAX($F$25,$AC$1440)/$Q$1460</f>
        <v>0.29920977011494249</v>
      </c>
      <c r="AK1473">
        <f t="shared" si="919"/>
        <v>1</v>
      </c>
      <c r="AL1473" cm="1">
        <f t="array" ref="AL1473">IFERROR(INDEX(sheath_ecap_asd,MATCH(AP1473,sheath_mark,0),0)*AK1473,0)</f>
        <v>0</v>
      </c>
      <c r="AM1473" cm="1">
        <f t="array" ref="AM1473">IFERROR(INDEX(sheath_wcap_asd,MATCH(AP1473,sheath_mark,0),0)*AK1473,0)</f>
        <v>0</v>
      </c>
      <c r="AN1473" cm="1">
        <f t="array" ref="AN1473">IFERROR(INDEX(hd_cap,MATCH(AQ1473,hd_mark,0),0),0)</f>
        <v>0</v>
      </c>
      <c r="AP1473" s="19"/>
      <c r="AQ1473" s="19"/>
      <c r="AR1473" s="100"/>
      <c r="AS1473" s="93"/>
      <c r="AT1473" s="109"/>
      <c r="AU1473" t="str">
        <f>$Q$1433</f>
        <v>Roof</v>
      </c>
      <c r="AV1473">
        <f>$E$25</f>
        <v>33.171875</v>
      </c>
      <c r="AW1473" cm="1">
        <f t="array" ref="AW1473">IFERROR(IF(AV1473=0,0,(INDEX($C$33:$C$38,MATCH($AZ$1440,$B$33:$B$38,0),0)*(AV1473+$BA$1440)+$AY$1440*$C$31)*$AU$1440),0)</f>
        <v>0</v>
      </c>
      <c r="AX1473">
        <f>IF(AV1473=0,0,-$AY$1440*$C$31*$H$27*$AU$1440)</f>
        <v>0</v>
      </c>
      <c r="AY1473">
        <f>IF(AV1473=0,0,$AY$1440*$H$26*$AU$1440)</f>
        <v>0</v>
      </c>
      <c r="AZ1473">
        <f>(0.6*AW1473+0.7*AX1473)*$AU$1440/2</f>
        <v>0</v>
      </c>
      <c r="BA1473">
        <f>AW1473*$AU$1440/2</f>
        <v>0</v>
      </c>
      <c r="BC1473">
        <f>IF(AV1473=0,0,$BG$1440*$AP$1433)</f>
        <v>0</v>
      </c>
      <c r="BD1473">
        <f>IFERROR(BC1473/$AU$1440,0)</f>
        <v>0</v>
      </c>
      <c r="BE1473">
        <f>BC1473*($F$25+($C$16+$C$17+IF($C$13="single",1.5,3)+3)/12)</f>
        <v>0</v>
      </c>
      <c r="BF1473">
        <f>BE1473-AZ1473</f>
        <v>0</v>
      </c>
      <c r="BG1473" cm="1">
        <f t="array" ref="BG1473">IFERROR(IF(BF1473&lt;0,0,BF1473/($AU$1440-INDEX(hd_off,MATCH(BT1473,hd_mark,0),0)/12)),0)</f>
        <v>0</v>
      </c>
      <c r="BH1473">
        <f>IF(AV1473=0,0,$BG$1440*$AM$1433)</f>
        <v>0</v>
      </c>
      <c r="BI1473">
        <f>IFERROR(BH1473/$AU$1440,0)</f>
        <v>0</v>
      </c>
      <c r="BJ1473">
        <f>BH1473*($F$25+($C$16+$C$17+IF($C$13="single",1.5,3)+3)/12)</f>
        <v>0</v>
      </c>
      <c r="BK1473">
        <f>BJ1473-BA1473</f>
        <v>0</v>
      </c>
      <c r="BL1473" cm="1">
        <f t="array" ref="BL1473">IFERROR(IF(BK1473&lt;0,0,BK1473/($AU$1440-INDEX(hd_off,MATCH(BT1473,hd_mark,0),0)/12)),0)</f>
        <v>0</v>
      </c>
      <c r="BM1473">
        <f>MAX($F$25,$BF$1440)/$Q$1460</f>
        <v>0.29920977011494249</v>
      </c>
      <c r="BN1473">
        <f t="shared" si="920"/>
        <v>1</v>
      </c>
      <c r="BO1473" cm="1">
        <f t="array" ref="BO1473">IFERROR(INDEX(sheath_ecap_asd,MATCH(BS1473,sheath_mark,0),0)*BN1473,0)</f>
        <v>0</v>
      </c>
      <c r="BP1473" cm="1">
        <f t="array" ref="BP1473">IFERROR(INDEX(sheath_wcap_asd,MATCH(BS1473,sheath_mark,0),0)*BN1473,0)</f>
        <v>0</v>
      </c>
      <c r="BQ1473" cm="1">
        <f t="array" ref="BQ1473">IFERROR(INDEX(hd_cap,MATCH(BT1473,hd_mark,0),0),0)</f>
        <v>0</v>
      </c>
      <c r="BS1473" s="19"/>
      <c r="BT1473" s="19"/>
      <c r="BU1473" s="100"/>
    </row>
    <row r="1474" x14ac:dyDescent="0.25">
      <c r="B1474" t="s">
        <v>472</v>
      </c>
      <c r="C1474" s="19"/>
      <c r="D1474" s="19"/>
      <c r="E1474">
        <f t="shared" si="912"/>
        <v>0</v>
      </c>
      <c r="H1474">
        <v>25</v>
      </c>
      <c r="I1474" s="19"/>
      <c r="J1474" s="19"/>
      <c r="K1474">
        <f t="shared" si="913"/>
        <v>0</v>
      </c>
      <c r="P1474" s="93"/>
      <c r="AR1474" s="100"/>
      <c r="AS1474" s="93"/>
      <c r="BU1474" s="100"/>
    </row>
    <row r="1475" x14ac:dyDescent="0.25">
      <c r="B1475" t="s">
        <v>473</v>
      </c>
      <c r="C1475" s="19"/>
      <c r="D1475" s="19"/>
      <c r="E1475">
        <f t="shared" si="912"/>
        <v>0</v>
      </c>
      <c r="H1475">
        <v>26</v>
      </c>
      <c r="I1475" s="19"/>
      <c r="J1475" s="19"/>
      <c r="K1475">
        <f t="shared" si="913"/>
        <v>0</v>
      </c>
      <c r="P1475" s="93"/>
      <c r="Q1475" s="110" t="str">
        <f>$Q$1441</f>
        <v>A.04</v>
      </c>
      <c r="R1475" t="str">
        <f>$Q$1429</f>
        <v>L2</v>
      </c>
      <c r="S1475">
        <f>$E$21</f>
        <v>10.6875</v>
      </c>
      <c r="T1475" cm="1">
        <f t="array" ref="T1475">IFERROR(IF(S1475=0,0,(INDEX($C$33:$C$38,MATCH($W$1441,$B$33:$B$38,0),0)*(S1479+$X$1441)+$T$1441*COUNTIF(S1475:S1478,"&gt;0")*$C$32+$V$1441*$C$31)*$R$1441),0)</f>
        <v>0</v>
      </c>
      <c r="U1475">
        <f>IF(S1475=0,0,-(COUNTIF(S1475:S1478,"&gt;0")*$T$1441*$C$32+$V$1441*$C$31)*$H$27*$R$1441)</f>
        <v>0</v>
      </c>
      <c r="V1475">
        <f>IF(S1475=0,0,$V$1441*$H$26*$R$1441)</f>
        <v>0</v>
      </c>
      <c r="W1475">
        <f>(0.6*T1475+0.7*U1475)*$R$1441/2</f>
        <v>0</v>
      </c>
      <c r="X1475">
        <f>(0.6*T1475+0.6*V1475)*$R$1441/2</f>
        <v>0</v>
      </c>
      <c r="Z1475">
        <f>IF(S1475=0,0,$AD$1441*$AP$1429)</f>
        <v>0</v>
      </c>
      <c r="AA1475">
        <f>IFERROR(Z1475/$R$1441,0)</f>
        <v>0</v>
      </c>
      <c r="AB1475">
        <f>Z1475*($F$21+IF($F$21=0,0,($C$14+$C$15+IF($C$13="single",1.5,3)+3)/12))</f>
        <v>0</v>
      </c>
      <c r="AC1475">
        <f>AB1475-W1475</f>
        <v>0</v>
      </c>
      <c r="AD1475" cm="1">
        <f t="array" ref="AD1475">IFERROR(IF(AC1475&lt;0,0,AC1475/($R$1441-INDEX(hd_off,MATCH(AQ1475,hd_mark,0),0)/12)),0)</f>
        <v>0</v>
      </c>
      <c r="AE1475">
        <f>IF(S1475=0,0,$AD$1441*$AM$1429)</f>
        <v>0</v>
      </c>
      <c r="AF1475">
        <f>IFERROR(AE1475/$R$1441,0)</f>
        <v>0</v>
      </c>
      <c r="AG1475">
        <f>AE1475*($F$21+IF($F$21=0,0,($C$14+$C$15+IF($C$13="single",1.5,3)+3)/12))</f>
        <v>0</v>
      </c>
      <c r="AH1475">
        <f>AG1475-X1475</f>
        <v>0</v>
      </c>
      <c r="AI1475" cm="1">
        <f t="array" ref="AI1475">IFERROR(IF(AH1475&lt;0,0,AH1475/($R$1441-INDEX(hd_off,MATCH(AQ1475,hd_mark,0),0)/12)),0)</f>
        <v>0</v>
      </c>
      <c r="AJ1475">
        <f>MAX($F$21,$Y$1441)/$Q$1460</f>
        <v>0.30172413793103448</v>
      </c>
      <c r="AK1475">
        <f>IF(AJ1475=0,0,IF(AJ1475&gt;2,1.25-0.125*AJ1475,1))</f>
        <v>1</v>
      </c>
      <c r="AL1475" cm="1">
        <f t="array" ref="AL1475">IFERROR(INDEX(sheath_ecap_asd,MATCH(AP1475,sheath_mark,0),0)*AK1475,0)</f>
        <v>0</v>
      </c>
      <c r="AM1475" cm="1">
        <f t="array" ref="AM1475">IFERROR(INDEX(sheath_wcap_asd,MATCH(AP1475,sheath_mark,0),0)*AK1475,0)</f>
        <v>0</v>
      </c>
      <c r="AN1475" cm="1">
        <f t="array" ref="AN1475">IFERROR(INDEX(hd_cap,MATCH(AQ1475,hd_mark,0),0),0)</f>
        <v>0</v>
      </c>
      <c r="AP1475" s="19"/>
      <c r="AQ1475" s="19"/>
      <c r="AR1475" s="100"/>
      <c r="AS1475" s="93"/>
      <c r="AT1475" s="110" t="str">
        <f>$AT$1441</f>
        <v>1.04</v>
      </c>
      <c r="AU1475" t="str">
        <f>$Q$1429</f>
        <v>L2</v>
      </c>
      <c r="AV1475">
        <f>$E$21</f>
        <v>10.6875</v>
      </c>
      <c r="AW1475" cm="1">
        <f t="array" ref="AW1475">IFERROR(IF(AV1475=0,0,(INDEX($C$33:$C$38,MATCH($AZ$1441,$B$33:$B$38,0),0)*(AV1479+$BA$1441)+$AW$1441*COUNTIF(AV1475:AV1478,"&gt;0")*$C$32+$AY$1441*$C$31)*$AU$1441),0)</f>
        <v>0</v>
      </c>
      <c r="AX1475">
        <f>IF(AV1475=0,0,-(COUNTIF(AV1475:AV1478,"&gt;0")*$AW$1441*$C$32+$AY$1441*$C$31)*$H$27*$AU$1441)</f>
        <v>0</v>
      </c>
      <c r="AY1475">
        <f>IF(AV1475=0,0,$AY$1441*$H$26*$AU$1441)</f>
        <v>0</v>
      </c>
      <c r="AZ1475">
        <f>(0.6*AW1475+0.7*AX1475)*$AU$1441/2</f>
        <v>0</v>
      </c>
      <c r="BA1475">
        <f>(0.6*AW1475+0.6*AY1475)*$AU$1441/2</f>
        <v>0</v>
      </c>
      <c r="BC1475">
        <f>IF(AV1475=0,0,$BG$1441*$AP$1429)</f>
        <v>0</v>
      </c>
      <c r="BD1475">
        <f>IFERROR(BC1475/$AU$1441,0)</f>
        <v>0</v>
      </c>
      <c r="BE1475">
        <f>BC1475*($F$21+IF($F$21=0,0,($C$14+$C$15+IF($C$13="single",1.5,3)+3)/12))</f>
        <v>0</v>
      </c>
      <c r="BF1475">
        <f>BE1475-AZ1475</f>
        <v>0</v>
      </c>
      <c r="BG1475" cm="1">
        <f t="array" ref="BG1475">IFERROR(IF(BF1475&lt;0,0,BF1475/($AU$1441-INDEX(hd_off,MATCH(BT1475,hd_mark,0),0)/12)),0)</f>
        <v>0</v>
      </c>
      <c r="BH1475">
        <f>IF(AV1475=0,0,$BG$1441*$AM$1429)</f>
        <v>0</v>
      </c>
      <c r="BI1475">
        <f>IFERROR(BH1475/$AU$1441,0)</f>
        <v>0</v>
      </c>
      <c r="BJ1475">
        <f>BH1475*($F$21+IF($F$21=0,0,($C$14+$C$15+IF($C$13="single",1.5,3)+3)/12))</f>
        <v>0</v>
      </c>
      <c r="BK1475">
        <f>BJ1475-BA1475</f>
        <v>0</v>
      </c>
      <c r="BL1475" cm="1">
        <f t="array" ref="BL1475">IFERROR(IF(BK1475&lt;0,0,BK1475/($AU$1441-INDEX(hd_off,MATCH(BT1475,hd_mark,0),0)/12)),0)</f>
        <v>0</v>
      </c>
      <c r="BM1475">
        <f>MAX($F$21,$BB$1441)/$Q$1460</f>
        <v>0.30172413793103448</v>
      </c>
      <c r="BN1475">
        <f>IF(BM1475=0,0,IF(BM1475&gt;2,1.25-0.125*BM1475,1))</f>
        <v>1</v>
      </c>
      <c r="BO1475" cm="1">
        <f t="array" ref="BO1475">IFERROR(INDEX(sheath_ecap_asd,MATCH(BS1475,sheath_mark,0),0)*BN1475,0)</f>
        <v>0</v>
      </c>
      <c r="BP1475" cm="1">
        <f t="array" ref="BP1475">IFERROR(INDEX(sheath_wcap_asd,MATCH(BS1475,sheath_mark,0),0)*BN1475,0)</f>
        <v>0</v>
      </c>
      <c r="BQ1475" cm="1">
        <f t="array" ref="BQ1475">IFERROR(INDEX(hd_cap,MATCH(BT1475,hd_mark,0),0),0)</f>
        <v>0</v>
      </c>
      <c r="BS1475" s="19"/>
      <c r="BT1475" s="19"/>
      <c r="BU1475" s="100"/>
    </row>
    <row r="1476" x14ac:dyDescent="0.25">
      <c r="P1476" s="93"/>
      <c r="Q1476" s="109"/>
      <c r="R1476" t="str">
        <f>$Q$1430</f>
        <v>L3</v>
      </c>
      <c r="S1476">
        <f>$E$22</f>
        <v>21.375</v>
      </c>
      <c r="T1476" cm="1">
        <f t="array" ref="T1476">IFERROR(IF(S1476=0,0,(INDEX($C$33:$C$38,MATCH($W$1441,$B$33:$B$38,0),0)*(S1479+$X$1441)+$T$1441*COUNTIF(S1476:S1478,"&gt;0")*$C$32+$V$1441*$C$31)*$R$1441),0)</f>
        <v>0</v>
      </c>
      <c r="U1476">
        <f>IF(S1476=0,0,-(COUNTIF(S1476:S1478,"&gt;0")*$T$1441*$C$32+$V$1441*$C$31)*$H$27*$R$1441)</f>
        <v>0</v>
      </c>
      <c r="V1476">
        <f>IF(S1476=0,0,$V$1441*$H$26*$R$1441)</f>
        <v>0</v>
      </c>
      <c r="W1476">
        <f>(0.6*T1476+0.7*U1476)*$R$1441/2</f>
        <v>0</v>
      </c>
      <c r="X1476">
        <f>T1476*$R$1441/2</f>
        <v>0</v>
      </c>
      <c r="Z1476">
        <f>IF(S1476=0,0,$AD$1441*$AP$1430)</f>
        <v>0</v>
      </c>
      <c r="AA1476">
        <f>IFERROR(Z1476/$R$1441,0)</f>
        <v>0</v>
      </c>
      <c r="AB1476">
        <f>Z1476*($F$22+IF($F$22=0,0,($C$14+$C$15+IF($C$13="single",1.5,3)+3)/12))</f>
        <v>0</v>
      </c>
      <c r="AC1476">
        <f>AB1476-W1476</f>
        <v>0</v>
      </c>
      <c r="AD1476" cm="1">
        <f t="array" ref="AD1476">IFERROR(IF(AC1476&lt;0,0,AC1476/($R$1441-INDEX(hd_off,MATCH(AQ1476,hd_mark,0),0)/12)),0)</f>
        <v>0</v>
      </c>
      <c r="AE1476">
        <f>IF(S1476=0,0,$AD$1441*$AM$1430)</f>
        <v>0</v>
      </c>
      <c r="AF1476">
        <f>IFERROR(AE1476/$R$1441,0)</f>
        <v>0</v>
      </c>
      <c r="AG1476">
        <f>AE1476*($F$22+IF($F$22=0,0,($C$14+$C$15+IF($C$13="single",1.5,3)+3)/12))</f>
        <v>0</v>
      </c>
      <c r="AH1476">
        <f>AG1476-X1476</f>
        <v>0</v>
      </c>
      <c r="AI1476" cm="1">
        <f t="array" ref="AI1476">IFERROR(IF(AH1476&lt;0,0,AH1476/($R$1441-INDEX(hd_off,MATCH(AQ1476,hd_mark,0),0)/12)),0)</f>
        <v>0</v>
      </c>
      <c r="AJ1476">
        <f>MAX($F$22,$Z$1441)/$Q$1460</f>
        <v>0.30172413793103448</v>
      </c>
      <c r="AK1476">
        <f t="shared" ref="AK1476:AK1479" si="921">IF(AJ1476=0,0,IF(AJ1476&gt;2,1.25-0.125*AJ1476,1))</f>
        <v>1</v>
      </c>
      <c r="AL1476" cm="1">
        <f t="array" ref="AL1476">IFERROR(INDEX(sheath_ecap_asd,MATCH(AP1476,sheath_mark,0),0)*AK1476,0)</f>
        <v>0</v>
      </c>
      <c r="AM1476" cm="1">
        <f t="array" ref="AM1476">IFERROR(INDEX(sheath_wcap_asd,MATCH(AP1476,sheath_mark,0),0)*AK1476,0)</f>
        <v>0</v>
      </c>
      <c r="AN1476" cm="1">
        <f t="array" ref="AN1476">IFERROR(INDEX(hd_cap,MATCH(AQ1476,hd_mark,0),0),0)</f>
        <v>0</v>
      </c>
      <c r="AP1476" s="19"/>
      <c r="AQ1476" s="19"/>
      <c r="AR1476" s="100"/>
      <c r="AS1476" s="93"/>
      <c r="AT1476" s="109"/>
      <c r="AU1476" t="str">
        <f>$Q$1430</f>
        <v>L3</v>
      </c>
      <c r="AV1476">
        <f>$E$22</f>
        <v>21.375</v>
      </c>
      <c r="AW1476" cm="1">
        <f t="array" ref="AW1476">IFERROR(IF(AV1476=0,0,(INDEX($C$33:$C$38,MATCH($AZ$1441,$B$33:$B$38,0),0)*(AV1479+$BA$1441)+$AW$1441*COUNTIF(AV1476:AV1478,"&gt;0")*$C$32+$AY$1441*$C$31)*$AU$1441),0)</f>
        <v>0</v>
      </c>
      <c r="AX1476">
        <f>IF(AV1476=0,0,-(COUNTIF(AV1476:AV1478,"&gt;0")*$AW$1441*$C$32+$AY$1441*$C$31)*$H$27*$AU$1441)</f>
        <v>0</v>
      </c>
      <c r="AY1476">
        <f>IF(AV1476=0,0,$AY$1441*$H$26*$AU$1441)</f>
        <v>0</v>
      </c>
      <c r="AZ1476">
        <f>(0.6*AW1476+0.7*AX1476)*$AU$1441/2</f>
        <v>0</v>
      </c>
      <c r="BA1476">
        <f>AW1476*$AU$1441/2</f>
        <v>0</v>
      </c>
      <c r="BC1476">
        <f>IF(AV1476=0,0,$BG$1441*$AP$1430)</f>
        <v>0</v>
      </c>
      <c r="BD1476">
        <f>IFERROR(BC1476/$AU$1441,0)</f>
        <v>0</v>
      </c>
      <c r="BE1476">
        <f>BC1476*($F$22+IF($F$22=0,0,($C$14+$C$15+IF($C$13="single",1.5,3)+3)/12))</f>
        <v>0</v>
      </c>
      <c r="BF1476">
        <f>BE1476-AZ1476</f>
        <v>0</v>
      </c>
      <c r="BG1476" cm="1">
        <f t="array" ref="BG1476">IFERROR(IF(BF1476&lt;0,0,BF1476/($AU$1441-INDEX(hd_off,MATCH(BT1476,hd_mark,0),0)/12)),0)</f>
        <v>0</v>
      </c>
      <c r="BH1476">
        <f>IF(AV1476=0,0,$BG$1441*$AM$1430)</f>
        <v>0</v>
      </c>
      <c r="BI1476">
        <f>IFERROR(BH1476/$AU$1441,0)</f>
        <v>0</v>
      </c>
      <c r="BJ1476">
        <f>BH1476*($F$22+IF($F$22=0,0,($C$14+$C$15+IF($C$13="single",1.5,3)+3)/12))</f>
        <v>0</v>
      </c>
      <c r="BK1476">
        <f>BJ1476-BA1476</f>
        <v>0</v>
      </c>
      <c r="BL1476" cm="1">
        <f t="array" ref="BL1476">IFERROR(IF(BK1476&lt;0,0,BK1476/($AU$1441-INDEX(hd_off,MATCH(BT1476,hd_mark,0),0)/12)),0)</f>
        <v>0</v>
      </c>
      <c r="BM1476">
        <f>MAX($F$22,$BC$1441)/$Q$1460</f>
        <v>0.30172413793103448</v>
      </c>
      <c r="BN1476">
        <f t="shared" ref="BN1476:BN1479" si="922">IF(BM1476=0,0,IF(BM1476&gt;2,1.25-0.125*BM1476,1))</f>
        <v>1</v>
      </c>
      <c r="BO1476" cm="1">
        <f t="array" ref="BO1476">IFERROR(INDEX(sheath_ecap_asd,MATCH(BS1476,sheath_mark,0),0)*BN1476,0)</f>
        <v>0</v>
      </c>
      <c r="BP1476" cm="1">
        <f t="array" ref="BP1476">IFERROR(INDEX(sheath_wcap_asd,MATCH(BS1476,sheath_mark,0),0)*BN1476,0)</f>
        <v>0</v>
      </c>
      <c r="BQ1476" cm="1">
        <f t="array" ref="BQ1476">IFERROR(INDEX(hd_cap,MATCH(BT1476,hd_mark,0),0),0)</f>
        <v>0</v>
      </c>
      <c r="BS1476" s="19"/>
      <c r="BT1476" s="19"/>
      <c r="BU1476" s="100"/>
    </row>
    <row r="1477" x14ac:dyDescent="0.25">
      <c r="B1477" s="1"/>
      <c r="P1477" s="93"/>
      <c r="Q1477" s="109" t="s">
        <v>491</v>
      </c>
      <c r="R1477" t="str">
        <f>$Q$1431</f>
        <v>L4</v>
      </c>
      <c r="S1477">
        <f>$E$23</f>
        <v>0</v>
      </c>
      <c r="T1477" cm="1">
        <f t="array" ref="T1477">IFERROR(IF(S1477=0,0,(INDEX($C$33:$C$38,MATCH($W$1441,$B$33:$B$38,0),0)*(S1479+$X$1441)+$T$1441*COUNTIF(S1477:S1478,"&gt;0")*$C$32+$V$1441*$C$31)*$R$1441),0)</f>
        <v>0</v>
      </c>
      <c r="U1477">
        <f>IF(S1477=0,0,-(COUNTIF(S1477:S1478,"&gt;0")*$T$1441*$C$32+$V$1441*$C$31)*$H$27*$R$1441)</f>
        <v>0</v>
      </c>
      <c r="V1477">
        <f>IF(S1477=0,0,$V$1441*$H$26*$R$1441)</f>
        <v>0</v>
      </c>
      <c r="W1477">
        <f>(0.6*T1477+0.7*U1477)*$R$1441/2</f>
        <v>0</v>
      </c>
      <c r="X1477">
        <f>T1477*$R$1441/2</f>
        <v>0</v>
      </c>
      <c r="Z1477">
        <f>IF(S1477=0,0,$AD$1441*$AP$1431)</f>
        <v>0</v>
      </c>
      <c r="AA1477">
        <f>IFERROR(Z1477/$R$1441,0)</f>
        <v>0</v>
      </c>
      <c r="AB1477">
        <f>Z1477*($F$23+IF($F$23=0,0,($C$14+$C$15+IF($C$13="single",1.5,3)+3)/12))</f>
        <v>0</v>
      </c>
      <c r="AC1477">
        <f>AB1477-W1477</f>
        <v>0</v>
      </c>
      <c r="AD1477" cm="1">
        <f t="array" ref="AD1477">IFERROR(IF(AC1477&lt;0,0,AC1477/($R$1441-INDEX(hd_off,MATCH(AQ1477,hd_mark,0),0)/12)),0)</f>
        <v>0</v>
      </c>
      <c r="AE1477">
        <f>IF(S1477=0,0,$AD$1441*$AM$1431)</f>
        <v>0</v>
      </c>
      <c r="AF1477">
        <f>IFERROR(AE1477/$R$1441,0)</f>
        <v>0</v>
      </c>
      <c r="AG1477">
        <f>AE1477*($F$23+IF($F$23=0,0,($C$14+$C$15+IF($C$13="single",1.5,3)+3)/12))</f>
        <v>0</v>
      </c>
      <c r="AH1477">
        <f>AG1477-X1477</f>
        <v>0</v>
      </c>
      <c r="AI1477" cm="1">
        <f t="array" ref="AI1477">IFERROR(IF(AH1477&lt;0,0,AH1477/($R$1441-INDEX(hd_off,MATCH(AQ1477,hd_mark,0),0)/12)),0)</f>
        <v>0</v>
      </c>
      <c r="AJ1477">
        <f>MAX($F$23,$AA$1441)/$Q$1460</f>
        <v>0</v>
      </c>
      <c r="AK1477">
        <f t="shared" si="921"/>
        <v>0</v>
      </c>
      <c r="AL1477" cm="1">
        <f t="array" ref="AL1477">IFERROR(INDEX(sheath_ecap_asd,MATCH(AP1477,sheath_mark,0),0)*AK1477,0)</f>
        <v>0</v>
      </c>
      <c r="AM1477" cm="1">
        <f t="array" ref="AM1477">IFERROR(INDEX(sheath_wcap_asd,MATCH(AP1477,sheath_mark,0),0)*AK1477,0)</f>
        <v>0</v>
      </c>
      <c r="AN1477" cm="1">
        <f t="array" ref="AN1477">IFERROR(INDEX(hd_cap,MATCH(AQ1477,hd_mark,0),0),0)</f>
        <v>0</v>
      </c>
      <c r="AP1477" s="19"/>
      <c r="AQ1477" s="19"/>
      <c r="AR1477" s="100"/>
      <c r="AS1477" s="93"/>
      <c r="AT1477" s="109" t="s">
        <v>491</v>
      </c>
      <c r="AU1477" t="str">
        <f>$Q$1431</f>
        <v>L4</v>
      </c>
      <c r="AV1477">
        <f>$E$23</f>
        <v>0</v>
      </c>
      <c r="AW1477" cm="1">
        <f t="array" ref="AW1477">IFERROR(IF(AV1477=0,0,(INDEX($C$33:$C$38,MATCH($AZ$1441,$B$33:$B$38,0),0)*(AV1479+$BA$1441)+$AW$1441*COUNTIF(AV1477:AV1478,"&gt;0")*$C$32+$AY$1441*$C$31)*$AU$1441),0)</f>
        <v>0</v>
      </c>
      <c r="AX1477">
        <f>IF(AV1477=0,0,-(COUNTIF(AV1477:AV1478,"&gt;0")*$AW$1441*$C$32+$AY$1441*$C$31)*$H$27*$AU$1441)</f>
        <v>0</v>
      </c>
      <c r="AY1477">
        <f>IF(AV1477=0,0,$AY$1441*$H$26*$AU$1441)</f>
        <v>0</v>
      </c>
      <c r="AZ1477">
        <f>(0.6*AW1477+0.7*AX1477)*$AU$1441/2</f>
        <v>0</v>
      </c>
      <c r="BA1477">
        <f>AW1477*$AU$1441/2</f>
        <v>0</v>
      </c>
      <c r="BC1477">
        <f>IF(AV1477=0,0,$BG$1441*$AP$1431)</f>
        <v>0</v>
      </c>
      <c r="BD1477">
        <f>IFERROR(BC1477/$AU$1441,0)</f>
        <v>0</v>
      </c>
      <c r="BE1477">
        <f>BC1477*($F$23+IF($F$23=0,0,($C$14+$C$15+IF($C$13="single",1.5,3)+3)/12))</f>
        <v>0</v>
      </c>
      <c r="BF1477">
        <f>BE1477-AZ1477</f>
        <v>0</v>
      </c>
      <c r="BG1477" cm="1">
        <f t="array" ref="BG1477">IFERROR(IF(BF1477&lt;0,0,BF1477/($AU$1441-INDEX(hd_off,MATCH(BT1477,hd_mark,0),0)/12)),0)</f>
        <v>0</v>
      </c>
      <c r="BH1477">
        <f>IF(AV1477=0,0,$BG$1441*$AM$1431)</f>
        <v>0</v>
      </c>
      <c r="BI1477">
        <f>IFERROR(BH1477/$AU$1441,0)</f>
        <v>0</v>
      </c>
      <c r="BJ1477">
        <f>BH1477*($F$23+IF($F$23=0,0,($C$14+$C$15+IF($C$13="single",1.5,3)+3)/12))</f>
        <v>0</v>
      </c>
      <c r="BK1477">
        <f>BJ1477-BA1477</f>
        <v>0</v>
      </c>
      <c r="BL1477" cm="1">
        <f t="array" ref="BL1477">IFERROR(IF(BK1477&lt;0,0,BK1477/($AU$1441-INDEX(hd_off,MATCH(BT1477,hd_mark,0),0)/12)),0)</f>
        <v>0</v>
      </c>
      <c r="BM1477">
        <f>MAX($F$23,$BD$1441)/$Q$1460</f>
        <v>0</v>
      </c>
      <c r="BN1477">
        <f t="shared" si="922"/>
        <v>0</v>
      </c>
      <c r="BO1477" cm="1">
        <f t="array" ref="BO1477">IFERROR(INDEX(sheath_ecap_asd,MATCH(BS1477,sheath_mark,0),0)*BN1477,0)</f>
        <v>0</v>
      </c>
      <c r="BP1477" cm="1">
        <f t="array" ref="BP1477">IFERROR(INDEX(sheath_wcap_asd,MATCH(BS1477,sheath_mark,0),0)*BN1477,0)</f>
        <v>0</v>
      </c>
      <c r="BQ1477" cm="1">
        <f t="array" ref="BQ1477">IFERROR(INDEX(hd_cap,MATCH(BT1477,hd_mark,0),0),0)</f>
        <v>0</v>
      </c>
      <c r="BS1477" s="19"/>
      <c r="BT1477" s="19"/>
      <c r="BU1477" s="100"/>
    </row>
    <row r="1478" x14ac:dyDescent="0.25">
      <c r="P1478" s="93"/>
      <c r="Q1478" s="111">
        <f>$R$1441</f>
        <v>0</v>
      </c>
      <c r="R1478" t="str">
        <f>$Q$1432</f>
        <v>L5</v>
      </c>
      <c r="S1478">
        <f>$E$24</f>
        <v>0</v>
      </c>
      <c r="T1478" cm="1">
        <f t="array" ref="T1478">IFERROR(IF(S1478=0,0,(INDEX($C$33:$C$38,MATCH($W$1441,$B$33:$B$38,0),0)*(S1479+$X$1441)+$T$1441*COUNTIF(S1478:S1478,"&gt;0")*$C$32+$V$1441*$C$31)*$R$1441),0)</f>
        <v>0</v>
      </c>
      <c r="U1478">
        <f>IF(S1478=0,0,-(COUNTIF(S1478:S1478,"&gt;0")*$T$1441*$C$32+$V$1441*$C$31)*$H$27*$R$1441)</f>
        <v>0</v>
      </c>
      <c r="V1478">
        <f>IF(S1478=0,0,$V$1441*$H$26*$R$1441)</f>
        <v>0</v>
      </c>
      <c r="W1478">
        <f>(0.6*T1478+0.7*U1478)*$R$1441/2</f>
        <v>0</v>
      </c>
      <c r="X1478">
        <f>T1478*$R$1441/2</f>
        <v>0</v>
      </c>
      <c r="Z1478">
        <f>IF(S1478=0,0,$AD$1441*$AP$1432)</f>
        <v>0</v>
      </c>
      <c r="AA1478">
        <f>IFERROR(Z1478/$R$1441,0)</f>
        <v>0</v>
      </c>
      <c r="AB1478">
        <f>Z1478*($F$24+IF($F$24=0,0,($C$14+$C$15+IF($C$13="single",1.5,3)+3)/12))</f>
        <v>0</v>
      </c>
      <c r="AC1478">
        <f>AB1478-W1478</f>
        <v>0</v>
      </c>
      <c r="AD1478" cm="1">
        <f t="array" ref="AD1478">IFERROR(IF(AC1478&lt;0,0,AC1478/($R$1441-INDEX(hd_off,MATCH(AQ1478,hd_mark,0),0)/12)),0)</f>
        <v>0</v>
      </c>
      <c r="AE1478">
        <f>IF(S1478=0,0,$AD$1441*$AM$1432)</f>
        <v>0</v>
      </c>
      <c r="AF1478">
        <f>IFERROR(AE1478/$R$1441,0)</f>
        <v>0</v>
      </c>
      <c r="AG1478">
        <f>AE1478*($F$24+IF($F$24=0,0,($C$14+$C$15+IF($C$13="single",1.5,3)+3)/12))</f>
        <v>0</v>
      </c>
      <c r="AH1478">
        <f>AG1478-X1478</f>
        <v>0</v>
      </c>
      <c r="AI1478" cm="1">
        <f t="array" ref="AI1478">IFERROR(IF(AH1478&lt;0,0,AH1478/($R$1441-INDEX(hd_off,MATCH(AQ1478,hd_mark,0),0)/12)),0)</f>
        <v>0</v>
      </c>
      <c r="AJ1478">
        <f>MAX($F$24,$AB$1441)/$Q$1460</f>
        <v>0</v>
      </c>
      <c r="AK1478">
        <f t="shared" si="921"/>
        <v>0</v>
      </c>
      <c r="AL1478" cm="1">
        <f t="array" ref="AL1478">IFERROR(INDEX(sheath_ecap_asd,MATCH(AP1478,sheath_mark,0),0)*AK1478,0)</f>
        <v>0</v>
      </c>
      <c r="AM1478" cm="1">
        <f t="array" ref="AM1478">IFERROR(INDEX(sheath_wcap_asd,MATCH(AP1478,sheath_mark,0),0)*AK1478,0)</f>
        <v>0</v>
      </c>
      <c r="AN1478" cm="1">
        <f t="array" ref="AN1478">IFERROR(INDEX(hd_cap,MATCH(AQ1478,hd_mark,0),0),0)</f>
        <v>0</v>
      </c>
      <c r="AP1478" s="19"/>
      <c r="AQ1478" s="19"/>
      <c r="AR1478" s="100"/>
      <c r="AS1478" s="93"/>
      <c r="AT1478" s="111">
        <f>$R$1441</f>
        <v>0</v>
      </c>
      <c r="AU1478" t="str">
        <f>$Q$1432</f>
        <v>L5</v>
      </c>
      <c r="AV1478">
        <f>$E$24</f>
        <v>0</v>
      </c>
      <c r="AW1478" cm="1">
        <f t="array" ref="AW1478">IFERROR(IF(AV1478=0,0,(INDEX($C$33:$C$38,MATCH($AZ$1441,$B$33:$B$38,0),0)*(AV1479+$BA$1441)+$AW$1441*COUNTIF(AV1478:AV1478,"&gt;0")*$C$32+$AY$1441*$C$31)*$AU$1441),0)</f>
        <v>0</v>
      </c>
      <c r="AX1478">
        <f>IF(AV1478=0,0,-(COUNTIF(AV1478:AV1478,"&gt;0")*$AW$1441*$C$32+$AY$1441*$C$31)*$H$27*$AU$1441)</f>
        <v>0</v>
      </c>
      <c r="AY1478">
        <f>IF(AV1478=0,0,$AY$1441*$H$26*$AU$1441)</f>
        <v>0</v>
      </c>
      <c r="AZ1478">
        <f>(0.6*AW1478+0.7*AX1478)*$AU$1441/2</f>
        <v>0</v>
      </c>
      <c r="BA1478">
        <f>AW1478*$AU$1441/2</f>
        <v>0</v>
      </c>
      <c r="BC1478">
        <f>IF(AV1478=0,0,$BG$1441*$AP$1432)</f>
        <v>0</v>
      </c>
      <c r="BD1478">
        <f>IFERROR(BC1478/$AU$1441,0)</f>
        <v>0</v>
      </c>
      <c r="BE1478">
        <f>BC1478*($F$24+IF($F$24=0,0,($C$14+$C$15+IF($C$13="single",1.5,3)+3)/12))</f>
        <v>0</v>
      </c>
      <c r="BF1478">
        <f>BE1478-AZ1478</f>
        <v>0</v>
      </c>
      <c r="BG1478" cm="1">
        <f t="array" ref="BG1478">IFERROR(IF(BF1478&lt;0,0,BF1478/($AU$1441-INDEX(hd_off,MATCH(BT1478,hd_mark,0),0)/12)),0)</f>
        <v>0</v>
      </c>
      <c r="BH1478">
        <f>IF(AV1478=0,0,$BG$1441*$AM$1432)</f>
        <v>0</v>
      </c>
      <c r="BI1478">
        <f>IFERROR(BH1478/$AU$1441,0)</f>
        <v>0</v>
      </c>
      <c r="BJ1478">
        <f>BH1478*($F$24+IF($F$24=0,0,($C$14+$C$15+IF($C$13="single",1.5,3)+3)/12))</f>
        <v>0</v>
      </c>
      <c r="BK1478">
        <f>BJ1478-BA1478</f>
        <v>0</v>
      </c>
      <c r="BL1478" cm="1">
        <f t="array" ref="BL1478">IFERROR(IF(BK1478&lt;0,0,BK1478/($AU$1441-INDEX(hd_off,MATCH(BT1478,hd_mark,0),0)/12)),0)</f>
        <v>0</v>
      </c>
      <c r="BM1478">
        <f>MAX($F$24,$BE$1441)/$Q$1460</f>
        <v>0</v>
      </c>
      <c r="BN1478">
        <f t="shared" si="922"/>
        <v>0</v>
      </c>
      <c r="BO1478" cm="1">
        <f t="array" ref="BO1478">IFERROR(INDEX(sheath_ecap_asd,MATCH(BS1478,sheath_mark,0),0)*BN1478,0)</f>
        <v>0</v>
      </c>
      <c r="BP1478" cm="1">
        <f t="array" ref="BP1478">IFERROR(INDEX(sheath_wcap_asd,MATCH(BS1478,sheath_mark,0),0)*BN1478,0)</f>
        <v>0</v>
      </c>
      <c r="BQ1478" cm="1">
        <f t="array" ref="BQ1478">IFERROR(INDEX(hd_cap,MATCH(BT1478,hd_mark,0),0),0)</f>
        <v>0</v>
      </c>
      <c r="BS1478" s="19"/>
      <c r="BT1478" s="19"/>
      <c r="BU1478" s="100"/>
    </row>
    <row r="1479" x14ac:dyDescent="0.25">
      <c r="P1479" s="93"/>
      <c r="Q1479" s="109"/>
      <c r="R1479" t="str">
        <f>$Q$1433</f>
        <v>Roof</v>
      </c>
      <c r="S1479">
        <f>$E$25</f>
        <v>33.171875</v>
      </c>
      <c r="T1479" cm="1">
        <f t="array" ref="T1479">IFERROR(IF(S1479=0,0,(INDEX($C$33:$C$38,MATCH($W$1441,$B$33:$B$38,0),0)*(S1479+$X$1441)+$V$1441*$C$31)*$R$1441),0)</f>
        <v>0</v>
      </c>
      <c r="U1479">
        <f>IF(S1479=0,0,-$V$1441*$C$31*$H$27*$R$1441)</f>
        <v>0</v>
      </c>
      <c r="V1479">
        <f>IF(S1479=0,0,$V$1441*$H$26*$R$1441)</f>
        <v>0</v>
      </c>
      <c r="W1479">
        <f>(0.6*T1479+0.7*U1479)*$R$1441/2</f>
        <v>0</v>
      </c>
      <c r="X1479">
        <f>T1479*$R$1441/2</f>
        <v>0</v>
      </c>
      <c r="Z1479">
        <f>IF(S1479=0,0,$AD$1441*$AP$1433)</f>
        <v>0</v>
      </c>
      <c r="AA1479">
        <f>IFERROR(Z1479/$R$1441,0)</f>
        <v>0</v>
      </c>
      <c r="AB1479">
        <f>Z1479*($F$25+($C$16+$C$17+IF($C$13="single",1.5,3)+3)/12)</f>
        <v>0</v>
      </c>
      <c r="AC1479">
        <f>AB1479-W1479</f>
        <v>0</v>
      </c>
      <c r="AD1479" cm="1">
        <f t="array" ref="AD1479">IFERROR(IF(AC1479&lt;0,0,AC1479/($R$1441-INDEX(hd_off,MATCH(AQ1479,hd_mark,0),0)/12)),0)</f>
        <v>0</v>
      </c>
      <c r="AE1479">
        <f>IF(S1479=0,0,$AD$1441*$AM$1433)</f>
        <v>0</v>
      </c>
      <c r="AF1479">
        <f>IFERROR(AE1479/$R$1441,0)</f>
        <v>0</v>
      </c>
      <c r="AG1479">
        <f>AE1479*($F$25+($C$16+$C$17+IF($C$13="single",1.5,3)+3)/12)</f>
        <v>0</v>
      </c>
      <c r="AH1479">
        <f>AG1479-X1479</f>
        <v>0</v>
      </c>
      <c r="AI1479" cm="1">
        <f t="array" ref="AI1479">IFERROR(IF(AH1479&lt;0,0,AH1479/($R$1441-INDEX(hd_off,MATCH(AQ1479,hd_mark,0),0)/12)),0)</f>
        <v>0</v>
      </c>
      <c r="AJ1479">
        <f>MAX($F$25,$AC$1441)/$Q$1460</f>
        <v>0.29920977011494249</v>
      </c>
      <c r="AK1479">
        <f t="shared" si="921"/>
        <v>1</v>
      </c>
      <c r="AL1479" cm="1">
        <f t="array" ref="AL1479">IFERROR(INDEX(sheath_ecap_asd,MATCH(AP1479,sheath_mark,0),0)*AK1479,0)</f>
        <v>0</v>
      </c>
      <c r="AM1479" cm="1">
        <f t="array" ref="AM1479">IFERROR(INDEX(sheath_wcap_asd,MATCH(AP1479,sheath_mark,0),0)*AK1479,0)</f>
        <v>0</v>
      </c>
      <c r="AN1479" cm="1">
        <f t="array" ref="AN1479">IFERROR(INDEX(hd_cap,MATCH(AQ1479,hd_mark,0),0),0)</f>
        <v>0</v>
      </c>
      <c r="AP1479" s="19"/>
      <c r="AQ1479" s="19"/>
      <c r="AR1479" s="100"/>
      <c r="AS1479" s="93"/>
      <c r="AT1479" s="109"/>
      <c r="AU1479" t="str">
        <f>$Q$1433</f>
        <v>Roof</v>
      </c>
      <c r="AV1479">
        <f>$E$25</f>
        <v>33.171875</v>
      </c>
      <c r="AW1479" cm="1">
        <f t="array" ref="AW1479">IFERROR(IF(AV1479=0,0,(INDEX($C$33:$C$38,MATCH($AZ$1441,$B$33:$B$38,0),0)*(AV1479+$BA$1441)+$AY$1441*$C$31)*$AU$1441),0)</f>
        <v>0</v>
      </c>
      <c r="AX1479">
        <f>IF(AV1479=0,0,-$AY$1441*$C$31*$H$27*$AU$1441)</f>
        <v>0</v>
      </c>
      <c r="AY1479">
        <f>IF(AV1479=0,0,$AY$1441*$H$26*$AU$1441)</f>
        <v>0</v>
      </c>
      <c r="AZ1479">
        <f>(0.6*AW1479+0.7*AX1479)*$AU$1441/2</f>
        <v>0</v>
      </c>
      <c r="BA1479">
        <f>AW1479*$AU$1441/2</f>
        <v>0</v>
      </c>
      <c r="BC1479">
        <f>IF(AV1479=0,0,$BG$1441*$AP$1433)</f>
        <v>0</v>
      </c>
      <c r="BD1479">
        <f>IFERROR(BC1479/$AU$1441,0)</f>
        <v>0</v>
      </c>
      <c r="BE1479">
        <f>BC1479*($F$25+($C$16+$C$17+IF($C$13="single",1.5,3)+3)/12)</f>
        <v>0</v>
      </c>
      <c r="BF1479">
        <f>BE1479-AZ1479</f>
        <v>0</v>
      </c>
      <c r="BG1479" cm="1">
        <f t="array" ref="BG1479">IFERROR(IF(BF1479&lt;0,0,BF1479/($AU$1441-INDEX(hd_off,MATCH(BT1479,hd_mark,0),0)/12)),0)</f>
        <v>0</v>
      </c>
      <c r="BH1479">
        <f>IF(AV1479=0,0,$BG$1441*$AM$1433)</f>
        <v>0</v>
      </c>
      <c r="BI1479">
        <f>IFERROR(BH1479/$AU$1441,0)</f>
        <v>0</v>
      </c>
      <c r="BJ1479">
        <f>BH1479*($F$25+($C$16+$C$17+IF($C$13="single",1.5,3)+3)/12)</f>
        <v>0</v>
      </c>
      <c r="BK1479">
        <f>BJ1479-BA1479</f>
        <v>0</v>
      </c>
      <c r="BL1479" cm="1">
        <f t="array" ref="BL1479">IFERROR(IF(BK1479&lt;0,0,BK1479/($AU$1441-INDEX(hd_off,MATCH(BT1479,hd_mark,0),0)/12)),0)</f>
        <v>0</v>
      </c>
      <c r="BM1479">
        <f>MAX($F$25,$BF$1441)/$Q$1460</f>
        <v>0.29920977011494249</v>
      </c>
      <c r="BN1479">
        <f t="shared" si="922"/>
        <v>1</v>
      </c>
      <c r="BO1479" cm="1">
        <f t="array" ref="BO1479">IFERROR(INDEX(sheath_ecap_asd,MATCH(BS1479,sheath_mark,0),0)*BN1479,0)</f>
        <v>0</v>
      </c>
      <c r="BP1479" cm="1">
        <f t="array" ref="BP1479">IFERROR(INDEX(sheath_wcap_asd,MATCH(BS1479,sheath_mark,0),0)*BN1479,0)</f>
        <v>0</v>
      </c>
      <c r="BQ1479" cm="1">
        <f t="array" ref="BQ1479">IFERROR(INDEX(hd_cap,MATCH(BT1479,hd_mark,0),0),0)</f>
        <v>0</v>
      </c>
      <c r="BS1479" s="19"/>
      <c r="BT1479" s="19"/>
      <c r="BU1479" s="100"/>
    </row>
    <row r="1480" x14ac:dyDescent="0.25">
      <c r="P1480" s="93"/>
      <c r="AR1480" s="100"/>
      <c r="AS1480" s="93"/>
      <c r="BU1480" s="100"/>
    </row>
    <row r="1481" x14ac:dyDescent="0.25">
      <c r="P1481" s="93"/>
      <c r="Q1481" s="110" t="str">
        <f>$Q$1442</f>
        <v>A.05</v>
      </c>
      <c r="R1481" t="str">
        <f>$Q$1429</f>
        <v>L2</v>
      </c>
      <c r="S1481">
        <f>$E$21</f>
        <v>10.6875</v>
      </c>
      <c r="T1481" cm="1">
        <f t="array" ref="T1481">IFERROR(IF(S1481=0,0,(INDEX($C$33:$C$38,MATCH($W$1442,$B$33:$B$38,0),0)*(S1485+$X$1442)+$T$1442*COUNTIF(S1481:S1484,"&gt;0")*$C$32+$V$1442*$C$31)*$R$1442),0)</f>
        <v>0</v>
      </c>
      <c r="U1481">
        <f>IF(S1481=0,0,-(COUNTIF(S1481:S1484,"&gt;0")*$T$1442*$C$32+$V$1442*$C$31)*$H$27*$R$1442)</f>
        <v>0</v>
      </c>
      <c r="V1481">
        <f>IF(S1481=0,0,$V$1442*$H$26*$R$1442)</f>
        <v>0</v>
      </c>
      <c r="W1481">
        <f>(0.6*T1481+0.7*U1481)*$R$1442/2</f>
        <v>0</v>
      </c>
      <c r="X1481">
        <f>(0.6*T1481+0.6*V1481)*$R$1442/2</f>
        <v>0</v>
      </c>
      <c r="Z1481">
        <f>IF(S1481=0,0,$AD$1442*$AP$1429)</f>
        <v>0</v>
      </c>
      <c r="AA1481">
        <f>IFERROR(Z1481/$R$1442,0)</f>
        <v>0</v>
      </c>
      <c r="AB1481">
        <f>Z1481*($F$21+IF($F$21=0,0,($C$14+$C$15+IF($C$13="single",1.5,3)+3)/12))</f>
        <v>0</v>
      </c>
      <c r="AC1481">
        <f>AB1481-W1481</f>
        <v>0</v>
      </c>
      <c r="AD1481" cm="1">
        <f t="array" ref="AD1481">IFERROR(IF(AC1481&lt;0,0,AC1481/($R$1442-INDEX(hd_off,MATCH(AQ1481,hd_mark,0),0)/12)),0)</f>
        <v>0</v>
      </c>
      <c r="AE1481">
        <f>IF(S1481=0,0,$AD$1442*$AM$1429)</f>
        <v>0</v>
      </c>
      <c r="AF1481">
        <f>IFERROR(AE1481/$R$1442,0)</f>
        <v>0</v>
      </c>
      <c r="AG1481">
        <f>AE1481*($F$21+IF($F$21=0,0,($C$14+$C$15+IF($C$13="single",1.5,3)+3)/12))</f>
        <v>0</v>
      </c>
      <c r="AH1481">
        <f>AG1481-X1481</f>
        <v>0</v>
      </c>
      <c r="AI1481" cm="1">
        <f t="array" ref="AI1481">IFERROR(IF(AH1481&lt;0,0,AH1481/($R$1442-INDEX(hd_off,MATCH(AQ1481,hd_mark,0),0)/12)),0)</f>
        <v>0</v>
      </c>
      <c r="AJ1481">
        <f>MAX($F$21,$Y$1442)/$Q$1460</f>
        <v>0.30172413793103448</v>
      </c>
      <c r="AK1481">
        <f>IF(AJ1481=0,0,IF(AJ1481&gt;2,1.25-0.125*AJ1481,1))</f>
        <v>1</v>
      </c>
      <c r="AL1481" cm="1">
        <f t="array" ref="AL1481">IFERROR(INDEX(sheath_ecap_asd,MATCH(AP1481,sheath_mark,0),0)*AK1481,0)</f>
        <v>0</v>
      </c>
      <c r="AM1481" cm="1">
        <f t="array" ref="AM1481">IFERROR(INDEX(sheath_wcap_asd,MATCH(AP1481,sheath_mark,0),0)*AK1481,0)</f>
        <v>0</v>
      </c>
      <c r="AN1481" cm="1">
        <f t="array" ref="AN1481">IFERROR(INDEX(hd_cap,MATCH(AQ1481,hd_mark,0),0),0)</f>
        <v>0</v>
      </c>
      <c r="AP1481" s="19"/>
      <c r="AQ1481" s="19"/>
      <c r="AR1481" s="100"/>
      <c r="AS1481" s="93"/>
      <c r="AT1481" s="110" t="str">
        <f>$AT$1442</f>
        <v>1.05</v>
      </c>
      <c r="AU1481" t="str">
        <f>$Q$1429</f>
        <v>L2</v>
      </c>
      <c r="AV1481">
        <f>$E$21</f>
        <v>10.6875</v>
      </c>
      <c r="AW1481" cm="1">
        <f t="array" ref="AW1481">IFERROR(IF(AV1481=0,0,(INDEX($C$33:$C$38,MATCH($AZ$1442,$B$33:$B$38,0),0)*(AV1485+$BA$1442)+$AW$1442*COUNTIF(AV1481:AV1484,"&gt;0")*$C$32+$AY$1442*$C$31)*$AU$1442),0)</f>
        <v>0</v>
      </c>
      <c r="AX1481">
        <f>IF(AV1481=0,0,-(COUNTIF(AV1481:AV1484,"&gt;0")*$AW$1442*$C$32+$AY$1442*$C$31)*$H$27*$AU$1442)</f>
        <v>0</v>
      </c>
      <c r="AY1481">
        <f>IF(AV1481=0,0,$AY$1442*$H$26*$AU$1442)</f>
        <v>0</v>
      </c>
      <c r="AZ1481">
        <f>(0.6*AW1481+0.7*AX1481)*$AU$1442/2</f>
        <v>0</v>
      </c>
      <c r="BA1481">
        <f>(0.6*AW1481+0.6*AY1481)*$AU$1442/2</f>
        <v>0</v>
      </c>
      <c r="BC1481">
        <f>IF(AV1481=0,0,$BG$1442*$AP$1429)</f>
        <v>0</v>
      </c>
      <c r="BD1481">
        <f>IFERROR(BC1481/$AU$1442,0)</f>
        <v>0</v>
      </c>
      <c r="BE1481">
        <f>BC1481*($F$21+IF($F$21=0,0,($C$14+$C$15+IF($C$13="single",1.5,3)+3)/12))</f>
        <v>0</v>
      </c>
      <c r="BF1481">
        <f>BE1481-AZ1481</f>
        <v>0</v>
      </c>
      <c r="BG1481" cm="1">
        <f t="array" ref="BG1481">IFERROR(IF(BF1481&lt;0,0,BF1481/($AU$1442-INDEX(hd_off,MATCH(BT1481,hd_mark,0),0)/12)),0)</f>
        <v>0</v>
      </c>
      <c r="BH1481">
        <f>IF(AV1481=0,0,$BG$1442*$AM$1429)</f>
        <v>0</v>
      </c>
      <c r="BI1481">
        <f>IFERROR(BH1481/$AU$1442,0)</f>
        <v>0</v>
      </c>
      <c r="BJ1481">
        <f>BH1481*($F$21+IF($F$21=0,0,($C$14+$C$15+IF($C$13="single",1.5,3)+3)/12))</f>
        <v>0</v>
      </c>
      <c r="BK1481">
        <f>BJ1481-BA1481</f>
        <v>0</v>
      </c>
      <c r="BL1481" cm="1">
        <f t="array" ref="BL1481">IFERROR(IF(BK1481&lt;0,0,BK1481/($AU$1442-INDEX(hd_off,MATCH(BT1481,hd_mark,0),0)/12)),0)</f>
        <v>0</v>
      </c>
      <c r="BM1481">
        <f>MAX($F$21,$BB$1442)/$Q$1460</f>
        <v>0.30172413793103448</v>
      </c>
      <c r="BN1481">
        <f>IF(BM1481=0,0,IF(BM1481&gt;2,1.25-0.125*BM1481,1))</f>
        <v>1</v>
      </c>
      <c r="BO1481" cm="1">
        <f t="array" ref="BO1481">IFERROR(INDEX(sheath_ecap_asd,MATCH(BS1481,sheath_mark,0),0)*BN1481,0)</f>
        <v>0</v>
      </c>
      <c r="BP1481" cm="1">
        <f t="array" ref="BP1481">IFERROR(INDEX(sheath_wcap_asd,MATCH(BS1481,sheath_mark,0),0)*BN1481,0)</f>
        <v>0</v>
      </c>
      <c r="BQ1481" cm="1">
        <f t="array" ref="BQ1481">IFERROR(INDEX(hd_cap,MATCH(BT1481,hd_mark,0),0),0)</f>
        <v>0</v>
      </c>
      <c r="BS1481" s="19"/>
      <c r="BT1481" s="19"/>
      <c r="BU1481" s="100"/>
    </row>
    <row r="1482" x14ac:dyDescent="0.25">
      <c r="B1482" s="1"/>
      <c r="P1482" s="93"/>
      <c r="Q1482" s="109"/>
      <c r="R1482" t="str">
        <f>$Q$1430</f>
        <v>L3</v>
      </c>
      <c r="S1482">
        <f>$E$22</f>
        <v>21.375</v>
      </c>
      <c r="T1482" cm="1">
        <f t="array" ref="T1482">IFERROR(IF(S1482=0,0,(INDEX($C$33:$C$38,MATCH($W$1442,$B$33:$B$38,0),0)*(S1485+$X$1442)+$T$1442*COUNTIF(S1482:S1484,"&gt;0")*$C$32+$V$1442*$C$31)*$R$1442),0)</f>
        <v>0</v>
      </c>
      <c r="U1482">
        <f>IF(S1482=0,0,-(COUNTIF(S1482:S1484,"&gt;0")*$T$1442*$C$32+$V$1442*$C$31)*$H$27*$R$1442)</f>
        <v>0</v>
      </c>
      <c r="V1482">
        <f>IF(S1482=0,0,$V$1442*$H$26*$R$1442)</f>
        <v>0</v>
      </c>
      <c r="W1482">
        <f>(0.6*T1482+0.7*U1482)*$R$1442/2</f>
        <v>0</v>
      </c>
      <c r="X1482">
        <f>T1482*$R$1442/2</f>
        <v>0</v>
      </c>
      <c r="Z1482">
        <f>IF(S1482=0,0,$AD$1442*$AP$1430)</f>
        <v>0</v>
      </c>
      <c r="AA1482">
        <f>IFERROR(Z1482/$R$1442,0)</f>
        <v>0</v>
      </c>
      <c r="AB1482">
        <f>Z1482*($F$22+IF($F$22=0,0,($C$14+$C$15+IF($C$13="single",1.5,3)+3)/12))</f>
        <v>0</v>
      </c>
      <c r="AC1482">
        <f>AB1482-W1482</f>
        <v>0</v>
      </c>
      <c r="AD1482" cm="1">
        <f t="array" ref="AD1482">IFERROR(IF(AC1482&lt;0,0,AC1482/($R$1442-INDEX(hd_off,MATCH(AQ1482,hd_mark,0),0)/12)),0)</f>
        <v>0</v>
      </c>
      <c r="AE1482">
        <f>IF(S1482=0,0,$AD$1442*$AM$1430)</f>
        <v>0</v>
      </c>
      <c r="AF1482">
        <f>IFERROR(AE1482/$R$1442,0)</f>
        <v>0</v>
      </c>
      <c r="AG1482">
        <f>AE1482*($F$22+IF($F$22=0,0,($C$14+$C$15+IF($C$13="single",1.5,3)+3)/12))</f>
        <v>0</v>
      </c>
      <c r="AH1482">
        <f>AG1482-X1482</f>
        <v>0</v>
      </c>
      <c r="AI1482" cm="1">
        <f t="array" ref="AI1482">IFERROR(IF(AH1482&lt;0,0,AH1482/($R$1442-INDEX(hd_off,MATCH(AQ1482,hd_mark,0),0)/12)),0)</f>
        <v>0</v>
      </c>
      <c r="AJ1482">
        <f>MAX($F$22,$Z$1442)/$Q$1460</f>
        <v>0.30172413793103448</v>
      </c>
      <c r="AK1482">
        <f t="shared" ref="AK1482:AK1485" si="923">IF(AJ1482=0,0,IF(AJ1482&gt;2,1.25-0.125*AJ1482,1))</f>
        <v>1</v>
      </c>
      <c r="AL1482" cm="1">
        <f t="array" ref="AL1482">IFERROR(INDEX(sheath_ecap_asd,MATCH(AP1482,sheath_mark,0),0)*AK1482,0)</f>
        <v>0</v>
      </c>
      <c r="AM1482" cm="1">
        <f t="array" ref="AM1482">IFERROR(INDEX(sheath_wcap_asd,MATCH(AP1482,sheath_mark,0),0)*AK1482,0)</f>
        <v>0</v>
      </c>
      <c r="AN1482" cm="1">
        <f t="array" ref="AN1482">IFERROR(INDEX(hd_cap,MATCH(AQ1482,hd_mark,0),0),0)</f>
        <v>0</v>
      </c>
      <c r="AP1482" s="19"/>
      <c r="AQ1482" s="19"/>
      <c r="AR1482" s="100"/>
      <c r="AS1482" s="93"/>
      <c r="AT1482" s="109"/>
      <c r="AU1482" t="str">
        <f>$Q$1430</f>
        <v>L3</v>
      </c>
      <c r="AV1482">
        <f>$E$22</f>
        <v>21.375</v>
      </c>
      <c r="AW1482" cm="1">
        <f t="array" ref="AW1482">IFERROR(IF(AV1482=0,0,(INDEX($C$33:$C$38,MATCH($AZ$1442,$B$33:$B$38,0),0)*(AV1485+$BA$1442)+$AW$1442*COUNTIF(AV1482:AV1484,"&gt;0")*$C$32+$AY$1442*$C$31)*$AU$1442),0)</f>
        <v>0</v>
      </c>
      <c r="AX1482">
        <f>IF(AV1482=0,0,-(COUNTIF(AV1482:AV1484,"&gt;0")*$AW$1442*$C$32+$AY$1442*$C$31)*$H$27*$AU$1442)</f>
        <v>0</v>
      </c>
      <c r="AY1482">
        <f>IF(AV1482=0,0,$AY$1442*$H$26*$AU$1442)</f>
        <v>0</v>
      </c>
      <c r="AZ1482">
        <f>(0.6*AW1482+0.7*AX1482)*$AU$1442/2</f>
        <v>0</v>
      </c>
      <c r="BA1482">
        <f>AW1482*$AU$1442/2</f>
        <v>0</v>
      </c>
      <c r="BC1482">
        <f>IF(AV1482=0,0,$BG$1442*$AP$1430)</f>
        <v>0</v>
      </c>
      <c r="BD1482">
        <f>IFERROR(BC1482/$AU$1442,0)</f>
        <v>0</v>
      </c>
      <c r="BE1482">
        <f>BC1482*($F$22+IF($F$22=0,0,($C$14+$C$15+IF($C$13="single",1.5,3)+3)/12))</f>
        <v>0</v>
      </c>
      <c r="BF1482">
        <f>BE1482-AZ1482</f>
        <v>0</v>
      </c>
      <c r="BG1482" cm="1">
        <f t="array" ref="BG1482">IFERROR(IF(BF1482&lt;0,0,BF1482/($AU$1442-INDEX(hd_off,MATCH(BT1482,hd_mark,0),0)/12)),0)</f>
        <v>0</v>
      </c>
      <c r="BH1482">
        <f>IF(AV1482=0,0,$BG$1442*$AM$1430)</f>
        <v>0</v>
      </c>
      <c r="BI1482">
        <f>IFERROR(BH1482/$AU$1442,0)</f>
        <v>0</v>
      </c>
      <c r="BJ1482">
        <f>BH1482*($F$22+IF($F$22=0,0,($C$14+$C$15+IF($C$13="single",1.5,3)+3)/12))</f>
        <v>0</v>
      </c>
      <c r="BK1482">
        <f>BJ1482-BA1482</f>
        <v>0</v>
      </c>
      <c r="BL1482" cm="1">
        <f t="array" ref="BL1482">IFERROR(IF(BK1482&lt;0,0,BK1482/($AU$1442-INDEX(hd_off,MATCH(BT1482,hd_mark,0),0)/12)),0)</f>
        <v>0</v>
      </c>
      <c r="BM1482">
        <f>MAX($F$22,$BC$1442)/$Q$1460</f>
        <v>0.30172413793103448</v>
      </c>
      <c r="BN1482">
        <f t="shared" ref="BN1482:BN1485" si="924">IF(BM1482=0,0,IF(BM1482&gt;2,1.25-0.125*BM1482,1))</f>
        <v>1</v>
      </c>
      <c r="BO1482" cm="1">
        <f t="array" ref="BO1482">IFERROR(INDEX(sheath_ecap_asd,MATCH(BS1482,sheath_mark,0),0)*BN1482,0)</f>
        <v>0</v>
      </c>
      <c r="BP1482" cm="1">
        <f t="array" ref="BP1482">IFERROR(INDEX(sheath_wcap_asd,MATCH(BS1482,sheath_mark,0),0)*BN1482,0)</f>
        <v>0</v>
      </c>
      <c r="BQ1482" cm="1">
        <f t="array" ref="BQ1482">IFERROR(INDEX(hd_cap,MATCH(BT1482,hd_mark,0),0),0)</f>
        <v>0</v>
      </c>
      <c r="BS1482" s="19"/>
      <c r="BT1482" s="19"/>
      <c r="BU1482" s="100"/>
    </row>
    <row r="1483" x14ac:dyDescent="0.25">
      <c r="P1483" s="93"/>
      <c r="Q1483" s="109" t="s">
        <v>491</v>
      </c>
      <c r="R1483" t="str">
        <f>$Q$1431</f>
        <v>L4</v>
      </c>
      <c r="S1483">
        <f>$E$23</f>
        <v>0</v>
      </c>
      <c r="T1483" cm="1">
        <f t="array" ref="T1483">IFERROR(IF(S1483=0,0,(INDEX($C$33:$C$38,MATCH($W$1442,$B$33:$B$38,0),0)*(S1485+$X$1442)+$T$1442*COUNTIF(S1483:S1484,"&gt;0")*$C$32+$V$1442*$C$31)*$R$1442),0)</f>
        <v>0</v>
      </c>
      <c r="U1483">
        <f>IF(S1483=0,0,-(COUNTIF(S1483:S1484,"&gt;0")*$T$1442*$C$32+$V$1442*$C$31)*$H$27*$R$1442)</f>
        <v>0</v>
      </c>
      <c r="V1483">
        <f>IF(S1483=0,0,$V$1442*$H$26*$R$1442)</f>
        <v>0</v>
      </c>
      <c r="W1483">
        <f>(0.6*T1483+0.7*U1483)*$R$1442/2</f>
        <v>0</v>
      </c>
      <c r="X1483">
        <f>T1483*$R$1442/2</f>
        <v>0</v>
      </c>
      <c r="Z1483">
        <f>IF(S1483=0,0,$AD$1442*$AP$1431)</f>
        <v>0</v>
      </c>
      <c r="AA1483">
        <f>IFERROR(Z1483/$R$1442,0)</f>
        <v>0</v>
      </c>
      <c r="AB1483">
        <f>Z1483*($F$23+IF($F$23=0,0,($C$14+$C$15+IF($C$13="single",1.5,3)+3)/12))</f>
        <v>0</v>
      </c>
      <c r="AC1483">
        <f>AB1483-W1483</f>
        <v>0</v>
      </c>
      <c r="AD1483" cm="1">
        <f t="array" ref="AD1483">IFERROR(IF(AC1483&lt;0,0,AC1483/($R$1442-INDEX(hd_off,MATCH(AQ1483,hd_mark,0),0)/12)),0)</f>
        <v>0</v>
      </c>
      <c r="AE1483">
        <f>IF(S1483=0,0,$AD$1442*$AM$1431)</f>
        <v>0</v>
      </c>
      <c r="AF1483">
        <f>IFERROR(AE1483/$R$1442,0)</f>
        <v>0</v>
      </c>
      <c r="AG1483">
        <f>AE1483*($F$23+IF($F$23=0,0,($C$14+$C$15+IF($C$13="single",1.5,3)+3)/12))</f>
        <v>0</v>
      </c>
      <c r="AH1483">
        <f>AG1483-X1483</f>
        <v>0</v>
      </c>
      <c r="AI1483" cm="1">
        <f t="array" ref="AI1483">IFERROR(IF(AH1483&lt;0,0,AH1483/($R$1442-INDEX(hd_off,MATCH(AQ1483,hd_mark,0),0)/12)),0)</f>
        <v>0</v>
      </c>
      <c r="AJ1483">
        <f>MAX($F$23,$AA$1442)/$Q$1460</f>
        <v>0</v>
      </c>
      <c r="AK1483">
        <f t="shared" si="923"/>
        <v>0</v>
      </c>
      <c r="AL1483" cm="1">
        <f t="array" ref="AL1483">IFERROR(INDEX(sheath_ecap_asd,MATCH(AP1483,sheath_mark,0),0)*AK1483,0)</f>
        <v>0</v>
      </c>
      <c r="AM1483" cm="1">
        <f t="array" ref="AM1483">IFERROR(INDEX(sheath_wcap_asd,MATCH(AP1483,sheath_mark,0),0)*AK1483,0)</f>
        <v>0</v>
      </c>
      <c r="AN1483" cm="1">
        <f t="array" ref="AN1483">IFERROR(INDEX(hd_cap,MATCH(AQ1483,hd_mark,0),0),0)</f>
        <v>0</v>
      </c>
      <c r="AP1483" s="19"/>
      <c r="AQ1483" s="19"/>
      <c r="AR1483" s="100"/>
      <c r="AS1483" s="93"/>
      <c r="AT1483" s="109" t="s">
        <v>491</v>
      </c>
      <c r="AU1483" t="str">
        <f>$Q$1431</f>
        <v>L4</v>
      </c>
      <c r="AV1483">
        <f>$E$23</f>
        <v>0</v>
      </c>
      <c r="AW1483" cm="1">
        <f t="array" ref="AW1483">IFERROR(IF(AV1483=0,0,(INDEX($C$33:$C$38,MATCH($AZ$1442,$B$33:$B$38,0),0)*(AV1485+$BA$1442)+$AW$1442*COUNTIF(AV1483:AV1484,"&gt;0")*$C$32+$AY$1442*$C$31)*$AU$1442),0)</f>
        <v>0</v>
      </c>
      <c r="AX1483">
        <f>IF(AV1483=0,0,-(COUNTIF(AV1483:AV1484,"&gt;0")*$AW$1442*$C$32+$AY$1442*$C$31)*$H$27*$AU$1442)</f>
        <v>0</v>
      </c>
      <c r="AY1483">
        <f>IF(AV1483=0,0,$AY$1442*$H$26*$AU$1442)</f>
        <v>0</v>
      </c>
      <c r="AZ1483">
        <f>(0.6*AW1483+0.7*AX1483)*$AU$1442/2</f>
        <v>0</v>
      </c>
      <c r="BA1483">
        <f>AW1483*$AU$1442/2</f>
        <v>0</v>
      </c>
      <c r="BC1483">
        <f>IF(AV1483=0,0,$BG$1442*$AP$1431)</f>
        <v>0</v>
      </c>
      <c r="BD1483">
        <f>IFERROR(BC1483/$AU$1442,0)</f>
        <v>0</v>
      </c>
      <c r="BE1483">
        <f>BC1483*($F$23+IF($F$23=0,0,($C$14+$C$15+IF($C$13="single",1.5,3)+3)/12))</f>
        <v>0</v>
      </c>
      <c r="BF1483">
        <f>BE1483-AZ1483</f>
        <v>0</v>
      </c>
      <c r="BG1483" cm="1">
        <f t="array" ref="BG1483">IFERROR(IF(BF1483&lt;0,0,BF1483/($AU$1442-INDEX(hd_off,MATCH(BT1483,hd_mark,0),0)/12)),0)</f>
        <v>0</v>
      </c>
      <c r="BH1483">
        <f>IF(AV1483=0,0,$BG$1442*$AM$1431)</f>
        <v>0</v>
      </c>
      <c r="BI1483">
        <f>IFERROR(BH1483/$AU$1442,0)</f>
        <v>0</v>
      </c>
      <c r="BJ1483">
        <f>BH1483*($F$23+IF($F$23=0,0,($C$14+$C$15+IF($C$13="single",1.5,3)+3)/12))</f>
        <v>0</v>
      </c>
      <c r="BK1483">
        <f>BJ1483-BA1483</f>
        <v>0</v>
      </c>
      <c r="BL1483" cm="1">
        <f t="array" ref="BL1483">IFERROR(IF(BK1483&lt;0,0,BK1483/($AU$1442-INDEX(hd_off,MATCH(BT1483,hd_mark,0),0)/12)),0)</f>
        <v>0</v>
      </c>
      <c r="BM1483">
        <f>MAX($F$23,$BD$1442)/$Q$1460</f>
        <v>0</v>
      </c>
      <c r="BN1483">
        <f t="shared" si="924"/>
        <v>0</v>
      </c>
      <c r="BO1483" cm="1">
        <f t="array" ref="BO1483">IFERROR(INDEX(sheath_ecap_asd,MATCH(BS1483,sheath_mark,0),0)*BN1483,0)</f>
        <v>0</v>
      </c>
      <c r="BP1483" cm="1">
        <f t="array" ref="BP1483">IFERROR(INDEX(sheath_wcap_asd,MATCH(BS1483,sheath_mark,0),0)*BN1483,0)</f>
        <v>0</v>
      </c>
      <c r="BQ1483" cm="1">
        <f t="array" ref="BQ1483">IFERROR(INDEX(hd_cap,MATCH(BT1483,hd_mark,0),0),0)</f>
        <v>0</v>
      </c>
      <c r="BS1483" s="19"/>
      <c r="BT1483" s="19"/>
      <c r="BU1483" s="100"/>
    </row>
    <row r="1484" x14ac:dyDescent="0.25">
      <c r="P1484" s="93"/>
      <c r="Q1484" s="111">
        <f>$R$1442</f>
        <v>0</v>
      </c>
      <c r="R1484" t="str">
        <f>$Q$1432</f>
        <v>L5</v>
      </c>
      <c r="S1484">
        <f>$E$24</f>
        <v>0</v>
      </c>
      <c r="T1484" cm="1">
        <f t="array" ref="T1484">IFERROR(IF(S1484=0,0,(INDEX($C$33:$C$38,MATCH($W$1442,$B$33:$B$38,0),0)*(S1485+$X$1442)+$T$1442*COUNTIF(S1484:S1484,"&gt;0")*$C$32+$V$1442*$C$31)*$R$1442),0)</f>
        <v>0</v>
      </c>
      <c r="U1484">
        <f>IF(S1484=0,0,-(COUNTIF(S1484:S1484,"&gt;0")*$T$1442*$C$32+$V$1442*$C$31)*$H$27*$R$1442)</f>
        <v>0</v>
      </c>
      <c r="V1484">
        <f>IF(S1484=0,0,$V$1442*$H$26*$R$1442)</f>
        <v>0</v>
      </c>
      <c r="W1484">
        <f>(0.6*T1484+0.7*U1484)*$R$1442/2</f>
        <v>0</v>
      </c>
      <c r="X1484">
        <f>T1484*$R$1442/2</f>
        <v>0</v>
      </c>
      <c r="Z1484">
        <f>IF(S1484=0,0,$AD$1442*$AP$1432)</f>
        <v>0</v>
      </c>
      <c r="AA1484">
        <f>IFERROR(Z1484/$R$1442,0)</f>
        <v>0</v>
      </c>
      <c r="AB1484">
        <f>Z1484*($F$24+IF($F$24=0,0,($C$14+$C$15+IF($C$13="single",1.5,3)+3)/12))</f>
        <v>0</v>
      </c>
      <c r="AC1484">
        <f>AB1484-W1484</f>
        <v>0</v>
      </c>
      <c r="AD1484" cm="1">
        <f t="array" ref="AD1484">IFERROR(IF(AC1484&lt;0,0,AC1484/($R$1442-INDEX(hd_off,MATCH(AQ1484,hd_mark,0),0)/12)),0)</f>
        <v>0</v>
      </c>
      <c r="AE1484">
        <f>IF(S1484=0,0,$AD$1442*$AM$1432)</f>
        <v>0</v>
      </c>
      <c r="AF1484">
        <f>IFERROR(AE1484/$R$1442,0)</f>
        <v>0</v>
      </c>
      <c r="AG1484">
        <f>AE1484*($F$24+IF($F$24=0,0,($C$14+$C$15+IF($C$13="single",1.5,3)+3)/12))</f>
        <v>0</v>
      </c>
      <c r="AH1484">
        <f>AG1484-X1484</f>
        <v>0</v>
      </c>
      <c r="AI1484" cm="1">
        <f t="array" ref="AI1484">IFERROR(IF(AH1484&lt;0,0,AH1484/($R$1442-INDEX(hd_off,MATCH(AQ1484,hd_mark,0),0)/12)),0)</f>
        <v>0</v>
      </c>
      <c r="AJ1484">
        <f>MAX($F$24,$AB$1442)/$Q$1460</f>
        <v>0</v>
      </c>
      <c r="AK1484">
        <f t="shared" si="923"/>
        <v>0</v>
      </c>
      <c r="AL1484" cm="1">
        <f t="array" ref="AL1484">IFERROR(INDEX(sheath_ecap_asd,MATCH(AP1484,sheath_mark,0),0)*AK1484,0)</f>
        <v>0</v>
      </c>
      <c r="AM1484" cm="1">
        <f t="array" ref="AM1484">IFERROR(INDEX(sheath_wcap_asd,MATCH(AP1484,sheath_mark,0),0)*AK1484,0)</f>
        <v>0</v>
      </c>
      <c r="AN1484" cm="1">
        <f t="array" ref="AN1484">IFERROR(INDEX(hd_cap,MATCH(AQ1484,hd_mark,0),0),0)</f>
        <v>0</v>
      </c>
      <c r="AP1484" s="19"/>
      <c r="AQ1484" s="19"/>
      <c r="AR1484" s="100"/>
      <c r="AS1484" s="93"/>
      <c r="AT1484" s="111">
        <f>$R$1442</f>
        <v>0</v>
      </c>
      <c r="AU1484" t="str">
        <f>$Q$1432</f>
        <v>L5</v>
      </c>
      <c r="AV1484">
        <f>$E$24</f>
        <v>0</v>
      </c>
      <c r="AW1484" cm="1">
        <f t="array" ref="AW1484">IFERROR(IF(AV1484=0,0,(INDEX($C$33:$C$38,MATCH($AZ$1442,$B$33:$B$38,0),0)*(AV1485+$BA$1442)+$AW$1442*COUNTIF(AV1484:AV1484,"&gt;0")*$C$32+$AY$1442*$C$31)*$AU$1442),0)</f>
        <v>0</v>
      </c>
      <c r="AX1484">
        <f>IF(AV1484=0,0,-(COUNTIF(AV1484:AV1484,"&gt;0")*$AW$1442*$C$32+$AY$1442*$C$31)*$H$27*$AU$1442)</f>
        <v>0</v>
      </c>
      <c r="AY1484">
        <f>IF(AV1484=0,0,$AY$1442*$H$26*$AU$1442)</f>
        <v>0</v>
      </c>
      <c r="AZ1484">
        <f>(0.6*AW1484+0.7*AX1484)*$AU$1442/2</f>
        <v>0</v>
      </c>
      <c r="BA1484">
        <f>AW1484*$AU$1442/2</f>
        <v>0</v>
      </c>
      <c r="BC1484">
        <f>IF(AV1484=0,0,$BG$1442*$AP$1432)</f>
        <v>0</v>
      </c>
      <c r="BD1484">
        <f>IFERROR(BC1484/$AU$1442,0)</f>
        <v>0</v>
      </c>
      <c r="BE1484">
        <f>BC1484*($F$24+IF($F$24=0,0,($C$14+$C$15+IF($C$13="single",1.5,3)+3)/12))</f>
        <v>0</v>
      </c>
      <c r="BF1484">
        <f>BE1484-AZ1484</f>
        <v>0</v>
      </c>
      <c r="BG1484" cm="1">
        <f t="array" ref="BG1484">IFERROR(IF(BF1484&lt;0,0,BF1484/($AU$1442-INDEX(hd_off,MATCH(BT1484,hd_mark,0),0)/12)),0)</f>
        <v>0</v>
      </c>
      <c r="BH1484">
        <f>IF(AV1484=0,0,$BG$1442*$AM$1432)</f>
        <v>0</v>
      </c>
      <c r="BI1484">
        <f>IFERROR(BH1484/$AU$1442,0)</f>
        <v>0</v>
      </c>
      <c r="BJ1484">
        <f>BH1484*($F$24+IF($F$24=0,0,($C$14+$C$15+IF($C$13="single",1.5,3)+3)/12))</f>
        <v>0</v>
      </c>
      <c r="BK1484">
        <f>BJ1484-BA1484</f>
        <v>0</v>
      </c>
      <c r="BL1484" cm="1">
        <f t="array" ref="BL1484">IFERROR(IF(BK1484&lt;0,0,BK1484/($AU$1442-INDEX(hd_off,MATCH(BT1484,hd_mark,0),0)/12)),0)</f>
        <v>0</v>
      </c>
      <c r="BM1484">
        <f>MAX($F$24,$BE$1442)/$Q$1460</f>
        <v>0</v>
      </c>
      <c r="BN1484">
        <f t="shared" si="924"/>
        <v>0</v>
      </c>
      <c r="BO1484" cm="1">
        <f t="array" ref="BO1484">IFERROR(INDEX(sheath_ecap_asd,MATCH(BS1484,sheath_mark,0),0)*BN1484,0)</f>
        <v>0</v>
      </c>
      <c r="BP1484" cm="1">
        <f t="array" ref="BP1484">IFERROR(INDEX(sheath_wcap_asd,MATCH(BS1484,sheath_mark,0),0)*BN1484,0)</f>
        <v>0</v>
      </c>
      <c r="BQ1484" cm="1">
        <f t="array" ref="BQ1484">IFERROR(INDEX(hd_cap,MATCH(BT1484,hd_mark,0),0),0)</f>
        <v>0</v>
      </c>
      <c r="BS1484" s="19"/>
      <c r="BT1484" s="19"/>
      <c r="BU1484" s="100"/>
    </row>
    <row r="1485" x14ac:dyDescent="0.25">
      <c r="P1485" s="93"/>
      <c r="Q1485" s="109"/>
      <c r="R1485" t="str">
        <f>$Q$1433</f>
        <v>Roof</v>
      </c>
      <c r="S1485">
        <f>$E$25</f>
        <v>33.171875</v>
      </c>
      <c r="T1485" cm="1">
        <f t="array" ref="T1485">IFERROR(IF(S1485=0,0,(INDEX($C$33:$C$38,MATCH($W$1442,$B$33:$B$38,0),0)*(S1485+$X$1442)+$V$1442*$C$31)*$R$1442),0)</f>
        <v>0</v>
      </c>
      <c r="U1485">
        <f>IF(S1485=0,0,-$V$1442*$C$31*$H$27*$R$1442)</f>
        <v>0</v>
      </c>
      <c r="V1485">
        <f>IF(S1485=0,0,$V$1442*$H$26*$R$1442)</f>
        <v>0</v>
      </c>
      <c r="W1485">
        <f>(0.6*T1485+0.7*U1485)*$R$1442/2</f>
        <v>0</v>
      </c>
      <c r="X1485">
        <f>T1485*$R$1442/2</f>
        <v>0</v>
      </c>
      <c r="Z1485">
        <f>IF(S1485=0,0,$AD$1442*$AP$1433)</f>
        <v>0</v>
      </c>
      <c r="AA1485">
        <f>IFERROR(Z1485/$R$1442,0)</f>
        <v>0</v>
      </c>
      <c r="AB1485">
        <f>Z1485*($F$25+($C$16+$C$17+IF($C$13="single",1.5,3)+3)/12)</f>
        <v>0</v>
      </c>
      <c r="AC1485">
        <f>AB1485-W1485</f>
        <v>0</v>
      </c>
      <c r="AD1485" cm="1">
        <f t="array" ref="AD1485">IFERROR(IF(AC1485&lt;0,0,AC1485/($R$1442-INDEX(hd_off,MATCH(AQ1485,hd_mark,0),0)/12)),0)</f>
        <v>0</v>
      </c>
      <c r="AE1485">
        <f>IF(S1485=0,0,$AD$1442*$AM$1433)</f>
        <v>0</v>
      </c>
      <c r="AF1485">
        <f>IFERROR(AE1485/$R$1442,0)</f>
        <v>0</v>
      </c>
      <c r="AG1485">
        <f>AE1485*($F$25+($C$16+$C$17+IF($C$13="single",1.5,3)+3)/12)</f>
        <v>0</v>
      </c>
      <c r="AH1485">
        <f>AG1485-X1485</f>
        <v>0</v>
      </c>
      <c r="AI1485" cm="1">
        <f t="array" ref="AI1485">IFERROR(IF(AH1485&lt;0,0,AH1485/($R$1442-INDEX(hd_off,MATCH(AQ1485,hd_mark,0),0)/12)),0)</f>
        <v>0</v>
      </c>
      <c r="AJ1485">
        <f>MAX($F$25,$AC$1442)/$Q$1460</f>
        <v>0.29920977011494249</v>
      </c>
      <c r="AK1485">
        <f t="shared" si="923"/>
        <v>1</v>
      </c>
      <c r="AL1485" cm="1">
        <f t="array" ref="AL1485">IFERROR(INDEX(sheath_ecap_asd,MATCH(AP1485,sheath_mark,0),0)*AK1485,0)</f>
        <v>0</v>
      </c>
      <c r="AM1485" cm="1">
        <f t="array" ref="AM1485">IFERROR(INDEX(sheath_wcap_asd,MATCH(AP1485,sheath_mark,0),0)*AK1485,0)</f>
        <v>0</v>
      </c>
      <c r="AN1485" cm="1">
        <f t="array" ref="AN1485">IFERROR(INDEX(hd_cap,MATCH(AQ1485,hd_mark,0),0),0)</f>
        <v>0</v>
      </c>
      <c r="AP1485" s="19"/>
      <c r="AQ1485" s="19"/>
      <c r="AR1485" s="100"/>
      <c r="AS1485" s="93"/>
      <c r="AT1485" s="109"/>
      <c r="AU1485" t="str">
        <f>$Q$1433</f>
        <v>Roof</v>
      </c>
      <c r="AV1485">
        <f>$E$25</f>
        <v>33.171875</v>
      </c>
      <c r="AW1485" cm="1">
        <f t="array" ref="AW1485">IFERROR(IF(AV1485=0,0,(INDEX($C$33:$C$38,MATCH($AZ$1442,$B$33:$B$38,0),0)*(AV1485+$BA$1442)+$AY$1442*$C$31)*$AU$1442),0)</f>
        <v>0</v>
      </c>
      <c r="AX1485">
        <f>IF(AV1485=0,0,-$AY$1442*$C$31*$H$27*$AU$1442)</f>
        <v>0</v>
      </c>
      <c r="AY1485">
        <f>IF(AV1485=0,0,$AY$1442*$H$26*$AU$1442)</f>
        <v>0</v>
      </c>
      <c r="AZ1485">
        <f>(0.6*AW1485+0.7*AX1485)*$AU$1442/2</f>
        <v>0</v>
      </c>
      <c r="BA1485">
        <f>AW1485*$AU$1442/2</f>
        <v>0</v>
      </c>
      <c r="BC1485">
        <f>IF(AV1485=0,0,$BG$1442*$AP$1433)</f>
        <v>0</v>
      </c>
      <c r="BD1485">
        <f>IFERROR(BC1485/$AU$1442,0)</f>
        <v>0</v>
      </c>
      <c r="BE1485">
        <f>BC1485*($F$25+($C$16+$C$17+IF($C$13="single",1.5,3)+3)/12)</f>
        <v>0</v>
      </c>
      <c r="BF1485">
        <f>BE1485-AZ1485</f>
        <v>0</v>
      </c>
      <c r="BG1485" cm="1">
        <f t="array" ref="BG1485">IFERROR(IF(BF1485&lt;0,0,BF1485/($AU$1442-INDEX(hd_off,MATCH(BT1485,hd_mark,0),0)/12)),0)</f>
        <v>0</v>
      </c>
      <c r="BH1485">
        <f>IF(AV1485=0,0,$BG$1442*$AM$1433)</f>
        <v>0</v>
      </c>
      <c r="BI1485">
        <f>IFERROR(BH1485/$AU$1442,0)</f>
        <v>0</v>
      </c>
      <c r="BJ1485">
        <f>BH1485*($F$25+($C$16+$C$17+IF($C$13="single",1.5,3)+3)/12)</f>
        <v>0</v>
      </c>
      <c r="BK1485">
        <f>BJ1485-BA1485</f>
        <v>0</v>
      </c>
      <c r="BL1485" cm="1">
        <f t="array" ref="BL1485">IFERROR(IF(BK1485&lt;0,0,BK1485/($AU$1442-INDEX(hd_off,MATCH(BT1485,hd_mark,0),0)/12)),0)</f>
        <v>0</v>
      </c>
      <c r="BM1485">
        <f>MAX($F$25,$BF$1442)/$Q$1460</f>
        <v>0.29920977011494249</v>
      </c>
      <c r="BN1485">
        <f t="shared" si="924"/>
        <v>1</v>
      </c>
      <c r="BO1485" cm="1">
        <f t="array" ref="BO1485">IFERROR(INDEX(sheath_ecap_asd,MATCH(BS1485,sheath_mark,0),0)*BN1485,0)</f>
        <v>0</v>
      </c>
      <c r="BP1485" cm="1">
        <f t="array" ref="BP1485">IFERROR(INDEX(sheath_wcap_asd,MATCH(BS1485,sheath_mark,0),0)*BN1485,0)</f>
        <v>0</v>
      </c>
      <c r="BQ1485" cm="1">
        <f t="array" ref="BQ1485">IFERROR(INDEX(hd_cap,MATCH(BT1485,hd_mark,0),0),0)</f>
        <v>0</v>
      </c>
      <c r="BS1485" s="19"/>
      <c r="BT1485" s="19"/>
      <c r="BU1485" s="100"/>
    </row>
    <row r="1486" x14ac:dyDescent="0.25">
      <c r="P1486" s="93"/>
      <c r="AR1486" s="100"/>
      <c r="AS1486" s="93"/>
      <c r="BU1486" s="100"/>
    </row>
    <row r="1487" x14ac:dyDescent="0.25">
      <c r="P1487" s="93"/>
      <c r="Q1487" s="110" t="str">
        <f>$Q$1443</f>
        <v>A.06</v>
      </c>
      <c r="R1487" t="str">
        <f>$Q$1429</f>
        <v>L2</v>
      </c>
      <c r="S1487">
        <f>$E$21</f>
        <v>10.6875</v>
      </c>
      <c r="T1487" cm="1">
        <f t="array" ref="T1487">IFERROR(IF(S1487=0,0,(INDEX($C$33:$C$38,MATCH($W$1443,$B$33:$B$38,0),0)*(S1491+$X$1443)+$T$1443*COUNTIF(S1487:S1490,"&gt;0")*$C$32+$V$1443*$C$31)*$R$1443),0)</f>
        <v>0</v>
      </c>
      <c r="U1487">
        <f>IF(S1487=0,0,-(COUNTIF(S1487:S1490,"&gt;0")*$T$1443*$C$32+$V$1443*$C$31)*$H$27*$R$1443)</f>
        <v>0</v>
      </c>
      <c r="V1487">
        <f>IF(S1487=0,0,$V$1443*$H$26*$R$1443)</f>
        <v>0</v>
      </c>
      <c r="W1487">
        <f>(0.6*T1487+0.7*U1487)*$R$1443/2</f>
        <v>0</v>
      </c>
      <c r="X1487">
        <f>(0.6*T1487+0.6*V1487)*$R$1443/2</f>
        <v>0</v>
      </c>
      <c r="Z1487">
        <f>IF(S1487=0,0,$AD$1443*$AP$1429)</f>
        <v>0</v>
      </c>
      <c r="AA1487">
        <f>IFERROR(Z1487/$R$1443,0)</f>
        <v>0</v>
      </c>
      <c r="AB1487">
        <f>Z1487*($F$21+IF($F$21=0,0,($C$14+$C$15+IF($C$13="single",1.5,3)+3)/12))</f>
        <v>0</v>
      </c>
      <c r="AC1487">
        <f>AB1487-W1487</f>
        <v>0</v>
      </c>
      <c r="AD1487" cm="1">
        <f t="array" ref="AD1487">IFERROR(IF(AC1487&lt;0,0,AC1487/($R$1443-INDEX(hd_off,MATCH(AQ1487,hd_mark,0),0)/12)),0)</f>
        <v>0</v>
      </c>
      <c r="AE1487">
        <f>IF(S1487=0,0,$AD$1443*$AM$1429)</f>
        <v>0</v>
      </c>
      <c r="AF1487">
        <f>IFERROR(AE1487/$R$1443,0)</f>
        <v>0</v>
      </c>
      <c r="AG1487">
        <f>AE1487*($F$21+IF($F$21=0,0,($C$14+$C$15+IF($C$13="single",1.5,3)+3)/12))</f>
        <v>0</v>
      </c>
      <c r="AH1487">
        <f>AG1487-X1487</f>
        <v>0</v>
      </c>
      <c r="AI1487" cm="1">
        <f t="array" ref="AI1487">IFERROR(IF(AH1487&lt;0,0,AH1487/($R$1443-INDEX(hd_off,MATCH(AQ1487,hd_mark,0),0)/12)),0)</f>
        <v>0</v>
      </c>
      <c r="AJ1487">
        <f>MAX($F$21,$Y$1443)/$Q$1460</f>
        <v>0.30172413793103448</v>
      </c>
      <c r="AK1487">
        <f>IF(AJ1487=0,0,IF(AJ1487&gt;2,1.25-0.125*AJ1487,1))</f>
        <v>1</v>
      </c>
      <c r="AL1487" cm="1">
        <f t="array" ref="AL1487">IFERROR(INDEX(sheath_ecap_asd,MATCH(AP1487,sheath_mark,0),0)*AK1487,0)</f>
        <v>0</v>
      </c>
      <c r="AM1487" cm="1">
        <f t="array" ref="AM1487">IFERROR(INDEX(sheath_wcap_asd,MATCH(AP1487,sheath_mark,0),0)*AK1487,0)</f>
        <v>0</v>
      </c>
      <c r="AN1487" cm="1">
        <f t="array" ref="AN1487">IFERROR(INDEX(hd_cap,MATCH(AQ1487,hd_mark,0),0),0)</f>
        <v>0</v>
      </c>
      <c r="AP1487" s="19"/>
      <c r="AQ1487" s="19"/>
      <c r="AR1487" s="100"/>
      <c r="AS1487" s="93"/>
      <c r="AT1487" s="110" t="str">
        <f>$AT$1443</f>
        <v>1.06</v>
      </c>
      <c r="AU1487" t="str">
        <f>$Q$1429</f>
        <v>L2</v>
      </c>
      <c r="AV1487">
        <f>$E$21</f>
        <v>10.6875</v>
      </c>
      <c r="AW1487" cm="1">
        <f t="array" ref="AW1487">IFERROR(IF(AV1487=0,0,(INDEX($C$33:$C$38,MATCH($AZ$1443,$B$33:$B$38,0),0)*(AV1491+$BA$1443)+$AW$1443*COUNTIF(AV1487:AV1490,"&gt;0")*$C$32+$AY$1443*$C$31)*$AU$1443),0)</f>
        <v>0</v>
      </c>
      <c r="AX1487">
        <f>IF(AV1487=0,0,-(COUNTIF(AV1487:AV1490,"&gt;0")*$AW$1443*$C$32+$AY$1443*$C$31)*$H$27*$AU$1443)</f>
        <v>0</v>
      </c>
      <c r="AY1487">
        <f>IF(AV1487=0,0,$AY$1443*$H$26*$AU$1443)</f>
        <v>0</v>
      </c>
      <c r="AZ1487">
        <f>(0.6*AW1487+0.7*AX1487)*$AU$1443/2</f>
        <v>0</v>
      </c>
      <c r="BA1487">
        <f>(0.6*AW1487+0.6*AY1487)*$AU$1443/2</f>
        <v>0</v>
      </c>
      <c r="BC1487">
        <f>IF(AV1487=0,0,$BG$1443*$AP$1429)</f>
        <v>0</v>
      </c>
      <c r="BD1487">
        <f>IFERROR(BC1487/$AU$1443,0)</f>
        <v>0</v>
      </c>
      <c r="BE1487">
        <f>BC1487*($F$21+IF($F$21=0,0,($C$14+$C$15+IF($C$13="single",1.5,3)+3)/12))</f>
        <v>0</v>
      </c>
      <c r="BF1487">
        <f>BE1487-AZ1487</f>
        <v>0</v>
      </c>
      <c r="BG1487" cm="1">
        <f t="array" ref="BG1487">IFERROR(IF(BF1487&lt;0,0,BF1487/($AU$1443-INDEX(hd_off,MATCH(BT1487,hd_mark,0),0)/12)),0)</f>
        <v>0</v>
      </c>
      <c r="BH1487">
        <f>IF(AV1487=0,0,$BG$1443*$AM$1429)</f>
        <v>0</v>
      </c>
      <c r="BI1487">
        <f>IFERROR(BH1487/$AU$1443,0)</f>
        <v>0</v>
      </c>
      <c r="BJ1487">
        <f>BH1487*($F$21+IF($F$21=0,0,($C$14+$C$15+IF($C$13="single",1.5,3)+3)/12))</f>
        <v>0</v>
      </c>
      <c r="BK1487">
        <f>BJ1487-BA1487</f>
        <v>0</v>
      </c>
      <c r="BL1487" cm="1">
        <f t="array" ref="BL1487">IFERROR(IF(BK1487&lt;0,0,BK1487/($AU$1443-INDEX(hd_off,MATCH(BT1487,hd_mark,0),0)/12)),0)</f>
        <v>0</v>
      </c>
      <c r="BM1487">
        <f>MAX($F$21,$BB$1443)/$Q$1460</f>
        <v>0.30172413793103448</v>
      </c>
      <c r="BN1487">
        <f>IF(BM1487=0,0,IF(BM1487&gt;2,1.25-0.125*BM1487,1))</f>
        <v>1</v>
      </c>
      <c r="BO1487" cm="1">
        <f t="array" ref="BO1487">IFERROR(INDEX(sheath_ecap_asd,MATCH(BS1487,sheath_mark,0),0)*BN1487,0)</f>
        <v>0</v>
      </c>
      <c r="BP1487" cm="1">
        <f t="array" ref="BP1487">IFERROR(INDEX(sheath_wcap_asd,MATCH(BS1487,sheath_mark,0),0)*BN1487,0)</f>
        <v>0</v>
      </c>
      <c r="BQ1487" cm="1">
        <f t="array" ref="BQ1487">IFERROR(INDEX(hd_cap,MATCH(BT1487,hd_mark,0),0),0)</f>
        <v>0</v>
      </c>
      <c r="BS1487" s="19"/>
      <c r="BT1487" s="19"/>
      <c r="BU1487" s="100"/>
    </row>
    <row r="1488" x14ac:dyDescent="0.25">
      <c r="P1488" s="93"/>
      <c r="Q1488" s="109"/>
      <c r="R1488" t="str">
        <f>$Q$1430</f>
        <v>L3</v>
      </c>
      <c r="S1488">
        <f>$E$22</f>
        <v>21.375</v>
      </c>
      <c r="T1488" cm="1">
        <f t="array" ref="T1488">IFERROR(IF(S1488=0,0,(INDEX($C$33:$C$38,MATCH($W$1443,$B$33:$B$38,0),0)*(S1491+$X$1443)+$T$1443*COUNTIF(S1488:S1490,"&gt;0")*$C$32+$V$1443*$C$31)*$R$1443),0)</f>
        <v>0</v>
      </c>
      <c r="U1488">
        <f>IF(S1488=0,0,-(COUNTIF(S1488:S1490,"&gt;0")*$T$1443*$C$32+$V$1443*$C$31)*$H$27*$R$1443)</f>
        <v>0</v>
      </c>
      <c r="V1488">
        <f>IF(S1488=0,0,$V$1443*$H$26*$R$1443)</f>
        <v>0</v>
      </c>
      <c r="W1488">
        <f>(0.6*T1488+0.7*U1488)*$R$1443/2</f>
        <v>0</v>
      </c>
      <c r="X1488">
        <f>T1488*$R$1443/2</f>
        <v>0</v>
      </c>
      <c r="Z1488">
        <f>IF(S1488=0,0,$AD$1443*$AP$1430)</f>
        <v>0</v>
      </c>
      <c r="AA1488">
        <f>IFERROR(Z1488/$R$1443,0)</f>
        <v>0</v>
      </c>
      <c r="AB1488">
        <f>Z1488*($F$22+IF($F$22=0,0,($C$14+$C$15+IF($C$13="single",1.5,3)+3)/12))</f>
        <v>0</v>
      </c>
      <c r="AC1488">
        <f>AB1488-W1488</f>
        <v>0</v>
      </c>
      <c r="AD1488" cm="1">
        <f t="array" ref="AD1488">IFERROR(IF(AC1488&lt;0,0,AC1488/($R$1443-INDEX(hd_off,MATCH(AQ1488,hd_mark,0),0)/12)),0)</f>
        <v>0</v>
      </c>
      <c r="AE1488">
        <f>IF(S1488=0,0,$AD$1443*$AM$1430)</f>
        <v>0</v>
      </c>
      <c r="AF1488">
        <f>IFERROR(AE1488/$R$1443,0)</f>
        <v>0</v>
      </c>
      <c r="AG1488">
        <f>AE1488*($F$22+IF($F$22=0,0,($C$14+$C$15+IF($C$13="single",1.5,3)+3)/12))</f>
        <v>0</v>
      </c>
      <c r="AH1488">
        <f>AG1488-X1488</f>
        <v>0</v>
      </c>
      <c r="AI1488" cm="1">
        <f t="array" ref="AI1488">IFERROR(IF(AH1488&lt;0,0,AH1488/($R$1443-INDEX(hd_off,MATCH(AQ1488,hd_mark,0),0)/12)),0)</f>
        <v>0</v>
      </c>
      <c r="AJ1488">
        <f>MAX($F$22,$Z$1443)/$Q$1460</f>
        <v>0.30172413793103448</v>
      </c>
      <c r="AK1488">
        <f t="shared" ref="AK1488:AK1491" si="925">IF(AJ1488=0,0,IF(AJ1488&gt;2,1.25-0.125*AJ1488,1))</f>
        <v>1</v>
      </c>
      <c r="AL1488" cm="1">
        <f t="array" ref="AL1488">IFERROR(INDEX(sheath_ecap_asd,MATCH(AP1488,sheath_mark,0),0)*AK1488,0)</f>
        <v>0</v>
      </c>
      <c r="AM1488" cm="1">
        <f t="array" ref="AM1488">IFERROR(INDEX(sheath_wcap_asd,MATCH(AP1488,sheath_mark,0),0)*AK1488,0)</f>
        <v>0</v>
      </c>
      <c r="AN1488" cm="1">
        <f t="array" ref="AN1488">IFERROR(INDEX(hd_cap,MATCH(AQ1488,hd_mark,0),0),0)</f>
        <v>0</v>
      </c>
      <c r="AP1488" s="19"/>
      <c r="AQ1488" s="19"/>
      <c r="AR1488" s="100"/>
      <c r="AS1488" s="93"/>
      <c r="AT1488" s="109"/>
      <c r="AU1488" t="str">
        <f>$Q$1430</f>
        <v>L3</v>
      </c>
      <c r="AV1488">
        <f>$E$22</f>
        <v>21.375</v>
      </c>
      <c r="AW1488" cm="1">
        <f t="array" ref="AW1488">IFERROR(IF(AV1488=0,0,(INDEX($C$33:$C$38,MATCH($AZ$1443,$B$33:$B$38,0),0)*(AV1491+$BA$1443)+$AW$1443*COUNTIF(AV1488:AV1490,"&gt;0")*$C$32+$AY$1443*$C$31)*$AU$1443),0)</f>
        <v>0</v>
      </c>
      <c r="AX1488">
        <f>IF(AV1488=0,0,-(COUNTIF(AV1488:AV1490,"&gt;0")*$AW$1443*$C$32+$AY$1443*$C$31)*$H$27*$AU$1443)</f>
        <v>0</v>
      </c>
      <c r="AY1488">
        <f>IF(AV1488=0,0,$AY$1443*$H$26*$AU$1443)</f>
        <v>0</v>
      </c>
      <c r="AZ1488">
        <f>(0.6*AW1488+0.7*AX1488)*$AU$1443/2</f>
        <v>0</v>
      </c>
      <c r="BA1488">
        <f>AW1488*$AU$1443/2</f>
        <v>0</v>
      </c>
      <c r="BC1488">
        <f>IF(AV1488=0,0,$BG$1443*$AP$1430)</f>
        <v>0</v>
      </c>
      <c r="BD1488">
        <f>IFERROR(BC1488/$AU$1443,0)</f>
        <v>0</v>
      </c>
      <c r="BE1488">
        <f>BC1488*($F$22+IF($F$22=0,0,($C$14+$C$15+IF($C$13="single",1.5,3)+3)/12))</f>
        <v>0</v>
      </c>
      <c r="BF1488">
        <f>BE1488-AZ1488</f>
        <v>0</v>
      </c>
      <c r="BG1488" cm="1">
        <f t="array" ref="BG1488">IFERROR(IF(BF1488&lt;0,0,BF1488/($AU$1443-INDEX(hd_off,MATCH(BT1488,hd_mark,0),0)/12)),0)</f>
        <v>0</v>
      </c>
      <c r="BH1488">
        <f>IF(AV1488=0,0,$BG$1443*$AM$1430)</f>
        <v>0</v>
      </c>
      <c r="BI1488">
        <f>IFERROR(BH1488/$AU$1443,0)</f>
        <v>0</v>
      </c>
      <c r="BJ1488">
        <f>BH1488*($F$22+IF($F$22=0,0,($C$14+$C$15+IF($C$13="single",1.5,3)+3)/12))</f>
        <v>0</v>
      </c>
      <c r="BK1488">
        <f>BJ1488-BA1488</f>
        <v>0</v>
      </c>
      <c r="BL1488" cm="1">
        <f t="array" ref="BL1488">IFERROR(IF(BK1488&lt;0,0,BK1488/($AU$1443-INDEX(hd_off,MATCH(BT1488,hd_mark,0),0)/12)),0)</f>
        <v>0</v>
      </c>
      <c r="BM1488">
        <f>MAX($F$22,$BC$1443)/$Q$1460</f>
        <v>0.30172413793103448</v>
      </c>
      <c r="BN1488">
        <f t="shared" ref="BN1488:BN1491" si="926">IF(BM1488=0,0,IF(BM1488&gt;2,1.25-0.125*BM1488,1))</f>
        <v>1</v>
      </c>
      <c r="BO1488" cm="1">
        <f t="array" ref="BO1488">IFERROR(INDEX(sheath_ecap_asd,MATCH(BS1488,sheath_mark,0),0)*BN1488,0)</f>
        <v>0</v>
      </c>
      <c r="BP1488" cm="1">
        <f t="array" ref="BP1488">IFERROR(INDEX(sheath_wcap_asd,MATCH(BS1488,sheath_mark,0),0)*BN1488,0)</f>
        <v>0</v>
      </c>
      <c r="BQ1488" cm="1">
        <f t="array" ref="BQ1488">IFERROR(INDEX(hd_cap,MATCH(BT1488,hd_mark,0),0),0)</f>
        <v>0</v>
      </c>
      <c r="BS1488" s="19"/>
      <c r="BT1488" s="19"/>
      <c r="BU1488" s="100"/>
    </row>
    <row r="1489" x14ac:dyDescent="0.25">
      <c r="P1489" s="93"/>
      <c r="Q1489" s="109" t="s">
        <v>491</v>
      </c>
      <c r="R1489" t="str">
        <f>$Q$1431</f>
        <v>L4</v>
      </c>
      <c r="S1489">
        <f>$E$23</f>
        <v>0</v>
      </c>
      <c r="T1489" cm="1">
        <f t="array" ref="T1489">IFERROR(IF(S1489=0,0,(INDEX($C$33:$C$38,MATCH($W$1443,$B$33:$B$38,0),0)*(S1491+$X$1443)+$T$1443*COUNTIF(S1489:S1490,"&gt;0")*$C$32+$V$1443*$C$31)*$R$1443),0)</f>
        <v>0</v>
      </c>
      <c r="U1489">
        <f>IF(S1489=0,0,-(COUNTIF(S1489:S1490,"&gt;0")*$T$1443*$C$32+$V$1443*$C$31)*$H$27*$R$1443)</f>
        <v>0</v>
      </c>
      <c r="V1489">
        <f>IF(S1489=0,0,$V$1443*$H$26*$R$1443)</f>
        <v>0</v>
      </c>
      <c r="W1489">
        <f>(0.6*T1489+0.7*U1489)*$R$1443/2</f>
        <v>0</v>
      </c>
      <c r="X1489">
        <f>T1489*$R$1443/2</f>
        <v>0</v>
      </c>
      <c r="Z1489">
        <f>IF(S1489=0,0,$AD$1443*$AP$1431)</f>
        <v>0</v>
      </c>
      <c r="AA1489">
        <f>IFERROR(Z1489/$R$1443,0)</f>
        <v>0</v>
      </c>
      <c r="AB1489">
        <f>Z1489*($F$23+IF($F$23=0,0,($C$14+$C$15+IF($C$13="single",1.5,3)+3)/12))</f>
        <v>0</v>
      </c>
      <c r="AC1489">
        <f>AB1489-W1489</f>
        <v>0</v>
      </c>
      <c r="AD1489" cm="1">
        <f t="array" ref="AD1489">IFERROR(IF(AC1489&lt;0,0,AC1489/($R$1443-INDEX(hd_off,MATCH(AQ1489,hd_mark,0),0)/12)),0)</f>
        <v>0</v>
      </c>
      <c r="AE1489">
        <f>IF(S1489=0,0,$AD$1443*$AM$1431)</f>
        <v>0</v>
      </c>
      <c r="AF1489">
        <f>IFERROR(AE1489/$R$1443,0)</f>
        <v>0</v>
      </c>
      <c r="AG1489">
        <f>AE1489*($F$23+IF($F$23=0,0,($C$14+$C$15+IF($C$13="single",1.5,3)+3)/12))</f>
        <v>0</v>
      </c>
      <c r="AH1489">
        <f>AG1489-X1489</f>
        <v>0</v>
      </c>
      <c r="AI1489" cm="1">
        <f t="array" ref="AI1489">IFERROR(IF(AH1489&lt;0,0,AH1489/($R$1443-INDEX(hd_off,MATCH(AQ1489,hd_mark,0),0)/12)),0)</f>
        <v>0</v>
      </c>
      <c r="AJ1489">
        <f>MAX($F$23,$AA$1443)/$Q$1460</f>
        <v>0</v>
      </c>
      <c r="AK1489">
        <f t="shared" si="925"/>
        <v>0</v>
      </c>
      <c r="AL1489" cm="1">
        <f t="array" ref="AL1489">IFERROR(INDEX(sheath_ecap_asd,MATCH(AP1489,sheath_mark,0),0)*AK1489,0)</f>
        <v>0</v>
      </c>
      <c r="AM1489" cm="1">
        <f t="array" ref="AM1489">IFERROR(INDEX(sheath_wcap_asd,MATCH(AP1489,sheath_mark,0),0)*AK1489,0)</f>
        <v>0</v>
      </c>
      <c r="AN1489" cm="1">
        <f t="array" ref="AN1489">IFERROR(INDEX(hd_cap,MATCH(AQ1489,hd_mark,0),0),0)</f>
        <v>0</v>
      </c>
      <c r="AP1489" s="19"/>
      <c r="AQ1489" s="19"/>
      <c r="AR1489" s="100"/>
      <c r="AS1489" s="93"/>
      <c r="AT1489" s="109" t="s">
        <v>491</v>
      </c>
      <c r="AU1489" t="str">
        <f>$Q$1431</f>
        <v>L4</v>
      </c>
      <c r="AV1489">
        <f>$E$23</f>
        <v>0</v>
      </c>
      <c r="AW1489" cm="1">
        <f t="array" ref="AW1489">IFERROR(IF(AV1489=0,0,(INDEX($C$33:$C$38,MATCH($AZ$1443,$B$33:$B$38,0),0)*(AV1491+$BA$1443)+$AW$1443*COUNTIF(AV1489:AV1490,"&gt;0")*$C$32+$AY$1443*$C$31)*$AU$1443),0)</f>
        <v>0</v>
      </c>
      <c r="AX1489">
        <f>IF(AV1489=0,0,-(COUNTIF(AV1489:AV1490,"&gt;0")*$AW$1443*$C$32+$AY$1443*$C$31)*$H$27*$AU$1443)</f>
        <v>0</v>
      </c>
      <c r="AY1489">
        <f>IF(AV1489=0,0,$AY$1443*$H$26*$AU$1443)</f>
        <v>0</v>
      </c>
      <c r="AZ1489">
        <f>(0.6*AW1489+0.7*AX1489)*$AU$1443/2</f>
        <v>0</v>
      </c>
      <c r="BA1489">
        <f>AW1489*$AU$1443/2</f>
        <v>0</v>
      </c>
      <c r="BC1489">
        <f>IF(AV1489=0,0,$BG$1443*$AP$1431)</f>
        <v>0</v>
      </c>
      <c r="BD1489">
        <f>IFERROR(BC1489/$AU$1443,0)</f>
        <v>0</v>
      </c>
      <c r="BE1489">
        <f>BC1489*($F$23+IF($F$23=0,0,($C$14+$C$15+IF($C$13="single",1.5,3)+3)/12))</f>
        <v>0</v>
      </c>
      <c r="BF1489">
        <f>BE1489-AZ1489</f>
        <v>0</v>
      </c>
      <c r="BG1489" cm="1">
        <f t="array" ref="BG1489">IFERROR(IF(BF1489&lt;0,0,BF1489/($AU$1443-INDEX(hd_off,MATCH(BT1489,hd_mark,0),0)/12)),0)</f>
        <v>0</v>
      </c>
      <c r="BH1489">
        <f>IF(AV1489=0,0,$BG$1443*$AM$1431)</f>
        <v>0</v>
      </c>
      <c r="BI1489">
        <f>IFERROR(BH1489/$AU$1443,0)</f>
        <v>0</v>
      </c>
      <c r="BJ1489">
        <f>BH1489*($F$23+IF($F$23=0,0,($C$14+$C$15+IF($C$13="single",1.5,3)+3)/12))</f>
        <v>0</v>
      </c>
      <c r="BK1489">
        <f>BJ1489-BA1489</f>
        <v>0</v>
      </c>
      <c r="BL1489" cm="1">
        <f t="array" ref="BL1489">IFERROR(IF(BK1489&lt;0,0,BK1489/($AU$1443-INDEX(hd_off,MATCH(BT1489,hd_mark,0),0)/12)),0)</f>
        <v>0</v>
      </c>
      <c r="BM1489">
        <f>MAX($F$23,$BD$1443)/$Q$1460</f>
        <v>0</v>
      </c>
      <c r="BN1489">
        <f t="shared" si="926"/>
        <v>0</v>
      </c>
      <c r="BO1489" cm="1">
        <f t="array" ref="BO1489">IFERROR(INDEX(sheath_ecap_asd,MATCH(BS1489,sheath_mark,0),0)*BN1489,0)</f>
        <v>0</v>
      </c>
      <c r="BP1489" cm="1">
        <f t="array" ref="BP1489">IFERROR(INDEX(sheath_wcap_asd,MATCH(BS1489,sheath_mark,0),0)*BN1489,0)</f>
        <v>0</v>
      </c>
      <c r="BQ1489" cm="1">
        <f t="array" ref="BQ1489">IFERROR(INDEX(hd_cap,MATCH(BT1489,hd_mark,0),0),0)</f>
        <v>0</v>
      </c>
      <c r="BS1489" s="19"/>
      <c r="BT1489" s="19"/>
      <c r="BU1489" s="100"/>
    </row>
    <row r="1490" x14ac:dyDescent="0.25">
      <c r="P1490" s="93"/>
      <c r="Q1490" s="111">
        <f>$R$1443</f>
        <v>0</v>
      </c>
      <c r="R1490" t="str">
        <f>$Q$1432</f>
        <v>L5</v>
      </c>
      <c r="S1490">
        <f>$E$24</f>
        <v>0</v>
      </c>
      <c r="T1490" cm="1">
        <f t="array" ref="T1490">IFERROR(IF(S1490=0,0,(INDEX($C$33:$C$38,MATCH($W$1443,$B$33:$B$38,0),0)*(S1491+$X$1443)+$T$1443*COUNTIF(S1490:S1490,"&gt;0")*$C$32+$V$1443*$C$31)*$R$1443),0)</f>
        <v>0</v>
      </c>
      <c r="U1490">
        <f>IF(S1490=0,0,-(COUNTIF(S1490:S1490,"&gt;0")*$T$1443*$C$32+$V$1443*$C$31)*$H$27*$R$1443)</f>
        <v>0</v>
      </c>
      <c r="V1490">
        <f>IF(S1490=0,0,$V$1443*$H$26*$R$1443)</f>
        <v>0</v>
      </c>
      <c r="W1490">
        <f>(0.6*T1490+0.7*U1490)*$R$1443/2</f>
        <v>0</v>
      </c>
      <c r="X1490">
        <f>T1490*$R$1443/2</f>
        <v>0</v>
      </c>
      <c r="Z1490">
        <f>IF(S1490=0,0,$AD$1443*$AP$1432)</f>
        <v>0</v>
      </c>
      <c r="AA1490">
        <f>IFERROR(Z1490/$R$1443,0)</f>
        <v>0</v>
      </c>
      <c r="AB1490">
        <f>Z1490*($F$24+IF($F$24=0,0,($C$14+$C$15+IF($C$13="single",1.5,3)+3)/12))</f>
        <v>0</v>
      </c>
      <c r="AC1490">
        <f>AB1490-W1490</f>
        <v>0</v>
      </c>
      <c r="AD1490" cm="1">
        <f t="array" ref="AD1490">IFERROR(IF(AC1490&lt;0,0,AC1490/($R$1443-INDEX(hd_off,MATCH(AQ1490,hd_mark,0),0)/12)),0)</f>
        <v>0</v>
      </c>
      <c r="AE1490">
        <f>IF(S1490=0,0,$AD$1443*$AM$1432)</f>
        <v>0</v>
      </c>
      <c r="AF1490">
        <f>IFERROR(AE1490/$R$1443,0)</f>
        <v>0</v>
      </c>
      <c r="AG1490">
        <f>AE1490*($F$24+IF($F$24=0,0,($C$14+$C$15+IF($C$13="single",1.5,3)+3)/12))</f>
        <v>0</v>
      </c>
      <c r="AH1490">
        <f>AG1490-X1490</f>
        <v>0</v>
      </c>
      <c r="AI1490" cm="1">
        <f t="array" ref="AI1490">IFERROR(IF(AH1490&lt;0,0,AH1490/($R$1443-INDEX(hd_off,MATCH(AQ1490,hd_mark,0),0)/12)),0)</f>
        <v>0</v>
      </c>
      <c r="AJ1490">
        <f>MAX($F$24,$AB$1443)/$Q$1460</f>
        <v>0</v>
      </c>
      <c r="AK1490">
        <f t="shared" si="925"/>
        <v>0</v>
      </c>
      <c r="AL1490" cm="1">
        <f t="array" ref="AL1490">IFERROR(INDEX(sheath_ecap_asd,MATCH(AP1490,sheath_mark,0),0)*AK1490,0)</f>
        <v>0</v>
      </c>
      <c r="AM1490" cm="1">
        <f t="array" ref="AM1490">IFERROR(INDEX(sheath_wcap_asd,MATCH(AP1490,sheath_mark,0),0)*AK1490,0)</f>
        <v>0</v>
      </c>
      <c r="AN1490" cm="1">
        <f t="array" ref="AN1490">IFERROR(INDEX(hd_cap,MATCH(AQ1490,hd_mark,0),0),0)</f>
        <v>0</v>
      </c>
      <c r="AP1490" s="19"/>
      <c r="AQ1490" s="19"/>
      <c r="AR1490" s="100"/>
      <c r="AS1490" s="93"/>
      <c r="AT1490" s="111">
        <f>$R$1443</f>
        <v>0</v>
      </c>
      <c r="AU1490" t="str">
        <f>$Q$1432</f>
        <v>L5</v>
      </c>
      <c r="AV1490">
        <f>$E$24</f>
        <v>0</v>
      </c>
      <c r="AW1490" cm="1">
        <f t="array" ref="AW1490">IFERROR(IF(AV1490=0,0,(INDEX($C$33:$C$38,MATCH($AZ$1443,$B$33:$B$38,0),0)*(AV1491+$BA$1443)+$AW$1443*COUNTIF(AV1490:AV1490,"&gt;0")*$C$32+$AY$1443*$C$31)*$AU$1443),0)</f>
        <v>0</v>
      </c>
      <c r="AX1490">
        <f>IF(AV1490=0,0,-(COUNTIF(AV1490:AV1490,"&gt;0")*$AW$1443*$C$32+$AY$1443*$C$31)*$H$27*$AU$1443)</f>
        <v>0</v>
      </c>
      <c r="AY1490">
        <f>IF(AV1490=0,0,$AY$1443*$H$26*$AU$1443)</f>
        <v>0</v>
      </c>
      <c r="AZ1490">
        <f>(0.6*AW1490+0.7*AX1490)*$AU$1443/2</f>
        <v>0</v>
      </c>
      <c r="BA1490">
        <f>AW1490*$AU$1443/2</f>
        <v>0</v>
      </c>
      <c r="BC1490">
        <f>IF(AV1490=0,0,$BG$1443*$AP$1432)</f>
        <v>0</v>
      </c>
      <c r="BD1490">
        <f>IFERROR(BC1490/$AU$1443,0)</f>
        <v>0</v>
      </c>
      <c r="BE1490">
        <f>BC1490*($F$24+IF($F$24=0,0,($C$14+$C$15+IF($C$13="single",1.5,3)+3)/12))</f>
        <v>0</v>
      </c>
      <c r="BF1490">
        <f>BE1490-AZ1490</f>
        <v>0</v>
      </c>
      <c r="BG1490" cm="1">
        <f t="array" ref="BG1490">IFERROR(IF(BF1490&lt;0,0,BF1490/($AU$1443-INDEX(hd_off,MATCH(BT1490,hd_mark,0),0)/12)),0)</f>
        <v>0</v>
      </c>
      <c r="BH1490">
        <f>IF(AV1490=0,0,$BG$1443*$AM$1432)</f>
        <v>0</v>
      </c>
      <c r="BI1490">
        <f>IFERROR(BH1490/$AU$1443,0)</f>
        <v>0</v>
      </c>
      <c r="BJ1490">
        <f>BH1490*($F$24+IF($F$24=0,0,($C$14+$C$15+IF($C$13="single",1.5,3)+3)/12))</f>
        <v>0</v>
      </c>
      <c r="BK1490">
        <f>BJ1490-BA1490</f>
        <v>0</v>
      </c>
      <c r="BL1490" cm="1">
        <f t="array" ref="BL1490">IFERROR(IF(BK1490&lt;0,0,BK1490/($AU$1443-INDEX(hd_off,MATCH(BT1490,hd_mark,0),0)/12)),0)</f>
        <v>0</v>
      </c>
      <c r="BM1490">
        <f>MAX($F$24,$BE$1443)/$Q$1460</f>
        <v>0</v>
      </c>
      <c r="BN1490">
        <f t="shared" si="926"/>
        <v>0</v>
      </c>
      <c r="BO1490" cm="1">
        <f t="array" ref="BO1490">IFERROR(INDEX(sheath_ecap_asd,MATCH(BS1490,sheath_mark,0),0)*BN1490,0)</f>
        <v>0</v>
      </c>
      <c r="BP1490" cm="1">
        <f t="array" ref="BP1490">IFERROR(INDEX(sheath_wcap_asd,MATCH(BS1490,sheath_mark,0),0)*BN1490,0)</f>
        <v>0</v>
      </c>
      <c r="BQ1490" cm="1">
        <f t="array" ref="BQ1490">IFERROR(INDEX(hd_cap,MATCH(BT1490,hd_mark,0),0),0)</f>
        <v>0</v>
      </c>
      <c r="BS1490" s="19"/>
      <c r="BT1490" s="19"/>
      <c r="BU1490" s="100"/>
    </row>
    <row r="1491" x14ac:dyDescent="0.25">
      <c r="P1491" s="93"/>
      <c r="Q1491" s="109"/>
      <c r="R1491" t="str">
        <f>$Q$1433</f>
        <v>Roof</v>
      </c>
      <c r="S1491">
        <f>$E$25</f>
        <v>33.171875</v>
      </c>
      <c r="T1491" cm="1">
        <f t="array" ref="T1491">IFERROR(IF(S1491=0,0,(INDEX($C$33:$C$38,MATCH($W$1443,$B$33:$B$38,0),0)*(S1491+$X$1443)+$V$1443*$C$31)*$R$1443),0)</f>
        <v>0</v>
      </c>
      <c r="U1491">
        <f>IF(S1491=0,0,-$V$1443*$C$31*$H$27*$R$1443)</f>
        <v>0</v>
      </c>
      <c r="V1491">
        <f>IF(S1491=0,0,$V$1443*$H$26*$R$1443)</f>
        <v>0</v>
      </c>
      <c r="W1491">
        <f>(0.6*T1491+0.7*U1491)*$R$1443/2</f>
        <v>0</v>
      </c>
      <c r="X1491">
        <f>T1491*$R$1443/2</f>
        <v>0</v>
      </c>
      <c r="Z1491">
        <f>IF(S1491=0,0,$AD$1443*$AP$1433)</f>
        <v>0</v>
      </c>
      <c r="AA1491">
        <f>IFERROR(Z1491/$R$1443,0)</f>
        <v>0</v>
      </c>
      <c r="AB1491">
        <f>Z1491*($F$25+($C$16+$C$17+IF($C$13="single",1.5,3)+3)/12)</f>
        <v>0</v>
      </c>
      <c r="AC1491">
        <f>AB1491-W1491</f>
        <v>0</v>
      </c>
      <c r="AD1491" cm="1">
        <f t="array" ref="AD1491">IFERROR(IF(AC1491&lt;0,0,AC1491/($R$1443-INDEX(hd_off,MATCH(AQ1491,hd_mark,0),0)/12)),0)</f>
        <v>0</v>
      </c>
      <c r="AE1491">
        <f>IF(S1491=0,0,$AD$1443*$AM$1433)</f>
        <v>0</v>
      </c>
      <c r="AF1491">
        <f>IFERROR(AE1491/$R$1443,0)</f>
        <v>0</v>
      </c>
      <c r="AG1491">
        <f>AE1491*($F$25+($C$16+$C$17+IF($C$13="single",1.5,3)+3)/12)</f>
        <v>0</v>
      </c>
      <c r="AH1491">
        <f>AG1491-X1491</f>
        <v>0</v>
      </c>
      <c r="AI1491" cm="1">
        <f t="array" ref="AI1491">IFERROR(IF(AH1491&lt;0,0,AH1491/($R$1443-INDEX(hd_off,MATCH(AQ1491,hd_mark,0),0)/12)),0)</f>
        <v>0</v>
      </c>
      <c r="AJ1491">
        <f>MAX($F$25,$AC$1443)/$Q$1460</f>
        <v>0.29920977011494249</v>
      </c>
      <c r="AK1491">
        <f t="shared" si="925"/>
        <v>1</v>
      </c>
      <c r="AL1491" cm="1">
        <f t="array" ref="AL1491">IFERROR(INDEX(sheath_ecap_asd,MATCH(AP1491,sheath_mark,0),0)*AK1491,0)</f>
        <v>0</v>
      </c>
      <c r="AM1491" cm="1">
        <f t="array" ref="AM1491">IFERROR(INDEX(sheath_wcap_asd,MATCH(AP1491,sheath_mark,0),0)*AK1491,0)</f>
        <v>0</v>
      </c>
      <c r="AN1491" cm="1">
        <f t="array" ref="AN1491">IFERROR(INDEX(hd_cap,MATCH(AQ1491,hd_mark,0),0),0)</f>
        <v>0</v>
      </c>
      <c r="AP1491" s="19"/>
      <c r="AQ1491" s="19"/>
      <c r="AR1491" s="100"/>
      <c r="AS1491" s="93"/>
      <c r="AT1491" s="109"/>
      <c r="AU1491" t="str">
        <f>$Q$1433</f>
        <v>Roof</v>
      </c>
      <c r="AV1491">
        <f>$E$25</f>
        <v>33.171875</v>
      </c>
      <c r="AW1491" cm="1">
        <f t="array" ref="AW1491">IFERROR(IF(AV1491=0,0,(INDEX($C$33:$C$38,MATCH($AZ$1443,$B$33:$B$38,0),0)*(AV1491+$BA$1443)+$AY$1443*$C$31)*$AU$1443),0)</f>
        <v>0</v>
      </c>
      <c r="AX1491">
        <f>IF(AV1491=0,0,-$AY$1443*$C$31*$H$27*$AU$1443)</f>
        <v>0</v>
      </c>
      <c r="AY1491">
        <f>IF(AV1491=0,0,$AY$1443*$H$26*$AU$1443)</f>
        <v>0</v>
      </c>
      <c r="AZ1491">
        <f>(0.6*AW1491+0.7*AX1491)*$AU$1443/2</f>
        <v>0</v>
      </c>
      <c r="BA1491">
        <f>AW1491*$AU$1443/2</f>
        <v>0</v>
      </c>
      <c r="BC1491">
        <f>IF(AV1491=0,0,$BG$1443*$AP$1433)</f>
        <v>0</v>
      </c>
      <c r="BD1491">
        <f>IFERROR(BC1491/$AU$1443,0)</f>
        <v>0</v>
      </c>
      <c r="BE1491">
        <f>BC1491*($F$25+($C$16+$C$17+IF($C$13="single",1.5,3)+3)/12)</f>
        <v>0</v>
      </c>
      <c r="BF1491">
        <f>BE1491-AZ1491</f>
        <v>0</v>
      </c>
      <c r="BG1491" cm="1">
        <f t="array" ref="BG1491">IFERROR(IF(BF1491&lt;0,0,BF1491/($AU$1443-INDEX(hd_off,MATCH(BT1491,hd_mark,0),0)/12)),0)</f>
        <v>0</v>
      </c>
      <c r="BH1491">
        <f>IF(AV1491=0,0,$BG$1443*$AM$1433)</f>
        <v>0</v>
      </c>
      <c r="BI1491">
        <f>IFERROR(BH1491/$AU$1443,0)</f>
        <v>0</v>
      </c>
      <c r="BJ1491">
        <f>BH1491*($F$25+($C$16+$C$17+IF($C$13="single",1.5,3)+3)/12)</f>
        <v>0</v>
      </c>
      <c r="BK1491">
        <f>BJ1491-BA1491</f>
        <v>0</v>
      </c>
      <c r="BL1491" cm="1">
        <f t="array" ref="BL1491">IFERROR(IF(BK1491&lt;0,0,BK1491/($AU$1443-INDEX(hd_off,MATCH(BT1491,hd_mark,0),0)/12)),0)</f>
        <v>0</v>
      </c>
      <c r="BM1491">
        <f>MAX($F$25,$BF$1443)/$Q$1460</f>
        <v>0.29920977011494249</v>
      </c>
      <c r="BN1491">
        <f t="shared" si="926"/>
        <v>1</v>
      </c>
      <c r="BO1491" cm="1">
        <f t="array" ref="BO1491">IFERROR(INDEX(sheath_ecap_asd,MATCH(BS1491,sheath_mark,0),0)*BN1491,0)</f>
        <v>0</v>
      </c>
      <c r="BP1491" cm="1">
        <f t="array" ref="BP1491">IFERROR(INDEX(sheath_wcap_asd,MATCH(BS1491,sheath_mark,0),0)*BN1491,0)</f>
        <v>0</v>
      </c>
      <c r="BQ1491" cm="1">
        <f t="array" ref="BQ1491">IFERROR(INDEX(hd_cap,MATCH(BT1491,hd_mark,0),0),0)</f>
        <v>0</v>
      </c>
      <c r="BS1491" s="19"/>
      <c r="BT1491" s="19"/>
      <c r="BU1491" s="100"/>
    </row>
    <row r="1492" x14ac:dyDescent="0.25">
      <c r="P1492" s="93"/>
      <c r="AR1492" s="100"/>
      <c r="AS1492" s="93"/>
      <c r="BU1492" s="100"/>
    </row>
    <row r="1493" x14ac:dyDescent="0.25">
      <c r="P1493" s="93"/>
      <c r="Q1493" s="110" t="str">
        <f>$Q$1444</f>
        <v>A.07</v>
      </c>
      <c r="R1493" t="str">
        <f>$Q$1429</f>
        <v>L2</v>
      </c>
      <c r="S1493">
        <f>$E$21</f>
        <v>10.6875</v>
      </c>
      <c r="T1493" cm="1">
        <f t="array" ref="T1493">IFERROR(IF(S1493=0,0,(INDEX($C$33:$C$38,MATCH($W$1444,$B$33:$B$38,0),0)*(S1497+$X$1444)+$T$1444*COUNTIF(S1493:S1496,"&gt;0")*$C$32+$V$1444*$C$31)*$R$1444),0)</f>
        <v>0</v>
      </c>
      <c r="U1493">
        <f>IF(S1493=0,0,-(COUNTIF(S1493:S1496,"&gt;0")*$T$1444*$C$32+$V$1444*$C$31)*$H$27*$R$1444)</f>
        <v>0</v>
      </c>
      <c r="V1493">
        <f>IF(S1493=0,0,$V$1444*$H$26*$R$1444)</f>
        <v>0</v>
      </c>
      <c r="W1493">
        <f>(0.6*T1493+0.7*U1493)*$R$1444/2</f>
        <v>0</v>
      </c>
      <c r="X1493">
        <f>(0.6*T1493+0.6*V1493)*$R$1444/2</f>
        <v>0</v>
      </c>
      <c r="Z1493">
        <f>IF(S1493=0,0,$AD$1444*$AP$1429)</f>
        <v>0</v>
      </c>
      <c r="AA1493">
        <f>IFERROR(Z1493/$R$1444,0)</f>
        <v>0</v>
      </c>
      <c r="AB1493">
        <f>Z1493*($F$21+IF($F$21=0,0,($C$14+$C$15+IF($C$13="single",1.5,3)+3)/12))</f>
        <v>0</v>
      </c>
      <c r="AC1493">
        <f>AB1493-W1493</f>
        <v>0</v>
      </c>
      <c r="AD1493" cm="1">
        <f t="array" ref="AD1493">IFERROR(IF(AC1493&lt;0,0,AC1493/($R$1444-INDEX(hd_off,MATCH(AQ1493,hd_mark,0),0)/12)),0)</f>
        <v>0</v>
      </c>
      <c r="AE1493">
        <f>IF(S1493=0,0,$AD$1444*$AM$1429)</f>
        <v>0</v>
      </c>
      <c r="AF1493">
        <f>IFERROR(AE1493/$R$1444,0)</f>
        <v>0</v>
      </c>
      <c r="AG1493">
        <f>AE1493*($F$21+IF($F$21=0,0,($C$14+$C$15+IF($C$13="single",1.5,3)+3)/12))</f>
        <v>0</v>
      </c>
      <c r="AH1493">
        <f>AG1493-X1493</f>
        <v>0</v>
      </c>
      <c r="AI1493" cm="1">
        <f t="array" ref="AI1493">IFERROR(IF(AH1493&lt;0,0,AH1493/($R$1444-INDEX(hd_off,MATCH(AQ1493,hd_mark,0),0)/12)),0)</f>
        <v>0</v>
      </c>
      <c r="AJ1493">
        <f>MAX($F$21,$Y$1444)/$Q$1460</f>
        <v>0.30172413793103448</v>
      </c>
      <c r="AK1493">
        <f>IF(AJ1493=0,0,IF(AJ1493&gt;2,1.25-0.125*AJ1493,1))</f>
        <v>1</v>
      </c>
      <c r="AL1493" cm="1">
        <f t="array" ref="AL1493">IFERROR(INDEX(sheath_ecap_asd,MATCH(AP1493,sheath_mark,0),0)*AK1493,0)</f>
        <v>0</v>
      </c>
      <c r="AM1493" cm="1">
        <f t="array" ref="AM1493">IFERROR(INDEX(sheath_wcap_asd,MATCH(AP1493,sheath_mark,0),0)*AK1493,0)</f>
        <v>0</v>
      </c>
      <c r="AN1493" cm="1">
        <f t="array" ref="AN1493">IFERROR(INDEX(hd_cap,MATCH(AQ1493,hd_mark,0),0),0)</f>
        <v>0</v>
      </c>
      <c r="AP1493" s="19"/>
      <c r="AQ1493" s="19"/>
      <c r="AR1493" s="100"/>
      <c r="AS1493" s="93"/>
      <c r="AT1493" s="110" t="str">
        <f>$AT$1444</f>
        <v>1.07</v>
      </c>
      <c r="AU1493" t="str">
        <f>$Q$1429</f>
        <v>L2</v>
      </c>
      <c r="AV1493">
        <f>$E$21</f>
        <v>10.6875</v>
      </c>
      <c r="AW1493" cm="1">
        <f t="array" ref="AW1493">IFERROR(IF(AV1493=0,0,(INDEX($C$33:$C$38,MATCH($AZ$1444,$B$33:$B$38,0),0)*(AV1497+$BA$1444)+$AW$1444*COUNTIF(AV1493:AV1496,"&gt;0")*$C$32+$AY$1444*$C$31)*$AU$1444),0)</f>
        <v>0</v>
      </c>
      <c r="AX1493">
        <f>IF(AV1493=0,0,-(COUNTIF(AV1493:AV1496,"&gt;0")*$AW$1444*$C$32+$AY$1444*$C$31)*$H$27*$AU$1444)</f>
        <v>0</v>
      </c>
      <c r="AY1493">
        <f>IF(AV1493=0,0,$AY$1444*$H$26*$AU$1444)</f>
        <v>0</v>
      </c>
      <c r="AZ1493">
        <f>(0.6*AW1493+0.7*AX1493)*$AU$1444/2</f>
        <v>0</v>
      </c>
      <c r="BA1493">
        <f>(0.6*AW1493+0.6*AY1493)*$AU$1444/2</f>
        <v>0</v>
      </c>
      <c r="BC1493">
        <f>IF(AV1493=0,0,$BG$1444*$AP$1429)</f>
        <v>0</v>
      </c>
      <c r="BD1493">
        <f>IFERROR(BC1493/$AU$1444,0)</f>
        <v>0</v>
      </c>
      <c r="BE1493">
        <f>BC1493*($F$21+IF($F$21=0,0,($C$14+$C$15+IF($C$13="single",1.5,3)+3)/12))</f>
        <v>0</v>
      </c>
      <c r="BF1493">
        <f>BE1493-AZ1493</f>
        <v>0</v>
      </c>
      <c r="BG1493" cm="1">
        <f t="array" ref="BG1493">IFERROR(IF(BF1493&lt;0,0,BF1493/($AU$1444-INDEX(hd_off,MATCH(BT1493,hd_mark,0),0)/12)),0)</f>
        <v>0</v>
      </c>
      <c r="BH1493">
        <f>IF(AV1493=0,0,$BG$1444*$AM$1429)</f>
        <v>0</v>
      </c>
      <c r="BI1493">
        <f>IFERROR(BH1493/$AU$1444,0)</f>
        <v>0</v>
      </c>
      <c r="BJ1493">
        <f>BH1493*($F$21+IF($F$21=0,0,($C$14+$C$15+IF($C$13="single",1.5,3)+3)/12))</f>
        <v>0</v>
      </c>
      <c r="BK1493">
        <f>BJ1493-BA1493</f>
        <v>0</v>
      </c>
      <c r="BL1493" cm="1">
        <f t="array" ref="BL1493">IFERROR(IF(BK1493&lt;0,0,BK1493/($AU$1444-INDEX(hd_off,MATCH(BT1493,hd_mark,0),0)/12)),0)</f>
        <v>0</v>
      </c>
      <c r="BM1493">
        <f>MAX($F$21,$BB$1444)/$Q$1460</f>
        <v>0.30172413793103448</v>
      </c>
      <c r="BN1493">
        <f>IF(BM1493=0,0,IF(BM1493&gt;2,1.25-0.125*BM1493,1))</f>
        <v>1</v>
      </c>
      <c r="BO1493" cm="1">
        <f t="array" ref="BO1493">IFERROR(INDEX(sheath_ecap_asd,MATCH(BS1493,sheath_mark,0),0)*BN1493,0)</f>
        <v>0</v>
      </c>
      <c r="BP1493" cm="1">
        <f t="array" ref="BP1493">IFERROR(INDEX(sheath_wcap_asd,MATCH(BS1493,sheath_mark,0),0)*BN1493,0)</f>
        <v>0</v>
      </c>
      <c r="BQ1493" cm="1">
        <f t="array" ref="BQ1493">IFERROR(INDEX(hd_cap,MATCH(BT1493,hd_mark,0),0),0)</f>
        <v>0</v>
      </c>
      <c r="BS1493" s="19"/>
      <c r="BT1493" s="19"/>
      <c r="BU1493" s="100"/>
    </row>
    <row r="1494" x14ac:dyDescent="0.25">
      <c r="P1494" s="93"/>
      <c r="Q1494" s="109"/>
      <c r="R1494" t="str">
        <f>$Q$1430</f>
        <v>L3</v>
      </c>
      <c r="S1494">
        <f>$E$22</f>
        <v>21.375</v>
      </c>
      <c r="T1494" cm="1">
        <f t="array" ref="T1494">IFERROR(IF(S1494=0,0,(INDEX($C$33:$C$38,MATCH($W$1444,$B$33:$B$38,0),0)*(S1497+$X$1444)+$T$1444*COUNTIF(S1494:S1496,"&gt;0")*$C$32+$V$1444*$C$31)*$R$1444),0)</f>
        <v>0</v>
      </c>
      <c r="U1494">
        <f>IF(S1494=0,0,-(COUNTIF(S1494:S1496,"&gt;0")*$T$1444*$C$32+$V$1444*$C$31)*$H$27*$R$1444)</f>
        <v>0</v>
      </c>
      <c r="V1494">
        <f>IF(S1494=0,0,$V$1444*$H$26*$R$1444)</f>
        <v>0</v>
      </c>
      <c r="W1494">
        <f>(0.6*T1494+0.7*U1494)*$R$1444/2</f>
        <v>0</v>
      </c>
      <c r="X1494">
        <f>T1494*$R$1444/2</f>
        <v>0</v>
      </c>
      <c r="Z1494">
        <f>IF(S1494=0,0,$AD$1444*$AP$1430)</f>
        <v>0</v>
      </c>
      <c r="AA1494">
        <f>IFERROR(Z1494/$R$1444,0)</f>
        <v>0</v>
      </c>
      <c r="AB1494">
        <f>Z1494*($F$22+IF($F$22=0,0,($C$14+$C$15+IF($C$13="single",1.5,3)+3)/12))</f>
        <v>0</v>
      </c>
      <c r="AC1494">
        <f>AB1494-W1494</f>
        <v>0</v>
      </c>
      <c r="AD1494" cm="1">
        <f t="array" ref="AD1494">IFERROR(IF(AC1494&lt;0,0,AC1494/($R$1444-INDEX(hd_off,MATCH(AQ1494,hd_mark,0),0)/12)),0)</f>
        <v>0</v>
      </c>
      <c r="AE1494">
        <f>IF(S1494=0,0,$AD$1444*$AM$1430)</f>
        <v>0</v>
      </c>
      <c r="AF1494">
        <f>IFERROR(AE1494/$R$1444,0)</f>
        <v>0</v>
      </c>
      <c r="AG1494">
        <f>AE1494*($F$22+IF($F$22=0,0,($C$14+$C$15+IF($C$13="single",1.5,3)+3)/12))</f>
        <v>0</v>
      </c>
      <c r="AH1494">
        <f>AG1494-X1494</f>
        <v>0</v>
      </c>
      <c r="AI1494" cm="1">
        <f t="array" ref="AI1494">IFERROR(IF(AH1494&lt;0,0,AH1494/($R$1444-INDEX(hd_off,MATCH(AQ1494,hd_mark,0),0)/12)),0)</f>
        <v>0</v>
      </c>
      <c r="AJ1494">
        <f>MAX($F$22,$Z$1444)/$Q$1460</f>
        <v>0.30172413793103448</v>
      </c>
      <c r="AK1494">
        <f t="shared" ref="AK1494:AK1497" si="927">IF(AJ1494=0,0,IF(AJ1494&gt;2,1.25-0.125*AJ1494,1))</f>
        <v>1</v>
      </c>
      <c r="AL1494" cm="1">
        <f t="array" ref="AL1494">IFERROR(INDEX(sheath_ecap_asd,MATCH(AP1494,sheath_mark,0),0)*AK1494,0)</f>
        <v>0</v>
      </c>
      <c r="AM1494" cm="1">
        <f t="array" ref="AM1494">IFERROR(INDEX(sheath_wcap_asd,MATCH(AP1494,sheath_mark,0),0)*AK1494,0)</f>
        <v>0</v>
      </c>
      <c r="AN1494" cm="1">
        <f t="array" ref="AN1494">IFERROR(INDEX(hd_cap,MATCH(AQ1494,hd_mark,0),0),0)</f>
        <v>0</v>
      </c>
      <c r="AP1494" s="19"/>
      <c r="AQ1494" s="19"/>
      <c r="AR1494" s="100"/>
      <c r="AS1494" s="93"/>
      <c r="AT1494" s="109"/>
      <c r="AU1494" t="str">
        <f>$Q$1430</f>
        <v>L3</v>
      </c>
      <c r="AV1494">
        <f>$E$22</f>
        <v>21.375</v>
      </c>
      <c r="AW1494" cm="1">
        <f t="array" ref="AW1494">IFERROR(IF(AV1494=0,0,(INDEX($C$33:$C$38,MATCH($AZ$1444,$B$33:$B$38,0),0)*(AV1497+$BA$1444)+$AW$1444*COUNTIF(AV1494:AV1496,"&gt;0")*$C$32+$AY$1444*$C$31)*$AU$1444),0)</f>
        <v>0</v>
      </c>
      <c r="AX1494">
        <f>IF(AV1494=0,0,-(COUNTIF(AV1494:AV1496,"&gt;0")*$AW$1444*$C$32+$AY$1444*$C$31)*$H$27*$AU$1444)</f>
        <v>0</v>
      </c>
      <c r="AY1494">
        <f>IF(AV1494=0,0,$AY$1444*$H$26*$AU$1444)</f>
        <v>0</v>
      </c>
      <c r="AZ1494">
        <f>(0.6*AW1494+0.7*AX1494)*$AU$1444/2</f>
        <v>0</v>
      </c>
      <c r="BA1494">
        <f>AW1494*$AU$1444/2</f>
        <v>0</v>
      </c>
      <c r="BC1494">
        <f>IF(AV1494=0,0,$BG$1444*$AP$1430)</f>
        <v>0</v>
      </c>
      <c r="BD1494">
        <f>IFERROR(BC1494/$AU$1444,0)</f>
        <v>0</v>
      </c>
      <c r="BE1494">
        <f>BC1494*($F$22+IF($F$22=0,0,($C$14+$C$15+IF($C$13="single",1.5,3)+3)/12))</f>
        <v>0</v>
      </c>
      <c r="BF1494">
        <f>BE1494-AZ1494</f>
        <v>0</v>
      </c>
      <c r="BG1494" cm="1">
        <f t="array" ref="BG1494">IFERROR(IF(BF1494&lt;0,0,BF1494/($AU$1444-INDEX(hd_off,MATCH(BT1494,hd_mark,0),0)/12)),0)</f>
        <v>0</v>
      </c>
      <c r="BH1494">
        <f>IF(AV1494=0,0,$BG$1444*$AM$1430)</f>
        <v>0</v>
      </c>
      <c r="BI1494">
        <f>IFERROR(BH1494/$AU$1444,0)</f>
        <v>0</v>
      </c>
      <c r="BJ1494">
        <f>BH1494*($F$22+IF($F$22=0,0,($C$14+$C$15+IF($C$13="single",1.5,3)+3)/12))</f>
        <v>0</v>
      </c>
      <c r="BK1494">
        <f>BJ1494-BA1494</f>
        <v>0</v>
      </c>
      <c r="BL1494" cm="1">
        <f t="array" ref="BL1494">IFERROR(IF(BK1494&lt;0,0,BK1494/($AU$1444-INDEX(hd_off,MATCH(BT1494,hd_mark,0),0)/12)),0)</f>
        <v>0</v>
      </c>
      <c r="BM1494">
        <f>MAX($F$22,$BC$1444)/$Q$1460</f>
        <v>0.30172413793103448</v>
      </c>
      <c r="BN1494">
        <f t="shared" ref="BN1494:BN1497" si="928">IF(BM1494=0,0,IF(BM1494&gt;2,1.25-0.125*BM1494,1))</f>
        <v>1</v>
      </c>
      <c r="BO1494" cm="1">
        <f t="array" ref="BO1494">IFERROR(INDEX(sheath_ecap_asd,MATCH(BS1494,sheath_mark,0),0)*BN1494,0)</f>
        <v>0</v>
      </c>
      <c r="BP1494" cm="1">
        <f t="array" ref="BP1494">IFERROR(INDEX(sheath_wcap_asd,MATCH(BS1494,sheath_mark,0),0)*BN1494,0)</f>
        <v>0</v>
      </c>
      <c r="BQ1494" cm="1">
        <f t="array" ref="BQ1494">IFERROR(INDEX(hd_cap,MATCH(BT1494,hd_mark,0),0),0)</f>
        <v>0</v>
      </c>
      <c r="BS1494" s="19"/>
      <c r="BT1494" s="19"/>
      <c r="BU1494" s="100"/>
    </row>
    <row r="1495" x14ac:dyDescent="0.25">
      <c r="P1495" s="93"/>
      <c r="Q1495" s="109" t="s">
        <v>491</v>
      </c>
      <c r="R1495" t="str">
        <f>$Q$1431</f>
        <v>L4</v>
      </c>
      <c r="S1495">
        <f>$E$23</f>
        <v>0</v>
      </c>
      <c r="T1495" cm="1">
        <f t="array" ref="T1495">IFERROR(IF(S1495=0,0,(INDEX($C$33:$C$38,MATCH($W$1444,$B$33:$B$38,0),0)*(S1497+$X$1444)+$T$1444*COUNTIF(S1495:S1496,"&gt;0")*$C$32+$V$1444*$C$31)*$R$1444),0)</f>
        <v>0</v>
      </c>
      <c r="U1495">
        <f>IF(S1495=0,0,-(COUNTIF(S1495:S1496,"&gt;0")*$T$1444*$C$32+$V$1444*$C$31)*$H$27*$R$1444)</f>
        <v>0</v>
      </c>
      <c r="V1495">
        <f>IF(S1495=0,0,$V$1444*$H$26*$R$1444)</f>
        <v>0</v>
      </c>
      <c r="W1495">
        <f>(0.6*T1495+0.7*U1495)*$R$1444/2</f>
        <v>0</v>
      </c>
      <c r="X1495">
        <f>T1495*$R$1444/2</f>
        <v>0</v>
      </c>
      <c r="Z1495">
        <f>IF(S1495=0,0,$AD$1444*$AP$1431)</f>
        <v>0</v>
      </c>
      <c r="AA1495">
        <f>IFERROR(Z1495/$R$1444,0)</f>
        <v>0</v>
      </c>
      <c r="AB1495">
        <f>Z1495*($F$23+IF($F$23=0,0,($C$14+$C$15+IF($C$13="single",1.5,3)+3)/12))</f>
        <v>0</v>
      </c>
      <c r="AC1495">
        <f>AB1495-W1495</f>
        <v>0</v>
      </c>
      <c r="AD1495" cm="1">
        <f t="array" ref="AD1495">IFERROR(IF(AC1495&lt;0,0,AC1495/($R$1444-INDEX(hd_off,MATCH(AQ1495,hd_mark,0),0)/12)),0)</f>
        <v>0</v>
      </c>
      <c r="AE1495">
        <f>IF(S1495=0,0,$AD$1444*$AM$1431)</f>
        <v>0</v>
      </c>
      <c r="AF1495">
        <f>IFERROR(AE1495/$R$1444,0)</f>
        <v>0</v>
      </c>
      <c r="AG1495">
        <f>AE1495*($F$23+IF($F$23=0,0,($C$14+$C$15+IF($C$13="single",1.5,3)+3)/12))</f>
        <v>0</v>
      </c>
      <c r="AH1495">
        <f>AG1495-X1495</f>
        <v>0</v>
      </c>
      <c r="AI1495" cm="1">
        <f t="array" ref="AI1495">IFERROR(IF(AH1495&lt;0,0,AH1495/($R$1444-INDEX(hd_off,MATCH(AQ1495,hd_mark,0),0)/12)),0)</f>
        <v>0</v>
      </c>
      <c r="AJ1495">
        <f>MAX($F$23,$AA$1444)/$Q$1460</f>
        <v>0</v>
      </c>
      <c r="AK1495">
        <f t="shared" si="927"/>
        <v>0</v>
      </c>
      <c r="AL1495" cm="1">
        <f t="array" ref="AL1495">IFERROR(INDEX(sheath_ecap_asd,MATCH(AP1495,sheath_mark,0),0)*AK1495,0)</f>
        <v>0</v>
      </c>
      <c r="AM1495" cm="1">
        <f t="array" ref="AM1495">IFERROR(INDEX(sheath_wcap_asd,MATCH(AP1495,sheath_mark,0),0)*AK1495,0)</f>
        <v>0</v>
      </c>
      <c r="AN1495" cm="1">
        <f t="array" ref="AN1495">IFERROR(INDEX(hd_cap,MATCH(AQ1495,hd_mark,0),0),0)</f>
        <v>0</v>
      </c>
      <c r="AP1495" s="19"/>
      <c r="AQ1495" s="19"/>
      <c r="AR1495" s="100"/>
      <c r="AS1495" s="93"/>
      <c r="AT1495" s="109" t="s">
        <v>491</v>
      </c>
      <c r="AU1495" t="str">
        <f>$Q$1431</f>
        <v>L4</v>
      </c>
      <c r="AV1495">
        <f>$E$23</f>
        <v>0</v>
      </c>
      <c r="AW1495" cm="1">
        <f t="array" ref="AW1495">IFERROR(IF(AV1495=0,0,(INDEX($C$33:$C$38,MATCH($AZ$1444,$B$33:$B$38,0),0)*(AV1497+$BA$1444)+$AW$1444*COUNTIF(AV1495:AV1496,"&gt;0")*$C$32+$AY$1444*$C$31)*$AU$1444),0)</f>
        <v>0</v>
      </c>
      <c r="AX1495">
        <f>IF(AV1495=0,0,-(COUNTIF(AV1495:AV1496,"&gt;0")*$AW$1444*$C$32+$AY$1444*$C$31)*$H$27*$AU$1444)</f>
        <v>0</v>
      </c>
      <c r="AY1495">
        <f>IF(AV1495=0,0,$AY$1444*$H$26*$AU$1444)</f>
        <v>0</v>
      </c>
      <c r="AZ1495">
        <f>(0.6*AW1495+0.7*AX1495)*$AU$1444/2</f>
        <v>0</v>
      </c>
      <c r="BA1495">
        <f>AW1495*$AU$1444/2</f>
        <v>0</v>
      </c>
      <c r="BC1495">
        <f>IF(AV1495=0,0,$BG$1444*$AP$1431)</f>
        <v>0</v>
      </c>
      <c r="BD1495">
        <f>IFERROR(BC1495/$AU$1444,0)</f>
        <v>0</v>
      </c>
      <c r="BE1495">
        <f>BC1495*($F$23+IF($F$23=0,0,($C$14+$C$15+IF($C$13="single",1.5,3)+3)/12))</f>
        <v>0</v>
      </c>
      <c r="BF1495">
        <f>BE1495-AZ1495</f>
        <v>0</v>
      </c>
      <c r="BG1495" cm="1">
        <f t="array" ref="BG1495">IFERROR(IF(BF1495&lt;0,0,BF1495/($AU$1444-INDEX(hd_off,MATCH(BT1495,hd_mark,0),0)/12)),0)</f>
        <v>0</v>
      </c>
      <c r="BH1495">
        <f>IF(AV1495=0,0,$BG$1444*$AM$1431)</f>
        <v>0</v>
      </c>
      <c r="BI1495">
        <f>IFERROR(BH1495/$AU$1444,0)</f>
        <v>0</v>
      </c>
      <c r="BJ1495">
        <f>BH1495*($F$23+IF($F$23=0,0,($C$14+$C$15+IF($C$13="single",1.5,3)+3)/12))</f>
        <v>0</v>
      </c>
      <c r="BK1495">
        <f>BJ1495-BA1495</f>
        <v>0</v>
      </c>
      <c r="BL1495" cm="1">
        <f t="array" ref="BL1495">IFERROR(IF(BK1495&lt;0,0,BK1495/($AU$1444-INDEX(hd_off,MATCH(BT1495,hd_mark,0),0)/12)),0)</f>
        <v>0</v>
      </c>
      <c r="BM1495">
        <f>MAX($F$23,$BD$1444)/$Q$1460</f>
        <v>0</v>
      </c>
      <c r="BN1495">
        <f t="shared" si="928"/>
        <v>0</v>
      </c>
      <c r="BO1495" cm="1">
        <f t="array" ref="BO1495">IFERROR(INDEX(sheath_ecap_asd,MATCH(BS1495,sheath_mark,0),0)*BN1495,0)</f>
        <v>0</v>
      </c>
      <c r="BP1495" cm="1">
        <f t="array" ref="BP1495">IFERROR(INDEX(sheath_wcap_asd,MATCH(BS1495,sheath_mark,0),0)*BN1495,0)</f>
        <v>0</v>
      </c>
      <c r="BQ1495" cm="1">
        <f t="array" ref="BQ1495">IFERROR(INDEX(hd_cap,MATCH(BT1495,hd_mark,0),0),0)</f>
        <v>0</v>
      </c>
      <c r="BS1495" s="19"/>
      <c r="BT1495" s="19"/>
      <c r="BU1495" s="100"/>
    </row>
    <row r="1496" x14ac:dyDescent="0.25">
      <c r="P1496" s="93"/>
      <c r="Q1496" s="111">
        <f>$R$1444</f>
        <v>0</v>
      </c>
      <c r="R1496" t="str">
        <f>$Q$1432</f>
        <v>L5</v>
      </c>
      <c r="S1496">
        <f>$E$24</f>
        <v>0</v>
      </c>
      <c r="T1496" cm="1">
        <f t="array" ref="T1496">IFERROR(IF(S1496=0,0,(INDEX($C$33:$C$38,MATCH($W$1444,$B$33:$B$38,0),0)*(S1497+$X$1444)+$T$1444*COUNTIF(S1496:S1496,"&gt;0")*$C$32+$V$1444*$C$31)*$R$1444),0)</f>
        <v>0</v>
      </c>
      <c r="U1496">
        <f>IF(S1496=0,0,-(COUNTIF(S1496:S1496,"&gt;0")*$T$1444*$C$32+$V$1444*$C$31)*$H$27*$R$1444)</f>
        <v>0</v>
      </c>
      <c r="V1496">
        <f>IF(S1496=0,0,$V$1444*$H$26*$R$1444)</f>
        <v>0</v>
      </c>
      <c r="W1496">
        <f>(0.6*T1496+0.7*U1496)*$R$1444/2</f>
        <v>0</v>
      </c>
      <c r="X1496">
        <f>T1496*$R$1444/2</f>
        <v>0</v>
      </c>
      <c r="Z1496">
        <f>IF(S1496=0,0,$AD$1444*$AP$1432)</f>
        <v>0</v>
      </c>
      <c r="AA1496">
        <f>IFERROR(Z1496/$R$1444,0)</f>
        <v>0</v>
      </c>
      <c r="AB1496">
        <f>Z1496*($F$24+IF($F$24=0,0,($C$14+$C$15+IF($C$13="single",1.5,3)+3)/12))</f>
        <v>0</v>
      </c>
      <c r="AC1496">
        <f>AB1496-W1496</f>
        <v>0</v>
      </c>
      <c r="AD1496" cm="1">
        <f t="array" ref="AD1496">IFERROR(IF(AC1496&lt;0,0,AC1496/($R$1444-INDEX(hd_off,MATCH(AQ1496,hd_mark,0),0)/12)),0)</f>
        <v>0</v>
      </c>
      <c r="AE1496">
        <f>IF(S1496=0,0,$AD$1444*$AM$1432)</f>
        <v>0</v>
      </c>
      <c r="AF1496">
        <f>IFERROR(AE1496/$R$1444,0)</f>
        <v>0</v>
      </c>
      <c r="AG1496">
        <f>AE1496*($F$24+IF($F$24=0,0,($C$14+$C$15+IF($C$13="single",1.5,3)+3)/12))</f>
        <v>0</v>
      </c>
      <c r="AH1496">
        <f>AG1496-X1496</f>
        <v>0</v>
      </c>
      <c r="AI1496" cm="1">
        <f t="array" ref="AI1496">IFERROR(IF(AH1496&lt;0,0,AH1496/($R$1444-INDEX(hd_off,MATCH(AQ1496,hd_mark,0),0)/12)),0)</f>
        <v>0</v>
      </c>
      <c r="AJ1496">
        <f>MAX($F$24,$AB$1444)/$Q$1460</f>
        <v>0</v>
      </c>
      <c r="AK1496">
        <f t="shared" si="927"/>
        <v>0</v>
      </c>
      <c r="AL1496" cm="1">
        <f t="array" ref="AL1496">IFERROR(INDEX(sheath_ecap_asd,MATCH(AP1496,sheath_mark,0),0)*AK1496,0)</f>
        <v>0</v>
      </c>
      <c r="AM1496" cm="1">
        <f t="array" ref="AM1496">IFERROR(INDEX(sheath_wcap_asd,MATCH(AP1496,sheath_mark,0),0)*AK1496,0)</f>
        <v>0</v>
      </c>
      <c r="AN1496" cm="1">
        <f t="array" ref="AN1496">IFERROR(INDEX(hd_cap,MATCH(AQ1496,hd_mark,0),0),0)</f>
        <v>0</v>
      </c>
      <c r="AP1496" s="19"/>
      <c r="AQ1496" s="19"/>
      <c r="AR1496" s="100"/>
      <c r="AS1496" s="93"/>
      <c r="AT1496" s="111">
        <f>$R$1444</f>
        <v>0</v>
      </c>
      <c r="AU1496" t="str">
        <f>$Q$1432</f>
        <v>L5</v>
      </c>
      <c r="AV1496">
        <f>$E$24</f>
        <v>0</v>
      </c>
      <c r="AW1496" cm="1">
        <f t="array" ref="AW1496">IFERROR(IF(AV1496=0,0,(INDEX($C$33:$C$38,MATCH($AZ$1444,$B$33:$B$38,0),0)*(AV1497+$BA$1444)+$AW$1444*COUNTIF(AV1496:AV1496,"&gt;0")*$C$32+$AY$1444*$C$31)*$AU$1444),0)</f>
        <v>0</v>
      </c>
      <c r="AX1496">
        <f>IF(AV1496=0,0,-(COUNTIF(AV1496:AV1496,"&gt;0")*$AW$1444*$C$32+$AY$1444*$C$31)*$H$27*$AU$1444)</f>
        <v>0</v>
      </c>
      <c r="AY1496">
        <f>IF(AV1496=0,0,$AY$1444*$H$26*$AU$1444)</f>
        <v>0</v>
      </c>
      <c r="AZ1496">
        <f>(0.6*AW1496+0.7*AX1496)*$AU$1444/2</f>
        <v>0</v>
      </c>
      <c r="BA1496">
        <f>AW1496*$AU$1444/2</f>
        <v>0</v>
      </c>
      <c r="BC1496">
        <f>IF(AV1496=0,0,$BG$1444*$AP$1432)</f>
        <v>0</v>
      </c>
      <c r="BD1496">
        <f>IFERROR(BC1496/$AU$1444,0)</f>
        <v>0</v>
      </c>
      <c r="BE1496">
        <f>BC1496*($F$24+IF($F$24=0,0,($C$14+$C$15+IF($C$13="single",1.5,3)+3)/12))</f>
        <v>0</v>
      </c>
      <c r="BF1496">
        <f>BE1496-AZ1496</f>
        <v>0</v>
      </c>
      <c r="BG1496" cm="1">
        <f t="array" ref="BG1496">IFERROR(IF(BF1496&lt;0,0,BF1496/($AU$1444-INDEX(hd_off,MATCH(BT1496,hd_mark,0),0)/12)),0)</f>
        <v>0</v>
      </c>
      <c r="BH1496">
        <f>IF(AV1496=0,0,$BG$1444*$AM$1432)</f>
        <v>0</v>
      </c>
      <c r="BI1496">
        <f>IFERROR(BH1496/$AU$1444,0)</f>
        <v>0</v>
      </c>
      <c r="BJ1496">
        <f>BH1496*($F$24+IF($F$24=0,0,($C$14+$C$15+IF($C$13="single",1.5,3)+3)/12))</f>
        <v>0</v>
      </c>
      <c r="BK1496">
        <f>BJ1496-BA1496</f>
        <v>0</v>
      </c>
      <c r="BL1496" cm="1">
        <f t="array" ref="BL1496">IFERROR(IF(BK1496&lt;0,0,BK1496/($AU$1444-INDEX(hd_off,MATCH(BT1496,hd_mark,0),0)/12)),0)</f>
        <v>0</v>
      </c>
      <c r="BM1496">
        <f>MAX($F$24,$BE$1444)/$Q$1460</f>
        <v>0</v>
      </c>
      <c r="BN1496">
        <f t="shared" si="928"/>
        <v>0</v>
      </c>
      <c r="BO1496" cm="1">
        <f t="array" ref="BO1496">IFERROR(INDEX(sheath_ecap_asd,MATCH(BS1496,sheath_mark,0),0)*BN1496,0)</f>
        <v>0</v>
      </c>
      <c r="BP1496" cm="1">
        <f t="array" ref="BP1496">IFERROR(INDEX(sheath_wcap_asd,MATCH(BS1496,sheath_mark,0),0)*BN1496,0)</f>
        <v>0</v>
      </c>
      <c r="BQ1496" cm="1">
        <f t="array" ref="BQ1496">IFERROR(INDEX(hd_cap,MATCH(BT1496,hd_mark,0),0),0)</f>
        <v>0</v>
      </c>
      <c r="BS1496" s="19"/>
      <c r="BT1496" s="19"/>
      <c r="BU1496" s="100"/>
    </row>
    <row r="1497" x14ac:dyDescent="0.25">
      <c r="P1497" s="93"/>
      <c r="Q1497" s="109"/>
      <c r="R1497" t="str">
        <f>$Q$1433</f>
        <v>Roof</v>
      </c>
      <c r="S1497">
        <f>$E$25</f>
        <v>33.171875</v>
      </c>
      <c r="T1497" cm="1">
        <f t="array" ref="T1497">IFERROR(IF(S1497=0,0,(INDEX($C$33:$C$38,MATCH($W$1444,$B$33:$B$38,0),0)*(S1497+$X$1444)+$V$1444*$C$31)*$R$1444),0)</f>
        <v>0</v>
      </c>
      <c r="U1497">
        <f>IF(S1497=0,0,-$V$1444*$C$31*$H$27*$R$1444)</f>
        <v>0</v>
      </c>
      <c r="V1497">
        <f>IF(S1497=0,0,$V$1444*$H$26*$R$1444)</f>
        <v>0</v>
      </c>
      <c r="W1497">
        <f>(0.6*T1497+0.7*U1497)*$R$1444/2</f>
        <v>0</v>
      </c>
      <c r="X1497">
        <f>T1497*$R$1444/2</f>
        <v>0</v>
      </c>
      <c r="Z1497">
        <f>IF(S1497=0,0,$AD$1444*$AP$1433)</f>
        <v>0</v>
      </c>
      <c r="AA1497">
        <f>IFERROR(Z1497/$R$1444,0)</f>
        <v>0</v>
      </c>
      <c r="AB1497">
        <f>Z1497*($F$25+($C$16+$C$17+IF($C$13="single",1.5,3)+3)/12)</f>
        <v>0</v>
      </c>
      <c r="AC1497">
        <f>AB1497-W1497</f>
        <v>0</v>
      </c>
      <c r="AD1497" cm="1">
        <f t="array" ref="AD1497">IFERROR(IF(AC1497&lt;0,0,AC1497/($R$1444-INDEX(hd_off,MATCH(AQ1497,hd_mark,0),0)/12)),0)</f>
        <v>0</v>
      </c>
      <c r="AE1497">
        <f>IF(S1497=0,0,$AD$1444*$AM$1433)</f>
        <v>0</v>
      </c>
      <c r="AF1497">
        <f>IFERROR(AE1497/$R$1444,0)</f>
        <v>0</v>
      </c>
      <c r="AG1497">
        <f>AE1497*($F$25+($C$16+$C$17+IF($C$13="single",1.5,3)+3)/12)</f>
        <v>0</v>
      </c>
      <c r="AH1497">
        <f>AG1497-X1497</f>
        <v>0</v>
      </c>
      <c r="AI1497" cm="1">
        <f t="array" ref="AI1497">IFERROR(IF(AH1497&lt;0,0,AH1497/($R$1444-INDEX(hd_off,MATCH(AQ1497,hd_mark,0),0)/12)),0)</f>
        <v>0</v>
      </c>
      <c r="AJ1497">
        <f>MAX($F$25,$AC$1444)/$Q$1460</f>
        <v>0.29920977011494249</v>
      </c>
      <c r="AK1497">
        <f t="shared" si="927"/>
        <v>1</v>
      </c>
      <c r="AL1497" cm="1">
        <f t="array" ref="AL1497">IFERROR(INDEX(sheath_ecap_asd,MATCH(AP1497,sheath_mark,0),0)*AK1497,0)</f>
        <v>0</v>
      </c>
      <c r="AM1497" cm="1">
        <f t="array" ref="AM1497">IFERROR(INDEX(sheath_wcap_asd,MATCH(AP1497,sheath_mark,0),0)*AK1497,0)</f>
        <v>0</v>
      </c>
      <c r="AN1497" cm="1">
        <f t="array" ref="AN1497">IFERROR(INDEX(hd_cap,MATCH(AQ1497,hd_mark,0),0),0)</f>
        <v>0</v>
      </c>
      <c r="AP1497" s="19"/>
      <c r="AQ1497" s="19"/>
      <c r="AR1497" s="100"/>
      <c r="AS1497" s="93"/>
      <c r="AT1497" s="109"/>
      <c r="AU1497" t="str">
        <f>$Q$1433</f>
        <v>Roof</v>
      </c>
      <c r="AV1497">
        <f>$E$25</f>
        <v>33.171875</v>
      </c>
      <c r="AW1497" cm="1">
        <f t="array" ref="AW1497">IFERROR(IF(AV1497=0,0,(INDEX($C$33:$C$38,MATCH($AZ$1444,$B$33:$B$38,0),0)*(AV1497+$BA$1444)+$AY$1444*$C$31)*$AU$1444),0)</f>
        <v>0</v>
      </c>
      <c r="AX1497">
        <f>IF(AV1497=0,0,-$AY$1444*$C$31*$H$27*$AU$1444)</f>
        <v>0</v>
      </c>
      <c r="AY1497">
        <f>IF(AV1497=0,0,$AY$1444*$H$26*$AU$1444)</f>
        <v>0</v>
      </c>
      <c r="AZ1497">
        <f>(0.6*AW1497+0.7*AX1497)*$AU$1444/2</f>
        <v>0</v>
      </c>
      <c r="BA1497">
        <f>AW1497*$AU$1444/2</f>
        <v>0</v>
      </c>
      <c r="BC1497">
        <f>IF(AV1497=0,0,$BG$1444*$AP$1433)</f>
        <v>0</v>
      </c>
      <c r="BD1497">
        <f>IFERROR(BC1497/$AU$1444,0)</f>
        <v>0</v>
      </c>
      <c r="BE1497">
        <f>BC1497*($F$25+($C$16+$C$17+IF($C$13="single",1.5,3)+3)/12)</f>
        <v>0</v>
      </c>
      <c r="BF1497">
        <f>BE1497-AZ1497</f>
        <v>0</v>
      </c>
      <c r="BG1497" cm="1">
        <f t="array" ref="BG1497">IFERROR(IF(BF1497&lt;0,0,BF1497/($AU$1444-INDEX(hd_off,MATCH(BT1497,hd_mark,0),0)/12)),0)</f>
        <v>0</v>
      </c>
      <c r="BH1497">
        <f>IF(AV1497=0,0,$BG$1444*$AM$1433)</f>
        <v>0</v>
      </c>
      <c r="BI1497">
        <f>IFERROR(BH1497/$AU$1444,0)</f>
        <v>0</v>
      </c>
      <c r="BJ1497">
        <f>BH1497*($F$25+($C$16+$C$17+IF($C$13="single",1.5,3)+3)/12)</f>
        <v>0</v>
      </c>
      <c r="BK1497">
        <f>BJ1497-BA1497</f>
        <v>0</v>
      </c>
      <c r="BL1497" cm="1">
        <f t="array" ref="BL1497">IFERROR(IF(BK1497&lt;0,0,BK1497/($AU$1444-INDEX(hd_off,MATCH(BT1497,hd_mark,0),0)/12)),0)</f>
        <v>0</v>
      </c>
      <c r="BM1497">
        <f>MAX($F$25,$BF$1444)/$Q$1460</f>
        <v>0.29920977011494249</v>
      </c>
      <c r="BN1497">
        <f t="shared" si="928"/>
        <v>1</v>
      </c>
      <c r="BO1497" cm="1">
        <f t="array" ref="BO1497">IFERROR(INDEX(sheath_ecap_asd,MATCH(BS1497,sheath_mark,0),0)*BN1497,0)</f>
        <v>0</v>
      </c>
      <c r="BP1497" cm="1">
        <f t="array" ref="BP1497">IFERROR(INDEX(sheath_wcap_asd,MATCH(BS1497,sheath_mark,0),0)*BN1497,0)</f>
        <v>0</v>
      </c>
      <c r="BQ1497" cm="1">
        <f t="array" ref="BQ1497">IFERROR(INDEX(hd_cap,MATCH(BT1497,hd_mark,0),0),0)</f>
        <v>0</v>
      </c>
      <c r="BS1497" s="19"/>
      <c r="BT1497" s="19"/>
      <c r="BU1497" s="100"/>
    </row>
    <row r="1498" x14ac:dyDescent="0.25">
      <c r="P1498" s="93"/>
      <c r="AR1498" s="100"/>
      <c r="AS1498" s="93"/>
      <c r="BU1498" s="100"/>
    </row>
    <row r="1499" x14ac:dyDescent="0.25">
      <c r="P1499" s="93"/>
      <c r="Q1499" s="110" t="str">
        <f>$Q$1445</f>
        <v>A.08</v>
      </c>
      <c r="R1499" t="str">
        <f>$Q$1429</f>
        <v>L2</v>
      </c>
      <c r="S1499">
        <f>$E$21</f>
        <v>10.6875</v>
      </c>
      <c r="T1499" cm="1">
        <f t="array" ref="T1499">IFERROR(IF(S1499=0,0,(INDEX($C$33:$C$38,MATCH($W$1445,$B$33:$B$38,0),0)*(S1503+$X$1445)+$T$1445*COUNTIF(S1499:S1502,"&gt;0")*$C$32+$V$1445*$C$31)*$R$1445),0)</f>
        <v>0</v>
      </c>
      <c r="U1499">
        <f>IF(S1499=0,0,-(COUNTIF(S1499:S1502,"&gt;0")*$T$1445*$C$32+$V$1445*$C$31)*$H$27*$R$1445)</f>
        <v>0</v>
      </c>
      <c r="V1499">
        <f>IF(S1499=0,0,$V$1445*$H$26*$R$1445)</f>
        <v>0</v>
      </c>
      <c r="W1499">
        <f>(0.6*T1499+0.7*U1499)*$R$1445/2</f>
        <v>0</v>
      </c>
      <c r="X1499">
        <f>(0.6*T1499+0.6*V1499)*$R$1445/2</f>
        <v>0</v>
      </c>
      <c r="Z1499">
        <f>IF(S1499=0,0,$AD$1445*$AP$1429)</f>
        <v>0</v>
      </c>
      <c r="AA1499">
        <f>IFERROR(Z1499/$R$1445,0)</f>
        <v>0</v>
      </c>
      <c r="AB1499">
        <f>Z1499*($F$21+IF($F$21=0,0,($C$14+$C$15+IF($C$13="single",1.5,3)+3)/12))</f>
        <v>0</v>
      </c>
      <c r="AC1499">
        <f>AB1499-W1499</f>
        <v>0</v>
      </c>
      <c r="AD1499" cm="1">
        <f t="array" ref="AD1499">IFERROR(IF(AC1499&lt;0,0,AC1499/($R$1445-INDEX(hd_off,MATCH(AQ1499,hd_mark,0),0)/12)),0)</f>
        <v>0</v>
      </c>
      <c r="AE1499">
        <f>IF(S1499=0,0,$AD$1445*$AM$1429)</f>
        <v>0</v>
      </c>
      <c r="AF1499">
        <f>IFERROR(AE1499/$R$1445,0)</f>
        <v>0</v>
      </c>
      <c r="AG1499">
        <f>AE1499*($F$21+IF($F$21=0,0,($C$14+$C$15+IF($C$13="single",1.5,3)+3)/12))</f>
        <v>0</v>
      </c>
      <c r="AH1499">
        <f>AG1499-X1499</f>
        <v>0</v>
      </c>
      <c r="AI1499" cm="1">
        <f t="array" ref="AI1499">IFERROR(IF(AH1499&lt;0,0,AH1499/($R$1445-INDEX(hd_off,MATCH(AQ1499,hd_mark,0),0)/12)),0)</f>
        <v>0</v>
      </c>
      <c r="AJ1499">
        <f>MAX($F$21,$Y$1445)/$Q$1460</f>
        <v>0.30172413793103448</v>
      </c>
      <c r="AK1499">
        <f>IF(AJ1499=0,0,IF(AJ1499&gt;2,1.25-0.125*AJ1499,1))</f>
        <v>1</v>
      </c>
      <c r="AL1499" cm="1">
        <f t="array" ref="AL1499">IFERROR(INDEX(sheath_ecap_asd,MATCH(AP1499,sheath_mark,0),0)*AK1499,0)</f>
        <v>0</v>
      </c>
      <c r="AM1499" cm="1">
        <f t="array" ref="AM1499">IFERROR(INDEX(sheath_wcap_asd,MATCH(AP1499,sheath_mark,0),0)*AK1499,0)</f>
        <v>0</v>
      </c>
      <c r="AN1499" cm="1">
        <f t="array" ref="AN1499">IFERROR(INDEX(hd_cap,MATCH(AQ1499,hd_mark,0),0),0)</f>
        <v>0</v>
      </c>
      <c r="AP1499" s="19"/>
      <c r="AQ1499" s="19"/>
      <c r="AR1499" s="100"/>
      <c r="AS1499" s="93"/>
      <c r="AT1499" s="110" t="str">
        <f>$AT$1445</f>
        <v>1.08</v>
      </c>
      <c r="AU1499" t="str">
        <f>$Q$1429</f>
        <v>L2</v>
      </c>
      <c r="AV1499">
        <f>$E$21</f>
        <v>10.6875</v>
      </c>
      <c r="AW1499" cm="1">
        <f t="array" ref="AW1499">IFERROR(IF(AV1499=0,0,(INDEX($C$33:$C$38,MATCH($AZ$1445,$B$33:$B$38,0),0)*(AV1503+$BA$1445)+$AW$1445*COUNTIF(AV1499:AV1502,"&gt;0")*$C$32+$AY$1445*$C$31)*$AU$1445),0)</f>
        <v>0</v>
      </c>
      <c r="AX1499">
        <f>IF(AV1499=0,0,-(COUNTIF(AV1499:AV1502,"&gt;0")*$AW$1445*$C$32+$AY$1445*$C$31)*$H$27*$AU$1445)</f>
        <v>0</v>
      </c>
      <c r="AY1499">
        <f>IF(AV1499=0,0,$AY$1445*$H$26*$AU$1445)</f>
        <v>0</v>
      </c>
      <c r="AZ1499">
        <f>(0.6*AW1499+0.7*AX1499)*$AU$1445/2</f>
        <v>0</v>
      </c>
      <c r="BA1499">
        <f>(0.6*AW1499+0.6*AY1499)*$AU$1445/2</f>
        <v>0</v>
      </c>
      <c r="BC1499">
        <f>IF(AV1499=0,0,$BG$1445*$AP$1429)</f>
        <v>0</v>
      </c>
      <c r="BD1499">
        <f>IFERROR(BC1499/$AU$1445,0)</f>
        <v>0</v>
      </c>
      <c r="BE1499">
        <f>BC1499*($F$21+IF($F$21=0,0,($C$14+$C$15+IF($C$13="single",1.5,3)+3)/12))</f>
        <v>0</v>
      </c>
      <c r="BF1499">
        <f>BE1499-AZ1499</f>
        <v>0</v>
      </c>
      <c r="BG1499" cm="1">
        <f t="array" ref="BG1499">IFERROR(IF(BF1499&lt;0,0,BF1499/($AU$1445-INDEX(hd_off,MATCH(BT1499,hd_mark,0),0)/12)),0)</f>
        <v>0</v>
      </c>
      <c r="BH1499">
        <f>IF(AV1499=0,0,$BG$1445*$AM$1429)</f>
        <v>0</v>
      </c>
      <c r="BI1499">
        <f>IFERROR(BH1499/$AU$1445,0)</f>
        <v>0</v>
      </c>
      <c r="BJ1499">
        <f>BH1499*($F$21+IF($F$21=0,0,($C$14+$C$15+IF($C$13="single",1.5,3)+3)/12))</f>
        <v>0</v>
      </c>
      <c r="BK1499">
        <f>BJ1499-BA1499</f>
        <v>0</v>
      </c>
      <c r="BL1499" cm="1">
        <f t="array" ref="BL1499">IFERROR(IF(BK1499&lt;0,0,BK1499/($AU$1445-INDEX(hd_off,MATCH(BT1499,hd_mark,0),0)/12)),0)</f>
        <v>0</v>
      </c>
      <c r="BM1499">
        <f>MAX($F$21,$BB$1445)/$Q$1460</f>
        <v>0.30172413793103448</v>
      </c>
      <c r="BN1499">
        <f>IF(BM1499=0,0,IF(BM1499&gt;2,1.25-0.125*BM1499,1))</f>
        <v>1</v>
      </c>
      <c r="BO1499" cm="1">
        <f t="array" ref="BO1499">IFERROR(INDEX(sheath_ecap_asd,MATCH(BS1499,sheath_mark,0),0)*BN1499,0)</f>
        <v>0</v>
      </c>
      <c r="BP1499" cm="1">
        <f t="array" ref="BP1499">IFERROR(INDEX(sheath_wcap_asd,MATCH(BS1499,sheath_mark,0),0)*BN1499,0)</f>
        <v>0</v>
      </c>
      <c r="BQ1499" cm="1">
        <f t="array" ref="BQ1499">IFERROR(INDEX(hd_cap,MATCH(BT1499,hd_mark,0),0),0)</f>
        <v>0</v>
      </c>
      <c r="BS1499" s="19"/>
      <c r="BT1499" s="19"/>
      <c r="BU1499" s="100"/>
    </row>
    <row r="1500" x14ac:dyDescent="0.25">
      <c r="P1500" s="93"/>
      <c r="Q1500" s="109"/>
      <c r="R1500" t="str">
        <f>$Q$1430</f>
        <v>L3</v>
      </c>
      <c r="S1500">
        <f>$E$22</f>
        <v>21.375</v>
      </c>
      <c r="T1500" cm="1">
        <f t="array" ref="T1500">IFERROR(IF(S1500=0,0,(INDEX($C$33:$C$38,MATCH($W$1445,$B$33:$B$38,0),0)*(S1503+$X$1445)+$T$1445*COUNTIF(S1500:S1502,"&gt;0")*$C$32+$V$1445*$C$31)*$R$1445),0)</f>
        <v>0</v>
      </c>
      <c r="U1500">
        <f>IF(S1500=0,0,-(COUNTIF(S1500:S1502,"&gt;0")*$T$1445*$C$32+$V$1445*$C$31)*$H$27*$R$1445)</f>
        <v>0</v>
      </c>
      <c r="V1500">
        <f>IF(S1500=0,0,$V$1445*$H$26*$R$1445)</f>
        <v>0</v>
      </c>
      <c r="W1500">
        <f>(0.6*T1500+0.7*U1500)*$R$1445/2</f>
        <v>0</v>
      </c>
      <c r="X1500">
        <f>T1500*$R$1445/2</f>
        <v>0</v>
      </c>
      <c r="Z1500">
        <f>IF(S1500=0,0,$AD$1445*$AP$1430)</f>
        <v>0</v>
      </c>
      <c r="AA1500">
        <f>IFERROR(Z1500/$R$1445,0)</f>
        <v>0</v>
      </c>
      <c r="AB1500">
        <f>Z1500*($F$22+IF($F$22=0,0,($C$14+$C$15+IF($C$13="single",1.5,3)+3)/12))</f>
        <v>0</v>
      </c>
      <c r="AC1500">
        <f>AB1500-W1500</f>
        <v>0</v>
      </c>
      <c r="AD1500" cm="1">
        <f t="array" ref="AD1500">IFERROR(IF(AC1500&lt;0,0,AC1500/($R$1445-INDEX(hd_off,MATCH(AQ1500,hd_mark,0),0)/12)),0)</f>
        <v>0</v>
      </c>
      <c r="AE1500">
        <f>IF(S1500=0,0,$AD$1445*$AM$1430)</f>
        <v>0</v>
      </c>
      <c r="AF1500">
        <f>IFERROR(AE1500/$R$1445,0)</f>
        <v>0</v>
      </c>
      <c r="AG1500">
        <f>AE1500*($F$22+IF($F$22=0,0,($C$14+$C$15+IF($C$13="single",1.5,3)+3)/12))</f>
        <v>0</v>
      </c>
      <c r="AH1500">
        <f>AG1500-X1500</f>
        <v>0</v>
      </c>
      <c r="AI1500" cm="1">
        <f t="array" ref="AI1500">IFERROR(IF(AH1500&lt;0,0,AH1500/($R$1445-INDEX(hd_off,MATCH(AQ1500,hd_mark,0),0)/12)),0)</f>
        <v>0</v>
      </c>
      <c r="AJ1500">
        <f>MAX($F$22,$Z$1445)/$Q$1460</f>
        <v>0.30172413793103448</v>
      </c>
      <c r="AK1500">
        <f t="shared" ref="AK1500:AK1503" si="929">IF(AJ1500=0,0,IF(AJ1500&gt;2,1.25-0.125*AJ1500,1))</f>
        <v>1</v>
      </c>
      <c r="AL1500" cm="1">
        <f t="array" ref="AL1500">IFERROR(INDEX(sheath_ecap_asd,MATCH(AP1500,sheath_mark,0),0)*AK1500,0)</f>
        <v>0</v>
      </c>
      <c r="AM1500" cm="1">
        <f t="array" ref="AM1500">IFERROR(INDEX(sheath_wcap_asd,MATCH(AP1500,sheath_mark,0),0)*AK1500,0)</f>
        <v>0</v>
      </c>
      <c r="AN1500" cm="1">
        <f t="array" ref="AN1500">IFERROR(INDEX(hd_cap,MATCH(AQ1500,hd_mark,0),0),0)</f>
        <v>0</v>
      </c>
      <c r="AP1500" s="19"/>
      <c r="AQ1500" s="19"/>
      <c r="AR1500" s="100"/>
      <c r="AS1500" s="93"/>
      <c r="AT1500" s="109"/>
      <c r="AU1500" t="str">
        <f>$Q$1430</f>
        <v>L3</v>
      </c>
      <c r="AV1500">
        <f>$E$22</f>
        <v>21.375</v>
      </c>
      <c r="AW1500" cm="1">
        <f t="array" ref="AW1500">IFERROR(IF(AV1500=0,0,(INDEX($C$33:$C$38,MATCH($AZ$1445,$B$33:$B$38,0),0)*(AV1503+$BA$1445)+$AW$1445*COUNTIF(AV1500:AV1502,"&gt;0")*$C$32+$AY$1445*$C$31)*$AU$1445),0)</f>
        <v>0</v>
      </c>
      <c r="AX1500">
        <f>IF(AV1500=0,0,-(COUNTIF(AV1500:AV1502,"&gt;0")*$AW$1445*$C$32+$AY$1445*$C$31)*$H$27*$AU$1445)</f>
        <v>0</v>
      </c>
      <c r="AY1500">
        <f>IF(AV1500=0,0,$AY$1445*$H$26*$AU$1445)</f>
        <v>0</v>
      </c>
      <c r="AZ1500">
        <f>(0.6*AW1500+0.7*AX1500)*$AU$1445/2</f>
        <v>0</v>
      </c>
      <c r="BA1500">
        <f>AW1500*$AU$1445/2</f>
        <v>0</v>
      </c>
      <c r="BC1500">
        <f>IF(AV1500=0,0,$BG$1445*$AP$1430)</f>
        <v>0</v>
      </c>
      <c r="BD1500">
        <f>IFERROR(BC1500/$AU$1445,0)</f>
        <v>0</v>
      </c>
      <c r="BE1500">
        <f>BC1500*($F$22+IF($F$22=0,0,($C$14+$C$15+IF($C$13="single",1.5,3)+3)/12))</f>
        <v>0</v>
      </c>
      <c r="BF1500">
        <f>BE1500-AZ1500</f>
        <v>0</v>
      </c>
      <c r="BG1500" cm="1">
        <f t="array" ref="BG1500">IFERROR(IF(BF1500&lt;0,0,BF1500/($AU$1445-INDEX(hd_off,MATCH(BT1500,hd_mark,0),0)/12)),0)</f>
        <v>0</v>
      </c>
      <c r="BH1500">
        <f>IF(AV1500=0,0,$BG$1445*$AM$1430)</f>
        <v>0</v>
      </c>
      <c r="BI1500">
        <f>IFERROR(BH1500/$AU$1445,0)</f>
        <v>0</v>
      </c>
      <c r="BJ1500">
        <f>BH1500*($F$22+IF($F$22=0,0,($C$14+$C$15+IF($C$13="single",1.5,3)+3)/12))</f>
        <v>0</v>
      </c>
      <c r="BK1500">
        <f>BJ1500-BA1500</f>
        <v>0</v>
      </c>
      <c r="BL1500" cm="1">
        <f t="array" ref="BL1500">IFERROR(IF(BK1500&lt;0,0,BK1500/($AU$1445-INDEX(hd_off,MATCH(BT1500,hd_mark,0),0)/12)),0)</f>
        <v>0</v>
      </c>
      <c r="BM1500">
        <f>MAX($F$22,$BC$1445)/$Q$1460</f>
        <v>0.30172413793103448</v>
      </c>
      <c r="BN1500">
        <f t="shared" ref="BN1500:BN1503" si="930">IF(BM1500=0,0,IF(BM1500&gt;2,1.25-0.125*BM1500,1))</f>
        <v>1</v>
      </c>
      <c r="BO1500" cm="1">
        <f t="array" ref="BO1500">IFERROR(INDEX(sheath_ecap_asd,MATCH(BS1500,sheath_mark,0),0)*BN1500,0)</f>
        <v>0</v>
      </c>
      <c r="BP1500" cm="1">
        <f t="array" ref="BP1500">IFERROR(INDEX(sheath_wcap_asd,MATCH(BS1500,sheath_mark,0),0)*BN1500,0)</f>
        <v>0</v>
      </c>
      <c r="BQ1500" cm="1">
        <f t="array" ref="BQ1500">IFERROR(INDEX(hd_cap,MATCH(BT1500,hd_mark,0),0),0)</f>
        <v>0</v>
      </c>
      <c r="BS1500" s="19"/>
      <c r="BT1500" s="19"/>
      <c r="BU1500" s="100"/>
    </row>
    <row r="1501" x14ac:dyDescent="0.25">
      <c r="P1501" s="93"/>
      <c r="Q1501" s="109" t="s">
        <v>491</v>
      </c>
      <c r="R1501" t="str">
        <f>$Q$1431</f>
        <v>L4</v>
      </c>
      <c r="S1501">
        <f>$E$23</f>
        <v>0</v>
      </c>
      <c r="T1501" cm="1">
        <f t="array" ref="T1501">IFERROR(IF(S1501=0,0,(INDEX($C$33:$C$38,MATCH($W$1445,$B$33:$B$38,0),0)*(S1503+$X$1445)+$T$1445*COUNTIF(S1501:S1502,"&gt;0")*$C$32+$V$1445*$C$31)*$R$1445),0)</f>
        <v>0</v>
      </c>
      <c r="U1501">
        <f>IF(S1501=0,0,-(COUNTIF(S1501:S1502,"&gt;0")*$T$1445*$C$32+$V$1445*$C$31)*$H$27*$R$1445)</f>
        <v>0</v>
      </c>
      <c r="V1501">
        <f>IF(S1501=0,0,$V$1445*$H$26*$R$1445)</f>
        <v>0</v>
      </c>
      <c r="W1501">
        <f>(0.6*T1501+0.7*U1501)*$R$1445/2</f>
        <v>0</v>
      </c>
      <c r="X1501">
        <f>T1501*$R$1445/2</f>
        <v>0</v>
      </c>
      <c r="Z1501">
        <f>IF(S1501=0,0,$AD$1445*$AP$1431)</f>
        <v>0</v>
      </c>
      <c r="AA1501">
        <f>IFERROR(Z1501/$R$1445,0)</f>
        <v>0</v>
      </c>
      <c r="AB1501">
        <f>Z1501*($F$23+IF($F$23=0,0,($C$14+$C$15+IF($C$13="single",1.5,3)+3)/12))</f>
        <v>0</v>
      </c>
      <c r="AC1501">
        <f>AB1501-W1501</f>
        <v>0</v>
      </c>
      <c r="AD1501" cm="1">
        <f t="array" ref="AD1501">IFERROR(IF(AC1501&lt;0,0,AC1501/($R$1445-INDEX(hd_off,MATCH(AQ1501,hd_mark,0),0)/12)),0)</f>
        <v>0</v>
      </c>
      <c r="AE1501">
        <f>IF(S1501=0,0,$AD$1445*$AM$1431)</f>
        <v>0</v>
      </c>
      <c r="AF1501">
        <f>IFERROR(AE1501/$R$1445,0)</f>
        <v>0</v>
      </c>
      <c r="AG1501">
        <f>AE1501*($F$23+IF($F$23=0,0,($C$14+$C$15+IF($C$13="single",1.5,3)+3)/12))</f>
        <v>0</v>
      </c>
      <c r="AH1501">
        <f>AG1501-X1501</f>
        <v>0</v>
      </c>
      <c r="AI1501" cm="1">
        <f t="array" ref="AI1501">IFERROR(IF(AH1501&lt;0,0,AH1501/($R$1445-INDEX(hd_off,MATCH(AQ1501,hd_mark,0),0)/12)),0)</f>
        <v>0</v>
      </c>
      <c r="AJ1501">
        <f>MAX($F$23,$AA$1445)/$Q$1460</f>
        <v>0</v>
      </c>
      <c r="AK1501">
        <f t="shared" si="929"/>
        <v>0</v>
      </c>
      <c r="AL1501" cm="1">
        <f t="array" ref="AL1501">IFERROR(INDEX(sheath_ecap_asd,MATCH(AP1501,sheath_mark,0),0)*AK1501,0)</f>
        <v>0</v>
      </c>
      <c r="AM1501" cm="1">
        <f t="array" ref="AM1501">IFERROR(INDEX(sheath_wcap_asd,MATCH(AP1501,sheath_mark,0),0)*AK1501,0)</f>
        <v>0</v>
      </c>
      <c r="AN1501" cm="1">
        <f t="array" ref="AN1501">IFERROR(INDEX(hd_cap,MATCH(AQ1501,hd_mark,0),0),0)</f>
        <v>0</v>
      </c>
      <c r="AP1501" s="19"/>
      <c r="AQ1501" s="19"/>
      <c r="AR1501" s="100"/>
      <c r="AS1501" s="93"/>
      <c r="AT1501" s="109" t="s">
        <v>491</v>
      </c>
      <c r="AU1501" t="str">
        <f>$Q$1431</f>
        <v>L4</v>
      </c>
      <c r="AV1501">
        <f>$E$23</f>
        <v>0</v>
      </c>
      <c r="AW1501" cm="1">
        <f t="array" ref="AW1501">IFERROR(IF(AV1501=0,0,(INDEX($C$33:$C$38,MATCH($AZ$1445,$B$33:$B$38,0),0)*(AV1503+$BA$1445)+$AW$1445*COUNTIF(AV1501:AV1502,"&gt;0")*$C$32+$AY$1445*$C$31)*$AU$1445),0)</f>
        <v>0</v>
      </c>
      <c r="AX1501">
        <f>IF(AV1501=0,0,-(COUNTIF(AV1501:AV1502,"&gt;0")*$AW$1445*$C$32+$AY$1445*$C$31)*$H$27*$AU$1445)</f>
        <v>0</v>
      </c>
      <c r="AY1501">
        <f>IF(AV1501=0,0,$AY$1445*$H$26*$AU$1445)</f>
        <v>0</v>
      </c>
      <c r="AZ1501">
        <f>(0.6*AW1501+0.7*AX1501)*$AU$1445/2</f>
        <v>0</v>
      </c>
      <c r="BA1501">
        <f>AW1501*$AU$1445/2</f>
        <v>0</v>
      </c>
      <c r="BC1501">
        <f>IF(AV1501=0,0,$BG$1445*$AP$1431)</f>
        <v>0</v>
      </c>
      <c r="BD1501">
        <f>IFERROR(BC1501/$AU$1445,0)</f>
        <v>0</v>
      </c>
      <c r="BE1501">
        <f>BC1501*($F$23+IF($F$23=0,0,($C$14+$C$15+IF($C$13="single",1.5,3)+3)/12))</f>
        <v>0</v>
      </c>
      <c r="BF1501">
        <f>BE1501-AZ1501</f>
        <v>0</v>
      </c>
      <c r="BG1501" cm="1">
        <f t="array" ref="BG1501">IFERROR(IF(BF1501&lt;0,0,BF1501/($AU$1445-INDEX(hd_off,MATCH(BT1501,hd_mark,0),0)/12)),0)</f>
        <v>0</v>
      </c>
      <c r="BH1501">
        <f>IF(AV1501=0,0,$BG$1445*$AM$1431)</f>
        <v>0</v>
      </c>
      <c r="BI1501">
        <f>IFERROR(BH1501/$AU$1445,0)</f>
        <v>0</v>
      </c>
      <c r="BJ1501">
        <f>BH1501*($F$23+IF($F$23=0,0,($C$14+$C$15+IF($C$13="single",1.5,3)+3)/12))</f>
        <v>0</v>
      </c>
      <c r="BK1501">
        <f>BJ1501-BA1501</f>
        <v>0</v>
      </c>
      <c r="BL1501" cm="1">
        <f t="array" ref="BL1501">IFERROR(IF(BK1501&lt;0,0,BK1501/($AU$1445-INDEX(hd_off,MATCH(BT1501,hd_mark,0),0)/12)),0)</f>
        <v>0</v>
      </c>
      <c r="BM1501">
        <f>MAX($F$23,$BD$1445)/$Q$1460</f>
        <v>0</v>
      </c>
      <c r="BN1501">
        <f t="shared" si="930"/>
        <v>0</v>
      </c>
      <c r="BO1501" cm="1">
        <f t="array" ref="BO1501">IFERROR(INDEX(sheath_ecap_asd,MATCH(BS1501,sheath_mark,0),0)*BN1501,0)</f>
        <v>0</v>
      </c>
      <c r="BP1501" cm="1">
        <f t="array" ref="BP1501">IFERROR(INDEX(sheath_wcap_asd,MATCH(BS1501,sheath_mark,0),0)*BN1501,0)</f>
        <v>0</v>
      </c>
      <c r="BQ1501" cm="1">
        <f t="array" ref="BQ1501">IFERROR(INDEX(hd_cap,MATCH(BT1501,hd_mark,0),0),0)</f>
        <v>0</v>
      </c>
      <c r="BS1501" s="19"/>
      <c r="BT1501" s="19"/>
      <c r="BU1501" s="100"/>
    </row>
    <row r="1502" x14ac:dyDescent="0.25">
      <c r="P1502" s="93"/>
      <c r="Q1502" s="111">
        <f>$R$1445</f>
        <v>0</v>
      </c>
      <c r="R1502" t="str">
        <f>$Q$1432</f>
        <v>L5</v>
      </c>
      <c r="S1502">
        <f>$E$24</f>
        <v>0</v>
      </c>
      <c r="T1502" cm="1">
        <f t="array" ref="T1502">IFERROR(IF(S1502=0,0,(INDEX($C$33:$C$38,MATCH($W$1445,$B$33:$B$38,0),0)*(S1503+$X$1445)+$T$1445*COUNTIF(S1502:S1502,"&gt;0")*$C$32+$V$1445*$C$31)*$R$1445),0)</f>
        <v>0</v>
      </c>
      <c r="U1502">
        <f>IF(S1502=0,0,-(COUNTIF(S1502:S1502,"&gt;0")*$T$1445*$C$32+$V$1445*$C$31)*$H$27*$R$1445)</f>
        <v>0</v>
      </c>
      <c r="V1502">
        <f>IF(S1502=0,0,$V$1445*$H$26*$R$1445)</f>
        <v>0</v>
      </c>
      <c r="W1502">
        <f>(0.6*T1502+0.7*U1502)*$R$1445/2</f>
        <v>0</v>
      </c>
      <c r="X1502">
        <f>T1502*$R$1445/2</f>
        <v>0</v>
      </c>
      <c r="Z1502">
        <f>IF(S1502=0,0,$AD$1445*$AP$1432)</f>
        <v>0</v>
      </c>
      <c r="AA1502">
        <f>IFERROR(Z1502/$R$1445,0)</f>
        <v>0</v>
      </c>
      <c r="AB1502">
        <f>Z1502*($F$24+IF($F$24=0,0,($C$14+$C$15+IF($C$13="single",1.5,3)+3)/12))</f>
        <v>0</v>
      </c>
      <c r="AC1502">
        <f>AB1502-W1502</f>
        <v>0</v>
      </c>
      <c r="AD1502" cm="1">
        <f t="array" ref="AD1502">IFERROR(IF(AC1502&lt;0,0,AC1502/($R$1445-INDEX(hd_off,MATCH(AQ1502,hd_mark,0),0)/12)),0)</f>
        <v>0</v>
      </c>
      <c r="AE1502">
        <f>IF(S1502=0,0,$AD$1445*$AM$1432)</f>
        <v>0</v>
      </c>
      <c r="AF1502">
        <f>IFERROR(AE1502/$R$1445,0)</f>
        <v>0</v>
      </c>
      <c r="AG1502">
        <f>AE1502*($F$24+IF($F$24=0,0,($C$14+$C$15+IF($C$13="single",1.5,3)+3)/12))</f>
        <v>0</v>
      </c>
      <c r="AH1502">
        <f>AG1502-X1502</f>
        <v>0</v>
      </c>
      <c r="AI1502" cm="1">
        <f t="array" ref="AI1502">IFERROR(IF(AH1502&lt;0,0,AH1502/($R$1445-INDEX(hd_off,MATCH(AQ1502,hd_mark,0),0)/12)),0)</f>
        <v>0</v>
      </c>
      <c r="AJ1502">
        <f>MAX($F$24,$AB$1445)/$Q$1460</f>
        <v>0</v>
      </c>
      <c r="AK1502">
        <f t="shared" si="929"/>
        <v>0</v>
      </c>
      <c r="AL1502" cm="1">
        <f t="array" ref="AL1502">IFERROR(INDEX(sheath_ecap_asd,MATCH(AP1502,sheath_mark,0),0)*AK1502,0)</f>
        <v>0</v>
      </c>
      <c r="AM1502" cm="1">
        <f t="array" ref="AM1502">IFERROR(INDEX(sheath_wcap_asd,MATCH(AP1502,sheath_mark,0),0)*AK1502,0)</f>
        <v>0</v>
      </c>
      <c r="AN1502" cm="1">
        <f t="array" ref="AN1502">IFERROR(INDEX(hd_cap,MATCH(AQ1502,hd_mark,0),0),0)</f>
        <v>0</v>
      </c>
      <c r="AP1502" s="19"/>
      <c r="AQ1502" s="19"/>
      <c r="AR1502" s="100"/>
      <c r="AS1502" s="93"/>
      <c r="AT1502" s="111">
        <f>$R$1445</f>
        <v>0</v>
      </c>
      <c r="AU1502" t="str">
        <f>$Q$1432</f>
        <v>L5</v>
      </c>
      <c r="AV1502">
        <f>$E$24</f>
        <v>0</v>
      </c>
      <c r="AW1502" cm="1">
        <f t="array" ref="AW1502">IFERROR(IF(AV1502=0,0,(INDEX($C$33:$C$38,MATCH($AZ$1445,$B$33:$B$38,0),0)*(AV1503+$BA$1445)+$AW$1445*COUNTIF(AV1502:AV1502,"&gt;0")*$C$32+$AY$1445*$C$31)*$AU$1445),0)</f>
        <v>0</v>
      </c>
      <c r="AX1502">
        <f>IF(AV1502=0,0,-(COUNTIF(AV1502:AV1502,"&gt;0")*$AW$1445*$C$32+$AY$1445*$C$31)*$H$27*$AU$1445)</f>
        <v>0</v>
      </c>
      <c r="AY1502">
        <f>IF(AV1502=0,0,$AY$1445*$H$26*$AU$1445)</f>
        <v>0</v>
      </c>
      <c r="AZ1502">
        <f>(0.6*AW1502+0.7*AX1502)*$AU$1445/2</f>
        <v>0</v>
      </c>
      <c r="BA1502">
        <f>AW1502*$AU$1445/2</f>
        <v>0</v>
      </c>
      <c r="BC1502">
        <f>IF(AV1502=0,0,$BG$1445*$AP$1432)</f>
        <v>0</v>
      </c>
      <c r="BD1502">
        <f>IFERROR(BC1502/$AU$1445,0)</f>
        <v>0</v>
      </c>
      <c r="BE1502">
        <f>BC1502*($F$24+IF($F$24=0,0,($C$14+$C$15+IF($C$13="single",1.5,3)+3)/12))</f>
        <v>0</v>
      </c>
      <c r="BF1502">
        <f>BE1502-AZ1502</f>
        <v>0</v>
      </c>
      <c r="BG1502" cm="1">
        <f t="array" ref="BG1502">IFERROR(IF(BF1502&lt;0,0,BF1502/($AU$1445-INDEX(hd_off,MATCH(BT1502,hd_mark,0),0)/12)),0)</f>
        <v>0</v>
      </c>
      <c r="BH1502">
        <f>IF(AV1502=0,0,$BG$1445*$AM$1432)</f>
        <v>0</v>
      </c>
      <c r="BI1502">
        <f>IFERROR(BH1502/$AU$1445,0)</f>
        <v>0</v>
      </c>
      <c r="BJ1502">
        <f>BH1502*($F$24+IF($F$24=0,0,($C$14+$C$15+IF($C$13="single",1.5,3)+3)/12))</f>
        <v>0</v>
      </c>
      <c r="BK1502">
        <f>BJ1502-BA1502</f>
        <v>0</v>
      </c>
      <c r="BL1502" cm="1">
        <f t="array" ref="BL1502">IFERROR(IF(BK1502&lt;0,0,BK1502/($AU$1445-INDEX(hd_off,MATCH(BT1502,hd_mark,0),0)/12)),0)</f>
        <v>0</v>
      </c>
      <c r="BM1502">
        <f>MAX($F$24,$BE$1445)/$Q$1460</f>
        <v>0</v>
      </c>
      <c r="BN1502">
        <f t="shared" si="930"/>
        <v>0</v>
      </c>
      <c r="BO1502" cm="1">
        <f t="array" ref="BO1502">IFERROR(INDEX(sheath_ecap_asd,MATCH(BS1502,sheath_mark,0),0)*BN1502,0)</f>
        <v>0</v>
      </c>
      <c r="BP1502" cm="1">
        <f t="array" ref="BP1502">IFERROR(INDEX(sheath_wcap_asd,MATCH(BS1502,sheath_mark,0),0)*BN1502,0)</f>
        <v>0</v>
      </c>
      <c r="BQ1502" cm="1">
        <f t="array" ref="BQ1502">IFERROR(INDEX(hd_cap,MATCH(BT1502,hd_mark,0),0),0)</f>
        <v>0</v>
      </c>
      <c r="BS1502" s="19"/>
      <c r="BT1502" s="19"/>
      <c r="BU1502" s="100"/>
    </row>
    <row r="1503" x14ac:dyDescent="0.25">
      <c r="P1503" s="93"/>
      <c r="Q1503" s="109"/>
      <c r="R1503" t="str">
        <f>$Q$1433</f>
        <v>Roof</v>
      </c>
      <c r="S1503">
        <f>$E$25</f>
        <v>33.171875</v>
      </c>
      <c r="T1503" cm="1">
        <f t="array" ref="T1503">IFERROR(IF(S1503=0,0,(INDEX($C$33:$C$38,MATCH($W$1445,$B$33:$B$38,0),0)*(S1503+$X$1445)+$V$1445*$C$31)*$R$1445),0)</f>
        <v>0</v>
      </c>
      <c r="U1503">
        <f>IF(S1503=0,0,-$V$1445*$C$31*$H$27*$R$1445)</f>
        <v>0</v>
      </c>
      <c r="V1503">
        <f>IF(S1503=0,0,$V$1445*$H$26*$R$1445)</f>
        <v>0</v>
      </c>
      <c r="W1503">
        <f>(0.6*T1503+0.7*U1503)*$R$1445/2</f>
        <v>0</v>
      </c>
      <c r="X1503">
        <f>T1503*$R$1445/2</f>
        <v>0</v>
      </c>
      <c r="Z1503">
        <f>IF(S1503=0,0,$AD$1445*$AP$1433)</f>
        <v>0</v>
      </c>
      <c r="AA1503">
        <f>IFERROR(Z1503/$R$1445,0)</f>
        <v>0</v>
      </c>
      <c r="AB1503">
        <f>Z1503*($F$25+($C$16+$C$17+IF($C$13="single",1.5,3)+3)/12)</f>
        <v>0</v>
      </c>
      <c r="AC1503">
        <f>AB1503-W1503</f>
        <v>0</v>
      </c>
      <c r="AD1503" cm="1">
        <f t="array" ref="AD1503">IFERROR(IF(AC1503&lt;0,0,AC1503/($R$1445-INDEX(hd_off,MATCH(AQ1503,hd_mark,0),0)/12)),0)</f>
        <v>0</v>
      </c>
      <c r="AE1503">
        <f>IF(S1503=0,0,$AD$1445*$AM$1433)</f>
        <v>0</v>
      </c>
      <c r="AF1503">
        <f>IFERROR(AE1503/$R$1445,0)</f>
        <v>0</v>
      </c>
      <c r="AG1503">
        <f>AE1503*($F$25+($C$16+$C$17+IF($C$13="single",1.5,3)+3)/12)</f>
        <v>0</v>
      </c>
      <c r="AH1503">
        <f>AG1503-X1503</f>
        <v>0</v>
      </c>
      <c r="AI1503" cm="1">
        <f t="array" ref="AI1503">IFERROR(IF(AH1503&lt;0,0,AH1503/($R$1445-INDEX(hd_off,MATCH(AQ1503,hd_mark,0),0)/12)),0)</f>
        <v>0</v>
      </c>
      <c r="AJ1503">
        <f>MAX($F$25,$AC$1445)/$Q$1460</f>
        <v>0.29920977011494249</v>
      </c>
      <c r="AK1503">
        <f t="shared" si="929"/>
        <v>1</v>
      </c>
      <c r="AL1503" cm="1">
        <f t="array" ref="AL1503">IFERROR(INDEX(sheath_ecap_asd,MATCH(AP1503,sheath_mark,0),0)*AK1503,0)</f>
        <v>0</v>
      </c>
      <c r="AM1503" cm="1">
        <f t="array" ref="AM1503">IFERROR(INDEX(sheath_wcap_asd,MATCH(AP1503,sheath_mark,0),0)*AK1503,0)</f>
        <v>0</v>
      </c>
      <c r="AN1503" cm="1">
        <f t="array" ref="AN1503">IFERROR(INDEX(hd_cap,MATCH(AQ1503,hd_mark,0),0),0)</f>
        <v>0</v>
      </c>
      <c r="AP1503" s="19"/>
      <c r="AQ1503" s="19"/>
      <c r="AR1503" s="100"/>
      <c r="AS1503" s="93"/>
      <c r="AT1503" s="109"/>
      <c r="AU1503" t="str">
        <f>$Q$1433</f>
        <v>Roof</v>
      </c>
      <c r="AV1503">
        <f>$E$25</f>
        <v>33.171875</v>
      </c>
      <c r="AW1503" cm="1">
        <f t="array" ref="AW1503">IFERROR(IF(AV1503=0,0,(INDEX($C$33:$C$38,MATCH($AZ$1445,$B$33:$B$38,0),0)*(AV1503+$BA$1445)+$AY$1445*$C$31)*$AU$1445),0)</f>
        <v>0</v>
      </c>
      <c r="AX1503">
        <f>IF(AV1503=0,0,-$AY$1445*$C$31*$H$27*$AU$1445)</f>
        <v>0</v>
      </c>
      <c r="AY1503">
        <f>IF(AV1503=0,0,$AY$1445*$H$26*$AU$1445)</f>
        <v>0</v>
      </c>
      <c r="AZ1503">
        <f>(0.6*AW1503+0.7*AX1503)*$AU$1445/2</f>
        <v>0</v>
      </c>
      <c r="BA1503">
        <f>AW1503*$AU$1445/2</f>
        <v>0</v>
      </c>
      <c r="BC1503">
        <f>IF(AV1503=0,0,$BG$1445*$AP$1433)</f>
        <v>0</v>
      </c>
      <c r="BD1503">
        <f>IFERROR(BC1503/$AU$1445,0)</f>
        <v>0</v>
      </c>
      <c r="BE1503">
        <f>BC1503*($F$25+($C$16+$C$17+IF($C$13="single",1.5,3)+3)/12)</f>
        <v>0</v>
      </c>
      <c r="BF1503">
        <f>BE1503-AZ1503</f>
        <v>0</v>
      </c>
      <c r="BG1503" cm="1">
        <f t="array" ref="BG1503">IFERROR(IF(BF1503&lt;0,0,BF1503/($AU$1445-INDEX(hd_off,MATCH(BT1503,hd_mark,0),0)/12)),0)</f>
        <v>0</v>
      </c>
      <c r="BH1503">
        <f>IF(AV1503=0,0,$BG$1445*$AM$1433)</f>
        <v>0</v>
      </c>
      <c r="BI1503">
        <f>IFERROR(BH1503/$AU$1445,0)</f>
        <v>0</v>
      </c>
      <c r="BJ1503">
        <f>BH1503*($F$25+($C$16+$C$17+IF($C$13="single",1.5,3)+3)/12)</f>
        <v>0</v>
      </c>
      <c r="BK1503">
        <f>BJ1503-BA1503</f>
        <v>0</v>
      </c>
      <c r="BL1503" cm="1">
        <f t="array" ref="BL1503">IFERROR(IF(BK1503&lt;0,0,BK1503/($AU$1445-INDEX(hd_off,MATCH(BT1503,hd_mark,0),0)/12)),0)</f>
        <v>0</v>
      </c>
      <c r="BM1503">
        <f>MAX($F$25,$BF$1445)/$Q$1460</f>
        <v>0.29920977011494249</v>
      </c>
      <c r="BN1503">
        <f t="shared" si="930"/>
        <v>1</v>
      </c>
      <c r="BO1503" cm="1">
        <f t="array" ref="BO1503">IFERROR(INDEX(sheath_ecap_asd,MATCH(BS1503,sheath_mark,0),0)*BN1503,0)</f>
        <v>0</v>
      </c>
      <c r="BP1503" cm="1">
        <f t="array" ref="BP1503">IFERROR(INDEX(sheath_wcap_asd,MATCH(BS1503,sheath_mark,0),0)*BN1503,0)</f>
        <v>0</v>
      </c>
      <c r="BQ1503" cm="1">
        <f t="array" ref="BQ1503">IFERROR(INDEX(hd_cap,MATCH(BT1503,hd_mark,0),0),0)</f>
        <v>0</v>
      </c>
      <c r="BS1503" s="19"/>
      <c r="BT1503" s="19"/>
      <c r="BU1503" s="100"/>
    </row>
    <row r="1504" x14ac:dyDescent="0.25">
      <c r="P1504" s="93"/>
      <c r="AR1504" s="100"/>
      <c r="AS1504" s="93"/>
      <c r="BU1504" s="100"/>
    </row>
    <row r="1505" x14ac:dyDescent="0.25">
      <c r="P1505" s="93"/>
      <c r="Q1505" s="110" t="str">
        <f>$Q$1446</f>
        <v>A.09</v>
      </c>
      <c r="R1505" t="str">
        <f>$Q$1429</f>
        <v>L2</v>
      </c>
      <c r="S1505">
        <f>$E$21</f>
        <v>10.6875</v>
      </c>
      <c r="T1505" cm="1">
        <f t="array" ref="T1505">IFERROR(IF(S1505=0,0,(INDEX($C$33:$C$38,MATCH($W$1446,$B$33:$B$38,0),0)*(S1509+$X$1446)+$T$1446*COUNTIF(S1505:S1508,"&gt;0")*$C$32+$V$1446*$C$31)*$R$1446),0)</f>
        <v>0</v>
      </c>
      <c r="U1505">
        <f>IF(S1505=0,0,-(COUNTIF(S1505:S1508,"&gt;0")*$T$1446*$C$32+$V$1446*$C$31)*$H$27*$R$1446)</f>
        <v>0</v>
      </c>
      <c r="V1505">
        <f>IF(S1505=0,0,$V$1446*$H$26*$R$1446)</f>
        <v>0</v>
      </c>
      <c r="W1505">
        <f>(0.6*T1505+0.7*U1505)*$R$1446/2</f>
        <v>0</v>
      </c>
      <c r="X1505">
        <f>(0.6*T1505+0.6*V1505)*$R$1446/2</f>
        <v>0</v>
      </c>
      <c r="Z1505">
        <f>IF(S1505=0,0,$AD$1446*$AP$1429)</f>
        <v>0</v>
      </c>
      <c r="AA1505">
        <f>IFERROR(Z1505/$R$1446,0)</f>
        <v>0</v>
      </c>
      <c r="AB1505">
        <f>Z1505*($F$21+IF($F$21=0,0,($C$14+$C$15+IF($C$13="single",1.5,3)+3)/12))</f>
        <v>0</v>
      </c>
      <c r="AC1505">
        <f>AB1505-W1505</f>
        <v>0</v>
      </c>
      <c r="AD1505" cm="1">
        <f t="array" ref="AD1505">IFERROR(IF(AC1505&lt;0,0,AC1505/($R$1446-INDEX(hd_off,MATCH(AQ1505,hd_mark,0),0)/12)),0)</f>
        <v>0</v>
      </c>
      <c r="AE1505">
        <f>IF(S1505=0,0,$AD$1446*$AM$1429)</f>
        <v>0</v>
      </c>
      <c r="AF1505">
        <f>IFERROR(AE1505/$R$1446,0)</f>
        <v>0</v>
      </c>
      <c r="AG1505">
        <f>AE1505*($F$21+IF($F$21=0,0,($C$14+$C$15+IF($C$13="single",1.5,3)+3)/12))</f>
        <v>0</v>
      </c>
      <c r="AH1505">
        <f>AG1505-X1505</f>
        <v>0</v>
      </c>
      <c r="AI1505" cm="1">
        <f t="array" ref="AI1505">IFERROR(IF(AH1505&lt;0,0,AH1505/($R$1446-INDEX(hd_off,MATCH(AQ1505,hd_mark,0),0)/12)),0)</f>
        <v>0</v>
      </c>
      <c r="AJ1505">
        <f>MAX($F$21,$Y$1446)/$Q$1460</f>
        <v>0.30172413793103448</v>
      </c>
      <c r="AK1505">
        <f>IF(AJ1505=0,0,IF(AJ1505&gt;2,1.25-0.125*AJ1505,1))</f>
        <v>1</v>
      </c>
      <c r="AL1505" cm="1">
        <f t="array" ref="AL1505">IFERROR(INDEX(sheath_ecap_asd,MATCH(AP1505,sheath_mark,0),0)*AK1505,0)</f>
        <v>0</v>
      </c>
      <c r="AM1505" cm="1">
        <f t="array" ref="AM1505">IFERROR(INDEX(sheath_wcap_asd,MATCH(AP1505,sheath_mark,0),0)*AK1505,0)</f>
        <v>0</v>
      </c>
      <c r="AN1505" cm="1">
        <f t="array" ref="AN1505">IFERROR(INDEX(hd_cap,MATCH(AQ1505,hd_mark,0),0),0)</f>
        <v>0</v>
      </c>
      <c r="AP1505" s="19"/>
      <c r="AQ1505" s="19"/>
      <c r="AR1505" s="100"/>
      <c r="AS1505" s="93"/>
      <c r="AT1505" s="110" t="str">
        <f>$AT$1446</f>
        <v>1.09</v>
      </c>
      <c r="AU1505" t="str">
        <f>$Q$1429</f>
        <v>L2</v>
      </c>
      <c r="AV1505">
        <f>$E$21</f>
        <v>10.6875</v>
      </c>
      <c r="AW1505" cm="1">
        <f t="array" ref="AW1505">IFERROR(IF(AV1505=0,0,(INDEX($C$33:$C$38,MATCH($AZ$1446,$B$33:$B$38,0),0)*(AV1509+$BA$1446)+$AW$1446*COUNTIF(AV1505:AV1508,"&gt;0")*$C$32+$AY$1446*$C$31)*$AU$1446),0)</f>
        <v>0</v>
      </c>
      <c r="AX1505">
        <f>IF(AV1505=0,0,-(COUNTIF(AV1505:AV1508,"&gt;0")*$AW$1446*$C$32+$AY$1446*$C$31)*$H$27*$AU$1446)</f>
        <v>0</v>
      </c>
      <c r="AY1505">
        <f>IF(AV1505=0,0,$AY$1446*$H$26*$AU$1446)</f>
        <v>0</v>
      </c>
      <c r="AZ1505">
        <f>(0.6*AW1505+0.7*AX1505)*$AU$1446/2</f>
        <v>0</v>
      </c>
      <c r="BA1505">
        <f>(0.6*AW1505+0.6*AY1505)*$AU$1446/2</f>
        <v>0</v>
      </c>
      <c r="BC1505">
        <f>IF(AV1505=0,0,$BG$1446*$AP$1429)</f>
        <v>0</v>
      </c>
      <c r="BD1505">
        <f>IFERROR(BC1505/$AU$1446,0)</f>
        <v>0</v>
      </c>
      <c r="BE1505">
        <f>BC1505*($F$21+IF($F$21=0,0,($C$14+$C$15+IF($C$13="single",1.5,3)+3)/12))</f>
        <v>0</v>
      </c>
      <c r="BF1505">
        <f>BE1505-AZ1505</f>
        <v>0</v>
      </c>
      <c r="BG1505" cm="1">
        <f t="array" ref="BG1505">IFERROR(IF(BF1505&lt;0,0,BF1505/($AU$1446-INDEX(hd_off,MATCH(BT1505,hd_mark,0),0)/12)),0)</f>
        <v>0</v>
      </c>
      <c r="BH1505">
        <f>IF(AV1505=0,0,$BG$1446*$AM$1429)</f>
        <v>0</v>
      </c>
      <c r="BI1505">
        <f>IFERROR(BH1505/$AU$1446,0)</f>
        <v>0</v>
      </c>
      <c r="BJ1505">
        <f>BH1505*($F$21+IF($F$21=0,0,($C$14+$C$15+IF($C$13="single",1.5,3)+3)/12))</f>
        <v>0</v>
      </c>
      <c r="BK1505">
        <f>BJ1505-BA1505</f>
        <v>0</v>
      </c>
      <c r="BL1505" cm="1">
        <f t="array" ref="BL1505">IFERROR(IF(BK1505&lt;0,0,BK1505/($AU$1446-INDEX(hd_off,MATCH(BT1505,hd_mark,0),0)/12)),0)</f>
        <v>0</v>
      </c>
      <c r="BM1505">
        <f>MAX($F$21,$BB$1446)/$Q$1460</f>
        <v>0.30172413793103448</v>
      </c>
      <c r="BN1505">
        <f>IF(BM1505=0,0,IF(BM1505&gt;2,1.25-0.125*BM1505,1))</f>
        <v>1</v>
      </c>
      <c r="BO1505" cm="1">
        <f t="array" ref="BO1505">IFERROR(INDEX(sheath_ecap_asd,MATCH(BS1505,sheath_mark,0),0)*BN1505,0)</f>
        <v>0</v>
      </c>
      <c r="BP1505" cm="1">
        <f t="array" ref="BP1505">IFERROR(INDEX(sheath_wcap_asd,MATCH(BS1505,sheath_mark,0),0)*BN1505,0)</f>
        <v>0</v>
      </c>
      <c r="BQ1505" cm="1">
        <f t="array" ref="BQ1505">IFERROR(INDEX(hd_cap,MATCH(BT1505,hd_mark,0),0),0)</f>
        <v>0</v>
      </c>
      <c r="BS1505" s="19"/>
      <c r="BT1505" s="19"/>
      <c r="BU1505" s="100"/>
    </row>
    <row r="1506" x14ac:dyDescent="0.25">
      <c r="P1506" s="93"/>
      <c r="Q1506" s="109"/>
      <c r="R1506" t="str">
        <f>$Q$1430</f>
        <v>L3</v>
      </c>
      <c r="S1506">
        <f>$E$22</f>
        <v>21.375</v>
      </c>
      <c r="T1506" cm="1">
        <f t="array" ref="T1506">IFERROR(IF(S1506=0,0,(INDEX($C$33:$C$38,MATCH($W$1446,$B$33:$B$38,0),0)*(S1509+$X$1446)+$T$1446*COUNTIF(S1506:S1508,"&gt;0")*$C$32+$V$1446*$C$31)*$R$1446),0)</f>
        <v>0</v>
      </c>
      <c r="U1506">
        <f>IF(S1506=0,0,-(COUNTIF(S1506:S1508,"&gt;0")*$T$1446*$C$32+$V$1446*$C$31)*$H$27*$R$1446)</f>
        <v>0</v>
      </c>
      <c r="V1506">
        <f>IF(S1506=0,0,$V$1446*$H$26*$R$1446)</f>
        <v>0</v>
      </c>
      <c r="W1506">
        <f>(0.6*T1506+0.7*U1506)*$R$1446/2</f>
        <v>0</v>
      </c>
      <c r="X1506">
        <f>T1506*$R$1446/2</f>
        <v>0</v>
      </c>
      <c r="Z1506">
        <f>IF(S1506=0,0,$AD$1446*$AP$1430)</f>
        <v>0</v>
      </c>
      <c r="AA1506">
        <f>IFERROR(Z1506/$R$1446,0)</f>
        <v>0</v>
      </c>
      <c r="AB1506">
        <f>Z1506*($F$22+IF($F$22=0,0,($C$14+$C$15+IF($C$13="single",1.5,3)+3)/12))</f>
        <v>0</v>
      </c>
      <c r="AC1506">
        <f>AB1506-W1506</f>
        <v>0</v>
      </c>
      <c r="AD1506" cm="1">
        <f t="array" ref="AD1506">IFERROR(IF(AC1506&lt;0,0,AC1506/($R$1446-INDEX(hd_off,MATCH(AQ1506,hd_mark,0),0)/12)),0)</f>
        <v>0</v>
      </c>
      <c r="AE1506">
        <f>IF(S1506=0,0,$AD$1446*$AM$1430)</f>
        <v>0</v>
      </c>
      <c r="AF1506">
        <f>IFERROR(AE1506/$R$1446,0)</f>
        <v>0</v>
      </c>
      <c r="AG1506">
        <f>AE1506*($F$22+IF($F$22=0,0,($C$14+$C$15+IF($C$13="single",1.5,3)+3)/12))</f>
        <v>0</v>
      </c>
      <c r="AH1506">
        <f>AG1506-X1506</f>
        <v>0</v>
      </c>
      <c r="AI1506" cm="1">
        <f t="array" ref="AI1506">IFERROR(IF(AH1506&lt;0,0,AH1506/($R$1446-INDEX(hd_off,MATCH(AQ1506,hd_mark,0),0)/12)),0)</f>
        <v>0</v>
      </c>
      <c r="AJ1506">
        <f>MAX($F$22,$Z$1446)/$Q$1460</f>
        <v>0.30172413793103448</v>
      </c>
      <c r="AK1506">
        <f t="shared" ref="AK1506:AK1509" si="931">IF(AJ1506=0,0,IF(AJ1506&gt;2,1.25-0.125*AJ1506,1))</f>
        <v>1</v>
      </c>
      <c r="AL1506" cm="1">
        <f t="array" ref="AL1506">IFERROR(INDEX(sheath_ecap_asd,MATCH(AP1506,sheath_mark,0),0)*AK1506,0)</f>
        <v>0</v>
      </c>
      <c r="AM1506" cm="1">
        <f t="array" ref="AM1506">IFERROR(INDEX(sheath_wcap_asd,MATCH(AP1506,sheath_mark,0),0)*AK1506,0)</f>
        <v>0</v>
      </c>
      <c r="AN1506" cm="1">
        <f t="array" ref="AN1506">IFERROR(INDEX(hd_cap,MATCH(AQ1506,hd_mark,0),0),0)</f>
        <v>0</v>
      </c>
      <c r="AP1506" s="19"/>
      <c r="AQ1506" s="19"/>
      <c r="AR1506" s="100"/>
      <c r="AS1506" s="93"/>
      <c r="AT1506" s="109"/>
      <c r="AU1506" t="str">
        <f>$Q$1430</f>
        <v>L3</v>
      </c>
      <c r="AV1506">
        <f>$E$22</f>
        <v>21.375</v>
      </c>
      <c r="AW1506" cm="1">
        <f t="array" ref="AW1506">IFERROR(IF(AV1506=0,0,(INDEX($C$33:$C$38,MATCH($AZ$1446,$B$33:$B$38,0),0)*(AV1509+$BA$1446)+$AW$1446*COUNTIF(AV1506:AV1508,"&gt;0")*$C$32+$AY$1446*$C$31)*$AU$1446),0)</f>
        <v>0</v>
      </c>
      <c r="AX1506">
        <f>IF(AV1506=0,0,-(COUNTIF(AV1506:AV1508,"&gt;0")*$AW$1446*$C$32+$AY$1446*$C$31)*$H$27*$AU$1446)</f>
        <v>0</v>
      </c>
      <c r="AY1506">
        <f>IF(AV1506=0,0,$AY$1446*$H$26*$AU$1446)</f>
        <v>0</v>
      </c>
      <c r="AZ1506">
        <f>(0.6*AW1506+0.7*AX1506)*$AU$1446/2</f>
        <v>0</v>
      </c>
      <c r="BA1506">
        <f>AW1506*$AU$1446/2</f>
        <v>0</v>
      </c>
      <c r="BC1506">
        <f>IF(AV1506=0,0,$BG$1446*$AP$1430)</f>
        <v>0</v>
      </c>
      <c r="BD1506">
        <f>IFERROR(BC1506/$AU$1446,0)</f>
        <v>0</v>
      </c>
      <c r="BE1506">
        <f>BC1506*($F$22+IF($F$22=0,0,($C$14+$C$15+IF($C$13="single",1.5,3)+3)/12))</f>
        <v>0</v>
      </c>
      <c r="BF1506">
        <f>BE1506-AZ1506</f>
        <v>0</v>
      </c>
      <c r="BG1506" cm="1">
        <f t="array" ref="BG1506">IFERROR(IF(BF1506&lt;0,0,BF1506/($AU$1446-INDEX(hd_off,MATCH(BT1506,hd_mark,0),0)/12)),0)</f>
        <v>0</v>
      </c>
      <c r="BH1506">
        <f>IF(AV1506=0,0,$BG$1446*$AM$1430)</f>
        <v>0</v>
      </c>
      <c r="BI1506">
        <f>IFERROR(BH1506/$AU$1446,0)</f>
        <v>0</v>
      </c>
      <c r="BJ1506">
        <f>BH1506*($F$22+IF($F$22=0,0,($C$14+$C$15+IF($C$13="single",1.5,3)+3)/12))</f>
        <v>0</v>
      </c>
      <c r="BK1506">
        <f>BJ1506-BA1506</f>
        <v>0</v>
      </c>
      <c r="BL1506" cm="1">
        <f t="array" ref="BL1506">IFERROR(IF(BK1506&lt;0,0,BK1506/($AU$1446-INDEX(hd_off,MATCH(BT1506,hd_mark,0),0)/12)),0)</f>
        <v>0</v>
      </c>
      <c r="BM1506">
        <f>MAX($F$22,$BC$1446)/$Q$1460</f>
        <v>0.30172413793103448</v>
      </c>
      <c r="BN1506">
        <f t="shared" ref="BN1506:BN1509" si="932">IF(BM1506=0,0,IF(BM1506&gt;2,1.25-0.125*BM1506,1))</f>
        <v>1</v>
      </c>
      <c r="BO1506" cm="1">
        <f t="array" ref="BO1506">IFERROR(INDEX(sheath_ecap_asd,MATCH(BS1506,sheath_mark,0),0)*BN1506,0)</f>
        <v>0</v>
      </c>
      <c r="BP1506" cm="1">
        <f t="array" ref="BP1506">IFERROR(INDEX(sheath_wcap_asd,MATCH(BS1506,sheath_mark,0),0)*BN1506,0)</f>
        <v>0</v>
      </c>
      <c r="BQ1506" cm="1">
        <f t="array" ref="BQ1506">IFERROR(INDEX(hd_cap,MATCH(BT1506,hd_mark,0),0),0)</f>
        <v>0</v>
      </c>
      <c r="BS1506" s="19"/>
      <c r="BT1506" s="19"/>
      <c r="BU1506" s="100"/>
    </row>
    <row r="1507" x14ac:dyDescent="0.25">
      <c r="P1507" s="93"/>
      <c r="Q1507" s="109" t="s">
        <v>491</v>
      </c>
      <c r="R1507" t="str">
        <f>$Q$1431</f>
        <v>L4</v>
      </c>
      <c r="S1507">
        <f>$E$23</f>
        <v>0</v>
      </c>
      <c r="T1507" cm="1">
        <f t="array" ref="T1507">IFERROR(IF(S1507=0,0,(INDEX($C$33:$C$38,MATCH($W$1446,$B$33:$B$38,0),0)*(S1509+$X$1446)+$T$1446*COUNTIF(S1507:S1508,"&gt;0")*$C$32+$V$1446*$C$31)*$R$1446),0)</f>
        <v>0</v>
      </c>
      <c r="U1507">
        <f>IF(S1507=0,0,-(COUNTIF(S1507:S1508,"&gt;0")*$T$1446*$C$32+$V$1446*$C$31)*$H$27*$R$1446)</f>
        <v>0</v>
      </c>
      <c r="V1507">
        <f>IF(S1507=0,0,$V$1446*$H$26*$R$1446)</f>
        <v>0</v>
      </c>
      <c r="W1507">
        <f>(0.6*T1507+0.7*U1507)*$R$1446/2</f>
        <v>0</v>
      </c>
      <c r="X1507">
        <f>T1507*$R$1446/2</f>
        <v>0</v>
      </c>
      <c r="Z1507">
        <f>IF(S1507=0,0,$AD$1446*$AP$1431)</f>
        <v>0</v>
      </c>
      <c r="AA1507">
        <f>IFERROR(Z1507/$R$1446,0)</f>
        <v>0</v>
      </c>
      <c r="AB1507">
        <f>Z1507*($F$23+IF($F$23=0,0,($C$14+$C$15+IF($C$13="single",1.5,3)+3)/12))</f>
        <v>0</v>
      </c>
      <c r="AC1507">
        <f>AB1507-W1507</f>
        <v>0</v>
      </c>
      <c r="AD1507" cm="1">
        <f t="array" ref="AD1507">IFERROR(IF(AC1507&lt;0,0,AC1507/($R$1446-INDEX(hd_off,MATCH(AQ1507,hd_mark,0),0)/12)),0)</f>
        <v>0</v>
      </c>
      <c r="AE1507">
        <f>IF(S1507=0,0,$AD$1446*$AM$1431)</f>
        <v>0</v>
      </c>
      <c r="AF1507">
        <f>IFERROR(AE1507/$R$1446,0)</f>
        <v>0</v>
      </c>
      <c r="AG1507">
        <f>AE1507*($F$23+IF($F$23=0,0,($C$14+$C$15+IF($C$13="single",1.5,3)+3)/12))</f>
        <v>0</v>
      </c>
      <c r="AH1507">
        <f>AG1507-X1507</f>
        <v>0</v>
      </c>
      <c r="AI1507" cm="1">
        <f t="array" ref="AI1507">IFERROR(IF(AH1507&lt;0,0,AH1507/($R$1446-INDEX(hd_off,MATCH(AQ1507,hd_mark,0),0)/12)),0)</f>
        <v>0</v>
      </c>
      <c r="AJ1507">
        <f>MAX($F$23,$AA$1446)/$Q$1460</f>
        <v>0</v>
      </c>
      <c r="AK1507">
        <f t="shared" si="931"/>
        <v>0</v>
      </c>
      <c r="AL1507" cm="1">
        <f t="array" ref="AL1507">IFERROR(INDEX(sheath_ecap_asd,MATCH(AP1507,sheath_mark,0),0)*AK1507,0)</f>
        <v>0</v>
      </c>
      <c r="AM1507" cm="1">
        <f t="array" ref="AM1507">IFERROR(INDEX(sheath_wcap_asd,MATCH(AP1507,sheath_mark,0),0)*AK1507,0)</f>
        <v>0</v>
      </c>
      <c r="AN1507" cm="1">
        <f t="array" ref="AN1507">IFERROR(INDEX(hd_cap,MATCH(AQ1507,hd_mark,0),0),0)</f>
        <v>0</v>
      </c>
      <c r="AP1507" s="19"/>
      <c r="AQ1507" s="19"/>
      <c r="AR1507" s="100"/>
      <c r="AS1507" s="93"/>
      <c r="AT1507" s="109" t="s">
        <v>491</v>
      </c>
      <c r="AU1507" t="str">
        <f>$Q$1431</f>
        <v>L4</v>
      </c>
      <c r="AV1507">
        <f>$E$23</f>
        <v>0</v>
      </c>
      <c r="AW1507" cm="1">
        <f t="array" ref="AW1507">IFERROR(IF(AV1507=0,0,(INDEX($C$33:$C$38,MATCH($AZ$1446,$B$33:$B$38,0),0)*(AV1509+$BA$1446)+$AW$1446*COUNTIF(AV1507:AV1508,"&gt;0")*$C$32+$AY$1446*$C$31)*$AU$1446),0)</f>
        <v>0</v>
      </c>
      <c r="AX1507">
        <f>IF(AV1507=0,0,-(COUNTIF(AV1507:AV1508,"&gt;0")*$AW$1446*$C$32+$AY$1446*$C$31)*$H$27*$AU$1446)</f>
        <v>0</v>
      </c>
      <c r="AY1507">
        <f>IF(AV1507=0,0,$AY$1446*$H$26*$AU$1446)</f>
        <v>0</v>
      </c>
      <c r="AZ1507">
        <f>(0.6*AW1507+0.7*AX1507)*$AU$1446/2</f>
        <v>0</v>
      </c>
      <c r="BA1507">
        <f>AW1507*$AU$1446/2</f>
        <v>0</v>
      </c>
      <c r="BC1507">
        <f>IF(AV1507=0,0,$BG$1446*$AP$1431)</f>
        <v>0</v>
      </c>
      <c r="BD1507">
        <f>IFERROR(BC1507/$AU$1446,0)</f>
        <v>0</v>
      </c>
      <c r="BE1507">
        <f>BC1507*($F$23+IF($F$23=0,0,($C$14+$C$15+IF($C$13="single",1.5,3)+3)/12))</f>
        <v>0</v>
      </c>
      <c r="BF1507">
        <f>BE1507-AZ1507</f>
        <v>0</v>
      </c>
      <c r="BG1507" cm="1">
        <f t="array" ref="BG1507">IFERROR(IF(BF1507&lt;0,0,BF1507/($AU$1446-INDEX(hd_off,MATCH(BT1507,hd_mark,0),0)/12)),0)</f>
        <v>0</v>
      </c>
      <c r="BH1507">
        <f>IF(AV1507=0,0,$BG$1446*$AM$1431)</f>
        <v>0</v>
      </c>
      <c r="BI1507">
        <f>IFERROR(BH1507/$AU$1446,0)</f>
        <v>0</v>
      </c>
      <c r="BJ1507">
        <f>BH1507*($F$23+IF($F$23=0,0,($C$14+$C$15+IF($C$13="single",1.5,3)+3)/12))</f>
        <v>0</v>
      </c>
      <c r="BK1507">
        <f>BJ1507-BA1507</f>
        <v>0</v>
      </c>
      <c r="BL1507" cm="1">
        <f t="array" ref="BL1507">IFERROR(IF(BK1507&lt;0,0,BK1507/($AU$1446-INDEX(hd_off,MATCH(BT1507,hd_mark,0),0)/12)),0)</f>
        <v>0</v>
      </c>
      <c r="BM1507">
        <f>MAX($F$23,$BD$1446)/$Q$1460</f>
        <v>0</v>
      </c>
      <c r="BN1507">
        <f t="shared" si="932"/>
        <v>0</v>
      </c>
      <c r="BO1507" cm="1">
        <f t="array" ref="BO1507">IFERROR(INDEX(sheath_ecap_asd,MATCH(BS1507,sheath_mark,0),0)*BN1507,0)</f>
        <v>0</v>
      </c>
      <c r="BP1507" cm="1">
        <f t="array" ref="BP1507">IFERROR(INDEX(sheath_wcap_asd,MATCH(BS1507,sheath_mark,0),0)*BN1507,0)</f>
        <v>0</v>
      </c>
      <c r="BQ1507" cm="1">
        <f t="array" ref="BQ1507">IFERROR(INDEX(hd_cap,MATCH(BT1507,hd_mark,0),0),0)</f>
        <v>0</v>
      </c>
      <c r="BS1507" s="19"/>
      <c r="BT1507" s="19"/>
      <c r="BU1507" s="100"/>
    </row>
    <row r="1508" x14ac:dyDescent="0.25">
      <c r="P1508" s="93"/>
      <c r="Q1508" s="111">
        <f>$R$1446</f>
        <v>0</v>
      </c>
      <c r="R1508" t="str">
        <f>$Q$1432</f>
        <v>L5</v>
      </c>
      <c r="S1508">
        <f>$E$24</f>
        <v>0</v>
      </c>
      <c r="T1508" cm="1">
        <f t="array" ref="T1508">IFERROR(IF(S1508=0,0,(INDEX($C$33:$C$38,MATCH($W$1446,$B$33:$B$38,0),0)*(S1509+$X$1446)+$T$1446*COUNTIF(S1508:S1508,"&gt;0")*$C$32+$V$1446*$C$31)*$R$1446),0)</f>
        <v>0</v>
      </c>
      <c r="U1508">
        <f>IF(S1508=0,0,-(COUNTIF(S1508:S1508,"&gt;0")*$T$1446*$C$32+$V$1446*$C$31)*$H$27*$R$1446)</f>
        <v>0</v>
      </c>
      <c r="V1508">
        <f>IF(S1508=0,0,$V$1446*$H$26*$R$1446)</f>
        <v>0</v>
      </c>
      <c r="W1508">
        <f>(0.6*T1508+0.7*U1508)*$R$1446/2</f>
        <v>0</v>
      </c>
      <c r="X1508">
        <f>T1508*$R$1446/2</f>
        <v>0</v>
      </c>
      <c r="Z1508">
        <f>IF(S1508=0,0,$AD$1446*$AP$1432)</f>
        <v>0</v>
      </c>
      <c r="AA1508">
        <f>IFERROR(Z1508/$R$1446,0)</f>
        <v>0</v>
      </c>
      <c r="AB1508">
        <f>Z1508*($F$24+IF($F$24=0,0,($C$14+$C$15+IF($C$13="single",1.5,3)+3)/12))</f>
        <v>0</v>
      </c>
      <c r="AC1508">
        <f>AB1508-W1508</f>
        <v>0</v>
      </c>
      <c r="AD1508" cm="1">
        <f t="array" ref="AD1508">IFERROR(IF(AC1508&lt;0,0,AC1508/($R$1446-INDEX(hd_off,MATCH(AQ1508,hd_mark,0),0)/12)),0)</f>
        <v>0</v>
      </c>
      <c r="AE1508">
        <f>IF(S1508=0,0,$AD$1446*$AM$1432)</f>
        <v>0</v>
      </c>
      <c r="AF1508">
        <f>IFERROR(AE1508/$R$1446,0)</f>
        <v>0</v>
      </c>
      <c r="AG1508">
        <f>AE1508*($F$24+IF($F$24=0,0,($C$14+$C$15+IF($C$13="single",1.5,3)+3)/12))</f>
        <v>0</v>
      </c>
      <c r="AH1508">
        <f>AG1508-X1508</f>
        <v>0</v>
      </c>
      <c r="AI1508" cm="1">
        <f t="array" ref="AI1508">IFERROR(IF(AH1508&lt;0,0,AH1508/($R$1446-INDEX(hd_off,MATCH(AQ1508,hd_mark,0),0)/12)),0)</f>
        <v>0</v>
      </c>
      <c r="AJ1508">
        <f>MAX($F$24,$AB$1446)/$Q$1460</f>
        <v>0</v>
      </c>
      <c r="AK1508">
        <f t="shared" si="931"/>
        <v>0</v>
      </c>
      <c r="AL1508" cm="1">
        <f t="array" ref="AL1508">IFERROR(INDEX(sheath_ecap_asd,MATCH(AP1508,sheath_mark,0),0)*AK1508,0)</f>
        <v>0</v>
      </c>
      <c r="AM1508" cm="1">
        <f t="array" ref="AM1508">IFERROR(INDEX(sheath_wcap_asd,MATCH(AP1508,sheath_mark,0),0)*AK1508,0)</f>
        <v>0</v>
      </c>
      <c r="AN1508" cm="1">
        <f t="array" ref="AN1508">IFERROR(INDEX(hd_cap,MATCH(AQ1508,hd_mark,0),0),0)</f>
        <v>0</v>
      </c>
      <c r="AP1508" s="19"/>
      <c r="AQ1508" s="19"/>
      <c r="AR1508" s="100"/>
      <c r="AS1508" s="93"/>
      <c r="AT1508" s="111">
        <f>$R$1446</f>
        <v>0</v>
      </c>
      <c r="AU1508" t="str">
        <f>$Q$1432</f>
        <v>L5</v>
      </c>
      <c r="AV1508">
        <f>$E$24</f>
        <v>0</v>
      </c>
      <c r="AW1508" cm="1">
        <f t="array" ref="AW1508">IFERROR(IF(AV1508=0,0,(INDEX($C$33:$C$38,MATCH($AZ$1446,$B$33:$B$38,0),0)*(AV1509+$BA$1446)+$AW$1446*COUNTIF(AV1508:AV1508,"&gt;0")*$C$32+$AY$1446*$C$31)*$AU$1446),0)</f>
        <v>0</v>
      </c>
      <c r="AX1508">
        <f>IF(AV1508=0,0,-(COUNTIF(AV1508:AV1508,"&gt;0")*$AW$1446*$C$32+$AY$1446*$C$31)*$H$27*$AU$1446)</f>
        <v>0</v>
      </c>
      <c r="AY1508">
        <f>IF(AV1508=0,0,$AY$1446*$H$26*$AU$1446)</f>
        <v>0</v>
      </c>
      <c r="AZ1508">
        <f>(0.6*AW1508+0.7*AX1508)*$AU$1446/2</f>
        <v>0</v>
      </c>
      <c r="BA1508">
        <f>AW1508*$AU$1446/2</f>
        <v>0</v>
      </c>
      <c r="BC1508">
        <f>IF(AV1508=0,0,$BG$1446*$AP$1432)</f>
        <v>0</v>
      </c>
      <c r="BD1508">
        <f>IFERROR(BC1508/$AU$1446,0)</f>
        <v>0</v>
      </c>
      <c r="BE1508">
        <f>BC1508*($F$24+IF($F$24=0,0,($C$14+$C$15+IF($C$13="single",1.5,3)+3)/12))</f>
        <v>0</v>
      </c>
      <c r="BF1508">
        <f>BE1508-AZ1508</f>
        <v>0</v>
      </c>
      <c r="BG1508" cm="1">
        <f t="array" ref="BG1508">IFERROR(IF(BF1508&lt;0,0,BF1508/($AU$1446-INDEX(hd_off,MATCH(BT1508,hd_mark,0),0)/12)),0)</f>
        <v>0</v>
      </c>
      <c r="BH1508">
        <f>IF(AV1508=0,0,$BG$1446*$AM$1432)</f>
        <v>0</v>
      </c>
      <c r="BI1508">
        <f>IFERROR(BH1508/$AU$1446,0)</f>
        <v>0</v>
      </c>
      <c r="BJ1508">
        <f>BH1508*($F$24+IF($F$24=0,0,($C$14+$C$15+IF($C$13="single",1.5,3)+3)/12))</f>
        <v>0</v>
      </c>
      <c r="BK1508">
        <f>BJ1508-BA1508</f>
        <v>0</v>
      </c>
      <c r="BL1508" cm="1">
        <f t="array" ref="BL1508">IFERROR(IF(BK1508&lt;0,0,BK1508/($AU$1446-INDEX(hd_off,MATCH(BT1508,hd_mark,0),0)/12)),0)</f>
        <v>0</v>
      </c>
      <c r="BM1508">
        <f>MAX($F$24,$BE$1446)/$Q$1460</f>
        <v>0</v>
      </c>
      <c r="BN1508">
        <f t="shared" si="932"/>
        <v>0</v>
      </c>
      <c r="BO1508" cm="1">
        <f t="array" ref="BO1508">IFERROR(INDEX(sheath_ecap_asd,MATCH(BS1508,sheath_mark,0),0)*BN1508,0)</f>
        <v>0</v>
      </c>
      <c r="BP1508" cm="1">
        <f t="array" ref="BP1508">IFERROR(INDEX(sheath_wcap_asd,MATCH(BS1508,sheath_mark,0),0)*BN1508,0)</f>
        <v>0</v>
      </c>
      <c r="BQ1508" cm="1">
        <f t="array" ref="BQ1508">IFERROR(INDEX(hd_cap,MATCH(BT1508,hd_mark,0),0),0)</f>
        <v>0</v>
      </c>
      <c r="BS1508" s="19"/>
      <c r="BT1508" s="19"/>
      <c r="BU1508" s="100"/>
    </row>
    <row r="1509" x14ac:dyDescent="0.25">
      <c r="P1509" s="93"/>
      <c r="Q1509" s="109"/>
      <c r="R1509" t="str">
        <f>$Q$1433</f>
        <v>Roof</v>
      </c>
      <c r="S1509">
        <f>$E$25</f>
        <v>33.171875</v>
      </c>
      <c r="T1509" cm="1">
        <f t="array" ref="T1509">IFERROR(IF(S1509=0,0,(INDEX($C$33:$C$38,MATCH($W$1446,$B$33:$B$38,0),0)*(S1509+$X$1446)+$V$1446*$C$31)*$R$1446),0)</f>
        <v>0</v>
      </c>
      <c r="U1509">
        <f>IF(S1509=0,0,-$V$1446*$C$31*$H$27*$R$1446)</f>
        <v>0</v>
      </c>
      <c r="V1509">
        <f>IF(S1509=0,0,$V$1446*$H$26*$R$1446)</f>
        <v>0</v>
      </c>
      <c r="W1509">
        <f>(0.6*T1509+0.7*U1509)*$R$1446/2</f>
        <v>0</v>
      </c>
      <c r="X1509">
        <f>T1509*$R$1446/2</f>
        <v>0</v>
      </c>
      <c r="Z1509">
        <f>IF(S1509=0,0,$AD$1446*$AP$1433)</f>
        <v>0</v>
      </c>
      <c r="AA1509">
        <f>IFERROR(Z1509/$R$1446,0)</f>
        <v>0</v>
      </c>
      <c r="AB1509">
        <f>Z1509*($F$25+($C$16+$C$17+IF($C$13="single",1.5,3)+3)/12)</f>
        <v>0</v>
      </c>
      <c r="AC1509">
        <f>AB1509-W1509</f>
        <v>0</v>
      </c>
      <c r="AD1509" cm="1">
        <f t="array" ref="AD1509">IFERROR(IF(AC1509&lt;0,0,AC1509/($R$1446-INDEX(hd_off,MATCH(AQ1509,hd_mark,0),0)/12)),0)</f>
        <v>0</v>
      </c>
      <c r="AE1509">
        <f>IF(S1509=0,0,$AD$1446*$AM$1433)</f>
        <v>0</v>
      </c>
      <c r="AF1509">
        <f>IFERROR(AE1509/$R$1446,0)</f>
        <v>0</v>
      </c>
      <c r="AG1509">
        <f>AE1509*($F$25+($C$16+$C$17+IF($C$13="single",1.5,3)+3)/12)</f>
        <v>0</v>
      </c>
      <c r="AH1509">
        <f>AG1509-X1509</f>
        <v>0</v>
      </c>
      <c r="AI1509" cm="1">
        <f t="array" ref="AI1509">IFERROR(IF(AH1509&lt;0,0,AH1509/($R$1446-INDEX(hd_off,MATCH(AQ1509,hd_mark,0),0)/12)),0)</f>
        <v>0</v>
      </c>
      <c r="AJ1509">
        <f>MAX($F$25,$AC$1446)/$Q$1460</f>
        <v>0.29920977011494249</v>
      </c>
      <c r="AK1509">
        <f t="shared" si="931"/>
        <v>1</v>
      </c>
      <c r="AL1509" cm="1">
        <f t="array" ref="AL1509">IFERROR(INDEX(sheath_ecap_asd,MATCH(AP1509,sheath_mark,0),0)*AK1509,0)</f>
        <v>0</v>
      </c>
      <c r="AM1509" cm="1">
        <f t="array" ref="AM1509">IFERROR(INDEX(sheath_wcap_asd,MATCH(AP1509,sheath_mark,0),0)*AK1509,0)</f>
        <v>0</v>
      </c>
      <c r="AN1509" cm="1">
        <f t="array" ref="AN1509">IFERROR(INDEX(hd_cap,MATCH(AQ1509,hd_mark,0),0),0)</f>
        <v>0</v>
      </c>
      <c r="AP1509" s="19"/>
      <c r="AQ1509" s="19"/>
      <c r="AR1509" s="100"/>
      <c r="AS1509" s="93"/>
      <c r="AT1509" s="109"/>
      <c r="AU1509" t="str">
        <f>$Q$1433</f>
        <v>Roof</v>
      </c>
      <c r="AV1509">
        <f>$E$25</f>
        <v>33.171875</v>
      </c>
      <c r="AW1509" cm="1">
        <f t="array" ref="AW1509">IFERROR(IF(AV1509=0,0,(INDEX($C$33:$C$38,MATCH($AZ$1446,$B$33:$B$38,0),0)*(AV1509+$BA$1446)+$AY$1446*$C$31)*$AU$1446),0)</f>
        <v>0</v>
      </c>
      <c r="AX1509">
        <f>IF(AV1509=0,0,-$AY$1446*$C$31*$H$27*$AU$1446)</f>
        <v>0</v>
      </c>
      <c r="AY1509">
        <f>IF(AV1509=0,0,$AY$1446*$H$26*$AU$1446)</f>
        <v>0</v>
      </c>
      <c r="AZ1509">
        <f>(0.6*AW1509+0.7*AX1509)*$AU$1446/2</f>
        <v>0</v>
      </c>
      <c r="BA1509">
        <f>AW1509*$AU$1446/2</f>
        <v>0</v>
      </c>
      <c r="BC1509">
        <f>IF(AV1509=0,0,$BG$1446*$AP$1433)</f>
        <v>0</v>
      </c>
      <c r="BD1509">
        <f>IFERROR(BC1509/$AU$1446,0)</f>
        <v>0</v>
      </c>
      <c r="BE1509">
        <f>BC1509*($F$25+($C$16+$C$17+IF($C$13="single",1.5,3)+3)/12)</f>
        <v>0</v>
      </c>
      <c r="BF1509">
        <f>BE1509-AZ1509</f>
        <v>0</v>
      </c>
      <c r="BG1509" cm="1">
        <f t="array" ref="BG1509">IFERROR(IF(BF1509&lt;0,0,BF1509/($AU$1446-INDEX(hd_off,MATCH(BT1509,hd_mark,0),0)/12)),0)</f>
        <v>0</v>
      </c>
      <c r="BH1509">
        <f>IF(AV1509=0,0,$BG$1446*$AM$1433)</f>
        <v>0</v>
      </c>
      <c r="BI1509">
        <f>IFERROR(BH1509/$AU$1446,0)</f>
        <v>0</v>
      </c>
      <c r="BJ1509">
        <f>BH1509*($F$25+($C$16+$C$17+IF($C$13="single",1.5,3)+3)/12)</f>
        <v>0</v>
      </c>
      <c r="BK1509">
        <f>BJ1509-BA1509</f>
        <v>0</v>
      </c>
      <c r="BL1509" cm="1">
        <f t="array" ref="BL1509">IFERROR(IF(BK1509&lt;0,0,BK1509/($AU$1446-INDEX(hd_off,MATCH(BT1509,hd_mark,0),0)/12)),0)</f>
        <v>0</v>
      </c>
      <c r="BM1509">
        <f>MAX($F$25,$BF$1446)/$Q$1460</f>
        <v>0.29920977011494249</v>
      </c>
      <c r="BN1509">
        <f t="shared" si="932"/>
        <v>1</v>
      </c>
      <c r="BO1509" cm="1">
        <f t="array" ref="BO1509">IFERROR(INDEX(sheath_ecap_asd,MATCH(BS1509,sheath_mark,0),0)*BN1509,0)</f>
        <v>0</v>
      </c>
      <c r="BP1509" cm="1">
        <f t="array" ref="BP1509">IFERROR(INDEX(sheath_wcap_asd,MATCH(BS1509,sheath_mark,0),0)*BN1509,0)</f>
        <v>0</v>
      </c>
      <c r="BQ1509" cm="1">
        <f t="array" ref="BQ1509">IFERROR(INDEX(hd_cap,MATCH(BT1509,hd_mark,0),0),0)</f>
        <v>0</v>
      </c>
      <c r="BS1509" s="19"/>
      <c r="BT1509" s="19"/>
      <c r="BU1509" s="100"/>
    </row>
    <row r="1510" x14ac:dyDescent="0.25">
      <c r="P1510" s="93"/>
      <c r="AR1510" s="100"/>
      <c r="AS1510" s="93"/>
      <c r="BU1510" s="100"/>
    </row>
    <row r="1511" x14ac:dyDescent="0.25">
      <c r="P1511" s="93"/>
      <c r="Q1511" s="110" t="str">
        <f>$Q$1447</f>
        <v>A.10</v>
      </c>
      <c r="R1511" t="str">
        <f>$Q$1429</f>
        <v>L2</v>
      </c>
      <c r="S1511">
        <f>$E$21</f>
        <v>10.6875</v>
      </c>
      <c r="T1511" cm="1">
        <f t="array" ref="T1511">IFERROR(IF(S1511=0,0,(INDEX($C$33:$C$38,MATCH($W$1447,$B$33:$B$38,0),0)*(S1515+$X$1447)+$T$1447*COUNTIF(S1511:S1514,"&gt;0")*$C$32+$V$1447*$C$31)*$R$1447),0)</f>
        <v>0</v>
      </c>
      <c r="U1511">
        <f>IF(S1511=0,0,-(COUNTIF(S1511:S1514,"&gt;0")*$T$1447*$C$32+$V$1447*$C$31)*$H$27*$R$1447)</f>
        <v>0</v>
      </c>
      <c r="V1511">
        <f>IF(S1511=0,0,$V$1447*$H$26*$R$1447)</f>
        <v>0</v>
      </c>
      <c r="W1511">
        <f>(0.6*T1511+0.7*U1511)*$R$1447/2</f>
        <v>0</v>
      </c>
      <c r="X1511">
        <f>(0.6*T1511+0.6*V1511)*$R$1447/2</f>
        <v>0</v>
      </c>
      <c r="Z1511">
        <f>IF(S1511=0,0,$AD$1447*$AP$1429)</f>
        <v>0</v>
      </c>
      <c r="AA1511">
        <f>IFERROR(Z1511/$R$1447,0)</f>
        <v>0</v>
      </c>
      <c r="AB1511">
        <f>Z1511*($F$21+IF($F$21=0,0,($C$14+$C$15+IF($C$13="single",1.5,3)+3)/12))</f>
        <v>0</v>
      </c>
      <c r="AC1511">
        <f>AB1511-W1511</f>
        <v>0</v>
      </c>
      <c r="AD1511" cm="1">
        <f t="array" ref="AD1511">IFERROR(IF(AC1511&lt;0,0,AC1511/($R$1447-INDEX(hd_off,MATCH(AQ1511,hd_mark,0),0)/12)),0)</f>
        <v>0</v>
      </c>
      <c r="AE1511">
        <f>IF(S1511=0,0,$AD$1447*$AM$1429)</f>
        <v>0</v>
      </c>
      <c r="AF1511">
        <f>IFERROR(AE1511/$R$1447,0)</f>
        <v>0</v>
      </c>
      <c r="AG1511">
        <f>AE1511*($F$21+IF($F$21=0,0,($C$14+$C$15+IF($C$13="single",1.5,3)+3)/12))</f>
        <v>0</v>
      </c>
      <c r="AH1511">
        <f>AG1511-X1511</f>
        <v>0</v>
      </c>
      <c r="AI1511" cm="1">
        <f t="array" ref="AI1511">IFERROR(IF(AH1511&lt;0,0,AH1511/($R$1447-INDEX(hd_off,MATCH(AQ1511,hd_mark,0),0)/12)),0)</f>
        <v>0</v>
      </c>
      <c r="AJ1511">
        <f>MAX($F$21,$Y$1447)/$Q$1460</f>
        <v>0.30172413793103448</v>
      </c>
      <c r="AK1511">
        <f>IF(AJ1511=0,0,IF(AJ1511&gt;2,1.25-0.125*AJ1511,1))</f>
        <v>1</v>
      </c>
      <c r="AL1511" cm="1">
        <f t="array" ref="AL1511">IFERROR(INDEX(sheath_ecap_asd,MATCH(AP1511,sheath_mark,0),0)*AK1511,0)</f>
        <v>0</v>
      </c>
      <c r="AM1511" cm="1">
        <f t="array" ref="AM1511">IFERROR(INDEX(sheath_wcap_asd,MATCH(AP1511,sheath_mark,0),0)*AK1511,0)</f>
        <v>0</v>
      </c>
      <c r="AN1511" cm="1">
        <f t="array" ref="AN1511">IFERROR(INDEX(hd_cap,MATCH(AQ1511,hd_mark,0),0),0)</f>
        <v>0</v>
      </c>
      <c r="AP1511" s="19"/>
      <c r="AQ1511" s="19"/>
      <c r="AR1511" s="100"/>
      <c r="AS1511" s="93"/>
      <c r="AT1511" s="110" t="str">
        <f>$AT$1447</f>
        <v>1.10</v>
      </c>
      <c r="AU1511" t="str">
        <f>$Q$1429</f>
        <v>L2</v>
      </c>
      <c r="AV1511">
        <f>$E$21</f>
        <v>10.6875</v>
      </c>
      <c r="AW1511" cm="1">
        <f t="array" ref="AW1511">IFERROR(IF(AV1511=0,0,(INDEX($C$33:$C$38,MATCH($AZ$1447,$B$33:$B$38,0),0)*(AV1515+$BA$1447)+$AW$1447*COUNTIF(AV1511:AV1514,"&gt;0")*$C$32+$AY$1447*$C$31)*$AU$1447),0)</f>
        <v>0</v>
      </c>
      <c r="AX1511">
        <f>IF(AV1511=0,0,-(COUNTIF(AV1511:AV1514,"&gt;0")*$AW$1447*$C$32+$AY$1447*$C$31)*$H$27*$AU$1447)</f>
        <v>0</v>
      </c>
      <c r="AY1511">
        <f>IF(AV1511=0,0,$AY$1447*$H$26*$AU$1447)</f>
        <v>0</v>
      </c>
      <c r="AZ1511">
        <f>(0.6*AW1511+0.7*AX1511)*$AU$1447/2</f>
        <v>0</v>
      </c>
      <c r="BA1511">
        <f>(0.6*AW1511+0.6*AY1511)*$AU$1447/2</f>
        <v>0</v>
      </c>
      <c r="BC1511">
        <f>IF(AV1511=0,0,$BG$1447*$AP$1429)</f>
        <v>0</v>
      </c>
      <c r="BD1511">
        <f>IFERROR(BC1511/$AU$1447,0)</f>
        <v>0</v>
      </c>
      <c r="BE1511">
        <f>BC1511*($F$21+IF($F$21=0,0,($C$14+$C$15+IF($C$13="single",1.5,3)+3)/12))</f>
        <v>0</v>
      </c>
      <c r="BF1511">
        <f>BE1511-AZ1511</f>
        <v>0</v>
      </c>
      <c r="BG1511" cm="1">
        <f t="array" ref="BG1511">IFERROR(IF(BF1511&lt;0,0,BF1511/($AU$1447-INDEX(hd_off,MATCH(BT1511,hd_mark,0),0)/12)),0)</f>
        <v>0</v>
      </c>
      <c r="BH1511">
        <f>IF(AV1511=0,0,$BG$1447*$AM$1429)</f>
        <v>0</v>
      </c>
      <c r="BI1511">
        <f>IFERROR(BH1511/$AU$1447,0)</f>
        <v>0</v>
      </c>
      <c r="BJ1511">
        <f>BH1511*($F$21+IF($F$21=0,0,($C$14+$C$15+IF($C$13="single",1.5,3)+3)/12))</f>
        <v>0</v>
      </c>
      <c r="BK1511">
        <f>BJ1511-BA1511</f>
        <v>0</v>
      </c>
      <c r="BL1511" cm="1">
        <f t="array" ref="BL1511">IFERROR(IF(BK1511&lt;0,0,BK1511/($AU$1447-INDEX(hd_off,MATCH(BT1511,hd_mark,0),0)/12)),0)</f>
        <v>0</v>
      </c>
      <c r="BM1511">
        <f>MAX($F$21,$BB$1447)/$Q$1460</f>
        <v>0.30172413793103448</v>
      </c>
      <c r="BN1511">
        <f>IF(BM1511=0,0,IF(BM1511&gt;2,1.25-0.125*BM1511,1))</f>
        <v>1</v>
      </c>
      <c r="BO1511" cm="1">
        <f t="array" ref="BO1511">IFERROR(INDEX(sheath_ecap_asd,MATCH(BS1511,sheath_mark,0),0)*BN1511,0)</f>
        <v>0</v>
      </c>
      <c r="BP1511" cm="1">
        <f t="array" ref="BP1511">IFERROR(INDEX(sheath_wcap_asd,MATCH(BS1511,sheath_mark,0),0)*BN1511,0)</f>
        <v>0</v>
      </c>
      <c r="BQ1511" cm="1">
        <f t="array" ref="BQ1511">IFERROR(INDEX(hd_cap,MATCH(BT1511,hd_mark,0),0),0)</f>
        <v>0</v>
      </c>
      <c r="BS1511" s="19"/>
      <c r="BT1511" s="19"/>
      <c r="BU1511" s="100"/>
    </row>
    <row r="1512" x14ac:dyDescent="0.25">
      <c r="P1512" s="93"/>
      <c r="Q1512" s="109"/>
      <c r="R1512" t="str">
        <f>$Q$1430</f>
        <v>L3</v>
      </c>
      <c r="S1512">
        <f>$E$22</f>
        <v>21.375</v>
      </c>
      <c r="T1512" cm="1">
        <f t="array" ref="T1512">IFERROR(IF(S1512=0,0,(INDEX($C$33:$C$38,MATCH($W$1447,$B$33:$B$38,0),0)*(S1515+$X$1447)+$T$1447*COUNTIF(S1512:S1514,"&gt;0")*$C$32+$V$1447*$C$31)*$R$1447),0)</f>
        <v>0</v>
      </c>
      <c r="U1512">
        <f>IF(S1512=0,0,-(COUNTIF(S1512:S1514,"&gt;0")*$T$1447*$C$32+$V$1447*$C$31)*$H$27*$R$1447)</f>
        <v>0</v>
      </c>
      <c r="V1512">
        <f>IF(S1512=0,0,$V$1447*$H$26*$R$1447)</f>
        <v>0</v>
      </c>
      <c r="W1512">
        <f>(0.6*T1512+0.7*U1512)*$R$1447/2</f>
        <v>0</v>
      </c>
      <c r="X1512">
        <f>T1512*$R$1447/2</f>
        <v>0</v>
      </c>
      <c r="Z1512">
        <f>IF(S1512=0,0,$AD$1447*$AP$1430)</f>
        <v>0</v>
      </c>
      <c r="AA1512">
        <f>IFERROR(Z1512/$R$1447,0)</f>
        <v>0</v>
      </c>
      <c r="AB1512">
        <f>Z1512*($F$22+IF($F$22=0,0,($C$14+$C$15+IF($C$13="single",1.5,3)+3)/12))</f>
        <v>0</v>
      </c>
      <c r="AC1512">
        <f>AB1512-W1512</f>
        <v>0</v>
      </c>
      <c r="AD1512" cm="1">
        <f t="array" ref="AD1512">IFERROR(IF(AC1512&lt;0,0,AC1512/($R$1447-INDEX(hd_off,MATCH(AQ1512,hd_mark,0),0)/12)),0)</f>
        <v>0</v>
      </c>
      <c r="AE1512">
        <f>IF(S1512=0,0,$AD$1447*$AM$1430)</f>
        <v>0</v>
      </c>
      <c r="AF1512">
        <f>IFERROR(AE1512/$R$1447,0)</f>
        <v>0</v>
      </c>
      <c r="AG1512">
        <f>AE1512*($F$22+IF($F$22=0,0,($C$14+$C$15+IF($C$13="single",1.5,3)+3)/12))</f>
        <v>0</v>
      </c>
      <c r="AH1512">
        <f>AG1512-X1512</f>
        <v>0</v>
      </c>
      <c r="AI1512" cm="1">
        <f t="array" ref="AI1512">IFERROR(IF(AH1512&lt;0,0,AH1512/($R$1447-INDEX(hd_off,MATCH(AQ1512,hd_mark,0),0)/12)),0)</f>
        <v>0</v>
      </c>
      <c r="AJ1512">
        <f>MAX($F$22,$Z$1447)/$Q$1460</f>
        <v>0.30172413793103448</v>
      </c>
      <c r="AK1512">
        <f t="shared" ref="AK1512:AK1515" si="933">IF(AJ1512=0,0,IF(AJ1512&gt;2,1.25-0.125*AJ1512,1))</f>
        <v>1</v>
      </c>
      <c r="AL1512" cm="1">
        <f t="array" ref="AL1512">IFERROR(INDEX(sheath_ecap_asd,MATCH(AP1512,sheath_mark,0),0)*AK1512,0)</f>
        <v>0</v>
      </c>
      <c r="AM1512" cm="1">
        <f t="array" ref="AM1512">IFERROR(INDEX(sheath_wcap_asd,MATCH(AP1512,sheath_mark,0),0)*AK1512,0)</f>
        <v>0</v>
      </c>
      <c r="AN1512" cm="1">
        <f t="array" ref="AN1512">IFERROR(INDEX(hd_cap,MATCH(AQ1512,hd_mark,0),0),0)</f>
        <v>0</v>
      </c>
      <c r="AP1512" s="19"/>
      <c r="AQ1512" s="19"/>
      <c r="AR1512" s="100"/>
      <c r="AS1512" s="93"/>
      <c r="AT1512" s="109"/>
      <c r="AU1512" t="str">
        <f>$Q$1430</f>
        <v>L3</v>
      </c>
      <c r="AV1512">
        <f>$E$22</f>
        <v>21.375</v>
      </c>
      <c r="AW1512" cm="1">
        <f t="array" ref="AW1512">IFERROR(IF(AV1512=0,0,(INDEX($C$33:$C$38,MATCH($AZ$1447,$B$33:$B$38,0),0)*(AV1515+$BA$1447)+$AW$1447*COUNTIF(AV1512:AV1514,"&gt;0")*$C$32+$AY$1447*$C$31)*$AU$1447),0)</f>
        <v>0</v>
      </c>
      <c r="AX1512">
        <f>IF(AV1512=0,0,-(COUNTIF(AV1512:AV1514,"&gt;0")*$AW$1447*$C$32+$AY$1447*$C$31)*$H$27*$AU$1447)</f>
        <v>0</v>
      </c>
      <c r="AY1512">
        <f>IF(AV1512=0,0,$AY$1447*$H$26*$AU$1447)</f>
        <v>0</v>
      </c>
      <c r="AZ1512">
        <f>(0.6*AW1512+0.7*AX1512)*$AU$1447/2</f>
        <v>0</v>
      </c>
      <c r="BA1512">
        <f>AW1512*$AU$1447/2</f>
        <v>0</v>
      </c>
      <c r="BC1512">
        <f>IF(AV1512=0,0,$BG$1447*$AP$1430)</f>
        <v>0</v>
      </c>
      <c r="BD1512">
        <f>IFERROR(BC1512/$AU$1447,0)</f>
        <v>0</v>
      </c>
      <c r="BE1512">
        <f>BC1512*($F$22+IF($F$22=0,0,($C$14+$C$15+IF($C$13="single",1.5,3)+3)/12))</f>
        <v>0</v>
      </c>
      <c r="BF1512">
        <f>BE1512-AZ1512</f>
        <v>0</v>
      </c>
      <c r="BG1512" cm="1">
        <f t="array" ref="BG1512">IFERROR(IF(BF1512&lt;0,0,BF1512/($AU$1447-INDEX(hd_off,MATCH(BT1512,hd_mark,0),0)/12)),0)</f>
        <v>0</v>
      </c>
      <c r="BH1512">
        <f>IF(AV1512=0,0,$BG$1447*$AM$1430)</f>
        <v>0</v>
      </c>
      <c r="BI1512">
        <f>IFERROR(BH1512/$AU$1447,0)</f>
        <v>0</v>
      </c>
      <c r="BJ1512">
        <f>BH1512*($F$22+IF($F$22=0,0,($C$14+$C$15+IF($C$13="single",1.5,3)+3)/12))</f>
        <v>0</v>
      </c>
      <c r="BK1512">
        <f>BJ1512-BA1512</f>
        <v>0</v>
      </c>
      <c r="BL1512" cm="1">
        <f t="array" ref="BL1512">IFERROR(IF(BK1512&lt;0,0,BK1512/($AU$1447-INDEX(hd_off,MATCH(BT1512,hd_mark,0),0)/12)),0)</f>
        <v>0</v>
      </c>
      <c r="BM1512">
        <f>MAX($F$22,$BC$1447)/$Q$1460</f>
        <v>0.30172413793103448</v>
      </c>
      <c r="BN1512">
        <f t="shared" ref="BN1512:BN1515" si="934">IF(BM1512=0,0,IF(BM1512&gt;2,1.25-0.125*BM1512,1))</f>
        <v>1</v>
      </c>
      <c r="BO1512" cm="1">
        <f t="array" ref="BO1512">IFERROR(INDEX(sheath_ecap_asd,MATCH(BS1512,sheath_mark,0),0)*BN1512,0)</f>
        <v>0</v>
      </c>
      <c r="BP1512" cm="1">
        <f t="array" ref="BP1512">IFERROR(INDEX(sheath_wcap_asd,MATCH(BS1512,sheath_mark,0),0)*BN1512,0)</f>
        <v>0</v>
      </c>
      <c r="BQ1512" cm="1">
        <f t="array" ref="BQ1512">IFERROR(INDEX(hd_cap,MATCH(BT1512,hd_mark,0),0),0)</f>
        <v>0</v>
      </c>
      <c r="BS1512" s="19"/>
      <c r="BT1512" s="19"/>
      <c r="BU1512" s="100"/>
    </row>
    <row r="1513" x14ac:dyDescent="0.25">
      <c r="P1513" s="93"/>
      <c r="Q1513" s="109" t="s">
        <v>491</v>
      </c>
      <c r="R1513" t="str">
        <f>$Q$1431</f>
        <v>L4</v>
      </c>
      <c r="S1513">
        <f>$E$23</f>
        <v>0</v>
      </c>
      <c r="T1513" cm="1">
        <f t="array" ref="T1513">IFERROR(IF(S1513=0,0,(INDEX($C$33:$C$38,MATCH($W$1447,$B$33:$B$38,0),0)*(S1515+$X$1447)+$T$1447*COUNTIF(S1513:S1514,"&gt;0")*$C$32+$V$1447*$C$31)*$R$1447),0)</f>
        <v>0</v>
      </c>
      <c r="U1513">
        <f>IF(S1513=0,0,-(COUNTIF(S1513:S1514,"&gt;0")*$T$1447*$C$32+$V$1447*$C$31)*$H$27*$R$1447)</f>
        <v>0</v>
      </c>
      <c r="V1513">
        <f>IF(S1513=0,0,$V$1447*$H$26*$R$1447)</f>
        <v>0</v>
      </c>
      <c r="W1513">
        <f>(0.6*T1513+0.7*U1513)*$R$1447/2</f>
        <v>0</v>
      </c>
      <c r="X1513">
        <f>T1513*$R$1447/2</f>
        <v>0</v>
      </c>
      <c r="Z1513">
        <f>IF(S1513=0,0,$AD$1447*$AP$1431)</f>
        <v>0</v>
      </c>
      <c r="AA1513">
        <f>IFERROR(Z1513/$R$1447,0)</f>
        <v>0</v>
      </c>
      <c r="AB1513">
        <f>Z1513*($F$23+IF($F$23=0,0,($C$14+$C$15+IF($C$13="single",1.5,3)+3)/12))</f>
        <v>0</v>
      </c>
      <c r="AC1513">
        <f>AB1513-W1513</f>
        <v>0</v>
      </c>
      <c r="AD1513" cm="1">
        <f t="array" ref="AD1513">IFERROR(IF(AC1513&lt;0,0,AC1513/($R$1447-INDEX(hd_off,MATCH(AQ1513,hd_mark,0),0)/12)),0)</f>
        <v>0</v>
      </c>
      <c r="AE1513">
        <f>IF(S1513=0,0,$AD$1447*$AM$1431)</f>
        <v>0</v>
      </c>
      <c r="AF1513">
        <f>IFERROR(AE1513/$R$1447,0)</f>
        <v>0</v>
      </c>
      <c r="AG1513">
        <f>AE1513*($F$23+IF($F$23=0,0,($C$14+$C$15+IF($C$13="single",1.5,3)+3)/12))</f>
        <v>0</v>
      </c>
      <c r="AH1513">
        <f>AG1513-X1513</f>
        <v>0</v>
      </c>
      <c r="AI1513" cm="1">
        <f t="array" ref="AI1513">IFERROR(IF(AH1513&lt;0,0,AH1513/($R$1447-INDEX(hd_off,MATCH(AQ1513,hd_mark,0),0)/12)),0)</f>
        <v>0</v>
      </c>
      <c r="AJ1513">
        <f>MAX($F$23,$AA$1447)/$Q$1460</f>
        <v>0</v>
      </c>
      <c r="AK1513">
        <f t="shared" si="933"/>
        <v>0</v>
      </c>
      <c r="AL1513" cm="1">
        <f t="array" ref="AL1513">IFERROR(INDEX(sheath_ecap_asd,MATCH(AP1513,sheath_mark,0),0)*AK1513,0)</f>
        <v>0</v>
      </c>
      <c r="AM1513" cm="1">
        <f t="array" ref="AM1513">IFERROR(INDEX(sheath_wcap_asd,MATCH(AP1513,sheath_mark,0),0)*AK1513,0)</f>
        <v>0</v>
      </c>
      <c r="AN1513" cm="1">
        <f t="array" ref="AN1513">IFERROR(INDEX(hd_cap,MATCH(AQ1513,hd_mark,0),0),0)</f>
        <v>0</v>
      </c>
      <c r="AP1513" s="19"/>
      <c r="AQ1513" s="19"/>
      <c r="AR1513" s="100"/>
      <c r="AS1513" s="93"/>
      <c r="AT1513" s="109" t="s">
        <v>491</v>
      </c>
      <c r="AU1513" t="str">
        <f>$Q$1431</f>
        <v>L4</v>
      </c>
      <c r="AV1513">
        <f>$E$23</f>
        <v>0</v>
      </c>
      <c r="AW1513" cm="1">
        <f t="array" ref="AW1513">IFERROR(IF(AV1513=0,0,(INDEX($C$33:$C$38,MATCH($AZ$1447,$B$33:$B$38,0),0)*(AV1515+$BA$1447)+$AW$1447*COUNTIF(AV1513:AV1514,"&gt;0")*$C$32+$AY$1447*$C$31)*$AU$1447),0)</f>
        <v>0</v>
      </c>
      <c r="AX1513">
        <f>IF(AV1513=0,0,-(COUNTIF(AV1513:AV1514,"&gt;0")*$AW$1447*$C$32+$AY$1447*$C$31)*$H$27*$AU$1447)</f>
        <v>0</v>
      </c>
      <c r="AY1513">
        <f>IF(AV1513=0,0,$AY$1447*$H$26*$AU$1447)</f>
        <v>0</v>
      </c>
      <c r="AZ1513">
        <f>(0.6*AW1513+0.7*AX1513)*$AU$1447/2</f>
        <v>0</v>
      </c>
      <c r="BA1513">
        <f>AW1513*$AU$1447/2</f>
        <v>0</v>
      </c>
      <c r="BC1513">
        <f>IF(AV1513=0,0,$BG$1447*$AP$1431)</f>
        <v>0</v>
      </c>
      <c r="BD1513">
        <f>IFERROR(BC1513/$AU$1447,0)</f>
        <v>0</v>
      </c>
      <c r="BE1513">
        <f>BC1513*($F$23+IF($F$23=0,0,($C$14+$C$15+IF($C$13="single",1.5,3)+3)/12))</f>
        <v>0</v>
      </c>
      <c r="BF1513">
        <f>BE1513-AZ1513</f>
        <v>0</v>
      </c>
      <c r="BG1513" cm="1">
        <f t="array" ref="BG1513">IFERROR(IF(BF1513&lt;0,0,BF1513/($AU$1447-INDEX(hd_off,MATCH(BT1513,hd_mark,0),0)/12)),0)</f>
        <v>0</v>
      </c>
      <c r="BH1513">
        <f>IF(AV1513=0,0,$BG$1447*$AM$1431)</f>
        <v>0</v>
      </c>
      <c r="BI1513">
        <f>IFERROR(BH1513/$AU$1447,0)</f>
        <v>0</v>
      </c>
      <c r="BJ1513">
        <f>BH1513*($F$23+IF($F$23=0,0,($C$14+$C$15+IF($C$13="single",1.5,3)+3)/12))</f>
        <v>0</v>
      </c>
      <c r="BK1513">
        <f>BJ1513-BA1513</f>
        <v>0</v>
      </c>
      <c r="BL1513" cm="1">
        <f t="array" ref="BL1513">IFERROR(IF(BK1513&lt;0,0,BK1513/($AU$1447-INDEX(hd_off,MATCH(BT1513,hd_mark,0),0)/12)),0)</f>
        <v>0</v>
      </c>
      <c r="BM1513">
        <f>MAX($F$23,$BD$1447)/$Q$1460</f>
        <v>0</v>
      </c>
      <c r="BN1513">
        <f t="shared" si="934"/>
        <v>0</v>
      </c>
      <c r="BO1513" cm="1">
        <f t="array" ref="BO1513">IFERROR(INDEX(sheath_ecap_asd,MATCH(BS1513,sheath_mark,0),0)*BN1513,0)</f>
        <v>0</v>
      </c>
      <c r="BP1513" cm="1">
        <f t="array" ref="BP1513">IFERROR(INDEX(sheath_wcap_asd,MATCH(BS1513,sheath_mark,0),0)*BN1513,0)</f>
        <v>0</v>
      </c>
      <c r="BQ1513" cm="1">
        <f t="array" ref="BQ1513">IFERROR(INDEX(hd_cap,MATCH(BT1513,hd_mark,0),0),0)</f>
        <v>0</v>
      </c>
      <c r="BS1513" s="19"/>
      <c r="BT1513" s="19"/>
      <c r="BU1513" s="100"/>
    </row>
    <row r="1514" x14ac:dyDescent="0.25">
      <c r="P1514" s="93"/>
      <c r="Q1514" s="111">
        <f>$R$1447</f>
        <v>0</v>
      </c>
      <c r="R1514" t="str">
        <f>$Q$1432</f>
        <v>L5</v>
      </c>
      <c r="S1514">
        <f>$E$24</f>
        <v>0</v>
      </c>
      <c r="T1514" cm="1">
        <f t="array" ref="T1514">IFERROR(IF(S1514=0,0,(INDEX($C$33:$C$38,MATCH($W$1447,$B$33:$B$38,0),0)*(S1515+$X$1447)+$T$1447*COUNTIF(S1514:S1514,"&gt;0")*$C$32+$V$1447*$C$31)*$R$1447),0)</f>
        <v>0</v>
      </c>
      <c r="U1514">
        <f>IF(S1514=0,0,-(COUNTIF(S1514:S1514,"&gt;0")*$T$1447*$C$32+$V$1447*$C$31)*$H$27*$R$1447)</f>
        <v>0</v>
      </c>
      <c r="V1514">
        <f>IF(S1514=0,0,$V$1447*$H$26*$R$1447)</f>
        <v>0</v>
      </c>
      <c r="W1514">
        <f>(0.6*T1514+0.7*U1514)*$R$1447/2</f>
        <v>0</v>
      </c>
      <c r="X1514">
        <f>T1514*$R$1447/2</f>
        <v>0</v>
      </c>
      <c r="Z1514">
        <f>IF(S1514=0,0,$AD$1447*$AP$1432)</f>
        <v>0</v>
      </c>
      <c r="AA1514">
        <f>IFERROR(Z1514/$R$1447,0)</f>
        <v>0</v>
      </c>
      <c r="AB1514">
        <f>Z1514*($F$24+IF($F$24=0,0,($C$14+$C$15+IF($C$13="single",1.5,3)+3)/12))</f>
        <v>0</v>
      </c>
      <c r="AC1514">
        <f>AB1514-W1514</f>
        <v>0</v>
      </c>
      <c r="AD1514" cm="1">
        <f t="array" ref="AD1514">IFERROR(IF(AC1514&lt;0,0,AC1514/($R$1447-INDEX(hd_off,MATCH(AQ1514,hd_mark,0),0)/12)),0)</f>
        <v>0</v>
      </c>
      <c r="AE1514">
        <f>IF(S1514=0,0,$AD$1447*$AM$1432)</f>
        <v>0</v>
      </c>
      <c r="AF1514">
        <f>IFERROR(AE1514/$R$1447,0)</f>
        <v>0</v>
      </c>
      <c r="AG1514">
        <f>AE1514*($F$24+IF($F$24=0,0,($C$14+$C$15+IF($C$13="single",1.5,3)+3)/12))</f>
        <v>0</v>
      </c>
      <c r="AH1514">
        <f>AG1514-X1514</f>
        <v>0</v>
      </c>
      <c r="AI1514" cm="1">
        <f t="array" ref="AI1514">IFERROR(IF(AH1514&lt;0,0,AH1514/($R$1447-INDEX(hd_off,MATCH(AQ1514,hd_mark,0),0)/12)),0)</f>
        <v>0</v>
      </c>
      <c r="AJ1514">
        <f>MAX($F$24,$AB$1447)/$Q$1460</f>
        <v>0</v>
      </c>
      <c r="AK1514">
        <f t="shared" si="933"/>
        <v>0</v>
      </c>
      <c r="AL1514" cm="1">
        <f t="array" ref="AL1514">IFERROR(INDEX(sheath_ecap_asd,MATCH(AP1514,sheath_mark,0),0)*AK1514,0)</f>
        <v>0</v>
      </c>
      <c r="AM1514" cm="1">
        <f t="array" ref="AM1514">IFERROR(INDEX(sheath_wcap_asd,MATCH(AP1514,sheath_mark,0),0)*AK1514,0)</f>
        <v>0</v>
      </c>
      <c r="AN1514" cm="1">
        <f t="array" ref="AN1514">IFERROR(INDEX(hd_cap,MATCH(AQ1514,hd_mark,0),0),0)</f>
        <v>0</v>
      </c>
      <c r="AP1514" s="19"/>
      <c r="AQ1514" s="19"/>
      <c r="AR1514" s="100"/>
      <c r="AS1514" s="93"/>
      <c r="AT1514" s="111">
        <f>$R$1447</f>
        <v>0</v>
      </c>
      <c r="AU1514" t="str">
        <f>$Q$1432</f>
        <v>L5</v>
      </c>
      <c r="AV1514">
        <f>$E$24</f>
        <v>0</v>
      </c>
      <c r="AW1514" cm="1">
        <f t="array" ref="AW1514">IFERROR(IF(AV1514=0,0,(INDEX($C$33:$C$38,MATCH($AZ$1447,$B$33:$B$38,0),0)*(AV1515+$BA$1447)+$AW$1447*COUNTIF(AV1514:AV1514,"&gt;0")*$C$32+$AY$1447*$C$31)*$AU$1447),0)</f>
        <v>0</v>
      </c>
      <c r="AX1514">
        <f>IF(AV1514=0,0,-(COUNTIF(AV1514:AV1514,"&gt;0")*$AW$1447*$C$32+$AY$1447*$C$31)*$H$27*$AU$1447)</f>
        <v>0</v>
      </c>
      <c r="AY1514">
        <f>IF(AV1514=0,0,$AY$1447*$H$26*$AU$1447)</f>
        <v>0</v>
      </c>
      <c r="AZ1514">
        <f>(0.6*AW1514+0.7*AX1514)*$AU$1447/2</f>
        <v>0</v>
      </c>
      <c r="BA1514">
        <f>AW1514*$AU$1447/2</f>
        <v>0</v>
      </c>
      <c r="BC1514">
        <f>IF(AV1514=0,0,$BG$1447*$AP$1432)</f>
        <v>0</v>
      </c>
      <c r="BD1514">
        <f>IFERROR(BC1514/$AU$1447,0)</f>
        <v>0</v>
      </c>
      <c r="BE1514">
        <f>BC1514*($F$24+IF($F$24=0,0,($C$14+$C$15+IF($C$13="single",1.5,3)+3)/12))</f>
        <v>0</v>
      </c>
      <c r="BF1514">
        <f>BE1514-AZ1514</f>
        <v>0</v>
      </c>
      <c r="BG1514" cm="1">
        <f t="array" ref="BG1514">IFERROR(IF(BF1514&lt;0,0,BF1514/($AU$1447-INDEX(hd_off,MATCH(BT1514,hd_mark,0),0)/12)),0)</f>
        <v>0</v>
      </c>
      <c r="BH1514">
        <f>IF(AV1514=0,0,$BG$1447*$AM$1432)</f>
        <v>0</v>
      </c>
      <c r="BI1514">
        <f>IFERROR(BH1514/$AU$1447,0)</f>
        <v>0</v>
      </c>
      <c r="BJ1514">
        <f>BH1514*($F$24+IF($F$24=0,0,($C$14+$C$15+IF($C$13="single",1.5,3)+3)/12))</f>
        <v>0</v>
      </c>
      <c r="BK1514">
        <f>BJ1514-BA1514</f>
        <v>0</v>
      </c>
      <c r="BL1514" cm="1">
        <f t="array" ref="BL1514">IFERROR(IF(BK1514&lt;0,0,BK1514/($AU$1447-INDEX(hd_off,MATCH(BT1514,hd_mark,0),0)/12)),0)</f>
        <v>0</v>
      </c>
      <c r="BM1514">
        <f>MAX($F$24,$BE$1447)/$Q$1460</f>
        <v>0</v>
      </c>
      <c r="BN1514">
        <f t="shared" si="934"/>
        <v>0</v>
      </c>
      <c r="BO1514" cm="1">
        <f t="array" ref="BO1514">IFERROR(INDEX(sheath_ecap_asd,MATCH(BS1514,sheath_mark,0),0)*BN1514,0)</f>
        <v>0</v>
      </c>
      <c r="BP1514" cm="1">
        <f t="array" ref="BP1514">IFERROR(INDEX(sheath_wcap_asd,MATCH(BS1514,sheath_mark,0),0)*BN1514,0)</f>
        <v>0</v>
      </c>
      <c r="BQ1514" cm="1">
        <f t="array" ref="BQ1514">IFERROR(INDEX(hd_cap,MATCH(BT1514,hd_mark,0),0),0)</f>
        <v>0</v>
      </c>
      <c r="BS1514" s="19"/>
      <c r="BT1514" s="19"/>
      <c r="BU1514" s="100"/>
    </row>
    <row r="1515" x14ac:dyDescent="0.25">
      <c r="P1515" s="93"/>
      <c r="Q1515" s="109"/>
      <c r="R1515" t="str">
        <f>$Q$1433</f>
        <v>Roof</v>
      </c>
      <c r="S1515">
        <f>$E$25</f>
        <v>33.171875</v>
      </c>
      <c r="T1515" cm="1">
        <f t="array" ref="T1515">IFERROR(IF(S1515=0,0,(INDEX($C$33:$C$38,MATCH($W$1447,$B$33:$B$38,0),0)*(S1515+$X$1447)+$V$1447*$C$31)*$R$1447),0)</f>
        <v>0</v>
      </c>
      <c r="U1515">
        <f>IF(S1515=0,0,-$V$1447*$C$31*$H$27*$R$1447)</f>
        <v>0</v>
      </c>
      <c r="V1515">
        <f>IF(S1515=0,0,$V$1447*$H$26*$R$1447)</f>
        <v>0</v>
      </c>
      <c r="W1515">
        <f>(0.6*T1515+0.7*U1515)*$R$1447/2</f>
        <v>0</v>
      </c>
      <c r="X1515">
        <f>T1515*$R$1447/2</f>
        <v>0</v>
      </c>
      <c r="Z1515">
        <f>IF(S1515=0,0,$AD$1447*$AP$1433)</f>
        <v>0</v>
      </c>
      <c r="AA1515">
        <f>IFERROR(Z1515/$R$1447,0)</f>
        <v>0</v>
      </c>
      <c r="AB1515">
        <f>Z1515*($F$25+($C$16+$C$17+IF($C$13="single",1.5,3)+3)/12)</f>
        <v>0</v>
      </c>
      <c r="AC1515">
        <f>AB1515-W1515</f>
        <v>0</v>
      </c>
      <c r="AD1515" cm="1">
        <f t="array" ref="AD1515">IFERROR(IF(AC1515&lt;0,0,AC1515/($R$1447-INDEX(hd_off,MATCH(AQ1515,hd_mark,0),0)/12)),0)</f>
        <v>0</v>
      </c>
      <c r="AE1515">
        <f>IF(S1515=0,0,$AD$1447*$AM$1433)</f>
        <v>0</v>
      </c>
      <c r="AF1515">
        <f>IFERROR(AE1515/$R$1447,0)</f>
        <v>0</v>
      </c>
      <c r="AG1515">
        <f>AE1515*($F$25+($C$16+$C$17+IF($C$13="single",1.5,3)+3)/12)</f>
        <v>0</v>
      </c>
      <c r="AH1515">
        <f>AG1515-X1515</f>
        <v>0</v>
      </c>
      <c r="AI1515" cm="1">
        <f t="array" ref="AI1515">IFERROR(IF(AH1515&lt;0,0,AH1515/($R$1447-INDEX(hd_off,MATCH(AQ1515,hd_mark,0),0)/12)),0)</f>
        <v>0</v>
      </c>
      <c r="AJ1515">
        <f>MAX($F$25,$AC$1447)/$Q$1460</f>
        <v>0.29920977011494249</v>
      </c>
      <c r="AK1515">
        <f t="shared" si="933"/>
        <v>1</v>
      </c>
      <c r="AL1515" cm="1">
        <f t="array" ref="AL1515">IFERROR(INDEX(sheath_ecap_asd,MATCH(AP1515,sheath_mark,0),0)*AK1515,0)</f>
        <v>0</v>
      </c>
      <c r="AM1515" cm="1">
        <f t="array" ref="AM1515">IFERROR(INDEX(sheath_wcap_asd,MATCH(AP1515,sheath_mark,0),0)*AK1515,0)</f>
        <v>0</v>
      </c>
      <c r="AN1515" cm="1">
        <f t="array" ref="AN1515">IFERROR(INDEX(hd_cap,MATCH(AQ1515,hd_mark,0),0),0)</f>
        <v>0</v>
      </c>
      <c r="AP1515" s="19"/>
      <c r="AQ1515" s="19"/>
      <c r="AR1515" s="100"/>
      <c r="AS1515" s="93"/>
      <c r="AT1515" s="109"/>
      <c r="AU1515" t="str">
        <f>$Q$1433</f>
        <v>Roof</v>
      </c>
      <c r="AV1515">
        <f>$E$25</f>
        <v>33.171875</v>
      </c>
      <c r="AW1515" cm="1">
        <f t="array" ref="AW1515">IFERROR(IF(AV1515=0,0,(INDEX($C$33:$C$38,MATCH($AZ$1447,$B$33:$B$38,0),0)*(AV1515+$BA$1447)+$AY$1447*$C$31)*$AU$1447),0)</f>
        <v>0</v>
      </c>
      <c r="AX1515">
        <f>IF(AV1515=0,0,-$AY$1447*$C$31*$H$27*$AU$1447)</f>
        <v>0</v>
      </c>
      <c r="AY1515">
        <f>IF(AV1515=0,0,$AY$1447*$H$26*$AU$1447)</f>
        <v>0</v>
      </c>
      <c r="AZ1515">
        <f>(0.6*AW1515+0.7*AX1515)*$AU$1447/2</f>
        <v>0</v>
      </c>
      <c r="BA1515">
        <f>AW1515*$AU$1447/2</f>
        <v>0</v>
      </c>
      <c r="BC1515">
        <f>IF(AV1515=0,0,$BG$1447*$AP$1433)</f>
        <v>0</v>
      </c>
      <c r="BD1515">
        <f>IFERROR(BC1515/$AU$1447,0)</f>
        <v>0</v>
      </c>
      <c r="BE1515">
        <f>BC1515*($F$25+($C$16+$C$17+IF($C$13="single",1.5,3)+3)/12)</f>
        <v>0</v>
      </c>
      <c r="BF1515">
        <f>BE1515-AZ1515</f>
        <v>0</v>
      </c>
      <c r="BG1515" cm="1">
        <f t="array" ref="BG1515">IFERROR(IF(BF1515&lt;0,0,BF1515/($AU$1447-INDEX(hd_off,MATCH(BT1515,hd_mark,0),0)/12)),0)</f>
        <v>0</v>
      </c>
      <c r="BH1515">
        <f>IF(AV1515=0,0,$BG$1447*$AM$1433)</f>
        <v>0</v>
      </c>
      <c r="BI1515">
        <f>IFERROR(BH1515/$AU$1447,0)</f>
        <v>0</v>
      </c>
      <c r="BJ1515">
        <f>BH1515*($F$25+($C$16+$C$17+IF($C$13="single",1.5,3)+3)/12)</f>
        <v>0</v>
      </c>
      <c r="BK1515">
        <f>BJ1515-BA1515</f>
        <v>0</v>
      </c>
      <c r="BL1515" cm="1">
        <f t="array" ref="BL1515">IFERROR(IF(BK1515&lt;0,0,BK1515/($AU$1447-INDEX(hd_off,MATCH(BT1515,hd_mark,0),0)/12)),0)</f>
        <v>0</v>
      </c>
      <c r="BM1515">
        <f>MAX($F$25,$BF$1447)/$Q$1460</f>
        <v>0.29920977011494249</v>
      </c>
      <c r="BN1515">
        <f t="shared" si="934"/>
        <v>1</v>
      </c>
      <c r="BO1515" cm="1">
        <f t="array" ref="BO1515">IFERROR(INDEX(sheath_ecap_asd,MATCH(BS1515,sheath_mark,0),0)*BN1515,0)</f>
        <v>0</v>
      </c>
      <c r="BP1515" cm="1">
        <f t="array" ref="BP1515">IFERROR(INDEX(sheath_wcap_asd,MATCH(BS1515,sheath_mark,0),0)*BN1515,0)</f>
        <v>0</v>
      </c>
      <c r="BQ1515" cm="1">
        <f t="array" ref="BQ1515">IFERROR(INDEX(hd_cap,MATCH(BT1515,hd_mark,0),0),0)</f>
        <v>0</v>
      </c>
      <c r="BS1515" s="19"/>
      <c r="BT1515" s="19"/>
      <c r="BU1515" s="100"/>
    </row>
    <row r="1516" x14ac:dyDescent="0.25">
      <c r="P1516" s="93"/>
      <c r="AR1516" s="100"/>
      <c r="AS1516" s="93"/>
      <c r="BU1516" s="100"/>
    </row>
    <row r="1517" x14ac:dyDescent="0.25">
      <c r="P1517" s="93"/>
      <c r="Q1517" s="110" t="str">
        <f>$Q$1448</f>
        <v>A.11</v>
      </c>
      <c r="R1517" t="str">
        <f>$Q$1429</f>
        <v>L2</v>
      </c>
      <c r="S1517">
        <f>$E$21</f>
        <v>10.6875</v>
      </c>
      <c r="T1517" cm="1">
        <f t="array" ref="T1517">IFERROR(IF(S1517=0,0,(INDEX($C$33:$C$38,MATCH($W$1448,$B$33:$B$38,0),0)*(S1521+$X$1448)+$T$1448*COUNTIF(S1517:S1520,"&gt;0")*$C$32+$V$1448*$C$31)*$R$1448),0)</f>
        <v>0</v>
      </c>
      <c r="U1517">
        <f>IF(S1517=0,0,-(COUNTIF(S1517:S1520,"&gt;0")*$T$1448*$C$32+$V$1448*$C$31)*$H$27*$R$1448)</f>
        <v>0</v>
      </c>
      <c r="V1517">
        <f>IF(S1517=0,0,$V$1448*$H$26*$R$1448)</f>
        <v>0</v>
      </c>
      <c r="W1517">
        <f>(0.6*T1517+0.7*U1517)*$R$1448/2</f>
        <v>0</v>
      </c>
      <c r="X1517">
        <f>(0.6*T1517+0.6*V1517)*$R$1448/2</f>
        <v>0</v>
      </c>
      <c r="Z1517">
        <f>IF(S1517=0,0,$AD$1448*$AP$1429)</f>
        <v>0</v>
      </c>
      <c r="AA1517">
        <f>IFERROR(Z1517/$R$1448,0)</f>
        <v>0</v>
      </c>
      <c r="AB1517">
        <f>Z1517*($F$21+IF($F$21=0,0,($C$14+$C$15+IF($C$13="single",1.5,3)+3)/12))</f>
        <v>0</v>
      </c>
      <c r="AC1517">
        <f>AB1517-W1517</f>
        <v>0</v>
      </c>
      <c r="AD1517" cm="1">
        <f t="array" ref="AD1517">IFERROR(IF(AC1517&lt;0,0,AC1517/($R$1448-INDEX(hd_off,MATCH(AQ1517,hd_mark,0),0)/12)),0)</f>
        <v>0</v>
      </c>
      <c r="AE1517">
        <f>IF(S1517=0,0,$AD$1448*$AM$1429)</f>
        <v>0</v>
      </c>
      <c r="AF1517">
        <f>IFERROR(AE1517/$R$1448,0)</f>
        <v>0</v>
      </c>
      <c r="AG1517">
        <f>AE1517*($F$21+IF($F$21=0,0,($C$14+$C$15+IF($C$13="single",1.5,3)+3)/12))</f>
        <v>0</v>
      </c>
      <c r="AH1517">
        <f>AG1517-X1517</f>
        <v>0</v>
      </c>
      <c r="AI1517" cm="1">
        <f t="array" ref="AI1517">IFERROR(IF(AH1517&lt;0,0,AH1517/($R$1448-INDEX(hd_off,MATCH(AQ1517,hd_mark,0),0)/12)),0)</f>
        <v>0</v>
      </c>
      <c r="AJ1517">
        <f>MAX($F$21,$Y$1448)/$Q$1460</f>
        <v>0.30172413793103448</v>
      </c>
      <c r="AK1517">
        <f>IF(AJ1517=0,0,IF(AJ1517&gt;2,1.25-0.125*AJ1517,1))</f>
        <v>1</v>
      </c>
      <c r="AL1517" cm="1">
        <f t="array" ref="AL1517">IFERROR(INDEX(sheath_ecap_asd,MATCH(AP1517,sheath_mark,0),0)*AK1517,0)</f>
        <v>0</v>
      </c>
      <c r="AM1517" cm="1">
        <f t="array" ref="AM1517">IFERROR(INDEX(sheath_wcap_asd,MATCH(AP1517,sheath_mark,0),0)*AK1517,0)</f>
        <v>0</v>
      </c>
      <c r="AN1517" cm="1">
        <f t="array" ref="AN1517">IFERROR(INDEX(hd_cap,MATCH(AQ1517,hd_mark,0),0),0)</f>
        <v>0</v>
      </c>
      <c r="AP1517" s="19"/>
      <c r="AQ1517" s="19"/>
      <c r="AR1517" s="100"/>
      <c r="AS1517" s="93"/>
      <c r="AT1517" s="110" t="str">
        <f>$AT$1448</f>
        <v>1.11</v>
      </c>
      <c r="AU1517" t="str">
        <f>$Q$1429</f>
        <v>L2</v>
      </c>
      <c r="AV1517">
        <f>$E$21</f>
        <v>10.6875</v>
      </c>
      <c r="AW1517" cm="1">
        <f t="array" ref="AW1517">IFERROR(IF(AV1517=0,0,(INDEX($C$33:$C$38,MATCH($AZ$1448,$B$33:$B$38,0),0)*(AV1521+$BA$1448)+$AW$1448*COUNTIF(AV1517:AV1520,"&gt;0")*$C$32+$AY$1448*$C$31)*$AU$1448),0)</f>
        <v>0</v>
      </c>
      <c r="AX1517">
        <f>IF(AV1517=0,0,-(COUNTIF(AV1517:AV1520,"&gt;0")*$AW$1448*$C$32+$AY$1448*$C$31)*$H$27*$AU$1448)</f>
        <v>0</v>
      </c>
      <c r="AY1517">
        <f>IF(AV1517=0,0,$AY$1448*$H$26*$AU$1448)</f>
        <v>0</v>
      </c>
      <c r="AZ1517">
        <f>(0.6*AW1517+0.7*AX1517)*$AU$1448/2</f>
        <v>0</v>
      </c>
      <c r="BA1517">
        <f>(0.6*AW1517+0.6*AY1517)*$AU$1448/2</f>
        <v>0</v>
      </c>
      <c r="BC1517">
        <f>IF(AV1517=0,0,$BG$1448*$AP$1429)</f>
        <v>0</v>
      </c>
      <c r="BD1517">
        <f>IFERROR(BC1517/$AU$1448,0)</f>
        <v>0</v>
      </c>
      <c r="BE1517">
        <f>BC1517*($F$21+IF($F$21=0,0,($C$14+$C$15+IF($C$13="single",1.5,3)+3)/12))</f>
        <v>0</v>
      </c>
      <c r="BF1517">
        <f>BE1517-AZ1517</f>
        <v>0</v>
      </c>
      <c r="BG1517" cm="1">
        <f t="array" ref="BG1517">IFERROR(IF(BF1517&lt;0,0,BF1517/($AU$1448-INDEX(hd_off,MATCH(BT1517,hd_mark,0),0)/12)),0)</f>
        <v>0</v>
      </c>
      <c r="BH1517">
        <f>IF(AV1517=0,0,$BG$1448*$AM$1429)</f>
        <v>0</v>
      </c>
      <c r="BI1517">
        <f>IFERROR(BH1517/$AU$1448,0)</f>
        <v>0</v>
      </c>
      <c r="BJ1517">
        <f>BH1517*($F$21+IF($F$21=0,0,($C$14+$C$15+IF($C$13="single",1.5,3)+3)/12))</f>
        <v>0</v>
      </c>
      <c r="BK1517">
        <f>BJ1517-BA1517</f>
        <v>0</v>
      </c>
      <c r="BL1517" cm="1">
        <f t="array" ref="BL1517">IFERROR(IF(BK1517&lt;0,0,BK1517/($AU$1448-INDEX(hd_off,MATCH(BT1517,hd_mark,0),0)/12)),0)</f>
        <v>0</v>
      </c>
      <c r="BM1517">
        <f>MAX($F$21,$BB$1448)/$Q$1460</f>
        <v>0.30172413793103448</v>
      </c>
      <c r="BN1517">
        <f>IF(BM1517=0,0,IF(BM1517&gt;2,1.25-0.125*BM1517,1))</f>
        <v>1</v>
      </c>
      <c r="BO1517" cm="1">
        <f t="array" ref="BO1517">IFERROR(INDEX(sheath_ecap_asd,MATCH(BS1517,sheath_mark,0),0)*BN1517,0)</f>
        <v>0</v>
      </c>
      <c r="BP1517" cm="1">
        <f t="array" ref="BP1517">IFERROR(INDEX(sheath_wcap_asd,MATCH(BS1517,sheath_mark,0),0)*BN1517,0)</f>
        <v>0</v>
      </c>
      <c r="BQ1517" cm="1">
        <f t="array" ref="BQ1517">IFERROR(INDEX(hd_cap,MATCH(BT1517,hd_mark,0),0),0)</f>
        <v>0</v>
      </c>
      <c r="BS1517" s="19"/>
      <c r="BT1517" s="19"/>
      <c r="BU1517" s="100"/>
    </row>
    <row r="1518" x14ac:dyDescent="0.25">
      <c r="P1518" s="93"/>
      <c r="Q1518" s="109"/>
      <c r="R1518" t="str">
        <f>$Q$1430</f>
        <v>L3</v>
      </c>
      <c r="S1518">
        <f>$E$22</f>
        <v>21.375</v>
      </c>
      <c r="T1518" cm="1">
        <f t="array" ref="T1518">IFERROR(IF(S1518=0,0,(INDEX($C$33:$C$38,MATCH($W$1448,$B$33:$B$38,0),0)*(S1521+$X$1448)+$T$1448*COUNTIF(S1518:S1520,"&gt;0")*$C$32+$V$1448*$C$31)*$R$1448),0)</f>
        <v>0</v>
      </c>
      <c r="U1518">
        <f>IF(S1518=0,0,-(COUNTIF(S1518:S1520,"&gt;0")*$T$1448*$C$32+$V$1448*$C$31)*$H$27*$R$1448)</f>
        <v>0</v>
      </c>
      <c r="V1518">
        <f>IF(S1518=0,0,$V$1448*$H$26*$R$1448)</f>
        <v>0</v>
      </c>
      <c r="W1518">
        <f>(0.6*T1518+0.7*U1518)*$R$1448/2</f>
        <v>0</v>
      </c>
      <c r="X1518">
        <f>T1518*$R$1448/2</f>
        <v>0</v>
      </c>
      <c r="Z1518">
        <f>IF(S1518=0,0,$AD$1448*$AP$1430)</f>
        <v>0</v>
      </c>
      <c r="AA1518">
        <f>IFERROR(Z1518/$R$1448,0)</f>
        <v>0</v>
      </c>
      <c r="AB1518">
        <f>Z1518*($F$22+IF($F$22=0,0,($C$14+$C$15+IF($C$13="single",1.5,3)+3)/12))</f>
        <v>0</v>
      </c>
      <c r="AC1518">
        <f>AB1518-W1518</f>
        <v>0</v>
      </c>
      <c r="AD1518" cm="1">
        <f t="array" ref="AD1518">IFERROR(IF(AC1518&lt;0,0,AC1518/($R$1448-INDEX(hd_off,MATCH(AQ1518,hd_mark,0),0)/12)),0)</f>
        <v>0</v>
      </c>
      <c r="AE1518">
        <f>IF(S1518=0,0,$AD$1448*$AM$1430)</f>
        <v>0</v>
      </c>
      <c r="AF1518">
        <f>IFERROR(AE1518/$R$1448,0)</f>
        <v>0</v>
      </c>
      <c r="AG1518">
        <f>AE1518*($F$22+IF($F$22=0,0,($C$14+$C$15+IF($C$13="single",1.5,3)+3)/12))</f>
        <v>0</v>
      </c>
      <c r="AH1518">
        <f>AG1518-X1518</f>
        <v>0</v>
      </c>
      <c r="AI1518" cm="1">
        <f t="array" ref="AI1518">IFERROR(IF(AH1518&lt;0,0,AH1518/($R$1448-INDEX(hd_off,MATCH(AQ1518,hd_mark,0),0)/12)),0)</f>
        <v>0</v>
      </c>
      <c r="AJ1518">
        <f>MAX($F$22,$Z$1448)/$Q$1460</f>
        <v>0.30172413793103448</v>
      </c>
      <c r="AK1518">
        <f t="shared" ref="AK1518:AK1521" si="935">IF(AJ1518=0,0,IF(AJ1518&gt;2,1.25-0.125*AJ1518,1))</f>
        <v>1</v>
      </c>
      <c r="AL1518" cm="1">
        <f t="array" ref="AL1518">IFERROR(INDEX(sheath_ecap_asd,MATCH(AP1518,sheath_mark,0),0)*AK1518,0)</f>
        <v>0</v>
      </c>
      <c r="AM1518" cm="1">
        <f t="array" ref="AM1518">IFERROR(INDEX(sheath_wcap_asd,MATCH(AP1518,sheath_mark,0),0)*AK1518,0)</f>
        <v>0</v>
      </c>
      <c r="AN1518" cm="1">
        <f t="array" ref="AN1518">IFERROR(INDEX(hd_cap,MATCH(AQ1518,hd_mark,0),0),0)</f>
        <v>0</v>
      </c>
      <c r="AP1518" s="19"/>
      <c r="AQ1518" s="19"/>
      <c r="AR1518" s="100"/>
      <c r="AS1518" s="93"/>
      <c r="AT1518" s="109"/>
      <c r="AU1518" t="str">
        <f>$Q$1430</f>
        <v>L3</v>
      </c>
      <c r="AV1518">
        <f>$E$22</f>
        <v>21.375</v>
      </c>
      <c r="AW1518" cm="1">
        <f t="array" ref="AW1518">IFERROR(IF(AV1518=0,0,(INDEX($C$33:$C$38,MATCH($AZ$1448,$B$33:$B$38,0),0)*(AV1521+$BA$1448)+$AW$1448*COUNTIF(AV1518:AV1520,"&gt;0")*$C$32+$AY$1448*$C$31)*$AU$1448),0)</f>
        <v>0</v>
      </c>
      <c r="AX1518">
        <f>IF(AV1518=0,0,-(COUNTIF(AV1518:AV1520,"&gt;0")*$AW$1448*$C$32+$AY$1448*$C$31)*$H$27*$AU$1448)</f>
        <v>0</v>
      </c>
      <c r="AY1518">
        <f>IF(AV1518=0,0,$AY$1448*$H$26*$AU$1448)</f>
        <v>0</v>
      </c>
      <c r="AZ1518">
        <f>(0.6*AW1518+0.7*AX1518)*$AU$1448/2</f>
        <v>0</v>
      </c>
      <c r="BA1518">
        <f>AW1518*$AU$1448/2</f>
        <v>0</v>
      </c>
      <c r="BC1518">
        <f>IF(AV1518=0,0,$BG$1448*$AP$1430)</f>
        <v>0</v>
      </c>
      <c r="BD1518">
        <f>IFERROR(BC1518/$AU$1448,0)</f>
        <v>0</v>
      </c>
      <c r="BE1518">
        <f>BC1518*($F$22+IF($F$22=0,0,($C$14+$C$15+IF($C$13="single",1.5,3)+3)/12))</f>
        <v>0</v>
      </c>
      <c r="BF1518">
        <f>BE1518-AZ1518</f>
        <v>0</v>
      </c>
      <c r="BG1518" cm="1">
        <f t="array" ref="BG1518">IFERROR(IF(BF1518&lt;0,0,BF1518/($AU$1448-INDEX(hd_off,MATCH(BT1518,hd_mark,0),0)/12)),0)</f>
        <v>0</v>
      </c>
      <c r="BH1518">
        <f>IF(AV1518=0,0,$BG$1448*$AM$1430)</f>
        <v>0</v>
      </c>
      <c r="BI1518">
        <f>IFERROR(BH1518/$AU$1448,0)</f>
        <v>0</v>
      </c>
      <c r="BJ1518">
        <f>BH1518*($F$22+IF($F$22=0,0,($C$14+$C$15+IF($C$13="single",1.5,3)+3)/12))</f>
        <v>0</v>
      </c>
      <c r="BK1518">
        <f>BJ1518-BA1518</f>
        <v>0</v>
      </c>
      <c r="BL1518" cm="1">
        <f t="array" ref="BL1518">IFERROR(IF(BK1518&lt;0,0,BK1518/($AU$1448-INDEX(hd_off,MATCH(BT1518,hd_mark,0),0)/12)),0)</f>
        <v>0</v>
      </c>
      <c r="BM1518">
        <f>MAX($F$22,$BC$1448)/$Q$1460</f>
        <v>0.30172413793103448</v>
      </c>
      <c r="BN1518">
        <f t="shared" ref="BN1518:BN1521" si="936">IF(BM1518=0,0,IF(BM1518&gt;2,1.25-0.125*BM1518,1))</f>
        <v>1</v>
      </c>
      <c r="BO1518" cm="1">
        <f t="array" ref="BO1518">IFERROR(INDEX(sheath_ecap_asd,MATCH(BS1518,sheath_mark,0),0)*BN1518,0)</f>
        <v>0</v>
      </c>
      <c r="BP1518" cm="1">
        <f t="array" ref="BP1518">IFERROR(INDEX(sheath_wcap_asd,MATCH(BS1518,sheath_mark,0),0)*BN1518,0)</f>
        <v>0</v>
      </c>
      <c r="BQ1518" cm="1">
        <f t="array" ref="BQ1518">IFERROR(INDEX(hd_cap,MATCH(BT1518,hd_mark,0),0),0)</f>
        <v>0</v>
      </c>
      <c r="BS1518" s="19"/>
      <c r="BT1518" s="19"/>
      <c r="BU1518" s="100"/>
    </row>
    <row r="1519" x14ac:dyDescent="0.25">
      <c r="P1519" s="93"/>
      <c r="Q1519" s="109" t="s">
        <v>491</v>
      </c>
      <c r="R1519" t="str">
        <f>$Q$1431</f>
        <v>L4</v>
      </c>
      <c r="S1519">
        <f>$E$23</f>
        <v>0</v>
      </c>
      <c r="T1519" cm="1">
        <f t="array" ref="T1519">IFERROR(IF(S1519=0,0,(INDEX($C$33:$C$38,MATCH($W$1448,$B$33:$B$38,0),0)*(S1521+$X$1448)+$T$1448*COUNTIF(S1519:S1520,"&gt;0")*$C$32+$V$1448*$C$31)*$R$1448),0)</f>
        <v>0</v>
      </c>
      <c r="U1519">
        <f>IF(S1519=0,0,-(COUNTIF(S1519:S1520,"&gt;0")*$T$1448*$C$32+$V$1448*$C$31)*$H$27*$R$1448)</f>
        <v>0</v>
      </c>
      <c r="V1519">
        <f>IF(S1519=0,0,$V$1448*$H$26*$R$1448)</f>
        <v>0</v>
      </c>
      <c r="W1519">
        <f>(0.6*T1519+0.7*U1519)*$R$1448/2</f>
        <v>0</v>
      </c>
      <c r="X1519">
        <f>T1519*$R$1448/2</f>
        <v>0</v>
      </c>
      <c r="Z1519">
        <f>IF(S1519=0,0,$AD$1448*$AP$1431)</f>
        <v>0</v>
      </c>
      <c r="AA1519">
        <f>IFERROR(Z1519/$R$1448,0)</f>
        <v>0</v>
      </c>
      <c r="AB1519">
        <f>Z1519*($F$23+IF($F$23=0,0,($C$14+$C$15+IF($C$13="single",1.5,3)+3)/12))</f>
        <v>0</v>
      </c>
      <c r="AC1519">
        <f>AB1519-W1519</f>
        <v>0</v>
      </c>
      <c r="AD1519" cm="1">
        <f t="array" ref="AD1519">IFERROR(IF(AC1519&lt;0,0,AC1519/($R$1448-INDEX(hd_off,MATCH(AQ1519,hd_mark,0),0)/12)),0)</f>
        <v>0</v>
      </c>
      <c r="AE1519">
        <f>IF(S1519=0,0,$AD$1448*$AM$1431)</f>
        <v>0</v>
      </c>
      <c r="AF1519">
        <f>IFERROR(AE1519/$R$1448,0)</f>
        <v>0</v>
      </c>
      <c r="AG1519">
        <f>AE1519*($F$23+IF($F$23=0,0,($C$14+$C$15+IF($C$13="single",1.5,3)+3)/12))</f>
        <v>0</v>
      </c>
      <c r="AH1519">
        <f>AG1519-X1519</f>
        <v>0</v>
      </c>
      <c r="AI1519" cm="1">
        <f t="array" ref="AI1519">IFERROR(IF(AH1519&lt;0,0,AH1519/($R$1448-INDEX(hd_off,MATCH(AQ1519,hd_mark,0),0)/12)),0)</f>
        <v>0</v>
      </c>
      <c r="AJ1519">
        <f>MAX($F$23,$AA$1448)/$Q$1460</f>
        <v>0</v>
      </c>
      <c r="AK1519">
        <f t="shared" si="935"/>
        <v>0</v>
      </c>
      <c r="AL1519" cm="1">
        <f t="array" ref="AL1519">IFERROR(INDEX(sheath_ecap_asd,MATCH(AP1519,sheath_mark,0),0)*AK1519,0)</f>
        <v>0</v>
      </c>
      <c r="AM1519" cm="1">
        <f t="array" ref="AM1519">IFERROR(INDEX(sheath_wcap_asd,MATCH(AP1519,sheath_mark,0),0)*AK1519,0)</f>
        <v>0</v>
      </c>
      <c r="AN1519" cm="1">
        <f t="array" ref="AN1519">IFERROR(INDEX(hd_cap,MATCH(AQ1519,hd_mark,0),0),0)</f>
        <v>0</v>
      </c>
      <c r="AP1519" s="19"/>
      <c r="AQ1519" s="19"/>
      <c r="AR1519" s="100"/>
      <c r="AS1519" s="93"/>
      <c r="AT1519" s="109" t="s">
        <v>491</v>
      </c>
      <c r="AU1519" t="str">
        <f>$Q$1431</f>
        <v>L4</v>
      </c>
      <c r="AV1519">
        <f>$E$23</f>
        <v>0</v>
      </c>
      <c r="AW1519" cm="1">
        <f t="array" ref="AW1519">IFERROR(IF(AV1519=0,0,(INDEX($C$33:$C$38,MATCH($AZ$1448,$B$33:$B$38,0),0)*(AV1521+$BA$1448)+$AW$1448*COUNTIF(AV1519:AV1520,"&gt;0")*$C$32+$AY$1448*$C$31)*$AU$1448),0)</f>
        <v>0</v>
      </c>
      <c r="AX1519">
        <f>IF(AV1519=0,0,-(COUNTIF(AV1519:AV1520,"&gt;0")*$AW$1448*$C$32+$AY$1448*$C$31)*$H$27*$AU$1448)</f>
        <v>0</v>
      </c>
      <c r="AY1519">
        <f>IF(AV1519=0,0,$AY$1448*$H$26*$AU$1448)</f>
        <v>0</v>
      </c>
      <c r="AZ1519">
        <f>(0.6*AW1519+0.7*AX1519)*$AU$1448/2</f>
        <v>0</v>
      </c>
      <c r="BA1519">
        <f>AW1519*$AU$1448/2</f>
        <v>0</v>
      </c>
      <c r="BC1519">
        <f>IF(AV1519=0,0,$BG$1448*$AP$1431)</f>
        <v>0</v>
      </c>
      <c r="BD1519">
        <f>IFERROR(BC1519/$AU$1448,0)</f>
        <v>0</v>
      </c>
      <c r="BE1519">
        <f>BC1519*($F$23+IF($F$23=0,0,($C$14+$C$15+IF($C$13="single",1.5,3)+3)/12))</f>
        <v>0</v>
      </c>
      <c r="BF1519">
        <f>BE1519-AZ1519</f>
        <v>0</v>
      </c>
      <c r="BG1519" cm="1">
        <f t="array" ref="BG1519">IFERROR(IF(BF1519&lt;0,0,BF1519/($AU$1448-INDEX(hd_off,MATCH(BT1519,hd_mark,0),0)/12)),0)</f>
        <v>0</v>
      </c>
      <c r="BH1519">
        <f>IF(AV1519=0,0,$BG$1448*$AM$1431)</f>
        <v>0</v>
      </c>
      <c r="BI1519">
        <f>IFERROR(BH1519/$AU$1448,0)</f>
        <v>0</v>
      </c>
      <c r="BJ1519">
        <f>BH1519*($F$23+IF($F$23=0,0,($C$14+$C$15+IF($C$13="single",1.5,3)+3)/12))</f>
        <v>0</v>
      </c>
      <c r="BK1519">
        <f>BJ1519-BA1519</f>
        <v>0</v>
      </c>
      <c r="BL1519" cm="1">
        <f t="array" ref="BL1519">IFERROR(IF(BK1519&lt;0,0,BK1519/($AU$1448-INDEX(hd_off,MATCH(BT1519,hd_mark,0),0)/12)),0)</f>
        <v>0</v>
      </c>
      <c r="BM1519">
        <f>MAX($F$23,$BD$1448)/$Q$1460</f>
        <v>0</v>
      </c>
      <c r="BN1519">
        <f t="shared" si="936"/>
        <v>0</v>
      </c>
      <c r="BO1519" cm="1">
        <f t="array" ref="BO1519">IFERROR(INDEX(sheath_ecap_asd,MATCH(BS1519,sheath_mark,0),0)*BN1519,0)</f>
        <v>0</v>
      </c>
      <c r="BP1519" cm="1">
        <f t="array" ref="BP1519">IFERROR(INDEX(sheath_wcap_asd,MATCH(BS1519,sheath_mark,0),0)*BN1519,0)</f>
        <v>0</v>
      </c>
      <c r="BQ1519" cm="1">
        <f t="array" ref="BQ1519">IFERROR(INDEX(hd_cap,MATCH(BT1519,hd_mark,0),0),0)</f>
        <v>0</v>
      </c>
      <c r="BS1519" s="19"/>
      <c r="BT1519" s="19"/>
      <c r="BU1519" s="100"/>
    </row>
    <row r="1520" x14ac:dyDescent="0.25">
      <c r="P1520" s="93"/>
      <c r="Q1520" s="111">
        <f>$R$1448</f>
        <v>0</v>
      </c>
      <c r="R1520" t="str">
        <f>$Q$1432</f>
        <v>L5</v>
      </c>
      <c r="S1520">
        <f>$E$24</f>
        <v>0</v>
      </c>
      <c r="T1520" cm="1">
        <f t="array" ref="T1520">IFERROR(IF(S1520=0,0,(INDEX($C$33:$C$38,MATCH($W$1448,$B$33:$B$38,0),0)*(S1521+$X$1448)+$T$1448*COUNTIF(S1520:S1520,"&gt;0")*$C$32+$V$1448*$C$31)*$R$1448),0)</f>
        <v>0</v>
      </c>
      <c r="U1520">
        <f>IF(S1520=0,0,-(COUNTIF(S1520:S1520,"&gt;0")*$T$1448*$C$32+$V$1448*$C$31)*$H$27*$R$1448)</f>
        <v>0</v>
      </c>
      <c r="V1520">
        <f>IF(S1520=0,0,$V$1448*$H$26*$R$1448)</f>
        <v>0</v>
      </c>
      <c r="W1520">
        <f>(0.6*T1520+0.7*U1520)*$R$1448/2</f>
        <v>0</v>
      </c>
      <c r="X1520">
        <f>T1520*$R$1448/2</f>
        <v>0</v>
      </c>
      <c r="Z1520">
        <f>IF(S1520=0,0,$AD$1448*$AP$1432)</f>
        <v>0</v>
      </c>
      <c r="AA1520">
        <f>IFERROR(Z1520/$R$1448,0)</f>
        <v>0</v>
      </c>
      <c r="AB1520">
        <f>Z1520*($F$24+IF($F$24=0,0,($C$14+$C$15+IF($C$13="single",1.5,3)+3)/12))</f>
        <v>0</v>
      </c>
      <c r="AC1520">
        <f>AB1520-W1520</f>
        <v>0</v>
      </c>
      <c r="AD1520" cm="1">
        <f t="array" ref="AD1520">IFERROR(IF(AC1520&lt;0,0,AC1520/($R$1448-INDEX(hd_off,MATCH(AQ1520,hd_mark,0),0)/12)),0)</f>
        <v>0</v>
      </c>
      <c r="AE1520">
        <f>IF(S1520=0,0,$AD$1448*$AM$1432)</f>
        <v>0</v>
      </c>
      <c r="AF1520">
        <f>IFERROR(AE1520/$R$1448,0)</f>
        <v>0</v>
      </c>
      <c r="AG1520">
        <f>AE1520*($F$24+IF($F$24=0,0,($C$14+$C$15+IF($C$13="single",1.5,3)+3)/12))</f>
        <v>0</v>
      </c>
      <c r="AH1520">
        <f>AG1520-X1520</f>
        <v>0</v>
      </c>
      <c r="AI1520" cm="1">
        <f t="array" ref="AI1520">IFERROR(IF(AH1520&lt;0,0,AH1520/($R$1448-INDEX(hd_off,MATCH(AQ1520,hd_mark,0),0)/12)),0)</f>
        <v>0</v>
      </c>
      <c r="AJ1520">
        <f>MAX($F$24,$AB$1448)/$Q$1460</f>
        <v>0</v>
      </c>
      <c r="AK1520">
        <f t="shared" si="935"/>
        <v>0</v>
      </c>
      <c r="AL1520" cm="1">
        <f t="array" ref="AL1520">IFERROR(INDEX(sheath_ecap_asd,MATCH(AP1520,sheath_mark,0),0)*AK1520,0)</f>
        <v>0</v>
      </c>
      <c r="AM1520" cm="1">
        <f t="array" ref="AM1520">IFERROR(INDEX(sheath_wcap_asd,MATCH(AP1520,sheath_mark,0),0)*AK1520,0)</f>
        <v>0</v>
      </c>
      <c r="AN1520" cm="1">
        <f t="array" ref="AN1520">IFERROR(INDEX(hd_cap,MATCH(AQ1520,hd_mark,0),0),0)</f>
        <v>0</v>
      </c>
      <c r="AP1520" s="19"/>
      <c r="AQ1520" s="19"/>
      <c r="AR1520" s="100"/>
      <c r="AS1520" s="93"/>
      <c r="AT1520" s="111">
        <f>$R$1448</f>
        <v>0</v>
      </c>
      <c r="AU1520" t="str">
        <f>$Q$1432</f>
        <v>L5</v>
      </c>
      <c r="AV1520">
        <f>$E$24</f>
        <v>0</v>
      </c>
      <c r="AW1520" cm="1">
        <f t="array" ref="AW1520">IFERROR(IF(AV1520=0,0,(INDEX($C$33:$C$38,MATCH($AZ$1448,$B$33:$B$38,0),0)*(AV1521+$BA$1448)+$AW$1448*COUNTIF(AV1520:AV1520,"&gt;0")*$C$32+$AY$1448*$C$31)*$AU$1448),0)</f>
        <v>0</v>
      </c>
      <c r="AX1520">
        <f>IF(AV1520=0,0,-(COUNTIF(AV1520:AV1520,"&gt;0")*$AW$1448*$C$32+$AY$1448*$C$31)*$H$27*$AU$1448)</f>
        <v>0</v>
      </c>
      <c r="AY1520">
        <f>IF(AV1520=0,0,$AY$1448*$H$26*$AU$1448)</f>
        <v>0</v>
      </c>
      <c r="AZ1520">
        <f>(0.6*AW1520+0.7*AX1520)*$AU$1448/2</f>
        <v>0</v>
      </c>
      <c r="BA1520">
        <f>AW1520*$AU$1448/2</f>
        <v>0</v>
      </c>
      <c r="BC1520">
        <f>IF(AV1520=0,0,$BG$1448*$AP$1432)</f>
        <v>0</v>
      </c>
      <c r="BD1520">
        <f>IFERROR(BC1520/$AU$1448,0)</f>
        <v>0</v>
      </c>
      <c r="BE1520">
        <f>BC1520*($F$24+IF($F$24=0,0,($C$14+$C$15+IF($C$13="single",1.5,3)+3)/12))</f>
        <v>0</v>
      </c>
      <c r="BF1520">
        <f>BE1520-AZ1520</f>
        <v>0</v>
      </c>
      <c r="BG1520" cm="1">
        <f t="array" ref="BG1520">IFERROR(IF(BF1520&lt;0,0,BF1520/($AU$1448-INDEX(hd_off,MATCH(BT1520,hd_mark,0),0)/12)),0)</f>
        <v>0</v>
      </c>
      <c r="BH1520">
        <f>IF(AV1520=0,0,$BG$1448*$AM$1432)</f>
        <v>0</v>
      </c>
      <c r="BI1520">
        <f>IFERROR(BH1520/$AU$1448,0)</f>
        <v>0</v>
      </c>
      <c r="BJ1520">
        <f>BH1520*($F$24+IF($F$24=0,0,($C$14+$C$15+IF($C$13="single",1.5,3)+3)/12))</f>
        <v>0</v>
      </c>
      <c r="BK1520">
        <f>BJ1520-BA1520</f>
        <v>0</v>
      </c>
      <c r="BL1520" cm="1">
        <f t="array" ref="BL1520">IFERROR(IF(BK1520&lt;0,0,BK1520/($AU$1448-INDEX(hd_off,MATCH(BT1520,hd_mark,0),0)/12)),0)</f>
        <v>0</v>
      </c>
      <c r="BM1520">
        <f>MAX($F$24,$BE$1448)/$Q$1460</f>
        <v>0</v>
      </c>
      <c r="BN1520">
        <f t="shared" si="936"/>
        <v>0</v>
      </c>
      <c r="BO1520" cm="1">
        <f t="array" ref="BO1520">IFERROR(INDEX(sheath_ecap_asd,MATCH(BS1520,sheath_mark,0),0)*BN1520,0)</f>
        <v>0</v>
      </c>
      <c r="BP1520" cm="1">
        <f t="array" ref="BP1520">IFERROR(INDEX(sheath_wcap_asd,MATCH(BS1520,sheath_mark,0),0)*BN1520,0)</f>
        <v>0</v>
      </c>
      <c r="BQ1520" cm="1">
        <f t="array" ref="BQ1520">IFERROR(INDEX(hd_cap,MATCH(BT1520,hd_mark,0),0),0)</f>
        <v>0</v>
      </c>
      <c r="BS1520" s="19"/>
      <c r="BT1520" s="19"/>
      <c r="BU1520" s="100"/>
    </row>
    <row r="1521" x14ac:dyDescent="0.25">
      <c r="P1521" s="93"/>
      <c r="Q1521" s="109"/>
      <c r="R1521" t="str">
        <f>$Q$1433</f>
        <v>Roof</v>
      </c>
      <c r="S1521">
        <f>$E$25</f>
        <v>33.171875</v>
      </c>
      <c r="T1521" cm="1">
        <f t="array" ref="T1521">IFERROR(IF(S1521=0,0,(INDEX($C$33:$C$38,MATCH($W$1448,$B$33:$B$38,0),0)*(S1521+$X$1448)+$V$1448*$C$31)*$R$1448),0)</f>
        <v>0</v>
      </c>
      <c r="U1521">
        <f>IF(S1521=0,0,-$V$1448*$C$31*$H$27*$R$1448)</f>
        <v>0</v>
      </c>
      <c r="V1521">
        <f>IF(S1521=0,0,$V$1448*$H$26*$R$1448)</f>
        <v>0</v>
      </c>
      <c r="W1521">
        <f>(0.6*T1521+0.7*U1521)*$R$1448/2</f>
        <v>0</v>
      </c>
      <c r="X1521">
        <f>T1521*$R$1448/2</f>
        <v>0</v>
      </c>
      <c r="Z1521">
        <f>IF(S1521=0,0,$AD$1448*$AP$1433)</f>
        <v>0</v>
      </c>
      <c r="AA1521">
        <f>IFERROR(Z1521/$R$1448,0)</f>
        <v>0</v>
      </c>
      <c r="AB1521">
        <f>Z1521*($F$25+($C$16+$C$17+IF($C$13="single",1.5,3)+3)/12)</f>
        <v>0</v>
      </c>
      <c r="AC1521">
        <f>AB1521-W1521</f>
        <v>0</v>
      </c>
      <c r="AD1521" cm="1">
        <f t="array" ref="AD1521">IFERROR(IF(AC1521&lt;0,0,AC1521/($R$1448-INDEX(hd_off,MATCH(AQ1521,hd_mark,0),0)/12)),0)</f>
        <v>0</v>
      </c>
      <c r="AE1521">
        <f>IF(S1521=0,0,$AD$1448*$AM$1433)</f>
        <v>0</v>
      </c>
      <c r="AF1521">
        <f>IFERROR(AE1521/$R$1448,0)</f>
        <v>0</v>
      </c>
      <c r="AG1521">
        <f>AE1521*($F$25+($C$16+$C$17+IF($C$13="single",1.5,3)+3)/12)</f>
        <v>0</v>
      </c>
      <c r="AH1521">
        <f>AG1521-X1521</f>
        <v>0</v>
      </c>
      <c r="AI1521" cm="1">
        <f t="array" ref="AI1521">IFERROR(IF(AH1521&lt;0,0,AH1521/($R$1448-INDEX(hd_off,MATCH(AQ1521,hd_mark,0),0)/12)),0)</f>
        <v>0</v>
      </c>
      <c r="AJ1521">
        <f>MAX($F$25,$AC$1448)/$Q$1460</f>
        <v>0.29920977011494249</v>
      </c>
      <c r="AK1521">
        <f t="shared" si="935"/>
        <v>1</v>
      </c>
      <c r="AL1521" cm="1">
        <f t="array" ref="AL1521">IFERROR(INDEX(sheath_ecap_asd,MATCH(AP1521,sheath_mark,0),0)*AK1521,0)</f>
        <v>0</v>
      </c>
      <c r="AM1521" cm="1">
        <f t="array" ref="AM1521">IFERROR(INDEX(sheath_wcap_asd,MATCH(AP1521,sheath_mark,0),0)*AK1521,0)</f>
        <v>0</v>
      </c>
      <c r="AN1521" cm="1">
        <f t="array" ref="AN1521">IFERROR(INDEX(hd_cap,MATCH(AQ1521,hd_mark,0),0),0)</f>
        <v>0</v>
      </c>
      <c r="AP1521" s="19"/>
      <c r="AQ1521" s="19"/>
      <c r="AR1521" s="100"/>
      <c r="AS1521" s="93"/>
      <c r="AT1521" s="109"/>
      <c r="AU1521" t="str">
        <f>$Q$1433</f>
        <v>Roof</v>
      </c>
      <c r="AV1521">
        <f>$E$25</f>
        <v>33.171875</v>
      </c>
      <c r="AW1521" cm="1">
        <f t="array" ref="AW1521">IFERROR(IF(AV1521=0,0,(INDEX($C$33:$C$38,MATCH($AZ$1448,$B$33:$B$38,0),0)*(AV1521+$BA$1448)+$AY$1448*$C$31)*$AU$1448),0)</f>
        <v>0</v>
      </c>
      <c r="AX1521">
        <f>IF(AV1521=0,0,-$AY$1448*$C$31*$H$27*$AU$1448)</f>
        <v>0</v>
      </c>
      <c r="AY1521">
        <f>IF(AV1521=0,0,$AY$1448*$H$26*$AU$1448)</f>
        <v>0</v>
      </c>
      <c r="AZ1521">
        <f>(0.6*AW1521+0.7*AX1521)*$AU$1448/2</f>
        <v>0</v>
      </c>
      <c r="BA1521">
        <f>AW1521*$AU$1448/2</f>
        <v>0</v>
      </c>
      <c r="BC1521">
        <f>IF(AV1521=0,0,$BG$1448*$AP$1433)</f>
        <v>0</v>
      </c>
      <c r="BD1521">
        <f>IFERROR(BC1521/$AU$1448,0)</f>
        <v>0</v>
      </c>
      <c r="BE1521">
        <f>BC1521*($F$25+($C$16+$C$17+IF($C$13="single",1.5,3)+3)/12)</f>
        <v>0</v>
      </c>
      <c r="BF1521">
        <f>BE1521-AZ1521</f>
        <v>0</v>
      </c>
      <c r="BG1521" cm="1">
        <f t="array" ref="BG1521">IFERROR(IF(BF1521&lt;0,0,BF1521/($AU$1448-INDEX(hd_off,MATCH(BT1521,hd_mark,0),0)/12)),0)</f>
        <v>0</v>
      </c>
      <c r="BH1521">
        <f>IF(AV1521=0,0,$BG$1448*$AM$1433)</f>
        <v>0</v>
      </c>
      <c r="BI1521">
        <f>IFERROR(BH1521/$AU$1448,0)</f>
        <v>0</v>
      </c>
      <c r="BJ1521">
        <f>BH1521*($F$25+($C$16+$C$17+IF($C$13="single",1.5,3)+3)/12)</f>
        <v>0</v>
      </c>
      <c r="BK1521">
        <f>BJ1521-BA1521</f>
        <v>0</v>
      </c>
      <c r="BL1521" cm="1">
        <f t="array" ref="BL1521">IFERROR(IF(BK1521&lt;0,0,BK1521/($AU$1448-INDEX(hd_off,MATCH(BT1521,hd_mark,0),0)/12)),0)</f>
        <v>0</v>
      </c>
      <c r="BM1521">
        <f>MAX($F$25,$BF$1448)/$Q$1460</f>
        <v>0.29920977011494249</v>
      </c>
      <c r="BN1521">
        <f t="shared" si="936"/>
        <v>1</v>
      </c>
      <c r="BO1521" cm="1">
        <f t="array" ref="BO1521">IFERROR(INDEX(sheath_ecap_asd,MATCH(BS1521,sheath_mark,0),0)*BN1521,0)</f>
        <v>0</v>
      </c>
      <c r="BP1521" cm="1">
        <f t="array" ref="BP1521">IFERROR(INDEX(sheath_wcap_asd,MATCH(BS1521,sheath_mark,0),0)*BN1521,0)</f>
        <v>0</v>
      </c>
      <c r="BQ1521" cm="1">
        <f t="array" ref="BQ1521">IFERROR(INDEX(hd_cap,MATCH(BT1521,hd_mark,0),0),0)</f>
        <v>0</v>
      </c>
      <c r="BS1521" s="19"/>
      <c r="BT1521" s="19"/>
      <c r="BU1521" s="100"/>
    </row>
    <row r="1522" x14ac:dyDescent="0.25">
      <c r="P1522" s="93"/>
      <c r="AR1522" s="100"/>
      <c r="AS1522" s="93"/>
      <c r="BU1522" s="100"/>
    </row>
    <row r="1523" x14ac:dyDescent="0.25">
      <c r="P1523" s="93"/>
      <c r="Q1523" s="110" t="str">
        <f>$Q$1449</f>
        <v>A.12</v>
      </c>
      <c r="R1523" t="str">
        <f>$Q$1429</f>
        <v>L2</v>
      </c>
      <c r="S1523">
        <f>$E$21</f>
        <v>10.6875</v>
      </c>
      <c r="T1523" cm="1">
        <f t="array" ref="T1523">IFERROR(IF(S1523=0,0,(INDEX($C$33:$C$38,MATCH($W$1449,$B$33:$B$38,0),0)*(S1527+$X$1449)+$T$1449*COUNTIF(S1523:S1526,"&gt;0")*$C$32+$V$1449*$C$31)*$R$1449),0)</f>
        <v>0</v>
      </c>
      <c r="U1523">
        <f>IF(S1523=0,0,-(COUNTIF(S1523:S1526,"&gt;0")*$T$1449*$C$32+$V$1449*$C$31)*$H$27*$R$1449)</f>
        <v>0</v>
      </c>
      <c r="V1523">
        <f>IF(S1523=0,0,$V$1449*$H$26*$R$1449)</f>
        <v>0</v>
      </c>
      <c r="W1523">
        <f>(0.6*T1523+0.7*U1523)*$R$1449/2</f>
        <v>0</v>
      </c>
      <c r="X1523">
        <f>(0.6*T1523+0.6*V1523)*$R$1449/2</f>
        <v>0</v>
      </c>
      <c r="Z1523">
        <f>IF(S1523=0,0,$AD$1449*$AP$1429)</f>
        <v>0</v>
      </c>
      <c r="AA1523">
        <f>IFERROR(Z1523/$R$1449,0)</f>
        <v>0</v>
      </c>
      <c r="AB1523">
        <f>Z1523*($F$21+IF($F$21=0,0,($C$14+$C$15+IF($C$13="single",1.5,3)+3)/12))</f>
        <v>0</v>
      </c>
      <c r="AC1523">
        <f>AB1523-W1523</f>
        <v>0</v>
      </c>
      <c r="AD1523" cm="1">
        <f t="array" ref="AD1523">IFERROR(IF(AC1523&lt;0,0,AC1523/($R$1449-INDEX(hd_off,MATCH(AQ1523,hd_mark,0),0)/12)),0)</f>
        <v>0</v>
      </c>
      <c r="AE1523">
        <f>IF(S1523=0,0,$AD$1449*$AM$1429)</f>
        <v>0</v>
      </c>
      <c r="AF1523">
        <f>IFERROR(AE1523/$R$1449,0)</f>
        <v>0</v>
      </c>
      <c r="AG1523">
        <f>AE1523*($F$21+IF($F$21=0,0,($C$14+$C$15+IF($C$13="single",1.5,3)+3)/12))</f>
        <v>0</v>
      </c>
      <c r="AH1523">
        <f>AG1523-X1523</f>
        <v>0</v>
      </c>
      <c r="AI1523" cm="1">
        <f t="array" ref="AI1523">IFERROR(IF(AH1523&lt;0,0,AH1523/($R$1449-INDEX(hd_off,MATCH(AQ1523,hd_mark,0),0)/12)),0)</f>
        <v>0</v>
      </c>
      <c r="AJ1523">
        <f>MAX($F$21,$Y$1449)/$Q$1460</f>
        <v>0.30172413793103448</v>
      </c>
      <c r="AK1523">
        <f>IF(AJ1523=0,0,IF(AJ1523&gt;2,1.25-0.125*AJ1523,1))</f>
        <v>1</v>
      </c>
      <c r="AL1523" cm="1">
        <f t="array" ref="AL1523">IFERROR(INDEX(sheath_ecap_asd,MATCH(AP1523,sheath_mark,0),0)*AK1523,0)</f>
        <v>0</v>
      </c>
      <c r="AM1523" cm="1">
        <f t="array" ref="AM1523">IFERROR(INDEX(sheath_wcap_asd,MATCH(AP1523,sheath_mark,0),0)*AK1523,0)</f>
        <v>0</v>
      </c>
      <c r="AN1523" cm="1">
        <f t="array" ref="AN1523">IFERROR(INDEX(hd_cap,MATCH(AQ1523,hd_mark,0),0),0)</f>
        <v>0</v>
      </c>
      <c r="AP1523" s="19"/>
      <c r="AQ1523" s="19"/>
      <c r="AR1523" s="100"/>
      <c r="AS1523" s="93"/>
      <c r="AT1523" s="110" t="str">
        <f>$AT$1449</f>
        <v>1.12</v>
      </c>
      <c r="AU1523" t="str">
        <f>$Q$1429</f>
        <v>L2</v>
      </c>
      <c r="AV1523">
        <f>$E$21</f>
        <v>10.6875</v>
      </c>
      <c r="AW1523" cm="1">
        <f t="array" ref="AW1523">IFERROR(IF(AV1523=0,0,(INDEX($C$33:$C$38,MATCH($AZ$1449,$B$33:$B$38,0),0)*(AV1527+$BA$1449)+$AW$1449*COUNTIF(AV1523:AV1526,"&gt;0")*$C$32+$AY$1449*$C$31)*$AU$1449),0)</f>
        <v>0</v>
      </c>
      <c r="AX1523">
        <f>IF(AV1523=0,0,-(COUNTIF(AV1523:AV1526,"&gt;0")*$AW$1449*$C$32+$AY$1449*$C$31)*$H$27*$AU$1449)</f>
        <v>0</v>
      </c>
      <c r="AY1523">
        <f>IF(AV1523=0,0,$AY$1449*$H$26*$AU$1449)</f>
        <v>0</v>
      </c>
      <c r="AZ1523">
        <f>(0.6*AW1523+0.7*AX1523)*$AU$1449/2</f>
        <v>0</v>
      </c>
      <c r="BA1523">
        <f>(0.6*AW1523+0.6*AY1523)*$AU$1449/2</f>
        <v>0</v>
      </c>
      <c r="BC1523">
        <f>IF(AV1523=0,0,$BG$1449*$AP$1429)</f>
        <v>0</v>
      </c>
      <c r="BD1523">
        <f>IFERROR(BC1523/$AU$1449,0)</f>
        <v>0</v>
      </c>
      <c r="BE1523">
        <f>BC1523*($F$21+IF($F$21=0,0,($C$14+$C$15+IF($C$13="single",1.5,3)+3)/12))</f>
        <v>0</v>
      </c>
      <c r="BF1523">
        <f>BE1523-AZ1523</f>
        <v>0</v>
      </c>
      <c r="BG1523" cm="1">
        <f t="array" ref="BG1523">IFERROR(IF(BF1523&lt;0,0,BF1523/($AU$1449-INDEX(hd_off,MATCH(BT1523,hd_mark,0),0)/12)),0)</f>
        <v>0</v>
      </c>
      <c r="BH1523">
        <f>IF(AV1523=0,0,$BG$1449*$AM$1429)</f>
        <v>0</v>
      </c>
      <c r="BI1523">
        <f>IFERROR(BH1523/$AU$1449,0)</f>
        <v>0</v>
      </c>
      <c r="BJ1523">
        <f>BH1523*($F$21+IF($F$21=0,0,($C$14+$C$15+IF($C$13="single",1.5,3)+3)/12))</f>
        <v>0</v>
      </c>
      <c r="BK1523">
        <f>BJ1523-BA1523</f>
        <v>0</v>
      </c>
      <c r="BL1523" cm="1">
        <f t="array" ref="BL1523">IFERROR(IF(BK1523&lt;0,0,BK1523/($AU$1449-INDEX(hd_off,MATCH(BT1523,hd_mark,0),0)/12)),0)</f>
        <v>0</v>
      </c>
      <c r="BM1523">
        <f>MAX($F$21,$BB$1449)/$Q$1460</f>
        <v>0.30172413793103448</v>
      </c>
      <c r="BN1523">
        <f>IF(BM1523=0,0,IF(BM1523&gt;2,1.25-0.125*BM1523,1))</f>
        <v>1</v>
      </c>
      <c r="BO1523" cm="1">
        <f t="array" ref="BO1523">IFERROR(INDEX(sheath_ecap_asd,MATCH(BS1523,sheath_mark,0),0)*BN1523,0)</f>
        <v>0</v>
      </c>
      <c r="BP1523" cm="1">
        <f t="array" ref="BP1523">IFERROR(INDEX(sheath_wcap_asd,MATCH(BS1523,sheath_mark,0),0)*BN1523,0)</f>
        <v>0</v>
      </c>
      <c r="BQ1523" cm="1">
        <f t="array" ref="BQ1523">IFERROR(INDEX(hd_cap,MATCH(BT1523,hd_mark,0),0),0)</f>
        <v>0</v>
      </c>
      <c r="BS1523" s="19"/>
      <c r="BT1523" s="19"/>
      <c r="BU1523" s="100"/>
    </row>
    <row r="1524" x14ac:dyDescent="0.25">
      <c r="P1524" s="93"/>
      <c r="Q1524" s="109"/>
      <c r="R1524" t="str">
        <f>$Q$1430</f>
        <v>L3</v>
      </c>
      <c r="S1524">
        <f>$E$22</f>
        <v>21.375</v>
      </c>
      <c r="T1524" cm="1">
        <f t="array" ref="T1524">IFERROR(IF(S1524=0,0,(INDEX($C$33:$C$38,MATCH($W$1449,$B$33:$B$38,0),0)*(S1527+$X$1449)+$T$1449*COUNTIF(S1524:S1526,"&gt;0")*$C$32+$V$1449*$C$31)*$R$1449),0)</f>
        <v>0</v>
      </c>
      <c r="U1524">
        <f>IF(S1524=0,0,-(COUNTIF(S1524:S1526,"&gt;0")*$T$1449*$C$32+$V$1449*$C$31)*$H$27*$R$1449)</f>
        <v>0</v>
      </c>
      <c r="V1524">
        <f>IF(S1524=0,0,$V$1449*$H$26*$R$1449)</f>
        <v>0</v>
      </c>
      <c r="W1524">
        <f>(0.6*T1524+0.7*U1524)*$R$1449/2</f>
        <v>0</v>
      </c>
      <c r="X1524">
        <f>T1524*$R$1449/2</f>
        <v>0</v>
      </c>
      <c r="Z1524">
        <f>IF(S1524=0,0,$AD$1449*$AP$1430)</f>
        <v>0</v>
      </c>
      <c r="AA1524">
        <f>IFERROR(Z1524/$R$1449,0)</f>
        <v>0</v>
      </c>
      <c r="AB1524">
        <f>Z1524*($F$22+IF($F$22=0,0,($C$14+$C$15+IF($C$13="single",1.5,3)+3)/12))</f>
        <v>0</v>
      </c>
      <c r="AC1524">
        <f>AB1524-W1524</f>
        <v>0</v>
      </c>
      <c r="AD1524" cm="1">
        <f t="array" ref="AD1524">IFERROR(IF(AC1524&lt;0,0,AC1524/($R$1449-INDEX(hd_off,MATCH(AQ1524,hd_mark,0),0)/12)),0)</f>
        <v>0</v>
      </c>
      <c r="AE1524">
        <f>IF(S1524=0,0,$AD$1449*$AM$1430)</f>
        <v>0</v>
      </c>
      <c r="AF1524">
        <f>IFERROR(AE1524/$R$1449,0)</f>
        <v>0</v>
      </c>
      <c r="AG1524">
        <f>AE1524*($F$22+IF($F$22=0,0,($C$14+$C$15+IF($C$13="single",1.5,3)+3)/12))</f>
        <v>0</v>
      </c>
      <c r="AH1524">
        <f>AG1524-X1524</f>
        <v>0</v>
      </c>
      <c r="AI1524" cm="1">
        <f t="array" ref="AI1524">IFERROR(IF(AH1524&lt;0,0,AH1524/($R$1449-INDEX(hd_off,MATCH(AQ1524,hd_mark,0),0)/12)),0)</f>
        <v>0</v>
      </c>
      <c r="AJ1524">
        <f>MAX($F$22,$Z$1449)/$Q$1460</f>
        <v>0.30172413793103448</v>
      </c>
      <c r="AK1524">
        <f t="shared" ref="AK1524:AK1527" si="937">IF(AJ1524=0,0,IF(AJ1524&gt;2,1.25-0.125*AJ1524,1))</f>
        <v>1</v>
      </c>
      <c r="AL1524" cm="1">
        <f t="array" ref="AL1524">IFERROR(INDEX(sheath_ecap_asd,MATCH(AP1524,sheath_mark,0),0)*AK1524,0)</f>
        <v>0</v>
      </c>
      <c r="AM1524" cm="1">
        <f t="array" ref="AM1524">IFERROR(INDEX(sheath_wcap_asd,MATCH(AP1524,sheath_mark,0),0)*AK1524,0)</f>
        <v>0</v>
      </c>
      <c r="AN1524" cm="1">
        <f t="array" ref="AN1524">IFERROR(INDEX(hd_cap,MATCH(AQ1524,hd_mark,0),0),0)</f>
        <v>0</v>
      </c>
      <c r="AP1524" s="19"/>
      <c r="AQ1524" s="19"/>
      <c r="AR1524" s="100"/>
      <c r="AS1524" s="93"/>
      <c r="AT1524" s="109"/>
      <c r="AU1524" t="str">
        <f>$Q$1430</f>
        <v>L3</v>
      </c>
      <c r="AV1524">
        <f>$E$22</f>
        <v>21.375</v>
      </c>
      <c r="AW1524" cm="1">
        <f t="array" ref="AW1524">IFERROR(IF(AV1524=0,0,(INDEX($C$33:$C$38,MATCH($AZ$1449,$B$33:$B$38,0),0)*(AV1527+$BA$1449)+$AW$1449*COUNTIF(AV1524:AV1526,"&gt;0")*$C$32+$AY$1449*$C$31)*$AU$1449),0)</f>
        <v>0</v>
      </c>
      <c r="AX1524">
        <f>IF(AV1524=0,0,-(COUNTIF(AV1524:AV1526,"&gt;0")*$AW$1449*$C$32+$AY$1449*$C$31)*$H$27*$AU$1449)</f>
        <v>0</v>
      </c>
      <c r="AY1524">
        <f>IF(AV1524=0,0,$AY$1449*$H$26*$AU$1449)</f>
        <v>0</v>
      </c>
      <c r="AZ1524">
        <f>(0.6*AW1524+0.7*AX1524)*$AU$1449/2</f>
        <v>0</v>
      </c>
      <c r="BA1524">
        <f>AW1524*$AU$1449/2</f>
        <v>0</v>
      </c>
      <c r="BC1524">
        <f>IF(AV1524=0,0,$BG$1449*$AP$1430)</f>
        <v>0</v>
      </c>
      <c r="BD1524">
        <f>IFERROR(BC1524/$AU$1449,0)</f>
        <v>0</v>
      </c>
      <c r="BE1524">
        <f>BC1524*($F$22+IF($F$22=0,0,($C$14+$C$15+IF($C$13="single",1.5,3)+3)/12))</f>
        <v>0</v>
      </c>
      <c r="BF1524">
        <f>BE1524-AZ1524</f>
        <v>0</v>
      </c>
      <c r="BG1524" cm="1">
        <f t="array" ref="BG1524">IFERROR(IF(BF1524&lt;0,0,BF1524/($AU$1449-INDEX(hd_off,MATCH(BT1524,hd_mark,0),0)/12)),0)</f>
        <v>0</v>
      </c>
      <c r="BH1524">
        <f>IF(AV1524=0,0,$BG$1449*$AM$1430)</f>
        <v>0</v>
      </c>
      <c r="BI1524">
        <f>IFERROR(BH1524/$AU$1449,0)</f>
        <v>0</v>
      </c>
      <c r="BJ1524">
        <f>BH1524*($F$22+IF($F$22=0,0,($C$14+$C$15+IF($C$13="single",1.5,3)+3)/12))</f>
        <v>0</v>
      </c>
      <c r="BK1524">
        <f>BJ1524-BA1524</f>
        <v>0</v>
      </c>
      <c r="BL1524" cm="1">
        <f t="array" ref="BL1524">IFERROR(IF(BK1524&lt;0,0,BK1524/($AU$1449-INDEX(hd_off,MATCH(BT1524,hd_mark,0),0)/12)),0)</f>
        <v>0</v>
      </c>
      <c r="BM1524">
        <f>MAX($F$22,$BC$1449)/$Q$1460</f>
        <v>0.30172413793103448</v>
      </c>
      <c r="BN1524">
        <f t="shared" ref="BN1524:BN1527" si="938">IF(BM1524=0,0,IF(BM1524&gt;2,1.25-0.125*BM1524,1))</f>
        <v>1</v>
      </c>
      <c r="BO1524" cm="1">
        <f t="array" ref="BO1524">IFERROR(INDEX(sheath_ecap_asd,MATCH(BS1524,sheath_mark,0),0)*BN1524,0)</f>
        <v>0</v>
      </c>
      <c r="BP1524" cm="1">
        <f t="array" ref="BP1524">IFERROR(INDEX(sheath_wcap_asd,MATCH(BS1524,sheath_mark,0),0)*BN1524,0)</f>
        <v>0</v>
      </c>
      <c r="BQ1524" cm="1">
        <f t="array" ref="BQ1524">IFERROR(INDEX(hd_cap,MATCH(BT1524,hd_mark,0),0),0)</f>
        <v>0</v>
      </c>
      <c r="BS1524" s="19"/>
      <c r="BT1524" s="19"/>
      <c r="BU1524" s="100"/>
    </row>
    <row r="1525" x14ac:dyDescent="0.25">
      <c r="P1525" s="93"/>
      <c r="Q1525" s="109" t="s">
        <v>491</v>
      </c>
      <c r="R1525" t="str">
        <f>$Q$1431</f>
        <v>L4</v>
      </c>
      <c r="S1525">
        <f>$E$23</f>
        <v>0</v>
      </c>
      <c r="T1525" cm="1">
        <f t="array" ref="T1525">IFERROR(IF(S1525=0,0,(INDEX($C$33:$C$38,MATCH($W$1449,$B$33:$B$38,0),0)*(S1527+$X$1449)+$T$1449*COUNTIF(S1525:S1526,"&gt;0")*$C$32+$V$1449*$C$31)*$R$1449),0)</f>
        <v>0</v>
      </c>
      <c r="U1525">
        <f>IF(S1525=0,0,-(COUNTIF(S1525:S1526,"&gt;0")*$T$1449*$C$32+$V$1449*$C$31)*$H$27*$R$1449)</f>
        <v>0</v>
      </c>
      <c r="V1525">
        <f>IF(S1525=0,0,$V$1449*$H$26*$R$1449)</f>
        <v>0</v>
      </c>
      <c r="W1525">
        <f>(0.6*T1525+0.7*U1525)*$R$1449/2</f>
        <v>0</v>
      </c>
      <c r="X1525">
        <f>T1525*$R$1449/2</f>
        <v>0</v>
      </c>
      <c r="Z1525">
        <f>IF(S1525=0,0,$AD$1449*$AP$1431)</f>
        <v>0</v>
      </c>
      <c r="AA1525">
        <f>IFERROR(Z1525/$R$1449,0)</f>
        <v>0</v>
      </c>
      <c r="AB1525">
        <f>Z1525*($F$23+IF($F$23=0,0,($C$14+$C$15+IF($C$13="single",1.5,3)+3)/12))</f>
        <v>0</v>
      </c>
      <c r="AC1525">
        <f>AB1525-W1525</f>
        <v>0</v>
      </c>
      <c r="AD1525" cm="1">
        <f t="array" ref="AD1525">IFERROR(IF(AC1525&lt;0,0,AC1525/($R$1449-INDEX(hd_off,MATCH(AQ1525,hd_mark,0),0)/12)),0)</f>
        <v>0</v>
      </c>
      <c r="AE1525">
        <f>IF(S1525=0,0,$AD$1449*$AM$1431)</f>
        <v>0</v>
      </c>
      <c r="AF1525">
        <f>IFERROR(AE1525/$R$1449,0)</f>
        <v>0</v>
      </c>
      <c r="AG1525">
        <f>AE1525*($F$23+IF($F$23=0,0,($C$14+$C$15+IF($C$13="single",1.5,3)+3)/12))</f>
        <v>0</v>
      </c>
      <c r="AH1525">
        <f>AG1525-X1525</f>
        <v>0</v>
      </c>
      <c r="AI1525" cm="1">
        <f t="array" ref="AI1525">IFERROR(IF(AH1525&lt;0,0,AH1525/($R$1449-INDEX(hd_off,MATCH(AQ1525,hd_mark,0),0)/12)),0)</f>
        <v>0</v>
      </c>
      <c r="AJ1525">
        <f>MAX($F$23,$AA$1449)/$Q$1460</f>
        <v>0</v>
      </c>
      <c r="AK1525">
        <f t="shared" si="937"/>
        <v>0</v>
      </c>
      <c r="AL1525" cm="1">
        <f t="array" ref="AL1525">IFERROR(INDEX(sheath_ecap_asd,MATCH(AP1525,sheath_mark,0),0)*AK1525,0)</f>
        <v>0</v>
      </c>
      <c r="AM1525" cm="1">
        <f t="array" ref="AM1525">IFERROR(INDEX(sheath_wcap_asd,MATCH(AP1525,sheath_mark,0),0)*AK1525,0)</f>
        <v>0</v>
      </c>
      <c r="AN1525" cm="1">
        <f t="array" ref="AN1525">IFERROR(INDEX(hd_cap,MATCH(AQ1525,hd_mark,0),0),0)</f>
        <v>0</v>
      </c>
      <c r="AP1525" s="19"/>
      <c r="AQ1525" s="19"/>
      <c r="AR1525" s="100"/>
      <c r="AS1525" s="93"/>
      <c r="AT1525" s="109" t="s">
        <v>491</v>
      </c>
      <c r="AU1525" t="str">
        <f>$Q$1431</f>
        <v>L4</v>
      </c>
      <c r="AV1525">
        <f>$E$23</f>
        <v>0</v>
      </c>
      <c r="AW1525" cm="1">
        <f t="array" ref="AW1525">IFERROR(IF(AV1525=0,0,(INDEX($C$33:$C$38,MATCH($AZ$1449,$B$33:$B$38,0),0)*(AV1527+$BA$1449)+$AW$1449*COUNTIF(AV1525:AV1526,"&gt;0")*$C$32+$AY$1449*$C$31)*$AU$1449),0)</f>
        <v>0</v>
      </c>
      <c r="AX1525">
        <f>IF(AV1525=0,0,-(COUNTIF(AV1525:AV1526,"&gt;0")*$AW$1449*$C$32+$AY$1449*$C$31)*$H$27*$AU$1449)</f>
        <v>0</v>
      </c>
      <c r="AY1525">
        <f>IF(AV1525=0,0,$AY$1449*$H$26*$AU$1449)</f>
        <v>0</v>
      </c>
      <c r="AZ1525">
        <f>(0.6*AW1525+0.7*AX1525)*$AU$1449/2</f>
        <v>0</v>
      </c>
      <c r="BA1525">
        <f>AW1525*$AU$1449/2</f>
        <v>0</v>
      </c>
      <c r="BC1525">
        <f>IF(AV1525=0,0,$BG$1449*$AP$1431)</f>
        <v>0</v>
      </c>
      <c r="BD1525">
        <f>IFERROR(BC1525/$AU$1449,0)</f>
        <v>0</v>
      </c>
      <c r="BE1525">
        <f>BC1525*($F$23+IF($F$23=0,0,($C$14+$C$15+IF($C$13="single",1.5,3)+3)/12))</f>
        <v>0</v>
      </c>
      <c r="BF1525">
        <f>BE1525-AZ1525</f>
        <v>0</v>
      </c>
      <c r="BG1525" cm="1">
        <f t="array" ref="BG1525">IFERROR(IF(BF1525&lt;0,0,BF1525/($AU$1449-INDEX(hd_off,MATCH(BT1525,hd_mark,0),0)/12)),0)</f>
        <v>0</v>
      </c>
      <c r="BH1525">
        <f>IF(AV1525=0,0,$BG$1449*$AM$1431)</f>
        <v>0</v>
      </c>
      <c r="BI1525">
        <f>IFERROR(BH1525/$AU$1449,0)</f>
        <v>0</v>
      </c>
      <c r="BJ1525">
        <f>BH1525*($F$23+IF($F$23=0,0,($C$14+$C$15+IF($C$13="single",1.5,3)+3)/12))</f>
        <v>0</v>
      </c>
      <c r="BK1525">
        <f>BJ1525-BA1525</f>
        <v>0</v>
      </c>
      <c r="BL1525" cm="1">
        <f t="array" ref="BL1525">IFERROR(IF(BK1525&lt;0,0,BK1525/($AU$1449-INDEX(hd_off,MATCH(BT1525,hd_mark,0),0)/12)),0)</f>
        <v>0</v>
      </c>
      <c r="BM1525">
        <f>MAX($F$23,$BD$1449)/$Q$1460</f>
        <v>0</v>
      </c>
      <c r="BN1525">
        <f t="shared" si="938"/>
        <v>0</v>
      </c>
      <c r="BO1525" cm="1">
        <f t="array" ref="BO1525">IFERROR(INDEX(sheath_ecap_asd,MATCH(BS1525,sheath_mark,0),0)*BN1525,0)</f>
        <v>0</v>
      </c>
      <c r="BP1525" cm="1">
        <f t="array" ref="BP1525">IFERROR(INDEX(sheath_wcap_asd,MATCH(BS1525,sheath_mark,0),0)*BN1525,0)</f>
        <v>0</v>
      </c>
      <c r="BQ1525" cm="1">
        <f t="array" ref="BQ1525">IFERROR(INDEX(hd_cap,MATCH(BT1525,hd_mark,0),0),0)</f>
        <v>0</v>
      </c>
      <c r="BS1525" s="19"/>
      <c r="BT1525" s="19"/>
      <c r="BU1525" s="100"/>
    </row>
    <row r="1526" x14ac:dyDescent="0.25">
      <c r="P1526" s="93"/>
      <c r="Q1526" s="111">
        <f>$R$1449</f>
        <v>0</v>
      </c>
      <c r="R1526" t="str">
        <f>$Q$1432</f>
        <v>L5</v>
      </c>
      <c r="S1526">
        <f>$E$24</f>
        <v>0</v>
      </c>
      <c r="T1526" cm="1">
        <f t="array" ref="T1526">IFERROR(IF(S1526=0,0,(INDEX($C$33:$C$38,MATCH($W$1449,$B$33:$B$38,0),0)*(S1527+$X$1449)+$T$1449*COUNTIF(S1526:S1526,"&gt;0")*$C$32+$V$1449*$C$31)*$R$1449),0)</f>
        <v>0</v>
      </c>
      <c r="U1526">
        <f>IF(S1526=0,0,-(COUNTIF(S1526:S1526,"&gt;0")*$T$1449*$C$32+$V$1449*$C$31)*$H$27*$R$1449)</f>
        <v>0</v>
      </c>
      <c r="V1526">
        <f>IF(S1526=0,0,$V$1449*$H$26*$R$1449)</f>
        <v>0</v>
      </c>
      <c r="W1526">
        <f>(0.6*T1526+0.7*U1526)*$R$1449/2</f>
        <v>0</v>
      </c>
      <c r="X1526">
        <f>T1526*$R$1449/2</f>
        <v>0</v>
      </c>
      <c r="Z1526">
        <f>IF(S1526=0,0,$AD$1449*$AP$1432)</f>
        <v>0</v>
      </c>
      <c r="AA1526">
        <f>IFERROR(Z1526/$R$1449,0)</f>
        <v>0</v>
      </c>
      <c r="AB1526">
        <f>Z1526*($F$24+IF($F$24=0,0,($C$14+$C$15+IF($C$13="single",1.5,3)+3)/12))</f>
        <v>0</v>
      </c>
      <c r="AC1526">
        <f>AB1526-W1526</f>
        <v>0</v>
      </c>
      <c r="AD1526" cm="1">
        <f t="array" ref="AD1526">IFERROR(IF(AC1526&lt;0,0,AC1526/($R$1449-INDEX(hd_off,MATCH(AQ1526,hd_mark,0),0)/12)),0)</f>
        <v>0</v>
      </c>
      <c r="AE1526">
        <f>IF(S1526=0,0,$AD$1449*$AM$1432)</f>
        <v>0</v>
      </c>
      <c r="AF1526">
        <f>IFERROR(AE1526/$R$1449,0)</f>
        <v>0</v>
      </c>
      <c r="AG1526">
        <f>AE1526*($F$24+IF($F$24=0,0,($C$14+$C$15+IF($C$13="single",1.5,3)+3)/12))</f>
        <v>0</v>
      </c>
      <c r="AH1526">
        <f>AG1526-X1526</f>
        <v>0</v>
      </c>
      <c r="AI1526" cm="1">
        <f t="array" ref="AI1526">IFERROR(IF(AH1526&lt;0,0,AH1526/($R$1449-INDEX(hd_off,MATCH(AQ1526,hd_mark,0),0)/12)),0)</f>
        <v>0</v>
      </c>
      <c r="AJ1526">
        <f>MAX($F$24,$AB$1449)/$Q$1460</f>
        <v>0</v>
      </c>
      <c r="AK1526">
        <f t="shared" si="937"/>
        <v>0</v>
      </c>
      <c r="AL1526" cm="1">
        <f t="array" ref="AL1526">IFERROR(INDEX(sheath_ecap_asd,MATCH(AP1526,sheath_mark,0),0)*AK1526,0)</f>
        <v>0</v>
      </c>
      <c r="AM1526" cm="1">
        <f t="array" ref="AM1526">IFERROR(INDEX(sheath_wcap_asd,MATCH(AP1526,sheath_mark,0),0)*AK1526,0)</f>
        <v>0</v>
      </c>
      <c r="AN1526" cm="1">
        <f t="array" ref="AN1526">IFERROR(INDEX(hd_cap,MATCH(AQ1526,hd_mark,0),0),0)</f>
        <v>0</v>
      </c>
      <c r="AP1526" s="19"/>
      <c r="AQ1526" s="19"/>
      <c r="AR1526" s="100"/>
      <c r="AS1526" s="93"/>
      <c r="AT1526" s="111">
        <f>$R$1449</f>
        <v>0</v>
      </c>
      <c r="AU1526" t="str">
        <f>$Q$1432</f>
        <v>L5</v>
      </c>
      <c r="AV1526">
        <f>$E$24</f>
        <v>0</v>
      </c>
      <c r="AW1526" cm="1">
        <f t="array" ref="AW1526">IFERROR(IF(AV1526=0,0,(INDEX($C$33:$C$38,MATCH($AZ$1449,$B$33:$B$38,0),0)*(AV1527+$BA$1449)+$AW$1449*COUNTIF(AV1526:AV1526,"&gt;0")*$C$32+$AY$1449*$C$31)*$AU$1449),0)</f>
        <v>0</v>
      </c>
      <c r="AX1526">
        <f>IF(AV1526=0,0,-(COUNTIF(AV1526:AV1526,"&gt;0")*$AW$1449*$C$32+$AY$1449*$C$31)*$H$27*$AU$1449)</f>
        <v>0</v>
      </c>
      <c r="AY1526">
        <f>IF(AV1526=0,0,$AY$1449*$H$26*$AU$1449)</f>
        <v>0</v>
      </c>
      <c r="AZ1526">
        <f>(0.6*AW1526+0.7*AX1526)*$AU$1449/2</f>
        <v>0</v>
      </c>
      <c r="BA1526">
        <f>AW1526*$AU$1449/2</f>
        <v>0</v>
      </c>
      <c r="BC1526">
        <f>IF(AV1526=0,0,$BG$1449*$AP$1432)</f>
        <v>0</v>
      </c>
      <c r="BD1526">
        <f>IFERROR(BC1526/$AU$1449,0)</f>
        <v>0</v>
      </c>
      <c r="BE1526">
        <f>BC1526*($F$24+IF($F$24=0,0,($C$14+$C$15+IF($C$13="single",1.5,3)+3)/12))</f>
        <v>0</v>
      </c>
      <c r="BF1526">
        <f>BE1526-AZ1526</f>
        <v>0</v>
      </c>
      <c r="BG1526" cm="1">
        <f t="array" ref="BG1526">IFERROR(IF(BF1526&lt;0,0,BF1526/($AU$1449-INDEX(hd_off,MATCH(BT1526,hd_mark,0),0)/12)),0)</f>
        <v>0</v>
      </c>
      <c r="BH1526">
        <f>IF(AV1526=0,0,$BG$1449*$AM$1432)</f>
        <v>0</v>
      </c>
      <c r="BI1526">
        <f>IFERROR(BH1526/$AU$1449,0)</f>
        <v>0</v>
      </c>
      <c r="BJ1526">
        <f>BH1526*($F$24+IF($F$24=0,0,($C$14+$C$15+IF($C$13="single",1.5,3)+3)/12))</f>
        <v>0</v>
      </c>
      <c r="BK1526">
        <f>BJ1526-BA1526</f>
        <v>0</v>
      </c>
      <c r="BL1526" cm="1">
        <f t="array" ref="BL1526">IFERROR(IF(BK1526&lt;0,0,BK1526/($AU$1449-INDEX(hd_off,MATCH(BT1526,hd_mark,0),0)/12)),0)</f>
        <v>0</v>
      </c>
      <c r="BM1526">
        <f>MAX($F$24,$BE$1449)/$Q$1460</f>
        <v>0</v>
      </c>
      <c r="BN1526">
        <f t="shared" si="938"/>
        <v>0</v>
      </c>
      <c r="BO1526" cm="1">
        <f t="array" ref="BO1526">IFERROR(INDEX(sheath_ecap_asd,MATCH(BS1526,sheath_mark,0),0)*BN1526,0)</f>
        <v>0</v>
      </c>
      <c r="BP1526" cm="1">
        <f t="array" ref="BP1526">IFERROR(INDEX(sheath_wcap_asd,MATCH(BS1526,sheath_mark,0),0)*BN1526,0)</f>
        <v>0</v>
      </c>
      <c r="BQ1526" cm="1">
        <f t="array" ref="BQ1526">IFERROR(INDEX(hd_cap,MATCH(BT1526,hd_mark,0),0),0)</f>
        <v>0</v>
      </c>
      <c r="BS1526" s="19"/>
      <c r="BT1526" s="19"/>
      <c r="BU1526" s="100"/>
    </row>
    <row r="1527" x14ac:dyDescent="0.25">
      <c r="P1527" s="93"/>
      <c r="Q1527" s="109"/>
      <c r="R1527" t="str">
        <f>$Q$1433</f>
        <v>Roof</v>
      </c>
      <c r="S1527">
        <f>$E$25</f>
        <v>33.171875</v>
      </c>
      <c r="T1527" cm="1">
        <f t="array" ref="T1527">IFERROR(IF(S1527=0,0,(INDEX($C$33:$C$38,MATCH($W$1449,$B$33:$B$38,0),0)*(S1527+$X$1449)+$V$1449*$C$31)*$R$1449),0)</f>
        <v>0</v>
      </c>
      <c r="U1527">
        <f>IF(S1527=0,0,-$V$1449*$C$31*$H$27*$R$1449)</f>
        <v>0</v>
      </c>
      <c r="V1527">
        <f>IF(S1527=0,0,$V$1449*$H$26*$R$1449)</f>
        <v>0</v>
      </c>
      <c r="W1527">
        <f>(0.6*T1527+0.7*U1527)*$R$1449/2</f>
        <v>0</v>
      </c>
      <c r="X1527">
        <f>T1527*$R$1449/2</f>
        <v>0</v>
      </c>
      <c r="Z1527">
        <f>IF(S1527=0,0,$AD$1449*$AP$1433)</f>
        <v>0</v>
      </c>
      <c r="AA1527">
        <f>IFERROR(Z1527/$R$1449,0)</f>
        <v>0</v>
      </c>
      <c r="AB1527">
        <f>Z1527*($F$25+($C$16+$C$17+IF($C$13="single",1.5,3)+3)/12)</f>
        <v>0</v>
      </c>
      <c r="AC1527">
        <f>AB1527-W1527</f>
        <v>0</v>
      </c>
      <c r="AD1527" cm="1">
        <f t="array" ref="AD1527">IFERROR(IF(AC1527&lt;0,0,AC1527/($R$1449-INDEX(hd_off,MATCH(AQ1527,hd_mark,0),0)/12)),0)</f>
        <v>0</v>
      </c>
      <c r="AE1527">
        <f>IF(S1527=0,0,$AD$1449*$AM$1433)</f>
        <v>0</v>
      </c>
      <c r="AF1527">
        <f>IFERROR(AE1527/$R$1449,0)</f>
        <v>0</v>
      </c>
      <c r="AG1527">
        <f>AE1527*($F$25+($C$16+$C$17+IF($C$13="single",1.5,3)+3)/12)</f>
        <v>0</v>
      </c>
      <c r="AH1527">
        <f>AG1527-X1527</f>
        <v>0</v>
      </c>
      <c r="AI1527" cm="1">
        <f t="array" ref="AI1527">IFERROR(IF(AH1527&lt;0,0,AH1527/($R$1449-INDEX(hd_off,MATCH(AQ1527,hd_mark,0),0)/12)),0)</f>
        <v>0</v>
      </c>
      <c r="AJ1527">
        <f>MAX($F$25,$AC$1449)/$Q$1460</f>
        <v>0.29920977011494249</v>
      </c>
      <c r="AK1527">
        <f t="shared" si="937"/>
        <v>1</v>
      </c>
      <c r="AL1527" cm="1">
        <f t="array" ref="AL1527">IFERROR(INDEX(sheath_ecap_asd,MATCH(AP1527,sheath_mark,0),0)*AK1527,0)</f>
        <v>0</v>
      </c>
      <c r="AM1527" cm="1">
        <f t="array" ref="AM1527">IFERROR(INDEX(sheath_wcap_asd,MATCH(AP1527,sheath_mark,0),0)*AK1527,0)</f>
        <v>0</v>
      </c>
      <c r="AN1527" cm="1">
        <f t="array" ref="AN1527">IFERROR(INDEX(hd_cap,MATCH(AQ1527,hd_mark,0),0),0)</f>
        <v>0</v>
      </c>
      <c r="AP1527" s="19"/>
      <c r="AQ1527" s="19"/>
      <c r="AR1527" s="100"/>
      <c r="AS1527" s="93"/>
      <c r="AT1527" s="109"/>
      <c r="AU1527" t="str">
        <f>$Q$1433</f>
        <v>Roof</v>
      </c>
      <c r="AV1527">
        <f>$E$25</f>
        <v>33.171875</v>
      </c>
      <c r="AW1527" cm="1">
        <f t="array" ref="AW1527">IFERROR(IF(AV1527=0,0,(INDEX($C$33:$C$38,MATCH($AZ$1449,$B$33:$B$38,0),0)*(AV1527+$BA$1449)+$AY$1449*$C$31)*$AU$1449),0)</f>
        <v>0</v>
      </c>
      <c r="AX1527">
        <f>IF(AV1527=0,0,-$AY$1449*$C$31*$H$27*$AU$1449)</f>
        <v>0</v>
      </c>
      <c r="AY1527">
        <f>IF(AV1527=0,0,$AY$1449*$H$26*$AU$1449)</f>
        <v>0</v>
      </c>
      <c r="AZ1527">
        <f>(0.6*AW1527+0.7*AX1527)*$AU$1449/2</f>
        <v>0</v>
      </c>
      <c r="BA1527">
        <f>AW1527*$AU$1449/2</f>
        <v>0</v>
      </c>
      <c r="BC1527">
        <f>IF(AV1527=0,0,$BG$1449*$AP$1433)</f>
        <v>0</v>
      </c>
      <c r="BD1527">
        <f>IFERROR(BC1527/$AU$1449,0)</f>
        <v>0</v>
      </c>
      <c r="BE1527">
        <f>BC1527*($F$25+($C$16+$C$17+IF($C$13="single",1.5,3)+3)/12)</f>
        <v>0</v>
      </c>
      <c r="BF1527">
        <f>BE1527-AZ1527</f>
        <v>0</v>
      </c>
      <c r="BG1527" cm="1">
        <f t="array" ref="BG1527">IFERROR(IF(BF1527&lt;0,0,BF1527/($AU$1449-INDEX(hd_off,MATCH(BT1527,hd_mark,0),0)/12)),0)</f>
        <v>0</v>
      </c>
      <c r="BH1527">
        <f>IF(AV1527=0,0,$BG$1449*$AM$1433)</f>
        <v>0</v>
      </c>
      <c r="BI1527">
        <f>IFERROR(BH1527/$AU$1449,0)</f>
        <v>0</v>
      </c>
      <c r="BJ1527">
        <f>BH1527*($F$25+($C$16+$C$17+IF($C$13="single",1.5,3)+3)/12)</f>
        <v>0</v>
      </c>
      <c r="BK1527">
        <f>BJ1527-BA1527</f>
        <v>0</v>
      </c>
      <c r="BL1527" cm="1">
        <f t="array" ref="BL1527">IFERROR(IF(BK1527&lt;0,0,BK1527/($AU$1449-INDEX(hd_off,MATCH(BT1527,hd_mark,0),0)/12)),0)</f>
        <v>0</v>
      </c>
      <c r="BM1527">
        <f>MAX($F$25,$BF$1449)/$Q$1460</f>
        <v>0.29920977011494249</v>
      </c>
      <c r="BN1527">
        <f t="shared" si="938"/>
        <v>1</v>
      </c>
      <c r="BO1527" cm="1">
        <f t="array" ref="BO1527">IFERROR(INDEX(sheath_ecap_asd,MATCH(BS1527,sheath_mark,0),0)*BN1527,0)</f>
        <v>0</v>
      </c>
      <c r="BP1527" cm="1">
        <f t="array" ref="BP1527">IFERROR(INDEX(sheath_wcap_asd,MATCH(BS1527,sheath_mark,0),0)*BN1527,0)</f>
        <v>0</v>
      </c>
      <c r="BQ1527" cm="1">
        <f t="array" ref="BQ1527">IFERROR(INDEX(hd_cap,MATCH(BT1527,hd_mark,0),0),0)</f>
        <v>0</v>
      </c>
      <c r="BS1527" s="19"/>
      <c r="BT1527" s="19"/>
      <c r="BU1527" s="100"/>
    </row>
    <row r="1528" x14ac:dyDescent="0.25">
      <c r="P1528" s="93"/>
      <c r="AR1528" s="100"/>
      <c r="AS1528" s="93"/>
      <c r="BU1528" s="100"/>
    </row>
    <row r="1529" x14ac:dyDescent="0.25">
      <c r="P1529" s="93"/>
      <c r="Q1529" s="110" t="str">
        <f>$Q$1450</f>
        <v>A.13</v>
      </c>
      <c r="R1529" t="str">
        <f>$Q$1429</f>
        <v>L2</v>
      </c>
      <c r="S1529">
        <f>$E$21</f>
        <v>10.6875</v>
      </c>
      <c r="T1529" cm="1">
        <f t="array" ref="T1529">IFERROR(IF(S1529=0,0,(INDEX($C$33:$C$38,MATCH($W$1450,$B$33:$B$38,0),0)*(S1533+$X$1450)+$T$1450*COUNTIF(S1529:S1532,"&gt;0")*$C$32+$V$1450*$C$31)*$R$1450),0)</f>
        <v>0</v>
      </c>
      <c r="U1529">
        <f>IF(S1529=0,0,-(COUNTIF(S1529:S1532,"&gt;0")*$T$1450*$C$32+$V$1450*$C$31)*$H$27*$R$1450)</f>
        <v>0</v>
      </c>
      <c r="V1529">
        <f>IF(S1529=0,0,$V$1450*$H$26*$R$1450)</f>
        <v>0</v>
      </c>
      <c r="W1529">
        <f>(0.6*T1529+0.7*U1529)*$R$1450/2</f>
        <v>0</v>
      </c>
      <c r="X1529">
        <f>(0.6*T1529+0.6*V1529)*$R$1450/2</f>
        <v>0</v>
      </c>
      <c r="Z1529">
        <f>IF(S1529=0,0,$AD$1450*$AP$1429)</f>
        <v>0</v>
      </c>
      <c r="AA1529">
        <f>IFERROR(Z1529/$R$1450,0)</f>
        <v>0</v>
      </c>
      <c r="AB1529">
        <f>Z1529*($F$21+IF($F$21=0,0,($C$14+$C$15+IF($C$13="single",1.5,3)+3)/12))</f>
        <v>0</v>
      </c>
      <c r="AC1529">
        <f>AB1529-W1529</f>
        <v>0</v>
      </c>
      <c r="AD1529" cm="1">
        <f t="array" ref="AD1529">IFERROR(IF(AC1529&lt;0,0,AC1529/($R$1450-INDEX(hd_off,MATCH(AQ1529,hd_mark,0),0)/12)),0)</f>
        <v>0</v>
      </c>
      <c r="AE1529">
        <f>IF(S1529=0,0,$AD$1450*$AM$1429)</f>
        <v>0</v>
      </c>
      <c r="AF1529">
        <f>IFERROR(AE1529/$R$1450,0)</f>
        <v>0</v>
      </c>
      <c r="AG1529">
        <f>AE1529*($F$21+IF($F$21=0,0,($C$14+$C$15+IF($C$13="single",1.5,3)+3)/12))</f>
        <v>0</v>
      </c>
      <c r="AH1529">
        <f>AG1529-X1529</f>
        <v>0</v>
      </c>
      <c r="AI1529" cm="1">
        <f t="array" ref="AI1529">IFERROR(IF(AH1529&lt;0,0,AH1529/($R$1450-INDEX(hd_off,MATCH(AQ1529,hd_mark,0),0)/12)),0)</f>
        <v>0</v>
      </c>
      <c r="AJ1529">
        <f>MAX($F$21,$Y$1450)/$Q$1460</f>
        <v>0.30172413793103448</v>
      </c>
      <c r="AK1529">
        <f>IF(AJ1529=0,0,IF(AJ1529&gt;2,1.25-0.125*AJ1529,1))</f>
        <v>1</v>
      </c>
      <c r="AL1529" cm="1">
        <f t="array" ref="AL1529">IFERROR(INDEX(sheath_ecap_asd,MATCH(AP1529,sheath_mark,0),0)*AK1529,0)</f>
        <v>0</v>
      </c>
      <c r="AM1529" cm="1">
        <f t="array" ref="AM1529">IFERROR(INDEX(sheath_wcap_asd,MATCH(AP1529,sheath_mark,0),0)*AK1529,0)</f>
        <v>0</v>
      </c>
      <c r="AN1529" cm="1">
        <f t="array" ref="AN1529">IFERROR(INDEX(hd_cap,MATCH(AQ1529,hd_mark,0),0),0)</f>
        <v>0</v>
      </c>
      <c r="AP1529" s="19"/>
      <c r="AQ1529" s="19"/>
      <c r="AR1529" s="100"/>
      <c r="AS1529" s="93"/>
      <c r="AT1529" s="110" t="str">
        <f>$AT$1450</f>
        <v>1.13</v>
      </c>
      <c r="AU1529" t="str">
        <f>$Q$1429</f>
        <v>L2</v>
      </c>
      <c r="AV1529">
        <f>$E$21</f>
        <v>10.6875</v>
      </c>
      <c r="AW1529" cm="1">
        <f t="array" ref="AW1529">IFERROR(IF(AV1529=0,0,(INDEX($C$33:$C$38,MATCH($AZ$1450,$B$33:$B$38,0),0)*(AV1533+$BA$1450)+$AW$1450*COUNTIF(AV1529:AV1532,"&gt;0")*$C$32+$AY$1450*$C$31)*$AU$1450),0)</f>
        <v>0</v>
      </c>
      <c r="AX1529">
        <f>IF(AV1529=0,0,-(COUNTIF(AV1529:AV1532,"&gt;0")*$AW$1450*$C$32+$AY$1450*$C$31)*$H$27*$AU$1450)</f>
        <v>0</v>
      </c>
      <c r="AY1529">
        <f>IF(AV1529=0,0,$AY$1450*$H$26*$AU$1450)</f>
        <v>0</v>
      </c>
      <c r="AZ1529">
        <f>(0.6*AW1529+0.7*AX1529)*$AU$1450/2</f>
        <v>0</v>
      </c>
      <c r="BA1529">
        <f>(0.6*AW1529+0.6*AY1529)*$AU$1450/2</f>
        <v>0</v>
      </c>
      <c r="BC1529">
        <f>IF(AV1529=0,0,$BG$1450*$AP$1429)</f>
        <v>0</v>
      </c>
      <c r="BD1529">
        <f>IFERROR(BC1529/$AU$1450,0)</f>
        <v>0</v>
      </c>
      <c r="BE1529">
        <f>BC1529*($F$21+IF($F$21=0,0,($C$14+$C$15+IF($C$13="single",1.5,3)+3)/12))</f>
        <v>0</v>
      </c>
      <c r="BF1529">
        <f>BE1529-AZ1529</f>
        <v>0</v>
      </c>
      <c r="BG1529" cm="1">
        <f t="array" ref="BG1529">IFERROR(IF(BF1529&lt;0,0,BF1529/($AU$1450-INDEX(hd_off,MATCH(BT1529,hd_mark,0),0)/12)),0)</f>
        <v>0</v>
      </c>
      <c r="BH1529">
        <f>IF(AV1529=0,0,$BG$1450*$AM$1429)</f>
        <v>0</v>
      </c>
      <c r="BI1529">
        <f>IFERROR(BH1529/$AU$1450,0)</f>
        <v>0</v>
      </c>
      <c r="BJ1529">
        <f>BH1529*($F$21+IF($F$21=0,0,($C$14+$C$15+IF($C$13="single",1.5,3)+3)/12))</f>
        <v>0</v>
      </c>
      <c r="BK1529">
        <f>BJ1529-BA1529</f>
        <v>0</v>
      </c>
      <c r="BL1529" cm="1">
        <f t="array" ref="BL1529">IFERROR(IF(BK1529&lt;0,0,BK1529/($AU$1450-INDEX(hd_off,MATCH(BT1529,hd_mark,0),0)/12)),0)</f>
        <v>0</v>
      </c>
      <c r="BM1529">
        <f>MAX($F$21,$BB$1450)/$Q$1460</f>
        <v>0.30172413793103448</v>
      </c>
      <c r="BN1529">
        <f>IF(BM1529=0,0,IF(BM1529&gt;2,1.25-0.125*BM1529,1))</f>
        <v>1</v>
      </c>
      <c r="BO1529" cm="1">
        <f t="array" ref="BO1529">IFERROR(INDEX(sheath_ecap_asd,MATCH(BS1529,sheath_mark,0),0)*BN1529,0)</f>
        <v>0</v>
      </c>
      <c r="BP1529" cm="1">
        <f t="array" ref="BP1529">IFERROR(INDEX(sheath_wcap_asd,MATCH(BS1529,sheath_mark,0),0)*BN1529,0)</f>
        <v>0</v>
      </c>
      <c r="BQ1529" cm="1">
        <f t="array" ref="BQ1529">IFERROR(INDEX(hd_cap,MATCH(BT1529,hd_mark,0),0),0)</f>
        <v>0</v>
      </c>
      <c r="BS1529" s="19"/>
      <c r="BT1529" s="19"/>
      <c r="BU1529" s="100"/>
    </row>
    <row r="1530" x14ac:dyDescent="0.25">
      <c r="P1530" s="93"/>
      <c r="Q1530" s="109"/>
      <c r="R1530" t="str">
        <f>$Q$1430</f>
        <v>L3</v>
      </c>
      <c r="S1530">
        <f>$E$22</f>
        <v>21.375</v>
      </c>
      <c r="T1530" cm="1">
        <f t="array" ref="T1530">IFERROR(IF(S1530=0,0,(INDEX($C$33:$C$38,MATCH($W$1450,$B$33:$B$38,0),0)*(S1533+$X$1450)+$T$1450*COUNTIF(S1530:S1532,"&gt;0")*$C$32+$V$1450*$C$31)*$R$1450),0)</f>
        <v>0</v>
      </c>
      <c r="U1530">
        <f>IF(S1530=0,0,-(COUNTIF(S1530:S1532,"&gt;0")*$T$1450*$C$32+$V$1450*$C$31)*$H$27*$R$1450)</f>
        <v>0</v>
      </c>
      <c r="V1530">
        <f>IF(S1530=0,0,$V$1450*$H$26*$R$1450)</f>
        <v>0</v>
      </c>
      <c r="W1530">
        <f>(0.6*T1530+0.7*U1530)*$R$1450/2</f>
        <v>0</v>
      </c>
      <c r="X1530">
        <f>T1530*$R$1450/2</f>
        <v>0</v>
      </c>
      <c r="Z1530">
        <f>IF(S1530=0,0,$AD$1450*$AP$1430)</f>
        <v>0</v>
      </c>
      <c r="AA1530">
        <f>IFERROR(Z1530/$R$1450,0)</f>
        <v>0</v>
      </c>
      <c r="AB1530">
        <f>Z1530*($F$22+IF($F$22=0,0,($C$14+$C$15+IF($C$13="single",1.5,3)+3)/12))</f>
        <v>0</v>
      </c>
      <c r="AC1530">
        <f>AB1530-W1530</f>
        <v>0</v>
      </c>
      <c r="AD1530" cm="1">
        <f t="array" ref="AD1530">IFERROR(IF(AC1530&lt;0,0,AC1530/($R$1450-INDEX(hd_off,MATCH(AQ1530,hd_mark,0),0)/12)),0)</f>
        <v>0</v>
      </c>
      <c r="AE1530">
        <f>IF(S1530=0,0,$AD$1450*$AM$1430)</f>
        <v>0</v>
      </c>
      <c r="AF1530">
        <f>IFERROR(AE1530/$R$1450,0)</f>
        <v>0</v>
      </c>
      <c r="AG1530">
        <f>AE1530*($F$22+IF($F$22=0,0,($C$14+$C$15+IF($C$13="single",1.5,3)+3)/12))</f>
        <v>0</v>
      </c>
      <c r="AH1530">
        <f>AG1530-X1530</f>
        <v>0</v>
      </c>
      <c r="AI1530" cm="1">
        <f t="array" ref="AI1530">IFERROR(IF(AH1530&lt;0,0,AH1530/($R$1450-INDEX(hd_off,MATCH(AQ1530,hd_mark,0),0)/12)),0)</f>
        <v>0</v>
      </c>
      <c r="AJ1530">
        <f>MAX($F$22,$Z$1450)/$Q$1460</f>
        <v>0.30172413793103448</v>
      </c>
      <c r="AK1530">
        <f t="shared" ref="AK1530:AK1533" si="939">IF(AJ1530=0,0,IF(AJ1530&gt;2,1.25-0.125*AJ1530,1))</f>
        <v>1</v>
      </c>
      <c r="AL1530" cm="1">
        <f t="array" ref="AL1530">IFERROR(INDEX(sheath_ecap_asd,MATCH(AP1530,sheath_mark,0),0)*AK1530,0)</f>
        <v>0</v>
      </c>
      <c r="AM1530" cm="1">
        <f t="array" ref="AM1530">IFERROR(INDEX(sheath_wcap_asd,MATCH(AP1530,sheath_mark,0),0)*AK1530,0)</f>
        <v>0</v>
      </c>
      <c r="AN1530" cm="1">
        <f t="array" ref="AN1530">IFERROR(INDEX(hd_cap,MATCH(AQ1530,hd_mark,0),0),0)</f>
        <v>0</v>
      </c>
      <c r="AP1530" s="19"/>
      <c r="AQ1530" s="19"/>
      <c r="AR1530" s="100"/>
      <c r="AS1530" s="93"/>
      <c r="AT1530" s="109"/>
      <c r="AU1530" t="str">
        <f>$Q$1430</f>
        <v>L3</v>
      </c>
      <c r="AV1530">
        <f>$E$22</f>
        <v>21.375</v>
      </c>
      <c r="AW1530" cm="1">
        <f t="array" ref="AW1530">IFERROR(IF(AV1530=0,0,(INDEX($C$33:$C$38,MATCH($AZ$1450,$B$33:$B$38,0),0)*(AV1533+$BA$1450)+$AW$1450*COUNTIF(AV1530:AV1532,"&gt;0")*$C$32+$AY$1450*$C$31)*$AU$1450),0)</f>
        <v>0</v>
      </c>
      <c r="AX1530">
        <f>IF(AV1530=0,0,-(COUNTIF(AV1530:AV1532,"&gt;0")*$AW$1450*$C$32+$AY$1450*$C$31)*$H$27*$AU$1450)</f>
        <v>0</v>
      </c>
      <c r="AY1530">
        <f>IF(AV1530=0,0,$AY$1450*$H$26*$AU$1450)</f>
        <v>0</v>
      </c>
      <c r="AZ1530">
        <f>(0.6*AW1530+0.7*AX1530)*$AU$1450/2</f>
        <v>0</v>
      </c>
      <c r="BA1530">
        <f>AW1530*$AU$1450/2</f>
        <v>0</v>
      </c>
      <c r="BC1530">
        <f>IF(AV1530=0,0,$BG$1450*$AP$1430)</f>
        <v>0</v>
      </c>
      <c r="BD1530">
        <f>IFERROR(BC1530/$AU$1450,0)</f>
        <v>0</v>
      </c>
      <c r="BE1530">
        <f>BC1530*($F$22+IF($F$22=0,0,($C$14+$C$15+IF($C$13="single",1.5,3)+3)/12))</f>
        <v>0</v>
      </c>
      <c r="BF1530">
        <f>BE1530-AZ1530</f>
        <v>0</v>
      </c>
      <c r="BG1530" cm="1">
        <f t="array" ref="BG1530">IFERROR(IF(BF1530&lt;0,0,BF1530/($AU$1450-INDEX(hd_off,MATCH(BT1530,hd_mark,0),0)/12)),0)</f>
        <v>0</v>
      </c>
      <c r="BH1530">
        <f>IF(AV1530=0,0,$BG$1450*$AM$1430)</f>
        <v>0</v>
      </c>
      <c r="BI1530">
        <f>IFERROR(BH1530/$AU$1450,0)</f>
        <v>0</v>
      </c>
      <c r="BJ1530">
        <f>BH1530*($F$22+IF($F$22=0,0,($C$14+$C$15+IF($C$13="single",1.5,3)+3)/12))</f>
        <v>0</v>
      </c>
      <c r="BK1530">
        <f>BJ1530-BA1530</f>
        <v>0</v>
      </c>
      <c r="BL1530" cm="1">
        <f t="array" ref="BL1530">IFERROR(IF(BK1530&lt;0,0,BK1530/($AU$1450-INDEX(hd_off,MATCH(BT1530,hd_mark,0),0)/12)),0)</f>
        <v>0</v>
      </c>
      <c r="BM1530">
        <f>MAX($F$22,$BC$1450)/$Q$1460</f>
        <v>0.30172413793103448</v>
      </c>
      <c r="BN1530">
        <f t="shared" ref="BN1530:BN1533" si="940">IF(BM1530=0,0,IF(BM1530&gt;2,1.25-0.125*BM1530,1))</f>
        <v>1</v>
      </c>
      <c r="BO1530" cm="1">
        <f t="array" ref="BO1530">IFERROR(INDEX(sheath_ecap_asd,MATCH(BS1530,sheath_mark,0),0)*BN1530,0)</f>
        <v>0</v>
      </c>
      <c r="BP1530" cm="1">
        <f t="array" ref="BP1530">IFERROR(INDEX(sheath_wcap_asd,MATCH(BS1530,sheath_mark,0),0)*BN1530,0)</f>
        <v>0</v>
      </c>
      <c r="BQ1530" cm="1">
        <f t="array" ref="BQ1530">IFERROR(INDEX(hd_cap,MATCH(BT1530,hd_mark,0),0),0)</f>
        <v>0</v>
      </c>
      <c r="BS1530" s="19"/>
      <c r="BT1530" s="19"/>
      <c r="BU1530" s="100"/>
    </row>
    <row r="1531" x14ac:dyDescent="0.25">
      <c r="P1531" s="93"/>
      <c r="Q1531" s="109" t="s">
        <v>491</v>
      </c>
      <c r="R1531" t="str">
        <f>$Q$1431</f>
        <v>L4</v>
      </c>
      <c r="S1531">
        <f>$E$23</f>
        <v>0</v>
      </c>
      <c r="T1531" cm="1">
        <f t="array" ref="T1531">IFERROR(IF(S1531=0,0,(INDEX($C$33:$C$38,MATCH($W$1450,$B$33:$B$38,0),0)*(S1533+$X$1450)+$T$1450*COUNTIF(S1531:S1532,"&gt;0")*$C$32+$V$1450*$C$31)*$R$1450),0)</f>
        <v>0</v>
      </c>
      <c r="U1531">
        <f>IF(S1531=0,0,-(COUNTIF(S1531:S1532,"&gt;0")*$T$1450*$C$32+$V$1450*$C$31)*$H$27*$R$1450)</f>
        <v>0</v>
      </c>
      <c r="V1531">
        <f>IF(S1531=0,0,$V$1450*$H$26*$R$1450)</f>
        <v>0</v>
      </c>
      <c r="W1531">
        <f>(0.6*T1531+0.7*U1531)*$R$1450/2</f>
        <v>0</v>
      </c>
      <c r="X1531">
        <f>T1531*$R$1450/2</f>
        <v>0</v>
      </c>
      <c r="Z1531">
        <f>IF(S1531=0,0,$AD$1450*$AP$1431)</f>
        <v>0</v>
      </c>
      <c r="AA1531">
        <f>IFERROR(Z1531/$R$1450,0)</f>
        <v>0</v>
      </c>
      <c r="AB1531">
        <f>Z1531*($F$23+IF($F$23=0,0,($C$14+$C$15+IF($C$13="single",1.5,3)+3)/12))</f>
        <v>0</v>
      </c>
      <c r="AC1531">
        <f>AB1531-W1531</f>
        <v>0</v>
      </c>
      <c r="AD1531" cm="1">
        <f t="array" ref="AD1531">IFERROR(IF(AC1531&lt;0,0,AC1531/($R$1450-INDEX(hd_off,MATCH(AQ1531,hd_mark,0),0)/12)),0)</f>
        <v>0</v>
      </c>
      <c r="AE1531">
        <f>IF(S1531=0,0,$AD$1450*$AM$1431)</f>
        <v>0</v>
      </c>
      <c r="AF1531">
        <f>IFERROR(AE1531/$R$1450,0)</f>
        <v>0</v>
      </c>
      <c r="AG1531">
        <f>AE1531*($F$23+IF($F$23=0,0,($C$14+$C$15+IF($C$13="single",1.5,3)+3)/12))</f>
        <v>0</v>
      </c>
      <c r="AH1531">
        <f>AG1531-X1531</f>
        <v>0</v>
      </c>
      <c r="AI1531" cm="1">
        <f t="array" ref="AI1531">IFERROR(IF(AH1531&lt;0,0,AH1531/($R$1450-INDEX(hd_off,MATCH(AQ1531,hd_mark,0),0)/12)),0)</f>
        <v>0</v>
      </c>
      <c r="AJ1531">
        <f>MAX($F$23,$AA$1450)/$Q$1460</f>
        <v>0</v>
      </c>
      <c r="AK1531">
        <f t="shared" si="939"/>
        <v>0</v>
      </c>
      <c r="AL1531" cm="1">
        <f t="array" ref="AL1531">IFERROR(INDEX(sheath_ecap_asd,MATCH(AP1531,sheath_mark,0),0)*AK1531,0)</f>
        <v>0</v>
      </c>
      <c r="AM1531" cm="1">
        <f t="array" ref="AM1531">IFERROR(INDEX(sheath_wcap_asd,MATCH(AP1531,sheath_mark,0),0)*AK1531,0)</f>
        <v>0</v>
      </c>
      <c r="AN1531" cm="1">
        <f t="array" ref="AN1531">IFERROR(INDEX(hd_cap,MATCH(AQ1531,hd_mark,0),0),0)</f>
        <v>0</v>
      </c>
      <c r="AP1531" s="19"/>
      <c r="AQ1531" s="19"/>
      <c r="AR1531" s="100"/>
      <c r="AS1531" s="93"/>
      <c r="AT1531" s="109" t="s">
        <v>491</v>
      </c>
      <c r="AU1531" t="str">
        <f>$Q$1431</f>
        <v>L4</v>
      </c>
      <c r="AV1531">
        <f>$E$23</f>
        <v>0</v>
      </c>
      <c r="AW1531" cm="1">
        <f t="array" ref="AW1531">IFERROR(IF(AV1531=0,0,(INDEX($C$33:$C$38,MATCH($AZ$1450,$B$33:$B$38,0),0)*(AV1533+$BA$1450)+$AW$1450*COUNTIF(AV1531:AV1532,"&gt;0")*$C$32+$AY$1450*$C$31)*$AU$1450),0)</f>
        <v>0</v>
      </c>
      <c r="AX1531">
        <f>IF(AV1531=0,0,-(COUNTIF(AV1531:AV1532,"&gt;0")*$AW$1450*$C$32+$AY$1450*$C$31)*$H$27*$AU$1450)</f>
        <v>0</v>
      </c>
      <c r="AY1531">
        <f>IF(AV1531=0,0,$AY$1450*$H$26*$AU$1450)</f>
        <v>0</v>
      </c>
      <c r="AZ1531">
        <f>(0.6*AW1531+0.7*AX1531)*$AU$1450/2</f>
        <v>0</v>
      </c>
      <c r="BA1531">
        <f>AW1531*$AU$1450/2</f>
        <v>0</v>
      </c>
      <c r="BC1531">
        <f>IF(AV1531=0,0,$BG$1450*$AP$1431)</f>
        <v>0</v>
      </c>
      <c r="BD1531">
        <f>IFERROR(BC1531/$AU$1450,0)</f>
        <v>0</v>
      </c>
      <c r="BE1531">
        <f>BC1531*($F$23+IF($F$23=0,0,($C$14+$C$15+IF($C$13="single",1.5,3)+3)/12))</f>
        <v>0</v>
      </c>
      <c r="BF1531">
        <f>BE1531-AZ1531</f>
        <v>0</v>
      </c>
      <c r="BG1531" cm="1">
        <f t="array" ref="BG1531">IFERROR(IF(BF1531&lt;0,0,BF1531/($AU$1450-INDEX(hd_off,MATCH(BT1531,hd_mark,0),0)/12)),0)</f>
        <v>0</v>
      </c>
      <c r="BH1531">
        <f>IF(AV1531=0,0,$BG$1450*$AM$1431)</f>
        <v>0</v>
      </c>
      <c r="BI1531">
        <f>IFERROR(BH1531/$AU$1450,0)</f>
        <v>0</v>
      </c>
      <c r="BJ1531">
        <f>BH1531*($F$23+IF($F$23=0,0,($C$14+$C$15+IF($C$13="single",1.5,3)+3)/12))</f>
        <v>0</v>
      </c>
      <c r="BK1531">
        <f>BJ1531-BA1531</f>
        <v>0</v>
      </c>
      <c r="BL1531" cm="1">
        <f t="array" ref="BL1531">IFERROR(IF(BK1531&lt;0,0,BK1531/($AU$1450-INDEX(hd_off,MATCH(BT1531,hd_mark,0),0)/12)),0)</f>
        <v>0</v>
      </c>
      <c r="BM1531">
        <f>MAX($F$23,$BD$1450)/$Q$1460</f>
        <v>0</v>
      </c>
      <c r="BN1531">
        <f t="shared" si="940"/>
        <v>0</v>
      </c>
      <c r="BO1531" cm="1">
        <f t="array" ref="BO1531">IFERROR(INDEX(sheath_ecap_asd,MATCH(BS1531,sheath_mark,0),0)*BN1531,0)</f>
        <v>0</v>
      </c>
      <c r="BP1531" cm="1">
        <f t="array" ref="BP1531">IFERROR(INDEX(sheath_wcap_asd,MATCH(BS1531,sheath_mark,0),0)*BN1531,0)</f>
        <v>0</v>
      </c>
      <c r="BQ1531" cm="1">
        <f t="array" ref="BQ1531">IFERROR(INDEX(hd_cap,MATCH(BT1531,hd_mark,0),0),0)</f>
        <v>0</v>
      </c>
      <c r="BS1531" s="19"/>
      <c r="BT1531" s="19"/>
      <c r="BU1531" s="100"/>
    </row>
    <row r="1532" x14ac:dyDescent="0.25">
      <c r="P1532" s="93"/>
      <c r="Q1532" s="111">
        <f>$R$1450</f>
        <v>0</v>
      </c>
      <c r="R1532" t="str">
        <f>$Q$1432</f>
        <v>L5</v>
      </c>
      <c r="S1532">
        <f>$E$24</f>
        <v>0</v>
      </c>
      <c r="T1532" cm="1">
        <f t="array" ref="T1532">IFERROR(IF(S1532=0,0,(INDEX($C$33:$C$38,MATCH($W$1450,$B$33:$B$38,0),0)*(S1533+$X$1450)+$T$1450*COUNTIF(S1532:S1532,"&gt;0")*$C$32+$V$1450*$C$31)*$R$1450),0)</f>
        <v>0</v>
      </c>
      <c r="U1532">
        <f>IF(S1532=0,0,-(COUNTIF(S1532:S1532,"&gt;0")*$T$1450*$C$32+$V$1450*$C$31)*$H$27*$R$1450)</f>
        <v>0</v>
      </c>
      <c r="V1532">
        <f>IF(S1532=0,0,$V$1450*$H$26*$R$1450)</f>
        <v>0</v>
      </c>
      <c r="W1532">
        <f>(0.6*T1532+0.7*U1532)*$R$1450/2</f>
        <v>0</v>
      </c>
      <c r="X1532">
        <f>T1532*$R$1450/2</f>
        <v>0</v>
      </c>
      <c r="Z1532">
        <f>IF(S1532=0,0,$AD$1450*$AP$1432)</f>
        <v>0</v>
      </c>
      <c r="AA1532">
        <f>IFERROR(Z1532/$R$1450,0)</f>
        <v>0</v>
      </c>
      <c r="AB1532">
        <f>Z1532*($F$24+IF($F$24=0,0,($C$14+$C$15+IF($C$13="single",1.5,3)+3)/12))</f>
        <v>0</v>
      </c>
      <c r="AC1532">
        <f>AB1532-W1532</f>
        <v>0</v>
      </c>
      <c r="AD1532" cm="1">
        <f t="array" ref="AD1532">IFERROR(IF(AC1532&lt;0,0,AC1532/($R$1450-INDEX(hd_off,MATCH(AQ1532,hd_mark,0),0)/12)),0)</f>
        <v>0</v>
      </c>
      <c r="AE1532">
        <f>IF(S1532=0,0,$AD$1450*$AM$1432)</f>
        <v>0</v>
      </c>
      <c r="AF1532">
        <f>IFERROR(AE1532/$R$1450,0)</f>
        <v>0</v>
      </c>
      <c r="AG1532">
        <f>AE1532*($F$24+IF($F$24=0,0,($C$14+$C$15+IF($C$13="single",1.5,3)+3)/12))</f>
        <v>0</v>
      </c>
      <c r="AH1532">
        <f>AG1532-X1532</f>
        <v>0</v>
      </c>
      <c r="AI1532" cm="1">
        <f t="array" ref="AI1532">IFERROR(IF(AH1532&lt;0,0,AH1532/($R$1450-INDEX(hd_off,MATCH(AQ1532,hd_mark,0),0)/12)),0)</f>
        <v>0</v>
      </c>
      <c r="AJ1532">
        <f>MAX($F$24,$AB$1450)/$Q$1460</f>
        <v>0</v>
      </c>
      <c r="AK1532">
        <f t="shared" si="939"/>
        <v>0</v>
      </c>
      <c r="AL1532" cm="1">
        <f t="array" ref="AL1532">IFERROR(INDEX(sheath_ecap_asd,MATCH(AP1532,sheath_mark,0),0)*AK1532,0)</f>
        <v>0</v>
      </c>
      <c r="AM1532" cm="1">
        <f t="array" ref="AM1532">IFERROR(INDEX(sheath_wcap_asd,MATCH(AP1532,sheath_mark,0),0)*AK1532,0)</f>
        <v>0</v>
      </c>
      <c r="AN1532" cm="1">
        <f t="array" ref="AN1532">IFERROR(INDEX(hd_cap,MATCH(AQ1532,hd_mark,0),0),0)</f>
        <v>0</v>
      </c>
      <c r="AP1532" s="19"/>
      <c r="AQ1532" s="19"/>
      <c r="AR1532" s="100"/>
      <c r="AS1532" s="93"/>
      <c r="AT1532" s="111">
        <f>$R$1450</f>
        <v>0</v>
      </c>
      <c r="AU1532" t="str">
        <f>$Q$1432</f>
        <v>L5</v>
      </c>
      <c r="AV1532">
        <f>$E$24</f>
        <v>0</v>
      </c>
      <c r="AW1532" cm="1">
        <f t="array" ref="AW1532">IFERROR(IF(AV1532=0,0,(INDEX($C$33:$C$38,MATCH($AZ$1450,$B$33:$B$38,0),0)*(AV1533+$BA$1450)+$AW$1450*COUNTIF(AV1532:AV1532,"&gt;0")*$C$32+$AY$1450*$C$31)*$AU$1450),0)</f>
        <v>0</v>
      </c>
      <c r="AX1532">
        <f>IF(AV1532=0,0,-(COUNTIF(AV1532:AV1532,"&gt;0")*$AW$1450*$C$32+$AY$1450*$C$31)*$H$27*$AU$1450)</f>
        <v>0</v>
      </c>
      <c r="AY1532">
        <f>IF(AV1532=0,0,$AY$1450*$H$26*$AU$1450)</f>
        <v>0</v>
      </c>
      <c r="AZ1532">
        <f>(0.6*AW1532+0.7*AX1532)*$AU$1450/2</f>
        <v>0</v>
      </c>
      <c r="BA1532">
        <f>AW1532*$AU$1450/2</f>
        <v>0</v>
      </c>
      <c r="BC1532">
        <f>IF(AV1532=0,0,$BG$1450*$AP$1432)</f>
        <v>0</v>
      </c>
      <c r="BD1532">
        <f>IFERROR(BC1532/$AU$1450,0)</f>
        <v>0</v>
      </c>
      <c r="BE1532">
        <f>BC1532*($F$24+IF($F$24=0,0,($C$14+$C$15+IF($C$13="single",1.5,3)+3)/12))</f>
        <v>0</v>
      </c>
      <c r="BF1532">
        <f>BE1532-AZ1532</f>
        <v>0</v>
      </c>
      <c r="BG1532" cm="1">
        <f t="array" ref="BG1532">IFERROR(IF(BF1532&lt;0,0,BF1532/($AU$1450-INDEX(hd_off,MATCH(BT1532,hd_mark,0),0)/12)),0)</f>
        <v>0</v>
      </c>
      <c r="BH1532">
        <f>IF(AV1532=0,0,$BG$1450*$AM$1432)</f>
        <v>0</v>
      </c>
      <c r="BI1532">
        <f>IFERROR(BH1532/$AU$1450,0)</f>
        <v>0</v>
      </c>
      <c r="BJ1532">
        <f>BH1532*($F$24+IF($F$24=0,0,($C$14+$C$15+IF($C$13="single",1.5,3)+3)/12))</f>
        <v>0</v>
      </c>
      <c r="BK1532">
        <f>BJ1532-BA1532</f>
        <v>0</v>
      </c>
      <c r="BL1532" cm="1">
        <f t="array" ref="BL1532">IFERROR(IF(BK1532&lt;0,0,BK1532/($AU$1450-INDEX(hd_off,MATCH(BT1532,hd_mark,0),0)/12)),0)</f>
        <v>0</v>
      </c>
      <c r="BM1532">
        <f>MAX($F$24,$BE$1450)/$Q$1460</f>
        <v>0</v>
      </c>
      <c r="BN1532">
        <f t="shared" si="940"/>
        <v>0</v>
      </c>
      <c r="BO1532" cm="1">
        <f t="array" ref="BO1532">IFERROR(INDEX(sheath_ecap_asd,MATCH(BS1532,sheath_mark,0),0)*BN1532,0)</f>
        <v>0</v>
      </c>
      <c r="BP1532" cm="1">
        <f t="array" ref="BP1532">IFERROR(INDEX(sheath_wcap_asd,MATCH(BS1532,sheath_mark,0),0)*BN1532,0)</f>
        <v>0</v>
      </c>
      <c r="BQ1532" cm="1">
        <f t="array" ref="BQ1532">IFERROR(INDEX(hd_cap,MATCH(BT1532,hd_mark,0),0),0)</f>
        <v>0</v>
      </c>
      <c r="BS1532" s="19"/>
      <c r="BT1532" s="19"/>
      <c r="BU1532" s="100"/>
    </row>
    <row r="1533" x14ac:dyDescent="0.25">
      <c r="P1533" s="93"/>
      <c r="Q1533" s="109"/>
      <c r="R1533" t="str">
        <f>$Q$1433</f>
        <v>Roof</v>
      </c>
      <c r="S1533">
        <f>$E$25</f>
        <v>33.171875</v>
      </c>
      <c r="T1533" cm="1">
        <f t="array" ref="T1533">IFERROR(IF(S1533=0,0,(INDEX($C$33:$C$38,MATCH($W$1450,$B$33:$B$38,0),0)*(S1533+$X$1450)+$V$1450*$C$31)*$R$1450),0)</f>
        <v>0</v>
      </c>
      <c r="U1533">
        <f>IF(S1533=0,0,-$V$1450*$C$31*$H$27*$R$1450)</f>
        <v>0</v>
      </c>
      <c r="V1533">
        <f>IF(S1533=0,0,$V$1450*$H$26*$R$1450)</f>
        <v>0</v>
      </c>
      <c r="W1533">
        <f>(0.6*T1533+0.7*U1533)*$R$1450/2</f>
        <v>0</v>
      </c>
      <c r="X1533">
        <f>T1533*$R$1450/2</f>
        <v>0</v>
      </c>
      <c r="Z1533">
        <f>IF(S1533=0,0,$AD$1450*$AP$1433)</f>
        <v>0</v>
      </c>
      <c r="AA1533">
        <f>IFERROR(Z1533/$R$1450,0)</f>
        <v>0</v>
      </c>
      <c r="AB1533">
        <f>Z1533*($F$25+($C$16+$C$17+IF($C$13="single",1.5,3)+3)/12)</f>
        <v>0</v>
      </c>
      <c r="AC1533">
        <f>AB1533-W1533</f>
        <v>0</v>
      </c>
      <c r="AD1533" cm="1">
        <f t="array" ref="AD1533">IFERROR(IF(AC1533&lt;0,0,AC1533/($R$1450-INDEX(hd_off,MATCH(AQ1533,hd_mark,0),0)/12)),0)</f>
        <v>0</v>
      </c>
      <c r="AE1533">
        <f>IF(S1533=0,0,$AD$1450*$AM$1433)</f>
        <v>0</v>
      </c>
      <c r="AF1533">
        <f>IFERROR(AE1533/$R$1450,0)</f>
        <v>0</v>
      </c>
      <c r="AG1533">
        <f>AE1533*($F$25+($C$16+$C$17+IF($C$13="single",1.5,3)+3)/12)</f>
        <v>0</v>
      </c>
      <c r="AH1533">
        <f>AG1533-X1533</f>
        <v>0</v>
      </c>
      <c r="AI1533" cm="1">
        <f t="array" ref="AI1533">IFERROR(IF(AH1533&lt;0,0,AH1533/($R$1450-INDEX(hd_off,MATCH(AQ1533,hd_mark,0),0)/12)),0)</f>
        <v>0</v>
      </c>
      <c r="AJ1533">
        <f>MAX($F$25,$AC$1450)/$Q$1460</f>
        <v>0.29920977011494249</v>
      </c>
      <c r="AK1533">
        <f t="shared" si="939"/>
        <v>1</v>
      </c>
      <c r="AL1533" cm="1">
        <f t="array" ref="AL1533">IFERROR(INDEX(sheath_ecap_asd,MATCH(AP1533,sheath_mark,0),0)*AK1533,0)</f>
        <v>0</v>
      </c>
      <c r="AM1533" cm="1">
        <f t="array" ref="AM1533">IFERROR(INDEX(sheath_wcap_asd,MATCH(AP1533,sheath_mark,0),0)*AK1533,0)</f>
        <v>0</v>
      </c>
      <c r="AN1533" cm="1">
        <f t="array" ref="AN1533">IFERROR(INDEX(hd_cap,MATCH(AQ1533,hd_mark,0),0),0)</f>
        <v>0</v>
      </c>
      <c r="AP1533" s="19"/>
      <c r="AQ1533" s="19"/>
      <c r="AR1533" s="100"/>
      <c r="AS1533" s="93"/>
      <c r="AT1533" s="109"/>
      <c r="AU1533" t="str">
        <f>$Q$1433</f>
        <v>Roof</v>
      </c>
      <c r="AV1533">
        <f>$E$25</f>
        <v>33.171875</v>
      </c>
      <c r="AW1533" cm="1">
        <f t="array" ref="AW1533">IFERROR(IF(AV1533=0,0,(INDEX($C$33:$C$38,MATCH($AZ$1450,$B$33:$B$38,0),0)*(AV1533+$BA$1450)+$AY$1450*$C$31)*$AU$1450),0)</f>
        <v>0</v>
      </c>
      <c r="AX1533">
        <f>IF(AV1533=0,0,-$AY$1450*$C$31*$H$27*$AU$1450)</f>
        <v>0</v>
      </c>
      <c r="AY1533">
        <f>IF(AV1533=0,0,$AY$1450*$H$26*$AU$1450)</f>
        <v>0</v>
      </c>
      <c r="AZ1533">
        <f>(0.6*AW1533+0.7*AX1533)*$AU$1450/2</f>
        <v>0</v>
      </c>
      <c r="BA1533">
        <f>AW1533*$AU$1450/2</f>
        <v>0</v>
      </c>
      <c r="BC1533">
        <f>IF(AV1533=0,0,$BG$1450*$AP$1433)</f>
        <v>0</v>
      </c>
      <c r="BD1533">
        <f>IFERROR(BC1533/$AU$1450,0)</f>
        <v>0</v>
      </c>
      <c r="BE1533">
        <f>BC1533*($F$25+($C$16+$C$17+IF($C$13="single",1.5,3)+3)/12)</f>
        <v>0</v>
      </c>
      <c r="BF1533">
        <f>BE1533-AZ1533</f>
        <v>0</v>
      </c>
      <c r="BG1533" cm="1">
        <f t="array" ref="BG1533">IFERROR(IF(BF1533&lt;0,0,BF1533/($AU$1450-INDEX(hd_off,MATCH(BT1533,hd_mark,0),0)/12)),0)</f>
        <v>0</v>
      </c>
      <c r="BH1533">
        <f>IF(AV1533=0,0,$BG$1450*$AM$1433)</f>
        <v>0</v>
      </c>
      <c r="BI1533">
        <f>IFERROR(BH1533/$AU$1450,0)</f>
        <v>0</v>
      </c>
      <c r="BJ1533">
        <f>BH1533*($F$25+($C$16+$C$17+IF($C$13="single",1.5,3)+3)/12)</f>
        <v>0</v>
      </c>
      <c r="BK1533">
        <f>BJ1533-BA1533</f>
        <v>0</v>
      </c>
      <c r="BL1533" cm="1">
        <f t="array" ref="BL1533">IFERROR(IF(BK1533&lt;0,0,BK1533/($AU$1450-INDEX(hd_off,MATCH(BT1533,hd_mark,0),0)/12)),0)</f>
        <v>0</v>
      </c>
      <c r="BM1533">
        <f>MAX($F$25,$BF$1450)/$Q$1460</f>
        <v>0.29920977011494249</v>
      </c>
      <c r="BN1533">
        <f t="shared" si="940"/>
        <v>1</v>
      </c>
      <c r="BO1533" cm="1">
        <f t="array" ref="BO1533">IFERROR(INDEX(sheath_ecap_asd,MATCH(BS1533,sheath_mark,0),0)*BN1533,0)</f>
        <v>0</v>
      </c>
      <c r="BP1533" cm="1">
        <f t="array" ref="BP1533">IFERROR(INDEX(sheath_wcap_asd,MATCH(BS1533,sheath_mark,0),0)*BN1533,0)</f>
        <v>0</v>
      </c>
      <c r="BQ1533" cm="1">
        <f t="array" ref="BQ1533">IFERROR(INDEX(hd_cap,MATCH(BT1533,hd_mark,0),0),0)</f>
        <v>0</v>
      </c>
      <c r="BS1533" s="19"/>
      <c r="BT1533" s="19"/>
      <c r="BU1533" s="100"/>
    </row>
    <row r="1534" x14ac:dyDescent="0.25">
      <c r="P1534" s="93"/>
      <c r="AR1534" s="100"/>
      <c r="AS1534" s="93"/>
      <c r="BU1534" s="100"/>
    </row>
    <row r="1535" x14ac:dyDescent="0.25">
      <c r="P1535" s="93"/>
      <c r="Q1535" s="110" t="str">
        <f>$Q$1451</f>
        <v>A.14</v>
      </c>
      <c r="R1535" t="str">
        <f>$Q$1429</f>
        <v>L2</v>
      </c>
      <c r="S1535">
        <f>$E$21</f>
        <v>10.6875</v>
      </c>
      <c r="T1535" cm="1">
        <f t="array" ref="T1535">IFERROR(IF(S1535=0,0,(INDEX($C$33:$C$38,MATCH($W$1451,$B$33:$B$38,0),0)*(S1539+$X$1451)+$T$1451*COUNTIF(S1535:S1551,"&gt;0")*$C$32+$V$1451*$C$31)*$R$1451),0)</f>
        <v>0</v>
      </c>
      <c r="U1535">
        <f>IF(S1535=0,0,-(COUNTIF(S1535:S1551,"&gt;0")*$T$1451*$C$32+$V$1451*$C$31)*$H$27*$R$1451)</f>
        <v>0</v>
      </c>
      <c r="V1535">
        <f>IF(S1535=0,0,$V$1451*$H$26*$R$1451)</f>
        <v>0</v>
      </c>
      <c r="W1535">
        <f>(0.6*T1535+0.7*U1535)*$R$1451/2</f>
        <v>0</v>
      </c>
      <c r="X1535">
        <f>(0.6*T1535+0.6*V1535)*$R$1451/2</f>
        <v>0</v>
      </c>
      <c r="Z1535">
        <f>IF(S1535=0,0,$AD$1451*$AP$1429)</f>
        <v>0</v>
      </c>
      <c r="AA1535">
        <f>IFERROR(Z1535/$R$1451,0)</f>
        <v>0</v>
      </c>
      <c r="AB1535">
        <f>Z1535*($F$21+IF($F$21=0,0,($C$14+$C$15+IF($C$13="single",1.5,3)+3)/12))</f>
        <v>0</v>
      </c>
      <c r="AC1535">
        <f>AB1535-W1535</f>
        <v>0</v>
      </c>
      <c r="AD1535" cm="1">
        <f t="array" ref="AD1535">IFERROR(IF(AC1535&lt;0,0,AC1535/($R$1451-INDEX(hd_off,MATCH(AQ1535,hd_mark,0),0)/12)),0)</f>
        <v>0</v>
      </c>
      <c r="AE1535">
        <f>IF(S1535=0,0,$AD$1451*$AM$1429)</f>
        <v>0</v>
      </c>
      <c r="AF1535">
        <f>IFERROR(AE1535/$R$1451,0)</f>
        <v>0</v>
      </c>
      <c r="AG1535">
        <f>AE1535*($F$21+IF($F$21=0,0,($C$14+$C$15+IF($C$13="single",1.5,3)+3)/12))</f>
        <v>0</v>
      </c>
      <c r="AH1535">
        <f>AG1535-X1535</f>
        <v>0</v>
      </c>
      <c r="AI1535" cm="1">
        <f t="array" ref="AI1535">IFERROR(IF(AH1535&lt;0,0,AH1535/($R$1451-INDEX(hd_off,MATCH(AQ1535,hd_mark,0),0)/12)),0)</f>
        <v>0</v>
      </c>
      <c r="AJ1535">
        <f>MAX($F$21,$Y$1451)/$Q$1460</f>
        <v>0.30172413793103448</v>
      </c>
      <c r="AK1535">
        <f>IF(AJ1535=0,0,IF(AJ1535&gt;2,1.25-0.125*AJ1535,1))</f>
        <v>1</v>
      </c>
      <c r="AL1535" cm="1">
        <f t="array" ref="AL1535">IFERROR(INDEX(sheath_ecap_asd,MATCH(AP1535,sheath_mark,0),0)*AK1535,0)</f>
        <v>0</v>
      </c>
      <c r="AM1535" cm="1">
        <f t="array" ref="AM1535">IFERROR(INDEX(sheath_wcap_asd,MATCH(AP1535,sheath_mark,0),0)*AK1535,0)</f>
        <v>0</v>
      </c>
      <c r="AN1535" cm="1">
        <f t="array" ref="AN1535">IFERROR(INDEX(hd_cap,MATCH(AQ1535,hd_mark,0),0),0)</f>
        <v>0</v>
      </c>
      <c r="AP1535" s="19"/>
      <c r="AQ1535" s="19"/>
      <c r="AR1535" s="100"/>
      <c r="AS1535" s="93"/>
      <c r="AT1535" s="110" t="str">
        <f>$AT$1451</f>
        <v>1.14</v>
      </c>
      <c r="AU1535" t="str">
        <f>$Q$1429</f>
        <v>L2</v>
      </c>
      <c r="AV1535">
        <f>$E$21</f>
        <v>10.6875</v>
      </c>
      <c r="AW1535" cm="1">
        <f t="array" ref="AW1535">IFERROR(IF(AV1535=0,0,(INDEX($C$33:$C$38,MATCH($AZ$1451,$B$33:$B$38,0),0)*(AV1539+$BA$1451)+$AW$1451*COUNTIF(AV1535:AV1551,"&gt;0")*$C$32+$AY$1451*$C$31)*$AU$1451),0)</f>
        <v>0</v>
      </c>
      <c r="AX1535">
        <f>IF(AV1535=0,0,-(COUNTIF(AV1535:AV1551,"&gt;0")*$AW$1451*$C$32+$AY$1451*$C$31)*$H$27*$AU$1451)</f>
        <v>0</v>
      </c>
      <c r="AY1535">
        <f>IF(AV1535=0,0,$AY$1451*$H$26*$AU$1451)</f>
        <v>0</v>
      </c>
      <c r="AZ1535">
        <f>(0.6*AW1535+0.7*AX1535)*$AU$1451/2</f>
        <v>0</v>
      </c>
      <c r="BA1535">
        <f>(0.6*AW1535+0.6*AY1535)*$AU$1451/2</f>
        <v>0</v>
      </c>
      <c r="BC1535">
        <f>IF(AV1535=0,0,$BG$1451*$AP$1429)</f>
        <v>0</v>
      </c>
      <c r="BD1535">
        <f>IFERROR(BC1535/$AU$1451,0)</f>
        <v>0</v>
      </c>
      <c r="BE1535">
        <f>BC1535*($F$21+IF($F$21=0,0,($C$14+$C$15+IF($C$13="single",1.5,3)+3)/12))</f>
        <v>0</v>
      </c>
      <c r="BF1535">
        <f>BE1535-AZ1535</f>
        <v>0</v>
      </c>
      <c r="BG1535" cm="1">
        <f t="array" ref="BG1535">IFERROR(IF(BF1535&lt;0,0,BF1535/($AU$1451-INDEX(hd_off,MATCH(BT1535,hd_mark,0),0)/12)),0)</f>
        <v>0</v>
      </c>
      <c r="BH1535">
        <f>IF(AV1535=0,0,$BG$1451*$AM$1429)</f>
        <v>0</v>
      </c>
      <c r="BI1535">
        <f>IFERROR(BH1535/$AU$1451,0)</f>
        <v>0</v>
      </c>
      <c r="BJ1535">
        <f>BH1535*($F$21+IF($F$21=0,0,($C$14+$C$15+IF($C$13="single",1.5,3)+3)/12))</f>
        <v>0</v>
      </c>
      <c r="BK1535">
        <f>BJ1535-BA1535</f>
        <v>0</v>
      </c>
      <c r="BL1535" cm="1">
        <f t="array" ref="BL1535">IFERROR(IF(BK1535&lt;0,0,BK1535/($AU$1451-INDEX(hd_off,MATCH(BT1535,hd_mark,0),0)/12)),0)</f>
        <v>0</v>
      </c>
      <c r="BM1535">
        <f>MAX($F$21,$BB$1451)/$Q$1460</f>
        <v>0.30172413793103448</v>
      </c>
      <c r="BN1535">
        <f>IF(BM1535=0,0,IF(BM1535&gt;2,1.25-0.125*BM1535,1))</f>
        <v>1</v>
      </c>
      <c r="BO1535" cm="1">
        <f t="array" ref="BO1535">IFERROR(INDEX(sheath_ecap_asd,MATCH(BS1535,sheath_mark,0),0)*BN1535,0)</f>
        <v>0</v>
      </c>
      <c r="BP1535" cm="1">
        <f t="array" ref="BP1535">IFERROR(INDEX(sheath_wcap_asd,MATCH(BS1535,sheath_mark,0),0)*BN1535,0)</f>
        <v>0</v>
      </c>
      <c r="BQ1535" cm="1">
        <f t="array" ref="BQ1535">IFERROR(INDEX(hd_cap,MATCH(BT1535,hd_mark,0),0),0)</f>
        <v>0</v>
      </c>
      <c r="BS1535" s="19"/>
      <c r="BT1535" s="19"/>
      <c r="BU1535" s="100"/>
    </row>
    <row r="1536" x14ac:dyDescent="0.25">
      <c r="P1536" s="93"/>
      <c r="Q1536" s="109"/>
      <c r="R1536" t="str">
        <f>$Q$1430</f>
        <v>L3</v>
      </c>
      <c r="S1536">
        <f>$E$22</f>
        <v>21.375</v>
      </c>
      <c r="T1536" cm="1">
        <f t="array" ref="T1536">IFERROR(IF(S1536=0,0,(INDEX($C$33:$C$38,MATCH($W$1451,$B$33:$B$38,0),0)*(S1539+$X$1451)+$T$1451*COUNTIF(S1536:S1551,"&gt;0")*$C$32+$V$1451*$C$31)*$R$1451),0)</f>
        <v>0</v>
      </c>
      <c r="U1536">
        <f>IF(S1536=0,0,-(COUNTIF(S1536:S1551,"&gt;0")*$T$1451*$C$32+$V$1451*$C$31)*$H$27*$R$1451)</f>
        <v>0</v>
      </c>
      <c r="V1536">
        <f>IF(S1536=0,0,$V$1451*$H$26*$R$1451)</f>
        <v>0</v>
      </c>
      <c r="W1536">
        <f>(0.6*T1536+0.7*U1536)*$R$1451/2</f>
        <v>0</v>
      </c>
      <c r="X1536">
        <f>T1536*$R$1451/2</f>
        <v>0</v>
      </c>
      <c r="Z1536">
        <f>IF(S1536=0,0,$AD$1451*$AP$1430)</f>
        <v>0</v>
      </c>
      <c r="AA1536">
        <f>IFERROR(Z1536/$R$1451,0)</f>
        <v>0</v>
      </c>
      <c r="AB1536">
        <f>Z1536*($F$22+IF($F$22=0,0,($C$14+$C$15+IF($C$13="single",1.5,3)+3)/12))</f>
        <v>0</v>
      </c>
      <c r="AC1536">
        <f>AB1536-W1536</f>
        <v>0</v>
      </c>
      <c r="AD1536" cm="1">
        <f t="array" ref="AD1536">IFERROR(IF(AC1536&lt;0,0,AC1536/($R$1451-INDEX(hd_off,MATCH(AQ1536,hd_mark,0),0)/12)),0)</f>
        <v>0</v>
      </c>
      <c r="AE1536">
        <f>IF(S1536=0,0,$AD$1451*$AM$1430)</f>
        <v>0</v>
      </c>
      <c r="AF1536">
        <f>IFERROR(AE1536/$R$1451,0)</f>
        <v>0</v>
      </c>
      <c r="AG1536">
        <f>AE1536*($F$22+IF($F$22=0,0,($C$14+$C$15+IF($C$13="single",1.5,3)+3)/12))</f>
        <v>0</v>
      </c>
      <c r="AH1536">
        <f>AG1536-X1536</f>
        <v>0</v>
      </c>
      <c r="AI1536" cm="1">
        <f t="array" ref="AI1536">IFERROR(IF(AH1536&lt;0,0,AH1536/($R$1451-INDEX(hd_off,MATCH(AQ1536,hd_mark,0),0)/12)),0)</f>
        <v>0</v>
      </c>
      <c r="AJ1536">
        <f>MAX($F$22,$Z$1451)/$Q$1460</f>
        <v>0.30172413793103448</v>
      </c>
      <c r="AK1536">
        <f t="shared" ref="AK1536:AK1539" si="941">IF(AJ1536=0,0,IF(AJ1536&gt;2,1.25-0.125*AJ1536,1))</f>
        <v>1</v>
      </c>
      <c r="AL1536" cm="1">
        <f t="array" ref="AL1536">IFERROR(INDEX(sheath_ecap_asd,MATCH(AP1536,sheath_mark,0),0)*AK1536,0)</f>
        <v>0</v>
      </c>
      <c r="AM1536" cm="1">
        <f t="array" ref="AM1536">IFERROR(INDEX(sheath_wcap_asd,MATCH(AP1536,sheath_mark,0),0)*AK1536,0)</f>
        <v>0</v>
      </c>
      <c r="AN1536" cm="1">
        <f t="array" ref="AN1536">IFERROR(INDEX(hd_cap,MATCH(AQ1536,hd_mark,0),0),0)</f>
        <v>0</v>
      </c>
      <c r="AP1536" s="19"/>
      <c r="AQ1536" s="19"/>
      <c r="AR1536" s="100"/>
      <c r="AS1536" s="93"/>
      <c r="AT1536" s="109"/>
      <c r="AU1536" t="str">
        <f>$Q$1430</f>
        <v>L3</v>
      </c>
      <c r="AV1536">
        <f>$E$22</f>
        <v>21.375</v>
      </c>
      <c r="AW1536" cm="1">
        <f t="array" ref="AW1536">IFERROR(IF(AV1536=0,0,(INDEX($C$33:$C$38,MATCH($AZ$1451,$B$33:$B$38,0),0)*(AV1539+$BA$1451)+$AW$1451*COUNTIF(AV1536:AV1551,"&gt;0")*$C$32+$AY$1451*$C$31)*$AU$1451),0)</f>
        <v>0</v>
      </c>
      <c r="AX1536">
        <f>IF(AV1536=0,0,-(COUNTIF(AV1536:AV1551,"&gt;0")*$AW$1451*$C$32+$AY$1451*$C$31)*$H$27*$AU$1451)</f>
        <v>0</v>
      </c>
      <c r="AY1536">
        <f>IF(AV1536=0,0,$AY$1451*$H$26*$AU$1451)</f>
        <v>0</v>
      </c>
      <c r="AZ1536">
        <f>(0.6*AW1536+0.7*AX1536)*$AU$1451/2</f>
        <v>0</v>
      </c>
      <c r="BA1536">
        <f>AW1536*$AU$1451/2</f>
        <v>0</v>
      </c>
      <c r="BC1536">
        <f>IF(AV1536=0,0,$BG$1451*$AP$1430)</f>
        <v>0</v>
      </c>
      <c r="BD1536">
        <f>IFERROR(BC1536/$AU$1451,0)</f>
        <v>0</v>
      </c>
      <c r="BE1536">
        <f>BC1536*($F$22+IF($F$22=0,0,($C$14+$C$15+IF($C$13="single",1.5,3)+3)/12))</f>
        <v>0</v>
      </c>
      <c r="BF1536">
        <f>BE1536-AZ1536</f>
        <v>0</v>
      </c>
      <c r="BG1536" cm="1">
        <f t="array" ref="BG1536">IFERROR(IF(BF1536&lt;0,0,BF1536/($AU$1451-INDEX(hd_off,MATCH(BT1536,hd_mark,0),0)/12)),0)</f>
        <v>0</v>
      </c>
      <c r="BH1536">
        <f>IF(AV1536=0,0,$BG$1451*$AM$1430)</f>
        <v>0</v>
      </c>
      <c r="BI1536">
        <f>IFERROR(BH1536/$AU$1451,0)</f>
        <v>0</v>
      </c>
      <c r="BJ1536">
        <f>BH1536*($F$22+IF($F$22=0,0,($C$14+$C$15+IF($C$13="single",1.5,3)+3)/12))</f>
        <v>0</v>
      </c>
      <c r="BK1536">
        <f>BJ1536-BA1536</f>
        <v>0</v>
      </c>
      <c r="BL1536" cm="1">
        <f t="array" ref="BL1536">IFERROR(IF(BK1536&lt;0,0,BK1536/($AU$1451-INDEX(hd_off,MATCH(BT1536,hd_mark,0),0)/12)),0)</f>
        <v>0</v>
      </c>
      <c r="BM1536">
        <f>MAX($F$22,$BC$1451)/$Q$1460</f>
        <v>0.30172413793103448</v>
      </c>
      <c r="BN1536">
        <f t="shared" ref="BN1536:BN1537" si="942">IF(BM1536=0,0,IF(BM1536&gt;2,1.25-0.125*BM1536,1))</f>
        <v>1</v>
      </c>
      <c r="BO1536" cm="1">
        <f t="array" ref="BO1536">IFERROR(INDEX(sheath_ecap_asd,MATCH(BS1536,sheath_mark,0),0)*BN1536,0)</f>
        <v>0</v>
      </c>
      <c r="BP1536" cm="1">
        <f t="array" ref="BP1536">IFERROR(INDEX(sheath_wcap_asd,MATCH(BS1536,sheath_mark,0),0)*BN1536,0)</f>
        <v>0</v>
      </c>
      <c r="BQ1536" cm="1">
        <f t="array" ref="BQ1536">IFERROR(INDEX(hd_cap,MATCH(BT1536,hd_mark,0),0),0)</f>
        <v>0</v>
      </c>
      <c r="BS1536" s="19"/>
      <c r="BT1536" s="19"/>
      <c r="BU1536" s="100"/>
    </row>
    <row r="1537" x14ac:dyDescent="0.25">
      <c r="P1537" s="93"/>
      <c r="Q1537" s="109" t="s">
        <v>491</v>
      </c>
      <c r="R1537" t="str">
        <f>$Q$1431</f>
        <v>L4</v>
      </c>
      <c r="S1537">
        <f>$E$23</f>
        <v>0</v>
      </c>
      <c r="T1537" cm="1">
        <f t="array" ref="T1537">IFERROR(IF(S1537=0,0,(INDEX($C$33:$C$38,MATCH($W$1451,$B$33:$B$38,0),0)*(S1539+$X$1451)+$T$1451*COUNTIF(S1537:S1551,"&gt;0")*$C$32+$V$1451*$C$31)*$R$1451),0)</f>
        <v>0</v>
      </c>
      <c r="U1537">
        <f>IF(S1537=0,0,-(COUNTIF(S1537:S1551,"&gt;0")*$T$1451*$C$32+$V$1451*$C$31)*$H$27*$R$1451)</f>
        <v>0</v>
      </c>
      <c r="V1537">
        <f>IF(S1537=0,0,$V$1451*$H$26*$R$1451)</f>
        <v>0</v>
      </c>
      <c r="W1537">
        <f>(0.6*T1537+0.7*U1537)*$R$1451/2</f>
        <v>0</v>
      </c>
      <c r="X1537">
        <f>T1537*$R$1451/2</f>
        <v>0</v>
      </c>
      <c r="Z1537">
        <f>IF(S1537=0,0,$AD$1451*$AP$1431)</f>
        <v>0</v>
      </c>
      <c r="AA1537">
        <f>IFERROR(Z1537/$R$1451,0)</f>
        <v>0</v>
      </c>
      <c r="AB1537">
        <f>Z1537*($F$23+IF($F$23=0,0,($C$14+$C$15+IF($C$13="single",1.5,3)+3)/12))</f>
        <v>0</v>
      </c>
      <c r="AC1537">
        <f>AB1537-W1537</f>
        <v>0</v>
      </c>
      <c r="AD1537" cm="1">
        <f t="array" ref="AD1537">IFERROR(IF(AC1537&lt;0,0,AC1537/($R$1451-INDEX(hd_off,MATCH(AQ1537,hd_mark,0),0)/12)),0)</f>
        <v>0</v>
      </c>
      <c r="AE1537">
        <f>IF(S1537=0,0,$AD$1451*$AM$1431)</f>
        <v>0</v>
      </c>
      <c r="AF1537">
        <f>IFERROR(AE1537/$R$1451,0)</f>
        <v>0</v>
      </c>
      <c r="AG1537">
        <f>AE1537*($F$23+IF($F$23=0,0,($C$14+$C$15+IF($C$13="single",1.5,3)+3)/12))</f>
        <v>0</v>
      </c>
      <c r="AH1537">
        <f>AG1537-X1537</f>
        <v>0</v>
      </c>
      <c r="AI1537" cm="1">
        <f t="array" ref="AI1537">IFERROR(IF(AH1537&lt;0,0,AH1537/($R$1451-INDEX(hd_off,MATCH(AQ1537,hd_mark,0),0)/12)),0)</f>
        <v>0</v>
      </c>
      <c r="AJ1537">
        <f>MAX($F$23,$AA$1451)/$Q$1460</f>
        <v>0</v>
      </c>
      <c r="AK1537">
        <f t="shared" si="941"/>
        <v>0</v>
      </c>
      <c r="AL1537" cm="1">
        <f t="array" ref="AL1537">IFERROR(INDEX(sheath_ecap_asd,MATCH(AP1537,sheath_mark,0),0)*AK1537,0)</f>
        <v>0</v>
      </c>
      <c r="AM1537" cm="1">
        <f t="array" ref="AM1537">IFERROR(INDEX(sheath_wcap_asd,MATCH(AP1537,sheath_mark,0),0)*AK1537,0)</f>
        <v>0</v>
      </c>
      <c r="AN1537" cm="1">
        <f t="array" ref="AN1537">IFERROR(INDEX(hd_cap,MATCH(AQ1537,hd_mark,0),0),0)</f>
        <v>0</v>
      </c>
      <c r="AP1537" s="19"/>
      <c r="AQ1537" s="19"/>
      <c r="AR1537" s="100"/>
      <c r="AS1537" s="93"/>
      <c r="AT1537" s="109" t="s">
        <v>491</v>
      </c>
      <c r="AU1537" t="str">
        <f>$Q$1431</f>
        <v>L4</v>
      </c>
      <c r="AV1537">
        <f>$E$23</f>
        <v>0</v>
      </c>
      <c r="AW1537" cm="1">
        <f t="array" ref="AW1537">IFERROR(IF(AV1537=0,0,(INDEX($C$33:$C$38,MATCH($AZ$1451,$B$33:$B$38,0),0)*(AV1539+$BA$1451)+$AW$1451*COUNTIF(AV1537:AV1551,"&gt;0")*$C$32+$AY$1451*$C$31)*$AU$1451),0)</f>
        <v>0</v>
      </c>
      <c r="AX1537">
        <f>IF(AV1537=0,0,-(COUNTIF(AV1537:AV1551,"&gt;0")*$AW$1451*$C$32+$AY$1451*$C$31)*$H$27*$AU$1451)</f>
        <v>0</v>
      </c>
      <c r="AY1537">
        <f>IF(AV1537=0,0,$AY$1451*$H$26*$AU$1451)</f>
        <v>0</v>
      </c>
      <c r="AZ1537">
        <f>(0.6*AW1537+0.7*AX1537)*$AU$1451/2</f>
        <v>0</v>
      </c>
      <c r="BA1537">
        <f>AW1537*$AU$1451/2</f>
        <v>0</v>
      </c>
      <c r="BC1537">
        <f>IF(AV1537=0,0,$BG$1451*$AP$1431)</f>
        <v>0</v>
      </c>
      <c r="BD1537">
        <f>IFERROR(BC1537/$AU$1451,0)</f>
        <v>0</v>
      </c>
      <c r="BE1537">
        <f>BC1537*($F$23+IF($F$23=0,0,($C$14+$C$15+IF($C$13="single",1.5,3)+3)/12))</f>
        <v>0</v>
      </c>
      <c r="BF1537">
        <f>BE1537-AZ1537</f>
        <v>0</v>
      </c>
      <c r="BG1537" cm="1">
        <f t="array" ref="BG1537">IFERROR(IF(BF1537&lt;0,0,BF1537/($AU$1451-INDEX(hd_off,MATCH(BT1537,hd_mark,0),0)/12)),0)</f>
        <v>0</v>
      </c>
      <c r="BH1537">
        <f>IF(AV1537=0,0,$BG$1451*$AM$1431)</f>
        <v>0</v>
      </c>
      <c r="BI1537">
        <f>IFERROR(BH1537/$AU$1451,0)</f>
        <v>0</v>
      </c>
      <c r="BJ1537">
        <f>BH1537*($F$23+IF($F$23=0,0,($C$14+$C$15+IF($C$13="single",1.5,3)+3)/12))</f>
        <v>0</v>
      </c>
      <c r="BK1537">
        <f>BJ1537-BA1537</f>
        <v>0</v>
      </c>
      <c r="BL1537" cm="1">
        <f t="array" ref="BL1537">IFERROR(IF(BK1537&lt;0,0,BK1537/($AU$1451-INDEX(hd_off,MATCH(BT1537,hd_mark,0),0)/12)),0)</f>
        <v>0</v>
      </c>
      <c r="BM1537">
        <f>MAX($F$23,$BD$1451)/$Q$1460</f>
        <v>0</v>
      </c>
      <c r="BN1537">
        <f t="shared" si="942"/>
        <v>0</v>
      </c>
      <c r="BO1537" cm="1">
        <f t="array" ref="BO1537">IFERROR(INDEX(sheath_ecap_asd,MATCH(BS1537,sheath_mark,0),0)*BN1537,0)</f>
        <v>0</v>
      </c>
      <c r="BP1537" cm="1">
        <f t="array" ref="BP1537">IFERROR(INDEX(sheath_wcap_asd,MATCH(BS1537,sheath_mark,0),0)*BN1537,0)</f>
        <v>0</v>
      </c>
      <c r="BQ1537" cm="1">
        <f t="array" ref="BQ1537">IFERROR(INDEX(hd_cap,MATCH(BT1537,hd_mark,0),0),0)</f>
        <v>0</v>
      </c>
      <c r="BS1537" s="19"/>
      <c r="BT1537" s="19"/>
      <c r="BU1537" s="100"/>
    </row>
    <row r="1538" x14ac:dyDescent="0.25">
      <c r="P1538" s="93"/>
      <c r="Q1538" s="111">
        <f>$R$1451</f>
        <v>0</v>
      </c>
      <c r="R1538" t="str">
        <f>$Q$1432</f>
        <v>L5</v>
      </c>
      <c r="S1538">
        <f>$E$24</f>
        <v>0</v>
      </c>
      <c r="T1538" cm="1">
        <f t="array" ref="T1538">IFERROR(IF(S1551=0,0,(INDEX($C$33:$C$38,MATCH($W$1451,$B$33:$B$38,0),0)*(S1539+$X$1451)+$T$1451*COUNTIF(S1551:S1551,"&gt;0")*$C$32+$V$1451*$C$31)*$R$1451),0)</f>
        <v>0</v>
      </c>
      <c r="U1538">
        <f>IF(S1551=0,0,-(COUNTIF(S1551:S1551,"&gt;0")*$T$1451*$C$32+$V$1451*$C$31)*$H$27*$R$1451)</f>
        <v>0</v>
      </c>
      <c r="V1538">
        <f>IF(S1551=0,0,$V$1451*$H$26*$R$1451)</f>
        <v>0</v>
      </c>
      <c r="W1538">
        <f>(0.6*T1551+0.7*U1551)*$R$1451/2</f>
        <v>0</v>
      </c>
      <c r="X1538">
        <f>T1551*$R$1451/2</f>
        <v>0</v>
      </c>
      <c r="Z1538">
        <f>IF(S1551=0,0,$AD$1451*$AP$1432)</f>
        <v>0</v>
      </c>
      <c r="AA1538">
        <f>IFERROR(Z1551/$R$1451,0)</f>
        <v>0</v>
      </c>
      <c r="AB1538">
        <f>Z1551*($F$24+IF($F$24=0,0,($C$14+$C$15+IF($C$13="single",1.5,3)+3)/12))</f>
        <v>0</v>
      </c>
      <c r="AC1538">
        <f>AB1551-W1551</f>
        <v>0</v>
      </c>
      <c r="AD1538" cm="1">
        <f t="array" ref="AD1538">IFERROR(IF(AC1551&lt;0,0,AC1551/($R$1451-INDEX(hd_off,MATCH(AQ1551,hd_mark,0),0)/12)),0)</f>
        <v>0</v>
      </c>
      <c r="AE1538">
        <f>IF(S1551=0,0,$AD$1451*$AM$1432)</f>
        <v>0</v>
      </c>
      <c r="AF1538">
        <f>IFERROR(AE1551/$R$1451,0)</f>
        <v>0</v>
      </c>
      <c r="AG1538">
        <f>AE1551*($F$24+IF($F$24=0,0,($C$14+$C$15+IF($C$13="single",1.5,3)+3)/12))</f>
        <v>0</v>
      </c>
      <c r="AH1538">
        <f>AG1551-X1551</f>
        <v>0</v>
      </c>
      <c r="AI1538" cm="1">
        <f t="array" ref="AI1538">IFERROR(IF(AH1551&lt;0,0,AH1551/($R$1451-INDEX(hd_off,MATCH(AQ1551,hd_mark,0),0)/12)),0)</f>
        <v>0</v>
      </c>
      <c r="AJ1538">
        <f>MAX($F$24,$AB$1451)/$Q$1460</f>
        <v>0</v>
      </c>
      <c r="AK1538">
        <f>IF(AJ1551=0,0,IF(AJ1551&gt;2,1.25-0.125*AJ1551,1))</f>
        <v>1</v>
      </c>
      <c r="AL1538" cm="1">
        <f t="array" ref="AL1538">IFERROR(INDEX(sheath_ecap_asd,MATCH(AP1551,sheath_mark,0),0)*AK1551,0)</f>
        <v>0</v>
      </c>
      <c r="AM1538" cm="1">
        <f t="array" ref="AM1538">IFERROR(INDEX(sheath_wcap_asd,MATCH(AP1551,sheath_mark,0),0)*AK1551,0)</f>
        <v>0</v>
      </c>
      <c r="AN1538" cm="1">
        <f t="array" ref="AN1538">IFERROR(INDEX(hd_cap,MATCH(AQ1551,hd_mark,0),0),0)</f>
        <v>0</v>
      </c>
      <c r="AP1538" s="19"/>
      <c r="AQ1538" s="19"/>
      <c r="AR1538" s="100"/>
      <c r="AS1538" s="93"/>
      <c r="AT1538" s="111">
        <f>$R$1451</f>
        <v>0</v>
      </c>
      <c r="AU1538" t="str">
        <f>$Q$1432</f>
        <v>L5</v>
      </c>
      <c r="AV1538">
        <f>$E$24</f>
        <v>0</v>
      </c>
      <c r="AW1538" cm="1">
        <f t="array" ref="AW1538">IFERROR(IF(AV1551=0,0,(INDEX($C$33:$C$38,MATCH($AZ$1451,$B$33:$B$38,0),0)*(AV1539+$BA$1451)+$AW$1451*COUNTIF(AV1551:AV1551,"&gt;0")*$C$32+$AY$1451*$C$31)*$AU$1451),0)</f>
        <v>0</v>
      </c>
      <c r="AX1538">
        <f>IF(AV1551=0,0,-(COUNTIF(AV1551:AV1551,"&gt;0")*$AW$1451*$C$32+$AY$1451*$C$31)*$H$27*$AU$1451)</f>
        <v>0</v>
      </c>
      <c r="AY1538">
        <f>IF(AV1551=0,0,$AY$1451*$H$26*$AU$1451)</f>
        <v>0</v>
      </c>
      <c r="AZ1538">
        <f>(0.6*AW1551+0.7*AX1551)*$AU$1451/2</f>
        <v>0</v>
      </c>
      <c r="BA1538">
        <f>AW1551*$AU$1451/2</f>
        <v>0</v>
      </c>
      <c r="BC1538">
        <f>IF(AV1551=0,0,$BG$1451*$AP$1432)</f>
        <v>0</v>
      </c>
      <c r="BD1538">
        <f>IFERROR(BC1551/$AU$1451,0)</f>
        <v>0</v>
      </c>
      <c r="BE1538">
        <f>BC1551*($F$24+IF($F$24=0,0,($C$14+$C$15+IF($C$13="single",1.5,3)+3)/12))</f>
        <v>0</v>
      </c>
      <c r="BF1538">
        <f>BE1551-AZ1551</f>
        <v>0</v>
      </c>
      <c r="BG1538" cm="1">
        <f t="array" ref="BG1538">IFERROR(IF(BF1551&lt;0,0,BF1551/($AU$1451-INDEX(hd_off,MATCH(BT1551,hd_mark,0),0)/12)),0)</f>
        <v>0</v>
      </c>
      <c r="BH1538">
        <f>IF(AV1551=0,0,$BG$1451*$AM$1432)</f>
        <v>0</v>
      </c>
      <c r="BI1538">
        <f>IFERROR(BH1551/$AU$1451,0)</f>
        <v>0</v>
      </c>
      <c r="BJ1538">
        <f>BH1551*($F$24+IF($F$24=0,0,($C$14+$C$15+IF($C$13="single",1.5,3)+3)/12))</f>
        <v>0</v>
      </c>
      <c r="BK1538">
        <f>BJ1551-BA1551</f>
        <v>0</v>
      </c>
      <c r="BL1538" cm="1">
        <f t="array" ref="BL1538">IFERROR(IF(BK1551&lt;0,0,BK1551/($AU$1451-INDEX(hd_off,MATCH(BT1551,hd_mark,0),0)/12)),0)</f>
        <v>0</v>
      </c>
      <c r="BM1538">
        <f>MAX($F$24,$BE$1451)/$Q$1460</f>
        <v>0</v>
      </c>
      <c r="BN1538">
        <f>IF(BM1551=0,0,IF(BM1551&gt;2,1.25-0.125*BM1551,1))</f>
        <v>0</v>
      </c>
      <c r="BO1538" cm="1">
        <f t="array" ref="BO1538">IFERROR(INDEX(sheath_ecap_asd,MATCH(BS1551,sheath_mark,0),0)*BN1551,0)</f>
        <v>0</v>
      </c>
      <c r="BP1538" cm="1">
        <f t="array" ref="BP1538">IFERROR(INDEX(sheath_wcap_asd,MATCH(BS1551,sheath_mark,0),0)*BN1551,0)</f>
        <v>0</v>
      </c>
      <c r="BQ1538" cm="1">
        <f t="array" ref="BQ1538">IFERROR(INDEX(hd_cap,MATCH(BT1551,hd_mark,0),0),0)</f>
        <v>0</v>
      </c>
      <c r="BS1538" s="19"/>
      <c r="BT1538" s="19"/>
      <c r="BU1538" s="100"/>
    </row>
    <row r="1539" x14ac:dyDescent="0.25">
      <c r="P1539" s="93"/>
      <c r="Q1539" s="109"/>
      <c r="R1539" t="str">
        <f>$Q$1433</f>
        <v>Roof</v>
      </c>
      <c r="S1539">
        <f>$E$25</f>
        <v>33.171875</v>
      </c>
      <c r="T1539" cm="1">
        <f t="array" ref="T1539">IFERROR(IF(S1539=0,0,(INDEX($C$33:$C$38,MATCH($W$1451,$B$33:$B$38,0),0)*(S1539+$X$1451)+$V$1451*$C$31)*$R$1451),0)</f>
        <v>0</v>
      </c>
      <c r="U1539">
        <f>IF(S1539=0,0,-$V$1451*$C$31*$H$27*$R$1451)</f>
        <v>0</v>
      </c>
      <c r="V1539">
        <f>IF(S1539=0,0,$V$1451*$H$26*$R$1451)</f>
        <v>0</v>
      </c>
      <c r="W1539">
        <f>(0.6*T1539+0.7*U1539)*$R$1451/2</f>
        <v>0</v>
      </c>
      <c r="X1539">
        <f>T1539*$R$1451/2</f>
        <v>0</v>
      </c>
      <c r="Z1539">
        <f>IF(S1539=0,0,$AD$1451*$AP$1433)</f>
        <v>0</v>
      </c>
      <c r="AA1539">
        <f>IFERROR(Z1539/$R$1451,0)</f>
        <v>0</v>
      </c>
      <c r="AB1539">
        <f>Z1539*($F$25+($C$16+$C$17+IF($C$13="single",1.5,3)+3)/12)</f>
        <v>0</v>
      </c>
      <c r="AC1539">
        <f>AB1539-W1539</f>
        <v>0</v>
      </c>
      <c r="AD1539" cm="1">
        <f t="array" ref="AD1539">IFERROR(IF(AC1539&lt;0,0,AC1539/($R$1451-INDEX(hd_off,MATCH(AQ1539,hd_mark,0),0)/12)),0)</f>
        <v>0</v>
      </c>
      <c r="AE1539">
        <f>IF(S1539=0,0,$AD$1451*$AM$1433)</f>
        <v>0</v>
      </c>
      <c r="AF1539">
        <f>IFERROR(AE1539/$R$1451,0)</f>
        <v>0</v>
      </c>
      <c r="AG1539">
        <f>AE1539*($F$25+($C$16+$C$17+IF($C$13="single",1.5,3)+3)/12)</f>
        <v>0</v>
      </c>
      <c r="AH1539">
        <f>AG1539-X1539</f>
        <v>0</v>
      </c>
      <c r="AI1539" cm="1">
        <f t="array" ref="AI1539">IFERROR(IF(AH1539&lt;0,0,AH1539/($R$1451-INDEX(hd_off,MATCH(AQ1539,hd_mark,0),0)/12)),0)</f>
        <v>0</v>
      </c>
      <c r="AJ1539">
        <f>MAX($F$25,$AC$1451)/$Q$1460</f>
        <v>0.29920977011494249</v>
      </c>
      <c r="AK1539">
        <f t="shared" si="941"/>
        <v>1</v>
      </c>
      <c r="AL1539" cm="1">
        <f t="array" ref="AL1539">IFERROR(INDEX(sheath_ecap_asd,MATCH(AP1539,sheath_mark,0),0)*AK1539,0)</f>
        <v>0</v>
      </c>
      <c r="AM1539" cm="1">
        <f t="array" ref="AM1539">IFERROR(INDEX(sheath_wcap_asd,MATCH(AP1539,sheath_mark,0),0)*AK1539,0)</f>
        <v>0</v>
      </c>
      <c r="AN1539" cm="1">
        <f t="array" ref="AN1539">IFERROR(INDEX(hd_cap,MATCH(AQ1539,hd_mark,0),0),0)</f>
        <v>0</v>
      </c>
      <c r="AP1539" s="19"/>
      <c r="AQ1539" s="19"/>
      <c r="AR1539" s="100"/>
      <c r="AS1539" s="93"/>
      <c r="AT1539" s="109"/>
      <c r="AU1539" t="str">
        <f>$Q$1433</f>
        <v>Roof</v>
      </c>
      <c r="AV1539">
        <f>$E$25</f>
        <v>33.171875</v>
      </c>
      <c r="AW1539" cm="1">
        <f t="array" ref="AW1539">IFERROR(IF(AV1539=0,0,(INDEX($C$33:$C$38,MATCH($AZ$1451,$B$33:$B$38,0),0)*(AV1539+$BA$1451)+$AY$1451*$C$31)*$AU$1451),0)</f>
        <v>0</v>
      </c>
      <c r="AX1539">
        <f>IF(AV1539=0,0,-$AY$1451*$C$31*$H$27*$AU$1451)</f>
        <v>0</v>
      </c>
      <c r="AY1539">
        <f>IF(AV1539=0,0,$AY$1451*$H$26*$AU$1451)</f>
        <v>0</v>
      </c>
      <c r="AZ1539">
        <f>(0.6*AW1539+0.7*AX1539)*$AU$1451/2</f>
        <v>0</v>
      </c>
      <c r="BA1539">
        <f>AW1539*$AU$1451/2</f>
        <v>0</v>
      </c>
      <c r="BC1539">
        <f>IF(AV1539=0,0,$BG$1451*$AP$1433)</f>
        <v>0</v>
      </c>
      <c r="BD1539">
        <f>IFERROR(BC1539/$AU$1451,0)</f>
        <v>0</v>
      </c>
      <c r="BE1539">
        <f>BC1539*($F$25+($C$16+$C$17+IF($C$13="single",1.5,3)+3)/12)</f>
        <v>0</v>
      </c>
      <c r="BF1539">
        <f>BE1539-AZ1539</f>
        <v>0</v>
      </c>
      <c r="BG1539" cm="1">
        <f t="array" ref="BG1539">IFERROR(IF(BF1539&lt;0,0,BF1539/($AU$1451-INDEX(hd_off,MATCH(BT1539,hd_mark,0),0)/12)),0)</f>
        <v>0</v>
      </c>
      <c r="BH1539">
        <f>IF(AV1539=0,0,$BG$1451*$AM$1433)</f>
        <v>0</v>
      </c>
      <c r="BI1539">
        <f>IFERROR(BH1539/$AU$1451,0)</f>
        <v>0</v>
      </c>
      <c r="BJ1539">
        <f>BH1539*($F$25+($C$16+$C$17+IF($C$13="single",1.5,3)+3)/12)</f>
        <v>0</v>
      </c>
      <c r="BK1539">
        <f>BJ1539-BA1539</f>
        <v>0</v>
      </c>
      <c r="BL1539" cm="1">
        <f t="array" ref="BL1539">IFERROR(IF(BK1539&lt;0,0,BK1539/($AU$1451-INDEX(hd_off,MATCH(BT1539,hd_mark,0),0)/12)),0)</f>
        <v>0</v>
      </c>
      <c r="BM1539">
        <f>MAX($F$25,$BF$1451)/$Q$1460</f>
        <v>0.29920977011494249</v>
      </c>
      <c r="BN1539">
        <f t="shared" ref="BN1539" si="943">IF(BM1539=0,0,IF(BM1539&gt;2,1.25-0.125*BM1539,1))</f>
        <v>1</v>
      </c>
      <c r="BO1539" cm="1">
        <f t="array" ref="BO1539">IFERROR(INDEX(sheath_ecap_asd,MATCH(BS1539,sheath_mark,0),0)*BN1539,0)</f>
        <v>0</v>
      </c>
      <c r="BP1539" cm="1">
        <f t="array" ref="BP1539">IFERROR(INDEX(sheath_wcap_asd,MATCH(BS1539,sheath_mark,0),0)*BN1539,0)</f>
        <v>0</v>
      </c>
      <c r="BQ1539" cm="1">
        <f t="array" ref="BQ1539">IFERROR(INDEX(hd_cap,MATCH(BT1539,hd_mark,0),0),0)</f>
        <v>0</v>
      </c>
      <c r="BS1539" s="19"/>
      <c r="BT1539" s="19"/>
      <c r="BU1539" s="100"/>
    </row>
    <row r="1540" x14ac:dyDescent="0.25">
      <c r="P1540" s="93"/>
      <c r="AR1540" s="100"/>
      <c r="AS1540" s="93"/>
      <c r="BU1540" s="100"/>
    </row>
    <row r="1541" x14ac:dyDescent="0.25">
      <c r="P1541" s="93"/>
      <c r="Q1541" s="110" t="str">
        <f>$Q$1452</f>
        <v>A.15</v>
      </c>
      <c r="R1541" t="str">
        <f>$Q$1429</f>
        <v>L2</v>
      </c>
      <c r="S1541">
        <f>$E$21</f>
        <v>10.6875</v>
      </c>
      <c r="T1541" cm="1">
        <f t="array" ref="T1541">IFERROR(IF(S1541=0,0,(INDEX($C$33:$C$38,MATCH($W$1452,$B$33:$B$38,0),0)*(S1545+$X$1452)+$T$1452*COUNTIF(S1541:S1544,"&gt;0")*$C$32+$V$1452*$C$31)*$R$1452),0)</f>
        <v>0</v>
      </c>
      <c r="U1541">
        <f>IF(S1541=0,0,-(COUNTIF(S1541:S1544,"&gt;0")*$T$1452*$C$32+$V$1452*$C$31)*$H$27*$R$1452)</f>
        <v>0</v>
      </c>
      <c r="V1541">
        <f>IF(S1541=0,0,$V$1452*$H$26*$R$1452)</f>
        <v>0</v>
      </c>
      <c r="W1541">
        <f>(0.6*T1541+0.7*U1541)*$R$1452/2</f>
        <v>0</v>
      </c>
      <c r="X1541">
        <f>(0.6*T1541+0.6*V1541)*$R$1452/2</f>
        <v>0</v>
      </c>
      <c r="Z1541">
        <f>IF(S1541=0,0,$AD$1452*$AP$1429)</f>
        <v>0</v>
      </c>
      <c r="AA1541">
        <f>IFERROR(Z1541/$R$1452,0)</f>
        <v>0</v>
      </c>
      <c r="AB1541">
        <f>Z1541*($F$21+IF($F$21=0,0,($C$14+$C$15+IF($C$13="single",1.5,3)+3)/12))</f>
        <v>0</v>
      </c>
      <c r="AC1541">
        <f>AB1541-W1541</f>
        <v>0</v>
      </c>
      <c r="AD1541" cm="1">
        <f t="array" ref="AD1541">IFERROR(IF(AC1541&lt;0,0,AC1541/($R$1452-INDEX(hd_off,MATCH(AQ1541,hd_mark,0),0)/12)),0)</f>
        <v>0</v>
      </c>
      <c r="AE1541">
        <f>IF(S1541=0,0,$AD$1452*$AM$1429)</f>
        <v>0</v>
      </c>
      <c r="AF1541">
        <f>IFERROR(AE1541/$R$1452,0)</f>
        <v>0</v>
      </c>
      <c r="AG1541">
        <f>AE1541*($F$21+IF($F$21=0,0,($C$14+$C$15+IF($C$13="single",1.5,3)+3)/12))</f>
        <v>0</v>
      </c>
      <c r="AH1541">
        <f>AG1541-X1541</f>
        <v>0</v>
      </c>
      <c r="AI1541" cm="1">
        <f t="array" ref="AI1541">IFERROR(IF(AH1541&lt;0,0,AH1541/($R$1452-INDEX(hd_off,MATCH(AQ1541,hd_mark,0),0)/12)),0)</f>
        <v>0</v>
      </c>
      <c r="AJ1541">
        <f>MAX($F$21,$Y$1452)/$Q$1460</f>
        <v>0.30172413793103448</v>
      </c>
      <c r="AK1541">
        <f>IF(AJ1541=0,0,IF(AJ1541&gt;2,1.25-0.125*AJ1541,1))</f>
        <v>1</v>
      </c>
      <c r="AL1541" cm="1">
        <f t="array" ref="AL1541">IFERROR(INDEX(sheath_ecap_asd,MATCH(AP1541,sheath_mark,0),0)*AK1541,0)</f>
        <v>0</v>
      </c>
      <c r="AM1541" cm="1">
        <f t="array" ref="AM1541">IFERROR(INDEX(sheath_wcap_asd,MATCH(AP1541,sheath_mark,0),0)*AK1541,0)</f>
        <v>0</v>
      </c>
      <c r="AN1541" cm="1">
        <f t="array" ref="AN1541">IFERROR(INDEX(hd_cap,MATCH(AQ1541,hd_mark,0),0),0)</f>
        <v>0</v>
      </c>
      <c r="AP1541" s="19"/>
      <c r="AQ1541" s="19"/>
      <c r="AR1541" s="100"/>
      <c r="AS1541" s="93"/>
      <c r="AT1541" s="110" t="str">
        <f>$AT$1452</f>
        <v>1.15</v>
      </c>
      <c r="AU1541" t="str">
        <f>$Q$1429</f>
        <v>L2</v>
      </c>
      <c r="AV1541">
        <f>$E$21</f>
        <v>10.6875</v>
      </c>
      <c r="AW1541" cm="1">
        <f t="array" ref="AW1541">IFERROR(IF(AV1541=0,0,(INDEX($C$33:$C$38,MATCH($AZ$1452,$B$33:$B$38,0),0)*(AV1545+$BA$1452)+$AW$1452*COUNTIF(AV1541:AV1544,"&gt;0")*$C$32+$AY$1452*$C$31)*$AU$1452),0)</f>
        <v>0</v>
      </c>
      <c r="AX1541">
        <f>IF(AV1541=0,0,-(COUNTIF(AV1541:AV1544,"&gt;0")*$AW$1452*$C$32+$AY$1452*$C$31)*$H$27*$AU$1452)</f>
        <v>0</v>
      </c>
      <c r="AY1541">
        <f>IF(AV1541=0,0,$AY$1452*$H$26*$AU$1452)</f>
        <v>0</v>
      </c>
      <c r="AZ1541">
        <f>(0.6*AW1541+0.7*AX1541)*$AU$1452/2</f>
        <v>0</v>
      </c>
      <c r="BA1541">
        <f>(0.6*AW1541+0.6*AY1541)*$AU$1452/2</f>
        <v>0</v>
      </c>
      <c r="BC1541">
        <f>IF(AV1541=0,0,$BG$1452*$AP$1429)</f>
        <v>0</v>
      </c>
      <c r="BD1541">
        <f>IFERROR(BC1541/$AU$1452,0)</f>
        <v>0</v>
      </c>
      <c r="BE1541">
        <f>BC1541*($F$21+IF($F$21=0,0,($C$14+$C$15+IF($C$13="single",1.5,3)+3)/12))</f>
        <v>0</v>
      </c>
      <c r="BF1541">
        <f>BE1541-AZ1541</f>
        <v>0</v>
      </c>
      <c r="BG1541" cm="1">
        <f t="array" ref="BG1541">IFERROR(IF(BF1541&lt;0,0,BF1541/($AU$1452-INDEX(hd_off,MATCH(BT1541,hd_mark,0),0)/12)),0)</f>
        <v>0</v>
      </c>
      <c r="BH1541">
        <f>IF(AV1541=0,0,$BG$1452*$AM$1429)</f>
        <v>0</v>
      </c>
      <c r="BI1541">
        <f>IFERROR(BH1541/$AU$1452,0)</f>
        <v>0</v>
      </c>
      <c r="BJ1541">
        <f>BH1541*($F$21+IF($F$21=0,0,($C$14+$C$15+IF($C$13="single",1.5,3)+3)/12))</f>
        <v>0</v>
      </c>
      <c r="BK1541">
        <f>BJ1541-BA1541</f>
        <v>0</v>
      </c>
      <c r="BL1541" cm="1">
        <f t="array" ref="BL1541">IFERROR(IF(BK1541&lt;0,0,BK1541/($AU$1452-INDEX(hd_off,MATCH(BT1541,hd_mark,0),0)/12)),0)</f>
        <v>0</v>
      </c>
      <c r="BM1541">
        <f>MAX($F$21,$BB$1452)/$Q$1460</f>
        <v>0.30172413793103448</v>
      </c>
      <c r="BN1541">
        <f>IF(BM1541=0,0,IF(BM1541&gt;2,1.25-0.125*BM1541,1))</f>
        <v>1</v>
      </c>
      <c r="BO1541" cm="1">
        <f t="array" ref="BO1541">IFERROR(INDEX(sheath_ecap_asd,MATCH(BS1541,sheath_mark,0),0)*BN1541,0)</f>
        <v>0</v>
      </c>
      <c r="BP1541" cm="1">
        <f t="array" ref="BP1541">IFERROR(INDEX(sheath_wcap_asd,MATCH(BS1541,sheath_mark,0),0)*BN1541,0)</f>
        <v>0</v>
      </c>
      <c r="BQ1541" cm="1">
        <f t="array" ref="BQ1541">IFERROR(INDEX(hd_cap,MATCH(BT1541,hd_mark,0),0),0)</f>
        <v>0</v>
      </c>
      <c r="BS1541" s="19"/>
      <c r="BT1541" s="19"/>
      <c r="BU1541" s="100"/>
    </row>
    <row r="1542" x14ac:dyDescent="0.25">
      <c r="P1542" s="93"/>
      <c r="Q1542" s="109"/>
      <c r="R1542" t="str">
        <f>$Q$1430</f>
        <v>L3</v>
      </c>
      <c r="S1542">
        <f>$E$22</f>
        <v>21.375</v>
      </c>
      <c r="T1542" cm="1">
        <f t="array" ref="T1542">IFERROR(IF(S1542=0,0,(INDEX($C$33:$C$38,MATCH($W$1452,$B$33:$B$38,0),0)*(S1545+$X$1452)+$T$1452*COUNTIF(S1542:S1544,"&gt;0")*$C$32+$V$1452*$C$31)*$R$1452),0)</f>
        <v>0</v>
      </c>
      <c r="U1542">
        <f>IF(S1542=0,0,-(COUNTIF(S1542:S1544,"&gt;0")*$T$1452*$C$32+$V$1452*$C$31)*$H$27*$R$1452)</f>
        <v>0</v>
      </c>
      <c r="V1542">
        <f>IF(S1542=0,0,$V$1452*$H$26*$R$1452)</f>
        <v>0</v>
      </c>
      <c r="W1542">
        <f>(0.6*T1542+0.7*U1542)*$R$1452/2</f>
        <v>0</v>
      </c>
      <c r="X1542">
        <f>T1542*$R$1452/2</f>
        <v>0</v>
      </c>
      <c r="Z1542">
        <f>IF(S1542=0,0,$AD$1452*$AP$1430)</f>
        <v>0</v>
      </c>
      <c r="AA1542">
        <f>IFERROR(Z1542/$R$1452,0)</f>
        <v>0</v>
      </c>
      <c r="AB1542">
        <f>Z1542*($F$22+IF($F$22=0,0,($C$14+$C$15+IF($C$13="single",1.5,3)+3)/12))</f>
        <v>0</v>
      </c>
      <c r="AC1542">
        <f>AB1542-W1542</f>
        <v>0</v>
      </c>
      <c r="AD1542" cm="1">
        <f t="array" ref="AD1542">IFERROR(IF(AC1542&lt;0,0,AC1542/($R$1452-INDEX(hd_off,MATCH(AQ1542,hd_mark,0),0)/12)),0)</f>
        <v>0</v>
      </c>
      <c r="AE1542">
        <f>IF(S1542=0,0,$AD$1452*$AM$1430)</f>
        <v>0</v>
      </c>
      <c r="AF1542">
        <f>IFERROR(AE1542/$R$1452,0)</f>
        <v>0</v>
      </c>
      <c r="AG1542">
        <f>AE1542*($F$22+IF($F$22=0,0,($C$14+$C$15+IF($C$13="single",1.5,3)+3)/12))</f>
        <v>0</v>
      </c>
      <c r="AH1542">
        <f>AG1542-X1542</f>
        <v>0</v>
      </c>
      <c r="AI1542" cm="1">
        <f t="array" ref="AI1542">IFERROR(IF(AH1542&lt;0,0,AH1542/($R$1452-INDEX(hd_off,MATCH(AQ1542,hd_mark,0),0)/12)),0)</f>
        <v>0</v>
      </c>
      <c r="AJ1542">
        <f>MAX($F$22,$Z$1452)/$Q$1460</f>
        <v>0.30172413793103448</v>
      </c>
      <c r="AK1542">
        <f t="shared" ref="AK1542:AK1545" si="944">IF(AJ1542=0,0,IF(AJ1542&gt;2,1.25-0.125*AJ1542,1))</f>
        <v>1</v>
      </c>
      <c r="AL1542" cm="1">
        <f t="array" ref="AL1542">IFERROR(INDEX(sheath_ecap_asd,MATCH(AP1542,sheath_mark,0),0)*AK1542,0)</f>
        <v>0</v>
      </c>
      <c r="AM1542" cm="1">
        <f t="array" ref="AM1542">IFERROR(INDEX(sheath_wcap_asd,MATCH(AP1542,sheath_mark,0),0)*AK1542,0)</f>
        <v>0</v>
      </c>
      <c r="AN1542" cm="1">
        <f t="array" ref="AN1542">IFERROR(INDEX(hd_cap,MATCH(AQ1542,hd_mark,0),0),0)</f>
        <v>0</v>
      </c>
      <c r="AP1542" s="19"/>
      <c r="AQ1542" s="19"/>
      <c r="AR1542" s="100"/>
      <c r="AS1542" s="93"/>
      <c r="AT1542" s="109"/>
      <c r="AU1542" t="str">
        <f>$Q$1430</f>
        <v>L3</v>
      </c>
      <c r="AV1542">
        <f>$E$22</f>
        <v>21.375</v>
      </c>
      <c r="AW1542" cm="1">
        <f t="array" ref="AW1542">IFERROR(IF(AV1542=0,0,(INDEX($C$33:$C$38,MATCH($AZ$1452,$B$33:$B$38,0),0)*(AV1545+$BA$1452)+$AW$1452*COUNTIF(AV1542:AV1544,"&gt;0")*$C$32+$AY$1452*$C$31)*$AU$1452),0)</f>
        <v>0</v>
      </c>
      <c r="AX1542">
        <f>IF(AV1542=0,0,-(COUNTIF(AV1542:AV1544,"&gt;0")*$AW$1452*$C$32+$AY$1452*$C$31)*$H$27*$AU$1452)</f>
        <v>0</v>
      </c>
      <c r="AY1542">
        <f>IF(AV1542=0,0,$AY$1452*$H$26*$AU$1452)</f>
        <v>0</v>
      </c>
      <c r="AZ1542">
        <f>(0.6*AW1542+0.7*AX1542)*$AU$1452/2</f>
        <v>0</v>
      </c>
      <c r="BA1542">
        <f>AW1542*$AU$1452/2</f>
        <v>0</v>
      </c>
      <c r="BC1542">
        <f>IF(AV1542=0,0,$BG$1452*$AP$1430)</f>
        <v>0</v>
      </c>
      <c r="BD1542">
        <f>IFERROR(BC1542/$AU$1452,0)</f>
        <v>0</v>
      </c>
      <c r="BE1542">
        <f>BC1542*($F$22+IF($F$22=0,0,($C$14+$C$15+IF($C$13="single",1.5,3)+3)/12))</f>
        <v>0</v>
      </c>
      <c r="BF1542">
        <f>BE1542-AZ1542</f>
        <v>0</v>
      </c>
      <c r="BG1542" cm="1">
        <f t="array" ref="BG1542">IFERROR(IF(BF1542&lt;0,0,BF1542/($AU$1452-INDEX(hd_off,MATCH(BT1542,hd_mark,0),0)/12)),0)</f>
        <v>0</v>
      </c>
      <c r="BH1542">
        <f>IF(AV1542=0,0,$BG$1452*$AM$1430)</f>
        <v>0</v>
      </c>
      <c r="BI1542">
        <f>IFERROR(BH1542/$AU$1452,0)</f>
        <v>0</v>
      </c>
      <c r="BJ1542">
        <f>BH1542*($F$22+IF($F$22=0,0,($C$14+$C$15+IF($C$13="single",1.5,3)+3)/12))</f>
        <v>0</v>
      </c>
      <c r="BK1542">
        <f>BJ1542-BA1542</f>
        <v>0</v>
      </c>
      <c r="BL1542" cm="1">
        <f t="array" ref="BL1542">IFERROR(IF(BK1542&lt;0,0,BK1542/($AU$1452-INDEX(hd_off,MATCH(BT1542,hd_mark,0),0)/12)),0)</f>
        <v>0</v>
      </c>
      <c r="BM1542">
        <f>MAX($F$22,$BC$1452)/$Q$1460</f>
        <v>0.30172413793103448</v>
      </c>
      <c r="BN1542">
        <f t="shared" ref="BN1542:BN1545" si="945">IF(BM1542=0,0,IF(BM1542&gt;2,1.25-0.125*BM1542,1))</f>
        <v>1</v>
      </c>
      <c r="BO1542" cm="1">
        <f t="array" ref="BO1542">IFERROR(INDEX(sheath_ecap_asd,MATCH(BS1542,sheath_mark,0),0)*BN1542,0)</f>
        <v>0</v>
      </c>
      <c r="BP1542" cm="1">
        <f t="array" ref="BP1542">IFERROR(INDEX(sheath_wcap_asd,MATCH(BS1542,sheath_mark,0),0)*BN1542,0)</f>
        <v>0</v>
      </c>
      <c r="BQ1542" cm="1">
        <f t="array" ref="BQ1542">IFERROR(INDEX(hd_cap,MATCH(BT1542,hd_mark,0),0),0)</f>
        <v>0</v>
      </c>
      <c r="BS1542" s="19"/>
      <c r="BT1542" s="19"/>
      <c r="BU1542" s="100"/>
    </row>
    <row r="1543" x14ac:dyDescent="0.25">
      <c r="P1543" s="93"/>
      <c r="Q1543" s="109" t="s">
        <v>491</v>
      </c>
      <c r="R1543" t="str">
        <f>$Q$1431</f>
        <v>L4</v>
      </c>
      <c r="S1543">
        <f>$E$23</f>
        <v>0</v>
      </c>
      <c r="T1543" cm="1">
        <f t="array" ref="T1543">IFERROR(IF(S1543=0,0,(INDEX($C$33:$C$38,MATCH($W$1452,$B$33:$B$38,0),0)*(S1545+$X$1452)+$T$1452*COUNTIF(S1543:S1544,"&gt;0")*$C$32+$V$1452*$C$31)*$R$1452),0)</f>
        <v>0</v>
      </c>
      <c r="U1543">
        <f>IF(S1543=0,0,-(COUNTIF(S1543:S1544,"&gt;0")*$T$1452*$C$32+$V$1452*$C$31)*$H$27*$R$1452)</f>
        <v>0</v>
      </c>
      <c r="V1543">
        <f>IF(S1543=0,0,$V$1452*$H$26*$R$1452)</f>
        <v>0</v>
      </c>
      <c r="W1543">
        <f>(0.6*T1543+0.7*U1543)*$R$1452/2</f>
        <v>0</v>
      </c>
      <c r="X1543">
        <f>T1543*$R$1452/2</f>
        <v>0</v>
      </c>
      <c r="Z1543">
        <f>IF(S1543=0,0,$AD$1452*$AP$1431)</f>
        <v>0</v>
      </c>
      <c r="AA1543">
        <f>IFERROR(Z1543/$R$1452,0)</f>
        <v>0</v>
      </c>
      <c r="AB1543">
        <f>Z1543*($F$23+IF($F$23=0,0,($C$14+$C$15+IF($C$13="single",1.5,3)+3)/12))</f>
        <v>0</v>
      </c>
      <c r="AC1543">
        <f>AB1543-W1543</f>
        <v>0</v>
      </c>
      <c r="AD1543" cm="1">
        <f t="array" ref="AD1543">IFERROR(IF(AC1543&lt;0,0,AC1543/($R$1452-INDEX(hd_off,MATCH(AQ1543,hd_mark,0),0)/12)),0)</f>
        <v>0</v>
      </c>
      <c r="AE1543">
        <f>IF(S1543=0,0,$AD$1452*$AM$1431)</f>
        <v>0</v>
      </c>
      <c r="AF1543">
        <f>IFERROR(AE1543/$R$1452,0)</f>
        <v>0</v>
      </c>
      <c r="AG1543">
        <f>AE1543*($F$23+IF($F$23=0,0,($C$14+$C$15+IF($C$13="single",1.5,3)+3)/12))</f>
        <v>0</v>
      </c>
      <c r="AH1543">
        <f>AG1543-X1543</f>
        <v>0</v>
      </c>
      <c r="AI1543" cm="1">
        <f t="array" ref="AI1543">IFERROR(IF(AH1543&lt;0,0,AH1543/($R$1452-INDEX(hd_off,MATCH(AQ1543,hd_mark,0),0)/12)),0)</f>
        <v>0</v>
      </c>
      <c r="AJ1543">
        <f>MAX($F$23,$AA$1452)/$Q$1460</f>
        <v>0</v>
      </c>
      <c r="AK1543">
        <f t="shared" si="944"/>
        <v>0</v>
      </c>
      <c r="AL1543" cm="1">
        <f t="array" ref="AL1543">IFERROR(INDEX(sheath_ecap_asd,MATCH(AP1543,sheath_mark,0),0)*AK1543,0)</f>
        <v>0</v>
      </c>
      <c r="AM1543" cm="1">
        <f t="array" ref="AM1543">IFERROR(INDEX(sheath_wcap_asd,MATCH(AP1543,sheath_mark,0),0)*AK1543,0)</f>
        <v>0</v>
      </c>
      <c r="AN1543" cm="1">
        <f t="array" ref="AN1543">IFERROR(INDEX(hd_cap,MATCH(AQ1543,hd_mark,0),0),0)</f>
        <v>0</v>
      </c>
      <c r="AP1543" s="19"/>
      <c r="AQ1543" s="19"/>
      <c r="AR1543" s="100"/>
      <c r="AS1543" s="93"/>
      <c r="AT1543" s="109" t="s">
        <v>491</v>
      </c>
      <c r="AU1543" t="str">
        <f>$Q$1431</f>
        <v>L4</v>
      </c>
      <c r="AV1543">
        <f>$E$23</f>
        <v>0</v>
      </c>
      <c r="AW1543" cm="1">
        <f t="array" ref="AW1543">IFERROR(IF(AV1543=0,0,(INDEX($C$33:$C$38,MATCH($AZ$1452,$B$33:$B$38,0),0)*(AV1545+$BA$1452)+$AW$1452*COUNTIF(AV1543:AV1544,"&gt;0")*$C$32+$AY$1452*$C$31)*$AU$1452),0)</f>
        <v>0</v>
      </c>
      <c r="AX1543">
        <f>IF(AV1543=0,0,-(COUNTIF(AV1543:AV1544,"&gt;0")*$AW$1452*$C$32+$AY$1452*$C$31)*$H$27*$AU$1452)</f>
        <v>0</v>
      </c>
      <c r="AY1543">
        <f>IF(AV1543=0,0,$AY$1452*$H$26*$AU$1452)</f>
        <v>0</v>
      </c>
      <c r="AZ1543">
        <f>(0.6*AW1543+0.7*AX1543)*$AU$1452/2</f>
        <v>0</v>
      </c>
      <c r="BA1543">
        <f>AW1543*$AU$1452/2</f>
        <v>0</v>
      </c>
      <c r="BC1543">
        <f>IF(AV1543=0,0,$BG$1452*$AP$1431)</f>
        <v>0</v>
      </c>
      <c r="BD1543">
        <f>IFERROR(BC1543/$AU$1452,0)</f>
        <v>0</v>
      </c>
      <c r="BE1543">
        <f>BC1543*($F$23+IF($F$23=0,0,($C$14+$C$15+IF($C$13="single",1.5,3)+3)/12))</f>
        <v>0</v>
      </c>
      <c r="BF1543">
        <f>BE1543-AZ1543</f>
        <v>0</v>
      </c>
      <c r="BG1543" cm="1">
        <f t="array" ref="BG1543">IFERROR(IF(BF1543&lt;0,0,BF1543/($AU$1452-INDEX(hd_off,MATCH(BT1543,hd_mark,0),0)/12)),0)</f>
        <v>0</v>
      </c>
      <c r="BH1543">
        <f>IF(AV1543=0,0,$BG$1452*$AM$1431)</f>
        <v>0</v>
      </c>
      <c r="BI1543">
        <f>IFERROR(BH1543/$AU$1452,0)</f>
        <v>0</v>
      </c>
      <c r="BJ1543">
        <f>BH1543*($F$23+IF($F$23=0,0,($C$14+$C$15+IF($C$13="single",1.5,3)+3)/12))</f>
        <v>0</v>
      </c>
      <c r="BK1543">
        <f>BJ1543-BA1543</f>
        <v>0</v>
      </c>
      <c r="BL1543" cm="1">
        <f t="array" ref="BL1543">IFERROR(IF(BK1543&lt;0,0,BK1543/($AU$1452-INDEX(hd_off,MATCH(BT1543,hd_mark,0),0)/12)),0)</f>
        <v>0</v>
      </c>
      <c r="BM1543">
        <f>MAX($F$23,$BD$1452)/$Q$1460</f>
        <v>0</v>
      </c>
      <c r="BN1543">
        <f t="shared" si="945"/>
        <v>0</v>
      </c>
      <c r="BO1543" cm="1">
        <f t="array" ref="BO1543">IFERROR(INDEX(sheath_ecap_asd,MATCH(BS1543,sheath_mark,0),0)*BN1543,0)</f>
        <v>0</v>
      </c>
      <c r="BP1543" cm="1">
        <f t="array" ref="BP1543">IFERROR(INDEX(sheath_wcap_asd,MATCH(BS1543,sheath_mark,0),0)*BN1543,0)</f>
        <v>0</v>
      </c>
      <c r="BQ1543" cm="1">
        <f t="array" ref="BQ1543">IFERROR(INDEX(hd_cap,MATCH(BT1543,hd_mark,0),0),0)</f>
        <v>0</v>
      </c>
      <c r="BS1543" s="19"/>
      <c r="BT1543" s="19"/>
      <c r="BU1543" s="100"/>
    </row>
    <row r="1544" x14ac:dyDescent="0.25">
      <c r="P1544" s="93"/>
      <c r="Q1544" s="111">
        <f>$R$1452</f>
        <v>0</v>
      </c>
      <c r="R1544" t="str">
        <f>$Q$1432</f>
        <v>L5</v>
      </c>
      <c r="S1544">
        <f>$E$24</f>
        <v>0</v>
      </c>
      <c r="T1544" cm="1">
        <f t="array" ref="T1544">IFERROR(IF(S1544=0,0,(INDEX($C$33:$C$38,MATCH($W$1452,$B$33:$B$38,0),0)*(S1545+$X$1452)+$T$1452*COUNTIF(S1544:S1544,"&gt;0")*$C$32+$V$1452*$C$31)*$R$1452),0)</f>
        <v>0</v>
      </c>
      <c r="U1544">
        <f>IF(S1544=0,0,-(COUNTIF(S1544:S1544,"&gt;0")*$T$1452*$C$32+$V$1452*$C$31)*$H$27*$R$1452)</f>
        <v>0</v>
      </c>
      <c r="V1544">
        <f>IF(S1544=0,0,$V$1452*$H$26*$R$1452)</f>
        <v>0</v>
      </c>
      <c r="W1544">
        <f>(0.6*T1544+0.7*U1544)*$R$1452/2</f>
        <v>0</v>
      </c>
      <c r="X1544">
        <f>T1544*$R$1452/2</f>
        <v>0</v>
      </c>
      <c r="Z1544">
        <f>IF(S1544=0,0,$AD$1452*$AP$1432)</f>
        <v>0</v>
      </c>
      <c r="AA1544">
        <f>IFERROR(Z1544/$R$1452,0)</f>
        <v>0</v>
      </c>
      <c r="AB1544">
        <f>Z1544*($F$24+IF($F$24=0,0,($C$14+$C$15+IF($C$13="single",1.5,3)+3)/12))</f>
        <v>0</v>
      </c>
      <c r="AC1544">
        <f>AB1544-W1544</f>
        <v>0</v>
      </c>
      <c r="AD1544" cm="1">
        <f t="array" ref="AD1544">IFERROR(IF(AC1544&lt;0,0,AC1544/($R$1452-INDEX(hd_off,MATCH(AQ1544,hd_mark,0),0)/12)),0)</f>
        <v>0</v>
      </c>
      <c r="AE1544">
        <f>IF(S1544=0,0,$AD$1452*$AM$1432)</f>
        <v>0</v>
      </c>
      <c r="AF1544">
        <f>IFERROR(AE1544/$R$1452,0)</f>
        <v>0</v>
      </c>
      <c r="AG1544">
        <f>AE1544*($F$24+IF($F$24=0,0,($C$14+$C$15+IF($C$13="single",1.5,3)+3)/12))</f>
        <v>0</v>
      </c>
      <c r="AH1544">
        <f>AG1544-X1544</f>
        <v>0</v>
      </c>
      <c r="AI1544" cm="1">
        <f t="array" ref="AI1544">IFERROR(IF(AH1544&lt;0,0,AH1544/($R$1452-INDEX(hd_off,MATCH(AQ1544,hd_mark,0),0)/12)),0)</f>
        <v>0</v>
      </c>
      <c r="AJ1544">
        <f>MAX($F$24,$AB$1452)/$Q$1460</f>
        <v>0</v>
      </c>
      <c r="AK1544">
        <f t="shared" si="944"/>
        <v>0</v>
      </c>
      <c r="AL1544" cm="1">
        <f t="array" ref="AL1544">IFERROR(INDEX(sheath_ecap_asd,MATCH(AP1544,sheath_mark,0),0)*AK1544,0)</f>
        <v>0</v>
      </c>
      <c r="AM1544" cm="1">
        <f t="array" ref="AM1544">IFERROR(INDEX(sheath_wcap_asd,MATCH(AP1544,sheath_mark,0),0)*AK1544,0)</f>
        <v>0</v>
      </c>
      <c r="AN1544" cm="1">
        <f t="array" ref="AN1544">IFERROR(INDEX(hd_cap,MATCH(AQ1544,hd_mark,0),0),0)</f>
        <v>0</v>
      </c>
      <c r="AP1544" s="19"/>
      <c r="AQ1544" s="19"/>
      <c r="AR1544" s="100"/>
      <c r="AS1544" s="93"/>
      <c r="AT1544" s="111">
        <f>$R$1452</f>
        <v>0</v>
      </c>
      <c r="AU1544" t="str">
        <f>$Q$1432</f>
        <v>L5</v>
      </c>
      <c r="AV1544">
        <f>$E$24</f>
        <v>0</v>
      </c>
      <c r="AW1544" cm="1">
        <f t="array" ref="AW1544">IFERROR(IF(AV1544=0,0,(INDEX($C$33:$C$38,MATCH($AZ$1452,$B$33:$B$38,0),0)*(AV1545+$BA$1452)+$AW$1452*COUNTIF(AV1544:AV1544,"&gt;0")*$C$32+$AY$1452*$C$31)*$AU$1452),0)</f>
        <v>0</v>
      </c>
      <c r="AX1544">
        <f>IF(AV1544=0,0,-(COUNTIF(AV1544:AV1544,"&gt;0")*$AW$1452*$C$32+$AY$1452*$C$31)*$H$27*$AU$1452)</f>
        <v>0</v>
      </c>
      <c r="AY1544">
        <f>IF(AV1544=0,0,$AY$1452*$H$26*$AU$1452)</f>
        <v>0</v>
      </c>
      <c r="AZ1544">
        <f>(0.6*AW1544+0.7*AX1544)*$AU$1452/2</f>
        <v>0</v>
      </c>
      <c r="BA1544">
        <f>AW1544*$AU$1452/2</f>
        <v>0</v>
      </c>
      <c r="BC1544">
        <f>IF(AV1544=0,0,$BG$1452*$AP$1432)</f>
        <v>0</v>
      </c>
      <c r="BD1544">
        <f>IFERROR(BC1544/$AU$1452,0)</f>
        <v>0</v>
      </c>
      <c r="BE1544">
        <f>BC1544*($F$24+IF($F$24=0,0,($C$14+$C$15+IF($C$13="single",1.5,3)+3)/12))</f>
        <v>0</v>
      </c>
      <c r="BF1544">
        <f>BE1544-AZ1544</f>
        <v>0</v>
      </c>
      <c r="BG1544" cm="1">
        <f t="array" ref="BG1544">IFERROR(IF(BF1544&lt;0,0,BF1544/($AU$1452-INDEX(hd_off,MATCH(BT1544,hd_mark,0),0)/12)),0)</f>
        <v>0</v>
      </c>
      <c r="BH1544">
        <f>IF(AV1544=0,0,$BG$1452*$AM$1432)</f>
        <v>0</v>
      </c>
      <c r="BI1544">
        <f>IFERROR(BH1544/$AU$1452,0)</f>
        <v>0</v>
      </c>
      <c r="BJ1544">
        <f>BH1544*($F$24+IF($F$24=0,0,($C$14+$C$15+IF($C$13="single",1.5,3)+3)/12))</f>
        <v>0</v>
      </c>
      <c r="BK1544">
        <f>BJ1544-BA1544</f>
        <v>0</v>
      </c>
      <c r="BL1544" cm="1">
        <f t="array" ref="BL1544">IFERROR(IF(BK1544&lt;0,0,BK1544/($AU$1452-INDEX(hd_off,MATCH(BT1544,hd_mark,0),0)/12)),0)</f>
        <v>0</v>
      </c>
      <c r="BM1544">
        <f>MAX($F$24,$BE$1452)/$Q$1460</f>
        <v>0</v>
      </c>
      <c r="BN1544">
        <f t="shared" si="945"/>
        <v>0</v>
      </c>
      <c r="BO1544" cm="1">
        <f t="array" ref="BO1544">IFERROR(INDEX(sheath_ecap_asd,MATCH(BS1544,sheath_mark,0),0)*BN1544,0)</f>
        <v>0</v>
      </c>
      <c r="BP1544" cm="1">
        <f t="array" ref="BP1544">IFERROR(INDEX(sheath_wcap_asd,MATCH(BS1544,sheath_mark,0),0)*BN1544,0)</f>
        <v>0</v>
      </c>
      <c r="BQ1544" cm="1">
        <f t="array" ref="BQ1544">IFERROR(INDEX(hd_cap,MATCH(BT1544,hd_mark,0),0),0)</f>
        <v>0</v>
      </c>
      <c r="BS1544" s="19"/>
      <c r="BT1544" s="19"/>
      <c r="BU1544" s="100"/>
    </row>
    <row r="1545" x14ac:dyDescent="0.25">
      <c r="P1545" s="93"/>
      <c r="Q1545" s="109"/>
      <c r="R1545" t="str">
        <f>$Q$1433</f>
        <v>Roof</v>
      </c>
      <c r="S1545">
        <f>$E$25</f>
        <v>33.171875</v>
      </c>
      <c r="T1545" cm="1">
        <f t="array" ref="T1545">IFERROR(IF(S1545=0,0,(INDEX($C$33:$C$38,MATCH($W$1452,$B$33:$B$38,0),0)*(S1545+$X$1452)+$V$1452*$C$31)*$R$1452),0)</f>
        <v>0</v>
      </c>
      <c r="U1545">
        <f>IF(S1545=0,0,-$V$1452*$C$31*$H$27*$R$1452)</f>
        <v>0</v>
      </c>
      <c r="V1545">
        <f>IF(S1545=0,0,$V$1452*$H$26*$R$1452)</f>
        <v>0</v>
      </c>
      <c r="W1545">
        <f>(0.6*T1545+0.7*U1545)*$R$1452/2</f>
        <v>0</v>
      </c>
      <c r="X1545">
        <f>T1545*$R$1452/2</f>
        <v>0</v>
      </c>
      <c r="Z1545">
        <f>IF(S1545=0,0,$AD$1452*$AP$1433)</f>
        <v>0</v>
      </c>
      <c r="AA1545">
        <f>IFERROR(Z1545/$R$1452,0)</f>
        <v>0</v>
      </c>
      <c r="AB1545">
        <f>Z1545*($F$25+($C$16+$C$17+IF($C$13="single",1.5,3)+3)/12)</f>
        <v>0</v>
      </c>
      <c r="AC1545">
        <f>AB1545-W1545</f>
        <v>0</v>
      </c>
      <c r="AD1545" cm="1">
        <f t="array" ref="AD1545">IFERROR(IF(AC1545&lt;0,0,AC1545/($R$1452-INDEX(hd_off,MATCH(AQ1545,hd_mark,0),0)/12)),0)</f>
        <v>0</v>
      </c>
      <c r="AE1545">
        <f>IF(S1545=0,0,$AD$1452*$AM$1433)</f>
        <v>0</v>
      </c>
      <c r="AF1545">
        <f>IFERROR(AE1545/$R$1452,0)</f>
        <v>0</v>
      </c>
      <c r="AG1545">
        <f>AE1545*($F$25+($C$16+$C$17+IF($C$13="single",1.5,3)+3)/12)</f>
        <v>0</v>
      </c>
      <c r="AH1545">
        <f>AG1545-X1545</f>
        <v>0</v>
      </c>
      <c r="AI1545" cm="1">
        <f t="array" ref="AI1545">IFERROR(IF(AH1545&lt;0,0,AH1545/($R$1452-INDEX(hd_off,MATCH(AQ1545,hd_mark,0),0)/12)),0)</f>
        <v>0</v>
      </c>
      <c r="AJ1545">
        <f>MAX($F$25,$AC$1452)/$Q$1460</f>
        <v>0.29920977011494249</v>
      </c>
      <c r="AK1545">
        <f t="shared" si="944"/>
        <v>1</v>
      </c>
      <c r="AL1545" cm="1">
        <f t="array" ref="AL1545">IFERROR(INDEX(sheath_ecap_asd,MATCH(AP1545,sheath_mark,0),0)*AK1545,0)</f>
        <v>0</v>
      </c>
      <c r="AM1545" cm="1">
        <f t="array" ref="AM1545">IFERROR(INDEX(sheath_wcap_asd,MATCH(AP1545,sheath_mark,0),0)*AK1545,0)</f>
        <v>0</v>
      </c>
      <c r="AN1545" cm="1">
        <f t="array" ref="AN1545">IFERROR(INDEX(hd_cap,MATCH(AQ1545,hd_mark,0),0),0)</f>
        <v>0</v>
      </c>
      <c r="AP1545" s="19"/>
      <c r="AQ1545" s="19"/>
      <c r="AR1545" s="100"/>
      <c r="AS1545" s="93"/>
      <c r="AT1545" s="109"/>
      <c r="AU1545" t="str">
        <f>$Q$1433</f>
        <v>Roof</v>
      </c>
      <c r="AV1545">
        <f>$E$25</f>
        <v>33.171875</v>
      </c>
      <c r="AW1545" cm="1">
        <f t="array" ref="AW1545">IFERROR(IF(AV1545=0,0,(INDEX($C$33:$C$38,MATCH($AZ$1452,$B$33:$B$38,0),0)*(AV1545+$BA$1452)+$AY$1452*$C$31)*$AU$1452),0)</f>
        <v>0</v>
      </c>
      <c r="AX1545">
        <f>IF(AV1545=0,0,-$AY$1452*$C$31*$H$27*$AU$1452)</f>
        <v>0</v>
      </c>
      <c r="AY1545">
        <f>IF(AV1545=0,0,$AY$1452*$H$26*$AU$1452)</f>
        <v>0</v>
      </c>
      <c r="AZ1545">
        <f>(0.6*AW1545+0.7*AX1545)*$AU$1452/2</f>
        <v>0</v>
      </c>
      <c r="BA1545">
        <f>AW1545*$AU$1452/2</f>
        <v>0</v>
      </c>
      <c r="BC1545">
        <f>IF(AV1545=0,0,$BG$1452*$AP$1433)</f>
        <v>0</v>
      </c>
      <c r="BD1545">
        <f>IFERROR(BC1545/$AU$1452,0)</f>
        <v>0</v>
      </c>
      <c r="BE1545">
        <f>BC1545*($F$25+($C$16+$C$17+IF($C$13="single",1.5,3)+3)/12)</f>
        <v>0</v>
      </c>
      <c r="BF1545">
        <f>BE1545-AZ1545</f>
        <v>0</v>
      </c>
      <c r="BG1545" cm="1">
        <f t="array" ref="BG1545">IFERROR(IF(BF1545&lt;0,0,BF1545/($AU$1452-INDEX(hd_off,MATCH(BT1545,hd_mark,0),0)/12)),0)</f>
        <v>0</v>
      </c>
      <c r="BH1545">
        <f>IF(AV1545=0,0,$BG$1452*$AM$1433)</f>
        <v>0</v>
      </c>
      <c r="BI1545">
        <f>IFERROR(BH1545/$AU$1452,0)</f>
        <v>0</v>
      </c>
      <c r="BJ1545">
        <f>BH1545*($F$25+($C$16+$C$17+IF($C$13="single",1.5,3)+3)/12)</f>
        <v>0</v>
      </c>
      <c r="BK1545">
        <f>BJ1545-BA1545</f>
        <v>0</v>
      </c>
      <c r="BL1545" cm="1">
        <f t="array" ref="BL1545">IFERROR(IF(BK1545&lt;0,0,BK1545/($AU$1452-INDEX(hd_off,MATCH(BT1545,hd_mark,0),0)/12)),0)</f>
        <v>0</v>
      </c>
      <c r="BM1545">
        <f>MAX($F$25,$BF$1452)/$Q$1460</f>
        <v>0.29920977011494249</v>
      </c>
      <c r="BN1545">
        <f t="shared" si="945"/>
        <v>1</v>
      </c>
      <c r="BO1545" cm="1">
        <f t="array" ref="BO1545">IFERROR(INDEX(sheath_ecap_asd,MATCH(BS1545,sheath_mark,0),0)*BN1545,0)</f>
        <v>0</v>
      </c>
      <c r="BP1545" cm="1">
        <f t="array" ref="BP1545">IFERROR(INDEX(sheath_wcap_asd,MATCH(BS1545,sheath_mark,0),0)*BN1545,0)</f>
        <v>0</v>
      </c>
      <c r="BQ1545" cm="1">
        <f t="array" ref="BQ1545">IFERROR(INDEX(hd_cap,MATCH(BT1545,hd_mark,0),0),0)</f>
        <v>0</v>
      </c>
      <c r="BS1545" s="19"/>
      <c r="BT1545" s="19"/>
      <c r="BU1545" s="100"/>
    </row>
    <row r="1546" x14ac:dyDescent="0.25">
      <c r="P1546" s="93"/>
      <c r="AR1546" s="100"/>
      <c r="AS1546" s="93"/>
      <c r="BU1546" s="100"/>
    </row>
    <row r="1547" x14ac:dyDescent="0.25">
      <c r="P1547" s="93"/>
      <c r="Q1547" s="110" t="str">
        <f>$Q$1453</f>
        <v>A.16</v>
      </c>
      <c r="R1547" t="str">
        <f>$Q$1429</f>
        <v>L2</v>
      </c>
      <c r="S1547">
        <f>$E$21</f>
        <v>10.6875</v>
      </c>
      <c r="T1547" cm="1">
        <f t="array" ref="T1547">IFERROR(IF(S1547=0,0,(INDEX($C$33:$C$38,MATCH($W$1453,$B$33:$B$38,0),0)*(S1551+$X$1453)+$T$1453*COUNTIF(S1547:S1550,"&gt;0")*$C$32+$V$1453*$C$31)*$R$1453),0)</f>
        <v>0</v>
      </c>
      <c r="U1547">
        <f>IF(S1547=0,0,-(COUNTIF(S1547:S1550,"&gt;0")*$T$1453*$C$32+$V$1453*$C$31)*$H$27*$R$1453)</f>
        <v>0</v>
      </c>
      <c r="V1547">
        <f>IF(S1547=0,0,$V$1453*$H$26*$R$1453)</f>
        <v>0</v>
      </c>
      <c r="W1547">
        <f>(0.6*T1547+0.7*U1547)*$R$1453/2</f>
        <v>0</v>
      </c>
      <c r="X1547">
        <f>(0.6*T1547+0.6*V1547)*$R$1453/2</f>
        <v>0</v>
      </c>
      <c r="Z1547">
        <f>IF(S1547=0,0,$AD$1453*$AP$1429)</f>
        <v>0</v>
      </c>
      <c r="AA1547">
        <f>IFERROR(Z1547/$R$1453,0)</f>
        <v>0</v>
      </c>
      <c r="AB1547">
        <f>Z1547*($F$21+IF($F$21=0,0,($C$14+$C$15+IF($C$13="single",1.5,3)+3)/12))</f>
        <v>0</v>
      </c>
      <c r="AC1547">
        <f>AB1547-W1547</f>
        <v>0</v>
      </c>
      <c r="AD1547" cm="1">
        <f t="array" ref="AD1547">IFERROR(IF(AC1547&lt;0,0,AC1547/($R$1453-INDEX(hd_off,MATCH(AQ1547,hd_mark,0),0)/12)),0)</f>
        <v>0</v>
      </c>
      <c r="AE1547">
        <f>IF(S1547=0,0,$AD$1453*$AM$1429)</f>
        <v>0</v>
      </c>
      <c r="AF1547">
        <f>IFERROR(AE1547/$R$1453,0)</f>
        <v>0</v>
      </c>
      <c r="AG1547">
        <f>AE1547*($F$21+IF($F$21=0,0,($C$14+$C$15+IF($C$13="single",1.5,3)+3)/12))</f>
        <v>0</v>
      </c>
      <c r="AH1547">
        <f>AG1547-X1547</f>
        <v>0</v>
      </c>
      <c r="AI1547" cm="1">
        <f t="array" ref="AI1547">IFERROR(IF(AH1547&lt;0,0,AH1547/($R$1453-INDEX(hd_off,MATCH(AQ1547,hd_mark,0),0)/12)),0)</f>
        <v>0</v>
      </c>
      <c r="AJ1547">
        <f>MAX($F$21,$Y$1453)/$Q$1460</f>
        <v>0.30172413793103448</v>
      </c>
      <c r="AK1547">
        <f>IF(AJ1547=0,0,IF(AJ1547&gt;2,1.25-0.125*AJ1547,1))</f>
        <v>1</v>
      </c>
      <c r="AL1547" cm="1">
        <f t="array" ref="AL1547">IFERROR(INDEX(sheath_ecap_asd,MATCH(AP1547,sheath_mark,0),0)*AK1547,0)</f>
        <v>0</v>
      </c>
      <c r="AM1547" cm="1">
        <f t="array" ref="AM1547">IFERROR(INDEX(sheath_wcap_asd,MATCH(AP1547,sheath_mark,0),0)*AK1547,0)</f>
        <v>0</v>
      </c>
      <c r="AN1547" cm="1">
        <f t="array" ref="AN1547">IFERROR(INDEX(hd_cap,MATCH(AQ1547,hd_mark,0),0),0)</f>
        <v>0</v>
      </c>
      <c r="AP1547" s="19"/>
      <c r="AQ1547" s="19"/>
      <c r="AR1547" s="100"/>
      <c r="AS1547" s="93"/>
      <c r="AT1547" s="110" t="str">
        <f>$AT$1453</f>
        <v>1.16</v>
      </c>
      <c r="AU1547" t="str">
        <f>$Q$1429</f>
        <v>L2</v>
      </c>
      <c r="AV1547">
        <f>$E$21</f>
        <v>10.6875</v>
      </c>
      <c r="AW1547" cm="1">
        <f t="array" ref="AW1547">IFERROR(IF(AV1547=0,0,(INDEX($C$33:$C$38,MATCH($AZ$1453,$B$33:$B$38,0),0)*(AV1551+$BA$1453)+$AW$1453*COUNTIF(AV1547:AV1550,"&gt;0")*$C$32+$AY$1453*$C$31)*$AU$1453),0)</f>
        <v>0</v>
      </c>
      <c r="AX1547">
        <f>IF(AV1547=0,0,-(COUNTIF(AV1547:AV1550,"&gt;0")*$AW$1453*$C$32+$AY$1453*$C$31)*$H$27*$AU$1453)</f>
        <v>0</v>
      </c>
      <c r="AY1547">
        <f>IF(AV1547=0,0,$AY$1453*$H$26*$AU$1453)</f>
        <v>0</v>
      </c>
      <c r="AZ1547">
        <f>(0.6*AW1547+0.7*AX1547)*$AU$1453/2</f>
        <v>0</v>
      </c>
      <c r="BA1547">
        <f>(0.6*AW1547+0.6*AY1547)*$AU$1453/2</f>
        <v>0</v>
      </c>
      <c r="BC1547">
        <f>IF(AV1547=0,0,$BG$1453*$AP$1429)</f>
        <v>0</v>
      </c>
      <c r="BD1547">
        <f>IFERROR(BC1547/$AU$1453,0)</f>
        <v>0</v>
      </c>
      <c r="BE1547">
        <f>BC1547*($F$21+IF($F$21=0,0,($C$14+$C$15+IF($C$13="single",1.5,3)+3)/12))</f>
        <v>0</v>
      </c>
      <c r="BF1547">
        <f>BE1547-AZ1547</f>
        <v>0</v>
      </c>
      <c r="BG1547" cm="1">
        <f t="array" ref="BG1547">IFERROR(IF(BF1547&lt;0,0,BF1547/($AU$1453-INDEX(hd_off,MATCH(BT1547,hd_mark,0),0)/12)),0)</f>
        <v>0</v>
      </c>
      <c r="BH1547">
        <f>IF(AV1547=0,0,$BG$1453*$AM$1429)</f>
        <v>0</v>
      </c>
      <c r="BI1547">
        <f>IFERROR(BH1547/$AU$1453,0)</f>
        <v>0</v>
      </c>
      <c r="BJ1547">
        <f>BH1547*($F$21+IF($F$21=0,0,($C$14+$C$15+IF($C$13="single",1.5,3)+3)/12))</f>
        <v>0</v>
      </c>
      <c r="BK1547">
        <f>BJ1547-BA1547</f>
        <v>0</v>
      </c>
      <c r="BL1547" cm="1">
        <f t="array" ref="BL1547">IFERROR(IF(BK1547&lt;0,0,BK1547/($AU$1453-INDEX(hd_off,MATCH(BT1547,hd_mark,0),0)/12)),0)</f>
        <v>0</v>
      </c>
      <c r="BM1547">
        <f>MAX($F$21,$BB$1453)/$Q$1460</f>
        <v>0.30172413793103448</v>
      </c>
      <c r="BN1547">
        <f>IF(BM1547=0,0,IF(BM1547&gt;2,1.25-0.125*BM1547,1))</f>
        <v>1</v>
      </c>
      <c r="BO1547" cm="1">
        <f t="array" ref="BO1547">IFERROR(INDEX(sheath_ecap_asd,MATCH(BS1547,sheath_mark,0),0)*BN1547,0)</f>
        <v>0</v>
      </c>
      <c r="BP1547" cm="1">
        <f t="array" ref="BP1547">IFERROR(INDEX(sheath_wcap_asd,MATCH(BS1547,sheath_mark,0),0)*BN1547,0)</f>
        <v>0</v>
      </c>
      <c r="BQ1547" cm="1">
        <f t="array" ref="BQ1547">IFERROR(INDEX(hd_cap,MATCH(BT1547,hd_mark,0),0),0)</f>
        <v>0</v>
      </c>
      <c r="BS1547" s="19"/>
      <c r="BT1547" s="19"/>
      <c r="BU1547" s="100"/>
    </row>
    <row r="1548" x14ac:dyDescent="0.25">
      <c r="P1548" s="93"/>
      <c r="Q1548" s="109"/>
      <c r="R1548" t="str">
        <f>$Q$1430</f>
        <v>L3</v>
      </c>
      <c r="S1548">
        <f>$E$22</f>
        <v>21.375</v>
      </c>
      <c r="T1548" cm="1">
        <f t="array" ref="T1548">IFERROR(IF(S1548=0,0,(INDEX($C$33:$C$38,MATCH($W$1453,$B$33:$B$38,0),0)*(S1551+$X$1453)+$T$1453*COUNTIF(S1548:S1550,"&gt;0")*$C$32+$V$1453*$C$31)*$R$1453),0)</f>
        <v>0</v>
      </c>
      <c r="U1548">
        <f>IF(S1548=0,0,-(COUNTIF(S1548:S1550,"&gt;0")*$T$1453*$C$32+$V$1453*$C$31)*$H$27*$R$1453)</f>
        <v>0</v>
      </c>
      <c r="V1548">
        <f>IF(S1548=0,0,$V$1453*$H$26*$R$1453)</f>
        <v>0</v>
      </c>
      <c r="W1548">
        <f>(0.6*T1548+0.7*U1548)*$R$1453/2</f>
        <v>0</v>
      </c>
      <c r="X1548">
        <f>T1548*$R$1453/2</f>
        <v>0</v>
      </c>
      <c r="Z1548">
        <f>IF(S1548=0,0,$AD$1453*$AP$1430)</f>
        <v>0</v>
      </c>
      <c r="AA1548">
        <f>IFERROR(Z1548/$R$1453,0)</f>
        <v>0</v>
      </c>
      <c r="AB1548">
        <f>Z1548*($F$22+IF($F$22=0,0,($C$14+$C$15+IF($C$13="single",1.5,3)+3)/12))</f>
        <v>0</v>
      </c>
      <c r="AC1548">
        <f>AB1548-W1548</f>
        <v>0</v>
      </c>
      <c r="AD1548" cm="1">
        <f t="array" ref="AD1548">IFERROR(IF(AC1548&lt;0,0,AC1548/($R$1453-INDEX(hd_off,MATCH(AQ1548,hd_mark,0),0)/12)),0)</f>
        <v>0</v>
      </c>
      <c r="AE1548">
        <f>IF(S1548=0,0,$AD$1453*$AM$1430)</f>
        <v>0</v>
      </c>
      <c r="AF1548">
        <f>IFERROR(AE1548/$R$1453,0)</f>
        <v>0</v>
      </c>
      <c r="AG1548">
        <f>AE1548*($F$22+IF($F$22=0,0,($C$14+$C$15+IF($C$13="single",1.5,3)+3)/12))</f>
        <v>0</v>
      </c>
      <c r="AH1548">
        <f>AG1548-X1548</f>
        <v>0</v>
      </c>
      <c r="AI1548" cm="1">
        <f t="array" ref="AI1548">IFERROR(IF(AH1548&lt;0,0,AH1548/($R$1453-INDEX(hd_off,MATCH(AQ1548,hd_mark,0),0)/12)),0)</f>
        <v>0</v>
      </c>
      <c r="AJ1548">
        <f>MAX($F$22,$Z$1453)/$Q$1460</f>
        <v>0.30172413793103448</v>
      </c>
      <c r="AK1548">
        <f t="shared" ref="AK1548:AK1551" si="946">IF(AJ1548=0,0,IF(AJ1548&gt;2,1.25-0.125*AJ1548,1))</f>
        <v>1</v>
      </c>
      <c r="AL1548" cm="1">
        <f t="array" ref="AL1548">IFERROR(INDEX(sheath_ecap_asd,MATCH(AP1548,sheath_mark,0),0)*AK1548,0)</f>
        <v>0</v>
      </c>
      <c r="AM1548" cm="1">
        <f t="array" ref="AM1548">IFERROR(INDEX(sheath_wcap_asd,MATCH(AP1548,sheath_mark,0),0)*AK1548,0)</f>
        <v>0</v>
      </c>
      <c r="AN1548" cm="1">
        <f t="array" ref="AN1548">IFERROR(INDEX(hd_cap,MATCH(AQ1548,hd_mark,0),0),0)</f>
        <v>0</v>
      </c>
      <c r="AP1548" s="19"/>
      <c r="AQ1548" s="19"/>
      <c r="AR1548" s="100"/>
      <c r="AS1548" s="93"/>
      <c r="AT1548" s="109"/>
      <c r="AU1548" t="str">
        <f>$Q$1430</f>
        <v>L3</v>
      </c>
      <c r="AV1548">
        <f>$E$22</f>
        <v>21.375</v>
      </c>
      <c r="AW1548" cm="1">
        <f t="array" ref="AW1548">IFERROR(IF(AV1548=0,0,(INDEX($C$33:$C$38,MATCH($AZ$1453,$B$33:$B$38,0),0)*(AV1551+$BA$1453)+$AW$1453*COUNTIF(AV1548:AV1550,"&gt;0")*$C$32+$AY$1453*$C$31)*$AU$1453),0)</f>
        <v>0</v>
      </c>
      <c r="AX1548">
        <f>IF(AV1548=0,0,-(COUNTIF(AV1548:AV1550,"&gt;0")*$AW$1453*$C$32+$AY$1453*$C$31)*$H$27*$AU$1453)</f>
        <v>0</v>
      </c>
      <c r="AY1548">
        <f>IF(AV1548=0,0,$AY$1453*$H$26*$AU$1453)</f>
        <v>0</v>
      </c>
      <c r="AZ1548">
        <f>(0.6*AW1548+0.7*AX1548)*$AU$1453/2</f>
        <v>0</v>
      </c>
      <c r="BA1548">
        <f>AW1548*$AU$1453/2</f>
        <v>0</v>
      </c>
      <c r="BC1548">
        <f>IF(AV1548=0,0,$BG$1453*$AP$1430)</f>
        <v>0</v>
      </c>
      <c r="BD1548">
        <f>IFERROR(BC1548/$AU$1453,0)</f>
        <v>0</v>
      </c>
      <c r="BE1548">
        <f>BC1548*($F$22+IF($F$22=0,0,($C$14+$C$15+IF($C$13="single",1.5,3)+3)/12))</f>
        <v>0</v>
      </c>
      <c r="BF1548">
        <f>BE1548-AZ1548</f>
        <v>0</v>
      </c>
      <c r="BG1548" cm="1">
        <f t="array" ref="BG1548">IFERROR(IF(BF1548&lt;0,0,BF1548/($AU$1453-INDEX(hd_off,MATCH(BT1548,hd_mark,0),0)/12)),0)</f>
        <v>0</v>
      </c>
      <c r="BH1548">
        <f>IF(AV1548=0,0,$BG$1453*$AM$1430)</f>
        <v>0</v>
      </c>
      <c r="BI1548">
        <f>IFERROR(BH1548/$AU$1453,0)</f>
        <v>0</v>
      </c>
      <c r="BJ1548">
        <f>BH1548*($F$22+IF($F$22=0,0,($C$14+$C$15+IF($C$13="single",1.5,3)+3)/12))</f>
        <v>0</v>
      </c>
      <c r="BK1548">
        <f>BJ1548-BA1548</f>
        <v>0</v>
      </c>
      <c r="BL1548" cm="1">
        <f t="array" ref="BL1548">IFERROR(IF(BK1548&lt;0,0,BK1548/($AU$1453-INDEX(hd_off,MATCH(BT1548,hd_mark,0),0)/12)),0)</f>
        <v>0</v>
      </c>
      <c r="BM1548">
        <f>MAX($F$22,$BC$1453)/$Q$1460</f>
        <v>0.30172413793103448</v>
      </c>
      <c r="BN1548">
        <f t="shared" ref="BN1548:BN1550" si="947">IF(BM1548=0,0,IF(BM1548&gt;2,1.25-0.125*BM1548,1))</f>
        <v>1</v>
      </c>
      <c r="BO1548" cm="1">
        <f t="array" ref="BO1548">IFERROR(INDEX(sheath_ecap_asd,MATCH(BS1548,sheath_mark,0),0)*BN1548,0)</f>
        <v>0</v>
      </c>
      <c r="BP1548" cm="1">
        <f t="array" ref="BP1548">IFERROR(INDEX(sheath_wcap_asd,MATCH(BS1548,sheath_mark,0),0)*BN1548,0)</f>
        <v>0</v>
      </c>
      <c r="BQ1548" cm="1">
        <f t="array" ref="BQ1548">IFERROR(INDEX(hd_cap,MATCH(BT1548,hd_mark,0),0),0)</f>
        <v>0</v>
      </c>
      <c r="BS1548" s="19"/>
      <c r="BT1548" s="19"/>
      <c r="BU1548" s="100"/>
    </row>
    <row r="1549" x14ac:dyDescent="0.25">
      <c r="P1549" s="93"/>
      <c r="Q1549" s="109" t="s">
        <v>491</v>
      </c>
      <c r="R1549" t="str">
        <f>$Q$1431</f>
        <v>L4</v>
      </c>
      <c r="S1549">
        <f>$E$23</f>
        <v>0</v>
      </c>
      <c r="T1549" cm="1">
        <f t="array" ref="T1549">IFERROR(IF(S1549=0,0,(INDEX($C$33:$C$38,MATCH($W$1453,$B$33:$B$38,0),0)*(S1551+$X$1453)+$T$1453*COUNTIF(S1549:S1550,"&gt;0")*$C$32+$V$1453*$C$31)*$R$1453),0)</f>
        <v>0</v>
      </c>
      <c r="U1549">
        <f>IF(S1549=0,0,-(COUNTIF(S1549:S1550,"&gt;0")*$T$1453*$C$32+$V$1453*$C$31)*$H$27*$R$1453)</f>
        <v>0</v>
      </c>
      <c r="V1549">
        <f>IF(S1549=0,0,$V$1453*$H$26*$R$1453)</f>
        <v>0</v>
      </c>
      <c r="W1549">
        <f>(0.6*T1549+0.7*U1549)*$R$1453/2</f>
        <v>0</v>
      </c>
      <c r="X1549">
        <f>T1549*$R$1453/2</f>
        <v>0</v>
      </c>
      <c r="Z1549">
        <f>IF(S1549=0,0,$AD$1453*$AP$1431)</f>
        <v>0</v>
      </c>
      <c r="AA1549">
        <f>IFERROR(Z1549/$R$1453,0)</f>
        <v>0</v>
      </c>
      <c r="AB1549">
        <f>Z1549*($F$23+IF($F$23=0,0,($C$14+$C$15+IF($C$13="single",1.5,3)+3)/12))</f>
        <v>0</v>
      </c>
      <c r="AC1549">
        <f>AB1549-W1549</f>
        <v>0</v>
      </c>
      <c r="AD1549" cm="1">
        <f t="array" ref="AD1549">IFERROR(IF(AC1549&lt;0,0,AC1549/($R$1453-INDEX(hd_off,MATCH(AQ1549,hd_mark,0),0)/12)),0)</f>
        <v>0</v>
      </c>
      <c r="AE1549">
        <f>IF(S1549=0,0,$AD$1453*$AM$1431)</f>
        <v>0</v>
      </c>
      <c r="AF1549">
        <f>IFERROR(AE1549/$R$1453,0)</f>
        <v>0</v>
      </c>
      <c r="AG1549">
        <f>AE1549*($F$23+IF($F$23=0,0,($C$14+$C$15+IF($C$13="single",1.5,3)+3)/12))</f>
        <v>0</v>
      </c>
      <c r="AH1549">
        <f>AG1549-X1549</f>
        <v>0</v>
      </c>
      <c r="AI1549" cm="1">
        <f t="array" ref="AI1549">IFERROR(IF(AH1549&lt;0,0,AH1549/($R$1453-INDEX(hd_off,MATCH(AQ1549,hd_mark,0),0)/12)),0)</f>
        <v>0</v>
      </c>
      <c r="AJ1549">
        <f>MAX($F$23,$AA$1453)/$Q$1460</f>
        <v>0</v>
      </c>
      <c r="AK1549">
        <f t="shared" si="946"/>
        <v>0</v>
      </c>
      <c r="AL1549" cm="1">
        <f t="array" ref="AL1549">IFERROR(INDEX(sheath_ecap_asd,MATCH(AP1549,sheath_mark,0),0)*AK1549,0)</f>
        <v>0</v>
      </c>
      <c r="AM1549" cm="1">
        <f t="array" ref="AM1549">IFERROR(INDEX(sheath_wcap_asd,MATCH(AP1549,sheath_mark,0),0)*AK1549,0)</f>
        <v>0</v>
      </c>
      <c r="AN1549" cm="1">
        <f t="array" ref="AN1549">IFERROR(INDEX(hd_cap,MATCH(AQ1549,hd_mark,0),0),0)</f>
        <v>0</v>
      </c>
      <c r="AP1549" s="19"/>
      <c r="AQ1549" s="19"/>
      <c r="AR1549" s="100"/>
      <c r="AS1549" s="93"/>
      <c r="AT1549" s="109" t="s">
        <v>491</v>
      </c>
      <c r="AU1549" t="str">
        <f>$Q$1431</f>
        <v>L4</v>
      </c>
      <c r="AV1549">
        <f>$E$23</f>
        <v>0</v>
      </c>
      <c r="AW1549" cm="1">
        <f t="array" ref="AW1549">IFERROR(IF(AV1549=0,0,(INDEX($C$33:$C$38,MATCH($AZ$1453,$B$33:$B$38,0),0)*(AV1551+$BA$1453)+$AW$1453*COUNTIF(AV1549:AV1550,"&gt;0")*$C$32+$AY$1453*$C$31)*$AU$1453),0)</f>
        <v>0</v>
      </c>
      <c r="AX1549">
        <f>IF(AV1549=0,0,-(COUNTIF(AV1549:AV1550,"&gt;0")*$AW$1453*$C$32+$AY$1453*$C$31)*$H$27*$AU$1453)</f>
        <v>0</v>
      </c>
      <c r="AY1549">
        <f>IF(AV1549=0,0,$AY$1453*$H$26*$AU$1453)</f>
        <v>0</v>
      </c>
      <c r="AZ1549">
        <f>(0.6*AW1549+0.7*AX1549)*$AU$1453/2</f>
        <v>0</v>
      </c>
      <c r="BA1549">
        <f>AW1549*$AU$1453/2</f>
        <v>0</v>
      </c>
      <c r="BC1549">
        <f>IF(AV1549=0,0,$BG$1453*$AP$1431)</f>
        <v>0</v>
      </c>
      <c r="BD1549">
        <f>IFERROR(BC1549/$AU$1453,0)</f>
        <v>0</v>
      </c>
      <c r="BE1549">
        <f>BC1549*($F$23+IF($F$23=0,0,($C$14+$C$15+IF($C$13="single",1.5,3)+3)/12))</f>
        <v>0</v>
      </c>
      <c r="BF1549">
        <f>BE1549-AZ1549</f>
        <v>0</v>
      </c>
      <c r="BG1549" cm="1">
        <f t="array" ref="BG1549">IFERROR(IF(BF1549&lt;0,0,BF1549/($AU$1453-INDEX(hd_off,MATCH(BT1549,hd_mark,0),0)/12)),0)</f>
        <v>0</v>
      </c>
      <c r="BH1549">
        <f>IF(AV1549=0,0,$BG$1453*$AM$1431)</f>
        <v>0</v>
      </c>
      <c r="BI1549">
        <f>IFERROR(BH1549/$AU$1453,0)</f>
        <v>0</v>
      </c>
      <c r="BJ1549">
        <f>BH1549*($F$23+IF($F$23=0,0,($C$14+$C$15+IF($C$13="single",1.5,3)+3)/12))</f>
        <v>0</v>
      </c>
      <c r="BK1549">
        <f>BJ1549-BA1549</f>
        <v>0</v>
      </c>
      <c r="BL1549" cm="1">
        <f t="array" ref="BL1549">IFERROR(IF(BK1549&lt;0,0,BK1549/($AU$1453-INDEX(hd_off,MATCH(BT1549,hd_mark,0),0)/12)),0)</f>
        <v>0</v>
      </c>
      <c r="BM1549">
        <f>MAX($F$23,$BD$1453)/$Q$1460</f>
        <v>0</v>
      </c>
      <c r="BN1549">
        <f t="shared" si="947"/>
        <v>0</v>
      </c>
      <c r="BO1549" cm="1">
        <f t="array" ref="BO1549">IFERROR(INDEX(sheath_ecap_asd,MATCH(BS1549,sheath_mark,0),0)*BN1549,0)</f>
        <v>0</v>
      </c>
      <c r="BP1549" cm="1">
        <f t="array" ref="BP1549">IFERROR(INDEX(sheath_wcap_asd,MATCH(BS1549,sheath_mark,0),0)*BN1549,0)</f>
        <v>0</v>
      </c>
      <c r="BQ1549" cm="1">
        <f t="array" ref="BQ1549">IFERROR(INDEX(hd_cap,MATCH(BT1549,hd_mark,0),0),0)</f>
        <v>0</v>
      </c>
      <c r="BS1549" s="19"/>
      <c r="BT1549" s="19"/>
      <c r="BU1549" s="100"/>
    </row>
    <row r="1550" x14ac:dyDescent="0.25">
      <c r="P1550" s="93"/>
      <c r="Q1550" s="111">
        <f>$R$1453</f>
        <v>0</v>
      </c>
      <c r="R1550" t="str">
        <f>$Q$1432</f>
        <v>L5</v>
      </c>
      <c r="S1550">
        <f>$E$24</f>
        <v>0</v>
      </c>
      <c r="T1550" cm="1">
        <f t="array" ref="T1550">IFERROR(IF(S1550=0,0,(INDEX($C$33:$C$38,MATCH($W$1453,$B$33:$B$38,0),0)*(S1551+$X$1453)+$T$1453*COUNTIF(S1550:S1550,"&gt;0")*$C$32+$V$1453*$C$31)*$R$1453),0)</f>
        <v>0</v>
      </c>
      <c r="U1550">
        <f>IF(S1550=0,0,-(COUNTIF(S1550:S1550,"&gt;0")*$T$1453*$C$32+$V$1453*$C$31)*$H$27*$R$1453)</f>
        <v>0</v>
      </c>
      <c r="V1550">
        <f>IF(S1550=0,0,$V$1453*$H$26*$R$1453)</f>
        <v>0</v>
      </c>
      <c r="W1550">
        <f>(0.6*T1550+0.7*U1550)*$R$1453/2</f>
        <v>0</v>
      </c>
      <c r="X1550">
        <f>T1550*$R$1453/2</f>
        <v>0</v>
      </c>
      <c r="Z1550">
        <f>IF(S1550=0,0,$AD$1453*$AP$1432)</f>
        <v>0</v>
      </c>
      <c r="AA1550">
        <f>IFERROR(Z1550/$R$1453,0)</f>
        <v>0</v>
      </c>
      <c r="AB1550">
        <f>Z1550*($F$24+IF($F$24=0,0,($C$14+$C$15+IF($C$13="single",1.5,3)+3)/12))</f>
        <v>0</v>
      </c>
      <c r="AC1550">
        <f>AB1550-W1550</f>
        <v>0</v>
      </c>
      <c r="AD1550" cm="1">
        <f t="array" ref="AD1550">IFERROR(IF(AC1550&lt;0,0,AC1550/($R$1453-INDEX(hd_off,MATCH(AQ1550,hd_mark,0),0)/12)),0)</f>
        <v>0</v>
      </c>
      <c r="AE1550">
        <f>IF(S1550=0,0,$AD$1453*$AM$1432)</f>
        <v>0</v>
      </c>
      <c r="AF1550">
        <f>IFERROR(AE1550/$R$1453,0)</f>
        <v>0</v>
      </c>
      <c r="AG1550">
        <f>AE1550*($F$24+IF($F$24=0,0,($C$14+$C$15+IF($C$13="single",1.5,3)+3)/12))</f>
        <v>0</v>
      </c>
      <c r="AH1550">
        <f>AG1550-X1550</f>
        <v>0</v>
      </c>
      <c r="AI1550" cm="1">
        <f t="array" ref="AI1550">IFERROR(IF(AH1550&lt;0,0,AH1550/($R$1453-INDEX(hd_off,MATCH(AQ1550,hd_mark,0),0)/12)),0)</f>
        <v>0</v>
      </c>
      <c r="AJ1550">
        <f>MAX($F$24,$AB$1453)/$Q$1460</f>
        <v>0</v>
      </c>
      <c r="AK1550">
        <f t="shared" si="946"/>
        <v>0</v>
      </c>
      <c r="AL1550" cm="1">
        <f t="array" ref="AL1550">IFERROR(INDEX(sheath_ecap_asd,MATCH(AP1550,sheath_mark,0),0)*AK1550,0)</f>
        <v>0</v>
      </c>
      <c r="AM1550" cm="1">
        <f t="array" ref="AM1550">IFERROR(INDEX(sheath_wcap_asd,MATCH(AP1550,sheath_mark,0),0)*AK1550,0)</f>
        <v>0</v>
      </c>
      <c r="AN1550" cm="1">
        <f t="array" ref="AN1550">IFERROR(INDEX(hd_cap,MATCH(AQ1550,hd_mark,0),0),0)</f>
        <v>0</v>
      </c>
      <c r="AP1550" s="19"/>
      <c r="AQ1550" s="19"/>
      <c r="AR1550" s="100"/>
      <c r="AS1550" s="93"/>
      <c r="AT1550" s="111">
        <f>$R$1453</f>
        <v>0</v>
      </c>
      <c r="AU1550" t="str">
        <f>$Q$1432</f>
        <v>L5</v>
      </c>
      <c r="AV1550">
        <f>$E$24</f>
        <v>0</v>
      </c>
      <c r="AW1550" cm="1">
        <f t="array" ref="AW1550">IFERROR(IF(AV1550=0,0,(INDEX($C$33:$C$38,MATCH($AZ$1453,$B$33:$B$38,0),0)*(AV1551+$BA$1453)+$AW$1453*COUNTIF(AV1550:AV1550,"&gt;0")*$C$32+$AY$1453*$C$31)*$AU$1453),0)</f>
        <v>0</v>
      </c>
      <c r="AX1550">
        <f>IF(AV1550=0,0,-(COUNTIF(AV1550:AV1550,"&gt;0")*$AW$1453*$C$32+$AY$1453*$C$31)*$H$27*$AU$1453)</f>
        <v>0</v>
      </c>
      <c r="AY1550">
        <f>IF(AV1550=0,0,$AY$1453*$H$26*$AU$1453)</f>
        <v>0</v>
      </c>
      <c r="AZ1550">
        <f>(0.6*AW1550+0.7*AX1550)*$AU$1453/2</f>
        <v>0</v>
      </c>
      <c r="BA1550">
        <f>AW1550*$AU$1453/2</f>
        <v>0</v>
      </c>
      <c r="BC1550">
        <f>IF(AV1550=0,0,$BG$1453*$AP$1432)</f>
        <v>0</v>
      </c>
      <c r="BD1550">
        <f>IFERROR(BC1550/$AU$1453,0)</f>
        <v>0</v>
      </c>
      <c r="BE1550">
        <f>BC1550*($F$24+IF($F$24=0,0,($C$14+$C$15+IF($C$13="single",1.5,3)+3)/12))</f>
        <v>0</v>
      </c>
      <c r="BF1550">
        <f>BE1550-AZ1550</f>
        <v>0</v>
      </c>
      <c r="BG1550" cm="1">
        <f t="array" ref="BG1550">IFERROR(IF(BF1550&lt;0,0,BF1550/($AU$1453-INDEX(hd_off,MATCH(BT1550,hd_mark,0),0)/12)),0)</f>
        <v>0</v>
      </c>
      <c r="BH1550">
        <f>IF(AV1550=0,0,$BG$1453*$AM$1432)</f>
        <v>0</v>
      </c>
      <c r="BI1550">
        <f>IFERROR(BH1550/$AU$1453,0)</f>
        <v>0</v>
      </c>
      <c r="BJ1550">
        <f>BH1550*($F$24+IF($F$24=0,0,($C$14+$C$15+IF($C$13="single",1.5,3)+3)/12))</f>
        <v>0</v>
      </c>
      <c r="BK1550">
        <f>BJ1550-BA1550</f>
        <v>0</v>
      </c>
      <c r="BL1550" cm="1">
        <f t="array" ref="BL1550">IFERROR(IF(BK1550&lt;0,0,BK1550/($AU$1453-INDEX(hd_off,MATCH(BT1550,hd_mark,0),0)/12)),0)</f>
        <v>0</v>
      </c>
      <c r="BM1550">
        <f>MAX($F$24,$BE$1453)/$Q$1460</f>
        <v>0</v>
      </c>
      <c r="BN1550">
        <f t="shared" si="947"/>
        <v>0</v>
      </c>
      <c r="BO1550" cm="1">
        <f t="array" ref="BO1550">IFERROR(INDEX(sheath_ecap_asd,MATCH(BS1550,sheath_mark,0),0)*BN1550,0)</f>
        <v>0</v>
      </c>
      <c r="BP1550" cm="1">
        <f t="array" ref="BP1550">IFERROR(INDEX(sheath_wcap_asd,MATCH(BS1550,sheath_mark,0),0)*BN1550,0)</f>
        <v>0</v>
      </c>
      <c r="BQ1550" cm="1">
        <f t="array" ref="BQ1550">IFERROR(INDEX(hd_cap,MATCH(BT1550,hd_mark,0),0),0)</f>
        <v>0</v>
      </c>
      <c r="BS1550" s="19"/>
      <c r="BT1550" s="19"/>
      <c r="BU1550" s="100"/>
    </row>
    <row r="1551" x14ac:dyDescent="0.25">
      <c r="P1551" s="93"/>
      <c r="Q1551" s="109"/>
      <c r="R1551" t="str">
        <f>$Q$1433</f>
        <v>Roof</v>
      </c>
      <c r="S1551">
        <f>$E$25</f>
        <v>33.171875</v>
      </c>
      <c r="T1551" cm="1">
        <f t="array" ref="T1551">IFERROR(IF(S1551=0,0,(INDEX($C$33:$C$38,MATCH($W$1453,$B$33:$B$38,0),0)*(S1551+$X$1453)+$V$1453*$C$31)*$R$1453),0)</f>
        <v>0</v>
      </c>
      <c r="U1551">
        <f>IF(S1551=0,0,-$V$1453*$C$31*$H$27*$R$1453)</f>
        <v>0</v>
      </c>
      <c r="V1551">
        <f>IF(S1551=0,0,$V$1453*$H$26*$R$1453)</f>
        <v>0</v>
      </c>
      <c r="W1551">
        <f>(0.6*T1551+0.7*U1551)*$R$1453/2</f>
        <v>0</v>
      </c>
      <c r="X1551">
        <f>T1551*$R$1453/2</f>
        <v>0</v>
      </c>
      <c r="Z1551">
        <f>IF(S1551=0,0,$AD$1453*$AP$1433)</f>
        <v>0</v>
      </c>
      <c r="AA1551">
        <f>IFERROR(Z1551/$R$1453,0)</f>
        <v>0</v>
      </c>
      <c r="AB1551">
        <f>Z1551*($F$25+($C$16+$C$17+IF($C$13="single",1.5,3)+3)/12)</f>
        <v>0</v>
      </c>
      <c r="AC1551">
        <f>AB1551-W1551</f>
        <v>0</v>
      </c>
      <c r="AD1551" cm="1">
        <f t="array" ref="AD1551">IFERROR(IF(AC1551&lt;0,0,AC1551/($R$1453-INDEX(hd_off,MATCH(AQ1551,hd_mark,0),0)/12)),0)</f>
        <v>0</v>
      </c>
      <c r="AE1551">
        <f>IF(S1551=0,0,$AD$1453*$AM$1433)</f>
        <v>0</v>
      </c>
      <c r="AF1551">
        <f>IFERROR(AE1551/$R$1453,0)</f>
        <v>0</v>
      </c>
      <c r="AG1551">
        <f>AE1551*($F$25+($C$16+$C$17+IF($C$13="single",1.5,3)+3)/12)</f>
        <v>0</v>
      </c>
      <c r="AH1551">
        <f>AG1551-X1551</f>
        <v>0</v>
      </c>
      <c r="AI1551" cm="1">
        <f t="array" ref="AI1551">IFERROR(IF(AH1551&lt;0,0,AH1551/($R$1453-INDEX(hd_off,MATCH(AQ1551,hd_mark,0),0)/12)),0)</f>
        <v>0</v>
      </c>
      <c r="AJ1551">
        <f>MAX($F$25,$AC$1453)/$Q$1460</f>
        <v>0.29920977011494249</v>
      </c>
      <c r="AK1551">
        <f t="shared" si="946"/>
        <v>1</v>
      </c>
      <c r="AL1551" cm="1">
        <f t="array" ref="AL1551">IFERROR(INDEX(sheath_ecap_asd,MATCH(AP1551,sheath_mark,0),0)*AK1551,0)</f>
        <v>0</v>
      </c>
      <c r="AM1551" cm="1">
        <f t="array" ref="AM1551">IFERROR(INDEX(sheath_wcap_asd,MATCH(AP1551,sheath_mark,0),0)*AK1551,0)</f>
        <v>0</v>
      </c>
      <c r="AN1551" cm="1">
        <f t="array" ref="AN1551">IFERROR(INDEX(hd_cap,MATCH(AQ1551,hd_mark,0),0),0)</f>
        <v>0</v>
      </c>
      <c r="AP1551" s="19"/>
      <c r="AQ1551" s="19"/>
      <c r="AR1551" s="100"/>
      <c r="AS1551" s="93"/>
      <c r="BU1551" s="100"/>
    </row>
    <row r="1552" x14ac:dyDescent="0.25">
      <c r="B1552" s="1" t="s">
        <v>569</v>
      </c>
      <c r="C1552">
        <f>E16+H16*12</f>
        <v>32.4375</v>
      </c>
      <c r="E1552" s="19">
        <v>24</v>
      </c>
      <c r="F1552" s="19">
        <f>32+5.625/12</f>
        <v>32.46875</v>
      </c>
      <c r="G1552" s="19">
        <f>33+10.5/12</f>
        <v>33.875</v>
      </c>
      <c r="H1552">
        <f>(G16-F16)/2</f>
        <v>0.703125</v>
      </c>
      <c r="P1552" s="93"/>
      <c r="Q1552" t="s">
        <v>524</v>
      </c>
      <c r="R1552" s="2" t="str">
        <f>$B$54</f>
        <v>A</v>
      </c>
      <c r="AR1552" s="100"/>
      <c r="AS1552" s="93"/>
      <c r="AT1552" t="s">
        <v>524</v>
      </c>
      <c r="AU1552" s="2">
        <f>H54</f>
        <v>1</v>
      </c>
      <c r="BU1552" s="100"/>
    </row>
    <row r="1553" x14ac:dyDescent="0.25">
      <c r="B1553" s="1" t="s">
        <v>500</v>
      </c>
      <c r="C1553" s="19">
        <v>0.5</v>
      </c>
      <c r="P1553" s="93"/>
      <c r="AR1553" s="100"/>
      <c r="AS1553" s="93"/>
      <c r="BU1553" s="100"/>
    </row>
    <row r="1554" x14ac:dyDescent="0.25">
      <c r="P1554" s="93"/>
      <c r="R1554" t="s">
        <v>482</v>
      </c>
      <c r="Z1554" t="s">
        <v>483</v>
      </c>
      <c r="AH1554" t="s">
        <v>502</v>
      </c>
      <c r="AJ1554" t="s">
        <v>454</v>
      </c>
      <c r="AR1554" s="100"/>
      <c r="AS1554" s="93"/>
      <c r="AU1554" t="s">
        <v>482</v>
      </c>
      <c r="BC1554" t="s">
        <v>483</v>
      </c>
      <c r="BK1554" t="s">
        <v>502</v>
      </c>
      <c r="BM1554" t="s">
        <v>454</v>
      </c>
      <c r="BU1554" s="100"/>
    </row>
    <row r="1555" x14ac:dyDescent="0.25">
      <c r="B1555" t="s">
        <v>448</v>
      </c>
      <c r="C1555" t="s">
        <v>272</v>
      </c>
      <c r="D1555" t="s">
        <v>193</v>
      </c>
      <c r="E1555" s="70" t="s">
        <v>454</v>
      </c>
      <c r="F1555" s="71" t="s">
        <v>501</v>
      </c>
      <c r="H1555" t="s">
        <v>475</v>
      </c>
      <c r="J1555" t="s">
        <v>476</v>
      </c>
      <c r="P1555" s="93"/>
      <c r="R1555" t="s">
        <v>480</v>
      </c>
      <c r="S1555" t="s">
        <v>481</v>
      </c>
      <c r="T1555" t="s">
        <v>486</v>
      </c>
      <c r="U1555" t="s">
        <v>487</v>
      </c>
      <c r="V1555" t="s">
        <v>484</v>
      </c>
      <c r="W1555" t="s">
        <v>485</v>
      </c>
      <c r="X1555" t="s">
        <v>488</v>
      </c>
      <c r="Y1555" t="s">
        <v>489</v>
      </c>
      <c r="Z1555" t="s">
        <v>480</v>
      </c>
      <c r="AA1555" t="s">
        <v>481</v>
      </c>
      <c r="AB1555" t="s">
        <v>486</v>
      </c>
      <c r="AC1555" t="s">
        <v>487</v>
      </c>
      <c r="AD1555" t="s">
        <v>484</v>
      </c>
      <c r="AE1555" t="s">
        <v>485</v>
      </c>
      <c r="AF1555" t="s">
        <v>488</v>
      </c>
      <c r="AG1555" t="s">
        <v>489</v>
      </c>
      <c r="AH1555" t="s">
        <v>312</v>
      </c>
      <c r="AI1555" t="s">
        <v>258</v>
      </c>
      <c r="AJ1555" t="s">
        <v>486</v>
      </c>
      <c r="AK1555" t="s">
        <v>490</v>
      </c>
      <c r="AL1555" t="s">
        <v>487</v>
      </c>
      <c r="AM1555" t="s">
        <v>490</v>
      </c>
      <c r="AN1555" t="s">
        <v>488</v>
      </c>
      <c r="AO1555" t="s">
        <v>490</v>
      </c>
      <c r="AP1555" t="s">
        <v>489</v>
      </c>
      <c r="AQ1555" t="s">
        <v>490</v>
      </c>
      <c r="AR1555" s="100"/>
      <c r="AS1555" s="93"/>
      <c r="AU1555" t="s">
        <v>480</v>
      </c>
      <c r="AV1555" t="s">
        <v>481</v>
      </c>
      <c r="AW1555" t="s">
        <v>486</v>
      </c>
      <c r="AX1555" t="s">
        <v>487</v>
      </c>
      <c r="AY1555" t="s">
        <v>484</v>
      </c>
      <c r="AZ1555" t="s">
        <v>485</v>
      </c>
      <c r="BA1555" t="s">
        <v>488</v>
      </c>
      <c r="BB1555" t="s">
        <v>489</v>
      </c>
      <c r="BC1555" t="s">
        <v>480</v>
      </c>
      <c r="BD1555" t="s">
        <v>481</v>
      </c>
      <c r="BE1555" t="s">
        <v>486</v>
      </c>
      <c r="BF1555" t="s">
        <v>487</v>
      </c>
      <c r="BG1555" t="s">
        <v>484</v>
      </c>
      <c r="BH1555" t="s">
        <v>485</v>
      </c>
      <c r="BI1555" t="s">
        <v>488</v>
      </c>
      <c r="BJ1555" t="s">
        <v>489</v>
      </c>
      <c r="BK1555" t="s">
        <v>312</v>
      </c>
      <c r="BL1555" t="s">
        <v>258</v>
      </c>
      <c r="BM1555" t="s">
        <v>486</v>
      </c>
      <c r="BN1555" t="s">
        <v>490</v>
      </c>
      <c r="BO1555" t="s">
        <v>487</v>
      </c>
      <c r="BP1555" t="s">
        <v>490</v>
      </c>
      <c r="BQ1555" t="s">
        <v>488</v>
      </c>
      <c r="BR1555" t="s">
        <v>490</v>
      </c>
      <c r="BS1555" t="s">
        <v>489</v>
      </c>
      <c r="BT1555" t="s">
        <v>490</v>
      </c>
      <c r="BU1555" s="100"/>
    </row>
    <row r="1556" x14ac:dyDescent="0.25">
      <c r="B1556" t="s">
        <v>449</v>
      </c>
      <c r="C1556" s="19">
        <v>0</v>
      </c>
      <c r="D1556" s="19">
        <v>0</v>
      </c>
      <c r="E1556" s="66">
        <f>C20+D20/12</f>
        <v>0</v>
      </c>
      <c r="F1556" s="67">
        <v>0</v>
      </c>
      <c r="H1556" s="19">
        <v>0</v>
      </c>
      <c r="I1556" s="64" t="s">
        <v>196</v>
      </c>
      <c r="J1556" s="19">
        <v>0</v>
      </c>
      <c r="K1556" s="19">
        <v>0</v>
      </c>
      <c r="L1556" s="19">
        <v>0</v>
      </c>
      <c r="M1556" s="19">
        <v>0</v>
      </c>
      <c r="P1556" s="93"/>
      <c r="Q1556" t="s">
        <v>449</v>
      </c>
      <c r="R1556" s="19">
        <f>$H$20</f>
        <v>0</v>
      </c>
      <c r="S1556">
        <f>R1556*0.6</f>
        <v>0</v>
      </c>
      <c r="T1556">
        <f>$C$54/2*R1556</f>
        <v>0</v>
      </c>
      <c r="U1556">
        <f>T1556*0.6</f>
        <v>0</v>
      </c>
      <c r="V1556" s="19">
        <v>0</v>
      </c>
      <c r="W1556">
        <f>V1556*0.7</f>
        <v>0</v>
      </c>
      <c r="X1556">
        <f>$C$54/2*V1556</f>
        <v>0</v>
      </c>
      <c r="Y1556">
        <f>X1556*0.7</f>
        <v>0</v>
      </c>
      <c r="Z1556" s="19">
        <f>$H$20</f>
        <v>0</v>
      </c>
      <c r="AA1556">
        <f>Z1556*0.6</f>
        <v>0</v>
      </c>
      <c r="AB1556">
        <f>$D$54/2*Z1556</f>
        <v>0</v>
      </c>
      <c r="AC1556">
        <f t="shared" ref="AC1556:AC1562" si="948">0.6*AB1556</f>
        <v>0</v>
      </c>
      <c r="AD1556" s="19">
        <v>0</v>
      </c>
      <c r="AE1556">
        <f>AD1556*0.7</f>
        <v>0</v>
      </c>
      <c r="AF1556">
        <f>$D$54/2*AD1556</f>
        <v>0</v>
      </c>
      <c r="AG1556">
        <f>AF1556*0.7</f>
        <v>0</v>
      </c>
      <c r="AH1556" s="19">
        <v>0</v>
      </c>
      <c r="AI1556" s="19">
        <v>0</v>
      </c>
      <c r="AJ1556" s="17">
        <f>T1556+AB1556+AH1556</f>
        <v>0</v>
      </c>
      <c r="AK1556" s="17">
        <f>AK1557+AJ1556</f>
        <v>13166</v>
      </c>
      <c r="AL1556" s="17">
        <f>AJ1556*0.6</f>
        <v>0</v>
      </c>
      <c r="AM1556" s="17">
        <f>AM1557+AL1556</f>
        <v>7899.5999999999995</v>
      </c>
      <c r="AN1556" s="17">
        <f>X1556+AF1556+AI1556</f>
        <v>0</v>
      </c>
      <c r="AO1556" s="17">
        <f t="shared" ref="AO1556:AQ1559" si="949">AN1556+AO1557</f>
        <v>1302.0999999999999</v>
      </c>
      <c r="AP1556" s="17">
        <f>AN1556*0.7</f>
        <v>0</v>
      </c>
      <c r="AQ1556" s="17">
        <f>AP1556+AQ1557</f>
        <v>911.46999999999991</v>
      </c>
      <c r="AR1556" s="100"/>
      <c r="AS1556" s="93"/>
      <c r="AT1556" t="s">
        <v>449</v>
      </c>
      <c r="AU1556" s="19">
        <f>$H$20</f>
        <v>0</v>
      </c>
      <c r="AV1556">
        <f>AU1556*0.6</f>
        <v>0</v>
      </c>
      <c r="AW1556">
        <f t="shared" ref="AW1556:AW1562" si="950">$I$54/2*AU1556</f>
        <v>0</v>
      </c>
      <c r="AX1556">
        <f>AW1556*0.6</f>
        <v>0</v>
      </c>
      <c r="AY1556" s="19">
        <v>0</v>
      </c>
      <c r="AZ1556">
        <f>AY1556*0.7</f>
        <v>0</v>
      </c>
      <c r="BA1556">
        <f t="shared" ref="BA1556:BA1561" si="951">$I$54/2*AY1556</f>
        <v>0</v>
      </c>
      <c r="BB1556">
        <f>BA1556*0.7</f>
        <v>0</v>
      </c>
      <c r="BC1556" s="19">
        <f>$H$20</f>
        <v>0</v>
      </c>
      <c r="BD1556">
        <f>BC1556*0.6</f>
        <v>0</v>
      </c>
      <c r="BE1556">
        <f t="shared" ref="BE1556:BE1562" si="952">$J$54/2*BC1556</f>
        <v>0</v>
      </c>
      <c r="BF1556">
        <f t="shared" ref="BF1556:BF1562" si="953">0.6*BE1556</f>
        <v>0</v>
      </c>
      <c r="BG1556" s="19">
        <v>0</v>
      </c>
      <c r="BH1556">
        <f>BG1556*0.7</f>
        <v>0</v>
      </c>
      <c r="BI1556">
        <f t="shared" ref="BI1556:BI1561" si="954">$J$54/2*BG1556</f>
        <v>0</v>
      </c>
      <c r="BJ1556">
        <f>BI1556*0.7</f>
        <v>0</v>
      </c>
      <c r="BK1556" s="19">
        <v>0</v>
      </c>
      <c r="BL1556" s="19">
        <v>0</v>
      </c>
      <c r="BM1556" s="17">
        <f>AW1556+BE1556+BK1556</f>
        <v>0</v>
      </c>
      <c r="BN1556" s="17">
        <f>BN1557+BM1556</f>
        <v>12258</v>
      </c>
      <c r="BO1556" s="17">
        <f>BM1556*0.6</f>
        <v>0</v>
      </c>
      <c r="BP1556" s="17">
        <f>BP1557+BO1556</f>
        <v>7354.7999999999993</v>
      </c>
      <c r="BQ1556" s="17">
        <f>BA1556+BI1556+BL1556</f>
        <v>0</v>
      </c>
      <c r="BR1556" s="17">
        <f t="shared" ref="BR1556:BR1559" si="955">BQ1556+BR1557</f>
        <v>1212.3</v>
      </c>
      <c r="BS1556" s="17">
        <f>BQ1556*0.7</f>
        <v>0</v>
      </c>
      <c r="BT1556" s="17">
        <f>BS1556+BT1557</f>
        <v>848.6099999999999</v>
      </c>
      <c r="BU1556" s="100"/>
    </row>
    <row r="1557" x14ac:dyDescent="0.25">
      <c r="B1557" t="s">
        <v>450</v>
      </c>
      <c r="C1557" s="19">
        <v>10</v>
      </c>
      <c r="D1557" s="19">
        <v>8.25</v>
      </c>
      <c r="E1557" s="66">
        <f>C21+D21/12</f>
        <v>10.6875</v>
      </c>
      <c r="F1557" s="67">
        <f>IF(E21&gt;0,E21-(C15+C14+2*1.5+IF(C13="single",1.5,3))/12-_xlfn.XLOOKUP(E21,E20,E20,,-1),0)</f>
        <v>8.75</v>
      </c>
      <c r="H1557" s="19">
        <v>236</v>
      </c>
      <c r="I1557" s="64" t="s">
        <v>196</v>
      </c>
      <c r="J1557" s="19">
        <v>33.799999999999997</v>
      </c>
      <c r="K1557" s="19">
        <v>65.599999999999994</v>
      </c>
      <c r="L1557" s="19">
        <v>19.3</v>
      </c>
      <c r="M1557" s="19">
        <v>119.6</v>
      </c>
      <c r="P1557" s="93"/>
      <c r="Q1557" t="s">
        <v>450</v>
      </c>
      <c r="R1557" s="19">
        <f>$H$21</f>
        <v>236</v>
      </c>
      <c r="S1557">
        <f t="shared" ref="S1557:S1562" si="956">R1557*0.6</f>
        <v>141.6</v>
      </c>
      <c r="T1557">
        <f t="shared" ref="T1557:T1561" si="957">$C$54/2*R1557</f>
        <v>0</v>
      </c>
      <c r="U1557">
        <f>T1557*0.6</f>
        <v>0</v>
      </c>
      <c r="V1557" s="19">
        <v>33.799999999999997</v>
      </c>
      <c r="W1557">
        <f t="shared" ref="W1557:W1561" si="958">V1557*0.7</f>
        <v>23.659999999999997</v>
      </c>
      <c r="X1557">
        <f t="shared" ref="X1557:X1561" si="959">$C$54/2*V1557</f>
        <v>0</v>
      </c>
      <c r="Y1557">
        <f t="shared" ref="Y1557:Y1561" si="960">X1557*0.7</f>
        <v>0</v>
      </c>
      <c r="Z1557" s="19">
        <f>$H$21</f>
        <v>236</v>
      </c>
      <c r="AA1557">
        <f t="shared" ref="AA1557:AA1561" si="961">Z1557*0.6</f>
        <v>141.6</v>
      </c>
      <c r="AB1557">
        <f t="shared" ref="AB1557:AB1561" si="962">$D$54/2*Z1557</f>
        <v>3422</v>
      </c>
      <c r="AC1557">
        <f t="shared" si="948"/>
        <v>2053.1999999999998</v>
      </c>
      <c r="AD1557" s="19">
        <v>33.799999999999997</v>
      </c>
      <c r="AE1557">
        <f t="shared" ref="AE1557:AE1561" si="963">AD1557*0.7</f>
        <v>23.659999999999997</v>
      </c>
      <c r="AF1557">
        <f t="shared" ref="AF1557:AF1561" si="964">$D$54/2*AD1557</f>
        <v>490.09999999999997</v>
      </c>
      <c r="AG1557">
        <f t="shared" ref="AG1557:AG1561" si="965">AF1557*0.7</f>
        <v>343.06999999999994</v>
      </c>
      <c r="AH1557" s="19">
        <v>0</v>
      </c>
      <c r="AI1557" s="19">
        <v>0</v>
      </c>
      <c r="AJ1557" s="17">
        <f>T1557+AB1557+AH1557</f>
        <v>3422</v>
      </c>
      <c r="AK1557" s="17">
        <f>AK1558+AJ1557</f>
        <v>13166</v>
      </c>
      <c r="AL1557" s="17">
        <f t="shared" ref="AL1557:AL1561" si="966">AJ1557*0.6</f>
        <v>2053.1999999999998</v>
      </c>
      <c r="AM1557" s="17">
        <f t="shared" ref="AM1557:AM1559" si="967">AM1558+AL1557</f>
        <v>7899.5999999999995</v>
      </c>
      <c r="AN1557" s="17">
        <f t="shared" ref="AN1557:AN1560" si="968">X1557+AF1557+AI1557</f>
        <v>490.09999999999997</v>
      </c>
      <c r="AO1557" s="17">
        <f t="shared" si="949"/>
        <v>1302.0999999999999</v>
      </c>
      <c r="AP1557" s="17">
        <f t="shared" ref="AP1557:AP1560" si="969">AN1557*0.7</f>
        <v>343.06999999999994</v>
      </c>
      <c r="AQ1557" s="17">
        <f t="shared" si="949"/>
        <v>911.46999999999991</v>
      </c>
      <c r="AR1557" s="100"/>
      <c r="AS1557" s="93"/>
      <c r="AT1557" t="s">
        <v>450</v>
      </c>
      <c r="AU1557" s="19">
        <f>$H$21</f>
        <v>236</v>
      </c>
      <c r="AV1557">
        <f t="shared" ref="AV1557:AV1562" si="970">AU1557*0.6</f>
        <v>141.6</v>
      </c>
      <c r="AW1557">
        <f t="shared" si="950"/>
        <v>0</v>
      </c>
      <c r="AX1557">
        <f>AW1557*0.6</f>
        <v>0</v>
      </c>
      <c r="AY1557" s="19">
        <v>33.799999999999997</v>
      </c>
      <c r="AZ1557">
        <f t="shared" ref="AZ1557:AZ1561" si="971">AY1557*0.7</f>
        <v>23.659999999999997</v>
      </c>
      <c r="BA1557">
        <f t="shared" si="951"/>
        <v>0</v>
      </c>
      <c r="BB1557">
        <f t="shared" ref="BB1557:BB1561" si="972">BA1557*0.7</f>
        <v>0</v>
      </c>
      <c r="BC1557" s="19">
        <f>$H$21</f>
        <v>236</v>
      </c>
      <c r="BD1557">
        <f t="shared" ref="BD1557:BD1561" si="973">BC1557*0.6</f>
        <v>141.6</v>
      </c>
      <c r="BE1557">
        <f t="shared" si="952"/>
        <v>3186</v>
      </c>
      <c r="BF1557">
        <f t="shared" si="953"/>
        <v>1911.6</v>
      </c>
      <c r="BG1557" s="19">
        <v>33.799999999999997</v>
      </c>
      <c r="BH1557">
        <f t="shared" ref="BH1557:BH1561" si="974">BG1557*0.7</f>
        <v>23.659999999999997</v>
      </c>
      <c r="BI1557">
        <f t="shared" si="954"/>
        <v>456.29999999999995</v>
      </c>
      <c r="BJ1557">
        <f t="shared" ref="BJ1557:BJ1561" si="975">BI1557*0.7</f>
        <v>319.40999999999997</v>
      </c>
      <c r="BK1557" s="19">
        <v>0</v>
      </c>
      <c r="BL1557" s="19">
        <v>0</v>
      </c>
      <c r="BM1557" s="17">
        <f>AW1557+BE1557+BK1557</f>
        <v>3186</v>
      </c>
      <c r="BN1557" s="17">
        <f>BN1558+BM1557</f>
        <v>12258</v>
      </c>
      <c r="BO1557" s="17">
        <f t="shared" ref="BO1557" si="976">BM1557*0.6</f>
        <v>1911.6</v>
      </c>
      <c r="BP1557" s="17">
        <f t="shared" ref="BP1557:BP1559" si="977">BP1558+BO1557</f>
        <v>7354.7999999999993</v>
      </c>
      <c r="BQ1557" s="17">
        <f t="shared" ref="BQ1557:BQ1560" si="978">BA1557+BI1557+BL1557</f>
        <v>456.29999999999995</v>
      </c>
      <c r="BR1557" s="17">
        <f t="shared" si="955"/>
        <v>1212.3</v>
      </c>
      <c r="BS1557" s="17">
        <f t="shared" ref="BS1557:BS1560" si="979">BQ1557*0.7</f>
        <v>319.40999999999997</v>
      </c>
      <c r="BT1557" s="17">
        <f t="shared" ref="BT1557:BT1559" si="980">BS1557+BT1558</f>
        <v>848.6099999999999</v>
      </c>
      <c r="BU1557" s="100"/>
    </row>
    <row r="1558" x14ac:dyDescent="0.25">
      <c r="B1558" t="s">
        <v>451</v>
      </c>
      <c r="C1558" s="19">
        <v>21</v>
      </c>
      <c r="D1558" s="19">
        <v>4.5</v>
      </c>
      <c r="E1558" s="66">
        <f t="shared" ref="E22:E25" si="981">C22+D22/12</f>
        <v>21.375</v>
      </c>
      <c r="F1558" s="67">
        <f>IF(E22&gt;0,E22-(C15+C14+2*1.5+IF(C13="single",1.5,3))/12-_xlfn.XLOOKUP(E22,E20:E21,E20:E21,,-1),0)</f>
        <v>8.75</v>
      </c>
      <c r="H1558" s="19">
        <v>229</v>
      </c>
      <c r="I1558" s="64" t="s">
        <v>196</v>
      </c>
      <c r="J1558" s="19">
        <v>37.1</v>
      </c>
      <c r="K1558" s="19">
        <v>71.8</v>
      </c>
      <c r="L1558" s="19">
        <v>21.1</v>
      </c>
      <c r="M1558" s="19">
        <v>131.1</v>
      </c>
      <c r="P1558" s="93"/>
      <c r="Q1558" t="s">
        <v>451</v>
      </c>
      <c r="R1558" s="19">
        <f>$H$22</f>
        <v>229</v>
      </c>
      <c r="S1558">
        <f t="shared" si="956"/>
        <v>137.4</v>
      </c>
      <c r="T1558">
        <f t="shared" si="957"/>
        <v>0</v>
      </c>
      <c r="U1558">
        <f t="shared" ref="U1558:U1562" si="982">T1558*0.6</f>
        <v>0</v>
      </c>
      <c r="V1558" s="19">
        <v>37.1</v>
      </c>
      <c r="W1558">
        <f t="shared" si="958"/>
        <v>25.97</v>
      </c>
      <c r="X1558">
        <f>$C$54/2*V1558</f>
        <v>0</v>
      </c>
      <c r="Y1558">
        <f t="shared" si="960"/>
        <v>0</v>
      </c>
      <c r="Z1558" s="19">
        <f>$H$22</f>
        <v>229</v>
      </c>
      <c r="AA1558">
        <f t="shared" si="961"/>
        <v>137.4</v>
      </c>
      <c r="AB1558">
        <f t="shared" si="962"/>
        <v>3320.5</v>
      </c>
      <c r="AC1558">
        <f t="shared" si="948"/>
        <v>1992.3</v>
      </c>
      <c r="AD1558" s="19">
        <v>37.1</v>
      </c>
      <c r="AE1558">
        <f t="shared" si="963"/>
        <v>25.97</v>
      </c>
      <c r="AF1558">
        <f t="shared" si="964"/>
        <v>537.95000000000005</v>
      </c>
      <c r="AG1558">
        <f t="shared" si="965"/>
        <v>376.565</v>
      </c>
      <c r="AH1558" s="19">
        <v>0</v>
      </c>
      <c r="AI1558" s="19">
        <v>0</v>
      </c>
      <c r="AJ1558" s="17">
        <f t="shared" ref="AJ1558:AJ1560" si="983">T1558+AB1558+AH1558</f>
        <v>3320.5</v>
      </c>
      <c r="AK1558" s="17">
        <f>AK1559+AJ1558</f>
        <v>9744</v>
      </c>
      <c r="AL1558" s="17">
        <f>AJ1558*0.6</f>
        <v>1992.3</v>
      </c>
      <c r="AM1558" s="17">
        <f t="shared" si="967"/>
        <v>5846.4</v>
      </c>
      <c r="AN1558" s="17">
        <f t="shared" si="968"/>
        <v>537.95000000000005</v>
      </c>
      <c r="AO1558" s="17">
        <f t="shared" si="949"/>
        <v>812</v>
      </c>
      <c r="AP1558" s="17">
        <f t="shared" si="969"/>
        <v>376.565</v>
      </c>
      <c r="AQ1558" s="17">
        <f t="shared" si="949"/>
        <v>568.4</v>
      </c>
      <c r="AR1558" s="100"/>
      <c r="AS1558" s="93"/>
      <c r="AT1558" t="s">
        <v>451</v>
      </c>
      <c r="AU1558" s="19">
        <f>$H$22</f>
        <v>229</v>
      </c>
      <c r="AV1558">
        <f t="shared" si="970"/>
        <v>137.4</v>
      </c>
      <c r="AW1558">
        <f t="shared" si="950"/>
        <v>0</v>
      </c>
      <c r="AX1558">
        <f t="shared" ref="AX1558:AX1562" si="984">AW1558*0.6</f>
        <v>0</v>
      </c>
      <c r="AY1558" s="19">
        <v>37.1</v>
      </c>
      <c r="AZ1558">
        <f t="shared" si="971"/>
        <v>25.97</v>
      </c>
      <c r="BA1558">
        <f t="shared" si="951"/>
        <v>0</v>
      </c>
      <c r="BB1558">
        <f t="shared" si="972"/>
        <v>0</v>
      </c>
      <c r="BC1558" s="19">
        <f>$H$22</f>
        <v>229</v>
      </c>
      <c r="BD1558">
        <f t="shared" si="973"/>
        <v>137.4</v>
      </c>
      <c r="BE1558">
        <f t="shared" si="952"/>
        <v>3091.5</v>
      </c>
      <c r="BF1558">
        <f t="shared" si="953"/>
        <v>1854.8999999999999</v>
      </c>
      <c r="BG1558" s="19">
        <v>37.1</v>
      </c>
      <c r="BH1558">
        <f t="shared" si="974"/>
        <v>25.97</v>
      </c>
      <c r="BI1558">
        <f t="shared" si="954"/>
        <v>500.85</v>
      </c>
      <c r="BJ1558">
        <f t="shared" si="975"/>
        <v>350.59499999999997</v>
      </c>
      <c r="BK1558" s="19">
        <v>0</v>
      </c>
      <c r="BL1558" s="19">
        <v>0</v>
      </c>
      <c r="BM1558" s="17">
        <f t="shared" ref="BM1558:BM1560" si="985">AW1558+BE1558+BK1558</f>
        <v>3091.5</v>
      </c>
      <c r="BN1558" s="17">
        <f>BN1559+BM1558</f>
        <v>9072</v>
      </c>
      <c r="BO1558" s="17">
        <f>BM1558*0.6</f>
        <v>1854.8999999999999</v>
      </c>
      <c r="BP1558" s="17">
        <f t="shared" si="977"/>
        <v>5443.2</v>
      </c>
      <c r="BQ1558" s="17">
        <f t="shared" si="978"/>
        <v>500.85</v>
      </c>
      <c r="BR1558" s="17">
        <f t="shared" si="955"/>
        <v>756</v>
      </c>
      <c r="BS1558" s="17">
        <f t="shared" si="979"/>
        <v>350.59499999999997</v>
      </c>
      <c r="BT1558" s="17">
        <f t="shared" si="980"/>
        <v>529.19999999999993</v>
      </c>
      <c r="BU1558" s="100"/>
    </row>
    <row r="1559" x14ac:dyDescent="0.25">
      <c r="B1559" t="s">
        <v>452</v>
      </c>
      <c r="C1559" s="19">
        <v>0</v>
      </c>
      <c r="D1559" s="19">
        <v>0</v>
      </c>
      <c r="E1559" s="66">
        <f t="shared" si="981"/>
        <v>0</v>
      </c>
      <c r="F1559" s="67">
        <f>IF(E23&gt;0,E23-(C15+C14+2*1.5+IF(C13="single",1.5,3))/12-_xlfn.XLOOKUP(E23,E20:E22,E20:E22,,-1),0)</f>
        <v>0</v>
      </c>
      <c r="H1559" s="19">
        <v>0</v>
      </c>
      <c r="I1559" s="64" t="s">
        <v>196</v>
      </c>
      <c r="J1559" s="19">
        <v>0</v>
      </c>
      <c r="K1559" s="19">
        <v>0</v>
      </c>
      <c r="L1559" s="19">
        <v>0</v>
      </c>
      <c r="M1559" s="19">
        <v>0</v>
      </c>
      <c r="P1559" s="93"/>
      <c r="Q1559" t="s">
        <v>452</v>
      </c>
      <c r="R1559" s="19">
        <f>$H$23</f>
        <v>0</v>
      </c>
      <c r="S1559">
        <f t="shared" si="956"/>
        <v>0</v>
      </c>
      <c r="T1559">
        <f t="shared" si="957"/>
        <v>0</v>
      </c>
      <c r="U1559">
        <f t="shared" si="982"/>
        <v>0</v>
      </c>
      <c r="V1559" s="19">
        <v>0</v>
      </c>
      <c r="W1559">
        <f t="shared" si="958"/>
        <v>0</v>
      </c>
      <c r="X1559">
        <f t="shared" si="959"/>
        <v>0</v>
      </c>
      <c r="Y1559">
        <f t="shared" si="960"/>
        <v>0</v>
      </c>
      <c r="Z1559" s="19">
        <f>$H$23</f>
        <v>0</v>
      </c>
      <c r="AA1559">
        <f t="shared" si="961"/>
        <v>0</v>
      </c>
      <c r="AB1559">
        <f t="shared" si="962"/>
        <v>0</v>
      </c>
      <c r="AC1559">
        <f t="shared" si="948"/>
        <v>0</v>
      </c>
      <c r="AD1559" s="19">
        <v>0</v>
      </c>
      <c r="AE1559">
        <f t="shared" si="963"/>
        <v>0</v>
      </c>
      <c r="AF1559">
        <f t="shared" si="964"/>
        <v>0</v>
      </c>
      <c r="AG1559">
        <f t="shared" si="965"/>
        <v>0</v>
      </c>
      <c r="AH1559" s="19">
        <v>0</v>
      </c>
      <c r="AI1559" s="19">
        <v>0</v>
      </c>
      <c r="AJ1559" s="17">
        <f t="shared" si="983"/>
        <v>0</v>
      </c>
      <c r="AK1559" s="17">
        <f>AK1560+AJ1559</f>
        <v>6423.5</v>
      </c>
      <c r="AL1559" s="17">
        <f>AJ1559*0.6</f>
        <v>0</v>
      </c>
      <c r="AM1559" s="17">
        <f t="shared" si="967"/>
        <v>3854.1</v>
      </c>
      <c r="AN1559" s="17">
        <f t="shared" si="968"/>
        <v>0</v>
      </c>
      <c r="AO1559" s="17">
        <f t="shared" si="949"/>
        <v>274.04999999999995</v>
      </c>
      <c r="AP1559" s="17">
        <f t="shared" si="969"/>
        <v>0</v>
      </c>
      <c r="AQ1559" s="17">
        <f t="shared" si="949"/>
        <v>191.83499999999995</v>
      </c>
      <c r="AR1559" s="100"/>
      <c r="AS1559" s="93"/>
      <c r="AT1559" t="s">
        <v>452</v>
      </c>
      <c r="AU1559" s="19">
        <f>$H$23</f>
        <v>0</v>
      </c>
      <c r="AV1559">
        <f t="shared" si="970"/>
        <v>0</v>
      </c>
      <c r="AW1559">
        <f t="shared" si="950"/>
        <v>0</v>
      </c>
      <c r="AX1559">
        <f t="shared" si="984"/>
        <v>0</v>
      </c>
      <c r="AY1559" s="19">
        <v>0</v>
      </c>
      <c r="AZ1559">
        <f t="shared" si="971"/>
        <v>0</v>
      </c>
      <c r="BA1559">
        <f t="shared" si="951"/>
        <v>0</v>
      </c>
      <c r="BB1559">
        <f t="shared" si="972"/>
        <v>0</v>
      </c>
      <c r="BC1559" s="19">
        <f>$H$23</f>
        <v>0</v>
      </c>
      <c r="BD1559">
        <f t="shared" si="973"/>
        <v>0</v>
      </c>
      <c r="BE1559">
        <f t="shared" si="952"/>
        <v>0</v>
      </c>
      <c r="BF1559">
        <f t="shared" si="953"/>
        <v>0</v>
      </c>
      <c r="BG1559" s="19">
        <v>0</v>
      </c>
      <c r="BH1559">
        <f t="shared" si="974"/>
        <v>0</v>
      </c>
      <c r="BI1559">
        <f t="shared" si="954"/>
        <v>0</v>
      </c>
      <c r="BJ1559">
        <f t="shared" si="975"/>
        <v>0</v>
      </c>
      <c r="BK1559" s="19">
        <v>0</v>
      </c>
      <c r="BL1559" s="19">
        <v>0</v>
      </c>
      <c r="BM1559" s="17">
        <f t="shared" si="985"/>
        <v>0</v>
      </c>
      <c r="BN1559" s="17">
        <f>BN1560+BM1559</f>
        <v>5980.5</v>
      </c>
      <c r="BO1559" s="17">
        <f>BM1559*0.6</f>
        <v>0</v>
      </c>
      <c r="BP1559" s="17">
        <f t="shared" si="977"/>
        <v>3588.2999999999997</v>
      </c>
      <c r="BQ1559" s="17">
        <f t="shared" si="978"/>
        <v>0</v>
      </c>
      <c r="BR1559" s="17">
        <f t="shared" si="955"/>
        <v>255.14999999999998</v>
      </c>
      <c r="BS1559" s="17">
        <f t="shared" si="979"/>
        <v>0</v>
      </c>
      <c r="BT1559" s="17">
        <f t="shared" si="980"/>
        <v>178.60499999999996</v>
      </c>
      <c r="BU1559" s="100"/>
    </row>
    <row r="1560" x14ac:dyDescent="0.25">
      <c r="B1560" t="s">
        <v>453</v>
      </c>
      <c r="C1560" s="19">
        <v>0</v>
      </c>
      <c r="D1560" s="19">
        <v>0</v>
      </c>
      <c r="E1560" s="66">
        <f t="shared" si="981"/>
        <v>0</v>
      </c>
      <c r="F1560" s="67">
        <f>IF(E24&gt;0,E24-(C15+C14+2*1.5+IF(C13="single",1.5,3))/12-_xlfn.XLOOKUP(E24,E20:E23,E20:E23,,-1),0)</f>
        <v>0</v>
      </c>
      <c r="H1560" s="19">
        <v>0</v>
      </c>
      <c r="I1560" s="64" t="s">
        <v>196</v>
      </c>
      <c r="J1560" s="19">
        <v>0</v>
      </c>
      <c r="K1560" s="19">
        <v>0</v>
      </c>
      <c r="L1560" s="19">
        <v>0</v>
      </c>
      <c r="M1560" s="19">
        <v>0</v>
      </c>
      <c r="P1560" s="93"/>
      <c r="Q1560" t="s">
        <v>453</v>
      </c>
      <c r="R1560" s="19">
        <f>$H$24</f>
        <v>0</v>
      </c>
      <c r="S1560">
        <f t="shared" si="956"/>
        <v>0</v>
      </c>
      <c r="T1560">
        <f t="shared" si="957"/>
        <v>0</v>
      </c>
      <c r="U1560">
        <f t="shared" si="982"/>
        <v>0</v>
      </c>
      <c r="V1560" s="19">
        <v>0</v>
      </c>
      <c r="W1560">
        <f t="shared" si="958"/>
        <v>0</v>
      </c>
      <c r="X1560">
        <f t="shared" si="959"/>
        <v>0</v>
      </c>
      <c r="Y1560">
        <f t="shared" si="960"/>
        <v>0</v>
      </c>
      <c r="Z1560" s="19">
        <f>$H$24</f>
        <v>0</v>
      </c>
      <c r="AA1560">
        <f t="shared" si="961"/>
        <v>0</v>
      </c>
      <c r="AB1560">
        <f t="shared" si="962"/>
        <v>0</v>
      </c>
      <c r="AC1560">
        <f t="shared" si="948"/>
        <v>0</v>
      </c>
      <c r="AD1560" s="19">
        <v>0</v>
      </c>
      <c r="AE1560">
        <f t="shared" si="963"/>
        <v>0</v>
      </c>
      <c r="AF1560">
        <f t="shared" si="964"/>
        <v>0</v>
      </c>
      <c r="AG1560">
        <f t="shared" si="965"/>
        <v>0</v>
      </c>
      <c r="AH1560" s="19">
        <v>0</v>
      </c>
      <c r="AI1560" s="19">
        <v>0</v>
      </c>
      <c r="AJ1560" s="17">
        <f t="shared" si="983"/>
        <v>0</v>
      </c>
      <c r="AK1560" s="17">
        <f>AK1561+IF(AJ1560=0,0,AJ1560)</f>
        <v>6423.5</v>
      </c>
      <c r="AL1560" s="17">
        <f t="shared" si="966"/>
        <v>0</v>
      </c>
      <c r="AM1560" s="17">
        <f>AM1561+AL1560</f>
        <v>3854.1</v>
      </c>
      <c r="AN1560" s="17">
        <f t="shared" si="968"/>
        <v>0</v>
      </c>
      <c r="AO1560" s="17">
        <f>AN1560+AO1561</f>
        <v>274.04999999999995</v>
      </c>
      <c r="AP1560" s="17">
        <f t="shared" si="969"/>
        <v>0</v>
      </c>
      <c r="AQ1560" s="17">
        <f>AP1560+AQ1561</f>
        <v>191.83499999999995</v>
      </c>
      <c r="AR1560" s="100"/>
      <c r="AS1560" s="93"/>
      <c r="AT1560" t="s">
        <v>453</v>
      </c>
      <c r="AU1560" s="19">
        <f>$H$24</f>
        <v>0</v>
      </c>
      <c r="AV1560">
        <f t="shared" si="970"/>
        <v>0</v>
      </c>
      <c r="AW1560">
        <f t="shared" si="950"/>
        <v>0</v>
      </c>
      <c r="AX1560">
        <f t="shared" si="984"/>
        <v>0</v>
      </c>
      <c r="AY1560" s="19">
        <v>0</v>
      </c>
      <c r="AZ1560">
        <f t="shared" si="971"/>
        <v>0</v>
      </c>
      <c r="BA1560">
        <f t="shared" si="951"/>
        <v>0</v>
      </c>
      <c r="BB1560">
        <f t="shared" si="972"/>
        <v>0</v>
      </c>
      <c r="BC1560" s="19">
        <f>$H$24</f>
        <v>0</v>
      </c>
      <c r="BD1560">
        <f t="shared" si="973"/>
        <v>0</v>
      </c>
      <c r="BE1560">
        <f t="shared" si="952"/>
        <v>0</v>
      </c>
      <c r="BF1560">
        <f t="shared" si="953"/>
        <v>0</v>
      </c>
      <c r="BG1560" s="19">
        <v>0</v>
      </c>
      <c r="BH1560">
        <f t="shared" si="974"/>
        <v>0</v>
      </c>
      <c r="BI1560">
        <f t="shared" si="954"/>
        <v>0</v>
      </c>
      <c r="BJ1560">
        <f t="shared" si="975"/>
        <v>0</v>
      </c>
      <c r="BK1560" s="19">
        <v>0</v>
      </c>
      <c r="BL1560" s="19">
        <v>0</v>
      </c>
      <c r="BM1560" s="17">
        <f t="shared" si="985"/>
        <v>0</v>
      </c>
      <c r="BN1560" s="17">
        <f>BN1561+IF(BM1560=0,0,BM1560)</f>
        <v>5980.5</v>
      </c>
      <c r="BO1560" s="17">
        <f t="shared" ref="BO1560:BO1561" si="986">BM1560*0.6</f>
        <v>0</v>
      </c>
      <c r="BP1560" s="17">
        <f>BP1561+BO1560</f>
        <v>3588.2999999999997</v>
      </c>
      <c r="BQ1560" s="17">
        <f t="shared" si="978"/>
        <v>0</v>
      </c>
      <c r="BR1560" s="17">
        <f>BQ1560+BR1561</f>
        <v>255.14999999999998</v>
      </c>
      <c r="BS1560" s="17">
        <f t="shared" si="979"/>
        <v>0</v>
      </c>
      <c r="BT1560" s="17">
        <f>BS1560+BT1561</f>
        <v>178.60499999999996</v>
      </c>
      <c r="BU1560" s="100"/>
    </row>
    <row r="1561" x14ac:dyDescent="0.25">
      <c r="B1561" t="s">
        <v>275</v>
      </c>
      <c r="C1561" s="19">
        <f>(33+32)/2</f>
        <v>32.5</v>
      </c>
      <c r="D1561" s="19">
        <f>(10.5+5.625)/2</f>
        <v>8.0625</v>
      </c>
      <c r="E1561" s="68">
        <f t="shared" si="981"/>
        <v>33.171875</v>
      </c>
      <c r="F1561" s="69">
        <f>E25-(C17+C16+2*1.5+IF(C13="single",1.5,3))/12-_xlfn.XLOOKUP(E25,E20:E24,E20:E24,,-1)</f>
        <v>8.6770833333333321</v>
      </c>
      <c r="H1561" s="19">
        <v>443</v>
      </c>
      <c r="I1561" s="64" t="s">
        <v>196</v>
      </c>
      <c r="J1561" s="19">
        <v>18.899999999999999</v>
      </c>
      <c r="K1561" s="19">
        <v>36.6</v>
      </c>
      <c r="L1561" s="19">
        <v>10.8</v>
      </c>
      <c r="M1561" s="19">
        <v>66.7</v>
      </c>
      <c r="P1561" s="93"/>
      <c r="Q1561" t="s">
        <v>275</v>
      </c>
      <c r="R1561" s="19">
        <f>$H$25</f>
        <v>443</v>
      </c>
      <c r="S1561">
        <f t="shared" si="956"/>
        <v>265.8</v>
      </c>
      <c r="T1561">
        <f t="shared" si="957"/>
        <v>0</v>
      </c>
      <c r="U1561">
        <f t="shared" si="982"/>
        <v>0</v>
      </c>
      <c r="V1561" s="19">
        <v>18.899999999999999</v>
      </c>
      <c r="W1561">
        <f t="shared" si="958"/>
        <v>13.229999999999999</v>
      </c>
      <c r="X1561">
        <f t="shared" si="959"/>
        <v>0</v>
      </c>
      <c r="Y1561">
        <f t="shared" si="960"/>
        <v>0</v>
      </c>
      <c r="Z1561" s="19">
        <f>$H$25</f>
        <v>443</v>
      </c>
      <c r="AA1561">
        <f t="shared" si="961"/>
        <v>265.8</v>
      </c>
      <c r="AB1561">
        <f t="shared" si="962"/>
        <v>6423.5</v>
      </c>
      <c r="AC1561">
        <f t="shared" si="948"/>
        <v>3854.1</v>
      </c>
      <c r="AD1561" s="19">
        <v>18.899999999999999</v>
      </c>
      <c r="AE1561">
        <f t="shared" si="963"/>
        <v>13.229999999999999</v>
      </c>
      <c r="AF1561">
        <f t="shared" si="964"/>
        <v>274.04999999999995</v>
      </c>
      <c r="AG1561">
        <f t="shared" si="965"/>
        <v>191.83499999999995</v>
      </c>
      <c r="AH1561" s="19">
        <v>0</v>
      </c>
      <c r="AI1561" s="19">
        <v>0</v>
      </c>
      <c r="AJ1561" s="17">
        <f>T1561+AB1561+AH1561</f>
        <v>6423.5</v>
      </c>
      <c r="AK1561" s="17">
        <f>AJ1561</f>
        <v>6423.5</v>
      </c>
      <c r="AL1561" s="17">
        <f t="shared" si="966"/>
        <v>3854.1</v>
      </c>
      <c r="AM1561" s="17">
        <f>AL1561</f>
        <v>3854.1</v>
      </c>
      <c r="AN1561" s="17">
        <f>X1561+AF1561+AI1561</f>
        <v>274.04999999999995</v>
      </c>
      <c r="AO1561" s="17">
        <f>AN1561</f>
        <v>274.04999999999995</v>
      </c>
      <c r="AP1561" s="17">
        <f>AN1561*0.7</f>
        <v>191.83499999999995</v>
      </c>
      <c r="AQ1561" s="17">
        <f>AP1561</f>
        <v>191.83499999999995</v>
      </c>
      <c r="AR1561" s="100"/>
      <c r="AS1561" s="93"/>
      <c r="AT1561" t="s">
        <v>275</v>
      </c>
      <c r="AU1561" s="19">
        <f>$H$25</f>
        <v>443</v>
      </c>
      <c r="AV1561">
        <f t="shared" si="970"/>
        <v>265.8</v>
      </c>
      <c r="AW1561">
        <f t="shared" si="950"/>
        <v>0</v>
      </c>
      <c r="AX1561">
        <f t="shared" si="984"/>
        <v>0</v>
      </c>
      <c r="AY1561" s="19">
        <v>18.899999999999999</v>
      </c>
      <c r="AZ1561">
        <f t="shared" si="971"/>
        <v>13.229999999999999</v>
      </c>
      <c r="BA1561">
        <f t="shared" si="951"/>
        <v>0</v>
      </c>
      <c r="BB1561">
        <f t="shared" si="972"/>
        <v>0</v>
      </c>
      <c r="BC1561" s="19">
        <f>$H$25</f>
        <v>443</v>
      </c>
      <c r="BD1561">
        <f t="shared" si="973"/>
        <v>265.8</v>
      </c>
      <c r="BE1561">
        <f t="shared" si="952"/>
        <v>5980.5</v>
      </c>
      <c r="BF1561">
        <f t="shared" si="953"/>
        <v>3588.2999999999997</v>
      </c>
      <c r="BG1561" s="19">
        <v>18.899999999999999</v>
      </c>
      <c r="BH1561">
        <f t="shared" si="974"/>
        <v>13.229999999999999</v>
      </c>
      <c r="BI1561">
        <f t="shared" si="954"/>
        <v>255.14999999999998</v>
      </c>
      <c r="BJ1561">
        <f t="shared" si="975"/>
        <v>178.60499999999996</v>
      </c>
      <c r="BK1561" s="19">
        <v>0</v>
      </c>
      <c r="BL1561" s="19">
        <v>0</v>
      </c>
      <c r="BM1561" s="17">
        <f>AW1561+BE1561+BK1561</f>
        <v>5980.5</v>
      </c>
      <c r="BN1561" s="17">
        <f>BM1561</f>
        <v>5980.5</v>
      </c>
      <c r="BO1561" s="17">
        <f t="shared" si="986"/>
        <v>3588.2999999999997</v>
      </c>
      <c r="BP1561" s="17">
        <f>BO1561</f>
        <v>3588.2999999999997</v>
      </c>
      <c r="BQ1561" s="17">
        <f>BA1561+BI1561+BL1561</f>
        <v>255.14999999999998</v>
      </c>
      <c r="BR1561" s="17">
        <f>BQ1561</f>
        <v>255.14999999999998</v>
      </c>
      <c r="BS1561" s="17">
        <f>BQ1561*0.7</f>
        <v>178.60499999999996</v>
      </c>
      <c r="BT1561" s="17">
        <f>BS1561</f>
        <v>178.60499999999996</v>
      </c>
      <c r="BU1561" s="100"/>
    </row>
    <row r="1562" x14ac:dyDescent="0.25">
      <c r="B1562" t="s">
        <v>530</v>
      </c>
      <c r="E1562" s="73"/>
      <c r="F1562" s="73"/>
      <c r="H1562" s="19">
        <v>-22.9</v>
      </c>
      <c r="I1562" s="64" t="s">
        <v>270</v>
      </c>
      <c r="P1562" s="93"/>
      <c r="R1562" s="19">
        <f>$H$26</f>
        <v>-22.9</v>
      </c>
      <c r="S1562">
        <f t="shared" si="956"/>
        <v>-13.739999999999998</v>
      </c>
      <c r="T1562">
        <f>$I$54/2*R1562</f>
        <v>0</v>
      </c>
      <c r="U1562">
        <f t="shared" si="982"/>
        <v>0</v>
      </c>
      <c r="Z1562" s="19">
        <f>$H$26</f>
        <v>-22.9</v>
      </c>
      <c r="AA1562">
        <f>Z1562*0.6</f>
        <v>-13.739999999999998</v>
      </c>
      <c r="AB1562">
        <f>$J$54/2*Z1562</f>
        <v>-309.14999999999998</v>
      </c>
      <c r="AC1562">
        <f t="shared" si="948"/>
        <v>-185.48999999999998</v>
      </c>
      <c r="AR1562" s="100"/>
      <c r="AS1562" s="93"/>
      <c r="AU1562" s="19">
        <f>$H$26</f>
        <v>-22.9</v>
      </c>
      <c r="AV1562">
        <f t="shared" si="970"/>
        <v>-13.739999999999998</v>
      </c>
      <c r="AW1562">
        <f t="shared" si="950"/>
        <v>0</v>
      </c>
      <c r="AX1562">
        <f t="shared" si="984"/>
        <v>0</v>
      </c>
      <c r="BC1562" s="19">
        <f>$H$26</f>
        <v>-22.9</v>
      </c>
      <c r="BD1562">
        <f>BC1562*0.6</f>
        <v>-13.739999999999998</v>
      </c>
      <c r="BE1562">
        <f t="shared" si="952"/>
        <v>-309.14999999999998</v>
      </c>
      <c r="BF1562">
        <f t="shared" si="953"/>
        <v>-185.48999999999998</v>
      </c>
      <c r="BU1562" s="100"/>
    </row>
    <row r="1563" x14ac:dyDescent="0.25">
      <c r="B1563" t="s">
        <v>531</v>
      </c>
      <c r="C1563" s="1" t="s">
        <v>533</v>
      </c>
      <c r="D1563" s="19">
        <v>0.18</v>
      </c>
      <c r="E1563" s="73"/>
      <c r="F1563" s="73"/>
      <c r="H1563">
        <f>0.2*D27</f>
        <v>3.5999999999999997E-2</v>
      </c>
      <c r="I1563" s="64" t="s">
        <v>534</v>
      </c>
      <c r="P1563" s="93"/>
      <c r="Q1563" s="1"/>
      <c r="AR1563" s="100"/>
      <c r="AS1563" s="93"/>
      <c r="AT1563" s="1"/>
      <c r="BU1563" s="100"/>
    </row>
    <row r="1564" x14ac:dyDescent="0.25">
      <c r="P1564" s="93"/>
      <c r="Y1564" s="112" t="s">
        <v>752</v>
      </c>
      <c r="Z1564" s="112"/>
      <c r="AA1564" s="112"/>
      <c r="AB1564" s="112"/>
      <c r="AC1564" s="112"/>
      <c r="AR1564" s="100"/>
      <c r="AS1564" s="93"/>
      <c r="BB1564" s="112" t="s">
        <v>752</v>
      </c>
      <c r="BC1564" s="112"/>
      <c r="BD1564" s="112"/>
      <c r="BE1564" s="112"/>
      <c r="BF1564" s="112"/>
      <c r="BU1564" s="100"/>
    </row>
    <row r="1565" x14ac:dyDescent="0.25">
      <c r="B1565" t="s">
        <v>513</v>
      </c>
      <c r="P1565" s="93"/>
      <c r="Q1565" t="s">
        <v>479</v>
      </c>
      <c r="R1565" t="s">
        <v>491</v>
      </c>
      <c r="S1565" t="s">
        <v>508</v>
      </c>
      <c r="T1565" t="s">
        <v>507</v>
      </c>
      <c r="U1565" t="s">
        <v>535</v>
      </c>
      <c r="V1565" t="s">
        <v>536</v>
      </c>
      <c r="W1565" t="s">
        <v>479</v>
      </c>
      <c r="X1565" t="s">
        <v>537</v>
      </c>
      <c r="Y1565" t="s">
        <v>450</v>
      </c>
      <c r="Z1565" t="s">
        <v>451</v>
      </c>
      <c r="AA1565" t="s">
        <v>452</v>
      </c>
      <c r="AB1565" t="s">
        <v>453</v>
      </c>
      <c r="AC1565" t="s">
        <v>753</v>
      </c>
      <c r="AD1565" t="s">
        <v>519</v>
      </c>
      <c r="AR1565" s="100"/>
      <c r="AS1565" s="93"/>
      <c r="AT1565" t="s">
        <v>479</v>
      </c>
      <c r="AU1565" t="s">
        <v>491</v>
      </c>
      <c r="AV1565" t="s">
        <v>508</v>
      </c>
      <c r="AW1565" t="s">
        <v>507</v>
      </c>
      <c r="AX1565" t="s">
        <v>535</v>
      </c>
      <c r="AY1565" t="s">
        <v>536</v>
      </c>
      <c r="AZ1565" t="s">
        <v>479</v>
      </c>
      <c r="BA1565" t="s">
        <v>537</v>
      </c>
      <c r="BB1565" t="s">
        <v>450</v>
      </c>
      <c r="BC1565" t="s">
        <v>451</v>
      </c>
      <c r="BD1565" t="s">
        <v>452</v>
      </c>
      <c r="BE1565" t="s">
        <v>453</v>
      </c>
      <c r="BF1565" t="s">
        <v>753</v>
      </c>
      <c r="BG1565" t="s">
        <v>519</v>
      </c>
      <c r="BU1565" s="100"/>
    </row>
    <row r="1566" x14ac:dyDescent="0.25">
      <c r="B1566" s="1" t="s">
        <v>275</v>
      </c>
      <c r="C1566" s="19">
        <v>20</v>
      </c>
      <c r="D1566" t="s">
        <v>567</v>
      </c>
      <c r="P1566" s="93"/>
      <c r="Q1566" s="109" t="str">
        <f>R1552&amp;".01"</f>
        <v>A.01</v>
      </c>
      <c r="R1566" s="19">
        <v>29</v>
      </c>
      <c r="S1566" s="19">
        <v>12</v>
      </c>
      <c r="T1566">
        <f>S1566/2</f>
        <v>6</v>
      </c>
      <c r="U1566" s="19">
        <v>4</v>
      </c>
      <c r="V1566">
        <f>U1566/2</f>
        <v>2</v>
      </c>
      <c r="W1566" s="19" t="s">
        <v>515</v>
      </c>
      <c r="X1566" s="19">
        <v>6</v>
      </c>
      <c r="Y1566" s="19"/>
      <c r="Z1566" s="19"/>
      <c r="AA1566" s="19"/>
      <c r="AB1566" s="19"/>
      <c r="AC1566" s="19"/>
      <c r="AD1566" s="108">
        <f>R1566/R1582</f>
        <v>1</v>
      </c>
      <c r="AR1566" s="100"/>
      <c r="AS1566" s="93"/>
      <c r="AT1566" s="109" t="str">
        <f>AU$1552&amp;".01"</f>
        <v>1.01</v>
      </c>
      <c r="AU1566" s="19">
        <v>29</v>
      </c>
      <c r="AV1566" s="19">
        <v>12</v>
      </c>
      <c r="AW1566">
        <f>AV1566/2</f>
        <v>6</v>
      </c>
      <c r="AX1566" s="19">
        <v>4</v>
      </c>
      <c r="AY1566">
        <f>AX1566/2</f>
        <v>2</v>
      </c>
      <c r="AZ1566" s="19" t="s">
        <v>515</v>
      </c>
      <c r="BA1566" s="19">
        <v>6</v>
      </c>
      <c r="BB1566" s="19"/>
      <c r="BC1566" s="19"/>
      <c r="BD1566" s="19"/>
      <c r="BE1566" s="19"/>
      <c r="BF1566" s="19"/>
      <c r="BG1566" s="108">
        <f>AU1566/AU1582</f>
        <v>1</v>
      </c>
      <c r="BU1566" s="100"/>
    </row>
    <row r="1567" x14ac:dyDescent="0.25">
      <c r="B1567" s="1"/>
      <c r="C1567">
        <f>0.9*C30</f>
        <v>18</v>
      </c>
      <c r="D1567" t="s">
        <v>532</v>
      </c>
      <c r="P1567" s="93"/>
      <c r="Q1567" s="109" t="str">
        <f>R1552&amp;".02"</f>
        <v>A.02</v>
      </c>
      <c r="R1567" s="19"/>
      <c r="S1567" s="19"/>
      <c r="T1567">
        <f t="shared" ref="T1567:T1581" si="987">S1567/2</f>
        <v>0</v>
      </c>
      <c r="U1567" s="19"/>
      <c r="V1567">
        <f t="shared" ref="V1567:V1581" si="988">U1567/2</f>
        <v>0</v>
      </c>
      <c r="W1567" s="19"/>
      <c r="X1567" s="19"/>
      <c r="Y1567" s="19"/>
      <c r="Z1567" s="19"/>
      <c r="AA1567" s="19"/>
      <c r="AB1567" s="19"/>
      <c r="AC1567" s="19"/>
      <c r="AR1567" s="100"/>
      <c r="AS1567" s="93"/>
      <c r="AT1567" s="109" t="str">
        <f>AU$1552&amp;".02"</f>
        <v>1.02</v>
      </c>
      <c r="AU1567" s="19"/>
      <c r="AV1567" s="19"/>
      <c r="AW1567">
        <f t="shared" ref="AW1567:AW1581" si="989">AV1567/2</f>
        <v>0</v>
      </c>
      <c r="AX1567" s="19"/>
      <c r="AY1567">
        <f t="shared" ref="AY1567:AY1581" si="990">AX1567/2</f>
        <v>0</v>
      </c>
      <c r="AZ1567" s="19"/>
      <c r="BA1567" s="19"/>
      <c r="BB1567" s="19"/>
      <c r="BC1567" s="19"/>
      <c r="BD1567" s="19"/>
      <c r="BE1567" s="19"/>
      <c r="BF1567" s="19"/>
      <c r="BU1567" s="100"/>
    </row>
    <row r="1568" x14ac:dyDescent="0.25">
      <c r="B1568" s="1" t="s">
        <v>514</v>
      </c>
      <c r="C1568" s="19">
        <v>26</v>
      </c>
      <c r="D1568" t="s">
        <v>512</v>
      </c>
      <c r="P1568" s="93"/>
      <c r="Q1568" s="109" t="str">
        <f>R1552&amp;".03"</f>
        <v>A.03</v>
      </c>
      <c r="R1568" s="19"/>
      <c r="S1568" s="19"/>
      <c r="T1568">
        <f t="shared" si="987"/>
        <v>0</v>
      </c>
      <c r="U1568" s="19"/>
      <c r="V1568">
        <f t="shared" si="988"/>
        <v>0</v>
      </c>
      <c r="W1568" s="19"/>
      <c r="X1568" s="19"/>
      <c r="Y1568" s="19"/>
      <c r="Z1568" s="19"/>
      <c r="AA1568" s="19"/>
      <c r="AB1568" s="19"/>
      <c r="AC1568" s="19"/>
      <c r="AR1568" s="100"/>
      <c r="AS1568" s="93"/>
      <c r="AT1568" s="109" t="str">
        <f>AU$1552&amp;".03"</f>
        <v>1.03</v>
      </c>
      <c r="AU1568" s="19"/>
      <c r="AV1568" s="19"/>
      <c r="AW1568">
        <f t="shared" si="989"/>
        <v>0</v>
      </c>
      <c r="AX1568" s="19"/>
      <c r="AY1568">
        <f t="shared" si="990"/>
        <v>0</v>
      </c>
      <c r="AZ1568" s="19"/>
      <c r="BA1568" s="19"/>
      <c r="BB1568" s="19"/>
      <c r="BC1568" s="19"/>
      <c r="BD1568" s="19"/>
      <c r="BE1568" s="19"/>
      <c r="BF1568" s="19"/>
      <c r="BU1568" s="100"/>
    </row>
    <row r="1569" x14ac:dyDescent="0.25">
      <c r="B1569" s="1" t="s">
        <v>477</v>
      </c>
      <c r="C1569" s="19">
        <v>11</v>
      </c>
      <c r="D1569" t="s">
        <v>509</v>
      </c>
      <c r="P1569" s="93"/>
      <c r="Q1569" s="109" t="str">
        <f>R1552&amp;".04"</f>
        <v>A.04</v>
      </c>
      <c r="R1569" s="19"/>
      <c r="S1569" s="19"/>
      <c r="T1569">
        <f t="shared" si="987"/>
        <v>0</v>
      </c>
      <c r="U1569" s="19"/>
      <c r="V1569">
        <f t="shared" si="988"/>
        <v>0</v>
      </c>
      <c r="W1569" s="19"/>
      <c r="X1569" s="19"/>
      <c r="Y1569" s="19"/>
      <c r="Z1569" s="19"/>
      <c r="AA1569" s="19"/>
      <c r="AB1569" s="19"/>
      <c r="AC1569" s="19"/>
      <c r="AR1569" s="100"/>
      <c r="AS1569" s="93"/>
      <c r="AT1569" s="109" t="str">
        <f>AU$1552&amp;".04"</f>
        <v>1.04</v>
      </c>
      <c r="AU1569" s="19"/>
      <c r="AV1569" s="19"/>
      <c r="AW1569">
        <f t="shared" si="989"/>
        <v>0</v>
      </c>
      <c r="AX1569" s="19"/>
      <c r="AY1569">
        <f t="shared" si="990"/>
        <v>0</v>
      </c>
      <c r="AZ1569" s="19"/>
      <c r="BA1569" s="19"/>
      <c r="BB1569" s="19"/>
      <c r="BC1569" s="19"/>
      <c r="BD1569" s="19"/>
      <c r="BE1569" s="19"/>
      <c r="BF1569" s="19"/>
      <c r="BU1569" s="100"/>
    </row>
    <row r="1570" x14ac:dyDescent="0.25">
      <c r="B1570" s="1" t="s">
        <v>478</v>
      </c>
      <c r="C1570" s="19">
        <v>13</v>
      </c>
      <c r="D1570" t="s">
        <v>510</v>
      </c>
      <c r="P1570" s="93"/>
      <c r="Q1570" s="109" t="str">
        <f>R1552&amp;".05"</f>
        <v>A.05</v>
      </c>
      <c r="R1570" s="19"/>
      <c r="S1570" s="19"/>
      <c r="T1570">
        <f t="shared" si="987"/>
        <v>0</v>
      </c>
      <c r="U1570" s="19"/>
      <c r="V1570">
        <f t="shared" si="988"/>
        <v>0</v>
      </c>
      <c r="W1570" s="19"/>
      <c r="X1570" s="19"/>
      <c r="Y1570" s="19"/>
      <c r="Z1570" s="19"/>
      <c r="AA1570" s="19"/>
      <c r="AB1570" s="19"/>
      <c r="AC1570" s="19"/>
      <c r="AR1570" s="100"/>
      <c r="AS1570" s="93"/>
      <c r="AT1570" s="109" t="str">
        <f>AU$1552&amp;".05"</f>
        <v>1.05</v>
      </c>
      <c r="AU1570" s="19"/>
      <c r="AV1570" s="19"/>
      <c r="AW1570">
        <f t="shared" si="989"/>
        <v>0</v>
      </c>
      <c r="AX1570" s="19"/>
      <c r="AY1570">
        <f t="shared" si="990"/>
        <v>0</v>
      </c>
      <c r="AZ1570" s="19"/>
      <c r="BA1570" s="19"/>
      <c r="BB1570" s="19"/>
      <c r="BC1570" s="19"/>
      <c r="BD1570" s="19"/>
      <c r="BE1570" s="19"/>
      <c r="BF1570" s="19"/>
      <c r="BU1570" s="100"/>
    </row>
    <row r="1571" x14ac:dyDescent="0.25">
      <c r="B1571" s="1" t="s">
        <v>515</v>
      </c>
      <c r="C1571" s="19">
        <v>18</v>
      </c>
      <c r="D1571" t="s">
        <v>511</v>
      </c>
      <c r="P1571" s="93"/>
      <c r="Q1571" s="109" t="str">
        <f>R1552&amp;".06"</f>
        <v>A.06</v>
      </c>
      <c r="R1571" s="19"/>
      <c r="S1571" s="19"/>
      <c r="T1571">
        <f t="shared" si="987"/>
        <v>0</v>
      </c>
      <c r="U1571" s="19"/>
      <c r="V1571">
        <f t="shared" si="988"/>
        <v>0</v>
      </c>
      <c r="W1571" s="19"/>
      <c r="X1571" s="19"/>
      <c r="Y1571" s="19"/>
      <c r="Z1571" s="19"/>
      <c r="AA1571" s="19"/>
      <c r="AB1571" s="19"/>
      <c r="AC1571" s="19"/>
      <c r="AR1571" s="100"/>
      <c r="AS1571" s="93"/>
      <c r="AT1571" s="109" t="str">
        <f>AU$1552&amp;".06"</f>
        <v>1.06</v>
      </c>
      <c r="AU1571" s="19"/>
      <c r="AV1571" s="19"/>
      <c r="AW1571">
        <f t="shared" si="989"/>
        <v>0</v>
      </c>
      <c r="AX1571" s="19"/>
      <c r="AY1571">
        <f t="shared" si="990"/>
        <v>0</v>
      </c>
      <c r="AZ1571" s="19"/>
      <c r="BA1571" s="19"/>
      <c r="BB1571" s="19"/>
      <c r="BC1571" s="19"/>
      <c r="BD1571" s="19"/>
      <c r="BE1571" s="19"/>
      <c r="BF1571" s="19"/>
      <c r="BU1571" s="100"/>
    </row>
    <row r="1572" x14ac:dyDescent="0.25">
      <c r="B1572" s="1" t="s">
        <v>516</v>
      </c>
      <c r="P1572" s="93"/>
      <c r="Q1572" s="109" t="str">
        <f>R1552&amp;".07"</f>
        <v>A.07</v>
      </c>
      <c r="R1572" s="19"/>
      <c r="S1572" s="19"/>
      <c r="T1572">
        <f t="shared" si="987"/>
        <v>0</v>
      </c>
      <c r="U1572" s="19"/>
      <c r="V1572">
        <f t="shared" si="988"/>
        <v>0</v>
      </c>
      <c r="W1572" s="19"/>
      <c r="X1572" s="19"/>
      <c r="Y1572" s="19"/>
      <c r="Z1572" s="19"/>
      <c r="AA1572" s="19"/>
      <c r="AB1572" s="19"/>
      <c r="AC1572" s="19"/>
      <c r="AF1572" s="109"/>
      <c r="AR1572" s="100"/>
      <c r="AS1572" s="93"/>
      <c r="AT1572" s="109" t="str">
        <f>AU$1552&amp;".07"</f>
        <v>1.07</v>
      </c>
      <c r="AU1572" s="19"/>
      <c r="AV1572" s="19"/>
      <c r="AW1572">
        <f t="shared" si="989"/>
        <v>0</v>
      </c>
      <c r="AX1572" s="19"/>
      <c r="AY1572">
        <f t="shared" si="990"/>
        <v>0</v>
      </c>
      <c r="AZ1572" s="19"/>
      <c r="BA1572" s="19"/>
      <c r="BB1572" s="19"/>
      <c r="BC1572" s="19"/>
      <c r="BD1572" s="19"/>
      <c r="BE1572" s="19"/>
      <c r="BF1572" s="19"/>
      <c r="BI1572" s="109"/>
      <c r="BU1572" s="100"/>
    </row>
    <row r="1573" x14ac:dyDescent="0.25">
      <c r="B1573" s="1" t="s">
        <v>517</v>
      </c>
      <c r="P1573" s="93"/>
      <c r="Q1573" s="109" t="str">
        <f>R1552&amp;".08"</f>
        <v>A.08</v>
      </c>
      <c r="R1573" s="19"/>
      <c r="S1573" s="19"/>
      <c r="T1573">
        <f t="shared" si="987"/>
        <v>0</v>
      </c>
      <c r="U1573" s="19"/>
      <c r="V1573">
        <f t="shared" si="988"/>
        <v>0</v>
      </c>
      <c r="W1573" s="19"/>
      <c r="X1573" s="19"/>
      <c r="Y1573" s="19"/>
      <c r="Z1573" s="19"/>
      <c r="AA1573" s="19"/>
      <c r="AB1573" s="19"/>
      <c r="AC1573" s="19"/>
      <c r="AF1573" s="109"/>
      <c r="AR1573" s="100"/>
      <c r="AS1573" s="93"/>
      <c r="AT1573" s="109" t="str">
        <f>AU$1552&amp;".08"</f>
        <v>1.08</v>
      </c>
      <c r="AU1573" s="19"/>
      <c r="AV1573" s="19"/>
      <c r="AW1573">
        <f t="shared" si="989"/>
        <v>0</v>
      </c>
      <c r="AX1573" s="19"/>
      <c r="AY1573">
        <f t="shared" si="990"/>
        <v>0</v>
      </c>
      <c r="AZ1573" s="19"/>
      <c r="BA1573" s="19"/>
      <c r="BB1573" s="19"/>
      <c r="BC1573" s="19"/>
      <c r="BD1573" s="19"/>
      <c r="BE1573" s="19"/>
      <c r="BF1573" s="19"/>
      <c r="BI1573" s="109"/>
      <c r="BU1573" s="100"/>
    </row>
    <row r="1574" x14ac:dyDescent="0.25">
      <c r="B1574" s="1" t="s">
        <v>518</v>
      </c>
      <c r="P1574" s="93"/>
      <c r="Q1574" s="109" t="str">
        <f>R1552&amp;".09"</f>
        <v>A.09</v>
      </c>
      <c r="R1574" s="19"/>
      <c r="S1574" s="19"/>
      <c r="T1574">
        <f t="shared" si="987"/>
        <v>0</v>
      </c>
      <c r="U1574" s="19"/>
      <c r="V1574">
        <f t="shared" si="988"/>
        <v>0</v>
      </c>
      <c r="W1574" s="19"/>
      <c r="X1574" s="19"/>
      <c r="Y1574" s="19"/>
      <c r="Z1574" s="19"/>
      <c r="AA1574" s="19"/>
      <c r="AB1574" s="19"/>
      <c r="AC1574" s="19"/>
      <c r="AF1574" s="109"/>
      <c r="AR1574" s="100"/>
      <c r="AS1574" s="93"/>
      <c r="AT1574" s="109" t="str">
        <f>AU$1552&amp;".09"</f>
        <v>1.09</v>
      </c>
      <c r="AU1574" s="19"/>
      <c r="AV1574" s="19"/>
      <c r="AW1574">
        <f t="shared" si="989"/>
        <v>0</v>
      </c>
      <c r="AX1574" s="19"/>
      <c r="AY1574">
        <f t="shared" si="990"/>
        <v>0</v>
      </c>
      <c r="AZ1574" s="19"/>
      <c r="BA1574" s="19"/>
      <c r="BB1574" s="19"/>
      <c r="BC1574" s="19"/>
      <c r="BD1574" s="19"/>
      <c r="BE1574" s="19"/>
      <c r="BF1574" s="19"/>
      <c r="BI1574" s="109"/>
      <c r="BU1574" s="100"/>
    </row>
    <row r="1575" x14ac:dyDescent="0.25">
      <c r="P1575" s="93"/>
      <c r="Q1575" s="109" t="str">
        <f>R1552&amp;".10"</f>
        <v>A.10</v>
      </c>
      <c r="R1575" s="19"/>
      <c r="S1575" s="19"/>
      <c r="T1575">
        <f t="shared" si="987"/>
        <v>0</v>
      </c>
      <c r="U1575" s="19"/>
      <c r="V1575">
        <f t="shared" si="988"/>
        <v>0</v>
      </c>
      <c r="W1575" s="19"/>
      <c r="X1575" s="19"/>
      <c r="Y1575" s="19"/>
      <c r="Z1575" s="19"/>
      <c r="AA1575" s="19"/>
      <c r="AB1575" s="19"/>
      <c r="AC1575" s="19"/>
      <c r="AF1575" s="109"/>
      <c r="AR1575" s="100"/>
      <c r="AS1575" s="93"/>
      <c r="AT1575" s="109" t="str">
        <f>AU$1552&amp;".10"</f>
        <v>1.10</v>
      </c>
      <c r="AU1575" s="19"/>
      <c r="AV1575" s="19"/>
      <c r="AW1575">
        <f t="shared" si="989"/>
        <v>0</v>
      </c>
      <c r="AX1575" s="19"/>
      <c r="AY1575">
        <f t="shared" si="990"/>
        <v>0</v>
      </c>
      <c r="AZ1575" s="19"/>
      <c r="BA1575" s="19"/>
      <c r="BB1575" s="19"/>
      <c r="BC1575" s="19"/>
      <c r="BD1575" s="19"/>
      <c r="BE1575" s="19"/>
      <c r="BF1575" s="19"/>
      <c r="BI1575" s="109"/>
      <c r="BU1575" s="100"/>
    </row>
    <row r="1576" x14ac:dyDescent="0.25">
      <c r="C1576" s="112" t="s">
        <v>495</v>
      </c>
      <c r="D1576" s="112"/>
      <c r="E1576" s="112"/>
      <c r="I1576" s="112" t="s">
        <v>495</v>
      </c>
      <c r="J1576" s="112"/>
      <c r="K1576" s="112"/>
      <c r="P1576" s="93"/>
      <c r="Q1576" s="109" t="str">
        <f>R1552&amp;".11"</f>
        <v>A.11</v>
      </c>
      <c r="R1576" s="19"/>
      <c r="S1576" s="19"/>
      <c r="T1576">
        <f t="shared" si="987"/>
        <v>0</v>
      </c>
      <c r="U1576" s="19"/>
      <c r="V1576">
        <f t="shared" si="988"/>
        <v>0</v>
      </c>
      <c r="W1576" s="19"/>
      <c r="X1576" s="19"/>
      <c r="Y1576" s="19"/>
      <c r="Z1576" s="19"/>
      <c r="AA1576" s="19"/>
      <c r="AB1576" s="19"/>
      <c r="AC1576" s="19"/>
      <c r="AF1576" s="109"/>
      <c r="AR1576" s="100"/>
      <c r="AS1576" s="93"/>
      <c r="AT1576" s="109" t="str">
        <f>AU$1552&amp;".11"</f>
        <v>1.11</v>
      </c>
      <c r="AU1576" s="19"/>
      <c r="AV1576" s="19"/>
      <c r="AW1576">
        <f t="shared" si="989"/>
        <v>0</v>
      </c>
      <c r="AX1576" s="19"/>
      <c r="AY1576">
        <f t="shared" si="990"/>
        <v>0</v>
      </c>
      <c r="AZ1576" s="19"/>
      <c r="BA1576" s="19"/>
      <c r="BB1576" s="19"/>
      <c r="BC1576" s="19"/>
      <c r="BD1576" s="19"/>
      <c r="BE1576" s="19"/>
      <c r="BF1576" s="19"/>
      <c r="BI1576" s="109"/>
      <c r="BU1576" s="100"/>
    </row>
    <row r="1577" x14ac:dyDescent="0.25">
      <c r="B1577" t="s">
        <v>474</v>
      </c>
      <c r="C1577" t="s">
        <v>492</v>
      </c>
      <c r="D1577" t="s">
        <v>493</v>
      </c>
      <c r="E1577" t="s">
        <v>494</v>
      </c>
      <c r="H1577" t="s">
        <v>455</v>
      </c>
      <c r="I1577" t="s">
        <v>492</v>
      </c>
      <c r="J1577" t="s">
        <v>493</v>
      </c>
      <c r="K1577" t="s">
        <v>494</v>
      </c>
      <c r="P1577" s="93"/>
      <c r="Q1577" s="109" t="str">
        <f>R1552&amp;".12"</f>
        <v>A.12</v>
      </c>
      <c r="R1577" s="19"/>
      <c r="S1577" s="19"/>
      <c r="T1577">
        <f t="shared" si="987"/>
        <v>0</v>
      </c>
      <c r="U1577" s="19"/>
      <c r="V1577">
        <f t="shared" si="988"/>
        <v>0</v>
      </c>
      <c r="W1577" s="19"/>
      <c r="X1577" s="19"/>
      <c r="Y1577" s="19"/>
      <c r="Z1577" s="19"/>
      <c r="AA1577" s="19"/>
      <c r="AB1577" s="19"/>
      <c r="AC1577" s="19"/>
      <c r="AF1577" s="109"/>
      <c r="AR1577" s="100"/>
      <c r="AS1577" s="93"/>
      <c r="AT1577" s="109" t="str">
        <f>AU$1552&amp;".12"</f>
        <v>1.12</v>
      </c>
      <c r="AU1577" s="19"/>
      <c r="AV1577" s="19"/>
      <c r="AW1577">
        <f t="shared" si="989"/>
        <v>0</v>
      </c>
      <c r="AX1577" s="19"/>
      <c r="AY1577">
        <f t="shared" si="990"/>
        <v>0</v>
      </c>
      <c r="AZ1577" s="19"/>
      <c r="BA1577" s="19"/>
      <c r="BB1577" s="19"/>
      <c r="BC1577" s="19"/>
      <c r="BD1577" s="19"/>
      <c r="BE1577" s="19"/>
      <c r="BF1577" s="19"/>
      <c r="BI1577" s="109"/>
      <c r="BU1577" s="100"/>
    </row>
    <row r="1578" x14ac:dyDescent="0.25">
      <c r="B1578" t="s">
        <v>274</v>
      </c>
      <c r="C1578" s="19">
        <v>0</v>
      </c>
      <c r="D1578" s="19">
        <v>29</v>
      </c>
      <c r="E1578">
        <f>C54+D54</f>
        <v>29</v>
      </c>
      <c r="H1578">
        <v>1</v>
      </c>
      <c r="I1578" s="19">
        <v>0</v>
      </c>
      <c r="J1578" s="19">
        <v>27</v>
      </c>
      <c r="K1578">
        <f>I54+J54</f>
        <v>27</v>
      </c>
      <c r="P1578" s="93"/>
      <c r="Q1578" s="109" t="str">
        <f>R1552&amp;".13"</f>
        <v>A.13</v>
      </c>
      <c r="R1578" s="19"/>
      <c r="S1578" s="19"/>
      <c r="T1578">
        <f t="shared" si="987"/>
        <v>0</v>
      </c>
      <c r="U1578" s="19"/>
      <c r="V1578">
        <f t="shared" si="988"/>
        <v>0</v>
      </c>
      <c r="W1578" s="19"/>
      <c r="X1578" s="19"/>
      <c r="Y1578" s="19"/>
      <c r="Z1578" s="19"/>
      <c r="AA1578" s="19"/>
      <c r="AB1578" s="19"/>
      <c r="AC1578" s="19"/>
      <c r="AF1578" s="109"/>
      <c r="AR1578" s="100"/>
      <c r="AS1578" s="93"/>
      <c r="AT1578" s="109" t="str">
        <f>AU$1552&amp;".13"</f>
        <v>1.13</v>
      </c>
      <c r="AU1578" s="19"/>
      <c r="AV1578" s="19"/>
      <c r="AW1578">
        <f t="shared" si="989"/>
        <v>0</v>
      </c>
      <c r="AX1578" s="19"/>
      <c r="AY1578">
        <f t="shared" si="990"/>
        <v>0</v>
      </c>
      <c r="AZ1578" s="19"/>
      <c r="BA1578" s="19"/>
      <c r="BB1578" s="19"/>
      <c r="BC1578" s="19"/>
      <c r="BD1578" s="19"/>
      <c r="BE1578" s="19"/>
      <c r="BF1578" s="19"/>
      <c r="BI1578" s="109"/>
      <c r="BU1578" s="100"/>
    </row>
    <row r="1579" x14ac:dyDescent="0.25">
      <c r="B1579" t="s">
        <v>279</v>
      </c>
      <c r="C1579" s="19">
        <v>29</v>
      </c>
      <c r="D1579" s="19">
        <v>6</v>
      </c>
      <c r="E1579">
        <f t="shared" ref="E43:E67" si="991">C43+D43</f>
        <v>35</v>
      </c>
      <c r="H1579">
        <v>2</v>
      </c>
      <c r="I1579" s="19">
        <v>27</v>
      </c>
      <c r="J1579" s="19">
        <v>14</v>
      </c>
      <c r="K1579">
        <f t="shared" ref="K43:K67" si="992">I43+J43</f>
        <v>41</v>
      </c>
      <c r="P1579" s="93"/>
      <c r="Q1579" s="109" t="str">
        <f>R1552&amp;".14"</f>
        <v>A.14</v>
      </c>
      <c r="R1579" s="19"/>
      <c r="S1579" s="19"/>
      <c r="T1579">
        <f t="shared" si="987"/>
        <v>0</v>
      </c>
      <c r="U1579" s="19"/>
      <c r="V1579">
        <f t="shared" si="988"/>
        <v>0</v>
      </c>
      <c r="W1579" s="19"/>
      <c r="X1579" s="19"/>
      <c r="Y1579" s="19"/>
      <c r="Z1579" s="19"/>
      <c r="AA1579" s="19"/>
      <c r="AB1579" s="19"/>
      <c r="AC1579" s="19"/>
      <c r="AF1579" s="109"/>
      <c r="AR1579" s="100"/>
      <c r="AS1579" s="93"/>
      <c r="AT1579" s="109" t="str">
        <f>AU$1552&amp;".14"</f>
        <v>1.14</v>
      </c>
      <c r="AU1579" s="19"/>
      <c r="AV1579" s="19"/>
      <c r="AW1579">
        <f t="shared" si="989"/>
        <v>0</v>
      </c>
      <c r="AX1579" s="19"/>
      <c r="AY1579">
        <f t="shared" si="990"/>
        <v>0</v>
      </c>
      <c r="AZ1579" s="19"/>
      <c r="BA1579" s="19"/>
      <c r="BB1579" s="19"/>
      <c r="BC1579" s="19"/>
      <c r="BD1579" s="19"/>
      <c r="BE1579" s="19"/>
      <c r="BF1579" s="19"/>
      <c r="BI1579" s="109"/>
      <c r="BU1579" s="100"/>
    </row>
    <row r="1580" x14ac:dyDescent="0.25">
      <c r="B1580" t="s">
        <v>283</v>
      </c>
      <c r="C1580" s="19">
        <v>6</v>
      </c>
      <c r="D1580" s="19">
        <v>29</v>
      </c>
      <c r="E1580">
        <f t="shared" si="991"/>
        <v>35</v>
      </c>
      <c r="H1580">
        <v>3</v>
      </c>
      <c r="I1580" s="19">
        <v>14</v>
      </c>
      <c r="J1580" s="19">
        <v>13</v>
      </c>
      <c r="K1580">
        <f t="shared" si="992"/>
        <v>27</v>
      </c>
      <c r="P1580" s="93"/>
      <c r="Q1580" s="109" t="str">
        <f>R1552&amp;".15"</f>
        <v>A.15</v>
      </c>
      <c r="R1580" s="19"/>
      <c r="S1580" s="19"/>
      <c r="T1580">
        <f t="shared" si="987"/>
        <v>0</v>
      </c>
      <c r="U1580" s="19"/>
      <c r="V1580">
        <f t="shared" si="988"/>
        <v>0</v>
      </c>
      <c r="W1580" s="19"/>
      <c r="X1580" s="19"/>
      <c r="Y1580" s="19"/>
      <c r="Z1580" s="19"/>
      <c r="AA1580" s="19"/>
      <c r="AB1580" s="19"/>
      <c r="AC1580" s="19"/>
      <c r="AF1580" s="109"/>
      <c r="AR1580" s="100"/>
      <c r="AS1580" s="93"/>
      <c r="AT1580" s="109" t="str">
        <f>AU$1552&amp;".15"</f>
        <v>1.15</v>
      </c>
      <c r="AU1580" s="19"/>
      <c r="AV1580" s="19"/>
      <c r="AW1580">
        <f t="shared" si="989"/>
        <v>0</v>
      </c>
      <c r="AX1580" s="19"/>
      <c r="AY1580">
        <f t="shared" si="990"/>
        <v>0</v>
      </c>
      <c r="AZ1580" s="19"/>
      <c r="BA1580" s="19"/>
      <c r="BB1580" s="19"/>
      <c r="BC1580" s="19"/>
      <c r="BD1580" s="19"/>
      <c r="BE1580" s="19"/>
      <c r="BF1580" s="19"/>
      <c r="BI1580" s="109"/>
      <c r="BU1580" s="100"/>
    </row>
    <row r="1581" x14ac:dyDescent="0.25">
      <c r="B1581" t="s">
        <v>287</v>
      </c>
      <c r="C1581" s="19">
        <v>26</v>
      </c>
      <c r="D1581" s="19">
        <v>26</v>
      </c>
      <c r="E1581">
        <f t="shared" si="991"/>
        <v>52</v>
      </c>
      <c r="F1581" t="s">
        <v>506</v>
      </c>
      <c r="H1581">
        <v>4</v>
      </c>
      <c r="I1581" s="19">
        <v>13</v>
      </c>
      <c r="J1581" s="19">
        <v>27</v>
      </c>
      <c r="K1581">
        <f t="shared" si="992"/>
        <v>40</v>
      </c>
      <c r="P1581" s="93"/>
      <c r="Q1581" s="109" t="str">
        <f>R1552&amp;".16"</f>
        <v>A.16</v>
      </c>
      <c r="R1581" s="19"/>
      <c r="S1581" s="19"/>
      <c r="T1581">
        <f t="shared" si="987"/>
        <v>0</v>
      </c>
      <c r="U1581" s="19"/>
      <c r="V1581">
        <f t="shared" si="988"/>
        <v>0</v>
      </c>
      <c r="W1581" s="19"/>
      <c r="X1581" s="19"/>
      <c r="Y1581" s="19"/>
      <c r="Z1581" s="19"/>
      <c r="AA1581" s="19"/>
      <c r="AB1581" s="19"/>
      <c r="AC1581" s="19"/>
      <c r="AF1581" s="109"/>
      <c r="AR1581" s="100"/>
      <c r="AS1581" s="93"/>
      <c r="AT1581" s="109" t="str">
        <f>AU$1552&amp;".16"</f>
        <v>1.16</v>
      </c>
      <c r="AU1581" s="19"/>
      <c r="AV1581" s="19"/>
      <c r="AW1581">
        <f t="shared" si="989"/>
        <v>0</v>
      </c>
      <c r="AX1581" s="19"/>
      <c r="AY1581">
        <f t="shared" si="990"/>
        <v>0</v>
      </c>
      <c r="AZ1581" s="19"/>
      <c r="BA1581" s="19"/>
      <c r="BB1581" s="19"/>
      <c r="BC1581" s="19"/>
      <c r="BD1581" s="19"/>
      <c r="BE1581" s="19"/>
      <c r="BF1581" s="19"/>
      <c r="BI1581" s="109"/>
      <c r="BU1581" s="100"/>
    </row>
    <row r="1582" x14ac:dyDescent="0.25">
      <c r="B1582" t="s">
        <v>288</v>
      </c>
      <c r="C1582" s="19">
        <v>29</v>
      </c>
      <c r="D1582" s="19">
        <v>0</v>
      </c>
      <c r="E1582">
        <f t="shared" si="991"/>
        <v>29</v>
      </c>
      <c r="H1582">
        <v>5</v>
      </c>
      <c r="I1582" s="19">
        <v>27</v>
      </c>
      <c r="J1582" s="19">
        <v>11</v>
      </c>
      <c r="K1582">
        <f t="shared" si="992"/>
        <v>38</v>
      </c>
      <c r="P1582" s="93"/>
      <c r="R1582">
        <f>SUM(R1566:R1581)</f>
        <v>29</v>
      </c>
      <c r="AR1582" s="100"/>
      <c r="AS1582" s="93"/>
      <c r="AU1582">
        <f>SUM(AU1566:AU1581)</f>
        <v>29</v>
      </c>
      <c r="BU1582" s="100"/>
    </row>
    <row r="1583" x14ac:dyDescent="0.25">
      <c r="B1583" t="s">
        <v>293</v>
      </c>
      <c r="C1583" s="19">
        <v>17</v>
      </c>
      <c r="D1583" s="19">
        <v>27</v>
      </c>
      <c r="E1583">
        <f t="shared" si="991"/>
        <v>44</v>
      </c>
      <c r="H1583">
        <v>6</v>
      </c>
      <c r="I1583" s="19">
        <v>11</v>
      </c>
      <c r="J1583" s="19">
        <v>6</v>
      </c>
      <c r="K1583">
        <f t="shared" si="992"/>
        <v>17</v>
      </c>
      <c r="P1583" s="93"/>
      <c r="AP1583" t="s">
        <v>746</v>
      </c>
      <c r="AR1583" s="100"/>
      <c r="AS1583" s="93"/>
      <c r="BS1583" t="s">
        <v>746</v>
      </c>
      <c r="BU1583" s="100"/>
    </row>
    <row r="1584" x14ac:dyDescent="0.25">
      <c r="B1584" t="s">
        <v>456</v>
      </c>
      <c r="C1584" s="19">
        <v>27</v>
      </c>
      <c r="D1584" s="19">
        <v>27</v>
      </c>
      <c r="E1584">
        <f t="shared" si="991"/>
        <v>54</v>
      </c>
      <c r="H1584">
        <v>7</v>
      </c>
      <c r="I1584" s="19">
        <v>6</v>
      </c>
      <c r="J1584" s="19">
        <v>11</v>
      </c>
      <c r="K1584">
        <f t="shared" si="992"/>
        <v>17</v>
      </c>
      <c r="P1584" s="93"/>
      <c r="Q1584" t="s">
        <v>525</v>
      </c>
      <c r="R1584" t="s">
        <v>263</v>
      </c>
      <c r="S1584" t="s">
        <v>526</v>
      </c>
      <c r="T1584" t="s">
        <v>570</v>
      </c>
      <c r="U1584" t="s">
        <v>571</v>
      </c>
      <c r="V1584" t="s">
        <v>572</v>
      </c>
      <c r="W1584" t="s">
        <v>539</v>
      </c>
      <c r="X1584" t="s">
        <v>538</v>
      </c>
      <c r="Z1584" t="s">
        <v>522</v>
      </c>
      <c r="AA1584" t="s">
        <v>523</v>
      </c>
      <c r="AB1584" t="s">
        <v>541</v>
      </c>
      <c r="AC1584" t="s">
        <v>540</v>
      </c>
      <c r="AD1584" t="s">
        <v>542</v>
      </c>
      <c r="AE1584" t="s">
        <v>520</v>
      </c>
      <c r="AF1584" t="s">
        <v>521</v>
      </c>
      <c r="AG1584" t="s">
        <v>527</v>
      </c>
      <c r="AH1584" t="s">
        <v>528</v>
      </c>
      <c r="AI1584" t="s">
        <v>543</v>
      </c>
      <c r="AJ1584" t="s">
        <v>744</v>
      </c>
      <c r="AK1584" t="s">
        <v>745</v>
      </c>
      <c r="AL1584" t="s">
        <v>749</v>
      </c>
      <c r="AM1584" t="s">
        <v>750</v>
      </c>
      <c r="AN1584" t="s">
        <v>751</v>
      </c>
      <c r="AP1584" t="s">
        <v>747</v>
      </c>
      <c r="AQ1584" t="s">
        <v>748</v>
      </c>
      <c r="AR1584" s="100"/>
      <c r="AS1584" s="93"/>
      <c r="AT1584" t="s">
        <v>525</v>
      </c>
      <c r="AU1584" t="s">
        <v>263</v>
      </c>
      <c r="AV1584" t="s">
        <v>526</v>
      </c>
      <c r="AW1584" t="s">
        <v>570</v>
      </c>
      <c r="AX1584" t="s">
        <v>571</v>
      </c>
      <c r="AY1584" t="s">
        <v>572</v>
      </c>
      <c r="AZ1584" t="s">
        <v>539</v>
      </c>
      <c r="BA1584" t="s">
        <v>538</v>
      </c>
      <c r="BC1584" t="s">
        <v>522</v>
      </c>
      <c r="BD1584" t="s">
        <v>523</v>
      </c>
      <c r="BE1584" t="s">
        <v>541</v>
      </c>
      <c r="BF1584" t="s">
        <v>540</v>
      </c>
      <c r="BG1584" t="s">
        <v>542</v>
      </c>
      <c r="BH1584" t="s">
        <v>520</v>
      </c>
      <c r="BI1584" t="s">
        <v>521</v>
      </c>
      <c r="BJ1584" t="s">
        <v>527</v>
      </c>
      <c r="BK1584" t="s">
        <v>528</v>
      </c>
      <c r="BL1584" t="s">
        <v>543</v>
      </c>
      <c r="BM1584" t="s">
        <v>744</v>
      </c>
      <c r="BN1584" t="s">
        <v>745</v>
      </c>
      <c r="BO1584" t="s">
        <v>749</v>
      </c>
      <c r="BP1584" t="s">
        <v>750</v>
      </c>
      <c r="BQ1584" t="s">
        <v>751</v>
      </c>
      <c r="BS1584" t="s">
        <v>747</v>
      </c>
      <c r="BT1584" t="s">
        <v>748</v>
      </c>
      <c r="BU1584" s="100"/>
    </row>
    <row r="1585" x14ac:dyDescent="0.25">
      <c r="B1585" t="s">
        <v>457</v>
      </c>
      <c r="C1585" s="19">
        <v>27</v>
      </c>
      <c r="D1585" s="19">
        <v>27</v>
      </c>
      <c r="E1585">
        <f t="shared" si="991"/>
        <v>54</v>
      </c>
      <c r="H1585">
        <v>8</v>
      </c>
      <c r="I1585" s="19">
        <v>20</v>
      </c>
      <c r="J1585" s="19">
        <v>0</v>
      </c>
      <c r="K1585">
        <f t="shared" si="992"/>
        <v>20</v>
      </c>
      <c r="L1585" t="s">
        <v>506</v>
      </c>
      <c r="P1585" s="93"/>
      <c r="Q1585" s="110" t="str">
        <f>$Q$1566</f>
        <v>A.01</v>
      </c>
      <c r="R1585" t="str">
        <f>$Q$1557</f>
        <v>L2</v>
      </c>
      <c r="S1585">
        <f>$E$21</f>
        <v>10.6875</v>
      </c>
      <c r="T1585" cm="1">
        <f t="array" ref="T1585">IFERROR(IF(S1585=0,0,(INDEX($C$33:$C$38,MATCH($W$1566,$B$33:$B$38,0),0)*(S1589+$X$1566)+$T$1566*COUNTIF(S1585:S1588,"&gt;0")*$C$32+$V$1566*$C$31)*$R$1566),0)</f>
        <v>30539.71875</v>
      </c>
      <c r="U1585">
        <f>IF(S1585=0,0,-(COUNTIF(S1585:S1588,"&gt;0")*$T$1566*$C$32+$V$1566*$C$31)*$H$27*$R$1566)</f>
        <v>-363.31199999999995</v>
      </c>
      <c r="V1585">
        <f>IF(S1585=0,0,$V$1566*$H$26*$R$1566)</f>
        <v>-1328.1999999999998</v>
      </c>
      <c r="W1585">
        <f>(0.6*T1585+0.7*U1585)*$R$1566/2</f>
        <v>262007.93632499999</v>
      </c>
      <c r="X1585">
        <f>(0.6*T1585+0.6*V1585)*$R$1566/2</f>
        <v>254140.21312500001</v>
      </c>
      <c r="Z1585">
        <f>IF(S1585=0,0,$AD$1566*$AP$1557)</f>
        <v>343.06999999999994</v>
      </c>
      <c r="AA1585">
        <f>IFERROR(Z1585/$R$1566,0)</f>
        <v>11.829999999999998</v>
      </c>
      <c r="AB1585">
        <f>Z1585*($F$21+IF($F$21=0,0,($C$14+$C$15+IF($C$13="single",1.5,3)+3)/12))</f>
        <v>3666.5606249999992</v>
      </c>
      <c r="AC1585">
        <f>AB1585-W1585</f>
        <v>-258341.37569999998</v>
      </c>
      <c r="AD1585" cm="1">
        <f t="array" ref="AD1585">IFERROR(IF(AC1585&lt;0,0,AC1585/($R$1566-INDEX(hd_off,MATCH(AQ1585,hd_mark,0),0)/12)),0)</f>
        <v>0</v>
      </c>
      <c r="AE1585">
        <f>IF(S1585=0,0,$AD$1566*$AM$1557)</f>
        <v>7899.5999999999995</v>
      </c>
      <c r="AF1585">
        <f>IFERROR(AE1585/$R$1566,0)</f>
        <v>272.39999999999998</v>
      </c>
      <c r="AG1585">
        <f>AE1585*($F$21+IF($F$21=0,0,($C$14+$C$15+IF($C$13="single",1.5,3)+3)/12))</f>
        <v>84426.974999999991</v>
      </c>
      <c r="AH1585">
        <f>AG1585-X1585</f>
        <v>-169713.23812500003</v>
      </c>
      <c r="AI1585" cm="1">
        <f t="array" ref="AI1585">IFERROR(IF(AH1585&lt;0,0,AH1585/($R$1566-INDEX(hd_off,MATCH(AQ1585,hd_mark,0),0)/12)),0)</f>
        <v>0</v>
      </c>
      <c r="AJ1585">
        <f>MAX($F$21,$Y$1566)/$Q$1588</f>
        <v>0.30172413793103448</v>
      </c>
      <c r="AK1585">
        <f>IF(AJ1585=0,0,IF(AJ1585&gt;2,1.25-0.125*AJ1585,1))</f>
        <v>1</v>
      </c>
      <c r="AL1585" cm="1">
        <f t="array" ref="AL1585">IFERROR(INDEX(sheath_ecap_asd,MATCH(AP1585,sheath_mark,0),0)*AK1585,0)</f>
        <v>239.85714285714286</v>
      </c>
      <c r="AM1585" cm="1">
        <f t="array" ref="AM1585">IFERROR(INDEX(sheath_wcap_asd,MATCH(AP1585,sheath_mark,0),0)*AK1585,0)</f>
        <v>335.8</v>
      </c>
      <c r="AN1585" cm="1">
        <f t="array" ref="AN1585">IFERROR(INDEX(hd_cap,MATCH(AQ1585,hd_mark,0),0),0)</f>
        <v>0</v>
      </c>
      <c r="AP1585" s="19">
        <v>21</v>
      </c>
      <c r="AQ1585" s="19"/>
      <c r="AR1585" s="100"/>
      <c r="AS1585" s="93"/>
      <c r="AT1585" s="110" t="str">
        <f>$AT$1566</f>
        <v>1.01</v>
      </c>
      <c r="AU1585" t="str">
        <f>$Q$1557</f>
        <v>L2</v>
      </c>
      <c r="AV1585">
        <f>$E$21</f>
        <v>10.6875</v>
      </c>
      <c r="AW1585" cm="1">
        <f t="array" ref="AW1585">IFERROR(IF(AV1585=0,0,(INDEX($C$33:$C$38,MATCH($AZ$1566,$B$33:$B$38,0),0)*(AV1589+$BA$1566)+$AW$1566*COUNTIF(AV1585:AV1588,"&gt;0")*$C$32+$AY$1566*$C$31)*$AU$1566),0)</f>
        <v>30539.71875</v>
      </c>
      <c r="AX1585">
        <f>IF(AV1585=0,0,-(COUNTIF(AV1585:AV1588,"&gt;0")*$AW$1566*$C$32+$AY$1566*$C$31)*$H$27*$AU$1566)</f>
        <v>-363.31199999999995</v>
      </c>
      <c r="AY1585">
        <f>IF(AV1585=0,0,$AY$1566*$H$26*$AU$1566)</f>
        <v>-1328.1999999999998</v>
      </c>
      <c r="AZ1585">
        <f>(0.6*AW1585+0.7*AX1585)*$AU$1566/2</f>
        <v>262007.93632499999</v>
      </c>
      <c r="BA1585">
        <f>(0.6*AW1585+0.6*AY1585)*$AU$1566/2</f>
        <v>254140.21312500001</v>
      </c>
      <c r="BC1585">
        <f>IF(AV1585=0,0,$BG$1566*$AP$1557)</f>
        <v>343.06999999999994</v>
      </c>
      <c r="BD1585">
        <f>IFERROR(BC1585/$AU$1566,0)</f>
        <v>11.829999999999998</v>
      </c>
      <c r="BE1585">
        <f>BC1585*($F$21+IF($F$21=0,0,($C$14+$C$15+IF($C$13="single",1.5,3)+3)/12))</f>
        <v>3666.5606249999992</v>
      </c>
      <c r="BF1585">
        <f>BE1585-AZ1585</f>
        <v>-258341.37569999998</v>
      </c>
      <c r="BG1585" cm="1">
        <f t="array" ref="BG1585">IFERROR(IF(BF1585&lt;0,0,BF1585/($AU$1566-INDEX(hd_off,MATCH(BT1585,hd_mark,0),0)/12)),0)</f>
        <v>0</v>
      </c>
      <c r="BH1585">
        <f>IF(AV1585=0,0,$BG$1566*$AM$1557)</f>
        <v>7899.5999999999995</v>
      </c>
      <c r="BI1585">
        <f>IFERROR(BH1585/$AU$1566,0)</f>
        <v>272.39999999999998</v>
      </c>
      <c r="BJ1585">
        <f>BH1585*($F$21+IF($F$21=0,0,($C$14+$C$15+IF($C$13="single",1.5,3)+3)/12))</f>
        <v>84426.974999999991</v>
      </c>
      <c r="BK1585">
        <f>BJ1585-BA1585</f>
        <v>-169713.23812500003</v>
      </c>
      <c r="BL1585" cm="1">
        <f t="array" ref="BL1585">IFERROR(IF(BK1585&lt;0,0,BK1585/($AU$1566-INDEX(hd_off,MATCH(BT1585,hd_mark,0),0)/12)),0)</f>
        <v>0</v>
      </c>
      <c r="BM1585">
        <f>MAX($F$21,$BB$1566)/$Q$1588</f>
        <v>0.30172413793103448</v>
      </c>
      <c r="BN1585">
        <f>IF(BM1585=0,0,IF(BM1585&gt;2,1.25-0.125*BM1585,1))</f>
        <v>1</v>
      </c>
      <c r="BO1585" cm="1">
        <f t="array" ref="BO1585">IFERROR(INDEX(sheath_ecap_asd,MATCH(BS1585,sheath_mark,0),0)*BN1585,0)</f>
        <v>239.85714285714286</v>
      </c>
      <c r="BP1585" cm="1">
        <f t="array" ref="BP1585">IFERROR(INDEX(sheath_wcap_asd,MATCH(BS1585,sheath_mark,0),0)*BN1585,0)</f>
        <v>335.8</v>
      </c>
      <c r="BQ1585" cm="1">
        <f t="array" ref="BQ1585">IFERROR(INDEX(hd_cap,MATCH(BT1585,hd_mark,0),0),0)</f>
        <v>0</v>
      </c>
      <c r="BS1585" s="19">
        <v>21</v>
      </c>
      <c r="BT1585" s="19"/>
      <c r="BU1585" s="100"/>
    </row>
    <row r="1586" x14ac:dyDescent="0.25">
      <c r="B1586" t="s">
        <v>458</v>
      </c>
      <c r="C1586" s="19">
        <v>27</v>
      </c>
      <c r="D1586" s="19">
        <v>27</v>
      </c>
      <c r="E1586">
        <f t="shared" si="991"/>
        <v>54</v>
      </c>
      <c r="H1586">
        <v>9</v>
      </c>
      <c r="I1586" s="19">
        <v>30</v>
      </c>
      <c r="J1586" s="19">
        <v>0</v>
      </c>
      <c r="K1586">
        <f t="shared" si="992"/>
        <v>30</v>
      </c>
      <c r="P1586" s="93"/>
      <c r="Q1586" s="109"/>
      <c r="R1586" t="str">
        <f>$Q$1558</f>
        <v>L3</v>
      </c>
      <c r="S1586">
        <f>$E$22</f>
        <v>21.375</v>
      </c>
      <c r="T1586" cm="1">
        <f t="array" ref="T1586">IFERROR(IF(S1586=0,0,(INDEX($C$33:$C$38,MATCH($W$1566,$B$33:$B$38,0),0)*(S1589+$X$1566)+$T$1566*COUNTIF(S1586:S1588,"&gt;0")*$C$32+$V$1566*$C$31)*$R$1566),0)</f>
        <v>26015.71875</v>
      </c>
      <c r="U1586">
        <f>IF(S1586=0,0,-(COUNTIF(S1586:S1588,"&gt;0")*$T$1566*$C$32+$V$1566*$C$31)*$H$27*$R$1566)</f>
        <v>-200.44799999999998</v>
      </c>
      <c r="V1586">
        <f>IF(S1586=0,0,$V$1566*$H$26*$R$1566)</f>
        <v>-1328.1999999999998</v>
      </c>
      <c r="W1586">
        <f t="shared" ref="W1586:W1588" si="993">(0.6*T1586+0.7*U1586)*$R$1566/2</f>
        <v>224302.20592500002</v>
      </c>
      <c r="X1586">
        <f>T1586*$R$1566/2</f>
        <v>377227.921875</v>
      </c>
      <c r="Z1586">
        <f>IF(S1586=0,0,$AD$1566*$AP$1558)</f>
        <v>376.565</v>
      </c>
      <c r="AA1586">
        <f>IFERROR(Z1586/$R$1566,0)</f>
        <v>12.984999999999999</v>
      </c>
      <c r="AB1586">
        <f>Z1586*($F$22+IF($F$22=0,0,($C$14+$C$15+IF($C$13="single",1.5,3)+3)/12))</f>
        <v>4024.5384374999999</v>
      </c>
      <c r="AC1586">
        <f>AB1586-W1586</f>
        <v>-220277.6674875</v>
      </c>
      <c r="AD1586" cm="1">
        <f t="array" ref="AD1586">IFERROR(IF(AC1586&lt;0,0,AC1586/($R$1566-INDEX(hd_off,MATCH(AQ1586,hd_mark,0),0)/12)),0)</f>
        <v>0</v>
      </c>
      <c r="AE1586">
        <f>IF(S1586=0,0,$AD$1566*$AM$1558)</f>
        <v>5846.4</v>
      </c>
      <c r="AF1586">
        <f>IFERROR(AE1586/$R$1566,0)</f>
        <v>201.6</v>
      </c>
      <c r="AG1586">
        <f>AE1586*($F$22+IF($F$22=0,0,($C$14+$C$15+IF($C$13="single",1.5,3)+3)/12))</f>
        <v>62483.399999999994</v>
      </c>
      <c r="AH1586">
        <f>AG1586-X1586</f>
        <v>-314744.52187499998</v>
      </c>
      <c r="AI1586" cm="1">
        <f t="array" ref="AI1586">IFERROR(IF(AH1586&lt;0,0,AH1586/($R$1566-INDEX(hd_off,MATCH(AQ1586,hd_mark,0),0)/12)),0)</f>
        <v>0</v>
      </c>
      <c r="AJ1586">
        <f>MAX($F$22,$Z$1566)/$Q$1588</f>
        <v>0.30172413793103448</v>
      </c>
      <c r="AK1586">
        <f t="shared" ref="AK1586:AK1589" si="994">IF(AJ1586=0,0,IF(AJ1586&gt;2,1.25-0.125*AJ1586,1))</f>
        <v>1</v>
      </c>
      <c r="AL1586" cm="1">
        <f t="array" ref="AL1586">IFERROR(INDEX(sheath_ecap_asd,MATCH(AP1586,sheath_mark,0),0)*AK1586,0)</f>
        <v>239.85714285714286</v>
      </c>
      <c r="AM1586" cm="1">
        <f t="array" ref="AM1586">IFERROR(INDEX(sheath_wcap_asd,MATCH(AP1586,sheath_mark,0),0)*AK1586,0)</f>
        <v>335.8</v>
      </c>
      <c r="AN1586" cm="1">
        <f t="array" ref="AN1586">IFERROR(INDEX(hd_cap,MATCH(AQ1586,hd_mark,0),0),0)</f>
        <v>0</v>
      </c>
      <c r="AP1586" s="19">
        <v>21</v>
      </c>
      <c r="AQ1586" s="19"/>
      <c r="AR1586" s="100"/>
      <c r="AS1586" s="93"/>
      <c r="AT1586" s="109"/>
      <c r="AU1586" t="str">
        <f>$Q$1558</f>
        <v>L3</v>
      </c>
      <c r="AV1586">
        <f>$E$22</f>
        <v>21.375</v>
      </c>
      <c r="AW1586" cm="1">
        <f t="array" ref="AW1586">IFERROR(IF(AV1586=0,0,(INDEX($C$33:$C$38,MATCH($AZ$1566,$B$33:$B$38,0),0)*(AV1589+$BA$1566)+$AW$1566*COUNTIF(AV1586:AV1588,"&gt;0")*$C$32+$AY$1566*$C$31)*$AU$1566),0)</f>
        <v>26015.71875</v>
      </c>
      <c r="AX1586">
        <f>IF(AV1586=0,0,-(COUNTIF(AV1586:AV1588,"&gt;0")*$AW$1566*$C$32+$AY$1566*$C$31)*$H$27*$AU$1566)</f>
        <v>-200.44799999999998</v>
      </c>
      <c r="AY1586">
        <f>IF(AV1586=0,0,$AY$1566*$H$26*$AU$1566)</f>
        <v>-1328.1999999999998</v>
      </c>
      <c r="AZ1586">
        <f>(0.6*AW1586+0.7*AX1586)*$AU$1566/2</f>
        <v>224302.20592500002</v>
      </c>
      <c r="BA1586">
        <f>AW1586*$AU$1566/2</f>
        <v>377227.921875</v>
      </c>
      <c r="BC1586">
        <f>IF(AV1586=0,0,$BG$1566*$AP$1558)</f>
        <v>376.565</v>
      </c>
      <c r="BD1586">
        <f>IFERROR(BC1586/$AU$1566,0)</f>
        <v>12.984999999999999</v>
      </c>
      <c r="BE1586">
        <f>BC1586*($F$22+IF($F$22=0,0,($C$14+$C$15+IF($C$13="single",1.5,3)+3)/12))</f>
        <v>4024.5384374999999</v>
      </c>
      <c r="BF1586">
        <f>BE1586-AZ1586</f>
        <v>-220277.6674875</v>
      </c>
      <c r="BG1586" cm="1">
        <f t="array" ref="BG1586">IFERROR(IF(BF1586&lt;0,0,BF1586/($AU$1566-INDEX(hd_off,MATCH(BT1586,hd_mark,0),0)/12)),0)</f>
        <v>0</v>
      </c>
      <c r="BH1586">
        <f>IF(AV1586=0,0,$BG$1566*$AM$1558)</f>
        <v>5846.4</v>
      </c>
      <c r="BI1586">
        <f>IFERROR(BH1586/$AU$1566,0)</f>
        <v>201.6</v>
      </c>
      <c r="BJ1586">
        <f>BH1586*($F$22+IF($F$22=0,0,($C$14+$C$15+IF($C$13="single",1.5,3)+3)/12))</f>
        <v>62483.399999999994</v>
      </c>
      <c r="BK1586">
        <f>BJ1586-BA1586</f>
        <v>-314744.52187499998</v>
      </c>
      <c r="BL1586" cm="1">
        <f t="array" ref="BL1586">IFERROR(IF(BK1586&lt;0,0,BK1586/($AU$1566-INDEX(hd_off,MATCH(BT1586,hd_mark,0),0)/12)),0)</f>
        <v>0</v>
      </c>
      <c r="BM1586">
        <f>MAX($F$22,$BC$1566)/$Q$1588</f>
        <v>0.30172413793103448</v>
      </c>
      <c r="BN1586">
        <f t="shared" ref="BN1586:BN1589" si="995">IF(BM1586=0,0,IF(BM1586&gt;2,1.25-0.125*BM1586,1))</f>
        <v>1</v>
      </c>
      <c r="BO1586" cm="1">
        <f t="array" ref="BO1586">IFERROR(INDEX(sheath_ecap_asd,MATCH(BS1586,sheath_mark,0),0)*BN1586,0)</f>
        <v>239.85714285714286</v>
      </c>
      <c r="BP1586" cm="1">
        <f t="array" ref="BP1586">IFERROR(INDEX(sheath_wcap_asd,MATCH(BS1586,sheath_mark,0),0)*BN1586,0)</f>
        <v>335.8</v>
      </c>
      <c r="BQ1586" cm="1">
        <f t="array" ref="BQ1586">IFERROR(INDEX(hd_cap,MATCH(BT1586,hd_mark,0),0),0)</f>
        <v>0</v>
      </c>
      <c r="BS1586" s="19">
        <v>21</v>
      </c>
      <c r="BT1586" s="19"/>
      <c r="BU1586" s="100"/>
    </row>
    <row r="1587" x14ac:dyDescent="0.25">
      <c r="B1587" t="s">
        <v>459</v>
      </c>
      <c r="C1587" s="19">
        <v>27</v>
      </c>
      <c r="D1587" s="19">
        <v>41</v>
      </c>
      <c r="E1587">
        <f t="shared" si="991"/>
        <v>68</v>
      </c>
      <c r="F1587" t="s">
        <v>506</v>
      </c>
      <c r="H1587">
        <v>10</v>
      </c>
      <c r="I1587" s="19">
        <v>30</v>
      </c>
      <c r="J1587" s="19">
        <v>0</v>
      </c>
      <c r="K1587">
        <f t="shared" si="992"/>
        <v>30</v>
      </c>
      <c r="P1587" s="93"/>
      <c r="Q1587" s="109" t="s">
        <v>491</v>
      </c>
      <c r="R1587" t="str">
        <f>$Q$1559</f>
        <v>L4</v>
      </c>
      <c r="S1587">
        <f>$E$23</f>
        <v>0</v>
      </c>
      <c r="T1587" cm="1">
        <f t="array" ref="T1587">IFERROR(IF(S1587=0,0,(INDEX($C$33:$C$38,MATCH($W$1566,$B$33:$B$38,0),0)*(S1589+$X$1566)+$T$1566*COUNTIF(S1587:S1588,"&gt;0")*$C$32+$V$1566*$C$31)*$R$1566),0)</f>
        <v>0</v>
      </c>
      <c r="U1587">
        <f>IF(S1587=0,0,-(COUNTIF(S1587:S1588,"&gt;0")*$T$1566*$C$32+$V$1566*$C$31)*$H$27*$R$1566)</f>
        <v>0</v>
      </c>
      <c r="V1587">
        <f>IF(S1587=0,0,$V$1566*$H$26*$R$1566)</f>
        <v>0</v>
      </c>
      <c r="W1587">
        <f t="shared" si="993"/>
        <v>0</v>
      </c>
      <c r="X1587">
        <f>T1587*$R$1566/2</f>
        <v>0</v>
      </c>
      <c r="Z1587">
        <f>IF(S1587=0,0,$AD$1566*$AP$1559)</f>
        <v>0</v>
      </c>
      <c r="AA1587">
        <f>IFERROR(Z1587/$R$1566,0)</f>
        <v>0</v>
      </c>
      <c r="AB1587">
        <f>Z1587*($F$23+IF($F$23=0,0,($C$14+$C$15+IF($C$13="single",1.5,3)+3)/12))</f>
        <v>0</v>
      </c>
      <c r="AC1587">
        <f>AB1587-W1587</f>
        <v>0</v>
      </c>
      <c r="AD1587" cm="1">
        <f t="array" ref="AD1587">IFERROR(IF(AC1587&lt;0,0,AC1587/($R$1566-INDEX(hd_off,MATCH(AQ1587,hd_mark,0),0)/12)),0)</f>
        <v>0</v>
      </c>
      <c r="AE1587">
        <f>IF(S1587=0,0,$AD$1566*$AM$1559)</f>
        <v>0</v>
      </c>
      <c r="AF1587">
        <f>IFERROR(AE1587/$R$1566,0)</f>
        <v>0</v>
      </c>
      <c r="AG1587">
        <f>AE1587*($F$23+IF($F$23=0,0,($C$14+$C$15+IF($C$13="single",1.5,3)+3)/12))</f>
        <v>0</v>
      </c>
      <c r="AH1587">
        <f>AG1587-X1587</f>
        <v>0</v>
      </c>
      <c r="AI1587" cm="1">
        <f t="array" ref="AI1587">IFERROR(IF(AH1587&lt;0,0,AH1587/($R$1566-INDEX(hd_off,MATCH(AQ1587,hd_mark,0),0)/12)),0)</f>
        <v>0</v>
      </c>
      <c r="AJ1587">
        <f>MAX($F$23,$AA$1566)/$Q$1588</f>
        <v>0</v>
      </c>
      <c r="AK1587">
        <f t="shared" si="994"/>
        <v>0</v>
      </c>
      <c r="AL1587" cm="1">
        <f t="array" ref="AL1587">IFERROR(INDEX(sheath_ecap_asd,MATCH(AP1587,sheath_mark,0),0)*AK1587,0)</f>
        <v>0</v>
      </c>
      <c r="AM1587" cm="1">
        <f t="array" ref="AM1587">IFERROR(INDEX(sheath_wcap_asd,MATCH(AP1587,sheath_mark,0),0)*AK1587,0)</f>
        <v>0</v>
      </c>
      <c r="AN1587" cm="1">
        <f t="array" ref="AN1587">IFERROR(INDEX(hd_cap,MATCH(AQ1587,hd_mark,0),0),0)</f>
        <v>0</v>
      </c>
      <c r="AP1587" s="19"/>
      <c r="AQ1587" s="19"/>
      <c r="AR1587" s="100"/>
      <c r="AS1587" s="93"/>
      <c r="AT1587" s="109" t="s">
        <v>491</v>
      </c>
      <c r="AU1587" t="str">
        <f>$Q$1559</f>
        <v>L4</v>
      </c>
      <c r="AV1587">
        <f>$E$23</f>
        <v>0</v>
      </c>
      <c r="AW1587" cm="1">
        <f t="array" ref="AW1587">IFERROR(IF(AV1587=0,0,(INDEX($C$33:$C$38,MATCH($AZ$1566,$B$33:$B$38,0),0)*(AV1589+$BA$1566)+$AW$1566*COUNTIF(AV1587:AV1588,"&gt;0")*$C$32+$AY$1566*$C$31)*$AU$1566),0)</f>
        <v>0</v>
      </c>
      <c r="AX1587">
        <f>IF(AV1587=0,0,-(COUNTIF(AV1587:AV1588,"&gt;0")*$AW$1566*$C$32+$AY$1566*$C$31)*$H$27*$AU$1566)</f>
        <v>0</v>
      </c>
      <c r="AY1587">
        <f>IF(AV1587=0,0,$AY$1566*$H$26*$AU$1566)</f>
        <v>0</v>
      </c>
      <c r="AZ1587">
        <f>(0.6*AW1587+0.7*AX1587)*$AU$1566/2</f>
        <v>0</v>
      </c>
      <c r="BA1587">
        <f>AW1587*$AU$1566/2</f>
        <v>0</v>
      </c>
      <c r="BC1587">
        <f>IF(AV1587=0,0,$BG$1566*$AP$1559)</f>
        <v>0</v>
      </c>
      <c r="BD1587">
        <f>IFERROR(BC1587/$AU$1566,0)</f>
        <v>0</v>
      </c>
      <c r="BE1587">
        <f>BC1587*($F$23+IF($F$23=0,0,($C$14+$C$15+IF($C$13="single",1.5,3)+3)/12))</f>
        <v>0</v>
      </c>
      <c r="BF1587">
        <f>BE1587-AZ1587</f>
        <v>0</v>
      </c>
      <c r="BG1587" cm="1">
        <f t="array" ref="BG1587">IFERROR(IF(BF1587&lt;0,0,BF1587/($AU$1566-INDEX(hd_off,MATCH(BT1587,hd_mark,0),0)/12)),0)</f>
        <v>0</v>
      </c>
      <c r="BH1587">
        <f>IF(AV1587=0,0,$BG$1566*$AM$1559)</f>
        <v>0</v>
      </c>
      <c r="BI1587">
        <f>IFERROR(BH1587/$AU$1566,0)</f>
        <v>0</v>
      </c>
      <c r="BJ1587">
        <f>BH1587*($F$23+IF($F$23=0,0,($C$14+$C$15+IF($C$13="single",1.5,3)+3)/12))</f>
        <v>0</v>
      </c>
      <c r="BK1587">
        <f>BJ1587-BA1587</f>
        <v>0</v>
      </c>
      <c r="BL1587" cm="1">
        <f t="array" ref="BL1587">IFERROR(IF(BK1587&lt;0,0,BK1587/($AU$1566-INDEX(hd_off,MATCH(BT1587,hd_mark,0),0)/12)),0)</f>
        <v>0</v>
      </c>
      <c r="BM1587">
        <f>MAX($F$23,$BD$1566)/$Q$1588</f>
        <v>0</v>
      </c>
      <c r="BN1587">
        <f t="shared" si="995"/>
        <v>0</v>
      </c>
      <c r="BO1587" cm="1">
        <f t="array" ref="BO1587">IFERROR(INDEX(sheath_ecap_asd,MATCH(BS1587,sheath_mark,0),0)*BN1587,0)</f>
        <v>0</v>
      </c>
      <c r="BP1587" cm="1">
        <f t="array" ref="BP1587">IFERROR(INDEX(sheath_wcap_asd,MATCH(BS1587,sheath_mark,0),0)*BN1587,0)</f>
        <v>0</v>
      </c>
      <c r="BQ1587" cm="1">
        <f t="array" ref="BQ1587">IFERROR(INDEX(hd_cap,MATCH(BT1587,hd_mark,0),0),0)</f>
        <v>0</v>
      </c>
      <c r="BS1587" s="19"/>
      <c r="BT1587" s="19"/>
      <c r="BU1587" s="100"/>
    </row>
    <row r="1588" x14ac:dyDescent="0.25">
      <c r="B1588" t="s">
        <v>171</v>
      </c>
      <c r="C1588" s="19">
        <v>0</v>
      </c>
      <c r="D1588" s="19">
        <v>29</v>
      </c>
      <c r="E1588">
        <f t="shared" si="991"/>
        <v>29</v>
      </c>
      <c r="H1588">
        <v>11</v>
      </c>
      <c r="I1588" s="19">
        <v>0</v>
      </c>
      <c r="J1588" s="19">
        <v>27</v>
      </c>
      <c r="K1588">
        <f t="shared" si="992"/>
        <v>27</v>
      </c>
      <c r="P1588" s="93"/>
      <c r="Q1588" s="111">
        <f>$R$1566</f>
        <v>29</v>
      </c>
      <c r="R1588" t="str">
        <f>$Q$1560</f>
        <v>L5</v>
      </c>
      <c r="S1588">
        <f>$E$24</f>
        <v>0</v>
      </c>
      <c r="T1588" cm="1">
        <f t="array" ref="T1588">IFERROR(IF(S1588=0,0,(INDEX($C$33:$C$38,MATCH($W$1566,$B$33:$B$38,0),0)*(S1589+$X$1566)+$T$1566*COUNTIF(S1588:S1588,"&gt;0")*$C$32+$V$1566*$C$31)*$R$1566),0)</f>
        <v>0</v>
      </c>
      <c r="U1588">
        <f>IF(S1588=0,0,-(COUNTIF(S1588:S1588,"&gt;0")*$T$1566*$C$32+$V$1566*$C$31)*$H$27*$R$1566)</f>
        <v>0</v>
      </c>
      <c r="V1588">
        <f>IF(S1588=0,0,$V$1566*$H$26*$R$1566)</f>
        <v>0</v>
      </c>
      <c r="W1588">
        <f t="shared" si="993"/>
        <v>0</v>
      </c>
      <c r="X1588">
        <f>T1588*$R$1566/2</f>
        <v>0</v>
      </c>
      <c r="Z1588">
        <f>IF(S1588=0,0,$AD$1566*$AP$1560)</f>
        <v>0</v>
      </c>
      <c r="AA1588">
        <f>IFERROR(Z1588/$R$1566,0)</f>
        <v>0</v>
      </c>
      <c r="AB1588">
        <f>Z1588*($F$24+IF($F$24=0,0,($C$14+$C$15+IF($C$13="single",1.5,3)+3)/12))</f>
        <v>0</v>
      </c>
      <c r="AC1588">
        <f>AB1588-W1588</f>
        <v>0</v>
      </c>
      <c r="AD1588" cm="1">
        <f t="array" ref="AD1588">IFERROR(IF(AC1588&lt;0,0,AC1588/($R$1566-INDEX(hd_off,MATCH(AQ1588,hd_mark,0),0)/12)),0)</f>
        <v>0</v>
      </c>
      <c r="AE1588">
        <f>IF(S1588=0,0,$AD$1566*$AM$1560)</f>
        <v>0</v>
      </c>
      <c r="AF1588">
        <f>IFERROR(AE1588/$R$1566,0)</f>
        <v>0</v>
      </c>
      <c r="AG1588">
        <f>AE1588*($F$24+IF($F$24=0,0,($C$14+$C$15+IF($C$13="single",1.5,3)+3)/12))</f>
        <v>0</v>
      </c>
      <c r="AH1588">
        <f>AG1588-X1588</f>
        <v>0</v>
      </c>
      <c r="AI1588" cm="1">
        <f t="array" ref="AI1588">IFERROR(IF(AH1588&lt;0,0,AH1588/($R$1566-INDEX(hd_off,MATCH(AQ1588,hd_mark,0),0)/12)),0)</f>
        <v>0</v>
      </c>
      <c r="AJ1588">
        <f>MAX($F$24,$AB$1566)/$Q$1588</f>
        <v>0</v>
      </c>
      <c r="AK1588">
        <f t="shared" si="994"/>
        <v>0</v>
      </c>
      <c r="AL1588" cm="1">
        <f t="array" ref="AL1588">IFERROR(INDEX(sheath_ecap_asd,MATCH(AP1588,sheath_mark,0),0)*AK1588,0)</f>
        <v>0</v>
      </c>
      <c r="AM1588" cm="1">
        <f t="array" ref="AM1588">IFERROR(INDEX(sheath_wcap_asd,MATCH(AP1588,sheath_mark,0),0)*AK1588,0)</f>
        <v>0</v>
      </c>
      <c r="AN1588" cm="1">
        <f t="array" ref="AN1588">IFERROR(INDEX(hd_cap,MATCH(AQ1588,hd_mark,0),0),0)</f>
        <v>0</v>
      </c>
      <c r="AP1588" s="19"/>
      <c r="AQ1588" s="19"/>
      <c r="AR1588" s="100"/>
      <c r="AS1588" s="93"/>
      <c r="AT1588" s="111">
        <f>$R$1566</f>
        <v>29</v>
      </c>
      <c r="AU1588" t="str">
        <f>$Q$1560</f>
        <v>L5</v>
      </c>
      <c r="AV1588">
        <f>$E$24</f>
        <v>0</v>
      </c>
      <c r="AW1588" cm="1">
        <f t="array" ref="AW1588">IFERROR(IF(AV1588=0,0,(INDEX($C$33:$C$38,MATCH($AZ$1566,$B$33:$B$38,0),0)*(AV1589+$BA$1566)+$AW$1566*COUNTIF(AV1588:AV1588,"&gt;0")*$C$32+$AY$1566*$C$31)*$AU$1566),0)</f>
        <v>0</v>
      </c>
      <c r="AX1588">
        <f>IF(AV1588=0,0,-(COUNTIF(AV1588:AV1588,"&gt;0")*$AW$1566*$C$32+$AY$1566*$C$31)*$H$27*$AU$1566)</f>
        <v>0</v>
      </c>
      <c r="AY1588">
        <f>IF(AV1588=0,0,$AY$1566*$H$26*$AU$1566)</f>
        <v>0</v>
      </c>
      <c r="AZ1588">
        <f>(0.6*AW1588+0.7*AX1588)*$AU$1566/2</f>
        <v>0</v>
      </c>
      <c r="BA1588">
        <f>AW1588*$AU$1566/2</f>
        <v>0</v>
      </c>
      <c r="BC1588">
        <f>IF(AV1588=0,0,$BG$1566*$AP$1560)</f>
        <v>0</v>
      </c>
      <c r="BD1588">
        <f>IFERROR(BC1588/$AU$1566,0)</f>
        <v>0</v>
      </c>
      <c r="BE1588">
        <f>BC1588*($F$24+IF($F$24=0,0,($C$14+$C$15+IF($C$13="single",1.5,3)+3)/12))</f>
        <v>0</v>
      </c>
      <c r="BF1588">
        <f>BE1588-AZ1588</f>
        <v>0</v>
      </c>
      <c r="BG1588" cm="1">
        <f t="array" ref="BG1588">IFERROR(IF(BF1588&lt;0,0,BF1588/($AU$1566-INDEX(hd_off,MATCH(BT1588,hd_mark,0),0)/12)),0)</f>
        <v>0</v>
      </c>
      <c r="BH1588">
        <f>IF(AV1588=0,0,$BG$1566*$AM$1560)</f>
        <v>0</v>
      </c>
      <c r="BI1588">
        <f>IFERROR(BH1588/$AU$1566,0)</f>
        <v>0</v>
      </c>
      <c r="BJ1588">
        <f>BH1588*($F$24+IF($F$24=0,0,($C$14+$C$15+IF($C$13="single",1.5,3)+3)/12))</f>
        <v>0</v>
      </c>
      <c r="BK1588">
        <f>BJ1588-BA1588</f>
        <v>0</v>
      </c>
      <c r="BL1588" cm="1">
        <f t="array" ref="BL1588">IFERROR(IF(BK1588&lt;0,0,BK1588/($AU$1566-INDEX(hd_off,MATCH(BT1588,hd_mark,0),0)/12)),0)</f>
        <v>0</v>
      </c>
      <c r="BM1588">
        <f>MAX($F$24,$BE$1566)/$Q$1588</f>
        <v>0</v>
      </c>
      <c r="BN1588">
        <f t="shared" si="995"/>
        <v>0</v>
      </c>
      <c r="BO1588" cm="1">
        <f t="array" ref="BO1588">IFERROR(INDEX(sheath_ecap_asd,MATCH(BS1588,sheath_mark,0),0)*BN1588,0)</f>
        <v>0</v>
      </c>
      <c r="BP1588" cm="1">
        <f t="array" ref="BP1588">IFERROR(INDEX(sheath_wcap_asd,MATCH(BS1588,sheath_mark,0),0)*BN1588,0)</f>
        <v>0</v>
      </c>
      <c r="BQ1588" cm="1">
        <f t="array" ref="BQ1588">IFERROR(INDEX(hd_cap,MATCH(BT1588,hd_mark,0),0),0)</f>
        <v>0</v>
      </c>
      <c r="BS1588" s="19"/>
      <c r="BT1588" s="19"/>
      <c r="BU1588" s="100"/>
    </row>
    <row r="1589" x14ac:dyDescent="0.25">
      <c r="B1589" t="s">
        <v>460</v>
      </c>
      <c r="C1589" s="19">
        <v>29</v>
      </c>
      <c r="D1589" s="19">
        <v>6</v>
      </c>
      <c r="E1589">
        <f t="shared" si="991"/>
        <v>35</v>
      </c>
      <c r="H1589">
        <v>12</v>
      </c>
      <c r="I1589" s="19">
        <v>27</v>
      </c>
      <c r="J1589" s="19">
        <v>14</v>
      </c>
      <c r="K1589">
        <f t="shared" si="992"/>
        <v>41</v>
      </c>
      <c r="P1589" s="93"/>
      <c r="Q1589" s="109"/>
      <c r="R1589" t="str">
        <f>$Q$1561</f>
        <v>Roof</v>
      </c>
      <c r="S1589">
        <f>$E$25</f>
        <v>33.171875</v>
      </c>
      <c r="T1589" cm="1">
        <f t="array" ref="T1589">IFERROR(IF(S1589=0,0,(INDEX($C$33:$C$38,MATCH($W$1566,$B$33:$B$38,0),0)*(S1589+$X$1566)+$V$1566*$C$31)*$R$1566),0)</f>
        <v>21491.71875</v>
      </c>
      <c r="U1589">
        <f>IF(S1589=0,0,-$V$1566*$C$31*$H$27*$R$1566)</f>
        <v>-37.583999999999996</v>
      </c>
      <c r="V1589">
        <f>IF(S1589=0,0,$V$1566*$H$26*$R$1566)</f>
        <v>-1328.1999999999998</v>
      </c>
      <c r="W1589">
        <f>(0.6*T1589+0.7*U1589)*$R$1566/2</f>
        <v>186596.47552499999</v>
      </c>
      <c r="X1589">
        <f>T1589*$R$1566/2</f>
        <v>311629.921875</v>
      </c>
      <c r="Z1589">
        <f>IF(S1589=0,0,$AD$1566*$AP$1561)</f>
        <v>191.83499999999995</v>
      </c>
      <c r="AA1589">
        <f>IFERROR(Z1589/$R$1566,0)</f>
        <v>6.6149999999999984</v>
      </c>
      <c r="AB1589">
        <f>Z1589*($F$25+($C$16+$C$17+IF($C$13="single",1.5,3)+3)/12)</f>
        <v>2263.0535156249989</v>
      </c>
      <c r="AC1589">
        <f>AB1589-W1589</f>
        <v>-184333.42200937498</v>
      </c>
      <c r="AD1589" cm="1">
        <f t="array" ref="AD1589">IFERROR(IF(AC1589&lt;0,0,AC1589/($R$1566-INDEX(hd_off,MATCH(AQ1589,hd_mark,0),0)/12)),0)</f>
        <v>0</v>
      </c>
      <c r="AE1589">
        <f>IF(S1589=0,0,$AD$1566*$AM$1561)</f>
        <v>3854.1</v>
      </c>
      <c r="AF1589">
        <f>IFERROR(AE1589/$R$1566,0)</f>
        <v>132.9</v>
      </c>
      <c r="AG1589">
        <f>AE1589*($F$25+($C$16+$C$17+IF($C$13="single",1.5,3)+3)/12)</f>
        <v>45466.335937499993</v>
      </c>
      <c r="AH1589">
        <f>AG1589-X1589</f>
        <v>-266163.5859375</v>
      </c>
      <c r="AI1589" cm="1">
        <f t="array" ref="AI1589">IFERROR(IF(AH1589&lt;0,0,AH1589/($R$1566-INDEX(hd_off,MATCH(AQ1589,hd_mark,0),0)/12)),0)</f>
        <v>0</v>
      </c>
      <c r="AJ1589">
        <f>MAX($F$25,$AC$1566)/$Q$1588</f>
        <v>0.29920977011494249</v>
      </c>
      <c r="AK1589">
        <f t="shared" si="994"/>
        <v>1</v>
      </c>
      <c r="AL1589" cm="1">
        <f t="array" ref="AL1589">IFERROR(INDEX(sheath_ecap_asd,MATCH(AP1589,sheath_mark,0),0)*AK1589,0)</f>
        <v>95.285714285714306</v>
      </c>
      <c r="AM1589" cm="1">
        <f t="array" ref="AM1589">IFERROR(INDEX(sheath_wcap_asd,MATCH(AP1589,sheath_mark,0),0)*AK1589,0)</f>
        <v>133.4</v>
      </c>
      <c r="AN1589" cm="1">
        <f t="array" ref="AN1589">IFERROR(INDEX(hd_cap,MATCH(AQ1589,hd_mark,0),0),0)</f>
        <v>0</v>
      </c>
      <c r="AP1589" s="19">
        <v>11</v>
      </c>
      <c r="AQ1589" s="19"/>
      <c r="AR1589" s="100"/>
      <c r="AS1589" s="93"/>
      <c r="AT1589" s="109"/>
      <c r="AU1589" t="str">
        <f>$Q$1561</f>
        <v>Roof</v>
      </c>
      <c r="AV1589">
        <f>$E$25</f>
        <v>33.171875</v>
      </c>
      <c r="AW1589" cm="1">
        <f t="array" ref="AW1589">IFERROR(IF(AV1589=0,0,(INDEX($C$33:$C$38,MATCH($AZ$1566,$B$33:$B$38,0),0)*(AV1589+$BA$1566)+$AY$1566*$C$31)*$AU$1566),0)</f>
        <v>21491.71875</v>
      </c>
      <c r="AX1589">
        <f>IF(AV1589=0,0,-$AY$1566*$C$31*$H$27*$AU$1566)</f>
        <v>-37.583999999999996</v>
      </c>
      <c r="AY1589">
        <f>IF(AV1589=0,0,$AY$1566*$H$26*$AU$1566)</f>
        <v>-1328.1999999999998</v>
      </c>
      <c r="AZ1589">
        <f>(0.6*AW1589+0.7*AX1589)*$AU$1566/2</f>
        <v>186596.47552499999</v>
      </c>
      <c r="BA1589">
        <f>AW1589*$AU$1566/2</f>
        <v>311629.921875</v>
      </c>
      <c r="BC1589">
        <f>IF(AV1589=0,0,$BG$1566*$AP$1561)</f>
        <v>191.83499999999995</v>
      </c>
      <c r="BD1589">
        <f>IFERROR(BC1589/$AU$1566,0)</f>
        <v>6.6149999999999984</v>
      </c>
      <c r="BE1589">
        <f>BC1589*($F$25+($C$16+$C$17+IF($C$13="single",1.5,3)+3)/12)</f>
        <v>2263.0535156249989</v>
      </c>
      <c r="BF1589">
        <f>BE1589-AZ1589</f>
        <v>-184333.42200937498</v>
      </c>
      <c r="BG1589" cm="1">
        <f t="array" ref="BG1589">IFERROR(IF(BF1589&lt;0,0,BF1589/($AU$1566-INDEX(hd_off,MATCH(BT1589,hd_mark,0),0)/12)),0)</f>
        <v>0</v>
      </c>
      <c r="BH1589">
        <f>IF(AV1589=0,0,$BG$1566*$AM$1561)</f>
        <v>3854.1</v>
      </c>
      <c r="BI1589">
        <f>IFERROR(BH1589/$AU$1566,0)</f>
        <v>132.9</v>
      </c>
      <c r="BJ1589">
        <f>BH1589*($F$25+($C$16+$C$17+IF($C$13="single",1.5,3)+3)/12)</f>
        <v>45466.335937499993</v>
      </c>
      <c r="BK1589">
        <f>BJ1589-BA1589</f>
        <v>-266163.5859375</v>
      </c>
      <c r="BL1589" cm="1">
        <f t="array" ref="BL1589">IFERROR(IF(BK1589&lt;0,0,BK1589/($AU$1566-INDEX(hd_off,MATCH(BT1589,hd_mark,0),0)/12)),0)</f>
        <v>0</v>
      </c>
      <c r="BM1589">
        <f>MAX($F$25,$BF$1566)/$Q$1588</f>
        <v>0.29920977011494249</v>
      </c>
      <c r="BN1589">
        <f t="shared" si="995"/>
        <v>1</v>
      </c>
      <c r="BO1589" cm="1">
        <f t="array" ref="BO1589">IFERROR(INDEX(sheath_ecap_asd,MATCH(BS1589,sheath_mark,0),0)*BN1589,0)</f>
        <v>95.285714285714306</v>
      </c>
      <c r="BP1589" cm="1">
        <f t="array" ref="BP1589">IFERROR(INDEX(sheath_wcap_asd,MATCH(BS1589,sheath_mark,0),0)*BN1589,0)</f>
        <v>133.4</v>
      </c>
      <c r="BQ1589" cm="1">
        <f t="array" ref="BQ1589">IFERROR(INDEX(hd_cap,MATCH(BT1589,hd_mark,0),0),0)</f>
        <v>0</v>
      </c>
      <c r="BS1589" s="19">
        <v>11</v>
      </c>
      <c r="BT1589" s="19"/>
      <c r="BU1589" s="100"/>
    </row>
    <row r="1590" x14ac:dyDescent="0.25">
      <c r="B1590" t="s">
        <v>461</v>
      </c>
      <c r="C1590" s="19">
        <v>6</v>
      </c>
      <c r="D1590" s="19">
        <v>29</v>
      </c>
      <c r="E1590">
        <f t="shared" si="991"/>
        <v>35</v>
      </c>
      <c r="H1590">
        <v>13</v>
      </c>
      <c r="I1590" s="19">
        <v>14</v>
      </c>
      <c r="J1590" s="19">
        <v>12</v>
      </c>
      <c r="K1590">
        <f t="shared" si="992"/>
        <v>26</v>
      </c>
      <c r="P1590" s="93"/>
      <c r="Q1590" s="109"/>
      <c r="AR1590" s="100"/>
      <c r="AS1590" s="93"/>
      <c r="AT1590" s="109"/>
      <c r="BU1590" s="100"/>
    </row>
    <row r="1591" x14ac:dyDescent="0.25">
      <c r="B1591" t="s">
        <v>462</v>
      </c>
      <c r="C1591" s="19">
        <v>29</v>
      </c>
      <c r="D1591" s="19">
        <v>0</v>
      </c>
      <c r="E1591">
        <f t="shared" si="991"/>
        <v>29</v>
      </c>
      <c r="H1591">
        <v>14</v>
      </c>
      <c r="I1591" s="19">
        <v>12</v>
      </c>
      <c r="J1591" s="19">
        <v>27</v>
      </c>
      <c r="K1591">
        <f t="shared" si="992"/>
        <v>39</v>
      </c>
      <c r="P1591" s="93"/>
      <c r="Q1591" s="110" t="str">
        <f>$Q$1567</f>
        <v>A.02</v>
      </c>
      <c r="R1591" t="str">
        <f>$Q$1557</f>
        <v>L2</v>
      </c>
      <c r="S1591">
        <f>$E$21</f>
        <v>10.6875</v>
      </c>
      <c r="T1591" cm="1">
        <f t="array" ref="T1591">IFERROR(IF(S1591=0,0,(INDEX($C$33:$C$38,MATCH($W$1567,$B$33:$B$38,0),0)*(S1595+$X$1567)+$T$1567*COUNTIF(S1591:S1594,"&gt;0")*$C$32+$V$1567*$C$31)*$R$1567),0)</f>
        <v>0</v>
      </c>
      <c r="U1591">
        <f>IF(S1591=0,0,-(COUNTIF(S1591:S1594,"&gt;0")*$T$1567*$C$32+$V$1567*$C$31)*$H$27*$R$1567)</f>
        <v>0</v>
      </c>
      <c r="V1591">
        <f>IF(S1591=0,0,$V$1567*$H$26*$R$1567)</f>
        <v>0</v>
      </c>
      <c r="W1591">
        <f>(0.6*T1591+0.7*U1591)*$R$1567/2</f>
        <v>0</v>
      </c>
      <c r="X1591">
        <f>(0.6*T1591+0.6*V1591)*$R$1567/2</f>
        <v>0</v>
      </c>
      <c r="Z1591">
        <f>IF(S1591=0,0,$AD$1567*$AP$1557)</f>
        <v>0</v>
      </c>
      <c r="AA1591">
        <f>IFERROR(Z1591/$R$1567,0)</f>
        <v>0</v>
      </c>
      <c r="AB1591">
        <f>Z1591*($F$21+IF($F$21=0,0,($C$14+$C$15+IF($C$13="single",1.5,3)+3)/12))</f>
        <v>0</v>
      </c>
      <c r="AC1591">
        <f>AB1591-W1591</f>
        <v>0</v>
      </c>
      <c r="AD1591" cm="1">
        <f t="array" ref="AD1591">IFERROR(IF(AC1591&lt;0,0,AC1591/($R$1567-INDEX(hd_off,MATCH(AQ1591,hd_mark,0),0)/12)),0)</f>
        <v>0</v>
      </c>
      <c r="AE1591">
        <f>IF(S1591=0,0,$AD$1567*$AM$1557)</f>
        <v>0</v>
      </c>
      <c r="AF1591">
        <f>IFERROR(AE1591/$R$1567,0)</f>
        <v>0</v>
      </c>
      <c r="AG1591">
        <f>AE1591*($F$21+IF($F$21=0,0,($C$14+$C$15+IF($C$13="single",1.5,3)+3)/12))</f>
        <v>0</v>
      </c>
      <c r="AH1591">
        <f>AG1591-X1591</f>
        <v>0</v>
      </c>
      <c r="AI1591" cm="1">
        <f t="array" ref="AI1591">IFERROR(IF(AH1591&lt;0,0,AH1591/($R$1567-INDEX(hd_off,MATCH(AQ1591,hd_mark,0),0)/12)),0)</f>
        <v>0</v>
      </c>
      <c r="AJ1591">
        <f>MAX($F$21,$Y$1567)/$Q$1588</f>
        <v>0.30172413793103448</v>
      </c>
      <c r="AK1591">
        <f>IF(AJ1591=0,0,IF(AJ1591&gt;2,1.25-0.125*AJ1591,1))</f>
        <v>1</v>
      </c>
      <c r="AL1591" cm="1">
        <f t="array" ref="AL1591">IFERROR(INDEX(sheath_ecap_asd,MATCH(AP1591,sheath_mark,0),0)*AK1591,0)</f>
        <v>0</v>
      </c>
      <c r="AM1591" cm="1">
        <f t="array" ref="AM1591">IFERROR(INDEX(sheath_wcap_asd,MATCH(AP1591,sheath_mark,0),0)*AK1591,0)</f>
        <v>0</v>
      </c>
      <c r="AN1591" cm="1">
        <f t="array" ref="AN1591">IFERROR(INDEX(hd_cap,MATCH(AQ1591,hd_mark,0),0),0)</f>
        <v>0</v>
      </c>
      <c r="AP1591" s="19"/>
      <c r="AQ1591" s="19"/>
      <c r="AR1591" s="100"/>
      <c r="AS1591" s="93"/>
      <c r="AT1591" s="110" t="str">
        <f>$AT$1567</f>
        <v>1.02</v>
      </c>
      <c r="AU1591" t="str">
        <f>$Q$1557</f>
        <v>L2</v>
      </c>
      <c r="AV1591">
        <f>$E$21</f>
        <v>10.6875</v>
      </c>
      <c r="AW1591" cm="1">
        <f t="array" ref="AW1591">IFERROR(IF(AV1591=0,0,(INDEX($C$33:$C$38,MATCH($AZ$1567,$B$33:$B$38,0),0)*(AV1595+$BA$1567)+$AW$1567*COUNTIF(AV1591:AV1594,"&gt;0")*$C$32+$AY$1567*$C$31)*$AU$1567),0)</f>
        <v>0</v>
      </c>
      <c r="AX1591">
        <f>IF(AV1591=0,0,-(COUNTIF(AV1591:AV1594,"&gt;0")*$AW$1567*$C$32+$AY$1567*$C$31)*$H$27*$AU$1567)</f>
        <v>0</v>
      </c>
      <c r="AY1591">
        <f>IF(AV1591=0,0,$AY$1567*$H$26*$AU$1567)</f>
        <v>0</v>
      </c>
      <c r="AZ1591">
        <f>(0.6*AW1591+0.7*AX1591)*$AU$1567/2</f>
        <v>0</v>
      </c>
      <c r="BA1591">
        <f>(0.6*AW1591+0.6*AY1591)*$AU$1567/2</f>
        <v>0</v>
      </c>
      <c r="BC1591">
        <f>IF(AV1591=0,0,$BG$1567*$AP$1557)</f>
        <v>0</v>
      </c>
      <c r="BD1591">
        <f>IFERROR(BC1591/$AU$1567,0)</f>
        <v>0</v>
      </c>
      <c r="BE1591">
        <f>BC1591*($F$21+IF($F$21=0,0,($C$14+$C$15+IF($C$13="single",1.5,3)+3)/12))</f>
        <v>0</v>
      </c>
      <c r="BF1591">
        <f>BE1591-AZ1591</f>
        <v>0</v>
      </c>
      <c r="BG1591" cm="1">
        <f t="array" ref="BG1591">IFERROR(IF(BF1591&lt;0,0,BF1591/($AU$1567-INDEX(hd_off,MATCH(BT1591,hd_mark,0),0)/12)),0)</f>
        <v>0</v>
      </c>
      <c r="BH1591">
        <f>IF(AV1591=0,0,$BG$1567*$AM$1557)</f>
        <v>0</v>
      </c>
      <c r="BI1591">
        <f>IFERROR(BH1591/$AU$1567,0)</f>
        <v>0</v>
      </c>
      <c r="BJ1591">
        <f>BH1591*($F$21+IF($F$21=0,0,($C$14+$C$15+IF($C$13="single",1.5,3)+3)/12))</f>
        <v>0</v>
      </c>
      <c r="BK1591">
        <f>BJ1591-BA1591</f>
        <v>0</v>
      </c>
      <c r="BL1591" cm="1">
        <f t="array" ref="BL1591">IFERROR(IF(BK1591&lt;0,0,BK1591/($AU$1567-INDEX(hd_off,MATCH(BT1591,hd_mark,0),0)/12)),0)</f>
        <v>0</v>
      </c>
      <c r="BM1591">
        <f>MAX($F$21,$BB$1567)/$Q$1588</f>
        <v>0.30172413793103448</v>
      </c>
      <c r="BN1591">
        <f>IF(BM1591=0,0,IF(BM1591&gt;2,1.25-0.125*BM1591,1))</f>
        <v>1</v>
      </c>
      <c r="BO1591" cm="1">
        <f t="array" ref="BO1591">IFERROR(INDEX(sheath_ecap_asd,MATCH(BS1591,sheath_mark,0),0)*BN1591,0)</f>
        <v>0</v>
      </c>
      <c r="BP1591" cm="1">
        <f t="array" ref="BP1591">IFERROR(INDEX(sheath_wcap_asd,MATCH(BS1591,sheath_mark,0),0)*BN1591,0)</f>
        <v>0</v>
      </c>
      <c r="BQ1591" cm="1">
        <f t="array" ref="BQ1591">IFERROR(INDEX(hd_cap,MATCH(BT1591,hd_mark,0),0),0)</f>
        <v>0</v>
      </c>
      <c r="BS1591" s="19"/>
      <c r="BT1591" s="19"/>
      <c r="BU1591" s="100"/>
    </row>
    <row r="1592" x14ac:dyDescent="0.25">
      <c r="B1592" t="s">
        <v>463</v>
      </c>
      <c r="C1592" s="19"/>
      <c r="D1592" s="19"/>
      <c r="E1592">
        <f t="shared" si="991"/>
        <v>0</v>
      </c>
      <c r="H1592">
        <v>15</v>
      </c>
      <c r="I1592" s="19">
        <v>27</v>
      </c>
      <c r="J1592" s="19">
        <v>18</v>
      </c>
      <c r="K1592">
        <f t="shared" si="992"/>
        <v>45</v>
      </c>
      <c r="P1592" s="93"/>
      <c r="Q1592" s="109"/>
      <c r="R1592" t="str">
        <f>$Q$1558</f>
        <v>L3</v>
      </c>
      <c r="S1592">
        <f>$E$22</f>
        <v>21.375</v>
      </c>
      <c r="T1592" cm="1">
        <f t="array" ref="T1592">IFERROR(IF(S1592=0,0,(INDEX($C$33:$C$38,MATCH($W$1567,$B$33:$B$38,0),0)*(S1595+$X$1567)+$T$1567*COUNTIF(S1592:S1594,"&gt;0")*$C$32+$V$1567*$C$31)*$R$1567),0)</f>
        <v>0</v>
      </c>
      <c r="U1592">
        <f>IF(S1592=0,0,-(COUNTIF(S1592:S1594,"&gt;0")*$T$1567*$C$32+$V$1567*$C$31)*$H$27*$R$1567)</f>
        <v>0</v>
      </c>
      <c r="V1592">
        <f>IF(S1592=0,0,$V$1567*$H$26*$R$1567)</f>
        <v>0</v>
      </c>
      <c r="W1592">
        <f>(0.6*T1592+0.7*U1592)*$R$1567/2</f>
        <v>0</v>
      </c>
      <c r="X1592">
        <f>T1592*$R$1567/2</f>
        <v>0</v>
      </c>
      <c r="Z1592">
        <f>IF(S1592=0,0,$AD$1567*$AP$1558)</f>
        <v>0</v>
      </c>
      <c r="AA1592">
        <f>IFERROR(Z1592/$R$1567,0)</f>
        <v>0</v>
      </c>
      <c r="AB1592">
        <f>Z1592*($F$22+IF($F$22=0,0,($C$14+$C$15+IF($C$13="single",1.5,3)+3)/12))</f>
        <v>0</v>
      </c>
      <c r="AC1592">
        <f>AB1592-W1592</f>
        <v>0</v>
      </c>
      <c r="AD1592" cm="1">
        <f t="array" ref="AD1592">IFERROR(IF(AC1592&lt;0,0,AC1592/($R$1567-INDEX(hd_off,MATCH(AQ1592,hd_mark,0),0)/12)),0)</f>
        <v>0</v>
      </c>
      <c r="AE1592">
        <f>IF(S1592=0,0,$AD$1567*$AM$1558)</f>
        <v>0</v>
      </c>
      <c r="AF1592">
        <f>IFERROR(AE1592/$R$1567,0)</f>
        <v>0</v>
      </c>
      <c r="AG1592">
        <f>AE1592*($F$22+IF($F$22=0,0,($C$14+$C$15+IF($C$13="single",1.5,3)+3)/12))</f>
        <v>0</v>
      </c>
      <c r="AH1592">
        <f>AG1592-X1592</f>
        <v>0</v>
      </c>
      <c r="AI1592" cm="1">
        <f t="array" ref="AI1592">IFERROR(IF(AH1592&lt;0,0,AH1592/($R$1567-INDEX(hd_off,MATCH(AQ1592,hd_mark,0),0)/12)),0)</f>
        <v>0</v>
      </c>
      <c r="AJ1592">
        <f>MAX($F$22,$Z$1567)/$Q$1588</f>
        <v>0.30172413793103448</v>
      </c>
      <c r="AK1592">
        <f t="shared" ref="AK1592:AK1595" si="996">IF(AJ1592=0,0,IF(AJ1592&gt;2,1.25-0.125*AJ1592,1))</f>
        <v>1</v>
      </c>
      <c r="AL1592" cm="1">
        <f t="array" ref="AL1592">IFERROR(INDEX(sheath_ecap_asd,MATCH(AP1592,sheath_mark,0),0)*AK1592,0)</f>
        <v>0</v>
      </c>
      <c r="AM1592" cm="1">
        <f t="array" ref="AM1592">IFERROR(INDEX(sheath_wcap_asd,MATCH(AP1592,sheath_mark,0),0)*AK1592,0)</f>
        <v>0</v>
      </c>
      <c r="AN1592" cm="1">
        <f t="array" ref="AN1592">IFERROR(INDEX(hd_cap,MATCH(AQ1592,hd_mark,0),0),0)</f>
        <v>0</v>
      </c>
      <c r="AP1592" s="19"/>
      <c r="AQ1592" s="19"/>
      <c r="AR1592" s="100"/>
      <c r="AS1592" s="93"/>
      <c r="AT1592" s="109"/>
      <c r="AU1592" t="str">
        <f>$Q$1558</f>
        <v>L3</v>
      </c>
      <c r="AV1592">
        <f>$E$22</f>
        <v>21.375</v>
      </c>
      <c r="AW1592" cm="1">
        <f t="array" ref="AW1592">IFERROR(IF(AV1592=0,0,(INDEX($C$33:$C$38,MATCH($AZ$1567,$B$33:$B$38,0),0)*(AV1595+$BA$1567)+$AW$1567*COUNTIF(AV1592:AV1594,"&gt;0")*$C$32+$AY$1567*$C$31)*$AU$1567),0)</f>
        <v>0</v>
      </c>
      <c r="AX1592">
        <f>IF(AV1592=0,0,-(COUNTIF(AV1592:AV1594,"&gt;0")*$AW$1567*$C$32+$AY$1567*$C$31)*$H$27*$AU$1567)</f>
        <v>0</v>
      </c>
      <c r="AY1592">
        <f>IF(AV1592=0,0,$AY$1567*$H$26*$AU$1567)</f>
        <v>0</v>
      </c>
      <c r="AZ1592">
        <f>(0.6*AW1592+0.7*AX1592)*$AU$1567/2</f>
        <v>0</v>
      </c>
      <c r="BA1592">
        <f>AW1592*$AU$1567/2</f>
        <v>0</v>
      </c>
      <c r="BC1592">
        <f>IF(AV1592=0,0,$BG$1567*$AP$1558)</f>
        <v>0</v>
      </c>
      <c r="BD1592">
        <f>IFERROR(BC1592/$AU$1567,0)</f>
        <v>0</v>
      </c>
      <c r="BE1592">
        <f>BC1592*($F$22+IF($F$22=0,0,($C$14+$C$15+IF($C$13="single",1.5,3)+3)/12))</f>
        <v>0</v>
      </c>
      <c r="BF1592">
        <f>BE1592-AZ1592</f>
        <v>0</v>
      </c>
      <c r="BG1592" cm="1">
        <f t="array" ref="BG1592">IFERROR(IF(BF1592&lt;0,0,BF1592/($AU$1567-INDEX(hd_off,MATCH(BT1592,hd_mark,0),0)/12)),0)</f>
        <v>0</v>
      </c>
      <c r="BH1592">
        <f>IF(AV1592=0,0,$BG$1567*$AM$1558)</f>
        <v>0</v>
      </c>
      <c r="BI1592">
        <f>IFERROR(BH1592/$AU$1567,0)</f>
        <v>0</v>
      </c>
      <c r="BJ1592">
        <f>BH1592*($F$22+IF($F$22=0,0,($C$14+$C$15+IF($C$13="single",1.5,3)+3)/12))</f>
        <v>0</v>
      </c>
      <c r="BK1592">
        <f>BJ1592-BA1592</f>
        <v>0</v>
      </c>
      <c r="BL1592" cm="1">
        <f t="array" ref="BL1592">IFERROR(IF(BK1592&lt;0,0,BK1592/($AU$1567-INDEX(hd_off,MATCH(BT1592,hd_mark,0),0)/12)),0)</f>
        <v>0</v>
      </c>
      <c r="BM1592">
        <f>MAX($F$22,$BC$1567)/$Q$1588</f>
        <v>0.30172413793103448</v>
      </c>
      <c r="BN1592">
        <f t="shared" ref="BN1592:BN1595" si="997">IF(BM1592=0,0,IF(BM1592&gt;2,1.25-0.125*BM1592,1))</f>
        <v>1</v>
      </c>
      <c r="BO1592" cm="1">
        <f t="array" ref="BO1592">IFERROR(INDEX(sheath_ecap_asd,MATCH(BS1592,sheath_mark,0),0)*BN1592,0)</f>
        <v>0</v>
      </c>
      <c r="BP1592" cm="1">
        <f t="array" ref="BP1592">IFERROR(INDEX(sheath_wcap_asd,MATCH(BS1592,sheath_mark,0),0)*BN1592,0)</f>
        <v>0</v>
      </c>
      <c r="BQ1592" cm="1">
        <f t="array" ref="BQ1592">IFERROR(INDEX(hd_cap,MATCH(BT1592,hd_mark,0),0),0)</f>
        <v>0</v>
      </c>
      <c r="BS1592" s="19"/>
      <c r="BT1592" s="19"/>
      <c r="BU1592" s="100"/>
    </row>
    <row r="1593" x14ac:dyDescent="0.25">
      <c r="B1593" t="s">
        <v>464</v>
      </c>
      <c r="C1593" s="19"/>
      <c r="D1593" s="19"/>
      <c r="E1593">
        <f t="shared" si="991"/>
        <v>0</v>
      </c>
      <c r="H1593">
        <v>16</v>
      </c>
      <c r="I1593" s="19"/>
      <c r="J1593" s="19"/>
      <c r="K1593">
        <f t="shared" si="992"/>
        <v>0</v>
      </c>
      <c r="P1593" s="93"/>
      <c r="Q1593" s="109" t="s">
        <v>491</v>
      </c>
      <c r="R1593" t="str">
        <f>$Q$1559</f>
        <v>L4</v>
      </c>
      <c r="S1593">
        <f>$E$23</f>
        <v>0</v>
      </c>
      <c r="T1593" cm="1">
        <f t="array" ref="T1593">IFERROR(IF(S1593=0,0,(INDEX($C$33:$C$38,MATCH($W$1567,$B$33:$B$38,0),0)*(S1595+$X$1567)+$T$1567*COUNTIF(S1593:S1594,"&gt;0")*$C$32+$V$1567*$C$31)*$R$1567),0)</f>
        <v>0</v>
      </c>
      <c r="U1593">
        <f>IF(S1593=0,0,-(COUNTIF(S1593:S1594,"&gt;0")*$T$1567*$C$32+$V$1567*$C$31)*$H$27*$R$1567)</f>
        <v>0</v>
      </c>
      <c r="V1593">
        <f>IF(S1593=0,0,$V$1567*$H$26*$R$1567)</f>
        <v>0</v>
      </c>
      <c r="W1593">
        <f>(0.6*T1593+0.7*U1593)*$R$1567/2</f>
        <v>0</v>
      </c>
      <c r="X1593">
        <f>T1593*$R$1567/2</f>
        <v>0</v>
      </c>
      <c r="Z1593">
        <f>IF(S1593=0,0,$AD$1567*$AP$1559)</f>
        <v>0</v>
      </c>
      <c r="AA1593">
        <f>IFERROR(Z1593/$R$1567,0)</f>
        <v>0</v>
      </c>
      <c r="AB1593">
        <f>Z1593*($F$23+IF($F$23=0,0,($C$14+$C$15+IF($C$13="single",1.5,3)+3)/12))</f>
        <v>0</v>
      </c>
      <c r="AC1593">
        <f>AB1593-W1593</f>
        <v>0</v>
      </c>
      <c r="AD1593" cm="1">
        <f t="array" ref="AD1593">IFERROR(IF(AC1593&lt;0,0,AC1593/($R$1567-INDEX(hd_off,MATCH(AQ1593,hd_mark,0),0)/12)),0)</f>
        <v>0</v>
      </c>
      <c r="AE1593">
        <f>IF(S1593=0,0,$AD$1567*$AM$1559)</f>
        <v>0</v>
      </c>
      <c r="AF1593">
        <f>IFERROR(AE1593/$R$1567,0)</f>
        <v>0</v>
      </c>
      <c r="AG1593">
        <f>AE1593*($F$23+IF($F$23=0,0,($C$14+$C$15+IF($C$13="single",1.5,3)+3)/12))</f>
        <v>0</v>
      </c>
      <c r="AH1593">
        <f>AG1593-X1593</f>
        <v>0</v>
      </c>
      <c r="AI1593" cm="1">
        <f t="array" ref="AI1593">IFERROR(IF(AH1593&lt;0,0,AH1593/($R$1567-INDEX(hd_off,MATCH(AQ1593,hd_mark,0),0)/12)),0)</f>
        <v>0</v>
      </c>
      <c r="AJ1593">
        <f>MAX($F$23,$AA$1567)/$Q$1588</f>
        <v>0</v>
      </c>
      <c r="AK1593">
        <f t="shared" si="996"/>
        <v>0</v>
      </c>
      <c r="AL1593" cm="1">
        <f t="array" ref="AL1593">IFERROR(INDEX(sheath_ecap_asd,MATCH(AP1593,sheath_mark,0),0)*AK1593,0)</f>
        <v>0</v>
      </c>
      <c r="AM1593" cm="1">
        <f t="array" ref="AM1593">IFERROR(INDEX(sheath_wcap_asd,MATCH(AP1593,sheath_mark,0),0)*AK1593,0)</f>
        <v>0</v>
      </c>
      <c r="AN1593" cm="1">
        <f t="array" ref="AN1593">IFERROR(INDEX(hd_cap,MATCH(AQ1593,hd_mark,0),0),0)</f>
        <v>0</v>
      </c>
      <c r="AP1593" s="19"/>
      <c r="AQ1593" s="19"/>
      <c r="AR1593" s="100"/>
      <c r="AS1593" s="93"/>
      <c r="AT1593" s="109" t="s">
        <v>491</v>
      </c>
      <c r="AU1593" t="str">
        <f>$Q$1559</f>
        <v>L4</v>
      </c>
      <c r="AV1593">
        <f>$E$23</f>
        <v>0</v>
      </c>
      <c r="AW1593" cm="1">
        <f t="array" ref="AW1593">IFERROR(IF(AV1593=0,0,(INDEX($C$33:$C$38,MATCH($AZ$1567,$B$33:$B$38,0),0)*(AV1595+$BA$1567)+$AW$1567*COUNTIF(AV1593:AV1594,"&gt;0")*$C$32+$AY$1567*$C$31)*$AU$1567),0)</f>
        <v>0</v>
      </c>
      <c r="AX1593">
        <f>IF(AV1593=0,0,-(COUNTIF(AV1593:AV1594,"&gt;0")*$AW$1567*$C$32+$AY$1567*$C$31)*$H$27*$AU$1567)</f>
        <v>0</v>
      </c>
      <c r="AY1593">
        <f>IF(AV1593=0,0,$AY$1567*$H$26*$AU$1567)</f>
        <v>0</v>
      </c>
      <c r="AZ1593">
        <f>(0.6*AW1593+0.7*AX1593)*$AU$1567/2</f>
        <v>0</v>
      </c>
      <c r="BA1593">
        <f>AW1593*$AU$1567/2</f>
        <v>0</v>
      </c>
      <c r="BC1593">
        <f>IF(AV1593=0,0,$BG$1567*$AP$1559)</f>
        <v>0</v>
      </c>
      <c r="BD1593">
        <f>IFERROR(BC1593/$AU$1567,0)</f>
        <v>0</v>
      </c>
      <c r="BE1593">
        <f>BC1593*($F$23+IF($F$23=0,0,($C$14+$C$15+IF($C$13="single",1.5,3)+3)/12))</f>
        <v>0</v>
      </c>
      <c r="BF1593">
        <f>BE1593-AZ1593</f>
        <v>0</v>
      </c>
      <c r="BG1593" cm="1">
        <f t="array" ref="BG1593">IFERROR(IF(BF1593&lt;0,0,BF1593/($AU$1567-INDEX(hd_off,MATCH(BT1593,hd_mark,0),0)/12)),0)</f>
        <v>0</v>
      </c>
      <c r="BH1593">
        <f>IF(AV1593=0,0,$BG$1567*$AM$1559)</f>
        <v>0</v>
      </c>
      <c r="BI1593">
        <f>IFERROR(BH1593/$AU$1567,0)</f>
        <v>0</v>
      </c>
      <c r="BJ1593">
        <f>BH1593*($F$23+IF($F$23=0,0,($C$14+$C$15+IF($C$13="single",1.5,3)+3)/12))</f>
        <v>0</v>
      </c>
      <c r="BK1593">
        <f>BJ1593-BA1593</f>
        <v>0</v>
      </c>
      <c r="BL1593" cm="1">
        <f t="array" ref="BL1593">IFERROR(IF(BK1593&lt;0,0,BK1593/($AU$1567-INDEX(hd_off,MATCH(BT1593,hd_mark,0),0)/12)),0)</f>
        <v>0</v>
      </c>
      <c r="BM1593">
        <f>MAX($F$23,$BD$1567)/$Q$1588</f>
        <v>0</v>
      </c>
      <c r="BN1593">
        <f t="shared" si="997"/>
        <v>0</v>
      </c>
      <c r="BO1593" cm="1">
        <f t="array" ref="BO1593">IFERROR(INDEX(sheath_ecap_asd,MATCH(BS1593,sheath_mark,0),0)*BN1593,0)</f>
        <v>0</v>
      </c>
      <c r="BP1593" cm="1">
        <f t="array" ref="BP1593">IFERROR(INDEX(sheath_wcap_asd,MATCH(BS1593,sheath_mark,0),0)*BN1593,0)</f>
        <v>0</v>
      </c>
      <c r="BQ1593" cm="1">
        <f t="array" ref="BQ1593">IFERROR(INDEX(hd_cap,MATCH(BT1593,hd_mark,0),0),0)</f>
        <v>0</v>
      </c>
      <c r="BS1593" s="19"/>
      <c r="BT1593" s="19"/>
      <c r="BU1593" s="100"/>
    </row>
    <row r="1594" x14ac:dyDescent="0.25">
      <c r="B1594" t="s">
        <v>465</v>
      </c>
      <c r="C1594" s="19"/>
      <c r="D1594" s="19"/>
      <c r="E1594">
        <f t="shared" si="991"/>
        <v>0</v>
      </c>
      <c r="H1594">
        <v>17</v>
      </c>
      <c r="I1594" s="19"/>
      <c r="J1594" s="19"/>
      <c r="K1594">
        <f t="shared" si="992"/>
        <v>0</v>
      </c>
      <c r="P1594" s="93"/>
      <c r="Q1594" s="111">
        <f>$R$1567</f>
        <v>0</v>
      </c>
      <c r="R1594" t="str">
        <f>$Q$1560</f>
        <v>L5</v>
      </c>
      <c r="S1594">
        <f>$E$24</f>
        <v>0</v>
      </c>
      <c r="T1594" cm="1">
        <f t="array" ref="T1594">IFERROR(IF(S1594=0,0,(INDEX($C$33:$C$38,MATCH($W$1567,$B$33:$B$38,0),0)*(S1595+$X$1567)+$T$1567*COUNTIF(S1594:S1594,"&gt;0")*$C$32+$V$1567*$C$31)*$R$1567),0)</f>
        <v>0</v>
      </c>
      <c r="U1594">
        <f>IF(S1594=0,0,-(COUNTIF(S1594:S1594,"&gt;0")*$T$1567*$C$32+$V$1567*$C$31)*$H$27*$R$1567)</f>
        <v>0</v>
      </c>
      <c r="V1594">
        <f>IF(S1594=0,0,$V$1567*$H$26*$R$1567)</f>
        <v>0</v>
      </c>
      <c r="W1594">
        <f>(0.6*T1594+0.7*U1594)*$R$1567/2</f>
        <v>0</v>
      </c>
      <c r="X1594">
        <f>T1594*$R$1567/2</f>
        <v>0</v>
      </c>
      <c r="Z1594">
        <f>IF(S1594=0,0,$AD$1567*$AP$1560)</f>
        <v>0</v>
      </c>
      <c r="AA1594">
        <f>IFERROR(Z1594/$R$1567,0)</f>
        <v>0</v>
      </c>
      <c r="AB1594">
        <f>Z1594*($F$24+IF($F$24=0,0,($C$14+$C$15+IF($C$13="single",1.5,3)+3)/12))</f>
        <v>0</v>
      </c>
      <c r="AC1594">
        <f>AB1594-W1594</f>
        <v>0</v>
      </c>
      <c r="AD1594" cm="1">
        <f t="array" ref="AD1594">IFERROR(IF(AC1594&lt;0,0,AC1594/($R$1567-INDEX(hd_off,MATCH(AQ1594,hd_mark,0),0)/12)),0)</f>
        <v>0</v>
      </c>
      <c r="AE1594">
        <f>IF(S1594=0,0,$AD$1567*$AM$1560)</f>
        <v>0</v>
      </c>
      <c r="AF1594">
        <f>IFERROR(AE1594/$R$1567,0)</f>
        <v>0</v>
      </c>
      <c r="AG1594">
        <f>AE1594*($F$24+IF($F$24=0,0,($C$14+$C$15+IF($C$13="single",1.5,3)+3)/12))</f>
        <v>0</v>
      </c>
      <c r="AH1594">
        <f>AG1594-X1594</f>
        <v>0</v>
      </c>
      <c r="AI1594" cm="1">
        <f t="array" ref="AI1594">IFERROR(IF(AH1594&lt;0,0,AH1594/($R$1567-INDEX(hd_off,MATCH(AQ1594,hd_mark,0),0)/12)),0)</f>
        <v>0</v>
      </c>
      <c r="AJ1594">
        <f>MAX($F$24,$AB$1567)/$Q$1588</f>
        <v>0</v>
      </c>
      <c r="AK1594">
        <f t="shared" si="996"/>
        <v>0</v>
      </c>
      <c r="AL1594" cm="1">
        <f t="array" ref="AL1594">IFERROR(INDEX(sheath_ecap_asd,MATCH(AP1594,sheath_mark,0),0)*AK1594,0)</f>
        <v>0</v>
      </c>
      <c r="AM1594" cm="1">
        <f t="array" ref="AM1594">IFERROR(INDEX(sheath_wcap_asd,MATCH(AP1594,sheath_mark,0),0)*AK1594,0)</f>
        <v>0</v>
      </c>
      <c r="AN1594" cm="1">
        <f t="array" ref="AN1594">IFERROR(INDEX(hd_cap,MATCH(AQ1594,hd_mark,0),0),0)</f>
        <v>0</v>
      </c>
      <c r="AP1594" s="19"/>
      <c r="AQ1594" s="19"/>
      <c r="AR1594" s="100"/>
      <c r="AS1594" s="93"/>
      <c r="AT1594" s="111">
        <f>$R$1567</f>
        <v>0</v>
      </c>
      <c r="AU1594" t="str">
        <f>$Q$1560</f>
        <v>L5</v>
      </c>
      <c r="AV1594">
        <f>$E$24</f>
        <v>0</v>
      </c>
      <c r="AW1594" cm="1">
        <f t="array" ref="AW1594">IFERROR(IF(AV1594=0,0,(INDEX($C$33:$C$38,MATCH($AZ$1567,$B$33:$B$38,0),0)*(AV1595+$BA$1567)+$AW$1567*COUNTIF(AV1594:AV1594,"&gt;0")*$C$32+$AY$1567*$C$31)*$AU$1567),0)</f>
        <v>0</v>
      </c>
      <c r="AX1594">
        <f>IF(AV1594=0,0,-(COUNTIF(AV1594:AV1594,"&gt;0")*$AW$1567*$C$32+$AY$1567*$C$31)*$H$27*$AU$1567)</f>
        <v>0</v>
      </c>
      <c r="AY1594">
        <f>IF(AV1594=0,0,$AY$1567*$H$26*$AU$1567)</f>
        <v>0</v>
      </c>
      <c r="AZ1594">
        <f>(0.6*AW1594+0.7*AX1594)*$AU$1567/2</f>
        <v>0</v>
      </c>
      <c r="BA1594">
        <f>AW1594*$AU$1567/2</f>
        <v>0</v>
      </c>
      <c r="BC1594">
        <f>IF(AV1594=0,0,$BG$1567*$AP$1560)</f>
        <v>0</v>
      </c>
      <c r="BD1594">
        <f>IFERROR(BC1594/$AU$1567,0)</f>
        <v>0</v>
      </c>
      <c r="BE1594">
        <f>BC1594*($F$24+IF($F$24=0,0,($C$14+$C$15+IF($C$13="single",1.5,3)+3)/12))</f>
        <v>0</v>
      </c>
      <c r="BF1594">
        <f>BE1594-AZ1594</f>
        <v>0</v>
      </c>
      <c r="BG1594" cm="1">
        <f t="array" ref="BG1594">IFERROR(IF(BF1594&lt;0,0,BF1594/($AU$1567-INDEX(hd_off,MATCH(BT1594,hd_mark,0),0)/12)),0)</f>
        <v>0</v>
      </c>
      <c r="BH1594">
        <f>IF(AV1594=0,0,$BG$1567*$AM$1560)</f>
        <v>0</v>
      </c>
      <c r="BI1594">
        <f>IFERROR(BH1594/$AU$1567,0)</f>
        <v>0</v>
      </c>
      <c r="BJ1594">
        <f>BH1594*($F$24+IF($F$24=0,0,($C$14+$C$15+IF($C$13="single",1.5,3)+3)/12))</f>
        <v>0</v>
      </c>
      <c r="BK1594">
        <f>BJ1594-BA1594</f>
        <v>0</v>
      </c>
      <c r="BL1594" cm="1">
        <f t="array" ref="BL1594">IFERROR(IF(BK1594&lt;0,0,BK1594/($AU$1567-INDEX(hd_off,MATCH(BT1594,hd_mark,0),0)/12)),0)</f>
        <v>0</v>
      </c>
      <c r="BM1594">
        <f>MAX($F$24,$BE$1567)/$Q$1588</f>
        <v>0</v>
      </c>
      <c r="BN1594">
        <f t="shared" si="997"/>
        <v>0</v>
      </c>
      <c r="BO1594" cm="1">
        <f t="array" ref="BO1594">IFERROR(INDEX(sheath_ecap_asd,MATCH(BS1594,sheath_mark,0),0)*BN1594,0)</f>
        <v>0</v>
      </c>
      <c r="BP1594" cm="1">
        <f t="array" ref="BP1594">IFERROR(INDEX(sheath_wcap_asd,MATCH(BS1594,sheath_mark,0),0)*BN1594,0)</f>
        <v>0</v>
      </c>
      <c r="BQ1594" cm="1">
        <f t="array" ref="BQ1594">IFERROR(INDEX(hd_cap,MATCH(BT1594,hd_mark,0),0),0)</f>
        <v>0</v>
      </c>
      <c r="BS1594" s="19"/>
      <c r="BT1594" s="19"/>
      <c r="BU1594" s="100"/>
    </row>
    <row r="1595" x14ac:dyDescent="0.25">
      <c r="B1595" t="s">
        <v>466</v>
      </c>
      <c r="C1595" s="19"/>
      <c r="D1595" s="19"/>
      <c r="E1595">
        <f t="shared" si="991"/>
        <v>0</v>
      </c>
      <c r="H1595">
        <v>18</v>
      </c>
      <c r="I1595" s="19"/>
      <c r="J1595" s="19"/>
      <c r="K1595">
        <f t="shared" si="992"/>
        <v>0</v>
      </c>
      <c r="P1595" s="93"/>
      <c r="Q1595" s="109"/>
      <c r="R1595" t="str">
        <f>$Q$1561</f>
        <v>Roof</v>
      </c>
      <c r="S1595">
        <f>$E$25</f>
        <v>33.171875</v>
      </c>
      <c r="T1595" cm="1">
        <f t="array" ref="T1595">IFERROR(IF(S1595=0,0,(INDEX($C$33:$C$38,MATCH($W$1567,$B$33:$B$38,0),0)*(S1595+$X$1567)+$V$1567*$C$31)*$R$1567),0)</f>
        <v>0</v>
      </c>
      <c r="U1595">
        <f>IF(S1595=0,0,-$V$1567*$C$31*$H$27*$R$1567)</f>
        <v>0</v>
      </c>
      <c r="V1595">
        <f>IF(S1595=0,0,$V$1567*$H$26*$R$1567)</f>
        <v>0</v>
      </c>
      <c r="W1595">
        <f>(0.6*T1595+0.7*U1595)*$R$1567/2</f>
        <v>0</v>
      </c>
      <c r="X1595">
        <f>T1595*$R$1567/2</f>
        <v>0</v>
      </c>
      <c r="Z1595">
        <f>IF(S1595=0,0,$AD$1567*$AP$1561)</f>
        <v>0</v>
      </c>
      <c r="AA1595">
        <f>IFERROR(Z1595/$R$1567,0)</f>
        <v>0</v>
      </c>
      <c r="AB1595">
        <f>Z1595*($F$25+($C$16+$C$17+IF($C$13="single",1.5,3)+3)/12)</f>
        <v>0</v>
      </c>
      <c r="AC1595">
        <f>AB1595-W1595</f>
        <v>0</v>
      </c>
      <c r="AD1595" cm="1">
        <f t="array" ref="AD1595">IFERROR(IF(AC1595&lt;0,0,AC1595/($R$1567-INDEX(hd_off,MATCH(AQ1595,hd_mark,0),0)/12)),0)</f>
        <v>0</v>
      </c>
      <c r="AE1595">
        <f>IF(S1595=0,0,$AD$1567*$AM$1561)</f>
        <v>0</v>
      </c>
      <c r="AF1595">
        <f>IFERROR(AE1595/$R$1567,0)</f>
        <v>0</v>
      </c>
      <c r="AG1595">
        <f>AE1595*($F$25+($C$16+$C$17+IF($C$13="single",1.5,3)+3)/12)</f>
        <v>0</v>
      </c>
      <c r="AH1595">
        <f>AG1595-X1595</f>
        <v>0</v>
      </c>
      <c r="AI1595" cm="1">
        <f t="array" ref="AI1595">IFERROR(IF(AH1595&lt;0,0,AH1595/($R$1567-INDEX(hd_off,MATCH(AQ1595,hd_mark,0),0)/12)),0)</f>
        <v>0</v>
      </c>
      <c r="AJ1595">
        <f>MAX($F$25,$AC$1567)/$Q$1588</f>
        <v>0.29920977011494249</v>
      </c>
      <c r="AK1595">
        <f t="shared" si="996"/>
        <v>1</v>
      </c>
      <c r="AL1595" cm="1">
        <f t="array" ref="AL1595">IFERROR(INDEX(sheath_ecap_asd,MATCH(AP1595,sheath_mark,0),0)*AK1595,0)</f>
        <v>0</v>
      </c>
      <c r="AM1595" cm="1">
        <f t="array" ref="AM1595">IFERROR(INDEX(sheath_wcap_asd,MATCH(AP1595,sheath_mark,0),0)*AK1595,0)</f>
        <v>0</v>
      </c>
      <c r="AN1595" cm="1">
        <f t="array" ref="AN1595">IFERROR(INDEX(hd_cap,MATCH(AQ1595,hd_mark,0),0),0)</f>
        <v>0</v>
      </c>
      <c r="AP1595" s="19"/>
      <c r="AQ1595" s="19"/>
      <c r="AR1595" s="100"/>
      <c r="AS1595" s="93"/>
      <c r="AT1595" s="109"/>
      <c r="AU1595" t="str">
        <f>$Q$1561</f>
        <v>Roof</v>
      </c>
      <c r="AV1595">
        <f>$E$25</f>
        <v>33.171875</v>
      </c>
      <c r="AW1595" cm="1">
        <f t="array" ref="AW1595">IFERROR(IF(AV1595=0,0,(INDEX($C$33:$C$38,MATCH($AZ$1567,$B$33:$B$38,0),0)*(AV1595+$BA$1567)+$AY$1567*$C$31)*$AU$1567),0)</f>
        <v>0</v>
      </c>
      <c r="AX1595">
        <f>IF(AV1595=0,0,-$AY$1567*$C$31*$H$27*$AU$1567)</f>
        <v>0</v>
      </c>
      <c r="AY1595">
        <f>IF(AV1595=0,0,$AY$1567*$H$26*$AU$1567)</f>
        <v>0</v>
      </c>
      <c r="AZ1595">
        <f>(0.6*AW1595+0.7*AX1595)*$AU$1567/2</f>
        <v>0</v>
      </c>
      <c r="BA1595">
        <f>AW1595*$AU$1567/2</f>
        <v>0</v>
      </c>
      <c r="BC1595">
        <f>IF(AV1595=0,0,$BG$1567*$AP$1561)</f>
        <v>0</v>
      </c>
      <c r="BD1595">
        <f>IFERROR(BC1595/$AU$1567,0)</f>
        <v>0</v>
      </c>
      <c r="BE1595">
        <f>BC1595*($F$25+($C$16+$C$17+IF($C$13="single",1.5,3)+3)/12)</f>
        <v>0</v>
      </c>
      <c r="BF1595">
        <f>BE1595-AZ1595</f>
        <v>0</v>
      </c>
      <c r="BG1595" cm="1">
        <f t="array" ref="BG1595">IFERROR(IF(BF1595&lt;0,0,BF1595/($AU$1567-INDEX(hd_off,MATCH(BT1595,hd_mark,0),0)/12)),0)</f>
        <v>0</v>
      </c>
      <c r="BH1595">
        <f>IF(AV1595=0,0,$BG$1567*$AM$1561)</f>
        <v>0</v>
      </c>
      <c r="BI1595">
        <f>IFERROR(BH1595/$AU$1567,0)</f>
        <v>0</v>
      </c>
      <c r="BJ1595">
        <f>BH1595*($F$25+($C$16+$C$17+IF($C$13="single",1.5,3)+3)/12)</f>
        <v>0</v>
      </c>
      <c r="BK1595">
        <f>BJ1595-BA1595</f>
        <v>0</v>
      </c>
      <c r="BL1595" cm="1">
        <f t="array" ref="BL1595">IFERROR(IF(BK1595&lt;0,0,BK1595/($AU$1567-INDEX(hd_off,MATCH(BT1595,hd_mark,0),0)/12)),0)</f>
        <v>0</v>
      </c>
      <c r="BM1595">
        <f>MAX($F$25,$BF$1567)/$Q$1588</f>
        <v>0.29920977011494249</v>
      </c>
      <c r="BN1595">
        <f t="shared" si="997"/>
        <v>1</v>
      </c>
      <c r="BO1595" cm="1">
        <f t="array" ref="BO1595">IFERROR(INDEX(sheath_ecap_asd,MATCH(BS1595,sheath_mark,0),0)*BN1595,0)</f>
        <v>0</v>
      </c>
      <c r="BP1595" cm="1">
        <f t="array" ref="BP1595">IFERROR(INDEX(sheath_wcap_asd,MATCH(BS1595,sheath_mark,0),0)*BN1595,0)</f>
        <v>0</v>
      </c>
      <c r="BQ1595" cm="1">
        <f t="array" ref="BQ1595">IFERROR(INDEX(hd_cap,MATCH(BT1595,hd_mark,0),0),0)</f>
        <v>0</v>
      </c>
      <c r="BS1595" s="19"/>
      <c r="BT1595" s="19"/>
      <c r="BU1595" s="100"/>
    </row>
    <row r="1596" x14ac:dyDescent="0.25">
      <c r="B1596" t="s">
        <v>467</v>
      </c>
      <c r="C1596" s="19"/>
      <c r="D1596" s="19"/>
      <c r="E1596">
        <f t="shared" si="991"/>
        <v>0</v>
      </c>
      <c r="H1596">
        <v>19</v>
      </c>
      <c r="I1596" s="19"/>
      <c r="J1596" s="19"/>
      <c r="K1596">
        <f t="shared" si="992"/>
        <v>0</v>
      </c>
      <c r="P1596" s="93"/>
      <c r="AR1596" s="100"/>
      <c r="AS1596" s="93"/>
      <c r="BU1596" s="100"/>
    </row>
    <row r="1597" x14ac:dyDescent="0.25">
      <c r="B1597" t="s">
        <v>468</v>
      </c>
      <c r="C1597" s="19"/>
      <c r="D1597" s="19"/>
      <c r="E1597">
        <f t="shared" si="991"/>
        <v>0</v>
      </c>
      <c r="H1597">
        <v>20</v>
      </c>
      <c r="I1597" s="19"/>
      <c r="J1597" s="19"/>
      <c r="K1597">
        <f t="shared" si="992"/>
        <v>0</v>
      </c>
      <c r="P1597" s="93"/>
      <c r="Q1597" s="110" t="str">
        <f>$Q$1568</f>
        <v>A.03</v>
      </c>
      <c r="R1597" t="str">
        <f>$Q$1557</f>
        <v>L2</v>
      </c>
      <c r="S1597">
        <f>$E$21</f>
        <v>10.6875</v>
      </c>
      <c r="T1597" cm="1">
        <f t="array" ref="T1597">IFERROR(IF(S1597=0,0,(INDEX($C$33:$C$38,MATCH($W$1568,$B$33:$B$38,0),0)*(S1601+$X$1568)+$T$1568*COUNTIF(S1597:S1600,"&gt;0")*$C$32+$V$1568*$C$31)*$R$1568),0)</f>
        <v>0</v>
      </c>
      <c r="U1597">
        <f>IF(S1597=0,0,-(COUNTIF(S1597:S1600,"&gt;0")*$T$1568*$C$32+$V$1568*$C$31)*$H$27*$R$1568)</f>
        <v>0</v>
      </c>
      <c r="V1597">
        <f>IF(S1597=0,0,$V$1568*$H$26*$R$1568)</f>
        <v>0</v>
      </c>
      <c r="W1597">
        <f>(0.6*T1597+0.7*U1597)*$R$1568/2</f>
        <v>0</v>
      </c>
      <c r="X1597">
        <f>(0.6*T1597+0.6*V1597)*$R$1568/2</f>
        <v>0</v>
      </c>
      <c r="Z1597">
        <f>IF(S1597=0,0,$AD$1568*$AP$1557)</f>
        <v>0</v>
      </c>
      <c r="AA1597">
        <f>IFERROR(Z1597/$R$1568,0)</f>
        <v>0</v>
      </c>
      <c r="AB1597">
        <f>Z1597*($F$21+IF($F$21=0,0,($C$14+$C$15+IF($C$13="single",1.5,3)+3)/12))</f>
        <v>0</v>
      </c>
      <c r="AC1597">
        <f>AB1597-W1597</f>
        <v>0</v>
      </c>
      <c r="AD1597" cm="1">
        <f t="array" ref="AD1597">IFERROR(IF(AC1597&lt;0,0,AC1597/($R$1568-INDEX(hd_off,MATCH(AQ1597,hd_mark,0),0)/12)),0)</f>
        <v>0</v>
      </c>
      <c r="AE1597">
        <f>IF(S1597=0,0,$AD$1568*$AM$1557)</f>
        <v>0</v>
      </c>
      <c r="AF1597">
        <f>IFERROR(AE1597/$R$1568,0)</f>
        <v>0</v>
      </c>
      <c r="AG1597">
        <f>AE1597*($F$21+IF($F$21=0,0,($C$14+$C$15+IF($C$13="single",1.5,3)+3)/12))</f>
        <v>0</v>
      </c>
      <c r="AH1597">
        <f>AG1597-X1597</f>
        <v>0</v>
      </c>
      <c r="AI1597" cm="1">
        <f t="array" ref="AI1597">IFERROR(IF(AH1597&lt;0,0,AH1597/($R$1568-INDEX(hd_off,MATCH(AQ1597,hd_mark,0),0)/12)),0)</f>
        <v>0</v>
      </c>
      <c r="AJ1597">
        <f>MAX($F$21,$Y$1568)/$Q$1588</f>
        <v>0.30172413793103448</v>
      </c>
      <c r="AK1597">
        <f>IF(AJ1597=0,0,IF(AJ1597&gt;2,1.25-0.125*AJ1597,1))</f>
        <v>1</v>
      </c>
      <c r="AL1597" cm="1">
        <f t="array" ref="AL1597">IFERROR(INDEX(sheath_ecap_asd,MATCH(AP1597,sheath_mark,0),0)*AK1597,0)</f>
        <v>0</v>
      </c>
      <c r="AM1597" cm="1">
        <f t="array" ref="AM1597">IFERROR(INDEX(sheath_wcap_asd,MATCH(AP1597,sheath_mark,0),0)*AK1597,0)</f>
        <v>0</v>
      </c>
      <c r="AN1597" cm="1">
        <f t="array" ref="AN1597">IFERROR(INDEX(hd_cap,MATCH(AQ1597,hd_mark,0),0),0)</f>
        <v>0</v>
      </c>
      <c r="AP1597" s="19"/>
      <c r="AQ1597" s="19"/>
      <c r="AR1597" s="100"/>
      <c r="AS1597" s="93"/>
      <c r="AT1597" s="110" t="str">
        <f>$AT$1568</f>
        <v>1.03</v>
      </c>
      <c r="AU1597" t="str">
        <f>$Q$1557</f>
        <v>L2</v>
      </c>
      <c r="AV1597">
        <f>$E$21</f>
        <v>10.6875</v>
      </c>
      <c r="AW1597" cm="1">
        <f t="array" ref="AW1597">IFERROR(IF(AV1597=0,0,(INDEX($C$33:$C$38,MATCH($AZ$1568,$B$33:$B$38,0),0)*(AV1601+$BA$1568)+$AW$1568*COUNTIF(AV1597:AV1600,"&gt;0")*$C$32+$AY$1568*$C$31)*$AU$1568),0)</f>
        <v>0</v>
      </c>
      <c r="AX1597">
        <f>IF(AV1597=0,0,-(COUNTIF(AV1597:AV1600,"&gt;0")*$AW$1568*$C$32+$AY$1568*$C$31)*$H$27*$AU$1568)</f>
        <v>0</v>
      </c>
      <c r="AY1597">
        <f>IF(AV1597=0,0,$AY$1568*$H$26*$AU$1568)</f>
        <v>0</v>
      </c>
      <c r="AZ1597">
        <f>(0.6*AW1597+0.7*AX1597)*$AU$1568/2</f>
        <v>0</v>
      </c>
      <c r="BA1597">
        <f>(0.6*AW1597+0.6*AY1597)*$AU$1568/2</f>
        <v>0</v>
      </c>
      <c r="BC1597">
        <f>IF(AV1597=0,0,$BG$1568*$AP$1557)</f>
        <v>0</v>
      </c>
      <c r="BD1597">
        <f>IFERROR(BC1597/$AU$1568,0)</f>
        <v>0</v>
      </c>
      <c r="BE1597">
        <f>BC1597*($F$21+IF($F$21=0,0,($C$14+$C$15+IF($C$13="single",1.5,3)+3)/12))</f>
        <v>0</v>
      </c>
      <c r="BF1597">
        <f>BE1597-AZ1597</f>
        <v>0</v>
      </c>
      <c r="BG1597" cm="1">
        <f t="array" ref="BG1597">IFERROR(IF(BF1597&lt;0,0,BF1597/($AU$1568-INDEX(hd_off,MATCH(BT1597,hd_mark,0),0)/12)),0)</f>
        <v>0</v>
      </c>
      <c r="BH1597">
        <f>IF(AV1597=0,0,$BG$1568*$AM$1557)</f>
        <v>0</v>
      </c>
      <c r="BI1597">
        <f>IFERROR(BH1597/$AU$1568,0)</f>
        <v>0</v>
      </c>
      <c r="BJ1597">
        <f>BH1597*($F$21+IF($F$21=0,0,($C$14+$C$15+IF($C$13="single",1.5,3)+3)/12))</f>
        <v>0</v>
      </c>
      <c r="BK1597">
        <f>BJ1597-BA1597</f>
        <v>0</v>
      </c>
      <c r="BL1597" cm="1">
        <f t="array" ref="BL1597">IFERROR(IF(BK1597&lt;0,0,BK1597/($AU$1568-INDEX(hd_off,MATCH(BT1597,hd_mark,0),0)/12)),0)</f>
        <v>0</v>
      </c>
      <c r="BM1597">
        <f>MAX($F$21,$BB$1568)/$Q$1588</f>
        <v>0.30172413793103448</v>
      </c>
      <c r="BN1597">
        <f>IF(BM1597=0,0,IF(BM1597&gt;2,1.25-0.125*BM1597,1))</f>
        <v>1</v>
      </c>
      <c r="BO1597" cm="1">
        <f t="array" ref="BO1597">IFERROR(INDEX(sheath_ecap_asd,MATCH(BS1597,sheath_mark,0),0)*BN1597,0)</f>
        <v>0</v>
      </c>
      <c r="BP1597" cm="1">
        <f t="array" ref="BP1597">IFERROR(INDEX(sheath_wcap_asd,MATCH(BS1597,sheath_mark,0),0)*BN1597,0)</f>
        <v>0</v>
      </c>
      <c r="BQ1597" cm="1">
        <f t="array" ref="BQ1597">IFERROR(INDEX(hd_cap,MATCH(BT1597,hd_mark,0),0),0)</f>
        <v>0</v>
      </c>
      <c r="BS1597" s="19"/>
      <c r="BT1597" s="19"/>
      <c r="BU1597" s="100"/>
    </row>
    <row r="1598" x14ac:dyDescent="0.25">
      <c r="B1598" t="s">
        <v>469</v>
      </c>
      <c r="C1598" s="19"/>
      <c r="D1598" s="19"/>
      <c r="E1598">
        <f t="shared" si="991"/>
        <v>0</v>
      </c>
      <c r="H1598">
        <v>21</v>
      </c>
      <c r="I1598" s="19"/>
      <c r="J1598" s="19"/>
      <c r="K1598">
        <f t="shared" si="992"/>
        <v>0</v>
      </c>
      <c r="P1598" s="93"/>
      <c r="Q1598" s="109"/>
      <c r="R1598" t="str">
        <f>$Q$1558</f>
        <v>L3</v>
      </c>
      <c r="S1598">
        <f>$E$22</f>
        <v>21.375</v>
      </c>
      <c r="T1598" cm="1">
        <f t="array" ref="T1598">IFERROR(IF(S1598=0,0,(INDEX($C$33:$C$38,MATCH($W$1568,$B$33:$B$38,0),0)*(S1601+$X$1568)+$T$1568*COUNTIF(S1598:S1600,"&gt;0")*$C$32+$V$1568*$C$31)*$R$1568),0)</f>
        <v>0</v>
      </c>
      <c r="U1598">
        <f>IF(S1598=0,0,-(COUNTIF(S1598:S1600,"&gt;0")*$T$1568*$C$32+$V$1568*$C$31)*$H$27*$R$1568)</f>
        <v>0</v>
      </c>
      <c r="V1598">
        <f>IF(S1598=0,0,$V$1568*$H$26*$R$1568)</f>
        <v>0</v>
      </c>
      <c r="W1598">
        <f>(0.6*T1598+0.7*U1598)*$R$1568/2</f>
        <v>0</v>
      </c>
      <c r="X1598">
        <f>T1598*$R$1568/2</f>
        <v>0</v>
      </c>
      <c r="Z1598">
        <f>IF(S1598=0,0,$AD$1568*$AP$1558)</f>
        <v>0</v>
      </c>
      <c r="AA1598">
        <f>IFERROR(Z1598/$R$1568,0)</f>
        <v>0</v>
      </c>
      <c r="AB1598">
        <f>Z1598*($F$22+IF($F$22=0,0,($C$14+$C$15+IF($C$13="single",1.5,3)+3)/12))</f>
        <v>0</v>
      </c>
      <c r="AC1598">
        <f>AB1598-W1598</f>
        <v>0</v>
      </c>
      <c r="AD1598" cm="1">
        <f t="array" ref="AD1598">IFERROR(IF(AC1598&lt;0,0,AC1598/($R$1568-INDEX(hd_off,MATCH(AQ1598,hd_mark,0),0)/12)),0)</f>
        <v>0</v>
      </c>
      <c r="AE1598">
        <f>IF(S1598=0,0,$AD$1568*$AM$1558)</f>
        <v>0</v>
      </c>
      <c r="AF1598">
        <f>IFERROR(AE1598/$R$1568,0)</f>
        <v>0</v>
      </c>
      <c r="AG1598">
        <f>AE1598*($F$22+IF($F$22=0,0,($C$14+$C$15+IF($C$13="single",1.5,3)+3)/12))</f>
        <v>0</v>
      </c>
      <c r="AH1598">
        <f>AG1598-X1598</f>
        <v>0</v>
      </c>
      <c r="AI1598" cm="1">
        <f t="array" ref="AI1598">IFERROR(IF(AH1598&lt;0,0,AH1598/($R$1568-INDEX(hd_off,MATCH(AQ1598,hd_mark,0),0)/12)),0)</f>
        <v>0</v>
      </c>
      <c r="AJ1598">
        <f>MAX($F$22,$Z$1568)/$Q$1588</f>
        <v>0.30172413793103448</v>
      </c>
      <c r="AK1598">
        <f t="shared" ref="AK1598:AK1601" si="998">IF(AJ1598=0,0,IF(AJ1598&gt;2,1.25-0.125*AJ1598,1))</f>
        <v>1</v>
      </c>
      <c r="AL1598" cm="1">
        <f t="array" ref="AL1598">IFERROR(INDEX(sheath_ecap_asd,MATCH(AP1598,sheath_mark,0),0)*AK1598,0)</f>
        <v>0</v>
      </c>
      <c r="AM1598" cm="1">
        <f t="array" ref="AM1598">IFERROR(INDEX(sheath_wcap_asd,MATCH(AP1598,sheath_mark,0),0)*AK1598,0)</f>
        <v>0</v>
      </c>
      <c r="AN1598" cm="1">
        <f t="array" ref="AN1598">IFERROR(INDEX(hd_cap,MATCH(AQ1598,hd_mark,0),0),0)</f>
        <v>0</v>
      </c>
      <c r="AP1598" s="19"/>
      <c r="AQ1598" s="19"/>
      <c r="AR1598" s="100"/>
      <c r="AS1598" s="93"/>
      <c r="AT1598" s="109"/>
      <c r="AU1598" t="str">
        <f>$Q$1558</f>
        <v>L3</v>
      </c>
      <c r="AV1598">
        <f>$E$22</f>
        <v>21.375</v>
      </c>
      <c r="AW1598" cm="1">
        <f t="array" ref="AW1598">IFERROR(IF(AV1598=0,0,(INDEX($C$33:$C$38,MATCH($AZ$1568,$B$33:$B$38,0),0)*(AV1601+$BA$1568)+$AW$1568*COUNTIF(AV1598:AV1600,"&gt;0")*$C$32+$AY$1568*$C$31)*$AU$1568),0)</f>
        <v>0</v>
      </c>
      <c r="AX1598">
        <f>IF(AV1598=0,0,-(COUNTIF(AV1598:AV1600,"&gt;0")*$AW$1568*$C$32+$AY$1568*$C$31)*$H$27*$AU$1568)</f>
        <v>0</v>
      </c>
      <c r="AY1598">
        <f>IF(AV1598=0,0,$AY$1568*$H$26*$AU$1568)</f>
        <v>0</v>
      </c>
      <c r="AZ1598">
        <f>(0.6*AW1598+0.7*AX1598)*$AU$1568/2</f>
        <v>0</v>
      </c>
      <c r="BA1598">
        <f>AW1598*$AU$1568/2</f>
        <v>0</v>
      </c>
      <c r="BC1598">
        <f>IF(AV1598=0,0,$BG$1568*$AP$1558)</f>
        <v>0</v>
      </c>
      <c r="BD1598">
        <f>IFERROR(BC1598/$AU$1568,0)</f>
        <v>0</v>
      </c>
      <c r="BE1598">
        <f>BC1598*($F$22+IF($F$22=0,0,($C$14+$C$15+IF($C$13="single",1.5,3)+3)/12))</f>
        <v>0</v>
      </c>
      <c r="BF1598">
        <f>BE1598-AZ1598</f>
        <v>0</v>
      </c>
      <c r="BG1598" cm="1">
        <f t="array" ref="BG1598">IFERROR(IF(BF1598&lt;0,0,BF1598/($AU$1568-INDEX(hd_off,MATCH(BT1598,hd_mark,0),0)/12)),0)</f>
        <v>0</v>
      </c>
      <c r="BH1598">
        <f>IF(AV1598=0,0,$BG$1568*$AM$1558)</f>
        <v>0</v>
      </c>
      <c r="BI1598">
        <f>IFERROR(BH1598/$AU$1568,0)</f>
        <v>0</v>
      </c>
      <c r="BJ1598">
        <f>BH1598*($F$22+IF($F$22=0,0,($C$14+$C$15+IF($C$13="single",1.5,3)+3)/12))</f>
        <v>0</v>
      </c>
      <c r="BK1598">
        <f>BJ1598-BA1598</f>
        <v>0</v>
      </c>
      <c r="BL1598" cm="1">
        <f t="array" ref="BL1598">IFERROR(IF(BK1598&lt;0,0,BK1598/($AU$1568-INDEX(hd_off,MATCH(BT1598,hd_mark,0),0)/12)),0)</f>
        <v>0</v>
      </c>
      <c r="BM1598">
        <f>MAX($F$22,$BC$1568)/$Q$1588</f>
        <v>0.30172413793103448</v>
      </c>
      <c r="BN1598">
        <f t="shared" ref="BN1598:BN1601" si="999">IF(BM1598=0,0,IF(BM1598&gt;2,1.25-0.125*BM1598,1))</f>
        <v>1</v>
      </c>
      <c r="BO1598" cm="1">
        <f t="array" ref="BO1598">IFERROR(INDEX(sheath_ecap_asd,MATCH(BS1598,sheath_mark,0),0)*BN1598,0)</f>
        <v>0</v>
      </c>
      <c r="BP1598" cm="1">
        <f t="array" ref="BP1598">IFERROR(INDEX(sheath_wcap_asd,MATCH(BS1598,sheath_mark,0),0)*BN1598,0)</f>
        <v>0</v>
      </c>
      <c r="BQ1598" cm="1">
        <f t="array" ref="BQ1598">IFERROR(INDEX(hd_cap,MATCH(BT1598,hd_mark,0),0),0)</f>
        <v>0</v>
      </c>
      <c r="BS1598" s="19"/>
      <c r="BT1598" s="19"/>
      <c r="BU1598" s="100"/>
    </row>
    <row r="1599" x14ac:dyDescent="0.25">
      <c r="B1599" t="s">
        <v>285</v>
      </c>
      <c r="C1599" s="19"/>
      <c r="D1599" s="19"/>
      <c r="E1599">
        <f t="shared" si="991"/>
        <v>0</v>
      </c>
      <c r="H1599">
        <v>22</v>
      </c>
      <c r="I1599" s="19"/>
      <c r="J1599" s="19"/>
      <c r="K1599">
        <f t="shared" si="992"/>
        <v>0</v>
      </c>
      <c r="P1599" s="93"/>
      <c r="Q1599" s="109" t="s">
        <v>491</v>
      </c>
      <c r="R1599" t="str">
        <f>$Q$1559</f>
        <v>L4</v>
      </c>
      <c r="S1599">
        <f>$E$23</f>
        <v>0</v>
      </c>
      <c r="T1599" cm="1">
        <f t="array" ref="T1599">IFERROR(IF(S1599=0,0,(INDEX($C$33:$C$38,MATCH($W$1568,$B$33:$B$38,0),0)*(S1601+$X$1568)+$T$1568*COUNTIF(S1599:S1600,"&gt;0")*$C$32+$V$1568*$C$31)*$R$1568),0)</f>
        <v>0</v>
      </c>
      <c r="U1599">
        <f>IF(S1599=0,0,-(COUNTIF(S1599:S1600,"&gt;0")*$T$1568*$C$32+$V$1568*$C$31)*$H$27*$R$1568)</f>
        <v>0</v>
      </c>
      <c r="V1599">
        <f>IF(S1599=0,0,$V$1568*$H$26*$R$1568)</f>
        <v>0</v>
      </c>
      <c r="W1599">
        <f>(0.6*T1599+0.7*U1599)*$R$1568/2</f>
        <v>0</v>
      </c>
      <c r="X1599">
        <f>T1599*$R$1568/2</f>
        <v>0</v>
      </c>
      <c r="Z1599">
        <f>IF(S1599=0,0,$AD$1568*$AP$1559)</f>
        <v>0</v>
      </c>
      <c r="AA1599">
        <f>IFERROR(Z1599/$R$1568,0)</f>
        <v>0</v>
      </c>
      <c r="AB1599">
        <f>Z1599*($F$23+IF($F$23=0,0,($C$14+$C$15+IF($C$13="single",1.5,3)+3)/12))</f>
        <v>0</v>
      </c>
      <c r="AC1599">
        <f>AB1599-W1599</f>
        <v>0</v>
      </c>
      <c r="AD1599" cm="1">
        <f t="array" ref="AD1599">IFERROR(IF(AC1599&lt;0,0,AC1599/($R$1568-INDEX(hd_off,MATCH(AQ1599,hd_mark,0),0)/12)),0)</f>
        <v>0</v>
      </c>
      <c r="AE1599">
        <f>IF(S1599=0,0,$AD$1568*$AM$1559)</f>
        <v>0</v>
      </c>
      <c r="AF1599">
        <f>IFERROR(AE1599/$R$1568,0)</f>
        <v>0</v>
      </c>
      <c r="AG1599">
        <f>AE1599*($F$23+IF($F$23=0,0,($C$14+$C$15+IF($C$13="single",1.5,3)+3)/12))</f>
        <v>0</v>
      </c>
      <c r="AH1599">
        <f>AG1599-X1599</f>
        <v>0</v>
      </c>
      <c r="AI1599" cm="1">
        <f t="array" ref="AI1599">IFERROR(IF(AH1599&lt;0,0,AH1599/($R$1568-INDEX(hd_off,MATCH(AQ1599,hd_mark,0),0)/12)),0)</f>
        <v>0</v>
      </c>
      <c r="AJ1599">
        <f>MAX($F$23,$AA$1568)/$Q$1588</f>
        <v>0</v>
      </c>
      <c r="AK1599">
        <f t="shared" si="998"/>
        <v>0</v>
      </c>
      <c r="AL1599" cm="1">
        <f t="array" ref="AL1599">IFERROR(INDEX(sheath_ecap_asd,MATCH(AP1599,sheath_mark,0),0)*AK1599,0)</f>
        <v>0</v>
      </c>
      <c r="AM1599" cm="1">
        <f t="array" ref="AM1599">IFERROR(INDEX(sheath_wcap_asd,MATCH(AP1599,sheath_mark,0),0)*AK1599,0)</f>
        <v>0</v>
      </c>
      <c r="AN1599" cm="1">
        <f t="array" ref="AN1599">IFERROR(INDEX(hd_cap,MATCH(AQ1599,hd_mark,0),0),0)</f>
        <v>0</v>
      </c>
      <c r="AP1599" s="19"/>
      <c r="AQ1599" s="19"/>
      <c r="AR1599" s="100"/>
      <c r="AS1599" s="93"/>
      <c r="AT1599" s="109" t="s">
        <v>491</v>
      </c>
      <c r="AU1599" t="str">
        <f>$Q$1559</f>
        <v>L4</v>
      </c>
      <c r="AV1599">
        <f>$E$23</f>
        <v>0</v>
      </c>
      <c r="AW1599" cm="1">
        <f t="array" ref="AW1599">IFERROR(IF(AV1599=0,0,(INDEX($C$33:$C$38,MATCH($AZ$1568,$B$33:$B$38,0),0)*(AV1601+$BA$1568)+$AW$1568*COUNTIF(AV1599:AV1600,"&gt;0")*$C$32+$AY$1568*$C$31)*$AU$1568),0)</f>
        <v>0</v>
      </c>
      <c r="AX1599">
        <f>IF(AV1599=0,0,-(COUNTIF(AV1599:AV1600,"&gt;0")*$AW$1568*$C$32+$AY$1568*$C$31)*$H$27*$AU$1568)</f>
        <v>0</v>
      </c>
      <c r="AY1599">
        <f>IF(AV1599=0,0,$AY$1568*$H$26*$AU$1568)</f>
        <v>0</v>
      </c>
      <c r="AZ1599">
        <f>(0.6*AW1599+0.7*AX1599)*$AU$1568/2</f>
        <v>0</v>
      </c>
      <c r="BA1599">
        <f>AW1599*$AU$1568/2</f>
        <v>0</v>
      </c>
      <c r="BC1599">
        <f>IF(AV1599=0,0,$BG$1568*$AP$1559)</f>
        <v>0</v>
      </c>
      <c r="BD1599">
        <f>IFERROR(BC1599/$AU$1568,0)</f>
        <v>0</v>
      </c>
      <c r="BE1599">
        <f>BC1599*($F$23+IF($F$23=0,0,($C$14+$C$15+IF($C$13="single",1.5,3)+3)/12))</f>
        <v>0</v>
      </c>
      <c r="BF1599">
        <f>BE1599-AZ1599</f>
        <v>0</v>
      </c>
      <c r="BG1599" cm="1">
        <f t="array" ref="BG1599">IFERROR(IF(BF1599&lt;0,0,BF1599/($AU$1568-INDEX(hd_off,MATCH(BT1599,hd_mark,0),0)/12)),0)</f>
        <v>0</v>
      </c>
      <c r="BH1599">
        <f>IF(AV1599=0,0,$BG$1568*$AM$1559)</f>
        <v>0</v>
      </c>
      <c r="BI1599">
        <f>IFERROR(BH1599/$AU$1568,0)</f>
        <v>0</v>
      </c>
      <c r="BJ1599">
        <f>BH1599*($F$23+IF($F$23=0,0,($C$14+$C$15+IF($C$13="single",1.5,3)+3)/12))</f>
        <v>0</v>
      </c>
      <c r="BK1599">
        <f>BJ1599-BA1599</f>
        <v>0</v>
      </c>
      <c r="BL1599" cm="1">
        <f t="array" ref="BL1599">IFERROR(IF(BK1599&lt;0,0,BK1599/($AU$1568-INDEX(hd_off,MATCH(BT1599,hd_mark,0),0)/12)),0)</f>
        <v>0</v>
      </c>
      <c r="BM1599">
        <f>MAX($F$23,$BD$1568)/$Q$1588</f>
        <v>0</v>
      </c>
      <c r="BN1599">
        <f t="shared" si="999"/>
        <v>0</v>
      </c>
      <c r="BO1599" cm="1">
        <f t="array" ref="BO1599">IFERROR(INDEX(sheath_ecap_asd,MATCH(BS1599,sheath_mark,0),0)*BN1599,0)</f>
        <v>0</v>
      </c>
      <c r="BP1599" cm="1">
        <f t="array" ref="BP1599">IFERROR(INDEX(sheath_wcap_asd,MATCH(BS1599,sheath_mark,0),0)*BN1599,0)</f>
        <v>0</v>
      </c>
      <c r="BQ1599" cm="1">
        <f t="array" ref="BQ1599">IFERROR(INDEX(hd_cap,MATCH(BT1599,hd_mark,0),0),0)</f>
        <v>0</v>
      </c>
      <c r="BS1599" s="19"/>
      <c r="BT1599" s="19"/>
      <c r="BU1599" s="100"/>
    </row>
    <row r="1600" x14ac:dyDescent="0.25">
      <c r="B1600" t="s">
        <v>470</v>
      </c>
      <c r="C1600" s="19"/>
      <c r="D1600" s="19"/>
      <c r="E1600">
        <f t="shared" si="991"/>
        <v>0</v>
      </c>
      <c r="H1600">
        <v>23</v>
      </c>
      <c r="I1600" s="19"/>
      <c r="J1600" s="19"/>
      <c r="K1600">
        <f t="shared" si="992"/>
        <v>0</v>
      </c>
      <c r="P1600" s="93"/>
      <c r="Q1600" s="111">
        <f>$R$1568</f>
        <v>0</v>
      </c>
      <c r="R1600" t="str">
        <f>$Q$1560</f>
        <v>L5</v>
      </c>
      <c r="S1600">
        <f>$E$24</f>
        <v>0</v>
      </c>
      <c r="T1600" cm="1">
        <f t="array" ref="T1600">IFERROR(IF(S1600=0,0,(INDEX($C$33:$C$38,MATCH($W$1568,$B$33:$B$38,0),0)*(S1601+$X$1568)+$T$1568*COUNTIF(S1600:S1600,"&gt;0")*$C$32+$V$1568*$C$31)*$R$1568),0)</f>
        <v>0</v>
      </c>
      <c r="U1600">
        <f>IF(S1600=0,0,-(COUNTIF(S1600:S1600,"&gt;0")*$T$1568*$C$32+$V$1568*$C$31)*$H$27*$R$1568)</f>
        <v>0</v>
      </c>
      <c r="V1600">
        <f>IF(S1600=0,0,$V$1568*$H$26*$R$1568)</f>
        <v>0</v>
      </c>
      <c r="W1600">
        <f>(0.6*T1600+0.7*U1600)*$R$1568/2</f>
        <v>0</v>
      </c>
      <c r="X1600">
        <f>T1600*$R$1568/2</f>
        <v>0</v>
      </c>
      <c r="Z1600">
        <f>IF(S1600=0,0,$AD$1568*$AP$1560)</f>
        <v>0</v>
      </c>
      <c r="AA1600">
        <f>IFERROR(Z1600/$R$1568,0)</f>
        <v>0</v>
      </c>
      <c r="AB1600">
        <f>Z1600*($F$24+IF($F$24=0,0,($C$14+$C$15+IF($C$13="single",1.5,3)+3)/12))</f>
        <v>0</v>
      </c>
      <c r="AC1600">
        <f>AB1600-W1600</f>
        <v>0</v>
      </c>
      <c r="AD1600" cm="1">
        <f t="array" ref="AD1600">IFERROR(IF(AC1600&lt;0,0,AC1600/($R$1568-INDEX(hd_off,MATCH(AQ1600,hd_mark,0),0)/12)),0)</f>
        <v>0</v>
      </c>
      <c r="AE1600">
        <f>IF(S1600=0,0,$AD$1568*$AM$1560)</f>
        <v>0</v>
      </c>
      <c r="AF1600">
        <f>IFERROR(AE1600/$R$1568,0)</f>
        <v>0</v>
      </c>
      <c r="AG1600">
        <f>AE1600*($F$24+IF($F$24=0,0,($C$14+$C$15+IF($C$13="single",1.5,3)+3)/12))</f>
        <v>0</v>
      </c>
      <c r="AH1600">
        <f>AG1600-X1600</f>
        <v>0</v>
      </c>
      <c r="AI1600" cm="1">
        <f t="array" ref="AI1600">IFERROR(IF(AH1600&lt;0,0,AH1600/($R$1568-INDEX(hd_off,MATCH(AQ1600,hd_mark,0),0)/12)),0)</f>
        <v>0</v>
      </c>
      <c r="AJ1600">
        <f>MAX($F$24,$AB$1568)/$Q$1588</f>
        <v>0</v>
      </c>
      <c r="AK1600">
        <f t="shared" si="998"/>
        <v>0</v>
      </c>
      <c r="AL1600" cm="1">
        <f t="array" ref="AL1600">IFERROR(INDEX(sheath_ecap_asd,MATCH(AP1600,sheath_mark,0),0)*AK1600,0)</f>
        <v>0</v>
      </c>
      <c r="AM1600" cm="1">
        <f t="array" ref="AM1600">IFERROR(INDEX(sheath_wcap_asd,MATCH(AP1600,sheath_mark,0),0)*AK1600,0)</f>
        <v>0</v>
      </c>
      <c r="AN1600" cm="1">
        <f t="array" ref="AN1600">IFERROR(INDEX(hd_cap,MATCH(AQ1600,hd_mark,0),0),0)</f>
        <v>0</v>
      </c>
      <c r="AP1600" s="19"/>
      <c r="AQ1600" s="19"/>
      <c r="AR1600" s="100"/>
      <c r="AS1600" s="93"/>
      <c r="AT1600" s="111">
        <f>$R$1568</f>
        <v>0</v>
      </c>
      <c r="AU1600" t="str">
        <f>$Q$1560</f>
        <v>L5</v>
      </c>
      <c r="AV1600">
        <f>$E$24</f>
        <v>0</v>
      </c>
      <c r="AW1600" cm="1">
        <f t="array" ref="AW1600">IFERROR(IF(AV1600=0,0,(INDEX($C$33:$C$38,MATCH($AZ$1568,$B$33:$B$38,0),0)*(AV1601+$BA$1568)+$AW$1568*COUNTIF(AV1600:AV1600,"&gt;0")*$C$32+$AY$1568*$C$31)*$AU$1568),0)</f>
        <v>0</v>
      </c>
      <c r="AX1600">
        <f>IF(AV1600=0,0,-(COUNTIF(AV1600:AV1600,"&gt;0")*$AW$1568*$C$32+$AY$1568*$C$31)*$H$27*$AU$1568)</f>
        <v>0</v>
      </c>
      <c r="AY1600">
        <f>IF(AV1600=0,0,$AY$1568*$H$26*$AU$1568)</f>
        <v>0</v>
      </c>
      <c r="AZ1600">
        <f>(0.6*AW1600+0.7*AX1600)*$AU$1568/2</f>
        <v>0</v>
      </c>
      <c r="BA1600">
        <f>AW1600*$AU$1568/2</f>
        <v>0</v>
      </c>
      <c r="BC1600">
        <f>IF(AV1600=0,0,$BG$1568*$AP$1560)</f>
        <v>0</v>
      </c>
      <c r="BD1600">
        <f>IFERROR(BC1600/$AU$1568,0)</f>
        <v>0</v>
      </c>
      <c r="BE1600">
        <f>BC1600*($F$24+IF($F$24=0,0,($C$14+$C$15+IF($C$13="single",1.5,3)+3)/12))</f>
        <v>0</v>
      </c>
      <c r="BF1600">
        <f>BE1600-AZ1600</f>
        <v>0</v>
      </c>
      <c r="BG1600" cm="1">
        <f t="array" ref="BG1600">IFERROR(IF(BF1600&lt;0,0,BF1600/($AU$1568-INDEX(hd_off,MATCH(BT1600,hd_mark,0),0)/12)),0)</f>
        <v>0</v>
      </c>
      <c r="BH1600">
        <f>IF(AV1600=0,0,$BG$1568*$AM$1560)</f>
        <v>0</v>
      </c>
      <c r="BI1600">
        <f>IFERROR(BH1600/$AU$1568,0)</f>
        <v>0</v>
      </c>
      <c r="BJ1600">
        <f>BH1600*($F$24+IF($F$24=0,0,($C$14+$C$15+IF($C$13="single",1.5,3)+3)/12))</f>
        <v>0</v>
      </c>
      <c r="BK1600">
        <f>BJ1600-BA1600</f>
        <v>0</v>
      </c>
      <c r="BL1600" cm="1">
        <f t="array" ref="BL1600">IFERROR(IF(BK1600&lt;0,0,BK1600/($AU$1568-INDEX(hd_off,MATCH(BT1600,hd_mark,0),0)/12)),0)</f>
        <v>0</v>
      </c>
      <c r="BM1600">
        <f>MAX($F$24,$BE$1568)/$Q$1588</f>
        <v>0</v>
      </c>
      <c r="BN1600">
        <f t="shared" si="999"/>
        <v>0</v>
      </c>
      <c r="BO1600" cm="1">
        <f t="array" ref="BO1600">IFERROR(INDEX(sheath_ecap_asd,MATCH(BS1600,sheath_mark,0),0)*BN1600,0)</f>
        <v>0</v>
      </c>
      <c r="BP1600" cm="1">
        <f t="array" ref="BP1600">IFERROR(INDEX(sheath_wcap_asd,MATCH(BS1600,sheath_mark,0),0)*BN1600,0)</f>
        <v>0</v>
      </c>
      <c r="BQ1600" cm="1">
        <f t="array" ref="BQ1600">IFERROR(INDEX(hd_cap,MATCH(BT1600,hd_mark,0),0),0)</f>
        <v>0</v>
      </c>
      <c r="BS1600" s="19"/>
      <c r="BT1600" s="19"/>
      <c r="BU1600" s="100"/>
    </row>
    <row r="1601" x14ac:dyDescent="0.25">
      <c r="B1601" t="s">
        <v>471</v>
      </c>
      <c r="C1601" s="19"/>
      <c r="D1601" s="19"/>
      <c r="E1601">
        <f t="shared" si="991"/>
        <v>0</v>
      </c>
      <c r="H1601">
        <v>24</v>
      </c>
      <c r="I1601" s="19"/>
      <c r="J1601" s="19"/>
      <c r="K1601">
        <f t="shared" si="992"/>
        <v>0</v>
      </c>
      <c r="P1601" s="93"/>
      <c r="Q1601" s="109"/>
      <c r="R1601" t="str">
        <f>$Q$1561</f>
        <v>Roof</v>
      </c>
      <c r="S1601">
        <f>$E$25</f>
        <v>33.171875</v>
      </c>
      <c r="T1601" cm="1">
        <f t="array" ref="T1601">IFERROR(IF(S1601=0,0,(INDEX($C$33:$C$38,MATCH($W$1568,$B$33:$B$38,0),0)*(S1601+$X$1568)+$V$1568*$C$31)*$R$1568),0)</f>
        <v>0</v>
      </c>
      <c r="U1601">
        <f>IF(S1601=0,0,-$V$1568*$C$31*$H$27*$R$1568)</f>
        <v>0</v>
      </c>
      <c r="V1601">
        <f>IF(S1601=0,0,$V$1568*$H$26*$R$1568)</f>
        <v>0</v>
      </c>
      <c r="W1601">
        <f>(0.6*T1601+0.7*U1601)*$R$1568/2</f>
        <v>0</v>
      </c>
      <c r="X1601">
        <f>T1601*$R$1568/2</f>
        <v>0</v>
      </c>
      <c r="Z1601">
        <f>IF(S1601=0,0,$AD$1568*$AP$1561)</f>
        <v>0</v>
      </c>
      <c r="AA1601">
        <f>IFERROR(Z1601/$R$1568,0)</f>
        <v>0</v>
      </c>
      <c r="AB1601">
        <f>Z1601*($F$25+($C$16+$C$17+IF($C$13="single",1.5,3)+3)/12)</f>
        <v>0</v>
      </c>
      <c r="AC1601">
        <f>AB1601-W1601</f>
        <v>0</v>
      </c>
      <c r="AD1601" cm="1">
        <f t="array" ref="AD1601">IFERROR(IF(AC1601&lt;0,0,AC1601/($R$1568-INDEX(hd_off,MATCH(AQ1601,hd_mark,0),0)/12)),0)</f>
        <v>0</v>
      </c>
      <c r="AE1601">
        <f>IF(S1601=0,0,$AD$1568*$AM$1561)</f>
        <v>0</v>
      </c>
      <c r="AF1601">
        <f>IFERROR(AE1601/$R$1568,0)</f>
        <v>0</v>
      </c>
      <c r="AG1601">
        <f>AE1601*($F$25+($C$16+$C$17+IF($C$13="single",1.5,3)+3)/12)</f>
        <v>0</v>
      </c>
      <c r="AH1601">
        <f>AG1601-X1601</f>
        <v>0</v>
      </c>
      <c r="AI1601" cm="1">
        <f t="array" ref="AI1601">IFERROR(IF(AH1601&lt;0,0,AH1601/($R$1568-INDEX(hd_off,MATCH(AQ1601,hd_mark,0),0)/12)),0)</f>
        <v>0</v>
      </c>
      <c r="AJ1601">
        <f>MAX($F$25,$AC$1568)/$Q$1588</f>
        <v>0.29920977011494249</v>
      </c>
      <c r="AK1601">
        <f t="shared" si="998"/>
        <v>1</v>
      </c>
      <c r="AL1601" cm="1">
        <f t="array" ref="AL1601">IFERROR(INDEX(sheath_ecap_asd,MATCH(AP1601,sheath_mark,0),0)*AK1601,0)</f>
        <v>0</v>
      </c>
      <c r="AM1601" cm="1">
        <f t="array" ref="AM1601">IFERROR(INDEX(sheath_wcap_asd,MATCH(AP1601,sheath_mark,0),0)*AK1601,0)</f>
        <v>0</v>
      </c>
      <c r="AN1601" cm="1">
        <f t="array" ref="AN1601">IFERROR(INDEX(hd_cap,MATCH(AQ1601,hd_mark,0),0),0)</f>
        <v>0</v>
      </c>
      <c r="AP1601" s="19"/>
      <c r="AQ1601" s="19"/>
      <c r="AR1601" s="100"/>
      <c r="AS1601" s="93"/>
      <c r="AT1601" s="109"/>
      <c r="AU1601" t="str">
        <f>$Q$1561</f>
        <v>Roof</v>
      </c>
      <c r="AV1601">
        <f>$E$25</f>
        <v>33.171875</v>
      </c>
      <c r="AW1601" cm="1">
        <f t="array" ref="AW1601">IFERROR(IF(AV1601=0,0,(INDEX($C$33:$C$38,MATCH($AZ$1568,$B$33:$B$38,0),0)*(AV1601+$BA$1568)+$AY$1568*$C$31)*$AU$1568),0)</f>
        <v>0</v>
      </c>
      <c r="AX1601">
        <f>IF(AV1601=0,0,-$AY$1568*$C$31*$H$27*$AU$1568)</f>
        <v>0</v>
      </c>
      <c r="AY1601">
        <f>IF(AV1601=0,0,$AY$1568*$H$26*$AU$1568)</f>
        <v>0</v>
      </c>
      <c r="AZ1601">
        <f>(0.6*AW1601+0.7*AX1601)*$AU$1568/2</f>
        <v>0</v>
      </c>
      <c r="BA1601">
        <f>AW1601*$AU$1568/2</f>
        <v>0</v>
      </c>
      <c r="BC1601">
        <f>IF(AV1601=0,0,$BG$1568*$AP$1561)</f>
        <v>0</v>
      </c>
      <c r="BD1601">
        <f>IFERROR(BC1601/$AU$1568,0)</f>
        <v>0</v>
      </c>
      <c r="BE1601">
        <f>BC1601*($F$25+($C$16+$C$17+IF($C$13="single",1.5,3)+3)/12)</f>
        <v>0</v>
      </c>
      <c r="BF1601">
        <f>BE1601-AZ1601</f>
        <v>0</v>
      </c>
      <c r="BG1601" cm="1">
        <f t="array" ref="BG1601">IFERROR(IF(BF1601&lt;0,0,BF1601/($AU$1568-INDEX(hd_off,MATCH(BT1601,hd_mark,0),0)/12)),0)</f>
        <v>0</v>
      </c>
      <c r="BH1601">
        <f>IF(AV1601=0,0,$BG$1568*$AM$1561)</f>
        <v>0</v>
      </c>
      <c r="BI1601">
        <f>IFERROR(BH1601/$AU$1568,0)</f>
        <v>0</v>
      </c>
      <c r="BJ1601">
        <f>BH1601*($F$25+($C$16+$C$17+IF($C$13="single",1.5,3)+3)/12)</f>
        <v>0</v>
      </c>
      <c r="BK1601">
        <f>BJ1601-BA1601</f>
        <v>0</v>
      </c>
      <c r="BL1601" cm="1">
        <f t="array" ref="BL1601">IFERROR(IF(BK1601&lt;0,0,BK1601/($AU$1568-INDEX(hd_off,MATCH(BT1601,hd_mark,0),0)/12)),0)</f>
        <v>0</v>
      </c>
      <c r="BM1601">
        <f>MAX($F$25,$BF$1568)/$Q$1588</f>
        <v>0.29920977011494249</v>
      </c>
      <c r="BN1601">
        <f t="shared" si="999"/>
        <v>1</v>
      </c>
      <c r="BO1601" cm="1">
        <f t="array" ref="BO1601">IFERROR(INDEX(sheath_ecap_asd,MATCH(BS1601,sheath_mark,0),0)*BN1601,0)</f>
        <v>0</v>
      </c>
      <c r="BP1601" cm="1">
        <f t="array" ref="BP1601">IFERROR(INDEX(sheath_wcap_asd,MATCH(BS1601,sheath_mark,0),0)*BN1601,0)</f>
        <v>0</v>
      </c>
      <c r="BQ1601" cm="1">
        <f t="array" ref="BQ1601">IFERROR(INDEX(hd_cap,MATCH(BT1601,hd_mark,0),0),0)</f>
        <v>0</v>
      </c>
      <c r="BS1601" s="19"/>
      <c r="BT1601" s="19"/>
      <c r="BU1601" s="100"/>
    </row>
    <row r="1602" x14ac:dyDescent="0.25">
      <c r="B1602" t="s">
        <v>472</v>
      </c>
      <c r="C1602" s="19"/>
      <c r="D1602" s="19"/>
      <c r="E1602">
        <f t="shared" si="991"/>
        <v>0</v>
      </c>
      <c r="H1602">
        <v>25</v>
      </c>
      <c r="I1602" s="19"/>
      <c r="J1602" s="19"/>
      <c r="K1602">
        <f t="shared" si="992"/>
        <v>0</v>
      </c>
      <c r="P1602" s="93"/>
      <c r="AR1602" s="100"/>
      <c r="AS1602" s="93"/>
      <c r="BU1602" s="100"/>
    </row>
    <row r="1603" x14ac:dyDescent="0.25">
      <c r="B1603" t="s">
        <v>473</v>
      </c>
      <c r="C1603" s="19"/>
      <c r="D1603" s="19"/>
      <c r="E1603">
        <f t="shared" si="991"/>
        <v>0</v>
      </c>
      <c r="H1603">
        <v>26</v>
      </c>
      <c r="I1603" s="19"/>
      <c r="J1603" s="19"/>
      <c r="K1603">
        <f t="shared" si="992"/>
        <v>0</v>
      </c>
      <c r="P1603" s="93"/>
      <c r="Q1603" s="110" t="str">
        <f>$Q$1569</f>
        <v>A.04</v>
      </c>
      <c r="R1603" t="str">
        <f>$Q$1557</f>
        <v>L2</v>
      </c>
      <c r="S1603">
        <f>$E$21</f>
        <v>10.6875</v>
      </c>
      <c r="T1603" cm="1">
        <f t="array" ref="T1603">IFERROR(IF(S1603=0,0,(INDEX($C$33:$C$38,MATCH($W$1569,$B$33:$B$38,0),0)*(S1607+$X$1569)+$T$1569*COUNTIF(S1603:S1606,"&gt;0")*$C$32+$V$1569*$C$31)*$R$1569),0)</f>
        <v>0</v>
      </c>
      <c r="U1603">
        <f>IF(S1603=0,0,-(COUNTIF(S1603:S1606,"&gt;0")*$T$1569*$C$32+$V$1569*$C$31)*$H$27*$R$1569)</f>
        <v>0</v>
      </c>
      <c r="V1603">
        <f>IF(S1603=0,0,$V$1569*$H$26*$R$1569)</f>
        <v>0</v>
      </c>
      <c r="W1603">
        <f>(0.6*T1603+0.7*U1603)*$R$1569/2</f>
        <v>0</v>
      </c>
      <c r="X1603">
        <f>(0.6*T1603+0.6*V1603)*$R$1569/2</f>
        <v>0</v>
      </c>
      <c r="Z1603">
        <f>IF(S1603=0,0,$AD$1569*$AP$1557)</f>
        <v>0</v>
      </c>
      <c r="AA1603">
        <f>IFERROR(Z1603/$R$1569,0)</f>
        <v>0</v>
      </c>
      <c r="AB1603">
        <f>Z1603*($F$21+IF($F$21=0,0,($C$14+$C$15+IF($C$13="single",1.5,3)+3)/12))</f>
        <v>0</v>
      </c>
      <c r="AC1603">
        <f>AB1603-W1603</f>
        <v>0</v>
      </c>
      <c r="AD1603" cm="1">
        <f t="array" ref="AD1603">IFERROR(IF(AC1603&lt;0,0,AC1603/($R$1569-INDEX(hd_off,MATCH(AQ1603,hd_mark,0),0)/12)),0)</f>
        <v>0</v>
      </c>
      <c r="AE1603">
        <f>IF(S1603=0,0,$AD$1569*$AM$1557)</f>
        <v>0</v>
      </c>
      <c r="AF1603">
        <f>IFERROR(AE1603/$R$1569,0)</f>
        <v>0</v>
      </c>
      <c r="AG1603">
        <f>AE1603*($F$21+IF($F$21=0,0,($C$14+$C$15+IF($C$13="single",1.5,3)+3)/12))</f>
        <v>0</v>
      </c>
      <c r="AH1603">
        <f>AG1603-X1603</f>
        <v>0</v>
      </c>
      <c r="AI1603" cm="1">
        <f t="array" ref="AI1603">IFERROR(IF(AH1603&lt;0,0,AH1603/($R$1569-INDEX(hd_off,MATCH(AQ1603,hd_mark,0),0)/12)),0)</f>
        <v>0</v>
      </c>
      <c r="AJ1603">
        <f>MAX($F$21,$Y$1569)/$Q$1588</f>
        <v>0.30172413793103448</v>
      </c>
      <c r="AK1603">
        <f>IF(AJ1603=0,0,IF(AJ1603&gt;2,1.25-0.125*AJ1603,1))</f>
        <v>1</v>
      </c>
      <c r="AL1603" cm="1">
        <f t="array" ref="AL1603">IFERROR(INDEX(sheath_ecap_asd,MATCH(AP1603,sheath_mark,0),0)*AK1603,0)</f>
        <v>0</v>
      </c>
      <c r="AM1603" cm="1">
        <f t="array" ref="AM1603">IFERROR(INDEX(sheath_wcap_asd,MATCH(AP1603,sheath_mark,0),0)*AK1603,0)</f>
        <v>0</v>
      </c>
      <c r="AN1603" cm="1">
        <f t="array" ref="AN1603">IFERROR(INDEX(hd_cap,MATCH(AQ1603,hd_mark,0),0),0)</f>
        <v>0</v>
      </c>
      <c r="AP1603" s="19"/>
      <c r="AQ1603" s="19"/>
      <c r="AR1603" s="100"/>
      <c r="AS1603" s="93"/>
      <c r="AT1603" s="110" t="str">
        <f>$AT$1569</f>
        <v>1.04</v>
      </c>
      <c r="AU1603" t="str">
        <f>$Q$1557</f>
        <v>L2</v>
      </c>
      <c r="AV1603">
        <f>$E$21</f>
        <v>10.6875</v>
      </c>
      <c r="AW1603" cm="1">
        <f t="array" ref="AW1603">IFERROR(IF(AV1603=0,0,(INDEX($C$33:$C$38,MATCH($AZ$1569,$B$33:$B$38,0),0)*(AV1607+$BA$1569)+$AW$1569*COUNTIF(AV1603:AV1606,"&gt;0")*$C$32+$AY$1569*$C$31)*$AU$1569),0)</f>
        <v>0</v>
      </c>
      <c r="AX1603">
        <f>IF(AV1603=0,0,-(COUNTIF(AV1603:AV1606,"&gt;0")*$AW$1569*$C$32+$AY$1569*$C$31)*$H$27*$AU$1569)</f>
        <v>0</v>
      </c>
      <c r="AY1603">
        <f>IF(AV1603=0,0,$AY$1569*$H$26*$AU$1569)</f>
        <v>0</v>
      </c>
      <c r="AZ1603">
        <f>(0.6*AW1603+0.7*AX1603)*$AU$1569/2</f>
        <v>0</v>
      </c>
      <c r="BA1603">
        <f>(0.6*AW1603+0.6*AY1603)*$AU$1569/2</f>
        <v>0</v>
      </c>
      <c r="BC1603">
        <f>IF(AV1603=0,0,$BG$1569*$AP$1557)</f>
        <v>0</v>
      </c>
      <c r="BD1603">
        <f>IFERROR(BC1603/$AU$1569,0)</f>
        <v>0</v>
      </c>
      <c r="BE1603">
        <f>BC1603*($F$21+IF($F$21=0,0,($C$14+$C$15+IF($C$13="single",1.5,3)+3)/12))</f>
        <v>0</v>
      </c>
      <c r="BF1603">
        <f>BE1603-AZ1603</f>
        <v>0</v>
      </c>
      <c r="BG1603" cm="1">
        <f t="array" ref="BG1603">IFERROR(IF(BF1603&lt;0,0,BF1603/($AU$1569-INDEX(hd_off,MATCH(BT1603,hd_mark,0),0)/12)),0)</f>
        <v>0</v>
      </c>
      <c r="BH1603">
        <f>IF(AV1603=0,0,$BG$1569*$AM$1557)</f>
        <v>0</v>
      </c>
      <c r="BI1603">
        <f>IFERROR(BH1603/$AU$1569,0)</f>
        <v>0</v>
      </c>
      <c r="BJ1603">
        <f>BH1603*($F$21+IF($F$21=0,0,($C$14+$C$15+IF($C$13="single",1.5,3)+3)/12))</f>
        <v>0</v>
      </c>
      <c r="BK1603">
        <f>BJ1603-BA1603</f>
        <v>0</v>
      </c>
      <c r="BL1603" cm="1">
        <f t="array" ref="BL1603">IFERROR(IF(BK1603&lt;0,0,BK1603/($AU$1569-INDEX(hd_off,MATCH(BT1603,hd_mark,0),0)/12)),0)</f>
        <v>0</v>
      </c>
      <c r="BM1603">
        <f>MAX($F$21,$BB$1569)/$Q$1588</f>
        <v>0.30172413793103448</v>
      </c>
      <c r="BN1603">
        <f>IF(BM1603=0,0,IF(BM1603&gt;2,1.25-0.125*BM1603,1))</f>
        <v>1</v>
      </c>
      <c r="BO1603" cm="1">
        <f t="array" ref="BO1603">IFERROR(INDEX(sheath_ecap_asd,MATCH(BS1603,sheath_mark,0),0)*BN1603,0)</f>
        <v>0</v>
      </c>
      <c r="BP1603" cm="1">
        <f t="array" ref="BP1603">IFERROR(INDEX(sheath_wcap_asd,MATCH(BS1603,sheath_mark,0),0)*BN1603,0)</f>
        <v>0</v>
      </c>
      <c r="BQ1603" cm="1">
        <f t="array" ref="BQ1603">IFERROR(INDEX(hd_cap,MATCH(BT1603,hd_mark,0),0),0)</f>
        <v>0</v>
      </c>
      <c r="BS1603" s="19"/>
      <c r="BT1603" s="19"/>
      <c r="BU1603" s="100"/>
    </row>
    <row r="1604" x14ac:dyDescent="0.25">
      <c r="P1604" s="93"/>
      <c r="Q1604" s="109"/>
      <c r="R1604" t="str">
        <f>$Q$1558</f>
        <v>L3</v>
      </c>
      <c r="S1604">
        <f>$E$22</f>
        <v>21.375</v>
      </c>
      <c r="T1604" cm="1">
        <f t="array" ref="T1604">IFERROR(IF(S1604=0,0,(INDEX($C$33:$C$38,MATCH($W$1569,$B$33:$B$38,0),0)*(S1607+$X$1569)+$T$1569*COUNTIF(S1604:S1606,"&gt;0")*$C$32+$V$1569*$C$31)*$R$1569),0)</f>
        <v>0</v>
      </c>
      <c r="U1604">
        <f>IF(S1604=0,0,-(COUNTIF(S1604:S1606,"&gt;0")*$T$1569*$C$32+$V$1569*$C$31)*$H$27*$R$1569)</f>
        <v>0</v>
      </c>
      <c r="V1604">
        <f>IF(S1604=0,0,$V$1569*$H$26*$R$1569)</f>
        <v>0</v>
      </c>
      <c r="W1604">
        <f>(0.6*T1604+0.7*U1604)*$R$1569/2</f>
        <v>0</v>
      </c>
      <c r="X1604">
        <f>T1604*$R$1569/2</f>
        <v>0</v>
      </c>
      <c r="Z1604">
        <f>IF(S1604=0,0,$AD$1569*$AP$1558)</f>
        <v>0</v>
      </c>
      <c r="AA1604">
        <f>IFERROR(Z1604/$R$1569,0)</f>
        <v>0</v>
      </c>
      <c r="AB1604">
        <f>Z1604*($F$22+IF($F$22=0,0,($C$14+$C$15+IF($C$13="single",1.5,3)+3)/12))</f>
        <v>0</v>
      </c>
      <c r="AC1604">
        <f>AB1604-W1604</f>
        <v>0</v>
      </c>
      <c r="AD1604" cm="1">
        <f t="array" ref="AD1604">IFERROR(IF(AC1604&lt;0,0,AC1604/($R$1569-INDEX(hd_off,MATCH(AQ1604,hd_mark,0),0)/12)),0)</f>
        <v>0</v>
      </c>
      <c r="AE1604">
        <f>IF(S1604=0,0,$AD$1569*$AM$1558)</f>
        <v>0</v>
      </c>
      <c r="AF1604">
        <f>IFERROR(AE1604/$R$1569,0)</f>
        <v>0</v>
      </c>
      <c r="AG1604">
        <f>AE1604*($F$22+IF($F$22=0,0,($C$14+$C$15+IF($C$13="single",1.5,3)+3)/12))</f>
        <v>0</v>
      </c>
      <c r="AH1604">
        <f>AG1604-X1604</f>
        <v>0</v>
      </c>
      <c r="AI1604" cm="1">
        <f t="array" ref="AI1604">IFERROR(IF(AH1604&lt;0,0,AH1604/($R$1569-INDEX(hd_off,MATCH(AQ1604,hd_mark,0),0)/12)),0)</f>
        <v>0</v>
      </c>
      <c r="AJ1604">
        <f>MAX($F$22,$Z$1569)/$Q$1588</f>
        <v>0.30172413793103448</v>
      </c>
      <c r="AK1604">
        <f t="shared" ref="AK1604:AK1607" si="1000">IF(AJ1604=0,0,IF(AJ1604&gt;2,1.25-0.125*AJ1604,1))</f>
        <v>1</v>
      </c>
      <c r="AL1604" cm="1">
        <f t="array" ref="AL1604">IFERROR(INDEX(sheath_ecap_asd,MATCH(AP1604,sheath_mark,0),0)*AK1604,0)</f>
        <v>0</v>
      </c>
      <c r="AM1604" cm="1">
        <f t="array" ref="AM1604">IFERROR(INDEX(sheath_wcap_asd,MATCH(AP1604,sheath_mark,0),0)*AK1604,0)</f>
        <v>0</v>
      </c>
      <c r="AN1604" cm="1">
        <f t="array" ref="AN1604">IFERROR(INDEX(hd_cap,MATCH(AQ1604,hd_mark,0),0),0)</f>
        <v>0</v>
      </c>
      <c r="AP1604" s="19"/>
      <c r="AQ1604" s="19"/>
      <c r="AR1604" s="100"/>
      <c r="AS1604" s="93"/>
      <c r="AT1604" s="109"/>
      <c r="AU1604" t="str">
        <f>$Q$1558</f>
        <v>L3</v>
      </c>
      <c r="AV1604">
        <f>$E$22</f>
        <v>21.375</v>
      </c>
      <c r="AW1604" cm="1">
        <f t="array" ref="AW1604">IFERROR(IF(AV1604=0,0,(INDEX($C$33:$C$38,MATCH($AZ$1569,$B$33:$B$38,0),0)*(AV1607+$BA$1569)+$AW$1569*COUNTIF(AV1604:AV1606,"&gt;0")*$C$32+$AY$1569*$C$31)*$AU$1569),0)</f>
        <v>0</v>
      </c>
      <c r="AX1604">
        <f>IF(AV1604=0,0,-(COUNTIF(AV1604:AV1606,"&gt;0")*$AW$1569*$C$32+$AY$1569*$C$31)*$H$27*$AU$1569)</f>
        <v>0</v>
      </c>
      <c r="AY1604">
        <f>IF(AV1604=0,0,$AY$1569*$H$26*$AU$1569)</f>
        <v>0</v>
      </c>
      <c r="AZ1604">
        <f>(0.6*AW1604+0.7*AX1604)*$AU$1569/2</f>
        <v>0</v>
      </c>
      <c r="BA1604">
        <f>AW1604*$AU$1569/2</f>
        <v>0</v>
      </c>
      <c r="BC1604">
        <f>IF(AV1604=0,0,$BG$1569*$AP$1558)</f>
        <v>0</v>
      </c>
      <c r="BD1604">
        <f>IFERROR(BC1604/$AU$1569,0)</f>
        <v>0</v>
      </c>
      <c r="BE1604">
        <f>BC1604*($F$22+IF($F$22=0,0,($C$14+$C$15+IF($C$13="single",1.5,3)+3)/12))</f>
        <v>0</v>
      </c>
      <c r="BF1604">
        <f>BE1604-AZ1604</f>
        <v>0</v>
      </c>
      <c r="BG1604" cm="1">
        <f t="array" ref="BG1604">IFERROR(IF(BF1604&lt;0,0,BF1604/($AU$1569-INDEX(hd_off,MATCH(BT1604,hd_mark,0),0)/12)),0)</f>
        <v>0</v>
      </c>
      <c r="BH1604">
        <f>IF(AV1604=0,0,$BG$1569*$AM$1558)</f>
        <v>0</v>
      </c>
      <c r="BI1604">
        <f>IFERROR(BH1604/$AU$1569,0)</f>
        <v>0</v>
      </c>
      <c r="BJ1604">
        <f>BH1604*($F$22+IF($F$22=0,0,($C$14+$C$15+IF($C$13="single",1.5,3)+3)/12))</f>
        <v>0</v>
      </c>
      <c r="BK1604">
        <f>BJ1604-BA1604</f>
        <v>0</v>
      </c>
      <c r="BL1604" cm="1">
        <f t="array" ref="BL1604">IFERROR(IF(BK1604&lt;0,0,BK1604/($AU$1569-INDEX(hd_off,MATCH(BT1604,hd_mark,0),0)/12)),0)</f>
        <v>0</v>
      </c>
      <c r="BM1604">
        <f>MAX($F$22,$BC$1569)/$Q$1588</f>
        <v>0.30172413793103448</v>
      </c>
      <c r="BN1604">
        <f t="shared" ref="BN1604:BN1607" si="1001">IF(BM1604=0,0,IF(BM1604&gt;2,1.25-0.125*BM1604,1))</f>
        <v>1</v>
      </c>
      <c r="BO1604" cm="1">
        <f t="array" ref="BO1604">IFERROR(INDEX(sheath_ecap_asd,MATCH(BS1604,sheath_mark,0),0)*BN1604,0)</f>
        <v>0</v>
      </c>
      <c r="BP1604" cm="1">
        <f t="array" ref="BP1604">IFERROR(INDEX(sheath_wcap_asd,MATCH(BS1604,sheath_mark,0),0)*BN1604,0)</f>
        <v>0</v>
      </c>
      <c r="BQ1604" cm="1">
        <f t="array" ref="BQ1604">IFERROR(INDEX(hd_cap,MATCH(BT1604,hd_mark,0),0),0)</f>
        <v>0</v>
      </c>
      <c r="BS1604" s="19"/>
      <c r="BT1604" s="19"/>
      <c r="BU1604" s="100"/>
    </row>
    <row r="1605" x14ac:dyDescent="0.25">
      <c r="B1605" s="1"/>
      <c r="P1605" s="93"/>
      <c r="Q1605" s="109" t="s">
        <v>491</v>
      </c>
      <c r="R1605" t="str">
        <f>$Q$1559</f>
        <v>L4</v>
      </c>
      <c r="S1605">
        <f>$E$23</f>
        <v>0</v>
      </c>
      <c r="T1605" cm="1">
        <f t="array" ref="T1605">IFERROR(IF(S1605=0,0,(INDEX($C$33:$C$38,MATCH($W$1569,$B$33:$B$38,0),0)*(S1607+$X$1569)+$T$1569*COUNTIF(S1605:S1606,"&gt;0")*$C$32+$V$1569*$C$31)*$R$1569),0)</f>
        <v>0</v>
      </c>
      <c r="U1605">
        <f>IF(S1605=0,0,-(COUNTIF(S1605:S1606,"&gt;0")*$T$1569*$C$32+$V$1569*$C$31)*$H$27*$R$1569)</f>
        <v>0</v>
      </c>
      <c r="V1605">
        <f>IF(S1605=0,0,$V$1569*$H$26*$R$1569)</f>
        <v>0</v>
      </c>
      <c r="W1605">
        <f>(0.6*T1605+0.7*U1605)*$R$1569/2</f>
        <v>0</v>
      </c>
      <c r="X1605">
        <f>T1605*$R$1569/2</f>
        <v>0</v>
      </c>
      <c r="Z1605">
        <f>IF(S1605=0,0,$AD$1569*$AP$1559)</f>
        <v>0</v>
      </c>
      <c r="AA1605">
        <f>IFERROR(Z1605/$R$1569,0)</f>
        <v>0</v>
      </c>
      <c r="AB1605">
        <f>Z1605*($F$23+IF($F$23=0,0,($C$14+$C$15+IF($C$13="single",1.5,3)+3)/12))</f>
        <v>0</v>
      </c>
      <c r="AC1605">
        <f>AB1605-W1605</f>
        <v>0</v>
      </c>
      <c r="AD1605" cm="1">
        <f t="array" ref="AD1605">IFERROR(IF(AC1605&lt;0,0,AC1605/($R$1569-INDEX(hd_off,MATCH(AQ1605,hd_mark,0),0)/12)),0)</f>
        <v>0</v>
      </c>
      <c r="AE1605">
        <f>IF(S1605=0,0,$AD$1569*$AM$1559)</f>
        <v>0</v>
      </c>
      <c r="AF1605">
        <f>IFERROR(AE1605/$R$1569,0)</f>
        <v>0</v>
      </c>
      <c r="AG1605">
        <f>AE1605*($F$23+IF($F$23=0,0,($C$14+$C$15+IF($C$13="single",1.5,3)+3)/12))</f>
        <v>0</v>
      </c>
      <c r="AH1605">
        <f>AG1605-X1605</f>
        <v>0</v>
      </c>
      <c r="AI1605" cm="1">
        <f t="array" ref="AI1605">IFERROR(IF(AH1605&lt;0,0,AH1605/($R$1569-INDEX(hd_off,MATCH(AQ1605,hd_mark,0),0)/12)),0)</f>
        <v>0</v>
      </c>
      <c r="AJ1605">
        <f>MAX($F$23,$AA$1569)/$Q$1588</f>
        <v>0</v>
      </c>
      <c r="AK1605">
        <f t="shared" si="1000"/>
        <v>0</v>
      </c>
      <c r="AL1605" cm="1">
        <f t="array" ref="AL1605">IFERROR(INDEX(sheath_ecap_asd,MATCH(AP1605,sheath_mark,0),0)*AK1605,0)</f>
        <v>0</v>
      </c>
      <c r="AM1605" cm="1">
        <f t="array" ref="AM1605">IFERROR(INDEX(sheath_wcap_asd,MATCH(AP1605,sheath_mark,0),0)*AK1605,0)</f>
        <v>0</v>
      </c>
      <c r="AN1605" cm="1">
        <f t="array" ref="AN1605">IFERROR(INDEX(hd_cap,MATCH(AQ1605,hd_mark,0),0),0)</f>
        <v>0</v>
      </c>
      <c r="AP1605" s="19"/>
      <c r="AQ1605" s="19"/>
      <c r="AR1605" s="100"/>
      <c r="AS1605" s="93"/>
      <c r="AT1605" s="109" t="s">
        <v>491</v>
      </c>
      <c r="AU1605" t="str">
        <f>$Q$1559</f>
        <v>L4</v>
      </c>
      <c r="AV1605">
        <f>$E$23</f>
        <v>0</v>
      </c>
      <c r="AW1605" cm="1">
        <f t="array" ref="AW1605">IFERROR(IF(AV1605=0,0,(INDEX($C$33:$C$38,MATCH($AZ$1569,$B$33:$B$38,0),0)*(AV1607+$BA$1569)+$AW$1569*COUNTIF(AV1605:AV1606,"&gt;0")*$C$32+$AY$1569*$C$31)*$AU$1569),0)</f>
        <v>0</v>
      </c>
      <c r="AX1605">
        <f>IF(AV1605=0,0,-(COUNTIF(AV1605:AV1606,"&gt;0")*$AW$1569*$C$32+$AY$1569*$C$31)*$H$27*$AU$1569)</f>
        <v>0</v>
      </c>
      <c r="AY1605">
        <f>IF(AV1605=0,0,$AY$1569*$H$26*$AU$1569)</f>
        <v>0</v>
      </c>
      <c r="AZ1605">
        <f>(0.6*AW1605+0.7*AX1605)*$AU$1569/2</f>
        <v>0</v>
      </c>
      <c r="BA1605">
        <f>AW1605*$AU$1569/2</f>
        <v>0</v>
      </c>
      <c r="BC1605">
        <f>IF(AV1605=0,0,$BG$1569*$AP$1559)</f>
        <v>0</v>
      </c>
      <c r="BD1605">
        <f>IFERROR(BC1605/$AU$1569,0)</f>
        <v>0</v>
      </c>
      <c r="BE1605">
        <f>BC1605*($F$23+IF($F$23=0,0,($C$14+$C$15+IF($C$13="single",1.5,3)+3)/12))</f>
        <v>0</v>
      </c>
      <c r="BF1605">
        <f>BE1605-AZ1605</f>
        <v>0</v>
      </c>
      <c r="BG1605" cm="1">
        <f t="array" ref="BG1605">IFERROR(IF(BF1605&lt;0,0,BF1605/($AU$1569-INDEX(hd_off,MATCH(BT1605,hd_mark,0),0)/12)),0)</f>
        <v>0</v>
      </c>
      <c r="BH1605">
        <f>IF(AV1605=0,0,$BG$1569*$AM$1559)</f>
        <v>0</v>
      </c>
      <c r="BI1605">
        <f>IFERROR(BH1605/$AU$1569,0)</f>
        <v>0</v>
      </c>
      <c r="BJ1605">
        <f>BH1605*($F$23+IF($F$23=0,0,($C$14+$C$15+IF($C$13="single",1.5,3)+3)/12))</f>
        <v>0</v>
      </c>
      <c r="BK1605">
        <f>BJ1605-BA1605</f>
        <v>0</v>
      </c>
      <c r="BL1605" cm="1">
        <f t="array" ref="BL1605">IFERROR(IF(BK1605&lt;0,0,BK1605/($AU$1569-INDEX(hd_off,MATCH(BT1605,hd_mark,0),0)/12)),0)</f>
        <v>0</v>
      </c>
      <c r="BM1605">
        <f>MAX($F$23,$BD$1569)/$Q$1588</f>
        <v>0</v>
      </c>
      <c r="BN1605">
        <f t="shared" si="1001"/>
        <v>0</v>
      </c>
      <c r="BO1605" cm="1">
        <f t="array" ref="BO1605">IFERROR(INDEX(sheath_ecap_asd,MATCH(BS1605,sheath_mark,0),0)*BN1605,0)</f>
        <v>0</v>
      </c>
      <c r="BP1605" cm="1">
        <f t="array" ref="BP1605">IFERROR(INDEX(sheath_wcap_asd,MATCH(BS1605,sheath_mark,0),0)*BN1605,0)</f>
        <v>0</v>
      </c>
      <c r="BQ1605" cm="1">
        <f t="array" ref="BQ1605">IFERROR(INDEX(hd_cap,MATCH(BT1605,hd_mark,0),0),0)</f>
        <v>0</v>
      </c>
      <c r="BS1605" s="19"/>
      <c r="BT1605" s="19"/>
      <c r="BU1605" s="100"/>
    </row>
    <row r="1606" x14ac:dyDescent="0.25">
      <c r="P1606" s="93"/>
      <c r="Q1606" s="111">
        <f>$R$1569</f>
        <v>0</v>
      </c>
      <c r="R1606" t="str">
        <f>$Q$1560</f>
        <v>L5</v>
      </c>
      <c r="S1606">
        <f>$E$24</f>
        <v>0</v>
      </c>
      <c r="T1606" cm="1">
        <f t="array" ref="T1606">IFERROR(IF(S1606=0,0,(INDEX($C$33:$C$38,MATCH($W$1569,$B$33:$B$38,0),0)*(S1607+$X$1569)+$T$1569*COUNTIF(S1606:S1606,"&gt;0")*$C$32+$V$1569*$C$31)*$R$1569),0)</f>
        <v>0</v>
      </c>
      <c r="U1606">
        <f>IF(S1606=0,0,-(COUNTIF(S1606:S1606,"&gt;0")*$T$1569*$C$32+$V$1569*$C$31)*$H$27*$R$1569)</f>
        <v>0</v>
      </c>
      <c r="V1606">
        <f>IF(S1606=0,0,$V$1569*$H$26*$R$1569)</f>
        <v>0</v>
      </c>
      <c r="W1606">
        <f>(0.6*T1606+0.7*U1606)*$R$1569/2</f>
        <v>0</v>
      </c>
      <c r="X1606">
        <f>T1606*$R$1569/2</f>
        <v>0</v>
      </c>
      <c r="Z1606">
        <f>IF(S1606=0,0,$AD$1569*$AP$1560)</f>
        <v>0</v>
      </c>
      <c r="AA1606">
        <f>IFERROR(Z1606/$R$1569,0)</f>
        <v>0</v>
      </c>
      <c r="AB1606">
        <f>Z1606*($F$24+IF($F$24=0,0,($C$14+$C$15+IF($C$13="single",1.5,3)+3)/12))</f>
        <v>0</v>
      </c>
      <c r="AC1606">
        <f>AB1606-W1606</f>
        <v>0</v>
      </c>
      <c r="AD1606" cm="1">
        <f t="array" ref="AD1606">IFERROR(IF(AC1606&lt;0,0,AC1606/($R$1569-INDEX(hd_off,MATCH(AQ1606,hd_mark,0),0)/12)),0)</f>
        <v>0</v>
      </c>
      <c r="AE1606">
        <f>IF(S1606=0,0,$AD$1569*$AM$1560)</f>
        <v>0</v>
      </c>
      <c r="AF1606">
        <f>IFERROR(AE1606/$R$1569,0)</f>
        <v>0</v>
      </c>
      <c r="AG1606">
        <f>AE1606*($F$24+IF($F$24=0,0,($C$14+$C$15+IF($C$13="single",1.5,3)+3)/12))</f>
        <v>0</v>
      </c>
      <c r="AH1606">
        <f>AG1606-X1606</f>
        <v>0</v>
      </c>
      <c r="AI1606" cm="1">
        <f t="array" ref="AI1606">IFERROR(IF(AH1606&lt;0,0,AH1606/($R$1569-INDEX(hd_off,MATCH(AQ1606,hd_mark,0),0)/12)),0)</f>
        <v>0</v>
      </c>
      <c r="AJ1606">
        <f>MAX($F$24,$AB$1569)/$Q$1588</f>
        <v>0</v>
      </c>
      <c r="AK1606">
        <f t="shared" si="1000"/>
        <v>0</v>
      </c>
      <c r="AL1606" cm="1">
        <f t="array" ref="AL1606">IFERROR(INDEX(sheath_ecap_asd,MATCH(AP1606,sheath_mark,0),0)*AK1606,0)</f>
        <v>0</v>
      </c>
      <c r="AM1606" cm="1">
        <f t="array" ref="AM1606">IFERROR(INDEX(sheath_wcap_asd,MATCH(AP1606,sheath_mark,0),0)*AK1606,0)</f>
        <v>0</v>
      </c>
      <c r="AN1606" cm="1">
        <f t="array" ref="AN1606">IFERROR(INDEX(hd_cap,MATCH(AQ1606,hd_mark,0),0),0)</f>
        <v>0</v>
      </c>
      <c r="AP1606" s="19"/>
      <c r="AQ1606" s="19"/>
      <c r="AR1606" s="100"/>
      <c r="AS1606" s="93"/>
      <c r="AT1606" s="111">
        <f>$R$1569</f>
        <v>0</v>
      </c>
      <c r="AU1606" t="str">
        <f>$Q$1560</f>
        <v>L5</v>
      </c>
      <c r="AV1606">
        <f>$E$24</f>
        <v>0</v>
      </c>
      <c r="AW1606" cm="1">
        <f t="array" ref="AW1606">IFERROR(IF(AV1606=0,0,(INDEX($C$33:$C$38,MATCH($AZ$1569,$B$33:$B$38,0),0)*(AV1607+$BA$1569)+$AW$1569*COUNTIF(AV1606:AV1606,"&gt;0")*$C$32+$AY$1569*$C$31)*$AU$1569),0)</f>
        <v>0</v>
      </c>
      <c r="AX1606">
        <f>IF(AV1606=0,0,-(COUNTIF(AV1606:AV1606,"&gt;0")*$AW$1569*$C$32+$AY$1569*$C$31)*$H$27*$AU$1569)</f>
        <v>0</v>
      </c>
      <c r="AY1606">
        <f>IF(AV1606=0,0,$AY$1569*$H$26*$AU$1569)</f>
        <v>0</v>
      </c>
      <c r="AZ1606">
        <f>(0.6*AW1606+0.7*AX1606)*$AU$1569/2</f>
        <v>0</v>
      </c>
      <c r="BA1606">
        <f>AW1606*$AU$1569/2</f>
        <v>0</v>
      </c>
      <c r="BC1606">
        <f>IF(AV1606=0,0,$BG$1569*$AP$1560)</f>
        <v>0</v>
      </c>
      <c r="BD1606">
        <f>IFERROR(BC1606/$AU$1569,0)</f>
        <v>0</v>
      </c>
      <c r="BE1606">
        <f>BC1606*($F$24+IF($F$24=0,0,($C$14+$C$15+IF($C$13="single",1.5,3)+3)/12))</f>
        <v>0</v>
      </c>
      <c r="BF1606">
        <f>BE1606-AZ1606</f>
        <v>0</v>
      </c>
      <c r="BG1606" cm="1">
        <f t="array" ref="BG1606">IFERROR(IF(BF1606&lt;0,0,BF1606/($AU$1569-INDEX(hd_off,MATCH(BT1606,hd_mark,0),0)/12)),0)</f>
        <v>0</v>
      </c>
      <c r="BH1606">
        <f>IF(AV1606=0,0,$BG$1569*$AM$1560)</f>
        <v>0</v>
      </c>
      <c r="BI1606">
        <f>IFERROR(BH1606/$AU$1569,0)</f>
        <v>0</v>
      </c>
      <c r="BJ1606">
        <f>BH1606*($F$24+IF($F$24=0,0,($C$14+$C$15+IF($C$13="single",1.5,3)+3)/12))</f>
        <v>0</v>
      </c>
      <c r="BK1606">
        <f>BJ1606-BA1606</f>
        <v>0</v>
      </c>
      <c r="BL1606" cm="1">
        <f t="array" ref="BL1606">IFERROR(IF(BK1606&lt;0,0,BK1606/($AU$1569-INDEX(hd_off,MATCH(BT1606,hd_mark,0),0)/12)),0)</f>
        <v>0</v>
      </c>
      <c r="BM1606">
        <f>MAX($F$24,$BE$1569)/$Q$1588</f>
        <v>0</v>
      </c>
      <c r="BN1606">
        <f t="shared" si="1001"/>
        <v>0</v>
      </c>
      <c r="BO1606" cm="1">
        <f t="array" ref="BO1606">IFERROR(INDEX(sheath_ecap_asd,MATCH(BS1606,sheath_mark,0),0)*BN1606,0)</f>
        <v>0</v>
      </c>
      <c r="BP1606" cm="1">
        <f t="array" ref="BP1606">IFERROR(INDEX(sheath_wcap_asd,MATCH(BS1606,sheath_mark,0),0)*BN1606,0)</f>
        <v>0</v>
      </c>
      <c r="BQ1606" cm="1">
        <f t="array" ref="BQ1606">IFERROR(INDEX(hd_cap,MATCH(BT1606,hd_mark,0),0),0)</f>
        <v>0</v>
      </c>
      <c r="BS1606" s="19"/>
      <c r="BT1606" s="19"/>
      <c r="BU1606" s="100"/>
    </row>
    <row r="1607" x14ac:dyDescent="0.25">
      <c r="P1607" s="93"/>
      <c r="Q1607" s="109"/>
      <c r="R1607" t="str">
        <f>$Q$1561</f>
        <v>Roof</v>
      </c>
      <c r="S1607">
        <f>$E$25</f>
        <v>33.171875</v>
      </c>
      <c r="T1607" cm="1">
        <f t="array" ref="T1607">IFERROR(IF(S1607=0,0,(INDEX($C$33:$C$38,MATCH($W$1569,$B$33:$B$38,0),0)*(S1607+$X$1569)+$V$1569*$C$31)*$R$1569),0)</f>
        <v>0</v>
      </c>
      <c r="U1607">
        <f>IF(S1607=0,0,-$V$1569*$C$31*$H$27*$R$1569)</f>
        <v>0</v>
      </c>
      <c r="V1607">
        <f>IF(S1607=0,0,$V$1569*$H$26*$R$1569)</f>
        <v>0</v>
      </c>
      <c r="W1607">
        <f>(0.6*T1607+0.7*U1607)*$R$1569/2</f>
        <v>0</v>
      </c>
      <c r="X1607">
        <f>T1607*$R$1569/2</f>
        <v>0</v>
      </c>
      <c r="Z1607">
        <f>IF(S1607=0,0,$AD$1569*$AP$1561)</f>
        <v>0</v>
      </c>
      <c r="AA1607">
        <f>IFERROR(Z1607/$R$1569,0)</f>
        <v>0</v>
      </c>
      <c r="AB1607">
        <f>Z1607*($F$25+($C$16+$C$17+IF($C$13="single",1.5,3)+3)/12)</f>
        <v>0</v>
      </c>
      <c r="AC1607">
        <f>AB1607-W1607</f>
        <v>0</v>
      </c>
      <c r="AD1607" cm="1">
        <f t="array" ref="AD1607">IFERROR(IF(AC1607&lt;0,0,AC1607/($R$1569-INDEX(hd_off,MATCH(AQ1607,hd_mark,0),0)/12)),0)</f>
        <v>0</v>
      </c>
      <c r="AE1607">
        <f>IF(S1607=0,0,$AD$1569*$AM$1561)</f>
        <v>0</v>
      </c>
      <c r="AF1607">
        <f>IFERROR(AE1607/$R$1569,0)</f>
        <v>0</v>
      </c>
      <c r="AG1607">
        <f>AE1607*($F$25+($C$16+$C$17+IF($C$13="single",1.5,3)+3)/12)</f>
        <v>0</v>
      </c>
      <c r="AH1607">
        <f>AG1607-X1607</f>
        <v>0</v>
      </c>
      <c r="AI1607" cm="1">
        <f t="array" ref="AI1607">IFERROR(IF(AH1607&lt;0,0,AH1607/($R$1569-INDEX(hd_off,MATCH(AQ1607,hd_mark,0),0)/12)),0)</f>
        <v>0</v>
      </c>
      <c r="AJ1607">
        <f>MAX($F$25,$AC$1569)/$Q$1588</f>
        <v>0.29920977011494249</v>
      </c>
      <c r="AK1607">
        <f t="shared" si="1000"/>
        <v>1</v>
      </c>
      <c r="AL1607" cm="1">
        <f t="array" ref="AL1607">IFERROR(INDEX(sheath_ecap_asd,MATCH(AP1607,sheath_mark,0),0)*AK1607,0)</f>
        <v>0</v>
      </c>
      <c r="AM1607" cm="1">
        <f t="array" ref="AM1607">IFERROR(INDEX(sheath_wcap_asd,MATCH(AP1607,sheath_mark,0),0)*AK1607,0)</f>
        <v>0</v>
      </c>
      <c r="AN1607" cm="1">
        <f t="array" ref="AN1607">IFERROR(INDEX(hd_cap,MATCH(AQ1607,hd_mark,0),0),0)</f>
        <v>0</v>
      </c>
      <c r="AP1607" s="19"/>
      <c r="AQ1607" s="19"/>
      <c r="AR1607" s="100"/>
      <c r="AS1607" s="93"/>
      <c r="AT1607" s="109"/>
      <c r="AU1607" t="str">
        <f>$Q$1561</f>
        <v>Roof</v>
      </c>
      <c r="AV1607">
        <f>$E$25</f>
        <v>33.171875</v>
      </c>
      <c r="AW1607" cm="1">
        <f t="array" ref="AW1607">IFERROR(IF(AV1607=0,0,(INDEX($C$33:$C$38,MATCH($AZ$1569,$B$33:$B$38,0),0)*(AV1607+$BA$1569)+$AY$1569*$C$31)*$AU$1569),0)</f>
        <v>0</v>
      </c>
      <c r="AX1607">
        <f>IF(AV1607=0,0,-$AY$1569*$C$31*$H$27*$AU$1569)</f>
        <v>0</v>
      </c>
      <c r="AY1607">
        <f>IF(AV1607=0,0,$AY$1569*$H$26*$AU$1569)</f>
        <v>0</v>
      </c>
      <c r="AZ1607">
        <f>(0.6*AW1607+0.7*AX1607)*$AU$1569/2</f>
        <v>0</v>
      </c>
      <c r="BA1607">
        <f>AW1607*$AU$1569/2</f>
        <v>0</v>
      </c>
      <c r="BC1607">
        <f>IF(AV1607=0,0,$BG$1569*$AP$1561)</f>
        <v>0</v>
      </c>
      <c r="BD1607">
        <f>IFERROR(BC1607/$AU$1569,0)</f>
        <v>0</v>
      </c>
      <c r="BE1607">
        <f>BC1607*($F$25+($C$16+$C$17+IF($C$13="single",1.5,3)+3)/12)</f>
        <v>0</v>
      </c>
      <c r="BF1607">
        <f>BE1607-AZ1607</f>
        <v>0</v>
      </c>
      <c r="BG1607" cm="1">
        <f t="array" ref="BG1607">IFERROR(IF(BF1607&lt;0,0,BF1607/($AU$1569-INDEX(hd_off,MATCH(BT1607,hd_mark,0),0)/12)),0)</f>
        <v>0</v>
      </c>
      <c r="BH1607">
        <f>IF(AV1607=0,0,$BG$1569*$AM$1561)</f>
        <v>0</v>
      </c>
      <c r="BI1607">
        <f>IFERROR(BH1607/$AU$1569,0)</f>
        <v>0</v>
      </c>
      <c r="BJ1607">
        <f>BH1607*($F$25+($C$16+$C$17+IF($C$13="single",1.5,3)+3)/12)</f>
        <v>0</v>
      </c>
      <c r="BK1607">
        <f>BJ1607-BA1607</f>
        <v>0</v>
      </c>
      <c r="BL1607" cm="1">
        <f t="array" ref="BL1607">IFERROR(IF(BK1607&lt;0,0,BK1607/($AU$1569-INDEX(hd_off,MATCH(BT1607,hd_mark,0),0)/12)),0)</f>
        <v>0</v>
      </c>
      <c r="BM1607">
        <f>MAX($F$25,$BF$1569)/$Q$1588</f>
        <v>0.29920977011494249</v>
      </c>
      <c r="BN1607">
        <f t="shared" si="1001"/>
        <v>1</v>
      </c>
      <c r="BO1607" cm="1">
        <f t="array" ref="BO1607">IFERROR(INDEX(sheath_ecap_asd,MATCH(BS1607,sheath_mark,0),0)*BN1607,0)</f>
        <v>0</v>
      </c>
      <c r="BP1607" cm="1">
        <f t="array" ref="BP1607">IFERROR(INDEX(sheath_wcap_asd,MATCH(BS1607,sheath_mark,0),0)*BN1607,0)</f>
        <v>0</v>
      </c>
      <c r="BQ1607" cm="1">
        <f t="array" ref="BQ1607">IFERROR(INDEX(hd_cap,MATCH(BT1607,hd_mark,0),0),0)</f>
        <v>0</v>
      </c>
      <c r="BS1607" s="19"/>
      <c r="BT1607" s="19"/>
      <c r="BU1607" s="100"/>
    </row>
    <row r="1608" x14ac:dyDescent="0.25">
      <c r="P1608" s="93"/>
      <c r="AR1608" s="100"/>
      <c r="AS1608" s="93"/>
      <c r="BU1608" s="100"/>
    </row>
    <row r="1609" x14ac:dyDescent="0.25">
      <c r="P1609" s="93"/>
      <c r="Q1609" s="110" t="str">
        <f>$Q$1570</f>
        <v>A.05</v>
      </c>
      <c r="R1609" t="str">
        <f>$Q$1557</f>
        <v>L2</v>
      </c>
      <c r="S1609">
        <f>$E$21</f>
        <v>10.6875</v>
      </c>
      <c r="T1609" cm="1">
        <f t="array" ref="T1609">IFERROR(IF(S1609=0,0,(INDEX($C$33:$C$38,MATCH($W$1570,$B$33:$B$38,0),0)*(S1613+$X$1570)+$T$1570*COUNTIF(S1609:S1612,"&gt;0")*$C$32+$V$1570*$C$31)*$R$1570),0)</f>
        <v>0</v>
      </c>
      <c r="U1609">
        <f>IF(S1609=0,0,-(COUNTIF(S1609:S1612,"&gt;0")*$T$1570*$C$32+$V$1570*$C$31)*$H$27*$R$1570)</f>
        <v>0</v>
      </c>
      <c r="V1609">
        <f>IF(S1609=0,0,$V$1570*$H$26*$R$1570)</f>
        <v>0</v>
      </c>
      <c r="W1609">
        <f>(0.6*T1609+0.7*U1609)*$R$1570/2</f>
        <v>0</v>
      </c>
      <c r="X1609">
        <f>(0.6*T1609+0.6*V1609)*$R$1570/2</f>
        <v>0</v>
      </c>
      <c r="Z1609">
        <f>IF(S1609=0,0,$AD$1570*$AP$1557)</f>
        <v>0</v>
      </c>
      <c r="AA1609">
        <f>IFERROR(Z1609/$R$1570,0)</f>
        <v>0</v>
      </c>
      <c r="AB1609">
        <f>Z1609*($F$21+IF($F$21=0,0,($C$14+$C$15+IF($C$13="single",1.5,3)+3)/12))</f>
        <v>0</v>
      </c>
      <c r="AC1609">
        <f>AB1609-W1609</f>
        <v>0</v>
      </c>
      <c r="AD1609" cm="1">
        <f t="array" ref="AD1609">IFERROR(IF(AC1609&lt;0,0,AC1609/($R$1570-INDEX(hd_off,MATCH(AQ1609,hd_mark,0),0)/12)),0)</f>
        <v>0</v>
      </c>
      <c r="AE1609">
        <f>IF(S1609=0,0,$AD$1570*$AM$1557)</f>
        <v>0</v>
      </c>
      <c r="AF1609">
        <f>IFERROR(AE1609/$R$1570,0)</f>
        <v>0</v>
      </c>
      <c r="AG1609">
        <f>AE1609*($F$21+IF($F$21=0,0,($C$14+$C$15+IF($C$13="single",1.5,3)+3)/12))</f>
        <v>0</v>
      </c>
      <c r="AH1609">
        <f>AG1609-X1609</f>
        <v>0</v>
      </c>
      <c r="AI1609" cm="1">
        <f t="array" ref="AI1609">IFERROR(IF(AH1609&lt;0,0,AH1609/($R$1570-INDEX(hd_off,MATCH(AQ1609,hd_mark,0),0)/12)),0)</f>
        <v>0</v>
      </c>
      <c r="AJ1609">
        <f>MAX($F$21,$Y$1570)/$Q$1588</f>
        <v>0.30172413793103448</v>
      </c>
      <c r="AK1609">
        <f>IF(AJ1609=0,0,IF(AJ1609&gt;2,1.25-0.125*AJ1609,1))</f>
        <v>1</v>
      </c>
      <c r="AL1609" cm="1">
        <f t="array" ref="AL1609">IFERROR(INDEX(sheath_ecap_asd,MATCH(AP1609,sheath_mark,0),0)*AK1609,0)</f>
        <v>0</v>
      </c>
      <c r="AM1609" cm="1">
        <f t="array" ref="AM1609">IFERROR(INDEX(sheath_wcap_asd,MATCH(AP1609,sheath_mark,0),0)*AK1609,0)</f>
        <v>0</v>
      </c>
      <c r="AN1609" cm="1">
        <f t="array" ref="AN1609">IFERROR(INDEX(hd_cap,MATCH(AQ1609,hd_mark,0),0),0)</f>
        <v>0</v>
      </c>
      <c r="AP1609" s="19"/>
      <c r="AQ1609" s="19"/>
      <c r="AR1609" s="100"/>
      <c r="AS1609" s="93"/>
      <c r="AT1609" s="110" t="str">
        <f>$AT$1570</f>
        <v>1.05</v>
      </c>
      <c r="AU1609" t="str">
        <f>$Q$1557</f>
        <v>L2</v>
      </c>
      <c r="AV1609">
        <f>$E$21</f>
        <v>10.6875</v>
      </c>
      <c r="AW1609" cm="1">
        <f t="array" ref="AW1609">IFERROR(IF(AV1609=0,0,(INDEX($C$33:$C$38,MATCH($AZ$1570,$B$33:$B$38,0),0)*(AV1613+$BA$1570)+$AW$1570*COUNTIF(AV1609:AV1612,"&gt;0")*$C$32+$AY$1570*$C$31)*$AU$1570),0)</f>
        <v>0</v>
      </c>
      <c r="AX1609">
        <f>IF(AV1609=0,0,-(COUNTIF(AV1609:AV1612,"&gt;0")*$AW$1570*$C$32+$AY$1570*$C$31)*$H$27*$AU$1570)</f>
        <v>0</v>
      </c>
      <c r="AY1609">
        <f>IF(AV1609=0,0,$AY$1570*$H$26*$AU$1570)</f>
        <v>0</v>
      </c>
      <c r="AZ1609">
        <f>(0.6*AW1609+0.7*AX1609)*$AU$1570/2</f>
        <v>0</v>
      </c>
      <c r="BA1609">
        <f>(0.6*AW1609+0.6*AY1609)*$AU$1570/2</f>
        <v>0</v>
      </c>
      <c r="BC1609">
        <f>IF(AV1609=0,0,$BG$1570*$AP$1557)</f>
        <v>0</v>
      </c>
      <c r="BD1609">
        <f>IFERROR(BC1609/$AU$1570,0)</f>
        <v>0</v>
      </c>
      <c r="BE1609">
        <f>BC1609*($F$21+IF($F$21=0,0,($C$14+$C$15+IF($C$13="single",1.5,3)+3)/12))</f>
        <v>0</v>
      </c>
      <c r="BF1609">
        <f>BE1609-AZ1609</f>
        <v>0</v>
      </c>
      <c r="BG1609" cm="1">
        <f t="array" ref="BG1609">IFERROR(IF(BF1609&lt;0,0,BF1609/($AU$1570-INDEX(hd_off,MATCH(BT1609,hd_mark,0),0)/12)),0)</f>
        <v>0</v>
      </c>
      <c r="BH1609">
        <f>IF(AV1609=0,0,$BG$1570*$AM$1557)</f>
        <v>0</v>
      </c>
      <c r="BI1609">
        <f>IFERROR(BH1609/$AU$1570,0)</f>
        <v>0</v>
      </c>
      <c r="BJ1609">
        <f>BH1609*($F$21+IF($F$21=0,0,($C$14+$C$15+IF($C$13="single",1.5,3)+3)/12))</f>
        <v>0</v>
      </c>
      <c r="BK1609">
        <f>BJ1609-BA1609</f>
        <v>0</v>
      </c>
      <c r="BL1609" cm="1">
        <f t="array" ref="BL1609">IFERROR(IF(BK1609&lt;0,0,BK1609/($AU$1570-INDEX(hd_off,MATCH(BT1609,hd_mark,0),0)/12)),0)</f>
        <v>0</v>
      </c>
      <c r="BM1609">
        <f>MAX($F$21,$BB$1570)/$Q$1588</f>
        <v>0.30172413793103448</v>
      </c>
      <c r="BN1609">
        <f>IF(BM1609=0,0,IF(BM1609&gt;2,1.25-0.125*BM1609,1))</f>
        <v>1</v>
      </c>
      <c r="BO1609" cm="1">
        <f t="array" ref="BO1609">IFERROR(INDEX(sheath_ecap_asd,MATCH(BS1609,sheath_mark,0),0)*BN1609,0)</f>
        <v>0</v>
      </c>
      <c r="BP1609" cm="1">
        <f t="array" ref="BP1609">IFERROR(INDEX(sheath_wcap_asd,MATCH(BS1609,sheath_mark,0),0)*BN1609,0)</f>
        <v>0</v>
      </c>
      <c r="BQ1609" cm="1">
        <f t="array" ref="BQ1609">IFERROR(INDEX(hd_cap,MATCH(BT1609,hd_mark,0),0),0)</f>
        <v>0</v>
      </c>
      <c r="BS1609" s="19"/>
      <c r="BT1609" s="19"/>
      <c r="BU1609" s="100"/>
    </row>
    <row r="1610" x14ac:dyDescent="0.25">
      <c r="B1610" s="1"/>
      <c r="P1610" s="93"/>
      <c r="Q1610" s="109"/>
      <c r="R1610" t="str">
        <f>$Q$1558</f>
        <v>L3</v>
      </c>
      <c r="S1610">
        <f>$E$22</f>
        <v>21.375</v>
      </c>
      <c r="T1610" cm="1">
        <f t="array" ref="T1610">IFERROR(IF(S1610=0,0,(INDEX($C$33:$C$38,MATCH($W$1570,$B$33:$B$38,0),0)*(S1613+$X$1570)+$T$1570*COUNTIF(S1610:S1612,"&gt;0")*$C$32+$V$1570*$C$31)*$R$1570),0)</f>
        <v>0</v>
      </c>
      <c r="U1610">
        <f>IF(S1610=0,0,-(COUNTIF(S1610:S1612,"&gt;0")*$T$1570*$C$32+$V$1570*$C$31)*$H$27*$R$1570)</f>
        <v>0</v>
      </c>
      <c r="V1610">
        <f>IF(S1610=0,0,$V$1570*$H$26*$R$1570)</f>
        <v>0</v>
      </c>
      <c r="W1610">
        <f>(0.6*T1610+0.7*U1610)*$R$1570/2</f>
        <v>0</v>
      </c>
      <c r="X1610">
        <f>T1610*$R$1570/2</f>
        <v>0</v>
      </c>
      <c r="Z1610">
        <f>IF(S1610=0,0,$AD$1570*$AP$1558)</f>
        <v>0</v>
      </c>
      <c r="AA1610">
        <f>IFERROR(Z1610/$R$1570,0)</f>
        <v>0</v>
      </c>
      <c r="AB1610">
        <f>Z1610*($F$22+IF($F$22=0,0,($C$14+$C$15+IF($C$13="single",1.5,3)+3)/12))</f>
        <v>0</v>
      </c>
      <c r="AC1610">
        <f>AB1610-W1610</f>
        <v>0</v>
      </c>
      <c r="AD1610" cm="1">
        <f t="array" ref="AD1610">IFERROR(IF(AC1610&lt;0,0,AC1610/($R$1570-INDEX(hd_off,MATCH(AQ1610,hd_mark,0),0)/12)),0)</f>
        <v>0</v>
      </c>
      <c r="AE1610">
        <f>IF(S1610=0,0,$AD$1570*$AM$1558)</f>
        <v>0</v>
      </c>
      <c r="AF1610">
        <f>IFERROR(AE1610/$R$1570,0)</f>
        <v>0</v>
      </c>
      <c r="AG1610">
        <f>AE1610*($F$22+IF($F$22=0,0,($C$14+$C$15+IF($C$13="single",1.5,3)+3)/12))</f>
        <v>0</v>
      </c>
      <c r="AH1610">
        <f>AG1610-X1610</f>
        <v>0</v>
      </c>
      <c r="AI1610" cm="1">
        <f t="array" ref="AI1610">IFERROR(IF(AH1610&lt;0,0,AH1610/($R$1570-INDEX(hd_off,MATCH(AQ1610,hd_mark,0),0)/12)),0)</f>
        <v>0</v>
      </c>
      <c r="AJ1610">
        <f>MAX($F$22,$Z$1570)/$Q$1588</f>
        <v>0.30172413793103448</v>
      </c>
      <c r="AK1610">
        <f t="shared" ref="AK1610:AK1613" si="1002">IF(AJ1610=0,0,IF(AJ1610&gt;2,1.25-0.125*AJ1610,1))</f>
        <v>1</v>
      </c>
      <c r="AL1610" cm="1">
        <f t="array" ref="AL1610">IFERROR(INDEX(sheath_ecap_asd,MATCH(AP1610,sheath_mark,0),0)*AK1610,0)</f>
        <v>0</v>
      </c>
      <c r="AM1610" cm="1">
        <f t="array" ref="AM1610">IFERROR(INDEX(sheath_wcap_asd,MATCH(AP1610,sheath_mark,0),0)*AK1610,0)</f>
        <v>0</v>
      </c>
      <c r="AN1610" cm="1">
        <f t="array" ref="AN1610">IFERROR(INDEX(hd_cap,MATCH(AQ1610,hd_mark,0),0),0)</f>
        <v>0</v>
      </c>
      <c r="AP1610" s="19"/>
      <c r="AQ1610" s="19"/>
      <c r="AR1610" s="100"/>
      <c r="AS1610" s="93"/>
      <c r="AT1610" s="109"/>
      <c r="AU1610" t="str">
        <f>$Q$1558</f>
        <v>L3</v>
      </c>
      <c r="AV1610">
        <f>$E$22</f>
        <v>21.375</v>
      </c>
      <c r="AW1610" cm="1">
        <f t="array" ref="AW1610">IFERROR(IF(AV1610=0,0,(INDEX($C$33:$C$38,MATCH($AZ$1570,$B$33:$B$38,0),0)*(AV1613+$BA$1570)+$AW$1570*COUNTIF(AV1610:AV1612,"&gt;0")*$C$32+$AY$1570*$C$31)*$AU$1570),0)</f>
        <v>0</v>
      </c>
      <c r="AX1610">
        <f>IF(AV1610=0,0,-(COUNTIF(AV1610:AV1612,"&gt;0")*$AW$1570*$C$32+$AY$1570*$C$31)*$H$27*$AU$1570)</f>
        <v>0</v>
      </c>
      <c r="AY1610">
        <f>IF(AV1610=0,0,$AY$1570*$H$26*$AU$1570)</f>
        <v>0</v>
      </c>
      <c r="AZ1610">
        <f>(0.6*AW1610+0.7*AX1610)*$AU$1570/2</f>
        <v>0</v>
      </c>
      <c r="BA1610">
        <f>AW1610*$AU$1570/2</f>
        <v>0</v>
      </c>
      <c r="BC1610">
        <f>IF(AV1610=0,0,$BG$1570*$AP$1558)</f>
        <v>0</v>
      </c>
      <c r="BD1610">
        <f>IFERROR(BC1610/$AU$1570,0)</f>
        <v>0</v>
      </c>
      <c r="BE1610">
        <f>BC1610*($F$22+IF($F$22=0,0,($C$14+$C$15+IF($C$13="single",1.5,3)+3)/12))</f>
        <v>0</v>
      </c>
      <c r="BF1610">
        <f>BE1610-AZ1610</f>
        <v>0</v>
      </c>
      <c r="BG1610" cm="1">
        <f t="array" ref="BG1610">IFERROR(IF(BF1610&lt;0,0,BF1610/($AU$1570-INDEX(hd_off,MATCH(BT1610,hd_mark,0),0)/12)),0)</f>
        <v>0</v>
      </c>
      <c r="BH1610">
        <f>IF(AV1610=0,0,$BG$1570*$AM$1558)</f>
        <v>0</v>
      </c>
      <c r="BI1610">
        <f>IFERROR(BH1610/$AU$1570,0)</f>
        <v>0</v>
      </c>
      <c r="BJ1610">
        <f>BH1610*($F$22+IF($F$22=0,0,($C$14+$C$15+IF($C$13="single",1.5,3)+3)/12))</f>
        <v>0</v>
      </c>
      <c r="BK1610">
        <f>BJ1610-BA1610</f>
        <v>0</v>
      </c>
      <c r="BL1610" cm="1">
        <f t="array" ref="BL1610">IFERROR(IF(BK1610&lt;0,0,BK1610/($AU$1570-INDEX(hd_off,MATCH(BT1610,hd_mark,0),0)/12)),0)</f>
        <v>0</v>
      </c>
      <c r="BM1610">
        <f>MAX($F$22,$BC$1570)/$Q$1588</f>
        <v>0.30172413793103448</v>
      </c>
      <c r="BN1610">
        <f t="shared" ref="BN1610:BN1613" si="1003">IF(BM1610=0,0,IF(BM1610&gt;2,1.25-0.125*BM1610,1))</f>
        <v>1</v>
      </c>
      <c r="BO1610" cm="1">
        <f t="array" ref="BO1610">IFERROR(INDEX(sheath_ecap_asd,MATCH(BS1610,sheath_mark,0),0)*BN1610,0)</f>
        <v>0</v>
      </c>
      <c r="BP1610" cm="1">
        <f t="array" ref="BP1610">IFERROR(INDEX(sheath_wcap_asd,MATCH(BS1610,sheath_mark,0),0)*BN1610,0)</f>
        <v>0</v>
      </c>
      <c r="BQ1610" cm="1">
        <f t="array" ref="BQ1610">IFERROR(INDEX(hd_cap,MATCH(BT1610,hd_mark,0),0),0)</f>
        <v>0</v>
      </c>
      <c r="BS1610" s="19"/>
      <c r="BT1610" s="19"/>
      <c r="BU1610" s="100"/>
    </row>
    <row r="1611" x14ac:dyDescent="0.25">
      <c r="P1611" s="93"/>
      <c r="Q1611" s="109" t="s">
        <v>491</v>
      </c>
      <c r="R1611" t="str">
        <f>$Q$1559</f>
        <v>L4</v>
      </c>
      <c r="S1611">
        <f>$E$23</f>
        <v>0</v>
      </c>
      <c r="T1611" cm="1">
        <f t="array" ref="T1611">IFERROR(IF(S1611=0,0,(INDEX($C$33:$C$38,MATCH($W$1570,$B$33:$B$38,0),0)*(S1613+$X$1570)+$T$1570*COUNTIF(S1611:S1612,"&gt;0")*$C$32+$V$1570*$C$31)*$R$1570),0)</f>
        <v>0</v>
      </c>
      <c r="U1611">
        <f>IF(S1611=0,0,-(COUNTIF(S1611:S1612,"&gt;0")*$T$1570*$C$32+$V$1570*$C$31)*$H$27*$R$1570)</f>
        <v>0</v>
      </c>
      <c r="V1611">
        <f>IF(S1611=0,0,$V$1570*$H$26*$R$1570)</f>
        <v>0</v>
      </c>
      <c r="W1611">
        <f>(0.6*T1611+0.7*U1611)*$R$1570/2</f>
        <v>0</v>
      </c>
      <c r="X1611">
        <f>T1611*$R$1570/2</f>
        <v>0</v>
      </c>
      <c r="Z1611">
        <f>IF(S1611=0,0,$AD$1570*$AP$1559)</f>
        <v>0</v>
      </c>
      <c r="AA1611">
        <f>IFERROR(Z1611/$R$1570,0)</f>
        <v>0</v>
      </c>
      <c r="AB1611">
        <f>Z1611*($F$23+IF($F$23=0,0,($C$14+$C$15+IF($C$13="single",1.5,3)+3)/12))</f>
        <v>0</v>
      </c>
      <c r="AC1611">
        <f>AB1611-W1611</f>
        <v>0</v>
      </c>
      <c r="AD1611" cm="1">
        <f t="array" ref="AD1611">IFERROR(IF(AC1611&lt;0,0,AC1611/($R$1570-INDEX(hd_off,MATCH(AQ1611,hd_mark,0),0)/12)),0)</f>
        <v>0</v>
      </c>
      <c r="AE1611">
        <f>IF(S1611=0,0,$AD$1570*$AM$1559)</f>
        <v>0</v>
      </c>
      <c r="AF1611">
        <f>IFERROR(AE1611/$R$1570,0)</f>
        <v>0</v>
      </c>
      <c r="AG1611">
        <f>AE1611*($F$23+IF($F$23=0,0,($C$14+$C$15+IF($C$13="single",1.5,3)+3)/12))</f>
        <v>0</v>
      </c>
      <c r="AH1611">
        <f>AG1611-X1611</f>
        <v>0</v>
      </c>
      <c r="AI1611" cm="1">
        <f t="array" ref="AI1611">IFERROR(IF(AH1611&lt;0,0,AH1611/($R$1570-INDEX(hd_off,MATCH(AQ1611,hd_mark,0),0)/12)),0)</f>
        <v>0</v>
      </c>
      <c r="AJ1611">
        <f>MAX($F$23,$AA$1570)/$Q$1588</f>
        <v>0</v>
      </c>
      <c r="AK1611">
        <f t="shared" si="1002"/>
        <v>0</v>
      </c>
      <c r="AL1611" cm="1">
        <f t="array" ref="AL1611">IFERROR(INDEX(sheath_ecap_asd,MATCH(AP1611,sheath_mark,0),0)*AK1611,0)</f>
        <v>0</v>
      </c>
      <c r="AM1611" cm="1">
        <f t="array" ref="AM1611">IFERROR(INDEX(sheath_wcap_asd,MATCH(AP1611,sheath_mark,0),0)*AK1611,0)</f>
        <v>0</v>
      </c>
      <c r="AN1611" cm="1">
        <f t="array" ref="AN1611">IFERROR(INDEX(hd_cap,MATCH(AQ1611,hd_mark,0),0),0)</f>
        <v>0</v>
      </c>
      <c r="AP1611" s="19"/>
      <c r="AQ1611" s="19"/>
      <c r="AR1611" s="100"/>
      <c r="AS1611" s="93"/>
      <c r="AT1611" s="109" t="s">
        <v>491</v>
      </c>
      <c r="AU1611" t="str">
        <f>$Q$1559</f>
        <v>L4</v>
      </c>
      <c r="AV1611">
        <f>$E$23</f>
        <v>0</v>
      </c>
      <c r="AW1611" cm="1">
        <f t="array" ref="AW1611">IFERROR(IF(AV1611=0,0,(INDEX($C$33:$C$38,MATCH($AZ$1570,$B$33:$B$38,0),0)*(AV1613+$BA$1570)+$AW$1570*COUNTIF(AV1611:AV1612,"&gt;0")*$C$32+$AY$1570*$C$31)*$AU$1570),0)</f>
        <v>0</v>
      </c>
      <c r="AX1611">
        <f>IF(AV1611=0,0,-(COUNTIF(AV1611:AV1612,"&gt;0")*$AW$1570*$C$32+$AY$1570*$C$31)*$H$27*$AU$1570)</f>
        <v>0</v>
      </c>
      <c r="AY1611">
        <f>IF(AV1611=0,0,$AY$1570*$H$26*$AU$1570)</f>
        <v>0</v>
      </c>
      <c r="AZ1611">
        <f>(0.6*AW1611+0.7*AX1611)*$AU$1570/2</f>
        <v>0</v>
      </c>
      <c r="BA1611">
        <f>AW1611*$AU$1570/2</f>
        <v>0</v>
      </c>
      <c r="BC1611">
        <f>IF(AV1611=0,0,$BG$1570*$AP$1559)</f>
        <v>0</v>
      </c>
      <c r="BD1611">
        <f>IFERROR(BC1611/$AU$1570,0)</f>
        <v>0</v>
      </c>
      <c r="BE1611">
        <f>BC1611*($F$23+IF($F$23=0,0,($C$14+$C$15+IF($C$13="single",1.5,3)+3)/12))</f>
        <v>0</v>
      </c>
      <c r="BF1611">
        <f>BE1611-AZ1611</f>
        <v>0</v>
      </c>
      <c r="BG1611" cm="1">
        <f t="array" ref="BG1611">IFERROR(IF(BF1611&lt;0,0,BF1611/($AU$1570-INDEX(hd_off,MATCH(BT1611,hd_mark,0),0)/12)),0)</f>
        <v>0</v>
      </c>
      <c r="BH1611">
        <f>IF(AV1611=0,0,$BG$1570*$AM$1559)</f>
        <v>0</v>
      </c>
      <c r="BI1611">
        <f>IFERROR(BH1611/$AU$1570,0)</f>
        <v>0</v>
      </c>
      <c r="BJ1611">
        <f>BH1611*($F$23+IF($F$23=0,0,($C$14+$C$15+IF($C$13="single",1.5,3)+3)/12))</f>
        <v>0</v>
      </c>
      <c r="BK1611">
        <f>BJ1611-BA1611</f>
        <v>0</v>
      </c>
      <c r="BL1611" cm="1">
        <f t="array" ref="BL1611">IFERROR(IF(BK1611&lt;0,0,BK1611/($AU$1570-INDEX(hd_off,MATCH(BT1611,hd_mark,0),0)/12)),0)</f>
        <v>0</v>
      </c>
      <c r="BM1611">
        <f>MAX($F$23,$BD$1570)/$Q$1588</f>
        <v>0</v>
      </c>
      <c r="BN1611">
        <f t="shared" si="1003"/>
        <v>0</v>
      </c>
      <c r="BO1611" cm="1">
        <f t="array" ref="BO1611">IFERROR(INDEX(sheath_ecap_asd,MATCH(BS1611,sheath_mark,0),0)*BN1611,0)</f>
        <v>0</v>
      </c>
      <c r="BP1611" cm="1">
        <f t="array" ref="BP1611">IFERROR(INDEX(sheath_wcap_asd,MATCH(BS1611,sheath_mark,0),0)*BN1611,0)</f>
        <v>0</v>
      </c>
      <c r="BQ1611" cm="1">
        <f t="array" ref="BQ1611">IFERROR(INDEX(hd_cap,MATCH(BT1611,hd_mark,0),0),0)</f>
        <v>0</v>
      </c>
      <c r="BS1611" s="19"/>
      <c r="BT1611" s="19"/>
      <c r="BU1611" s="100"/>
    </row>
    <row r="1612" x14ac:dyDescent="0.25">
      <c r="P1612" s="93"/>
      <c r="Q1612" s="111">
        <f>$R$1570</f>
        <v>0</v>
      </c>
      <c r="R1612" t="str">
        <f>$Q$1560</f>
        <v>L5</v>
      </c>
      <c r="S1612">
        <f>$E$24</f>
        <v>0</v>
      </c>
      <c r="T1612" cm="1">
        <f t="array" ref="T1612">IFERROR(IF(S1612=0,0,(INDEX($C$33:$C$38,MATCH($W$1570,$B$33:$B$38,0),0)*(S1613+$X$1570)+$T$1570*COUNTIF(S1612:S1612,"&gt;0")*$C$32+$V$1570*$C$31)*$R$1570),0)</f>
        <v>0</v>
      </c>
      <c r="U1612">
        <f>IF(S1612=0,0,-(COUNTIF(S1612:S1612,"&gt;0")*$T$1570*$C$32+$V$1570*$C$31)*$H$27*$R$1570)</f>
        <v>0</v>
      </c>
      <c r="V1612">
        <f>IF(S1612=0,0,$V$1570*$H$26*$R$1570)</f>
        <v>0</v>
      </c>
      <c r="W1612">
        <f>(0.6*T1612+0.7*U1612)*$R$1570/2</f>
        <v>0</v>
      </c>
      <c r="X1612">
        <f>T1612*$R$1570/2</f>
        <v>0</v>
      </c>
      <c r="Z1612">
        <f>IF(S1612=0,0,$AD$1570*$AP$1560)</f>
        <v>0</v>
      </c>
      <c r="AA1612">
        <f>IFERROR(Z1612/$R$1570,0)</f>
        <v>0</v>
      </c>
      <c r="AB1612">
        <f>Z1612*($F$24+IF($F$24=0,0,($C$14+$C$15+IF($C$13="single",1.5,3)+3)/12))</f>
        <v>0</v>
      </c>
      <c r="AC1612">
        <f>AB1612-W1612</f>
        <v>0</v>
      </c>
      <c r="AD1612" cm="1">
        <f t="array" ref="AD1612">IFERROR(IF(AC1612&lt;0,0,AC1612/($R$1570-INDEX(hd_off,MATCH(AQ1612,hd_mark,0),0)/12)),0)</f>
        <v>0</v>
      </c>
      <c r="AE1612">
        <f>IF(S1612=0,0,$AD$1570*$AM$1560)</f>
        <v>0</v>
      </c>
      <c r="AF1612">
        <f>IFERROR(AE1612/$R$1570,0)</f>
        <v>0</v>
      </c>
      <c r="AG1612">
        <f>AE1612*($F$24+IF($F$24=0,0,($C$14+$C$15+IF($C$13="single",1.5,3)+3)/12))</f>
        <v>0</v>
      </c>
      <c r="AH1612">
        <f>AG1612-X1612</f>
        <v>0</v>
      </c>
      <c r="AI1612" cm="1">
        <f t="array" ref="AI1612">IFERROR(IF(AH1612&lt;0,0,AH1612/($R$1570-INDEX(hd_off,MATCH(AQ1612,hd_mark,0),0)/12)),0)</f>
        <v>0</v>
      </c>
      <c r="AJ1612">
        <f>MAX($F$24,$AB$1570)/$Q$1588</f>
        <v>0</v>
      </c>
      <c r="AK1612">
        <f t="shared" si="1002"/>
        <v>0</v>
      </c>
      <c r="AL1612" cm="1">
        <f t="array" ref="AL1612">IFERROR(INDEX(sheath_ecap_asd,MATCH(AP1612,sheath_mark,0),0)*AK1612,0)</f>
        <v>0</v>
      </c>
      <c r="AM1612" cm="1">
        <f t="array" ref="AM1612">IFERROR(INDEX(sheath_wcap_asd,MATCH(AP1612,sheath_mark,0),0)*AK1612,0)</f>
        <v>0</v>
      </c>
      <c r="AN1612" cm="1">
        <f t="array" ref="AN1612">IFERROR(INDEX(hd_cap,MATCH(AQ1612,hd_mark,0),0),0)</f>
        <v>0</v>
      </c>
      <c r="AP1612" s="19"/>
      <c r="AQ1612" s="19"/>
      <c r="AR1612" s="100"/>
      <c r="AS1612" s="93"/>
      <c r="AT1612" s="111">
        <f>$R$1570</f>
        <v>0</v>
      </c>
      <c r="AU1612" t="str">
        <f>$Q$1560</f>
        <v>L5</v>
      </c>
      <c r="AV1612">
        <f>$E$24</f>
        <v>0</v>
      </c>
      <c r="AW1612" cm="1">
        <f t="array" ref="AW1612">IFERROR(IF(AV1612=0,0,(INDEX($C$33:$C$38,MATCH($AZ$1570,$B$33:$B$38,0),0)*(AV1613+$BA$1570)+$AW$1570*COUNTIF(AV1612:AV1612,"&gt;0")*$C$32+$AY$1570*$C$31)*$AU$1570),0)</f>
        <v>0</v>
      </c>
      <c r="AX1612">
        <f>IF(AV1612=0,0,-(COUNTIF(AV1612:AV1612,"&gt;0")*$AW$1570*$C$32+$AY$1570*$C$31)*$H$27*$AU$1570)</f>
        <v>0</v>
      </c>
      <c r="AY1612">
        <f>IF(AV1612=0,0,$AY$1570*$H$26*$AU$1570)</f>
        <v>0</v>
      </c>
      <c r="AZ1612">
        <f>(0.6*AW1612+0.7*AX1612)*$AU$1570/2</f>
        <v>0</v>
      </c>
      <c r="BA1612">
        <f>AW1612*$AU$1570/2</f>
        <v>0</v>
      </c>
      <c r="BC1612">
        <f>IF(AV1612=0,0,$BG$1570*$AP$1560)</f>
        <v>0</v>
      </c>
      <c r="BD1612">
        <f>IFERROR(BC1612/$AU$1570,0)</f>
        <v>0</v>
      </c>
      <c r="BE1612">
        <f>BC1612*($F$24+IF($F$24=0,0,($C$14+$C$15+IF($C$13="single",1.5,3)+3)/12))</f>
        <v>0</v>
      </c>
      <c r="BF1612">
        <f>BE1612-AZ1612</f>
        <v>0</v>
      </c>
      <c r="BG1612" cm="1">
        <f t="array" ref="BG1612">IFERROR(IF(BF1612&lt;0,0,BF1612/($AU$1570-INDEX(hd_off,MATCH(BT1612,hd_mark,0),0)/12)),0)</f>
        <v>0</v>
      </c>
      <c r="BH1612">
        <f>IF(AV1612=0,0,$BG$1570*$AM$1560)</f>
        <v>0</v>
      </c>
      <c r="BI1612">
        <f>IFERROR(BH1612/$AU$1570,0)</f>
        <v>0</v>
      </c>
      <c r="BJ1612">
        <f>BH1612*($F$24+IF($F$24=0,0,($C$14+$C$15+IF($C$13="single",1.5,3)+3)/12))</f>
        <v>0</v>
      </c>
      <c r="BK1612">
        <f>BJ1612-BA1612</f>
        <v>0</v>
      </c>
      <c r="BL1612" cm="1">
        <f t="array" ref="BL1612">IFERROR(IF(BK1612&lt;0,0,BK1612/($AU$1570-INDEX(hd_off,MATCH(BT1612,hd_mark,0),0)/12)),0)</f>
        <v>0</v>
      </c>
      <c r="BM1612">
        <f>MAX($F$24,$BE$1570)/$Q$1588</f>
        <v>0</v>
      </c>
      <c r="BN1612">
        <f t="shared" si="1003"/>
        <v>0</v>
      </c>
      <c r="BO1612" cm="1">
        <f t="array" ref="BO1612">IFERROR(INDEX(sheath_ecap_asd,MATCH(BS1612,sheath_mark,0),0)*BN1612,0)</f>
        <v>0</v>
      </c>
      <c r="BP1612" cm="1">
        <f t="array" ref="BP1612">IFERROR(INDEX(sheath_wcap_asd,MATCH(BS1612,sheath_mark,0),0)*BN1612,0)</f>
        <v>0</v>
      </c>
      <c r="BQ1612" cm="1">
        <f t="array" ref="BQ1612">IFERROR(INDEX(hd_cap,MATCH(BT1612,hd_mark,0),0),0)</f>
        <v>0</v>
      </c>
      <c r="BS1612" s="19"/>
      <c r="BT1612" s="19"/>
      <c r="BU1612" s="100"/>
    </row>
    <row r="1613" x14ac:dyDescent="0.25">
      <c r="P1613" s="93"/>
      <c r="Q1613" s="109"/>
      <c r="R1613" t="str">
        <f>$Q$1561</f>
        <v>Roof</v>
      </c>
      <c r="S1613">
        <f>$E$25</f>
        <v>33.171875</v>
      </c>
      <c r="T1613" cm="1">
        <f t="array" ref="T1613">IFERROR(IF(S1613=0,0,(INDEX($C$33:$C$38,MATCH($W$1570,$B$33:$B$38,0),0)*(S1613+$X$1570)+$V$1570*$C$31)*$R$1570),0)</f>
        <v>0</v>
      </c>
      <c r="U1613">
        <f>IF(S1613=0,0,-$V$1570*$C$31*$H$27*$R$1570)</f>
        <v>0</v>
      </c>
      <c r="V1613">
        <f>IF(S1613=0,0,$V$1570*$H$26*$R$1570)</f>
        <v>0</v>
      </c>
      <c r="W1613">
        <f>(0.6*T1613+0.7*U1613)*$R$1570/2</f>
        <v>0</v>
      </c>
      <c r="X1613">
        <f>T1613*$R$1570/2</f>
        <v>0</v>
      </c>
      <c r="Z1613">
        <f>IF(S1613=0,0,$AD$1570*$AP$1561)</f>
        <v>0</v>
      </c>
      <c r="AA1613">
        <f>IFERROR(Z1613/$R$1570,0)</f>
        <v>0</v>
      </c>
      <c r="AB1613">
        <f>Z1613*($F$25+($C$16+$C$17+IF($C$13="single",1.5,3)+3)/12)</f>
        <v>0</v>
      </c>
      <c r="AC1613">
        <f>AB1613-W1613</f>
        <v>0</v>
      </c>
      <c r="AD1613" cm="1">
        <f t="array" ref="AD1613">IFERROR(IF(AC1613&lt;0,0,AC1613/($R$1570-INDEX(hd_off,MATCH(AQ1613,hd_mark,0),0)/12)),0)</f>
        <v>0</v>
      </c>
      <c r="AE1613">
        <f>IF(S1613=0,0,$AD$1570*$AM$1561)</f>
        <v>0</v>
      </c>
      <c r="AF1613">
        <f>IFERROR(AE1613/$R$1570,0)</f>
        <v>0</v>
      </c>
      <c r="AG1613">
        <f>AE1613*($F$25+($C$16+$C$17+IF($C$13="single",1.5,3)+3)/12)</f>
        <v>0</v>
      </c>
      <c r="AH1613">
        <f>AG1613-X1613</f>
        <v>0</v>
      </c>
      <c r="AI1613" cm="1">
        <f t="array" ref="AI1613">IFERROR(IF(AH1613&lt;0,0,AH1613/($R$1570-INDEX(hd_off,MATCH(AQ1613,hd_mark,0),0)/12)),0)</f>
        <v>0</v>
      </c>
      <c r="AJ1613">
        <f>MAX($F$25,$AC$1570)/$Q$1588</f>
        <v>0.29920977011494249</v>
      </c>
      <c r="AK1613">
        <f t="shared" si="1002"/>
        <v>1</v>
      </c>
      <c r="AL1613" cm="1">
        <f t="array" ref="AL1613">IFERROR(INDEX(sheath_ecap_asd,MATCH(AP1613,sheath_mark,0),0)*AK1613,0)</f>
        <v>0</v>
      </c>
      <c r="AM1613" cm="1">
        <f t="array" ref="AM1613">IFERROR(INDEX(sheath_wcap_asd,MATCH(AP1613,sheath_mark,0),0)*AK1613,0)</f>
        <v>0</v>
      </c>
      <c r="AN1613" cm="1">
        <f t="array" ref="AN1613">IFERROR(INDEX(hd_cap,MATCH(AQ1613,hd_mark,0),0),0)</f>
        <v>0</v>
      </c>
      <c r="AP1613" s="19"/>
      <c r="AQ1613" s="19"/>
      <c r="AR1613" s="100"/>
      <c r="AS1613" s="93"/>
      <c r="AT1613" s="109"/>
      <c r="AU1613" t="str">
        <f>$Q$1561</f>
        <v>Roof</v>
      </c>
      <c r="AV1613">
        <f>$E$25</f>
        <v>33.171875</v>
      </c>
      <c r="AW1613" cm="1">
        <f t="array" ref="AW1613">IFERROR(IF(AV1613=0,0,(INDEX($C$33:$C$38,MATCH($AZ$1570,$B$33:$B$38,0),0)*(AV1613+$BA$1570)+$AY$1570*$C$31)*$AU$1570),0)</f>
        <v>0</v>
      </c>
      <c r="AX1613">
        <f>IF(AV1613=0,0,-$AY$1570*$C$31*$H$27*$AU$1570)</f>
        <v>0</v>
      </c>
      <c r="AY1613">
        <f>IF(AV1613=0,0,$AY$1570*$H$26*$AU$1570)</f>
        <v>0</v>
      </c>
      <c r="AZ1613">
        <f>(0.6*AW1613+0.7*AX1613)*$AU$1570/2</f>
        <v>0</v>
      </c>
      <c r="BA1613">
        <f>AW1613*$AU$1570/2</f>
        <v>0</v>
      </c>
      <c r="BC1613">
        <f>IF(AV1613=0,0,$BG$1570*$AP$1561)</f>
        <v>0</v>
      </c>
      <c r="BD1613">
        <f>IFERROR(BC1613/$AU$1570,0)</f>
        <v>0</v>
      </c>
      <c r="BE1613">
        <f>BC1613*($F$25+($C$16+$C$17+IF($C$13="single",1.5,3)+3)/12)</f>
        <v>0</v>
      </c>
      <c r="BF1613">
        <f>BE1613-AZ1613</f>
        <v>0</v>
      </c>
      <c r="BG1613" cm="1">
        <f t="array" ref="BG1613">IFERROR(IF(BF1613&lt;0,0,BF1613/($AU$1570-INDEX(hd_off,MATCH(BT1613,hd_mark,0),0)/12)),0)</f>
        <v>0</v>
      </c>
      <c r="BH1613">
        <f>IF(AV1613=0,0,$BG$1570*$AM$1561)</f>
        <v>0</v>
      </c>
      <c r="BI1613">
        <f>IFERROR(BH1613/$AU$1570,0)</f>
        <v>0</v>
      </c>
      <c r="BJ1613">
        <f>BH1613*($F$25+($C$16+$C$17+IF($C$13="single",1.5,3)+3)/12)</f>
        <v>0</v>
      </c>
      <c r="BK1613">
        <f>BJ1613-BA1613</f>
        <v>0</v>
      </c>
      <c r="BL1613" cm="1">
        <f t="array" ref="BL1613">IFERROR(IF(BK1613&lt;0,0,BK1613/($AU$1570-INDEX(hd_off,MATCH(BT1613,hd_mark,0),0)/12)),0)</f>
        <v>0</v>
      </c>
      <c r="BM1613">
        <f>MAX($F$25,$BF$1570)/$Q$1588</f>
        <v>0.29920977011494249</v>
      </c>
      <c r="BN1613">
        <f t="shared" si="1003"/>
        <v>1</v>
      </c>
      <c r="BO1613" cm="1">
        <f t="array" ref="BO1613">IFERROR(INDEX(sheath_ecap_asd,MATCH(BS1613,sheath_mark,0),0)*BN1613,0)</f>
        <v>0</v>
      </c>
      <c r="BP1613" cm="1">
        <f t="array" ref="BP1613">IFERROR(INDEX(sheath_wcap_asd,MATCH(BS1613,sheath_mark,0),0)*BN1613,0)</f>
        <v>0</v>
      </c>
      <c r="BQ1613" cm="1">
        <f t="array" ref="BQ1613">IFERROR(INDEX(hd_cap,MATCH(BT1613,hd_mark,0),0),0)</f>
        <v>0</v>
      </c>
      <c r="BS1613" s="19"/>
      <c r="BT1613" s="19"/>
      <c r="BU1613" s="100"/>
    </row>
    <row r="1614" x14ac:dyDescent="0.25">
      <c r="P1614" s="93"/>
      <c r="AR1614" s="100"/>
      <c r="AS1614" s="93"/>
      <c r="BU1614" s="100"/>
    </row>
    <row r="1615" x14ac:dyDescent="0.25">
      <c r="P1615" s="93"/>
      <c r="Q1615" s="110" t="str">
        <f>$Q$1571</f>
        <v>A.06</v>
      </c>
      <c r="R1615" t="str">
        <f>$Q$1557</f>
        <v>L2</v>
      </c>
      <c r="S1615">
        <f>$E$21</f>
        <v>10.6875</v>
      </c>
      <c r="T1615" cm="1">
        <f t="array" ref="T1615">IFERROR(IF(S1615=0,0,(INDEX($C$33:$C$38,MATCH($W$1571,$B$33:$B$38,0),0)*(S1619+$X$1571)+$T$1571*COUNTIF(S1615:S1618,"&gt;0")*$C$32+$V$1571*$C$31)*$R$1571),0)</f>
        <v>0</v>
      </c>
      <c r="U1615">
        <f>IF(S1615=0,0,-(COUNTIF(S1615:S1618,"&gt;0")*$T$1571*$C$32+$V$1571*$C$31)*$H$27*$R$1571)</f>
        <v>0</v>
      </c>
      <c r="V1615">
        <f>IF(S1615=0,0,$V$1571*$H$26*$R$1571)</f>
        <v>0</v>
      </c>
      <c r="W1615">
        <f>(0.6*T1615+0.7*U1615)*$R$1571/2</f>
        <v>0</v>
      </c>
      <c r="X1615">
        <f>(0.6*T1615+0.6*V1615)*$R$1571/2</f>
        <v>0</v>
      </c>
      <c r="Z1615">
        <f>IF(S1615=0,0,$AD$1571*$AP$1557)</f>
        <v>0</v>
      </c>
      <c r="AA1615">
        <f>IFERROR(Z1615/$R$1571,0)</f>
        <v>0</v>
      </c>
      <c r="AB1615">
        <f>Z1615*($F$21+IF($F$21=0,0,($C$14+$C$15+IF($C$13="single",1.5,3)+3)/12))</f>
        <v>0</v>
      </c>
      <c r="AC1615">
        <f>AB1615-W1615</f>
        <v>0</v>
      </c>
      <c r="AD1615" cm="1">
        <f t="array" ref="AD1615">IFERROR(IF(AC1615&lt;0,0,AC1615/($R$1571-INDEX(hd_off,MATCH(AQ1615,hd_mark,0),0)/12)),0)</f>
        <v>0</v>
      </c>
      <c r="AE1615">
        <f>IF(S1615=0,0,$AD$1571*$AM$1557)</f>
        <v>0</v>
      </c>
      <c r="AF1615">
        <f>IFERROR(AE1615/$R$1571,0)</f>
        <v>0</v>
      </c>
      <c r="AG1615">
        <f>AE1615*($F$21+IF($F$21=0,0,($C$14+$C$15+IF($C$13="single",1.5,3)+3)/12))</f>
        <v>0</v>
      </c>
      <c r="AH1615">
        <f>AG1615-X1615</f>
        <v>0</v>
      </c>
      <c r="AI1615" cm="1">
        <f t="array" ref="AI1615">IFERROR(IF(AH1615&lt;0,0,AH1615/($R$1571-INDEX(hd_off,MATCH(AQ1615,hd_mark,0),0)/12)),0)</f>
        <v>0</v>
      </c>
      <c r="AJ1615">
        <f>MAX($F$21,$Y$1571)/$Q$1588</f>
        <v>0.30172413793103448</v>
      </c>
      <c r="AK1615">
        <f>IF(AJ1615=0,0,IF(AJ1615&gt;2,1.25-0.125*AJ1615,1))</f>
        <v>1</v>
      </c>
      <c r="AL1615" cm="1">
        <f t="array" ref="AL1615">IFERROR(INDEX(sheath_ecap_asd,MATCH(AP1615,sheath_mark,0),0)*AK1615,0)</f>
        <v>0</v>
      </c>
      <c r="AM1615" cm="1">
        <f t="array" ref="AM1615">IFERROR(INDEX(sheath_wcap_asd,MATCH(AP1615,sheath_mark,0),0)*AK1615,0)</f>
        <v>0</v>
      </c>
      <c r="AN1615" cm="1">
        <f t="array" ref="AN1615">IFERROR(INDEX(hd_cap,MATCH(AQ1615,hd_mark,0),0),0)</f>
        <v>0</v>
      </c>
      <c r="AP1615" s="19"/>
      <c r="AQ1615" s="19"/>
      <c r="AR1615" s="100"/>
      <c r="AS1615" s="93"/>
      <c r="AT1615" s="110" t="str">
        <f>$AT$1571</f>
        <v>1.06</v>
      </c>
      <c r="AU1615" t="str">
        <f>$Q$1557</f>
        <v>L2</v>
      </c>
      <c r="AV1615">
        <f>$E$21</f>
        <v>10.6875</v>
      </c>
      <c r="AW1615" cm="1">
        <f t="array" ref="AW1615">IFERROR(IF(AV1615=0,0,(INDEX($C$33:$C$38,MATCH($AZ$1571,$B$33:$B$38,0),0)*(AV1619+$BA$1571)+$AW$1571*COUNTIF(AV1615:AV1618,"&gt;0")*$C$32+$AY$1571*$C$31)*$AU$1571),0)</f>
        <v>0</v>
      </c>
      <c r="AX1615">
        <f>IF(AV1615=0,0,-(COUNTIF(AV1615:AV1618,"&gt;0")*$AW$1571*$C$32+$AY$1571*$C$31)*$H$27*$AU$1571)</f>
        <v>0</v>
      </c>
      <c r="AY1615">
        <f>IF(AV1615=0,0,$AY$1571*$H$26*$AU$1571)</f>
        <v>0</v>
      </c>
      <c r="AZ1615">
        <f>(0.6*AW1615+0.7*AX1615)*$AU$1571/2</f>
        <v>0</v>
      </c>
      <c r="BA1615">
        <f>(0.6*AW1615+0.6*AY1615)*$AU$1571/2</f>
        <v>0</v>
      </c>
      <c r="BC1615">
        <f>IF(AV1615=0,0,$BG$1571*$AP$1557)</f>
        <v>0</v>
      </c>
      <c r="BD1615">
        <f>IFERROR(BC1615/$AU$1571,0)</f>
        <v>0</v>
      </c>
      <c r="BE1615">
        <f>BC1615*($F$21+IF($F$21=0,0,($C$14+$C$15+IF($C$13="single",1.5,3)+3)/12))</f>
        <v>0</v>
      </c>
      <c r="BF1615">
        <f>BE1615-AZ1615</f>
        <v>0</v>
      </c>
      <c r="BG1615" cm="1">
        <f t="array" ref="BG1615">IFERROR(IF(BF1615&lt;0,0,BF1615/($AU$1571-INDEX(hd_off,MATCH(BT1615,hd_mark,0),0)/12)),0)</f>
        <v>0</v>
      </c>
      <c r="BH1615">
        <f>IF(AV1615=0,0,$BG$1571*$AM$1557)</f>
        <v>0</v>
      </c>
      <c r="BI1615">
        <f>IFERROR(BH1615/$AU$1571,0)</f>
        <v>0</v>
      </c>
      <c r="BJ1615">
        <f>BH1615*($F$21+IF($F$21=0,0,($C$14+$C$15+IF($C$13="single",1.5,3)+3)/12))</f>
        <v>0</v>
      </c>
      <c r="BK1615">
        <f>BJ1615-BA1615</f>
        <v>0</v>
      </c>
      <c r="BL1615" cm="1">
        <f t="array" ref="BL1615">IFERROR(IF(BK1615&lt;0,0,BK1615/($AU$1571-INDEX(hd_off,MATCH(BT1615,hd_mark,0),0)/12)),0)</f>
        <v>0</v>
      </c>
      <c r="BM1615">
        <f>MAX($F$21,$BB$1571)/$Q$1588</f>
        <v>0.30172413793103448</v>
      </c>
      <c r="BN1615">
        <f>IF(BM1615=0,0,IF(BM1615&gt;2,1.25-0.125*BM1615,1))</f>
        <v>1</v>
      </c>
      <c r="BO1615" cm="1">
        <f t="array" ref="BO1615">IFERROR(INDEX(sheath_ecap_asd,MATCH(BS1615,sheath_mark,0),0)*BN1615,0)</f>
        <v>0</v>
      </c>
      <c r="BP1615" cm="1">
        <f t="array" ref="BP1615">IFERROR(INDEX(sheath_wcap_asd,MATCH(BS1615,sheath_mark,0),0)*BN1615,0)</f>
        <v>0</v>
      </c>
      <c r="BQ1615" cm="1">
        <f t="array" ref="BQ1615">IFERROR(INDEX(hd_cap,MATCH(BT1615,hd_mark,0),0),0)</f>
        <v>0</v>
      </c>
      <c r="BS1615" s="19"/>
      <c r="BT1615" s="19"/>
      <c r="BU1615" s="100"/>
    </row>
    <row r="1616" x14ac:dyDescent="0.25">
      <c r="P1616" s="93"/>
      <c r="Q1616" s="109"/>
      <c r="R1616" t="str">
        <f>$Q$1558</f>
        <v>L3</v>
      </c>
      <c r="S1616">
        <f>$E$22</f>
        <v>21.375</v>
      </c>
      <c r="T1616" cm="1">
        <f t="array" ref="T1616">IFERROR(IF(S1616=0,0,(INDEX($C$33:$C$38,MATCH($W$1571,$B$33:$B$38,0),0)*(S1619+$X$1571)+$T$1571*COUNTIF(S1616:S1618,"&gt;0")*$C$32+$V$1571*$C$31)*$R$1571),0)</f>
        <v>0</v>
      </c>
      <c r="U1616">
        <f>IF(S1616=0,0,-(COUNTIF(S1616:S1618,"&gt;0")*$T$1571*$C$32+$V$1571*$C$31)*$H$27*$R$1571)</f>
        <v>0</v>
      </c>
      <c r="V1616">
        <f>IF(S1616=0,0,$V$1571*$H$26*$R$1571)</f>
        <v>0</v>
      </c>
      <c r="W1616">
        <f>(0.6*T1616+0.7*U1616)*$R$1571/2</f>
        <v>0</v>
      </c>
      <c r="X1616">
        <f>T1616*$R$1571/2</f>
        <v>0</v>
      </c>
      <c r="Z1616">
        <f>IF(S1616=0,0,$AD$1571*$AP$1558)</f>
        <v>0</v>
      </c>
      <c r="AA1616">
        <f>IFERROR(Z1616/$R$1571,0)</f>
        <v>0</v>
      </c>
      <c r="AB1616">
        <f>Z1616*($F$22+IF($F$22=0,0,($C$14+$C$15+IF($C$13="single",1.5,3)+3)/12))</f>
        <v>0</v>
      </c>
      <c r="AC1616">
        <f>AB1616-W1616</f>
        <v>0</v>
      </c>
      <c r="AD1616" cm="1">
        <f t="array" ref="AD1616">IFERROR(IF(AC1616&lt;0,0,AC1616/($R$1571-INDEX(hd_off,MATCH(AQ1616,hd_mark,0),0)/12)),0)</f>
        <v>0</v>
      </c>
      <c r="AE1616">
        <f>IF(S1616=0,0,$AD$1571*$AM$1558)</f>
        <v>0</v>
      </c>
      <c r="AF1616">
        <f>IFERROR(AE1616/$R$1571,0)</f>
        <v>0</v>
      </c>
      <c r="AG1616">
        <f>AE1616*($F$22+IF($F$22=0,0,($C$14+$C$15+IF($C$13="single",1.5,3)+3)/12))</f>
        <v>0</v>
      </c>
      <c r="AH1616">
        <f>AG1616-X1616</f>
        <v>0</v>
      </c>
      <c r="AI1616" cm="1">
        <f t="array" ref="AI1616">IFERROR(IF(AH1616&lt;0,0,AH1616/($R$1571-INDEX(hd_off,MATCH(AQ1616,hd_mark,0),0)/12)),0)</f>
        <v>0</v>
      </c>
      <c r="AJ1616">
        <f>MAX($F$22,$Z$1571)/$Q$1588</f>
        <v>0.30172413793103448</v>
      </c>
      <c r="AK1616">
        <f t="shared" ref="AK1616:AK1619" si="1004">IF(AJ1616=0,0,IF(AJ1616&gt;2,1.25-0.125*AJ1616,1))</f>
        <v>1</v>
      </c>
      <c r="AL1616" cm="1">
        <f t="array" ref="AL1616">IFERROR(INDEX(sheath_ecap_asd,MATCH(AP1616,sheath_mark,0),0)*AK1616,0)</f>
        <v>0</v>
      </c>
      <c r="AM1616" cm="1">
        <f t="array" ref="AM1616">IFERROR(INDEX(sheath_wcap_asd,MATCH(AP1616,sheath_mark,0),0)*AK1616,0)</f>
        <v>0</v>
      </c>
      <c r="AN1616" cm="1">
        <f t="array" ref="AN1616">IFERROR(INDEX(hd_cap,MATCH(AQ1616,hd_mark,0),0),0)</f>
        <v>0</v>
      </c>
      <c r="AP1616" s="19"/>
      <c r="AQ1616" s="19"/>
      <c r="AR1616" s="100"/>
      <c r="AS1616" s="93"/>
      <c r="AT1616" s="109"/>
      <c r="AU1616" t="str">
        <f>$Q$1558</f>
        <v>L3</v>
      </c>
      <c r="AV1616">
        <f>$E$22</f>
        <v>21.375</v>
      </c>
      <c r="AW1616" cm="1">
        <f t="array" ref="AW1616">IFERROR(IF(AV1616=0,0,(INDEX($C$33:$C$38,MATCH($AZ$1571,$B$33:$B$38,0),0)*(AV1619+$BA$1571)+$AW$1571*COUNTIF(AV1616:AV1618,"&gt;0")*$C$32+$AY$1571*$C$31)*$AU$1571),0)</f>
        <v>0</v>
      </c>
      <c r="AX1616">
        <f>IF(AV1616=0,0,-(COUNTIF(AV1616:AV1618,"&gt;0")*$AW$1571*$C$32+$AY$1571*$C$31)*$H$27*$AU$1571)</f>
        <v>0</v>
      </c>
      <c r="AY1616">
        <f>IF(AV1616=0,0,$AY$1571*$H$26*$AU$1571)</f>
        <v>0</v>
      </c>
      <c r="AZ1616">
        <f>(0.6*AW1616+0.7*AX1616)*$AU$1571/2</f>
        <v>0</v>
      </c>
      <c r="BA1616">
        <f>AW1616*$AU$1571/2</f>
        <v>0</v>
      </c>
      <c r="BC1616">
        <f>IF(AV1616=0,0,$BG$1571*$AP$1558)</f>
        <v>0</v>
      </c>
      <c r="BD1616">
        <f>IFERROR(BC1616/$AU$1571,0)</f>
        <v>0</v>
      </c>
      <c r="BE1616">
        <f>BC1616*($F$22+IF($F$22=0,0,($C$14+$C$15+IF($C$13="single",1.5,3)+3)/12))</f>
        <v>0</v>
      </c>
      <c r="BF1616">
        <f>BE1616-AZ1616</f>
        <v>0</v>
      </c>
      <c r="BG1616" cm="1">
        <f t="array" ref="BG1616">IFERROR(IF(BF1616&lt;0,0,BF1616/($AU$1571-INDEX(hd_off,MATCH(BT1616,hd_mark,0),0)/12)),0)</f>
        <v>0</v>
      </c>
      <c r="BH1616">
        <f>IF(AV1616=0,0,$BG$1571*$AM$1558)</f>
        <v>0</v>
      </c>
      <c r="BI1616">
        <f>IFERROR(BH1616/$AU$1571,0)</f>
        <v>0</v>
      </c>
      <c r="BJ1616">
        <f>BH1616*($F$22+IF($F$22=0,0,($C$14+$C$15+IF($C$13="single",1.5,3)+3)/12))</f>
        <v>0</v>
      </c>
      <c r="BK1616">
        <f>BJ1616-BA1616</f>
        <v>0</v>
      </c>
      <c r="BL1616" cm="1">
        <f t="array" ref="BL1616">IFERROR(IF(BK1616&lt;0,0,BK1616/($AU$1571-INDEX(hd_off,MATCH(BT1616,hd_mark,0),0)/12)),0)</f>
        <v>0</v>
      </c>
      <c r="BM1616">
        <f>MAX($F$22,$BC$1571)/$Q$1588</f>
        <v>0.30172413793103448</v>
      </c>
      <c r="BN1616">
        <f t="shared" ref="BN1616:BN1619" si="1005">IF(BM1616=0,0,IF(BM1616&gt;2,1.25-0.125*BM1616,1))</f>
        <v>1</v>
      </c>
      <c r="BO1616" cm="1">
        <f t="array" ref="BO1616">IFERROR(INDEX(sheath_ecap_asd,MATCH(BS1616,sheath_mark,0),0)*BN1616,0)</f>
        <v>0</v>
      </c>
      <c r="BP1616" cm="1">
        <f t="array" ref="BP1616">IFERROR(INDEX(sheath_wcap_asd,MATCH(BS1616,sheath_mark,0),0)*BN1616,0)</f>
        <v>0</v>
      </c>
      <c r="BQ1616" cm="1">
        <f t="array" ref="BQ1616">IFERROR(INDEX(hd_cap,MATCH(BT1616,hd_mark,0),0),0)</f>
        <v>0</v>
      </c>
      <c r="BS1616" s="19"/>
      <c r="BT1616" s="19"/>
      <c r="BU1616" s="100"/>
    </row>
    <row r="1617" x14ac:dyDescent="0.25">
      <c r="P1617" s="93"/>
      <c r="Q1617" s="109" t="s">
        <v>491</v>
      </c>
      <c r="R1617" t="str">
        <f>$Q$1559</f>
        <v>L4</v>
      </c>
      <c r="S1617">
        <f>$E$23</f>
        <v>0</v>
      </c>
      <c r="T1617" cm="1">
        <f t="array" ref="T1617">IFERROR(IF(S1617=0,0,(INDEX($C$33:$C$38,MATCH($W$1571,$B$33:$B$38,0),0)*(S1619+$X$1571)+$T$1571*COUNTIF(S1617:S1618,"&gt;0")*$C$32+$V$1571*$C$31)*$R$1571),0)</f>
        <v>0</v>
      </c>
      <c r="U1617">
        <f>IF(S1617=0,0,-(COUNTIF(S1617:S1618,"&gt;0")*$T$1571*$C$32+$V$1571*$C$31)*$H$27*$R$1571)</f>
        <v>0</v>
      </c>
      <c r="V1617">
        <f>IF(S1617=0,0,$V$1571*$H$26*$R$1571)</f>
        <v>0</v>
      </c>
      <c r="W1617">
        <f>(0.6*T1617+0.7*U1617)*$R$1571/2</f>
        <v>0</v>
      </c>
      <c r="X1617">
        <f>T1617*$R$1571/2</f>
        <v>0</v>
      </c>
      <c r="Z1617">
        <f>IF(S1617=0,0,$AD$1571*$AP$1559)</f>
        <v>0</v>
      </c>
      <c r="AA1617">
        <f>IFERROR(Z1617/$R$1571,0)</f>
        <v>0</v>
      </c>
      <c r="AB1617">
        <f>Z1617*($F$23+IF($F$23=0,0,($C$14+$C$15+IF($C$13="single",1.5,3)+3)/12))</f>
        <v>0</v>
      </c>
      <c r="AC1617">
        <f>AB1617-W1617</f>
        <v>0</v>
      </c>
      <c r="AD1617" cm="1">
        <f t="array" ref="AD1617">IFERROR(IF(AC1617&lt;0,0,AC1617/($R$1571-INDEX(hd_off,MATCH(AQ1617,hd_mark,0),0)/12)),0)</f>
        <v>0</v>
      </c>
      <c r="AE1617">
        <f>IF(S1617=0,0,$AD$1571*$AM$1559)</f>
        <v>0</v>
      </c>
      <c r="AF1617">
        <f>IFERROR(AE1617/$R$1571,0)</f>
        <v>0</v>
      </c>
      <c r="AG1617">
        <f>AE1617*($F$23+IF($F$23=0,0,($C$14+$C$15+IF($C$13="single",1.5,3)+3)/12))</f>
        <v>0</v>
      </c>
      <c r="AH1617">
        <f>AG1617-X1617</f>
        <v>0</v>
      </c>
      <c r="AI1617" cm="1">
        <f t="array" ref="AI1617">IFERROR(IF(AH1617&lt;0,0,AH1617/($R$1571-INDEX(hd_off,MATCH(AQ1617,hd_mark,0),0)/12)),0)</f>
        <v>0</v>
      </c>
      <c r="AJ1617">
        <f>MAX($F$23,$AA$1571)/$Q$1588</f>
        <v>0</v>
      </c>
      <c r="AK1617">
        <f t="shared" si="1004"/>
        <v>0</v>
      </c>
      <c r="AL1617" cm="1">
        <f t="array" ref="AL1617">IFERROR(INDEX(sheath_ecap_asd,MATCH(AP1617,sheath_mark,0),0)*AK1617,0)</f>
        <v>0</v>
      </c>
      <c r="AM1617" cm="1">
        <f t="array" ref="AM1617">IFERROR(INDEX(sheath_wcap_asd,MATCH(AP1617,sheath_mark,0),0)*AK1617,0)</f>
        <v>0</v>
      </c>
      <c r="AN1617" cm="1">
        <f t="array" ref="AN1617">IFERROR(INDEX(hd_cap,MATCH(AQ1617,hd_mark,0),0),0)</f>
        <v>0</v>
      </c>
      <c r="AP1617" s="19"/>
      <c r="AQ1617" s="19"/>
      <c r="AR1617" s="100"/>
      <c r="AS1617" s="93"/>
      <c r="AT1617" s="109" t="s">
        <v>491</v>
      </c>
      <c r="AU1617" t="str">
        <f>$Q$1559</f>
        <v>L4</v>
      </c>
      <c r="AV1617">
        <f>$E$23</f>
        <v>0</v>
      </c>
      <c r="AW1617" cm="1">
        <f t="array" ref="AW1617">IFERROR(IF(AV1617=0,0,(INDEX($C$33:$C$38,MATCH($AZ$1571,$B$33:$B$38,0),0)*(AV1619+$BA$1571)+$AW$1571*COUNTIF(AV1617:AV1618,"&gt;0")*$C$32+$AY$1571*$C$31)*$AU$1571),0)</f>
        <v>0</v>
      </c>
      <c r="AX1617">
        <f>IF(AV1617=0,0,-(COUNTIF(AV1617:AV1618,"&gt;0")*$AW$1571*$C$32+$AY$1571*$C$31)*$H$27*$AU$1571)</f>
        <v>0</v>
      </c>
      <c r="AY1617">
        <f>IF(AV1617=0,0,$AY$1571*$H$26*$AU$1571)</f>
        <v>0</v>
      </c>
      <c r="AZ1617">
        <f>(0.6*AW1617+0.7*AX1617)*$AU$1571/2</f>
        <v>0</v>
      </c>
      <c r="BA1617">
        <f>AW1617*$AU$1571/2</f>
        <v>0</v>
      </c>
      <c r="BC1617">
        <f>IF(AV1617=0,0,$BG$1571*$AP$1559)</f>
        <v>0</v>
      </c>
      <c r="BD1617">
        <f>IFERROR(BC1617/$AU$1571,0)</f>
        <v>0</v>
      </c>
      <c r="BE1617">
        <f>BC1617*($F$23+IF($F$23=0,0,($C$14+$C$15+IF($C$13="single",1.5,3)+3)/12))</f>
        <v>0</v>
      </c>
      <c r="BF1617">
        <f>BE1617-AZ1617</f>
        <v>0</v>
      </c>
      <c r="BG1617" cm="1">
        <f t="array" ref="BG1617">IFERROR(IF(BF1617&lt;0,0,BF1617/($AU$1571-INDEX(hd_off,MATCH(BT1617,hd_mark,0),0)/12)),0)</f>
        <v>0</v>
      </c>
      <c r="BH1617">
        <f>IF(AV1617=0,0,$BG$1571*$AM$1559)</f>
        <v>0</v>
      </c>
      <c r="BI1617">
        <f>IFERROR(BH1617/$AU$1571,0)</f>
        <v>0</v>
      </c>
      <c r="BJ1617">
        <f>BH1617*($F$23+IF($F$23=0,0,($C$14+$C$15+IF($C$13="single",1.5,3)+3)/12))</f>
        <v>0</v>
      </c>
      <c r="BK1617">
        <f>BJ1617-BA1617</f>
        <v>0</v>
      </c>
      <c r="BL1617" cm="1">
        <f t="array" ref="BL1617">IFERROR(IF(BK1617&lt;0,0,BK1617/($AU$1571-INDEX(hd_off,MATCH(BT1617,hd_mark,0),0)/12)),0)</f>
        <v>0</v>
      </c>
      <c r="BM1617">
        <f>MAX($F$23,$BD$1571)/$Q$1588</f>
        <v>0</v>
      </c>
      <c r="BN1617">
        <f t="shared" si="1005"/>
        <v>0</v>
      </c>
      <c r="BO1617" cm="1">
        <f t="array" ref="BO1617">IFERROR(INDEX(sheath_ecap_asd,MATCH(BS1617,sheath_mark,0),0)*BN1617,0)</f>
        <v>0</v>
      </c>
      <c r="BP1617" cm="1">
        <f t="array" ref="BP1617">IFERROR(INDEX(sheath_wcap_asd,MATCH(BS1617,sheath_mark,0),0)*BN1617,0)</f>
        <v>0</v>
      </c>
      <c r="BQ1617" cm="1">
        <f t="array" ref="BQ1617">IFERROR(INDEX(hd_cap,MATCH(BT1617,hd_mark,0),0),0)</f>
        <v>0</v>
      </c>
      <c r="BS1617" s="19"/>
      <c r="BT1617" s="19"/>
      <c r="BU1617" s="100"/>
    </row>
    <row r="1618" x14ac:dyDescent="0.25">
      <c r="P1618" s="93"/>
      <c r="Q1618" s="111">
        <f>$R$1571</f>
        <v>0</v>
      </c>
      <c r="R1618" t="str">
        <f>$Q$1560</f>
        <v>L5</v>
      </c>
      <c r="S1618">
        <f>$E$24</f>
        <v>0</v>
      </c>
      <c r="T1618" cm="1">
        <f t="array" ref="T1618">IFERROR(IF(S1618=0,0,(INDEX($C$33:$C$38,MATCH($W$1571,$B$33:$B$38,0),0)*(S1619+$X$1571)+$T$1571*COUNTIF(S1618:S1618,"&gt;0")*$C$32+$V$1571*$C$31)*$R$1571),0)</f>
        <v>0</v>
      </c>
      <c r="U1618">
        <f>IF(S1618=0,0,-(COUNTIF(S1618:S1618,"&gt;0")*$T$1571*$C$32+$V$1571*$C$31)*$H$27*$R$1571)</f>
        <v>0</v>
      </c>
      <c r="V1618">
        <f>IF(S1618=0,0,$V$1571*$H$26*$R$1571)</f>
        <v>0</v>
      </c>
      <c r="W1618">
        <f>(0.6*T1618+0.7*U1618)*$R$1571/2</f>
        <v>0</v>
      </c>
      <c r="X1618">
        <f>T1618*$R$1571/2</f>
        <v>0</v>
      </c>
      <c r="Z1618">
        <f>IF(S1618=0,0,$AD$1571*$AP$1560)</f>
        <v>0</v>
      </c>
      <c r="AA1618">
        <f>IFERROR(Z1618/$R$1571,0)</f>
        <v>0</v>
      </c>
      <c r="AB1618">
        <f>Z1618*($F$24+IF($F$24=0,0,($C$14+$C$15+IF($C$13="single",1.5,3)+3)/12))</f>
        <v>0</v>
      </c>
      <c r="AC1618">
        <f>AB1618-W1618</f>
        <v>0</v>
      </c>
      <c r="AD1618" cm="1">
        <f t="array" ref="AD1618">IFERROR(IF(AC1618&lt;0,0,AC1618/($R$1571-INDEX(hd_off,MATCH(AQ1618,hd_mark,0),0)/12)),0)</f>
        <v>0</v>
      </c>
      <c r="AE1618">
        <f>IF(S1618=0,0,$AD$1571*$AM$1560)</f>
        <v>0</v>
      </c>
      <c r="AF1618">
        <f>IFERROR(AE1618/$R$1571,0)</f>
        <v>0</v>
      </c>
      <c r="AG1618">
        <f>AE1618*($F$24+IF($F$24=0,0,($C$14+$C$15+IF($C$13="single",1.5,3)+3)/12))</f>
        <v>0</v>
      </c>
      <c r="AH1618">
        <f>AG1618-X1618</f>
        <v>0</v>
      </c>
      <c r="AI1618" cm="1">
        <f t="array" ref="AI1618">IFERROR(IF(AH1618&lt;0,0,AH1618/($R$1571-INDEX(hd_off,MATCH(AQ1618,hd_mark,0),0)/12)),0)</f>
        <v>0</v>
      </c>
      <c r="AJ1618">
        <f>MAX($F$24,$AB$1571)/$Q$1588</f>
        <v>0</v>
      </c>
      <c r="AK1618">
        <f t="shared" si="1004"/>
        <v>0</v>
      </c>
      <c r="AL1618" cm="1">
        <f t="array" ref="AL1618">IFERROR(INDEX(sheath_ecap_asd,MATCH(AP1618,sheath_mark,0),0)*AK1618,0)</f>
        <v>0</v>
      </c>
      <c r="AM1618" cm="1">
        <f t="array" ref="AM1618">IFERROR(INDEX(sheath_wcap_asd,MATCH(AP1618,sheath_mark,0),0)*AK1618,0)</f>
        <v>0</v>
      </c>
      <c r="AN1618" cm="1">
        <f t="array" ref="AN1618">IFERROR(INDEX(hd_cap,MATCH(AQ1618,hd_mark,0),0),0)</f>
        <v>0</v>
      </c>
      <c r="AP1618" s="19"/>
      <c r="AQ1618" s="19"/>
      <c r="AR1618" s="100"/>
      <c r="AS1618" s="93"/>
      <c r="AT1618" s="111">
        <f>$R$1571</f>
        <v>0</v>
      </c>
      <c r="AU1618" t="str">
        <f>$Q$1560</f>
        <v>L5</v>
      </c>
      <c r="AV1618">
        <f>$E$24</f>
        <v>0</v>
      </c>
      <c r="AW1618" cm="1">
        <f t="array" ref="AW1618">IFERROR(IF(AV1618=0,0,(INDEX($C$33:$C$38,MATCH($AZ$1571,$B$33:$B$38,0),0)*(AV1619+$BA$1571)+$AW$1571*COUNTIF(AV1618:AV1618,"&gt;0")*$C$32+$AY$1571*$C$31)*$AU$1571),0)</f>
        <v>0</v>
      </c>
      <c r="AX1618">
        <f>IF(AV1618=0,0,-(COUNTIF(AV1618:AV1618,"&gt;0")*$AW$1571*$C$32+$AY$1571*$C$31)*$H$27*$AU$1571)</f>
        <v>0</v>
      </c>
      <c r="AY1618">
        <f>IF(AV1618=0,0,$AY$1571*$H$26*$AU$1571)</f>
        <v>0</v>
      </c>
      <c r="AZ1618">
        <f>(0.6*AW1618+0.7*AX1618)*$AU$1571/2</f>
        <v>0</v>
      </c>
      <c r="BA1618">
        <f>AW1618*$AU$1571/2</f>
        <v>0</v>
      </c>
      <c r="BC1618">
        <f>IF(AV1618=0,0,$BG$1571*$AP$1560)</f>
        <v>0</v>
      </c>
      <c r="BD1618">
        <f>IFERROR(BC1618/$AU$1571,0)</f>
        <v>0</v>
      </c>
      <c r="BE1618">
        <f>BC1618*($F$24+IF($F$24=0,0,($C$14+$C$15+IF($C$13="single",1.5,3)+3)/12))</f>
        <v>0</v>
      </c>
      <c r="BF1618">
        <f>BE1618-AZ1618</f>
        <v>0</v>
      </c>
      <c r="BG1618" cm="1">
        <f t="array" ref="BG1618">IFERROR(IF(BF1618&lt;0,0,BF1618/($AU$1571-INDEX(hd_off,MATCH(BT1618,hd_mark,0),0)/12)),0)</f>
        <v>0</v>
      </c>
      <c r="BH1618">
        <f>IF(AV1618=0,0,$BG$1571*$AM$1560)</f>
        <v>0</v>
      </c>
      <c r="BI1618">
        <f>IFERROR(BH1618/$AU$1571,0)</f>
        <v>0</v>
      </c>
      <c r="BJ1618">
        <f>BH1618*($F$24+IF($F$24=0,0,($C$14+$C$15+IF($C$13="single",1.5,3)+3)/12))</f>
        <v>0</v>
      </c>
      <c r="BK1618">
        <f>BJ1618-BA1618</f>
        <v>0</v>
      </c>
      <c r="BL1618" cm="1">
        <f t="array" ref="BL1618">IFERROR(IF(BK1618&lt;0,0,BK1618/($AU$1571-INDEX(hd_off,MATCH(BT1618,hd_mark,0),0)/12)),0)</f>
        <v>0</v>
      </c>
      <c r="BM1618">
        <f>MAX($F$24,$BE$1571)/$Q$1588</f>
        <v>0</v>
      </c>
      <c r="BN1618">
        <f t="shared" si="1005"/>
        <v>0</v>
      </c>
      <c r="BO1618" cm="1">
        <f t="array" ref="BO1618">IFERROR(INDEX(sheath_ecap_asd,MATCH(BS1618,sheath_mark,0),0)*BN1618,0)</f>
        <v>0</v>
      </c>
      <c r="BP1618" cm="1">
        <f t="array" ref="BP1618">IFERROR(INDEX(sheath_wcap_asd,MATCH(BS1618,sheath_mark,0),0)*BN1618,0)</f>
        <v>0</v>
      </c>
      <c r="BQ1618" cm="1">
        <f t="array" ref="BQ1618">IFERROR(INDEX(hd_cap,MATCH(BT1618,hd_mark,0),0),0)</f>
        <v>0</v>
      </c>
      <c r="BS1618" s="19"/>
      <c r="BT1618" s="19"/>
      <c r="BU1618" s="100"/>
    </row>
    <row r="1619" x14ac:dyDescent="0.25">
      <c r="P1619" s="93"/>
      <c r="Q1619" s="109"/>
      <c r="R1619" t="str">
        <f>$Q$1561</f>
        <v>Roof</v>
      </c>
      <c r="S1619">
        <f>$E$25</f>
        <v>33.171875</v>
      </c>
      <c r="T1619" cm="1">
        <f t="array" ref="T1619">IFERROR(IF(S1619=0,0,(INDEX($C$33:$C$38,MATCH($W$1571,$B$33:$B$38,0),0)*(S1619+$X$1571)+$V$1571*$C$31)*$R$1571),0)</f>
        <v>0</v>
      </c>
      <c r="U1619">
        <f>IF(S1619=0,0,-$V$1571*$C$31*$H$27*$R$1571)</f>
        <v>0</v>
      </c>
      <c r="V1619">
        <f>IF(S1619=0,0,$V$1571*$H$26*$R$1571)</f>
        <v>0</v>
      </c>
      <c r="W1619">
        <f>(0.6*T1619+0.7*U1619)*$R$1571/2</f>
        <v>0</v>
      </c>
      <c r="X1619">
        <f>T1619*$R$1571/2</f>
        <v>0</v>
      </c>
      <c r="Z1619">
        <f>IF(S1619=0,0,$AD$1571*$AP$1561)</f>
        <v>0</v>
      </c>
      <c r="AA1619">
        <f>IFERROR(Z1619/$R$1571,0)</f>
        <v>0</v>
      </c>
      <c r="AB1619">
        <f>Z1619*($F$25+($C$16+$C$17+IF($C$13="single",1.5,3)+3)/12)</f>
        <v>0</v>
      </c>
      <c r="AC1619">
        <f>AB1619-W1619</f>
        <v>0</v>
      </c>
      <c r="AD1619" cm="1">
        <f t="array" ref="AD1619">IFERROR(IF(AC1619&lt;0,0,AC1619/($R$1571-INDEX(hd_off,MATCH(AQ1619,hd_mark,0),0)/12)),0)</f>
        <v>0</v>
      </c>
      <c r="AE1619">
        <f>IF(S1619=0,0,$AD$1571*$AM$1561)</f>
        <v>0</v>
      </c>
      <c r="AF1619">
        <f>IFERROR(AE1619/$R$1571,0)</f>
        <v>0</v>
      </c>
      <c r="AG1619">
        <f>AE1619*($F$25+($C$16+$C$17+IF($C$13="single",1.5,3)+3)/12)</f>
        <v>0</v>
      </c>
      <c r="AH1619">
        <f>AG1619-X1619</f>
        <v>0</v>
      </c>
      <c r="AI1619" cm="1">
        <f t="array" ref="AI1619">IFERROR(IF(AH1619&lt;0,0,AH1619/($R$1571-INDEX(hd_off,MATCH(AQ1619,hd_mark,0),0)/12)),0)</f>
        <v>0</v>
      </c>
      <c r="AJ1619">
        <f>MAX($F$25,$AC$1571)/$Q$1588</f>
        <v>0.29920977011494249</v>
      </c>
      <c r="AK1619">
        <f t="shared" si="1004"/>
        <v>1</v>
      </c>
      <c r="AL1619" cm="1">
        <f t="array" ref="AL1619">IFERROR(INDEX(sheath_ecap_asd,MATCH(AP1619,sheath_mark,0),0)*AK1619,0)</f>
        <v>0</v>
      </c>
      <c r="AM1619" cm="1">
        <f t="array" ref="AM1619">IFERROR(INDEX(sheath_wcap_asd,MATCH(AP1619,sheath_mark,0),0)*AK1619,0)</f>
        <v>0</v>
      </c>
      <c r="AN1619" cm="1">
        <f t="array" ref="AN1619">IFERROR(INDEX(hd_cap,MATCH(AQ1619,hd_mark,0),0),0)</f>
        <v>0</v>
      </c>
      <c r="AP1619" s="19"/>
      <c r="AQ1619" s="19"/>
      <c r="AR1619" s="100"/>
      <c r="AS1619" s="93"/>
      <c r="AT1619" s="109"/>
      <c r="AU1619" t="str">
        <f>$Q$1561</f>
        <v>Roof</v>
      </c>
      <c r="AV1619">
        <f>$E$25</f>
        <v>33.171875</v>
      </c>
      <c r="AW1619" cm="1">
        <f t="array" ref="AW1619">IFERROR(IF(AV1619=0,0,(INDEX($C$33:$C$38,MATCH($AZ$1571,$B$33:$B$38,0),0)*(AV1619+$BA$1571)+$AY$1571*$C$31)*$AU$1571),0)</f>
        <v>0</v>
      </c>
      <c r="AX1619">
        <f>IF(AV1619=0,0,-$AY$1571*$C$31*$H$27*$AU$1571)</f>
        <v>0</v>
      </c>
      <c r="AY1619">
        <f>IF(AV1619=0,0,$AY$1571*$H$26*$AU$1571)</f>
        <v>0</v>
      </c>
      <c r="AZ1619">
        <f>(0.6*AW1619+0.7*AX1619)*$AU$1571/2</f>
        <v>0</v>
      </c>
      <c r="BA1619">
        <f>AW1619*$AU$1571/2</f>
        <v>0</v>
      </c>
      <c r="BC1619">
        <f>IF(AV1619=0,0,$BG$1571*$AP$1561)</f>
        <v>0</v>
      </c>
      <c r="BD1619">
        <f>IFERROR(BC1619/$AU$1571,0)</f>
        <v>0</v>
      </c>
      <c r="BE1619">
        <f>BC1619*($F$25+($C$16+$C$17+IF($C$13="single",1.5,3)+3)/12)</f>
        <v>0</v>
      </c>
      <c r="BF1619">
        <f>BE1619-AZ1619</f>
        <v>0</v>
      </c>
      <c r="BG1619" cm="1">
        <f t="array" ref="BG1619">IFERROR(IF(BF1619&lt;0,0,BF1619/($AU$1571-INDEX(hd_off,MATCH(BT1619,hd_mark,0),0)/12)),0)</f>
        <v>0</v>
      </c>
      <c r="BH1619">
        <f>IF(AV1619=0,0,$BG$1571*$AM$1561)</f>
        <v>0</v>
      </c>
      <c r="BI1619">
        <f>IFERROR(BH1619/$AU$1571,0)</f>
        <v>0</v>
      </c>
      <c r="BJ1619">
        <f>BH1619*($F$25+($C$16+$C$17+IF($C$13="single",1.5,3)+3)/12)</f>
        <v>0</v>
      </c>
      <c r="BK1619">
        <f>BJ1619-BA1619</f>
        <v>0</v>
      </c>
      <c r="BL1619" cm="1">
        <f t="array" ref="BL1619">IFERROR(IF(BK1619&lt;0,0,BK1619/($AU$1571-INDEX(hd_off,MATCH(BT1619,hd_mark,0),0)/12)),0)</f>
        <v>0</v>
      </c>
      <c r="BM1619">
        <f>MAX($F$25,$BF$1571)/$Q$1588</f>
        <v>0.29920977011494249</v>
      </c>
      <c r="BN1619">
        <f t="shared" si="1005"/>
        <v>1</v>
      </c>
      <c r="BO1619" cm="1">
        <f t="array" ref="BO1619">IFERROR(INDEX(sheath_ecap_asd,MATCH(BS1619,sheath_mark,0),0)*BN1619,0)</f>
        <v>0</v>
      </c>
      <c r="BP1619" cm="1">
        <f t="array" ref="BP1619">IFERROR(INDEX(sheath_wcap_asd,MATCH(BS1619,sheath_mark,0),0)*BN1619,0)</f>
        <v>0</v>
      </c>
      <c r="BQ1619" cm="1">
        <f t="array" ref="BQ1619">IFERROR(INDEX(hd_cap,MATCH(BT1619,hd_mark,0),0),0)</f>
        <v>0</v>
      </c>
      <c r="BS1619" s="19"/>
      <c r="BT1619" s="19"/>
      <c r="BU1619" s="100"/>
    </row>
    <row r="1620" x14ac:dyDescent="0.25">
      <c r="P1620" s="93"/>
      <c r="AR1620" s="100"/>
      <c r="AS1620" s="93"/>
      <c r="BU1620" s="100"/>
    </row>
    <row r="1621" x14ac:dyDescent="0.25">
      <c r="P1621" s="93"/>
      <c r="Q1621" s="110" t="str">
        <f>$Q$1572</f>
        <v>A.07</v>
      </c>
      <c r="R1621" t="str">
        <f>$Q$1557</f>
        <v>L2</v>
      </c>
      <c r="S1621">
        <f>$E$21</f>
        <v>10.6875</v>
      </c>
      <c r="T1621" cm="1">
        <f t="array" ref="T1621">IFERROR(IF(S1621=0,0,(INDEX($C$33:$C$38,MATCH($W$1572,$B$33:$B$38,0),0)*(S1625+$X$1572)+$T$1572*COUNTIF(S1621:S1624,"&gt;0")*$C$32+$V$1572*$C$31)*$R$1572),0)</f>
        <v>0</v>
      </c>
      <c r="U1621">
        <f>IF(S1621=0,0,-(COUNTIF(S1621:S1624,"&gt;0")*$T$1572*$C$32+$V$1572*$C$31)*$H$27*$R$1572)</f>
        <v>0</v>
      </c>
      <c r="V1621">
        <f>IF(S1621=0,0,$V$1572*$H$26*$R$1572)</f>
        <v>0</v>
      </c>
      <c r="W1621">
        <f>(0.6*T1621+0.7*U1621)*$R$1572/2</f>
        <v>0</v>
      </c>
      <c r="X1621">
        <f>(0.6*T1621+0.6*V1621)*$R$1572/2</f>
        <v>0</v>
      </c>
      <c r="Z1621">
        <f>IF(S1621=0,0,$AD$1572*$AP$1557)</f>
        <v>0</v>
      </c>
      <c r="AA1621">
        <f>IFERROR(Z1621/$R$1572,0)</f>
        <v>0</v>
      </c>
      <c r="AB1621">
        <f>Z1621*($F$21+IF($F$21=0,0,($C$14+$C$15+IF($C$13="single",1.5,3)+3)/12))</f>
        <v>0</v>
      </c>
      <c r="AC1621">
        <f>AB1621-W1621</f>
        <v>0</v>
      </c>
      <c r="AD1621" cm="1">
        <f t="array" ref="AD1621">IFERROR(IF(AC1621&lt;0,0,AC1621/($R$1572-INDEX(hd_off,MATCH(AQ1621,hd_mark,0),0)/12)),0)</f>
        <v>0</v>
      </c>
      <c r="AE1621">
        <f>IF(S1621=0,0,$AD$1572*$AM$1557)</f>
        <v>0</v>
      </c>
      <c r="AF1621">
        <f>IFERROR(AE1621/$R$1572,0)</f>
        <v>0</v>
      </c>
      <c r="AG1621">
        <f>AE1621*($F$21+IF($F$21=0,0,($C$14+$C$15+IF($C$13="single",1.5,3)+3)/12))</f>
        <v>0</v>
      </c>
      <c r="AH1621">
        <f>AG1621-X1621</f>
        <v>0</v>
      </c>
      <c r="AI1621" cm="1">
        <f t="array" ref="AI1621">IFERROR(IF(AH1621&lt;0,0,AH1621/($R$1572-INDEX(hd_off,MATCH(AQ1621,hd_mark,0),0)/12)),0)</f>
        <v>0</v>
      </c>
      <c r="AJ1621">
        <f>MAX($F$21,$Y$1572)/$Q$1588</f>
        <v>0.30172413793103448</v>
      </c>
      <c r="AK1621">
        <f>IF(AJ1621=0,0,IF(AJ1621&gt;2,1.25-0.125*AJ1621,1))</f>
        <v>1</v>
      </c>
      <c r="AL1621" cm="1">
        <f t="array" ref="AL1621">IFERROR(INDEX(sheath_ecap_asd,MATCH(AP1621,sheath_mark,0),0)*AK1621,0)</f>
        <v>0</v>
      </c>
      <c r="AM1621" cm="1">
        <f t="array" ref="AM1621">IFERROR(INDEX(sheath_wcap_asd,MATCH(AP1621,sheath_mark,0),0)*AK1621,0)</f>
        <v>0</v>
      </c>
      <c r="AN1621" cm="1">
        <f t="array" ref="AN1621">IFERROR(INDEX(hd_cap,MATCH(AQ1621,hd_mark,0),0),0)</f>
        <v>0</v>
      </c>
      <c r="AP1621" s="19"/>
      <c r="AQ1621" s="19"/>
      <c r="AR1621" s="100"/>
      <c r="AS1621" s="93"/>
      <c r="AT1621" s="110" t="str">
        <f>$AT$1572</f>
        <v>1.07</v>
      </c>
      <c r="AU1621" t="str">
        <f>$Q$1557</f>
        <v>L2</v>
      </c>
      <c r="AV1621">
        <f>$E$21</f>
        <v>10.6875</v>
      </c>
      <c r="AW1621" cm="1">
        <f t="array" ref="AW1621">IFERROR(IF(AV1621=0,0,(INDEX($C$33:$C$38,MATCH($AZ$1572,$B$33:$B$38,0),0)*(AV1625+$BA$1572)+$AW$1572*COUNTIF(AV1621:AV1624,"&gt;0")*$C$32+$AY$1572*$C$31)*$AU$1572),0)</f>
        <v>0</v>
      </c>
      <c r="AX1621">
        <f>IF(AV1621=0,0,-(COUNTIF(AV1621:AV1624,"&gt;0")*$AW$1572*$C$32+$AY$1572*$C$31)*$H$27*$AU$1572)</f>
        <v>0</v>
      </c>
      <c r="AY1621">
        <f>IF(AV1621=0,0,$AY$1572*$H$26*$AU$1572)</f>
        <v>0</v>
      </c>
      <c r="AZ1621">
        <f>(0.6*AW1621+0.7*AX1621)*$AU$1572/2</f>
        <v>0</v>
      </c>
      <c r="BA1621">
        <f>(0.6*AW1621+0.6*AY1621)*$AU$1572/2</f>
        <v>0</v>
      </c>
      <c r="BC1621">
        <f>IF(AV1621=0,0,$BG$1572*$AP$1557)</f>
        <v>0</v>
      </c>
      <c r="BD1621">
        <f>IFERROR(BC1621/$AU$1572,0)</f>
        <v>0</v>
      </c>
      <c r="BE1621">
        <f>BC1621*($F$21+IF($F$21=0,0,($C$14+$C$15+IF($C$13="single",1.5,3)+3)/12))</f>
        <v>0</v>
      </c>
      <c r="BF1621">
        <f>BE1621-AZ1621</f>
        <v>0</v>
      </c>
      <c r="BG1621" cm="1">
        <f t="array" ref="BG1621">IFERROR(IF(BF1621&lt;0,0,BF1621/($AU$1572-INDEX(hd_off,MATCH(BT1621,hd_mark,0),0)/12)),0)</f>
        <v>0</v>
      </c>
      <c r="BH1621">
        <f>IF(AV1621=0,0,$BG$1572*$AM$1557)</f>
        <v>0</v>
      </c>
      <c r="BI1621">
        <f>IFERROR(BH1621/$AU$1572,0)</f>
        <v>0</v>
      </c>
      <c r="BJ1621">
        <f>BH1621*($F$21+IF($F$21=0,0,($C$14+$C$15+IF($C$13="single",1.5,3)+3)/12))</f>
        <v>0</v>
      </c>
      <c r="BK1621">
        <f>BJ1621-BA1621</f>
        <v>0</v>
      </c>
      <c r="BL1621" cm="1">
        <f t="array" ref="BL1621">IFERROR(IF(BK1621&lt;0,0,BK1621/($AU$1572-INDEX(hd_off,MATCH(BT1621,hd_mark,0),0)/12)),0)</f>
        <v>0</v>
      </c>
      <c r="BM1621">
        <f>MAX($F$21,$BB$1572)/$Q$1588</f>
        <v>0.30172413793103448</v>
      </c>
      <c r="BN1621">
        <f>IF(BM1621=0,0,IF(BM1621&gt;2,1.25-0.125*BM1621,1))</f>
        <v>1</v>
      </c>
      <c r="BO1621" cm="1">
        <f t="array" ref="BO1621">IFERROR(INDEX(sheath_ecap_asd,MATCH(BS1621,sheath_mark,0),0)*BN1621,0)</f>
        <v>0</v>
      </c>
      <c r="BP1621" cm="1">
        <f t="array" ref="BP1621">IFERROR(INDEX(sheath_wcap_asd,MATCH(BS1621,sheath_mark,0),0)*BN1621,0)</f>
        <v>0</v>
      </c>
      <c r="BQ1621" cm="1">
        <f t="array" ref="BQ1621">IFERROR(INDEX(hd_cap,MATCH(BT1621,hd_mark,0),0),0)</f>
        <v>0</v>
      </c>
      <c r="BS1621" s="19"/>
      <c r="BT1621" s="19"/>
      <c r="BU1621" s="100"/>
    </row>
    <row r="1622" x14ac:dyDescent="0.25">
      <c r="P1622" s="93"/>
      <c r="Q1622" s="109"/>
      <c r="R1622" t="str">
        <f>$Q$1558</f>
        <v>L3</v>
      </c>
      <c r="S1622">
        <f>$E$22</f>
        <v>21.375</v>
      </c>
      <c r="T1622" cm="1">
        <f t="array" ref="T1622">IFERROR(IF(S1622=0,0,(INDEX($C$33:$C$38,MATCH($W$1572,$B$33:$B$38,0),0)*(S1625+$X$1572)+$T$1572*COUNTIF(S1622:S1624,"&gt;0")*$C$32+$V$1572*$C$31)*$R$1572),0)</f>
        <v>0</v>
      </c>
      <c r="U1622">
        <f>IF(S1622=0,0,-(COUNTIF(S1622:S1624,"&gt;0")*$T$1572*$C$32+$V$1572*$C$31)*$H$27*$R$1572)</f>
        <v>0</v>
      </c>
      <c r="V1622">
        <f>IF(S1622=0,0,$V$1572*$H$26*$R$1572)</f>
        <v>0</v>
      </c>
      <c r="W1622">
        <f>(0.6*T1622+0.7*U1622)*$R$1572/2</f>
        <v>0</v>
      </c>
      <c r="X1622">
        <f>T1622*$R$1572/2</f>
        <v>0</v>
      </c>
      <c r="Z1622">
        <f>IF(S1622=0,0,$AD$1572*$AP$1558)</f>
        <v>0</v>
      </c>
      <c r="AA1622">
        <f>IFERROR(Z1622/$R$1572,0)</f>
        <v>0</v>
      </c>
      <c r="AB1622">
        <f>Z1622*($F$22+IF($F$22=0,0,($C$14+$C$15+IF($C$13="single",1.5,3)+3)/12))</f>
        <v>0</v>
      </c>
      <c r="AC1622">
        <f>AB1622-W1622</f>
        <v>0</v>
      </c>
      <c r="AD1622" cm="1">
        <f t="array" ref="AD1622">IFERROR(IF(AC1622&lt;0,0,AC1622/($R$1572-INDEX(hd_off,MATCH(AQ1622,hd_mark,0),0)/12)),0)</f>
        <v>0</v>
      </c>
      <c r="AE1622">
        <f>IF(S1622=0,0,$AD$1572*$AM$1558)</f>
        <v>0</v>
      </c>
      <c r="AF1622">
        <f>IFERROR(AE1622/$R$1572,0)</f>
        <v>0</v>
      </c>
      <c r="AG1622">
        <f>AE1622*($F$22+IF($F$22=0,0,($C$14+$C$15+IF($C$13="single",1.5,3)+3)/12))</f>
        <v>0</v>
      </c>
      <c r="AH1622">
        <f>AG1622-X1622</f>
        <v>0</v>
      </c>
      <c r="AI1622" cm="1">
        <f t="array" ref="AI1622">IFERROR(IF(AH1622&lt;0,0,AH1622/($R$1572-INDEX(hd_off,MATCH(AQ1622,hd_mark,0),0)/12)),0)</f>
        <v>0</v>
      </c>
      <c r="AJ1622">
        <f>MAX($F$22,$Z$1572)/$Q$1588</f>
        <v>0.30172413793103448</v>
      </c>
      <c r="AK1622">
        <f t="shared" ref="AK1622:AK1625" si="1006">IF(AJ1622=0,0,IF(AJ1622&gt;2,1.25-0.125*AJ1622,1))</f>
        <v>1</v>
      </c>
      <c r="AL1622" cm="1">
        <f t="array" ref="AL1622">IFERROR(INDEX(sheath_ecap_asd,MATCH(AP1622,sheath_mark,0),0)*AK1622,0)</f>
        <v>0</v>
      </c>
      <c r="AM1622" cm="1">
        <f t="array" ref="AM1622">IFERROR(INDEX(sheath_wcap_asd,MATCH(AP1622,sheath_mark,0),0)*AK1622,0)</f>
        <v>0</v>
      </c>
      <c r="AN1622" cm="1">
        <f t="array" ref="AN1622">IFERROR(INDEX(hd_cap,MATCH(AQ1622,hd_mark,0),0),0)</f>
        <v>0</v>
      </c>
      <c r="AP1622" s="19"/>
      <c r="AQ1622" s="19"/>
      <c r="AR1622" s="100"/>
      <c r="AS1622" s="93"/>
      <c r="AT1622" s="109"/>
      <c r="AU1622" t="str">
        <f>$Q$1558</f>
        <v>L3</v>
      </c>
      <c r="AV1622">
        <f>$E$22</f>
        <v>21.375</v>
      </c>
      <c r="AW1622" cm="1">
        <f t="array" ref="AW1622">IFERROR(IF(AV1622=0,0,(INDEX($C$33:$C$38,MATCH($AZ$1572,$B$33:$B$38,0),0)*(AV1625+$BA$1572)+$AW$1572*COUNTIF(AV1622:AV1624,"&gt;0")*$C$32+$AY$1572*$C$31)*$AU$1572),0)</f>
        <v>0</v>
      </c>
      <c r="AX1622">
        <f>IF(AV1622=0,0,-(COUNTIF(AV1622:AV1624,"&gt;0")*$AW$1572*$C$32+$AY$1572*$C$31)*$H$27*$AU$1572)</f>
        <v>0</v>
      </c>
      <c r="AY1622">
        <f>IF(AV1622=0,0,$AY$1572*$H$26*$AU$1572)</f>
        <v>0</v>
      </c>
      <c r="AZ1622">
        <f>(0.6*AW1622+0.7*AX1622)*$AU$1572/2</f>
        <v>0</v>
      </c>
      <c r="BA1622">
        <f>AW1622*$AU$1572/2</f>
        <v>0</v>
      </c>
      <c r="BC1622">
        <f>IF(AV1622=0,0,$BG$1572*$AP$1558)</f>
        <v>0</v>
      </c>
      <c r="BD1622">
        <f>IFERROR(BC1622/$AU$1572,0)</f>
        <v>0</v>
      </c>
      <c r="BE1622">
        <f>BC1622*($F$22+IF($F$22=0,0,($C$14+$C$15+IF($C$13="single",1.5,3)+3)/12))</f>
        <v>0</v>
      </c>
      <c r="BF1622">
        <f>BE1622-AZ1622</f>
        <v>0</v>
      </c>
      <c r="BG1622" cm="1">
        <f t="array" ref="BG1622">IFERROR(IF(BF1622&lt;0,0,BF1622/($AU$1572-INDEX(hd_off,MATCH(BT1622,hd_mark,0),0)/12)),0)</f>
        <v>0</v>
      </c>
      <c r="BH1622">
        <f>IF(AV1622=0,0,$BG$1572*$AM$1558)</f>
        <v>0</v>
      </c>
      <c r="BI1622">
        <f>IFERROR(BH1622/$AU$1572,0)</f>
        <v>0</v>
      </c>
      <c r="BJ1622">
        <f>BH1622*($F$22+IF($F$22=0,0,($C$14+$C$15+IF($C$13="single",1.5,3)+3)/12))</f>
        <v>0</v>
      </c>
      <c r="BK1622">
        <f>BJ1622-BA1622</f>
        <v>0</v>
      </c>
      <c r="BL1622" cm="1">
        <f t="array" ref="BL1622">IFERROR(IF(BK1622&lt;0,0,BK1622/($AU$1572-INDEX(hd_off,MATCH(BT1622,hd_mark,0),0)/12)),0)</f>
        <v>0</v>
      </c>
      <c r="BM1622">
        <f>MAX($F$22,$BC$1572)/$Q$1588</f>
        <v>0.30172413793103448</v>
      </c>
      <c r="BN1622">
        <f t="shared" ref="BN1622:BN1625" si="1007">IF(BM1622=0,0,IF(BM1622&gt;2,1.25-0.125*BM1622,1))</f>
        <v>1</v>
      </c>
      <c r="BO1622" cm="1">
        <f t="array" ref="BO1622">IFERROR(INDEX(sheath_ecap_asd,MATCH(BS1622,sheath_mark,0),0)*BN1622,0)</f>
        <v>0</v>
      </c>
      <c r="BP1622" cm="1">
        <f t="array" ref="BP1622">IFERROR(INDEX(sheath_wcap_asd,MATCH(BS1622,sheath_mark,0),0)*BN1622,0)</f>
        <v>0</v>
      </c>
      <c r="BQ1622" cm="1">
        <f t="array" ref="BQ1622">IFERROR(INDEX(hd_cap,MATCH(BT1622,hd_mark,0),0),0)</f>
        <v>0</v>
      </c>
      <c r="BS1622" s="19"/>
      <c r="BT1622" s="19"/>
      <c r="BU1622" s="100"/>
    </row>
    <row r="1623" x14ac:dyDescent="0.25">
      <c r="P1623" s="93"/>
      <c r="Q1623" s="109" t="s">
        <v>491</v>
      </c>
      <c r="R1623" t="str">
        <f>$Q$1559</f>
        <v>L4</v>
      </c>
      <c r="S1623">
        <f>$E$23</f>
        <v>0</v>
      </c>
      <c r="T1623" cm="1">
        <f t="array" ref="T1623">IFERROR(IF(S1623=0,0,(INDEX($C$33:$C$38,MATCH($W$1572,$B$33:$B$38,0),0)*(S1625+$X$1572)+$T$1572*COUNTIF(S1623:S1624,"&gt;0")*$C$32+$V$1572*$C$31)*$R$1572),0)</f>
        <v>0</v>
      </c>
      <c r="U1623">
        <f>IF(S1623=0,0,-(COUNTIF(S1623:S1624,"&gt;0")*$T$1572*$C$32+$V$1572*$C$31)*$H$27*$R$1572)</f>
        <v>0</v>
      </c>
      <c r="V1623">
        <f>IF(S1623=0,0,$V$1572*$H$26*$R$1572)</f>
        <v>0</v>
      </c>
      <c r="W1623">
        <f>(0.6*T1623+0.7*U1623)*$R$1572/2</f>
        <v>0</v>
      </c>
      <c r="X1623">
        <f>T1623*$R$1572/2</f>
        <v>0</v>
      </c>
      <c r="Z1623">
        <f>IF(S1623=0,0,$AD$1572*$AP$1559)</f>
        <v>0</v>
      </c>
      <c r="AA1623">
        <f>IFERROR(Z1623/$R$1572,0)</f>
        <v>0</v>
      </c>
      <c r="AB1623">
        <f>Z1623*($F$23+IF($F$23=0,0,($C$14+$C$15+IF($C$13="single",1.5,3)+3)/12))</f>
        <v>0</v>
      </c>
      <c r="AC1623">
        <f>AB1623-W1623</f>
        <v>0</v>
      </c>
      <c r="AD1623" cm="1">
        <f t="array" ref="AD1623">IFERROR(IF(AC1623&lt;0,0,AC1623/($R$1572-INDEX(hd_off,MATCH(AQ1623,hd_mark,0),0)/12)),0)</f>
        <v>0</v>
      </c>
      <c r="AE1623">
        <f>IF(S1623=0,0,$AD$1572*$AM$1559)</f>
        <v>0</v>
      </c>
      <c r="AF1623">
        <f>IFERROR(AE1623/$R$1572,0)</f>
        <v>0</v>
      </c>
      <c r="AG1623">
        <f>AE1623*($F$23+IF($F$23=0,0,($C$14+$C$15+IF($C$13="single",1.5,3)+3)/12))</f>
        <v>0</v>
      </c>
      <c r="AH1623">
        <f>AG1623-X1623</f>
        <v>0</v>
      </c>
      <c r="AI1623" cm="1">
        <f t="array" ref="AI1623">IFERROR(IF(AH1623&lt;0,0,AH1623/($R$1572-INDEX(hd_off,MATCH(AQ1623,hd_mark,0),0)/12)),0)</f>
        <v>0</v>
      </c>
      <c r="AJ1623">
        <f>MAX($F$23,$AA$1572)/$Q$1588</f>
        <v>0</v>
      </c>
      <c r="AK1623">
        <f t="shared" si="1006"/>
        <v>0</v>
      </c>
      <c r="AL1623" cm="1">
        <f t="array" ref="AL1623">IFERROR(INDEX(sheath_ecap_asd,MATCH(AP1623,sheath_mark,0),0)*AK1623,0)</f>
        <v>0</v>
      </c>
      <c r="AM1623" cm="1">
        <f t="array" ref="AM1623">IFERROR(INDEX(sheath_wcap_asd,MATCH(AP1623,sheath_mark,0),0)*AK1623,0)</f>
        <v>0</v>
      </c>
      <c r="AN1623" cm="1">
        <f t="array" ref="AN1623">IFERROR(INDEX(hd_cap,MATCH(AQ1623,hd_mark,0),0),0)</f>
        <v>0</v>
      </c>
      <c r="AP1623" s="19"/>
      <c r="AQ1623" s="19"/>
      <c r="AR1623" s="100"/>
      <c r="AS1623" s="93"/>
      <c r="AT1623" s="109" t="s">
        <v>491</v>
      </c>
      <c r="AU1623" t="str">
        <f>$Q$1559</f>
        <v>L4</v>
      </c>
      <c r="AV1623">
        <f>$E$23</f>
        <v>0</v>
      </c>
      <c r="AW1623" cm="1">
        <f t="array" ref="AW1623">IFERROR(IF(AV1623=0,0,(INDEX($C$33:$C$38,MATCH($AZ$1572,$B$33:$B$38,0),0)*(AV1625+$BA$1572)+$AW$1572*COUNTIF(AV1623:AV1624,"&gt;0")*$C$32+$AY$1572*$C$31)*$AU$1572),0)</f>
        <v>0</v>
      </c>
      <c r="AX1623">
        <f>IF(AV1623=0,0,-(COUNTIF(AV1623:AV1624,"&gt;0")*$AW$1572*$C$32+$AY$1572*$C$31)*$H$27*$AU$1572)</f>
        <v>0</v>
      </c>
      <c r="AY1623">
        <f>IF(AV1623=0,0,$AY$1572*$H$26*$AU$1572)</f>
        <v>0</v>
      </c>
      <c r="AZ1623">
        <f>(0.6*AW1623+0.7*AX1623)*$AU$1572/2</f>
        <v>0</v>
      </c>
      <c r="BA1623">
        <f>AW1623*$AU$1572/2</f>
        <v>0</v>
      </c>
      <c r="BC1623">
        <f>IF(AV1623=0,0,$BG$1572*$AP$1559)</f>
        <v>0</v>
      </c>
      <c r="BD1623">
        <f>IFERROR(BC1623/$AU$1572,0)</f>
        <v>0</v>
      </c>
      <c r="BE1623">
        <f>BC1623*($F$23+IF($F$23=0,0,($C$14+$C$15+IF($C$13="single",1.5,3)+3)/12))</f>
        <v>0</v>
      </c>
      <c r="BF1623">
        <f>BE1623-AZ1623</f>
        <v>0</v>
      </c>
      <c r="BG1623" cm="1">
        <f t="array" ref="BG1623">IFERROR(IF(BF1623&lt;0,0,BF1623/($AU$1572-INDEX(hd_off,MATCH(BT1623,hd_mark,0),0)/12)),0)</f>
        <v>0</v>
      </c>
      <c r="BH1623">
        <f>IF(AV1623=0,0,$BG$1572*$AM$1559)</f>
        <v>0</v>
      </c>
      <c r="BI1623">
        <f>IFERROR(BH1623/$AU$1572,0)</f>
        <v>0</v>
      </c>
      <c r="BJ1623">
        <f>BH1623*($F$23+IF($F$23=0,0,($C$14+$C$15+IF($C$13="single",1.5,3)+3)/12))</f>
        <v>0</v>
      </c>
      <c r="BK1623">
        <f>BJ1623-BA1623</f>
        <v>0</v>
      </c>
      <c r="BL1623" cm="1">
        <f t="array" ref="BL1623">IFERROR(IF(BK1623&lt;0,0,BK1623/($AU$1572-INDEX(hd_off,MATCH(BT1623,hd_mark,0),0)/12)),0)</f>
        <v>0</v>
      </c>
      <c r="BM1623">
        <f>MAX($F$23,$BD$1572)/$Q$1588</f>
        <v>0</v>
      </c>
      <c r="BN1623">
        <f t="shared" si="1007"/>
        <v>0</v>
      </c>
      <c r="BO1623" cm="1">
        <f t="array" ref="BO1623">IFERROR(INDEX(sheath_ecap_asd,MATCH(BS1623,sheath_mark,0),0)*BN1623,0)</f>
        <v>0</v>
      </c>
      <c r="BP1623" cm="1">
        <f t="array" ref="BP1623">IFERROR(INDEX(sheath_wcap_asd,MATCH(BS1623,sheath_mark,0),0)*BN1623,0)</f>
        <v>0</v>
      </c>
      <c r="BQ1623" cm="1">
        <f t="array" ref="BQ1623">IFERROR(INDEX(hd_cap,MATCH(BT1623,hd_mark,0),0),0)</f>
        <v>0</v>
      </c>
      <c r="BS1623" s="19"/>
      <c r="BT1623" s="19"/>
      <c r="BU1623" s="100"/>
    </row>
    <row r="1624" x14ac:dyDescent="0.25">
      <c r="P1624" s="93"/>
      <c r="Q1624" s="111">
        <f>$R$1572</f>
        <v>0</v>
      </c>
      <c r="R1624" t="str">
        <f>$Q$1560</f>
        <v>L5</v>
      </c>
      <c r="S1624">
        <f>$E$24</f>
        <v>0</v>
      </c>
      <c r="T1624" cm="1">
        <f t="array" ref="T1624">IFERROR(IF(S1624=0,0,(INDEX($C$33:$C$38,MATCH($W$1572,$B$33:$B$38,0),0)*(S1625+$X$1572)+$T$1572*COUNTIF(S1624:S1624,"&gt;0")*$C$32+$V$1572*$C$31)*$R$1572),0)</f>
        <v>0</v>
      </c>
      <c r="U1624">
        <f>IF(S1624=0,0,-(COUNTIF(S1624:S1624,"&gt;0")*$T$1572*$C$32+$V$1572*$C$31)*$H$27*$R$1572)</f>
        <v>0</v>
      </c>
      <c r="V1624">
        <f>IF(S1624=0,0,$V$1572*$H$26*$R$1572)</f>
        <v>0</v>
      </c>
      <c r="W1624">
        <f>(0.6*T1624+0.7*U1624)*$R$1572/2</f>
        <v>0</v>
      </c>
      <c r="X1624">
        <f>T1624*$R$1572/2</f>
        <v>0</v>
      </c>
      <c r="Z1624">
        <f>IF(S1624=0,0,$AD$1572*$AP$1560)</f>
        <v>0</v>
      </c>
      <c r="AA1624">
        <f>IFERROR(Z1624/$R$1572,0)</f>
        <v>0</v>
      </c>
      <c r="AB1624">
        <f>Z1624*($F$24+IF($F$24=0,0,($C$14+$C$15+IF($C$13="single",1.5,3)+3)/12))</f>
        <v>0</v>
      </c>
      <c r="AC1624">
        <f>AB1624-W1624</f>
        <v>0</v>
      </c>
      <c r="AD1624" cm="1">
        <f t="array" ref="AD1624">IFERROR(IF(AC1624&lt;0,0,AC1624/($R$1572-INDEX(hd_off,MATCH(AQ1624,hd_mark,0),0)/12)),0)</f>
        <v>0</v>
      </c>
      <c r="AE1624">
        <f>IF(S1624=0,0,$AD$1572*$AM$1560)</f>
        <v>0</v>
      </c>
      <c r="AF1624">
        <f>IFERROR(AE1624/$R$1572,0)</f>
        <v>0</v>
      </c>
      <c r="AG1624">
        <f>AE1624*($F$24+IF($F$24=0,0,($C$14+$C$15+IF($C$13="single",1.5,3)+3)/12))</f>
        <v>0</v>
      </c>
      <c r="AH1624">
        <f>AG1624-X1624</f>
        <v>0</v>
      </c>
      <c r="AI1624" cm="1">
        <f t="array" ref="AI1624">IFERROR(IF(AH1624&lt;0,0,AH1624/($R$1572-INDEX(hd_off,MATCH(AQ1624,hd_mark,0),0)/12)),0)</f>
        <v>0</v>
      </c>
      <c r="AJ1624">
        <f>MAX($F$24,$AB$1572)/$Q$1588</f>
        <v>0</v>
      </c>
      <c r="AK1624">
        <f t="shared" si="1006"/>
        <v>0</v>
      </c>
      <c r="AL1624" cm="1">
        <f t="array" ref="AL1624">IFERROR(INDEX(sheath_ecap_asd,MATCH(AP1624,sheath_mark,0),0)*AK1624,0)</f>
        <v>0</v>
      </c>
      <c r="AM1624" cm="1">
        <f t="array" ref="AM1624">IFERROR(INDEX(sheath_wcap_asd,MATCH(AP1624,sheath_mark,0),0)*AK1624,0)</f>
        <v>0</v>
      </c>
      <c r="AN1624" cm="1">
        <f t="array" ref="AN1624">IFERROR(INDEX(hd_cap,MATCH(AQ1624,hd_mark,0),0),0)</f>
        <v>0</v>
      </c>
      <c r="AP1624" s="19"/>
      <c r="AQ1624" s="19"/>
      <c r="AR1624" s="100"/>
      <c r="AS1624" s="93"/>
      <c r="AT1624" s="111">
        <f>$R$1572</f>
        <v>0</v>
      </c>
      <c r="AU1624" t="str">
        <f>$Q$1560</f>
        <v>L5</v>
      </c>
      <c r="AV1624">
        <f>$E$24</f>
        <v>0</v>
      </c>
      <c r="AW1624" cm="1">
        <f t="array" ref="AW1624">IFERROR(IF(AV1624=0,0,(INDEX($C$33:$C$38,MATCH($AZ$1572,$B$33:$B$38,0),0)*(AV1625+$BA$1572)+$AW$1572*COUNTIF(AV1624:AV1624,"&gt;0")*$C$32+$AY$1572*$C$31)*$AU$1572),0)</f>
        <v>0</v>
      </c>
      <c r="AX1624">
        <f>IF(AV1624=0,0,-(COUNTIF(AV1624:AV1624,"&gt;0")*$AW$1572*$C$32+$AY$1572*$C$31)*$H$27*$AU$1572)</f>
        <v>0</v>
      </c>
      <c r="AY1624">
        <f>IF(AV1624=0,0,$AY$1572*$H$26*$AU$1572)</f>
        <v>0</v>
      </c>
      <c r="AZ1624">
        <f>(0.6*AW1624+0.7*AX1624)*$AU$1572/2</f>
        <v>0</v>
      </c>
      <c r="BA1624">
        <f>AW1624*$AU$1572/2</f>
        <v>0</v>
      </c>
      <c r="BC1624">
        <f>IF(AV1624=0,0,$BG$1572*$AP$1560)</f>
        <v>0</v>
      </c>
      <c r="BD1624">
        <f>IFERROR(BC1624/$AU$1572,0)</f>
        <v>0</v>
      </c>
      <c r="BE1624">
        <f>BC1624*($F$24+IF($F$24=0,0,($C$14+$C$15+IF($C$13="single",1.5,3)+3)/12))</f>
        <v>0</v>
      </c>
      <c r="BF1624">
        <f>BE1624-AZ1624</f>
        <v>0</v>
      </c>
      <c r="BG1624" cm="1">
        <f t="array" ref="BG1624">IFERROR(IF(BF1624&lt;0,0,BF1624/($AU$1572-INDEX(hd_off,MATCH(BT1624,hd_mark,0),0)/12)),0)</f>
        <v>0</v>
      </c>
      <c r="BH1624">
        <f>IF(AV1624=0,0,$BG$1572*$AM$1560)</f>
        <v>0</v>
      </c>
      <c r="BI1624">
        <f>IFERROR(BH1624/$AU$1572,0)</f>
        <v>0</v>
      </c>
      <c r="BJ1624">
        <f>BH1624*($F$24+IF($F$24=0,0,($C$14+$C$15+IF($C$13="single",1.5,3)+3)/12))</f>
        <v>0</v>
      </c>
      <c r="BK1624">
        <f>BJ1624-BA1624</f>
        <v>0</v>
      </c>
      <c r="BL1624" cm="1">
        <f t="array" ref="BL1624">IFERROR(IF(BK1624&lt;0,0,BK1624/($AU$1572-INDEX(hd_off,MATCH(BT1624,hd_mark,0),0)/12)),0)</f>
        <v>0</v>
      </c>
      <c r="BM1624">
        <f>MAX($F$24,$BE$1572)/$Q$1588</f>
        <v>0</v>
      </c>
      <c r="BN1624">
        <f t="shared" si="1007"/>
        <v>0</v>
      </c>
      <c r="BO1624" cm="1">
        <f t="array" ref="BO1624">IFERROR(INDEX(sheath_ecap_asd,MATCH(BS1624,sheath_mark,0),0)*BN1624,0)</f>
        <v>0</v>
      </c>
      <c r="BP1624" cm="1">
        <f t="array" ref="BP1624">IFERROR(INDEX(sheath_wcap_asd,MATCH(BS1624,sheath_mark,0),0)*BN1624,0)</f>
        <v>0</v>
      </c>
      <c r="BQ1624" cm="1">
        <f t="array" ref="BQ1624">IFERROR(INDEX(hd_cap,MATCH(BT1624,hd_mark,0),0),0)</f>
        <v>0</v>
      </c>
      <c r="BS1624" s="19"/>
      <c r="BT1624" s="19"/>
      <c r="BU1624" s="100"/>
    </row>
    <row r="1625" x14ac:dyDescent="0.25">
      <c r="P1625" s="93"/>
      <c r="Q1625" s="109"/>
      <c r="R1625" t="str">
        <f>$Q$1561</f>
        <v>Roof</v>
      </c>
      <c r="S1625">
        <f>$E$25</f>
        <v>33.171875</v>
      </c>
      <c r="T1625" cm="1">
        <f t="array" ref="T1625">IFERROR(IF(S1625=0,0,(INDEX($C$33:$C$38,MATCH($W$1572,$B$33:$B$38,0),0)*(S1625+$X$1572)+$V$1572*$C$31)*$R$1572),0)</f>
        <v>0</v>
      </c>
      <c r="U1625">
        <f>IF(S1625=0,0,-$V$1572*$C$31*$H$27*$R$1572)</f>
        <v>0</v>
      </c>
      <c r="V1625">
        <f>IF(S1625=0,0,$V$1572*$H$26*$R$1572)</f>
        <v>0</v>
      </c>
      <c r="W1625">
        <f>(0.6*T1625+0.7*U1625)*$R$1572/2</f>
        <v>0</v>
      </c>
      <c r="X1625">
        <f>T1625*$R$1572/2</f>
        <v>0</v>
      </c>
      <c r="Z1625">
        <f>IF(S1625=0,0,$AD$1572*$AP$1561)</f>
        <v>0</v>
      </c>
      <c r="AA1625">
        <f>IFERROR(Z1625/$R$1572,0)</f>
        <v>0</v>
      </c>
      <c r="AB1625">
        <f>Z1625*($F$25+($C$16+$C$17+IF($C$13="single",1.5,3)+3)/12)</f>
        <v>0</v>
      </c>
      <c r="AC1625">
        <f>AB1625-W1625</f>
        <v>0</v>
      </c>
      <c r="AD1625" cm="1">
        <f t="array" ref="AD1625">IFERROR(IF(AC1625&lt;0,0,AC1625/($R$1572-INDEX(hd_off,MATCH(AQ1625,hd_mark,0),0)/12)),0)</f>
        <v>0</v>
      </c>
      <c r="AE1625">
        <f>IF(S1625=0,0,$AD$1572*$AM$1561)</f>
        <v>0</v>
      </c>
      <c r="AF1625">
        <f>IFERROR(AE1625/$R$1572,0)</f>
        <v>0</v>
      </c>
      <c r="AG1625">
        <f>AE1625*($F$25+($C$16+$C$17+IF($C$13="single",1.5,3)+3)/12)</f>
        <v>0</v>
      </c>
      <c r="AH1625">
        <f>AG1625-X1625</f>
        <v>0</v>
      </c>
      <c r="AI1625" cm="1">
        <f t="array" ref="AI1625">IFERROR(IF(AH1625&lt;0,0,AH1625/($R$1572-INDEX(hd_off,MATCH(AQ1625,hd_mark,0),0)/12)),0)</f>
        <v>0</v>
      </c>
      <c r="AJ1625">
        <f>MAX($F$25,$AC$1572)/$Q$1588</f>
        <v>0.29920977011494249</v>
      </c>
      <c r="AK1625">
        <f t="shared" si="1006"/>
        <v>1</v>
      </c>
      <c r="AL1625" cm="1">
        <f t="array" ref="AL1625">IFERROR(INDEX(sheath_ecap_asd,MATCH(AP1625,sheath_mark,0),0)*AK1625,0)</f>
        <v>0</v>
      </c>
      <c r="AM1625" cm="1">
        <f t="array" ref="AM1625">IFERROR(INDEX(sheath_wcap_asd,MATCH(AP1625,sheath_mark,0),0)*AK1625,0)</f>
        <v>0</v>
      </c>
      <c r="AN1625" cm="1">
        <f t="array" ref="AN1625">IFERROR(INDEX(hd_cap,MATCH(AQ1625,hd_mark,0),0),0)</f>
        <v>0</v>
      </c>
      <c r="AP1625" s="19"/>
      <c r="AQ1625" s="19"/>
      <c r="AR1625" s="100"/>
      <c r="AS1625" s="93"/>
      <c r="AT1625" s="109"/>
      <c r="AU1625" t="str">
        <f>$Q$1561</f>
        <v>Roof</v>
      </c>
      <c r="AV1625">
        <f>$E$25</f>
        <v>33.171875</v>
      </c>
      <c r="AW1625" cm="1">
        <f t="array" ref="AW1625">IFERROR(IF(AV1625=0,0,(INDEX($C$33:$C$38,MATCH($AZ$1572,$B$33:$B$38,0),0)*(AV1625+$BA$1572)+$AY$1572*$C$31)*$AU$1572),0)</f>
        <v>0</v>
      </c>
      <c r="AX1625">
        <f>IF(AV1625=0,0,-$AY$1572*$C$31*$H$27*$AU$1572)</f>
        <v>0</v>
      </c>
      <c r="AY1625">
        <f>IF(AV1625=0,0,$AY$1572*$H$26*$AU$1572)</f>
        <v>0</v>
      </c>
      <c r="AZ1625">
        <f>(0.6*AW1625+0.7*AX1625)*$AU$1572/2</f>
        <v>0</v>
      </c>
      <c r="BA1625">
        <f>AW1625*$AU$1572/2</f>
        <v>0</v>
      </c>
      <c r="BC1625">
        <f>IF(AV1625=0,0,$BG$1572*$AP$1561)</f>
        <v>0</v>
      </c>
      <c r="BD1625">
        <f>IFERROR(BC1625/$AU$1572,0)</f>
        <v>0</v>
      </c>
      <c r="BE1625">
        <f>BC1625*($F$25+($C$16+$C$17+IF($C$13="single",1.5,3)+3)/12)</f>
        <v>0</v>
      </c>
      <c r="BF1625">
        <f>BE1625-AZ1625</f>
        <v>0</v>
      </c>
      <c r="BG1625" cm="1">
        <f t="array" ref="BG1625">IFERROR(IF(BF1625&lt;0,0,BF1625/($AU$1572-INDEX(hd_off,MATCH(BT1625,hd_mark,0),0)/12)),0)</f>
        <v>0</v>
      </c>
      <c r="BH1625">
        <f>IF(AV1625=0,0,$BG$1572*$AM$1561)</f>
        <v>0</v>
      </c>
      <c r="BI1625">
        <f>IFERROR(BH1625/$AU$1572,0)</f>
        <v>0</v>
      </c>
      <c r="BJ1625">
        <f>BH1625*($F$25+($C$16+$C$17+IF($C$13="single",1.5,3)+3)/12)</f>
        <v>0</v>
      </c>
      <c r="BK1625">
        <f>BJ1625-BA1625</f>
        <v>0</v>
      </c>
      <c r="BL1625" cm="1">
        <f t="array" ref="BL1625">IFERROR(IF(BK1625&lt;0,0,BK1625/($AU$1572-INDEX(hd_off,MATCH(BT1625,hd_mark,0),0)/12)),0)</f>
        <v>0</v>
      </c>
      <c r="BM1625">
        <f>MAX($F$25,$BF$1572)/$Q$1588</f>
        <v>0.29920977011494249</v>
      </c>
      <c r="BN1625">
        <f t="shared" si="1007"/>
        <v>1</v>
      </c>
      <c r="BO1625" cm="1">
        <f t="array" ref="BO1625">IFERROR(INDEX(sheath_ecap_asd,MATCH(BS1625,sheath_mark,0),0)*BN1625,0)</f>
        <v>0</v>
      </c>
      <c r="BP1625" cm="1">
        <f t="array" ref="BP1625">IFERROR(INDEX(sheath_wcap_asd,MATCH(BS1625,sheath_mark,0),0)*BN1625,0)</f>
        <v>0</v>
      </c>
      <c r="BQ1625" cm="1">
        <f t="array" ref="BQ1625">IFERROR(INDEX(hd_cap,MATCH(BT1625,hd_mark,0),0),0)</f>
        <v>0</v>
      </c>
      <c r="BS1625" s="19"/>
      <c r="BT1625" s="19"/>
      <c r="BU1625" s="100"/>
    </row>
    <row r="1626" x14ac:dyDescent="0.25">
      <c r="P1626" s="93"/>
      <c r="AR1626" s="100"/>
      <c r="AS1626" s="93"/>
      <c r="BU1626" s="100"/>
    </row>
    <row r="1627" x14ac:dyDescent="0.25">
      <c r="P1627" s="93"/>
      <c r="Q1627" s="110" t="str">
        <f>$Q$1573</f>
        <v>A.08</v>
      </c>
      <c r="R1627" t="str">
        <f>$Q$1557</f>
        <v>L2</v>
      </c>
      <c r="S1627">
        <f>$E$21</f>
        <v>10.6875</v>
      </c>
      <c r="T1627" cm="1">
        <f t="array" ref="T1627">IFERROR(IF(S1627=0,0,(INDEX($C$33:$C$38,MATCH($W$1573,$B$33:$B$38,0),0)*(S1631+$X$1573)+$T$1573*COUNTIF(S1627:S1630,"&gt;0")*$C$32+$V$1573*$C$31)*$R$1573),0)</f>
        <v>0</v>
      </c>
      <c r="U1627">
        <f>IF(S1627=0,0,-(COUNTIF(S1627:S1630,"&gt;0")*$T$1573*$C$32+$V$1573*$C$31)*$H$27*$R$1573)</f>
        <v>0</v>
      </c>
      <c r="V1627">
        <f>IF(S1627=0,0,$V$1573*$H$26*$R$1573)</f>
        <v>0</v>
      </c>
      <c r="W1627">
        <f>(0.6*T1627+0.7*U1627)*$R$1573/2</f>
        <v>0</v>
      </c>
      <c r="X1627">
        <f>(0.6*T1627+0.6*V1627)*$R$1573/2</f>
        <v>0</v>
      </c>
      <c r="Z1627">
        <f>IF(S1627=0,0,$AD$1573*$AP$1557)</f>
        <v>0</v>
      </c>
      <c r="AA1627">
        <f>IFERROR(Z1627/$R$1573,0)</f>
        <v>0</v>
      </c>
      <c r="AB1627">
        <f>Z1627*($F$21+IF($F$21=0,0,($C$14+$C$15+IF($C$13="single",1.5,3)+3)/12))</f>
        <v>0</v>
      </c>
      <c r="AC1627">
        <f>AB1627-W1627</f>
        <v>0</v>
      </c>
      <c r="AD1627" cm="1">
        <f t="array" ref="AD1627">IFERROR(IF(AC1627&lt;0,0,AC1627/($R$1573-INDEX(hd_off,MATCH(AQ1627,hd_mark,0),0)/12)),0)</f>
        <v>0</v>
      </c>
      <c r="AE1627">
        <f>IF(S1627=0,0,$AD$1573*$AM$1557)</f>
        <v>0</v>
      </c>
      <c r="AF1627">
        <f>IFERROR(AE1627/$R$1573,0)</f>
        <v>0</v>
      </c>
      <c r="AG1627">
        <f>AE1627*($F$21+IF($F$21=0,0,($C$14+$C$15+IF($C$13="single",1.5,3)+3)/12))</f>
        <v>0</v>
      </c>
      <c r="AH1627">
        <f>AG1627-X1627</f>
        <v>0</v>
      </c>
      <c r="AI1627" cm="1">
        <f t="array" ref="AI1627">IFERROR(IF(AH1627&lt;0,0,AH1627/($R$1573-INDEX(hd_off,MATCH(AQ1627,hd_mark,0),0)/12)),0)</f>
        <v>0</v>
      </c>
      <c r="AJ1627">
        <f>MAX($F$21,$Y$1573)/$Q$1588</f>
        <v>0.30172413793103448</v>
      </c>
      <c r="AK1627">
        <f>IF(AJ1627=0,0,IF(AJ1627&gt;2,1.25-0.125*AJ1627,1))</f>
        <v>1</v>
      </c>
      <c r="AL1627" cm="1">
        <f t="array" ref="AL1627">IFERROR(INDEX(sheath_ecap_asd,MATCH(AP1627,sheath_mark,0),0)*AK1627,0)</f>
        <v>0</v>
      </c>
      <c r="AM1627" cm="1">
        <f t="array" ref="AM1627">IFERROR(INDEX(sheath_wcap_asd,MATCH(AP1627,sheath_mark,0),0)*AK1627,0)</f>
        <v>0</v>
      </c>
      <c r="AN1627" cm="1">
        <f t="array" ref="AN1627">IFERROR(INDEX(hd_cap,MATCH(AQ1627,hd_mark,0),0),0)</f>
        <v>0</v>
      </c>
      <c r="AP1627" s="19"/>
      <c r="AQ1627" s="19"/>
      <c r="AR1627" s="100"/>
      <c r="AS1627" s="93"/>
      <c r="AT1627" s="110" t="str">
        <f>$AT$1573</f>
        <v>1.08</v>
      </c>
      <c r="AU1627" t="str">
        <f>$Q$1557</f>
        <v>L2</v>
      </c>
      <c r="AV1627">
        <f>$E$21</f>
        <v>10.6875</v>
      </c>
      <c r="AW1627" cm="1">
        <f t="array" ref="AW1627">IFERROR(IF(AV1627=0,0,(INDEX($C$33:$C$38,MATCH($AZ$1573,$B$33:$B$38,0),0)*(AV1631+$BA$1573)+$AW$1573*COUNTIF(AV1627:AV1630,"&gt;0")*$C$32+$AY$1573*$C$31)*$AU$1573),0)</f>
        <v>0</v>
      </c>
      <c r="AX1627">
        <f>IF(AV1627=0,0,-(COUNTIF(AV1627:AV1630,"&gt;0")*$AW$1573*$C$32+$AY$1573*$C$31)*$H$27*$AU$1573)</f>
        <v>0</v>
      </c>
      <c r="AY1627">
        <f>IF(AV1627=0,0,$AY$1573*$H$26*$AU$1573)</f>
        <v>0</v>
      </c>
      <c r="AZ1627">
        <f>(0.6*AW1627+0.7*AX1627)*$AU$1573/2</f>
        <v>0</v>
      </c>
      <c r="BA1627">
        <f>(0.6*AW1627+0.6*AY1627)*$AU$1573/2</f>
        <v>0</v>
      </c>
      <c r="BC1627">
        <f>IF(AV1627=0,0,$BG$1573*$AP$1557)</f>
        <v>0</v>
      </c>
      <c r="BD1627">
        <f>IFERROR(BC1627/$AU$1573,0)</f>
        <v>0</v>
      </c>
      <c r="BE1627">
        <f>BC1627*($F$21+IF($F$21=0,0,($C$14+$C$15+IF($C$13="single",1.5,3)+3)/12))</f>
        <v>0</v>
      </c>
      <c r="BF1627">
        <f>BE1627-AZ1627</f>
        <v>0</v>
      </c>
      <c r="BG1627" cm="1">
        <f t="array" ref="BG1627">IFERROR(IF(BF1627&lt;0,0,BF1627/($AU$1573-INDEX(hd_off,MATCH(BT1627,hd_mark,0),0)/12)),0)</f>
        <v>0</v>
      </c>
      <c r="BH1627">
        <f>IF(AV1627=0,0,$BG$1573*$AM$1557)</f>
        <v>0</v>
      </c>
      <c r="BI1627">
        <f>IFERROR(BH1627/$AU$1573,0)</f>
        <v>0</v>
      </c>
      <c r="BJ1627">
        <f>BH1627*($F$21+IF($F$21=0,0,($C$14+$C$15+IF($C$13="single",1.5,3)+3)/12))</f>
        <v>0</v>
      </c>
      <c r="BK1627">
        <f>BJ1627-BA1627</f>
        <v>0</v>
      </c>
      <c r="BL1627" cm="1">
        <f t="array" ref="BL1627">IFERROR(IF(BK1627&lt;0,0,BK1627/($AU$1573-INDEX(hd_off,MATCH(BT1627,hd_mark,0),0)/12)),0)</f>
        <v>0</v>
      </c>
      <c r="BM1627">
        <f>MAX($F$21,$BB$1573)/$Q$1588</f>
        <v>0.30172413793103448</v>
      </c>
      <c r="BN1627">
        <f>IF(BM1627=0,0,IF(BM1627&gt;2,1.25-0.125*BM1627,1))</f>
        <v>1</v>
      </c>
      <c r="BO1627" cm="1">
        <f t="array" ref="BO1627">IFERROR(INDEX(sheath_ecap_asd,MATCH(BS1627,sheath_mark,0),0)*BN1627,0)</f>
        <v>0</v>
      </c>
      <c r="BP1627" cm="1">
        <f t="array" ref="BP1627">IFERROR(INDEX(sheath_wcap_asd,MATCH(BS1627,sheath_mark,0),0)*BN1627,0)</f>
        <v>0</v>
      </c>
      <c r="BQ1627" cm="1">
        <f t="array" ref="BQ1627">IFERROR(INDEX(hd_cap,MATCH(BT1627,hd_mark,0),0),0)</f>
        <v>0</v>
      </c>
      <c r="BS1627" s="19"/>
      <c r="BT1627" s="19"/>
      <c r="BU1627" s="100"/>
    </row>
    <row r="1628" x14ac:dyDescent="0.25">
      <c r="P1628" s="93"/>
      <c r="Q1628" s="109"/>
      <c r="R1628" t="str">
        <f>$Q$1558</f>
        <v>L3</v>
      </c>
      <c r="S1628">
        <f>$E$22</f>
        <v>21.375</v>
      </c>
      <c r="T1628" cm="1">
        <f t="array" ref="T1628">IFERROR(IF(S1628=0,0,(INDEX($C$33:$C$38,MATCH($W$1573,$B$33:$B$38,0),0)*(S1631+$X$1573)+$T$1573*COUNTIF(S1628:S1630,"&gt;0")*$C$32+$V$1573*$C$31)*$R$1573),0)</f>
        <v>0</v>
      </c>
      <c r="U1628">
        <f>IF(S1628=0,0,-(COUNTIF(S1628:S1630,"&gt;0")*$T$1573*$C$32+$V$1573*$C$31)*$H$27*$R$1573)</f>
        <v>0</v>
      </c>
      <c r="V1628">
        <f>IF(S1628=0,0,$V$1573*$H$26*$R$1573)</f>
        <v>0</v>
      </c>
      <c r="W1628">
        <f>(0.6*T1628+0.7*U1628)*$R$1573/2</f>
        <v>0</v>
      </c>
      <c r="X1628">
        <f>T1628*$R$1573/2</f>
        <v>0</v>
      </c>
      <c r="Z1628">
        <f>IF(S1628=0,0,$AD$1573*$AP$1558)</f>
        <v>0</v>
      </c>
      <c r="AA1628">
        <f>IFERROR(Z1628/$R$1573,0)</f>
        <v>0</v>
      </c>
      <c r="AB1628">
        <f>Z1628*($F$22+IF($F$22=0,0,($C$14+$C$15+IF($C$13="single",1.5,3)+3)/12))</f>
        <v>0</v>
      </c>
      <c r="AC1628">
        <f>AB1628-W1628</f>
        <v>0</v>
      </c>
      <c r="AD1628" cm="1">
        <f t="array" ref="AD1628">IFERROR(IF(AC1628&lt;0,0,AC1628/($R$1573-INDEX(hd_off,MATCH(AQ1628,hd_mark,0),0)/12)),0)</f>
        <v>0</v>
      </c>
      <c r="AE1628">
        <f>IF(S1628=0,0,$AD$1573*$AM$1558)</f>
        <v>0</v>
      </c>
      <c r="AF1628">
        <f>IFERROR(AE1628/$R$1573,0)</f>
        <v>0</v>
      </c>
      <c r="AG1628">
        <f>AE1628*($F$22+IF($F$22=0,0,($C$14+$C$15+IF($C$13="single",1.5,3)+3)/12))</f>
        <v>0</v>
      </c>
      <c r="AH1628">
        <f>AG1628-X1628</f>
        <v>0</v>
      </c>
      <c r="AI1628" cm="1">
        <f t="array" ref="AI1628">IFERROR(IF(AH1628&lt;0,0,AH1628/($R$1573-INDEX(hd_off,MATCH(AQ1628,hd_mark,0),0)/12)),0)</f>
        <v>0</v>
      </c>
      <c r="AJ1628">
        <f>MAX($F$22,$Z$1573)/$Q$1588</f>
        <v>0.30172413793103448</v>
      </c>
      <c r="AK1628">
        <f t="shared" ref="AK1628:AK1631" si="1008">IF(AJ1628=0,0,IF(AJ1628&gt;2,1.25-0.125*AJ1628,1))</f>
        <v>1</v>
      </c>
      <c r="AL1628" cm="1">
        <f t="array" ref="AL1628">IFERROR(INDEX(sheath_ecap_asd,MATCH(AP1628,sheath_mark,0),0)*AK1628,0)</f>
        <v>0</v>
      </c>
      <c r="AM1628" cm="1">
        <f t="array" ref="AM1628">IFERROR(INDEX(sheath_wcap_asd,MATCH(AP1628,sheath_mark,0),0)*AK1628,0)</f>
        <v>0</v>
      </c>
      <c r="AN1628" cm="1">
        <f t="array" ref="AN1628">IFERROR(INDEX(hd_cap,MATCH(AQ1628,hd_mark,0),0),0)</f>
        <v>0</v>
      </c>
      <c r="AP1628" s="19"/>
      <c r="AQ1628" s="19"/>
      <c r="AR1628" s="100"/>
      <c r="AS1628" s="93"/>
      <c r="AT1628" s="109"/>
      <c r="AU1628" t="str">
        <f>$Q$1558</f>
        <v>L3</v>
      </c>
      <c r="AV1628">
        <f>$E$22</f>
        <v>21.375</v>
      </c>
      <c r="AW1628" cm="1">
        <f t="array" ref="AW1628">IFERROR(IF(AV1628=0,0,(INDEX($C$33:$C$38,MATCH($AZ$1573,$B$33:$B$38,0),0)*(AV1631+$BA$1573)+$AW$1573*COUNTIF(AV1628:AV1630,"&gt;0")*$C$32+$AY$1573*$C$31)*$AU$1573),0)</f>
        <v>0</v>
      </c>
      <c r="AX1628">
        <f>IF(AV1628=0,0,-(COUNTIF(AV1628:AV1630,"&gt;0")*$AW$1573*$C$32+$AY$1573*$C$31)*$H$27*$AU$1573)</f>
        <v>0</v>
      </c>
      <c r="AY1628">
        <f>IF(AV1628=0,0,$AY$1573*$H$26*$AU$1573)</f>
        <v>0</v>
      </c>
      <c r="AZ1628">
        <f>(0.6*AW1628+0.7*AX1628)*$AU$1573/2</f>
        <v>0</v>
      </c>
      <c r="BA1628">
        <f>AW1628*$AU$1573/2</f>
        <v>0</v>
      </c>
      <c r="BC1628">
        <f>IF(AV1628=0,0,$BG$1573*$AP$1558)</f>
        <v>0</v>
      </c>
      <c r="BD1628">
        <f>IFERROR(BC1628/$AU$1573,0)</f>
        <v>0</v>
      </c>
      <c r="BE1628">
        <f>BC1628*($F$22+IF($F$22=0,0,($C$14+$C$15+IF($C$13="single",1.5,3)+3)/12))</f>
        <v>0</v>
      </c>
      <c r="BF1628">
        <f>BE1628-AZ1628</f>
        <v>0</v>
      </c>
      <c r="BG1628" cm="1">
        <f t="array" ref="BG1628">IFERROR(IF(BF1628&lt;0,0,BF1628/($AU$1573-INDEX(hd_off,MATCH(BT1628,hd_mark,0),0)/12)),0)</f>
        <v>0</v>
      </c>
      <c r="BH1628">
        <f>IF(AV1628=0,0,$BG$1573*$AM$1558)</f>
        <v>0</v>
      </c>
      <c r="BI1628">
        <f>IFERROR(BH1628/$AU$1573,0)</f>
        <v>0</v>
      </c>
      <c r="BJ1628">
        <f>BH1628*($F$22+IF($F$22=0,0,($C$14+$C$15+IF($C$13="single",1.5,3)+3)/12))</f>
        <v>0</v>
      </c>
      <c r="BK1628">
        <f>BJ1628-BA1628</f>
        <v>0</v>
      </c>
      <c r="BL1628" cm="1">
        <f t="array" ref="BL1628">IFERROR(IF(BK1628&lt;0,0,BK1628/($AU$1573-INDEX(hd_off,MATCH(BT1628,hd_mark,0),0)/12)),0)</f>
        <v>0</v>
      </c>
      <c r="BM1628">
        <f>MAX($F$22,$BC$1573)/$Q$1588</f>
        <v>0.30172413793103448</v>
      </c>
      <c r="BN1628">
        <f t="shared" ref="BN1628:BN1631" si="1009">IF(BM1628=0,0,IF(BM1628&gt;2,1.25-0.125*BM1628,1))</f>
        <v>1</v>
      </c>
      <c r="BO1628" cm="1">
        <f t="array" ref="BO1628">IFERROR(INDEX(sheath_ecap_asd,MATCH(BS1628,sheath_mark,0),0)*BN1628,0)</f>
        <v>0</v>
      </c>
      <c r="BP1628" cm="1">
        <f t="array" ref="BP1628">IFERROR(INDEX(sheath_wcap_asd,MATCH(BS1628,sheath_mark,0),0)*BN1628,0)</f>
        <v>0</v>
      </c>
      <c r="BQ1628" cm="1">
        <f t="array" ref="BQ1628">IFERROR(INDEX(hd_cap,MATCH(BT1628,hd_mark,0),0),0)</f>
        <v>0</v>
      </c>
      <c r="BS1628" s="19"/>
      <c r="BT1628" s="19"/>
      <c r="BU1628" s="100"/>
    </row>
    <row r="1629" x14ac:dyDescent="0.25">
      <c r="P1629" s="93"/>
      <c r="Q1629" s="109" t="s">
        <v>491</v>
      </c>
      <c r="R1629" t="str">
        <f>$Q$1559</f>
        <v>L4</v>
      </c>
      <c r="S1629">
        <f>$E$23</f>
        <v>0</v>
      </c>
      <c r="T1629" cm="1">
        <f t="array" ref="T1629">IFERROR(IF(S1629=0,0,(INDEX($C$33:$C$38,MATCH($W$1573,$B$33:$B$38,0),0)*(S1631+$X$1573)+$T$1573*COUNTIF(S1629:S1630,"&gt;0")*$C$32+$V$1573*$C$31)*$R$1573),0)</f>
        <v>0</v>
      </c>
      <c r="U1629">
        <f>IF(S1629=0,0,-(COUNTIF(S1629:S1630,"&gt;0")*$T$1573*$C$32+$V$1573*$C$31)*$H$27*$R$1573)</f>
        <v>0</v>
      </c>
      <c r="V1629">
        <f>IF(S1629=0,0,$V$1573*$H$26*$R$1573)</f>
        <v>0</v>
      </c>
      <c r="W1629">
        <f>(0.6*T1629+0.7*U1629)*$R$1573/2</f>
        <v>0</v>
      </c>
      <c r="X1629">
        <f>T1629*$R$1573/2</f>
        <v>0</v>
      </c>
      <c r="Z1629">
        <f>IF(S1629=0,0,$AD$1573*$AP$1559)</f>
        <v>0</v>
      </c>
      <c r="AA1629">
        <f>IFERROR(Z1629/$R$1573,0)</f>
        <v>0</v>
      </c>
      <c r="AB1629">
        <f>Z1629*($F$23+IF($F$23=0,0,($C$14+$C$15+IF($C$13="single",1.5,3)+3)/12))</f>
        <v>0</v>
      </c>
      <c r="AC1629">
        <f>AB1629-W1629</f>
        <v>0</v>
      </c>
      <c r="AD1629" cm="1">
        <f t="array" ref="AD1629">IFERROR(IF(AC1629&lt;0,0,AC1629/($R$1573-INDEX(hd_off,MATCH(AQ1629,hd_mark,0),0)/12)),0)</f>
        <v>0</v>
      </c>
      <c r="AE1629">
        <f>IF(S1629=0,0,$AD$1573*$AM$1559)</f>
        <v>0</v>
      </c>
      <c r="AF1629">
        <f>IFERROR(AE1629/$R$1573,0)</f>
        <v>0</v>
      </c>
      <c r="AG1629">
        <f>AE1629*($F$23+IF($F$23=0,0,($C$14+$C$15+IF($C$13="single",1.5,3)+3)/12))</f>
        <v>0</v>
      </c>
      <c r="AH1629">
        <f>AG1629-X1629</f>
        <v>0</v>
      </c>
      <c r="AI1629" cm="1">
        <f t="array" ref="AI1629">IFERROR(IF(AH1629&lt;0,0,AH1629/($R$1573-INDEX(hd_off,MATCH(AQ1629,hd_mark,0),0)/12)),0)</f>
        <v>0</v>
      </c>
      <c r="AJ1629">
        <f>MAX($F$23,$AA$1573)/$Q$1588</f>
        <v>0</v>
      </c>
      <c r="AK1629">
        <f t="shared" si="1008"/>
        <v>0</v>
      </c>
      <c r="AL1629" cm="1">
        <f t="array" ref="AL1629">IFERROR(INDEX(sheath_ecap_asd,MATCH(AP1629,sheath_mark,0),0)*AK1629,0)</f>
        <v>0</v>
      </c>
      <c r="AM1629" cm="1">
        <f t="array" ref="AM1629">IFERROR(INDEX(sheath_wcap_asd,MATCH(AP1629,sheath_mark,0),0)*AK1629,0)</f>
        <v>0</v>
      </c>
      <c r="AN1629" cm="1">
        <f t="array" ref="AN1629">IFERROR(INDEX(hd_cap,MATCH(AQ1629,hd_mark,0),0),0)</f>
        <v>0</v>
      </c>
      <c r="AP1629" s="19"/>
      <c r="AQ1629" s="19"/>
      <c r="AR1629" s="100"/>
      <c r="AS1629" s="93"/>
      <c r="AT1629" s="109" t="s">
        <v>491</v>
      </c>
      <c r="AU1629" t="str">
        <f>$Q$1559</f>
        <v>L4</v>
      </c>
      <c r="AV1629">
        <f>$E$23</f>
        <v>0</v>
      </c>
      <c r="AW1629" cm="1">
        <f t="array" ref="AW1629">IFERROR(IF(AV1629=0,0,(INDEX($C$33:$C$38,MATCH($AZ$1573,$B$33:$B$38,0),0)*(AV1631+$BA$1573)+$AW$1573*COUNTIF(AV1629:AV1630,"&gt;0")*$C$32+$AY$1573*$C$31)*$AU$1573),0)</f>
        <v>0</v>
      </c>
      <c r="AX1629">
        <f>IF(AV1629=0,0,-(COUNTIF(AV1629:AV1630,"&gt;0")*$AW$1573*$C$32+$AY$1573*$C$31)*$H$27*$AU$1573)</f>
        <v>0</v>
      </c>
      <c r="AY1629">
        <f>IF(AV1629=0,0,$AY$1573*$H$26*$AU$1573)</f>
        <v>0</v>
      </c>
      <c r="AZ1629">
        <f>(0.6*AW1629+0.7*AX1629)*$AU$1573/2</f>
        <v>0</v>
      </c>
      <c r="BA1629">
        <f>AW1629*$AU$1573/2</f>
        <v>0</v>
      </c>
      <c r="BC1629">
        <f>IF(AV1629=0,0,$BG$1573*$AP$1559)</f>
        <v>0</v>
      </c>
      <c r="BD1629">
        <f>IFERROR(BC1629/$AU$1573,0)</f>
        <v>0</v>
      </c>
      <c r="BE1629">
        <f>BC1629*($F$23+IF($F$23=0,0,($C$14+$C$15+IF($C$13="single",1.5,3)+3)/12))</f>
        <v>0</v>
      </c>
      <c r="BF1629">
        <f>BE1629-AZ1629</f>
        <v>0</v>
      </c>
      <c r="BG1629" cm="1">
        <f t="array" ref="BG1629">IFERROR(IF(BF1629&lt;0,0,BF1629/($AU$1573-INDEX(hd_off,MATCH(BT1629,hd_mark,0),0)/12)),0)</f>
        <v>0</v>
      </c>
      <c r="BH1629">
        <f>IF(AV1629=0,0,$BG$1573*$AM$1559)</f>
        <v>0</v>
      </c>
      <c r="BI1629">
        <f>IFERROR(BH1629/$AU$1573,0)</f>
        <v>0</v>
      </c>
      <c r="BJ1629">
        <f>BH1629*($F$23+IF($F$23=0,0,($C$14+$C$15+IF($C$13="single",1.5,3)+3)/12))</f>
        <v>0</v>
      </c>
      <c r="BK1629">
        <f>BJ1629-BA1629</f>
        <v>0</v>
      </c>
      <c r="BL1629" cm="1">
        <f t="array" ref="BL1629">IFERROR(IF(BK1629&lt;0,0,BK1629/($AU$1573-INDEX(hd_off,MATCH(BT1629,hd_mark,0),0)/12)),0)</f>
        <v>0</v>
      </c>
      <c r="BM1629">
        <f>MAX($F$23,$BD$1573)/$Q$1588</f>
        <v>0</v>
      </c>
      <c r="BN1629">
        <f t="shared" si="1009"/>
        <v>0</v>
      </c>
      <c r="BO1629" cm="1">
        <f t="array" ref="BO1629">IFERROR(INDEX(sheath_ecap_asd,MATCH(BS1629,sheath_mark,0),0)*BN1629,0)</f>
        <v>0</v>
      </c>
      <c r="BP1629" cm="1">
        <f t="array" ref="BP1629">IFERROR(INDEX(sheath_wcap_asd,MATCH(BS1629,sheath_mark,0),0)*BN1629,0)</f>
        <v>0</v>
      </c>
      <c r="BQ1629" cm="1">
        <f t="array" ref="BQ1629">IFERROR(INDEX(hd_cap,MATCH(BT1629,hd_mark,0),0),0)</f>
        <v>0</v>
      </c>
      <c r="BS1629" s="19"/>
      <c r="BT1629" s="19"/>
      <c r="BU1629" s="100"/>
    </row>
    <row r="1630" x14ac:dyDescent="0.25">
      <c r="P1630" s="93"/>
      <c r="Q1630" s="111">
        <f>$R$1573</f>
        <v>0</v>
      </c>
      <c r="R1630" t="str">
        <f>$Q$1560</f>
        <v>L5</v>
      </c>
      <c r="S1630">
        <f>$E$24</f>
        <v>0</v>
      </c>
      <c r="T1630" cm="1">
        <f t="array" ref="T1630">IFERROR(IF(S1630=0,0,(INDEX($C$33:$C$38,MATCH($W$1573,$B$33:$B$38,0),0)*(S1631+$X$1573)+$T$1573*COUNTIF(S1630:S1630,"&gt;0")*$C$32+$V$1573*$C$31)*$R$1573),0)</f>
        <v>0</v>
      </c>
      <c r="U1630">
        <f>IF(S1630=0,0,-(COUNTIF(S1630:S1630,"&gt;0")*$T$1573*$C$32+$V$1573*$C$31)*$H$27*$R$1573)</f>
        <v>0</v>
      </c>
      <c r="V1630">
        <f>IF(S1630=0,0,$V$1573*$H$26*$R$1573)</f>
        <v>0</v>
      </c>
      <c r="W1630">
        <f>(0.6*T1630+0.7*U1630)*$R$1573/2</f>
        <v>0</v>
      </c>
      <c r="X1630">
        <f>T1630*$R$1573/2</f>
        <v>0</v>
      </c>
      <c r="Z1630">
        <f>IF(S1630=0,0,$AD$1573*$AP$1560)</f>
        <v>0</v>
      </c>
      <c r="AA1630">
        <f>IFERROR(Z1630/$R$1573,0)</f>
        <v>0</v>
      </c>
      <c r="AB1630">
        <f>Z1630*($F$24+IF($F$24=0,0,($C$14+$C$15+IF($C$13="single",1.5,3)+3)/12))</f>
        <v>0</v>
      </c>
      <c r="AC1630">
        <f>AB1630-W1630</f>
        <v>0</v>
      </c>
      <c r="AD1630" cm="1">
        <f t="array" ref="AD1630">IFERROR(IF(AC1630&lt;0,0,AC1630/($R$1573-INDEX(hd_off,MATCH(AQ1630,hd_mark,0),0)/12)),0)</f>
        <v>0</v>
      </c>
      <c r="AE1630">
        <f>IF(S1630=0,0,$AD$1573*$AM$1560)</f>
        <v>0</v>
      </c>
      <c r="AF1630">
        <f>IFERROR(AE1630/$R$1573,0)</f>
        <v>0</v>
      </c>
      <c r="AG1630">
        <f>AE1630*($F$24+IF($F$24=0,0,($C$14+$C$15+IF($C$13="single",1.5,3)+3)/12))</f>
        <v>0</v>
      </c>
      <c r="AH1630">
        <f>AG1630-X1630</f>
        <v>0</v>
      </c>
      <c r="AI1630" cm="1">
        <f t="array" ref="AI1630">IFERROR(IF(AH1630&lt;0,0,AH1630/($R$1573-INDEX(hd_off,MATCH(AQ1630,hd_mark,0),0)/12)),0)</f>
        <v>0</v>
      </c>
      <c r="AJ1630">
        <f>MAX($F$24,$AB$1573)/$Q$1588</f>
        <v>0</v>
      </c>
      <c r="AK1630">
        <f t="shared" si="1008"/>
        <v>0</v>
      </c>
      <c r="AL1630" cm="1">
        <f t="array" ref="AL1630">IFERROR(INDEX(sheath_ecap_asd,MATCH(AP1630,sheath_mark,0),0)*AK1630,0)</f>
        <v>0</v>
      </c>
      <c r="AM1630" cm="1">
        <f t="array" ref="AM1630">IFERROR(INDEX(sheath_wcap_asd,MATCH(AP1630,sheath_mark,0),0)*AK1630,0)</f>
        <v>0</v>
      </c>
      <c r="AN1630" cm="1">
        <f t="array" ref="AN1630">IFERROR(INDEX(hd_cap,MATCH(AQ1630,hd_mark,0),0),0)</f>
        <v>0</v>
      </c>
      <c r="AP1630" s="19"/>
      <c r="AQ1630" s="19"/>
      <c r="AR1630" s="100"/>
      <c r="AS1630" s="93"/>
      <c r="AT1630" s="111">
        <f>$R$1573</f>
        <v>0</v>
      </c>
      <c r="AU1630" t="str">
        <f>$Q$1560</f>
        <v>L5</v>
      </c>
      <c r="AV1630">
        <f>$E$24</f>
        <v>0</v>
      </c>
      <c r="AW1630" cm="1">
        <f t="array" ref="AW1630">IFERROR(IF(AV1630=0,0,(INDEX($C$33:$C$38,MATCH($AZ$1573,$B$33:$B$38,0),0)*(AV1631+$BA$1573)+$AW$1573*COUNTIF(AV1630:AV1630,"&gt;0")*$C$32+$AY$1573*$C$31)*$AU$1573),0)</f>
        <v>0</v>
      </c>
      <c r="AX1630">
        <f>IF(AV1630=0,0,-(COUNTIF(AV1630:AV1630,"&gt;0")*$AW$1573*$C$32+$AY$1573*$C$31)*$H$27*$AU$1573)</f>
        <v>0</v>
      </c>
      <c r="AY1630">
        <f>IF(AV1630=0,0,$AY$1573*$H$26*$AU$1573)</f>
        <v>0</v>
      </c>
      <c r="AZ1630">
        <f>(0.6*AW1630+0.7*AX1630)*$AU$1573/2</f>
        <v>0</v>
      </c>
      <c r="BA1630">
        <f>AW1630*$AU$1573/2</f>
        <v>0</v>
      </c>
      <c r="BC1630">
        <f>IF(AV1630=0,0,$BG$1573*$AP$1560)</f>
        <v>0</v>
      </c>
      <c r="BD1630">
        <f>IFERROR(BC1630/$AU$1573,0)</f>
        <v>0</v>
      </c>
      <c r="BE1630">
        <f>BC1630*($F$24+IF($F$24=0,0,($C$14+$C$15+IF($C$13="single",1.5,3)+3)/12))</f>
        <v>0</v>
      </c>
      <c r="BF1630">
        <f>BE1630-AZ1630</f>
        <v>0</v>
      </c>
      <c r="BG1630" cm="1">
        <f t="array" ref="BG1630">IFERROR(IF(BF1630&lt;0,0,BF1630/($AU$1573-INDEX(hd_off,MATCH(BT1630,hd_mark,0),0)/12)),0)</f>
        <v>0</v>
      </c>
      <c r="BH1630">
        <f>IF(AV1630=0,0,$BG$1573*$AM$1560)</f>
        <v>0</v>
      </c>
      <c r="BI1630">
        <f>IFERROR(BH1630/$AU$1573,0)</f>
        <v>0</v>
      </c>
      <c r="BJ1630">
        <f>BH1630*($F$24+IF($F$24=0,0,($C$14+$C$15+IF($C$13="single",1.5,3)+3)/12))</f>
        <v>0</v>
      </c>
      <c r="BK1630">
        <f>BJ1630-BA1630</f>
        <v>0</v>
      </c>
      <c r="BL1630" cm="1">
        <f t="array" ref="BL1630">IFERROR(IF(BK1630&lt;0,0,BK1630/($AU$1573-INDEX(hd_off,MATCH(BT1630,hd_mark,0),0)/12)),0)</f>
        <v>0</v>
      </c>
      <c r="BM1630">
        <f>MAX($F$24,$BE$1573)/$Q$1588</f>
        <v>0</v>
      </c>
      <c r="BN1630">
        <f t="shared" si="1009"/>
        <v>0</v>
      </c>
      <c r="BO1630" cm="1">
        <f t="array" ref="BO1630">IFERROR(INDEX(sheath_ecap_asd,MATCH(BS1630,sheath_mark,0),0)*BN1630,0)</f>
        <v>0</v>
      </c>
      <c r="BP1630" cm="1">
        <f t="array" ref="BP1630">IFERROR(INDEX(sheath_wcap_asd,MATCH(BS1630,sheath_mark,0),0)*BN1630,0)</f>
        <v>0</v>
      </c>
      <c r="BQ1630" cm="1">
        <f t="array" ref="BQ1630">IFERROR(INDEX(hd_cap,MATCH(BT1630,hd_mark,0),0),0)</f>
        <v>0</v>
      </c>
      <c r="BS1630" s="19"/>
      <c r="BT1630" s="19"/>
      <c r="BU1630" s="100"/>
    </row>
    <row r="1631" x14ac:dyDescent="0.25">
      <c r="P1631" s="93"/>
      <c r="Q1631" s="109"/>
      <c r="R1631" t="str">
        <f>$Q$1561</f>
        <v>Roof</v>
      </c>
      <c r="S1631">
        <f>$E$25</f>
        <v>33.171875</v>
      </c>
      <c r="T1631" cm="1">
        <f t="array" ref="T1631">IFERROR(IF(S1631=0,0,(INDEX($C$33:$C$38,MATCH($W$1573,$B$33:$B$38,0),0)*(S1631+$X$1573)+$V$1573*$C$31)*$R$1573),0)</f>
        <v>0</v>
      </c>
      <c r="U1631">
        <f>IF(S1631=0,0,-$V$1573*$C$31*$H$27*$R$1573)</f>
        <v>0</v>
      </c>
      <c r="V1631">
        <f>IF(S1631=0,0,$V$1573*$H$26*$R$1573)</f>
        <v>0</v>
      </c>
      <c r="W1631">
        <f>(0.6*T1631+0.7*U1631)*$R$1573/2</f>
        <v>0</v>
      </c>
      <c r="X1631">
        <f>T1631*$R$1573/2</f>
        <v>0</v>
      </c>
      <c r="Z1631">
        <f>IF(S1631=0,0,$AD$1573*$AP$1561)</f>
        <v>0</v>
      </c>
      <c r="AA1631">
        <f>IFERROR(Z1631/$R$1573,0)</f>
        <v>0</v>
      </c>
      <c r="AB1631">
        <f>Z1631*($F$25+($C$16+$C$17+IF($C$13="single",1.5,3)+3)/12)</f>
        <v>0</v>
      </c>
      <c r="AC1631">
        <f>AB1631-W1631</f>
        <v>0</v>
      </c>
      <c r="AD1631" cm="1">
        <f t="array" ref="AD1631">IFERROR(IF(AC1631&lt;0,0,AC1631/($R$1573-INDEX(hd_off,MATCH(AQ1631,hd_mark,0),0)/12)),0)</f>
        <v>0</v>
      </c>
      <c r="AE1631">
        <f>IF(S1631=0,0,$AD$1573*$AM$1561)</f>
        <v>0</v>
      </c>
      <c r="AF1631">
        <f>IFERROR(AE1631/$R$1573,0)</f>
        <v>0</v>
      </c>
      <c r="AG1631">
        <f>AE1631*($F$25+($C$16+$C$17+IF($C$13="single",1.5,3)+3)/12)</f>
        <v>0</v>
      </c>
      <c r="AH1631">
        <f>AG1631-X1631</f>
        <v>0</v>
      </c>
      <c r="AI1631" cm="1">
        <f t="array" ref="AI1631">IFERROR(IF(AH1631&lt;0,0,AH1631/($R$1573-INDEX(hd_off,MATCH(AQ1631,hd_mark,0),0)/12)),0)</f>
        <v>0</v>
      </c>
      <c r="AJ1631">
        <f>MAX($F$25,$AC$1573)/$Q$1588</f>
        <v>0.29920977011494249</v>
      </c>
      <c r="AK1631">
        <f t="shared" si="1008"/>
        <v>1</v>
      </c>
      <c r="AL1631" cm="1">
        <f t="array" ref="AL1631">IFERROR(INDEX(sheath_ecap_asd,MATCH(AP1631,sheath_mark,0),0)*AK1631,0)</f>
        <v>0</v>
      </c>
      <c r="AM1631" cm="1">
        <f t="array" ref="AM1631">IFERROR(INDEX(sheath_wcap_asd,MATCH(AP1631,sheath_mark,0),0)*AK1631,0)</f>
        <v>0</v>
      </c>
      <c r="AN1631" cm="1">
        <f t="array" ref="AN1631">IFERROR(INDEX(hd_cap,MATCH(AQ1631,hd_mark,0),0),0)</f>
        <v>0</v>
      </c>
      <c r="AP1631" s="19"/>
      <c r="AQ1631" s="19"/>
      <c r="AR1631" s="100"/>
      <c r="AS1631" s="93"/>
      <c r="AT1631" s="109"/>
      <c r="AU1631" t="str">
        <f>$Q$1561</f>
        <v>Roof</v>
      </c>
      <c r="AV1631">
        <f>$E$25</f>
        <v>33.171875</v>
      </c>
      <c r="AW1631" cm="1">
        <f t="array" ref="AW1631">IFERROR(IF(AV1631=0,0,(INDEX($C$33:$C$38,MATCH($AZ$1573,$B$33:$B$38,0),0)*(AV1631+$BA$1573)+$AY$1573*$C$31)*$AU$1573),0)</f>
        <v>0</v>
      </c>
      <c r="AX1631">
        <f>IF(AV1631=0,0,-$AY$1573*$C$31*$H$27*$AU$1573)</f>
        <v>0</v>
      </c>
      <c r="AY1631">
        <f>IF(AV1631=0,0,$AY$1573*$H$26*$AU$1573)</f>
        <v>0</v>
      </c>
      <c r="AZ1631">
        <f>(0.6*AW1631+0.7*AX1631)*$AU$1573/2</f>
        <v>0</v>
      </c>
      <c r="BA1631">
        <f>AW1631*$AU$1573/2</f>
        <v>0</v>
      </c>
      <c r="BC1631">
        <f>IF(AV1631=0,0,$BG$1573*$AP$1561)</f>
        <v>0</v>
      </c>
      <c r="BD1631">
        <f>IFERROR(BC1631/$AU$1573,0)</f>
        <v>0</v>
      </c>
      <c r="BE1631">
        <f>BC1631*($F$25+($C$16+$C$17+IF($C$13="single",1.5,3)+3)/12)</f>
        <v>0</v>
      </c>
      <c r="BF1631">
        <f>BE1631-AZ1631</f>
        <v>0</v>
      </c>
      <c r="BG1631" cm="1">
        <f t="array" ref="BG1631">IFERROR(IF(BF1631&lt;0,0,BF1631/($AU$1573-INDEX(hd_off,MATCH(BT1631,hd_mark,0),0)/12)),0)</f>
        <v>0</v>
      </c>
      <c r="BH1631">
        <f>IF(AV1631=0,0,$BG$1573*$AM$1561)</f>
        <v>0</v>
      </c>
      <c r="BI1631">
        <f>IFERROR(BH1631/$AU$1573,0)</f>
        <v>0</v>
      </c>
      <c r="BJ1631">
        <f>BH1631*($F$25+($C$16+$C$17+IF($C$13="single",1.5,3)+3)/12)</f>
        <v>0</v>
      </c>
      <c r="BK1631">
        <f>BJ1631-BA1631</f>
        <v>0</v>
      </c>
      <c r="BL1631" cm="1">
        <f t="array" ref="BL1631">IFERROR(IF(BK1631&lt;0,0,BK1631/($AU$1573-INDEX(hd_off,MATCH(BT1631,hd_mark,0),0)/12)),0)</f>
        <v>0</v>
      </c>
      <c r="BM1631">
        <f>MAX($F$25,$BF$1573)/$Q$1588</f>
        <v>0.29920977011494249</v>
      </c>
      <c r="BN1631">
        <f t="shared" si="1009"/>
        <v>1</v>
      </c>
      <c r="BO1631" cm="1">
        <f t="array" ref="BO1631">IFERROR(INDEX(sheath_ecap_asd,MATCH(BS1631,sheath_mark,0),0)*BN1631,0)</f>
        <v>0</v>
      </c>
      <c r="BP1631" cm="1">
        <f t="array" ref="BP1631">IFERROR(INDEX(sheath_wcap_asd,MATCH(BS1631,sheath_mark,0),0)*BN1631,0)</f>
        <v>0</v>
      </c>
      <c r="BQ1631" cm="1">
        <f t="array" ref="BQ1631">IFERROR(INDEX(hd_cap,MATCH(BT1631,hd_mark,0),0),0)</f>
        <v>0</v>
      </c>
      <c r="BS1631" s="19"/>
      <c r="BT1631" s="19"/>
      <c r="BU1631" s="100"/>
    </row>
    <row r="1632" x14ac:dyDescent="0.25">
      <c r="P1632" s="93"/>
      <c r="AR1632" s="100"/>
      <c r="AS1632" s="93"/>
      <c r="BU1632" s="100"/>
    </row>
    <row r="1633" x14ac:dyDescent="0.25">
      <c r="P1633" s="93"/>
      <c r="Q1633" s="110" t="str">
        <f>$Q$1574</f>
        <v>A.09</v>
      </c>
      <c r="R1633" t="str">
        <f>$Q$1557</f>
        <v>L2</v>
      </c>
      <c r="S1633">
        <f>$E$21</f>
        <v>10.6875</v>
      </c>
      <c r="T1633" cm="1">
        <f t="array" ref="T1633">IFERROR(IF(S1633=0,0,(INDEX($C$33:$C$38,MATCH($W$1574,$B$33:$B$38,0),0)*(S1637+$X$1574)+$T$1574*COUNTIF(S1633:S1636,"&gt;0")*$C$32+$V$1574*$C$31)*$R$1574),0)</f>
        <v>0</v>
      </c>
      <c r="U1633">
        <f>IF(S1633=0,0,-(COUNTIF(S1633:S1636,"&gt;0")*$T$1574*$C$32+$V$1574*$C$31)*$H$27*$R$1574)</f>
        <v>0</v>
      </c>
      <c r="V1633">
        <f>IF(S1633=0,0,$V$1574*$H$26*$R$1574)</f>
        <v>0</v>
      </c>
      <c r="W1633">
        <f>(0.6*T1633+0.7*U1633)*$R$1574/2</f>
        <v>0</v>
      </c>
      <c r="X1633">
        <f>(0.6*T1633+0.6*V1633)*$R$1574/2</f>
        <v>0</v>
      </c>
      <c r="Z1633">
        <f>IF(S1633=0,0,$AD$1574*$AP$1557)</f>
        <v>0</v>
      </c>
      <c r="AA1633">
        <f>IFERROR(Z1633/$R$1574,0)</f>
        <v>0</v>
      </c>
      <c r="AB1633">
        <f>Z1633*($F$21+IF($F$21=0,0,($C$14+$C$15+IF($C$13="single",1.5,3)+3)/12))</f>
        <v>0</v>
      </c>
      <c r="AC1633">
        <f>AB1633-W1633</f>
        <v>0</v>
      </c>
      <c r="AD1633" cm="1">
        <f t="array" ref="AD1633">IFERROR(IF(AC1633&lt;0,0,AC1633/($R$1574-INDEX(hd_off,MATCH(AQ1633,hd_mark,0),0)/12)),0)</f>
        <v>0</v>
      </c>
      <c r="AE1633">
        <f>IF(S1633=0,0,$AD$1574*$AM$1557)</f>
        <v>0</v>
      </c>
      <c r="AF1633">
        <f>IFERROR(AE1633/$R$1574,0)</f>
        <v>0</v>
      </c>
      <c r="AG1633">
        <f>AE1633*($F$21+IF($F$21=0,0,($C$14+$C$15+IF($C$13="single",1.5,3)+3)/12))</f>
        <v>0</v>
      </c>
      <c r="AH1633">
        <f>AG1633-X1633</f>
        <v>0</v>
      </c>
      <c r="AI1633" cm="1">
        <f t="array" ref="AI1633">IFERROR(IF(AH1633&lt;0,0,AH1633/($R$1574-INDEX(hd_off,MATCH(AQ1633,hd_mark,0),0)/12)),0)</f>
        <v>0</v>
      </c>
      <c r="AJ1633">
        <f>MAX($F$21,$Y$1574)/$Q$1588</f>
        <v>0.30172413793103448</v>
      </c>
      <c r="AK1633">
        <f>IF(AJ1633=0,0,IF(AJ1633&gt;2,1.25-0.125*AJ1633,1))</f>
        <v>1</v>
      </c>
      <c r="AL1633" cm="1">
        <f t="array" ref="AL1633">IFERROR(INDEX(sheath_ecap_asd,MATCH(AP1633,sheath_mark,0),0)*AK1633,0)</f>
        <v>0</v>
      </c>
      <c r="AM1633" cm="1">
        <f t="array" ref="AM1633">IFERROR(INDEX(sheath_wcap_asd,MATCH(AP1633,sheath_mark,0),0)*AK1633,0)</f>
        <v>0</v>
      </c>
      <c r="AN1633" cm="1">
        <f t="array" ref="AN1633">IFERROR(INDEX(hd_cap,MATCH(AQ1633,hd_mark,0),0),0)</f>
        <v>0</v>
      </c>
      <c r="AP1633" s="19"/>
      <c r="AQ1633" s="19"/>
      <c r="AR1633" s="100"/>
      <c r="AS1633" s="93"/>
      <c r="AT1633" s="110" t="str">
        <f>$AT$1574</f>
        <v>1.09</v>
      </c>
      <c r="AU1633" t="str">
        <f>$Q$1557</f>
        <v>L2</v>
      </c>
      <c r="AV1633">
        <f>$E$21</f>
        <v>10.6875</v>
      </c>
      <c r="AW1633" cm="1">
        <f t="array" ref="AW1633">IFERROR(IF(AV1633=0,0,(INDEX($C$33:$C$38,MATCH($AZ$1574,$B$33:$B$38,0),0)*(AV1637+$BA$1574)+$AW$1574*COUNTIF(AV1633:AV1636,"&gt;0")*$C$32+$AY$1574*$C$31)*$AU$1574),0)</f>
        <v>0</v>
      </c>
      <c r="AX1633">
        <f>IF(AV1633=0,0,-(COUNTIF(AV1633:AV1636,"&gt;0")*$AW$1574*$C$32+$AY$1574*$C$31)*$H$27*$AU$1574)</f>
        <v>0</v>
      </c>
      <c r="AY1633">
        <f>IF(AV1633=0,0,$AY$1574*$H$26*$AU$1574)</f>
        <v>0</v>
      </c>
      <c r="AZ1633">
        <f>(0.6*AW1633+0.7*AX1633)*$AU$1574/2</f>
        <v>0</v>
      </c>
      <c r="BA1633">
        <f>(0.6*AW1633+0.6*AY1633)*$AU$1574/2</f>
        <v>0</v>
      </c>
      <c r="BC1633">
        <f>IF(AV1633=0,0,$BG$1574*$AP$1557)</f>
        <v>0</v>
      </c>
      <c r="BD1633">
        <f>IFERROR(BC1633/$AU$1574,0)</f>
        <v>0</v>
      </c>
      <c r="BE1633">
        <f>BC1633*($F$21+IF($F$21=0,0,($C$14+$C$15+IF($C$13="single",1.5,3)+3)/12))</f>
        <v>0</v>
      </c>
      <c r="BF1633">
        <f>BE1633-AZ1633</f>
        <v>0</v>
      </c>
      <c r="BG1633" cm="1">
        <f t="array" ref="BG1633">IFERROR(IF(BF1633&lt;0,0,BF1633/($AU$1574-INDEX(hd_off,MATCH(BT1633,hd_mark,0),0)/12)),0)</f>
        <v>0</v>
      </c>
      <c r="BH1633">
        <f>IF(AV1633=0,0,$BG$1574*$AM$1557)</f>
        <v>0</v>
      </c>
      <c r="BI1633">
        <f>IFERROR(BH1633/$AU$1574,0)</f>
        <v>0</v>
      </c>
      <c r="BJ1633">
        <f>BH1633*($F$21+IF($F$21=0,0,($C$14+$C$15+IF($C$13="single",1.5,3)+3)/12))</f>
        <v>0</v>
      </c>
      <c r="BK1633">
        <f>BJ1633-BA1633</f>
        <v>0</v>
      </c>
      <c r="BL1633" cm="1">
        <f t="array" ref="BL1633">IFERROR(IF(BK1633&lt;0,0,BK1633/($AU$1574-INDEX(hd_off,MATCH(BT1633,hd_mark,0),0)/12)),0)</f>
        <v>0</v>
      </c>
      <c r="BM1633">
        <f>MAX($F$21,$BB$1574)/$Q$1588</f>
        <v>0.30172413793103448</v>
      </c>
      <c r="BN1633">
        <f>IF(BM1633=0,0,IF(BM1633&gt;2,1.25-0.125*BM1633,1))</f>
        <v>1</v>
      </c>
      <c r="BO1633" cm="1">
        <f t="array" ref="BO1633">IFERROR(INDEX(sheath_ecap_asd,MATCH(BS1633,sheath_mark,0),0)*BN1633,0)</f>
        <v>0</v>
      </c>
      <c r="BP1633" cm="1">
        <f t="array" ref="BP1633">IFERROR(INDEX(sheath_wcap_asd,MATCH(BS1633,sheath_mark,0),0)*BN1633,0)</f>
        <v>0</v>
      </c>
      <c r="BQ1633" cm="1">
        <f t="array" ref="BQ1633">IFERROR(INDEX(hd_cap,MATCH(BT1633,hd_mark,0),0),0)</f>
        <v>0</v>
      </c>
      <c r="BS1633" s="19"/>
      <c r="BT1633" s="19"/>
      <c r="BU1633" s="100"/>
    </row>
    <row r="1634" x14ac:dyDescent="0.25">
      <c r="P1634" s="93"/>
      <c r="Q1634" s="109"/>
      <c r="R1634" t="str">
        <f>$Q$1558</f>
        <v>L3</v>
      </c>
      <c r="S1634">
        <f>$E$22</f>
        <v>21.375</v>
      </c>
      <c r="T1634" cm="1">
        <f t="array" ref="T1634">IFERROR(IF(S1634=0,0,(INDEX($C$33:$C$38,MATCH($W$1574,$B$33:$B$38,0),0)*(S1637+$X$1574)+$T$1574*COUNTIF(S1634:S1636,"&gt;0")*$C$32+$V$1574*$C$31)*$R$1574),0)</f>
        <v>0</v>
      </c>
      <c r="U1634">
        <f>IF(S1634=0,0,-(COUNTIF(S1634:S1636,"&gt;0")*$T$1574*$C$32+$V$1574*$C$31)*$H$27*$R$1574)</f>
        <v>0</v>
      </c>
      <c r="V1634">
        <f>IF(S1634=0,0,$V$1574*$H$26*$R$1574)</f>
        <v>0</v>
      </c>
      <c r="W1634">
        <f>(0.6*T1634+0.7*U1634)*$R$1574/2</f>
        <v>0</v>
      </c>
      <c r="X1634">
        <f>T1634*$R$1574/2</f>
        <v>0</v>
      </c>
      <c r="Z1634">
        <f>IF(S1634=0,0,$AD$1574*$AP$1558)</f>
        <v>0</v>
      </c>
      <c r="AA1634">
        <f>IFERROR(Z1634/$R$1574,0)</f>
        <v>0</v>
      </c>
      <c r="AB1634">
        <f>Z1634*($F$22+IF($F$22=0,0,($C$14+$C$15+IF($C$13="single",1.5,3)+3)/12))</f>
        <v>0</v>
      </c>
      <c r="AC1634">
        <f>AB1634-W1634</f>
        <v>0</v>
      </c>
      <c r="AD1634" cm="1">
        <f t="array" ref="AD1634">IFERROR(IF(AC1634&lt;0,0,AC1634/($R$1574-INDEX(hd_off,MATCH(AQ1634,hd_mark,0),0)/12)),0)</f>
        <v>0</v>
      </c>
      <c r="AE1634">
        <f>IF(S1634=0,0,$AD$1574*$AM$1558)</f>
        <v>0</v>
      </c>
      <c r="AF1634">
        <f>IFERROR(AE1634/$R$1574,0)</f>
        <v>0</v>
      </c>
      <c r="AG1634">
        <f>AE1634*($F$22+IF($F$22=0,0,($C$14+$C$15+IF($C$13="single",1.5,3)+3)/12))</f>
        <v>0</v>
      </c>
      <c r="AH1634">
        <f>AG1634-X1634</f>
        <v>0</v>
      </c>
      <c r="AI1634" cm="1">
        <f t="array" ref="AI1634">IFERROR(IF(AH1634&lt;0,0,AH1634/($R$1574-INDEX(hd_off,MATCH(AQ1634,hd_mark,0),0)/12)),0)</f>
        <v>0</v>
      </c>
      <c r="AJ1634">
        <f>MAX($F$22,$Z$1574)/$Q$1588</f>
        <v>0.30172413793103448</v>
      </c>
      <c r="AK1634">
        <f t="shared" ref="AK1634:AK1637" si="1010">IF(AJ1634=0,0,IF(AJ1634&gt;2,1.25-0.125*AJ1634,1))</f>
        <v>1</v>
      </c>
      <c r="AL1634" cm="1">
        <f t="array" ref="AL1634">IFERROR(INDEX(sheath_ecap_asd,MATCH(AP1634,sheath_mark,0),0)*AK1634,0)</f>
        <v>0</v>
      </c>
      <c r="AM1634" cm="1">
        <f t="array" ref="AM1634">IFERROR(INDEX(sheath_wcap_asd,MATCH(AP1634,sheath_mark,0),0)*AK1634,0)</f>
        <v>0</v>
      </c>
      <c r="AN1634" cm="1">
        <f t="array" ref="AN1634">IFERROR(INDEX(hd_cap,MATCH(AQ1634,hd_mark,0),0),0)</f>
        <v>0</v>
      </c>
      <c r="AP1634" s="19"/>
      <c r="AQ1634" s="19"/>
      <c r="AR1634" s="100"/>
      <c r="AS1634" s="93"/>
      <c r="AT1634" s="109"/>
      <c r="AU1634" t="str">
        <f>$Q$1558</f>
        <v>L3</v>
      </c>
      <c r="AV1634">
        <f>$E$22</f>
        <v>21.375</v>
      </c>
      <c r="AW1634" cm="1">
        <f t="array" ref="AW1634">IFERROR(IF(AV1634=0,0,(INDEX($C$33:$C$38,MATCH($AZ$1574,$B$33:$B$38,0),0)*(AV1637+$BA$1574)+$AW$1574*COUNTIF(AV1634:AV1636,"&gt;0")*$C$32+$AY$1574*$C$31)*$AU$1574),0)</f>
        <v>0</v>
      </c>
      <c r="AX1634">
        <f>IF(AV1634=0,0,-(COUNTIF(AV1634:AV1636,"&gt;0")*$AW$1574*$C$32+$AY$1574*$C$31)*$H$27*$AU$1574)</f>
        <v>0</v>
      </c>
      <c r="AY1634">
        <f>IF(AV1634=0,0,$AY$1574*$H$26*$AU$1574)</f>
        <v>0</v>
      </c>
      <c r="AZ1634">
        <f>(0.6*AW1634+0.7*AX1634)*$AU$1574/2</f>
        <v>0</v>
      </c>
      <c r="BA1634">
        <f>AW1634*$AU$1574/2</f>
        <v>0</v>
      </c>
      <c r="BC1634">
        <f>IF(AV1634=0,0,$BG$1574*$AP$1558)</f>
        <v>0</v>
      </c>
      <c r="BD1634">
        <f>IFERROR(BC1634/$AU$1574,0)</f>
        <v>0</v>
      </c>
      <c r="BE1634">
        <f>BC1634*($F$22+IF($F$22=0,0,($C$14+$C$15+IF($C$13="single",1.5,3)+3)/12))</f>
        <v>0</v>
      </c>
      <c r="BF1634">
        <f>BE1634-AZ1634</f>
        <v>0</v>
      </c>
      <c r="BG1634" cm="1">
        <f t="array" ref="BG1634">IFERROR(IF(BF1634&lt;0,0,BF1634/($AU$1574-INDEX(hd_off,MATCH(BT1634,hd_mark,0),0)/12)),0)</f>
        <v>0</v>
      </c>
      <c r="BH1634">
        <f>IF(AV1634=0,0,$BG$1574*$AM$1558)</f>
        <v>0</v>
      </c>
      <c r="BI1634">
        <f>IFERROR(BH1634/$AU$1574,0)</f>
        <v>0</v>
      </c>
      <c r="BJ1634">
        <f>BH1634*($F$22+IF($F$22=0,0,($C$14+$C$15+IF($C$13="single",1.5,3)+3)/12))</f>
        <v>0</v>
      </c>
      <c r="BK1634">
        <f>BJ1634-BA1634</f>
        <v>0</v>
      </c>
      <c r="BL1634" cm="1">
        <f t="array" ref="BL1634">IFERROR(IF(BK1634&lt;0,0,BK1634/($AU$1574-INDEX(hd_off,MATCH(BT1634,hd_mark,0),0)/12)),0)</f>
        <v>0</v>
      </c>
      <c r="BM1634">
        <f>MAX($F$22,$BC$1574)/$Q$1588</f>
        <v>0.30172413793103448</v>
      </c>
      <c r="BN1634">
        <f t="shared" ref="BN1634:BN1637" si="1011">IF(BM1634=0,0,IF(BM1634&gt;2,1.25-0.125*BM1634,1))</f>
        <v>1</v>
      </c>
      <c r="BO1634" cm="1">
        <f t="array" ref="BO1634">IFERROR(INDEX(sheath_ecap_asd,MATCH(BS1634,sheath_mark,0),0)*BN1634,0)</f>
        <v>0</v>
      </c>
      <c r="BP1634" cm="1">
        <f t="array" ref="BP1634">IFERROR(INDEX(sheath_wcap_asd,MATCH(BS1634,sheath_mark,0),0)*BN1634,0)</f>
        <v>0</v>
      </c>
      <c r="BQ1634" cm="1">
        <f t="array" ref="BQ1634">IFERROR(INDEX(hd_cap,MATCH(BT1634,hd_mark,0),0),0)</f>
        <v>0</v>
      </c>
      <c r="BS1634" s="19"/>
      <c r="BT1634" s="19"/>
      <c r="BU1634" s="100"/>
    </row>
    <row r="1635" x14ac:dyDescent="0.25">
      <c r="P1635" s="93"/>
      <c r="Q1635" s="109" t="s">
        <v>491</v>
      </c>
      <c r="R1635" t="str">
        <f>$Q$1559</f>
        <v>L4</v>
      </c>
      <c r="S1635">
        <f>$E$23</f>
        <v>0</v>
      </c>
      <c r="T1635" cm="1">
        <f t="array" ref="T1635">IFERROR(IF(S1635=0,0,(INDEX($C$33:$C$38,MATCH($W$1574,$B$33:$B$38,0),0)*(S1637+$X$1574)+$T$1574*COUNTIF(S1635:S1636,"&gt;0")*$C$32+$V$1574*$C$31)*$R$1574),0)</f>
        <v>0</v>
      </c>
      <c r="U1635">
        <f>IF(S1635=0,0,-(COUNTIF(S1635:S1636,"&gt;0")*$T$1574*$C$32+$V$1574*$C$31)*$H$27*$R$1574)</f>
        <v>0</v>
      </c>
      <c r="V1635">
        <f>IF(S1635=0,0,$V$1574*$H$26*$R$1574)</f>
        <v>0</v>
      </c>
      <c r="W1635">
        <f>(0.6*T1635+0.7*U1635)*$R$1574/2</f>
        <v>0</v>
      </c>
      <c r="X1635">
        <f>T1635*$R$1574/2</f>
        <v>0</v>
      </c>
      <c r="Z1635">
        <f>IF(S1635=0,0,$AD$1574*$AP$1559)</f>
        <v>0</v>
      </c>
      <c r="AA1635">
        <f>IFERROR(Z1635/$R$1574,0)</f>
        <v>0</v>
      </c>
      <c r="AB1635">
        <f>Z1635*($F$23+IF($F$23=0,0,($C$14+$C$15+IF($C$13="single",1.5,3)+3)/12))</f>
        <v>0</v>
      </c>
      <c r="AC1635">
        <f>AB1635-W1635</f>
        <v>0</v>
      </c>
      <c r="AD1635" cm="1">
        <f t="array" ref="AD1635">IFERROR(IF(AC1635&lt;0,0,AC1635/($R$1574-INDEX(hd_off,MATCH(AQ1635,hd_mark,0),0)/12)),0)</f>
        <v>0</v>
      </c>
      <c r="AE1635">
        <f>IF(S1635=0,0,$AD$1574*$AM$1559)</f>
        <v>0</v>
      </c>
      <c r="AF1635">
        <f>IFERROR(AE1635/$R$1574,0)</f>
        <v>0</v>
      </c>
      <c r="AG1635">
        <f>AE1635*($F$23+IF($F$23=0,0,($C$14+$C$15+IF($C$13="single",1.5,3)+3)/12))</f>
        <v>0</v>
      </c>
      <c r="AH1635">
        <f>AG1635-X1635</f>
        <v>0</v>
      </c>
      <c r="AI1635" cm="1">
        <f t="array" ref="AI1635">IFERROR(IF(AH1635&lt;0,0,AH1635/($R$1574-INDEX(hd_off,MATCH(AQ1635,hd_mark,0),0)/12)),0)</f>
        <v>0</v>
      </c>
      <c r="AJ1635">
        <f>MAX($F$23,$AA$1574)/$Q$1588</f>
        <v>0</v>
      </c>
      <c r="AK1635">
        <f t="shared" si="1010"/>
        <v>0</v>
      </c>
      <c r="AL1635" cm="1">
        <f t="array" ref="AL1635">IFERROR(INDEX(sheath_ecap_asd,MATCH(AP1635,sheath_mark,0),0)*AK1635,0)</f>
        <v>0</v>
      </c>
      <c r="AM1635" cm="1">
        <f t="array" ref="AM1635">IFERROR(INDEX(sheath_wcap_asd,MATCH(AP1635,sheath_mark,0),0)*AK1635,0)</f>
        <v>0</v>
      </c>
      <c r="AN1635" cm="1">
        <f t="array" ref="AN1635">IFERROR(INDEX(hd_cap,MATCH(AQ1635,hd_mark,0),0),0)</f>
        <v>0</v>
      </c>
      <c r="AP1635" s="19"/>
      <c r="AQ1635" s="19"/>
      <c r="AR1635" s="100"/>
      <c r="AS1635" s="93"/>
      <c r="AT1635" s="109" t="s">
        <v>491</v>
      </c>
      <c r="AU1635" t="str">
        <f>$Q$1559</f>
        <v>L4</v>
      </c>
      <c r="AV1635">
        <f>$E$23</f>
        <v>0</v>
      </c>
      <c r="AW1635" cm="1">
        <f t="array" ref="AW1635">IFERROR(IF(AV1635=0,0,(INDEX($C$33:$C$38,MATCH($AZ$1574,$B$33:$B$38,0),0)*(AV1637+$BA$1574)+$AW$1574*COUNTIF(AV1635:AV1636,"&gt;0")*$C$32+$AY$1574*$C$31)*$AU$1574),0)</f>
        <v>0</v>
      </c>
      <c r="AX1635">
        <f>IF(AV1635=0,0,-(COUNTIF(AV1635:AV1636,"&gt;0")*$AW$1574*$C$32+$AY$1574*$C$31)*$H$27*$AU$1574)</f>
        <v>0</v>
      </c>
      <c r="AY1635">
        <f>IF(AV1635=0,0,$AY$1574*$H$26*$AU$1574)</f>
        <v>0</v>
      </c>
      <c r="AZ1635">
        <f>(0.6*AW1635+0.7*AX1635)*$AU$1574/2</f>
        <v>0</v>
      </c>
      <c r="BA1635">
        <f>AW1635*$AU$1574/2</f>
        <v>0</v>
      </c>
      <c r="BC1635">
        <f>IF(AV1635=0,0,$BG$1574*$AP$1559)</f>
        <v>0</v>
      </c>
      <c r="BD1635">
        <f>IFERROR(BC1635/$AU$1574,0)</f>
        <v>0</v>
      </c>
      <c r="BE1635">
        <f>BC1635*($F$23+IF($F$23=0,0,($C$14+$C$15+IF($C$13="single",1.5,3)+3)/12))</f>
        <v>0</v>
      </c>
      <c r="BF1635">
        <f>BE1635-AZ1635</f>
        <v>0</v>
      </c>
      <c r="BG1635" cm="1">
        <f t="array" ref="BG1635">IFERROR(IF(BF1635&lt;0,0,BF1635/($AU$1574-INDEX(hd_off,MATCH(BT1635,hd_mark,0),0)/12)),0)</f>
        <v>0</v>
      </c>
      <c r="BH1635">
        <f>IF(AV1635=0,0,$BG$1574*$AM$1559)</f>
        <v>0</v>
      </c>
      <c r="BI1635">
        <f>IFERROR(BH1635/$AU$1574,0)</f>
        <v>0</v>
      </c>
      <c r="BJ1635">
        <f>BH1635*($F$23+IF($F$23=0,0,($C$14+$C$15+IF($C$13="single",1.5,3)+3)/12))</f>
        <v>0</v>
      </c>
      <c r="BK1635">
        <f>BJ1635-BA1635</f>
        <v>0</v>
      </c>
      <c r="BL1635" cm="1">
        <f t="array" ref="BL1635">IFERROR(IF(BK1635&lt;0,0,BK1635/($AU$1574-INDEX(hd_off,MATCH(BT1635,hd_mark,0),0)/12)),0)</f>
        <v>0</v>
      </c>
      <c r="BM1635">
        <f>MAX($F$23,$BD$1574)/$Q$1588</f>
        <v>0</v>
      </c>
      <c r="BN1635">
        <f t="shared" si="1011"/>
        <v>0</v>
      </c>
      <c r="BO1635" cm="1">
        <f t="array" ref="BO1635">IFERROR(INDEX(sheath_ecap_asd,MATCH(BS1635,sheath_mark,0),0)*BN1635,0)</f>
        <v>0</v>
      </c>
      <c r="BP1635" cm="1">
        <f t="array" ref="BP1635">IFERROR(INDEX(sheath_wcap_asd,MATCH(BS1635,sheath_mark,0),0)*BN1635,0)</f>
        <v>0</v>
      </c>
      <c r="BQ1635" cm="1">
        <f t="array" ref="BQ1635">IFERROR(INDEX(hd_cap,MATCH(BT1635,hd_mark,0),0),0)</f>
        <v>0</v>
      </c>
      <c r="BS1635" s="19"/>
      <c r="BT1635" s="19"/>
      <c r="BU1635" s="100"/>
    </row>
    <row r="1636" x14ac:dyDescent="0.25">
      <c r="P1636" s="93"/>
      <c r="Q1636" s="111">
        <f>$R$1574</f>
        <v>0</v>
      </c>
      <c r="R1636" t="str">
        <f>$Q$1560</f>
        <v>L5</v>
      </c>
      <c r="S1636">
        <f>$E$24</f>
        <v>0</v>
      </c>
      <c r="T1636" cm="1">
        <f t="array" ref="T1636">IFERROR(IF(S1636=0,0,(INDEX($C$33:$C$38,MATCH($W$1574,$B$33:$B$38,0),0)*(S1637+$X$1574)+$T$1574*COUNTIF(S1636:S1636,"&gt;0")*$C$32+$V$1574*$C$31)*$R$1574),0)</f>
        <v>0</v>
      </c>
      <c r="U1636">
        <f>IF(S1636=0,0,-(COUNTIF(S1636:S1636,"&gt;0")*$T$1574*$C$32+$V$1574*$C$31)*$H$27*$R$1574)</f>
        <v>0</v>
      </c>
      <c r="V1636">
        <f>IF(S1636=0,0,$V$1574*$H$26*$R$1574)</f>
        <v>0</v>
      </c>
      <c r="W1636">
        <f>(0.6*T1636+0.7*U1636)*$R$1574/2</f>
        <v>0</v>
      </c>
      <c r="X1636">
        <f>T1636*$R$1574/2</f>
        <v>0</v>
      </c>
      <c r="Z1636">
        <f>IF(S1636=0,0,$AD$1574*$AP$1560)</f>
        <v>0</v>
      </c>
      <c r="AA1636">
        <f>IFERROR(Z1636/$R$1574,0)</f>
        <v>0</v>
      </c>
      <c r="AB1636">
        <f>Z1636*($F$24+IF($F$24=0,0,($C$14+$C$15+IF($C$13="single",1.5,3)+3)/12))</f>
        <v>0</v>
      </c>
      <c r="AC1636">
        <f>AB1636-W1636</f>
        <v>0</v>
      </c>
      <c r="AD1636" cm="1">
        <f t="array" ref="AD1636">IFERROR(IF(AC1636&lt;0,0,AC1636/($R$1574-INDEX(hd_off,MATCH(AQ1636,hd_mark,0),0)/12)),0)</f>
        <v>0</v>
      </c>
      <c r="AE1636">
        <f>IF(S1636=0,0,$AD$1574*$AM$1560)</f>
        <v>0</v>
      </c>
      <c r="AF1636">
        <f>IFERROR(AE1636/$R$1574,0)</f>
        <v>0</v>
      </c>
      <c r="AG1636">
        <f>AE1636*($F$24+IF($F$24=0,0,($C$14+$C$15+IF($C$13="single",1.5,3)+3)/12))</f>
        <v>0</v>
      </c>
      <c r="AH1636">
        <f>AG1636-X1636</f>
        <v>0</v>
      </c>
      <c r="AI1636" cm="1">
        <f t="array" ref="AI1636">IFERROR(IF(AH1636&lt;0,0,AH1636/($R$1574-INDEX(hd_off,MATCH(AQ1636,hd_mark,0),0)/12)),0)</f>
        <v>0</v>
      </c>
      <c r="AJ1636">
        <f>MAX($F$24,$AB$1574)/$Q$1588</f>
        <v>0</v>
      </c>
      <c r="AK1636">
        <f t="shared" si="1010"/>
        <v>0</v>
      </c>
      <c r="AL1636" cm="1">
        <f t="array" ref="AL1636">IFERROR(INDEX(sheath_ecap_asd,MATCH(AP1636,sheath_mark,0),0)*AK1636,0)</f>
        <v>0</v>
      </c>
      <c r="AM1636" cm="1">
        <f t="array" ref="AM1636">IFERROR(INDEX(sheath_wcap_asd,MATCH(AP1636,sheath_mark,0),0)*AK1636,0)</f>
        <v>0</v>
      </c>
      <c r="AN1636" cm="1">
        <f t="array" ref="AN1636">IFERROR(INDEX(hd_cap,MATCH(AQ1636,hd_mark,0),0),0)</f>
        <v>0</v>
      </c>
      <c r="AP1636" s="19"/>
      <c r="AQ1636" s="19"/>
      <c r="AR1636" s="100"/>
      <c r="AS1636" s="93"/>
      <c r="AT1636" s="111">
        <f>$R$1574</f>
        <v>0</v>
      </c>
      <c r="AU1636" t="str">
        <f>$Q$1560</f>
        <v>L5</v>
      </c>
      <c r="AV1636">
        <f>$E$24</f>
        <v>0</v>
      </c>
      <c r="AW1636" cm="1">
        <f t="array" ref="AW1636">IFERROR(IF(AV1636=0,0,(INDEX($C$33:$C$38,MATCH($AZ$1574,$B$33:$B$38,0),0)*(AV1637+$BA$1574)+$AW$1574*COUNTIF(AV1636:AV1636,"&gt;0")*$C$32+$AY$1574*$C$31)*$AU$1574),0)</f>
        <v>0</v>
      </c>
      <c r="AX1636">
        <f>IF(AV1636=0,0,-(COUNTIF(AV1636:AV1636,"&gt;0")*$AW$1574*$C$32+$AY$1574*$C$31)*$H$27*$AU$1574)</f>
        <v>0</v>
      </c>
      <c r="AY1636">
        <f>IF(AV1636=0,0,$AY$1574*$H$26*$AU$1574)</f>
        <v>0</v>
      </c>
      <c r="AZ1636">
        <f>(0.6*AW1636+0.7*AX1636)*$AU$1574/2</f>
        <v>0</v>
      </c>
      <c r="BA1636">
        <f>AW1636*$AU$1574/2</f>
        <v>0</v>
      </c>
      <c r="BC1636">
        <f>IF(AV1636=0,0,$BG$1574*$AP$1560)</f>
        <v>0</v>
      </c>
      <c r="BD1636">
        <f>IFERROR(BC1636/$AU$1574,0)</f>
        <v>0</v>
      </c>
      <c r="BE1636">
        <f>BC1636*($F$24+IF($F$24=0,0,($C$14+$C$15+IF($C$13="single",1.5,3)+3)/12))</f>
        <v>0</v>
      </c>
      <c r="BF1636">
        <f>BE1636-AZ1636</f>
        <v>0</v>
      </c>
      <c r="BG1636" cm="1">
        <f t="array" ref="BG1636">IFERROR(IF(BF1636&lt;0,0,BF1636/($AU$1574-INDEX(hd_off,MATCH(BT1636,hd_mark,0),0)/12)),0)</f>
        <v>0</v>
      </c>
      <c r="BH1636">
        <f>IF(AV1636=0,0,$BG$1574*$AM$1560)</f>
        <v>0</v>
      </c>
      <c r="BI1636">
        <f>IFERROR(BH1636/$AU$1574,0)</f>
        <v>0</v>
      </c>
      <c r="BJ1636">
        <f>BH1636*($F$24+IF($F$24=0,0,($C$14+$C$15+IF($C$13="single",1.5,3)+3)/12))</f>
        <v>0</v>
      </c>
      <c r="BK1636">
        <f>BJ1636-BA1636</f>
        <v>0</v>
      </c>
      <c r="BL1636" cm="1">
        <f t="array" ref="BL1636">IFERROR(IF(BK1636&lt;0,0,BK1636/($AU$1574-INDEX(hd_off,MATCH(BT1636,hd_mark,0),0)/12)),0)</f>
        <v>0</v>
      </c>
      <c r="BM1636">
        <f>MAX($F$24,$BE$1574)/$Q$1588</f>
        <v>0</v>
      </c>
      <c r="BN1636">
        <f t="shared" si="1011"/>
        <v>0</v>
      </c>
      <c r="BO1636" cm="1">
        <f t="array" ref="BO1636">IFERROR(INDEX(sheath_ecap_asd,MATCH(BS1636,sheath_mark,0),0)*BN1636,0)</f>
        <v>0</v>
      </c>
      <c r="BP1636" cm="1">
        <f t="array" ref="BP1636">IFERROR(INDEX(sheath_wcap_asd,MATCH(BS1636,sheath_mark,0),0)*BN1636,0)</f>
        <v>0</v>
      </c>
      <c r="BQ1636" cm="1">
        <f t="array" ref="BQ1636">IFERROR(INDEX(hd_cap,MATCH(BT1636,hd_mark,0),0),0)</f>
        <v>0</v>
      </c>
      <c r="BS1636" s="19"/>
      <c r="BT1636" s="19"/>
      <c r="BU1636" s="100"/>
    </row>
    <row r="1637" x14ac:dyDescent="0.25">
      <c r="P1637" s="93"/>
      <c r="Q1637" s="109"/>
      <c r="R1637" t="str">
        <f>$Q$1561</f>
        <v>Roof</v>
      </c>
      <c r="S1637">
        <f>$E$25</f>
        <v>33.171875</v>
      </c>
      <c r="T1637" cm="1">
        <f t="array" ref="T1637">IFERROR(IF(S1637=0,0,(INDEX($C$33:$C$38,MATCH($W$1574,$B$33:$B$38,0),0)*(S1637+$X$1574)+$V$1574*$C$31)*$R$1574),0)</f>
        <v>0</v>
      </c>
      <c r="U1637">
        <f>IF(S1637=0,0,-$V$1574*$C$31*$H$27*$R$1574)</f>
        <v>0</v>
      </c>
      <c r="V1637">
        <f>IF(S1637=0,0,$V$1574*$H$26*$R$1574)</f>
        <v>0</v>
      </c>
      <c r="W1637">
        <f>(0.6*T1637+0.7*U1637)*$R$1574/2</f>
        <v>0</v>
      </c>
      <c r="X1637">
        <f>T1637*$R$1574/2</f>
        <v>0</v>
      </c>
      <c r="Z1637">
        <f>IF(S1637=0,0,$AD$1574*$AP$1561)</f>
        <v>0</v>
      </c>
      <c r="AA1637">
        <f>IFERROR(Z1637/$R$1574,0)</f>
        <v>0</v>
      </c>
      <c r="AB1637">
        <f>Z1637*($F$25+($C$16+$C$17+IF($C$13="single",1.5,3)+3)/12)</f>
        <v>0</v>
      </c>
      <c r="AC1637">
        <f>AB1637-W1637</f>
        <v>0</v>
      </c>
      <c r="AD1637" cm="1">
        <f t="array" ref="AD1637">IFERROR(IF(AC1637&lt;0,0,AC1637/($R$1574-INDEX(hd_off,MATCH(AQ1637,hd_mark,0),0)/12)),0)</f>
        <v>0</v>
      </c>
      <c r="AE1637">
        <f>IF(S1637=0,0,$AD$1574*$AM$1561)</f>
        <v>0</v>
      </c>
      <c r="AF1637">
        <f>IFERROR(AE1637/$R$1574,0)</f>
        <v>0</v>
      </c>
      <c r="AG1637">
        <f>AE1637*($F$25+($C$16+$C$17+IF($C$13="single",1.5,3)+3)/12)</f>
        <v>0</v>
      </c>
      <c r="AH1637">
        <f>AG1637-X1637</f>
        <v>0</v>
      </c>
      <c r="AI1637" cm="1">
        <f t="array" ref="AI1637">IFERROR(IF(AH1637&lt;0,0,AH1637/($R$1574-INDEX(hd_off,MATCH(AQ1637,hd_mark,0),0)/12)),0)</f>
        <v>0</v>
      </c>
      <c r="AJ1637">
        <f>MAX($F$25,$AC$1574)/$Q$1588</f>
        <v>0.29920977011494249</v>
      </c>
      <c r="AK1637">
        <f t="shared" si="1010"/>
        <v>1</v>
      </c>
      <c r="AL1637" cm="1">
        <f t="array" ref="AL1637">IFERROR(INDEX(sheath_ecap_asd,MATCH(AP1637,sheath_mark,0),0)*AK1637,0)</f>
        <v>0</v>
      </c>
      <c r="AM1637" cm="1">
        <f t="array" ref="AM1637">IFERROR(INDEX(sheath_wcap_asd,MATCH(AP1637,sheath_mark,0),0)*AK1637,0)</f>
        <v>0</v>
      </c>
      <c r="AN1637" cm="1">
        <f t="array" ref="AN1637">IFERROR(INDEX(hd_cap,MATCH(AQ1637,hd_mark,0),0),0)</f>
        <v>0</v>
      </c>
      <c r="AP1637" s="19"/>
      <c r="AQ1637" s="19"/>
      <c r="AR1637" s="100"/>
      <c r="AS1637" s="93"/>
      <c r="AT1637" s="109"/>
      <c r="AU1637" t="str">
        <f>$Q$1561</f>
        <v>Roof</v>
      </c>
      <c r="AV1637">
        <f>$E$25</f>
        <v>33.171875</v>
      </c>
      <c r="AW1637" cm="1">
        <f t="array" ref="AW1637">IFERROR(IF(AV1637=0,0,(INDEX($C$33:$C$38,MATCH($AZ$1574,$B$33:$B$38,0),0)*(AV1637+$BA$1574)+$AY$1574*$C$31)*$AU$1574),0)</f>
        <v>0</v>
      </c>
      <c r="AX1637">
        <f>IF(AV1637=0,0,-$AY$1574*$C$31*$H$27*$AU$1574)</f>
        <v>0</v>
      </c>
      <c r="AY1637">
        <f>IF(AV1637=0,0,$AY$1574*$H$26*$AU$1574)</f>
        <v>0</v>
      </c>
      <c r="AZ1637">
        <f>(0.6*AW1637+0.7*AX1637)*$AU$1574/2</f>
        <v>0</v>
      </c>
      <c r="BA1637">
        <f>AW1637*$AU$1574/2</f>
        <v>0</v>
      </c>
      <c r="BC1637">
        <f>IF(AV1637=0,0,$BG$1574*$AP$1561)</f>
        <v>0</v>
      </c>
      <c r="BD1637">
        <f>IFERROR(BC1637/$AU$1574,0)</f>
        <v>0</v>
      </c>
      <c r="BE1637">
        <f>BC1637*($F$25+($C$16+$C$17+IF($C$13="single",1.5,3)+3)/12)</f>
        <v>0</v>
      </c>
      <c r="BF1637">
        <f>BE1637-AZ1637</f>
        <v>0</v>
      </c>
      <c r="BG1637" cm="1">
        <f t="array" ref="BG1637">IFERROR(IF(BF1637&lt;0,0,BF1637/($AU$1574-INDEX(hd_off,MATCH(BT1637,hd_mark,0),0)/12)),0)</f>
        <v>0</v>
      </c>
      <c r="BH1637">
        <f>IF(AV1637=0,0,$BG$1574*$AM$1561)</f>
        <v>0</v>
      </c>
      <c r="BI1637">
        <f>IFERROR(BH1637/$AU$1574,0)</f>
        <v>0</v>
      </c>
      <c r="BJ1637">
        <f>BH1637*($F$25+($C$16+$C$17+IF($C$13="single",1.5,3)+3)/12)</f>
        <v>0</v>
      </c>
      <c r="BK1637">
        <f>BJ1637-BA1637</f>
        <v>0</v>
      </c>
      <c r="BL1637" cm="1">
        <f t="array" ref="BL1637">IFERROR(IF(BK1637&lt;0,0,BK1637/($AU$1574-INDEX(hd_off,MATCH(BT1637,hd_mark,0),0)/12)),0)</f>
        <v>0</v>
      </c>
      <c r="BM1637">
        <f>MAX($F$25,$BF$1574)/$Q$1588</f>
        <v>0.29920977011494249</v>
      </c>
      <c r="BN1637">
        <f t="shared" si="1011"/>
        <v>1</v>
      </c>
      <c r="BO1637" cm="1">
        <f t="array" ref="BO1637">IFERROR(INDEX(sheath_ecap_asd,MATCH(BS1637,sheath_mark,0),0)*BN1637,0)</f>
        <v>0</v>
      </c>
      <c r="BP1637" cm="1">
        <f t="array" ref="BP1637">IFERROR(INDEX(sheath_wcap_asd,MATCH(BS1637,sheath_mark,0),0)*BN1637,0)</f>
        <v>0</v>
      </c>
      <c r="BQ1637" cm="1">
        <f t="array" ref="BQ1637">IFERROR(INDEX(hd_cap,MATCH(BT1637,hd_mark,0),0),0)</f>
        <v>0</v>
      </c>
      <c r="BS1637" s="19"/>
      <c r="BT1637" s="19"/>
      <c r="BU1637" s="100"/>
    </row>
    <row r="1638" x14ac:dyDescent="0.25">
      <c r="P1638" s="93"/>
      <c r="AR1638" s="100"/>
      <c r="AS1638" s="93"/>
      <c r="BU1638" s="100"/>
    </row>
    <row r="1639" x14ac:dyDescent="0.25">
      <c r="P1639" s="93"/>
      <c r="Q1639" s="110" t="str">
        <f>$Q$1575</f>
        <v>A.10</v>
      </c>
      <c r="R1639" t="str">
        <f>$Q$1557</f>
        <v>L2</v>
      </c>
      <c r="S1639">
        <f>$E$21</f>
        <v>10.6875</v>
      </c>
      <c r="T1639" cm="1">
        <f t="array" ref="T1639">IFERROR(IF(S1639=0,0,(INDEX($C$33:$C$38,MATCH($W$1575,$B$33:$B$38,0),0)*(S1643+$X$1575)+$T$1575*COUNTIF(S1639:S1642,"&gt;0")*$C$32+$V$1575*$C$31)*$R$1575),0)</f>
        <v>0</v>
      </c>
      <c r="U1639">
        <f>IF(S1639=0,0,-(COUNTIF(S1639:S1642,"&gt;0")*$T$1575*$C$32+$V$1575*$C$31)*$H$27*$R$1575)</f>
        <v>0</v>
      </c>
      <c r="V1639">
        <f>IF(S1639=0,0,$V$1575*$H$26*$R$1575)</f>
        <v>0</v>
      </c>
      <c r="W1639">
        <f>(0.6*T1639+0.7*U1639)*$R$1575/2</f>
        <v>0</v>
      </c>
      <c r="X1639">
        <f>(0.6*T1639+0.6*V1639)*$R$1575/2</f>
        <v>0</v>
      </c>
      <c r="Z1639">
        <f>IF(S1639=0,0,$AD$1575*$AP$1557)</f>
        <v>0</v>
      </c>
      <c r="AA1639">
        <f>IFERROR(Z1639/$R$1575,0)</f>
        <v>0</v>
      </c>
      <c r="AB1639">
        <f>Z1639*($F$21+IF($F$21=0,0,($C$14+$C$15+IF($C$13="single",1.5,3)+3)/12))</f>
        <v>0</v>
      </c>
      <c r="AC1639">
        <f>AB1639-W1639</f>
        <v>0</v>
      </c>
      <c r="AD1639" cm="1">
        <f t="array" ref="AD1639">IFERROR(IF(AC1639&lt;0,0,AC1639/($R$1575-INDEX(hd_off,MATCH(AQ1639,hd_mark,0),0)/12)),0)</f>
        <v>0</v>
      </c>
      <c r="AE1639">
        <f>IF(S1639=0,0,$AD$1575*$AM$1557)</f>
        <v>0</v>
      </c>
      <c r="AF1639">
        <f>IFERROR(AE1639/$R$1575,0)</f>
        <v>0</v>
      </c>
      <c r="AG1639">
        <f>AE1639*($F$21+IF($F$21=0,0,($C$14+$C$15+IF($C$13="single",1.5,3)+3)/12))</f>
        <v>0</v>
      </c>
      <c r="AH1639">
        <f>AG1639-X1639</f>
        <v>0</v>
      </c>
      <c r="AI1639" cm="1">
        <f t="array" ref="AI1639">IFERROR(IF(AH1639&lt;0,0,AH1639/($R$1575-INDEX(hd_off,MATCH(AQ1639,hd_mark,0),0)/12)),0)</f>
        <v>0</v>
      </c>
      <c r="AJ1639">
        <f>MAX($F$21,$Y$1575)/$Q$1588</f>
        <v>0.30172413793103448</v>
      </c>
      <c r="AK1639">
        <f>IF(AJ1639=0,0,IF(AJ1639&gt;2,1.25-0.125*AJ1639,1))</f>
        <v>1</v>
      </c>
      <c r="AL1639" cm="1">
        <f t="array" ref="AL1639">IFERROR(INDEX(sheath_ecap_asd,MATCH(AP1639,sheath_mark,0),0)*AK1639,0)</f>
        <v>0</v>
      </c>
      <c r="AM1639" cm="1">
        <f t="array" ref="AM1639">IFERROR(INDEX(sheath_wcap_asd,MATCH(AP1639,sheath_mark,0),0)*AK1639,0)</f>
        <v>0</v>
      </c>
      <c r="AN1639" cm="1">
        <f t="array" ref="AN1639">IFERROR(INDEX(hd_cap,MATCH(AQ1639,hd_mark,0),0),0)</f>
        <v>0</v>
      </c>
      <c r="AP1639" s="19"/>
      <c r="AQ1639" s="19"/>
      <c r="AR1639" s="100"/>
      <c r="AS1639" s="93"/>
      <c r="AT1639" s="110" t="str">
        <f>$AT$1575</f>
        <v>1.10</v>
      </c>
      <c r="AU1639" t="str">
        <f>$Q$1557</f>
        <v>L2</v>
      </c>
      <c r="AV1639">
        <f>$E$21</f>
        <v>10.6875</v>
      </c>
      <c r="AW1639" cm="1">
        <f t="array" ref="AW1639">IFERROR(IF(AV1639=0,0,(INDEX($C$33:$C$38,MATCH($AZ$1575,$B$33:$B$38,0),0)*(AV1643+$BA$1575)+$AW$1575*COUNTIF(AV1639:AV1642,"&gt;0")*$C$32+$AY$1575*$C$31)*$AU$1575),0)</f>
        <v>0</v>
      </c>
      <c r="AX1639">
        <f>IF(AV1639=0,0,-(COUNTIF(AV1639:AV1642,"&gt;0")*$AW$1575*$C$32+$AY$1575*$C$31)*$H$27*$AU$1575)</f>
        <v>0</v>
      </c>
      <c r="AY1639">
        <f>IF(AV1639=0,0,$AY$1575*$H$26*$AU$1575)</f>
        <v>0</v>
      </c>
      <c r="AZ1639">
        <f>(0.6*AW1639+0.7*AX1639)*$AU$1575/2</f>
        <v>0</v>
      </c>
      <c r="BA1639">
        <f>(0.6*AW1639+0.6*AY1639)*$AU$1575/2</f>
        <v>0</v>
      </c>
      <c r="BC1639">
        <f>IF(AV1639=0,0,$BG$1575*$AP$1557)</f>
        <v>0</v>
      </c>
      <c r="BD1639">
        <f>IFERROR(BC1639/$AU$1575,0)</f>
        <v>0</v>
      </c>
      <c r="BE1639">
        <f>BC1639*($F$21+IF($F$21=0,0,($C$14+$C$15+IF($C$13="single",1.5,3)+3)/12))</f>
        <v>0</v>
      </c>
      <c r="BF1639">
        <f>BE1639-AZ1639</f>
        <v>0</v>
      </c>
      <c r="BG1639" cm="1">
        <f t="array" ref="BG1639">IFERROR(IF(BF1639&lt;0,0,BF1639/($AU$1575-INDEX(hd_off,MATCH(BT1639,hd_mark,0),0)/12)),0)</f>
        <v>0</v>
      </c>
      <c r="BH1639">
        <f>IF(AV1639=0,0,$BG$1575*$AM$1557)</f>
        <v>0</v>
      </c>
      <c r="BI1639">
        <f>IFERROR(BH1639/$AU$1575,0)</f>
        <v>0</v>
      </c>
      <c r="BJ1639">
        <f>BH1639*($F$21+IF($F$21=0,0,($C$14+$C$15+IF($C$13="single",1.5,3)+3)/12))</f>
        <v>0</v>
      </c>
      <c r="BK1639">
        <f>BJ1639-BA1639</f>
        <v>0</v>
      </c>
      <c r="BL1639" cm="1">
        <f t="array" ref="BL1639">IFERROR(IF(BK1639&lt;0,0,BK1639/($AU$1575-INDEX(hd_off,MATCH(BT1639,hd_mark,0),0)/12)),0)</f>
        <v>0</v>
      </c>
      <c r="BM1639">
        <f>MAX($F$21,$BB$1575)/$Q$1588</f>
        <v>0.30172413793103448</v>
      </c>
      <c r="BN1639">
        <f>IF(BM1639=0,0,IF(BM1639&gt;2,1.25-0.125*BM1639,1))</f>
        <v>1</v>
      </c>
      <c r="BO1639" cm="1">
        <f t="array" ref="BO1639">IFERROR(INDEX(sheath_ecap_asd,MATCH(BS1639,sheath_mark,0),0)*BN1639,0)</f>
        <v>0</v>
      </c>
      <c r="BP1639" cm="1">
        <f t="array" ref="BP1639">IFERROR(INDEX(sheath_wcap_asd,MATCH(BS1639,sheath_mark,0),0)*BN1639,0)</f>
        <v>0</v>
      </c>
      <c r="BQ1639" cm="1">
        <f t="array" ref="BQ1639">IFERROR(INDEX(hd_cap,MATCH(BT1639,hd_mark,0),0),0)</f>
        <v>0</v>
      </c>
      <c r="BS1639" s="19"/>
      <c r="BT1639" s="19"/>
      <c r="BU1639" s="100"/>
    </row>
    <row r="1640" x14ac:dyDescent="0.25">
      <c r="P1640" s="93"/>
      <c r="Q1640" s="109"/>
      <c r="R1640" t="str">
        <f>$Q$1558</f>
        <v>L3</v>
      </c>
      <c r="S1640">
        <f>$E$22</f>
        <v>21.375</v>
      </c>
      <c r="T1640" cm="1">
        <f t="array" ref="T1640">IFERROR(IF(S1640=0,0,(INDEX($C$33:$C$38,MATCH($W$1575,$B$33:$B$38,0),0)*(S1643+$X$1575)+$T$1575*COUNTIF(S1640:S1642,"&gt;0")*$C$32+$V$1575*$C$31)*$R$1575),0)</f>
        <v>0</v>
      </c>
      <c r="U1640">
        <f>IF(S1640=0,0,-(COUNTIF(S1640:S1642,"&gt;0")*$T$1575*$C$32+$V$1575*$C$31)*$H$27*$R$1575)</f>
        <v>0</v>
      </c>
      <c r="V1640">
        <f>IF(S1640=0,0,$V$1575*$H$26*$R$1575)</f>
        <v>0</v>
      </c>
      <c r="W1640">
        <f>(0.6*T1640+0.7*U1640)*$R$1575/2</f>
        <v>0</v>
      </c>
      <c r="X1640">
        <f>T1640*$R$1575/2</f>
        <v>0</v>
      </c>
      <c r="Z1640">
        <f>IF(S1640=0,0,$AD$1575*$AP$1558)</f>
        <v>0</v>
      </c>
      <c r="AA1640">
        <f>IFERROR(Z1640/$R$1575,0)</f>
        <v>0</v>
      </c>
      <c r="AB1640">
        <f>Z1640*($F$22+IF($F$22=0,0,($C$14+$C$15+IF($C$13="single",1.5,3)+3)/12))</f>
        <v>0</v>
      </c>
      <c r="AC1640">
        <f>AB1640-W1640</f>
        <v>0</v>
      </c>
      <c r="AD1640" cm="1">
        <f t="array" ref="AD1640">IFERROR(IF(AC1640&lt;0,0,AC1640/($R$1575-INDEX(hd_off,MATCH(AQ1640,hd_mark,0),0)/12)),0)</f>
        <v>0</v>
      </c>
      <c r="AE1640">
        <f>IF(S1640=0,0,$AD$1575*$AM$1558)</f>
        <v>0</v>
      </c>
      <c r="AF1640">
        <f>IFERROR(AE1640/$R$1575,0)</f>
        <v>0</v>
      </c>
      <c r="AG1640">
        <f>AE1640*($F$22+IF($F$22=0,0,($C$14+$C$15+IF($C$13="single",1.5,3)+3)/12))</f>
        <v>0</v>
      </c>
      <c r="AH1640">
        <f>AG1640-X1640</f>
        <v>0</v>
      </c>
      <c r="AI1640" cm="1">
        <f t="array" ref="AI1640">IFERROR(IF(AH1640&lt;0,0,AH1640/($R$1575-INDEX(hd_off,MATCH(AQ1640,hd_mark,0),0)/12)),0)</f>
        <v>0</v>
      </c>
      <c r="AJ1640">
        <f>MAX($F$22,$Z$1575)/$Q$1588</f>
        <v>0.30172413793103448</v>
      </c>
      <c r="AK1640">
        <f t="shared" ref="AK1640:AK1643" si="1012">IF(AJ1640=0,0,IF(AJ1640&gt;2,1.25-0.125*AJ1640,1))</f>
        <v>1</v>
      </c>
      <c r="AL1640" cm="1">
        <f t="array" ref="AL1640">IFERROR(INDEX(sheath_ecap_asd,MATCH(AP1640,sheath_mark,0),0)*AK1640,0)</f>
        <v>0</v>
      </c>
      <c r="AM1640" cm="1">
        <f t="array" ref="AM1640">IFERROR(INDEX(sheath_wcap_asd,MATCH(AP1640,sheath_mark,0),0)*AK1640,0)</f>
        <v>0</v>
      </c>
      <c r="AN1640" cm="1">
        <f t="array" ref="AN1640">IFERROR(INDEX(hd_cap,MATCH(AQ1640,hd_mark,0),0),0)</f>
        <v>0</v>
      </c>
      <c r="AP1640" s="19"/>
      <c r="AQ1640" s="19"/>
      <c r="AR1640" s="100"/>
      <c r="AS1640" s="93"/>
      <c r="AT1640" s="109"/>
      <c r="AU1640" t="str">
        <f>$Q$1558</f>
        <v>L3</v>
      </c>
      <c r="AV1640">
        <f>$E$22</f>
        <v>21.375</v>
      </c>
      <c r="AW1640" cm="1">
        <f t="array" ref="AW1640">IFERROR(IF(AV1640=0,0,(INDEX($C$33:$C$38,MATCH($AZ$1575,$B$33:$B$38,0),0)*(AV1643+$BA$1575)+$AW$1575*COUNTIF(AV1640:AV1642,"&gt;0")*$C$32+$AY$1575*$C$31)*$AU$1575),0)</f>
        <v>0</v>
      </c>
      <c r="AX1640">
        <f>IF(AV1640=0,0,-(COUNTIF(AV1640:AV1642,"&gt;0")*$AW$1575*$C$32+$AY$1575*$C$31)*$H$27*$AU$1575)</f>
        <v>0</v>
      </c>
      <c r="AY1640">
        <f>IF(AV1640=0,0,$AY$1575*$H$26*$AU$1575)</f>
        <v>0</v>
      </c>
      <c r="AZ1640">
        <f>(0.6*AW1640+0.7*AX1640)*$AU$1575/2</f>
        <v>0</v>
      </c>
      <c r="BA1640">
        <f>AW1640*$AU$1575/2</f>
        <v>0</v>
      </c>
      <c r="BC1640">
        <f>IF(AV1640=0,0,$BG$1575*$AP$1558)</f>
        <v>0</v>
      </c>
      <c r="BD1640">
        <f>IFERROR(BC1640/$AU$1575,0)</f>
        <v>0</v>
      </c>
      <c r="BE1640">
        <f>BC1640*($F$22+IF($F$22=0,0,($C$14+$C$15+IF($C$13="single",1.5,3)+3)/12))</f>
        <v>0</v>
      </c>
      <c r="BF1640">
        <f>BE1640-AZ1640</f>
        <v>0</v>
      </c>
      <c r="BG1640" cm="1">
        <f t="array" ref="BG1640">IFERROR(IF(BF1640&lt;0,0,BF1640/($AU$1575-INDEX(hd_off,MATCH(BT1640,hd_mark,0),0)/12)),0)</f>
        <v>0</v>
      </c>
      <c r="BH1640">
        <f>IF(AV1640=0,0,$BG$1575*$AM$1558)</f>
        <v>0</v>
      </c>
      <c r="BI1640">
        <f>IFERROR(BH1640/$AU$1575,0)</f>
        <v>0</v>
      </c>
      <c r="BJ1640">
        <f>BH1640*($F$22+IF($F$22=0,0,($C$14+$C$15+IF($C$13="single",1.5,3)+3)/12))</f>
        <v>0</v>
      </c>
      <c r="BK1640">
        <f>BJ1640-BA1640</f>
        <v>0</v>
      </c>
      <c r="BL1640" cm="1">
        <f t="array" ref="BL1640">IFERROR(IF(BK1640&lt;0,0,BK1640/($AU$1575-INDEX(hd_off,MATCH(BT1640,hd_mark,0),0)/12)),0)</f>
        <v>0</v>
      </c>
      <c r="BM1640">
        <f>MAX($F$22,$BC$1575)/$Q$1588</f>
        <v>0.30172413793103448</v>
      </c>
      <c r="BN1640">
        <f t="shared" ref="BN1640:BN1643" si="1013">IF(BM1640=0,0,IF(BM1640&gt;2,1.25-0.125*BM1640,1))</f>
        <v>1</v>
      </c>
      <c r="BO1640" cm="1">
        <f t="array" ref="BO1640">IFERROR(INDEX(sheath_ecap_asd,MATCH(BS1640,sheath_mark,0),0)*BN1640,0)</f>
        <v>0</v>
      </c>
      <c r="BP1640" cm="1">
        <f t="array" ref="BP1640">IFERROR(INDEX(sheath_wcap_asd,MATCH(BS1640,sheath_mark,0),0)*BN1640,0)</f>
        <v>0</v>
      </c>
      <c r="BQ1640" cm="1">
        <f t="array" ref="BQ1640">IFERROR(INDEX(hd_cap,MATCH(BT1640,hd_mark,0),0),0)</f>
        <v>0</v>
      </c>
      <c r="BS1640" s="19"/>
      <c r="BT1640" s="19"/>
      <c r="BU1640" s="100"/>
    </row>
    <row r="1641" x14ac:dyDescent="0.25">
      <c r="P1641" s="93"/>
      <c r="Q1641" s="109" t="s">
        <v>491</v>
      </c>
      <c r="R1641" t="str">
        <f>$Q$1559</f>
        <v>L4</v>
      </c>
      <c r="S1641">
        <f>$E$23</f>
        <v>0</v>
      </c>
      <c r="T1641" cm="1">
        <f t="array" ref="T1641">IFERROR(IF(S1641=0,0,(INDEX($C$33:$C$38,MATCH($W$1575,$B$33:$B$38,0),0)*(S1643+$X$1575)+$T$1575*COUNTIF(S1641:S1642,"&gt;0")*$C$32+$V$1575*$C$31)*$R$1575),0)</f>
        <v>0</v>
      </c>
      <c r="U1641">
        <f>IF(S1641=0,0,-(COUNTIF(S1641:S1642,"&gt;0")*$T$1575*$C$32+$V$1575*$C$31)*$H$27*$R$1575)</f>
        <v>0</v>
      </c>
      <c r="V1641">
        <f>IF(S1641=0,0,$V$1575*$H$26*$R$1575)</f>
        <v>0</v>
      </c>
      <c r="W1641">
        <f>(0.6*T1641+0.7*U1641)*$R$1575/2</f>
        <v>0</v>
      </c>
      <c r="X1641">
        <f>T1641*$R$1575/2</f>
        <v>0</v>
      </c>
      <c r="Z1641">
        <f>IF(S1641=0,0,$AD$1575*$AP$1559)</f>
        <v>0</v>
      </c>
      <c r="AA1641">
        <f>IFERROR(Z1641/$R$1575,0)</f>
        <v>0</v>
      </c>
      <c r="AB1641">
        <f>Z1641*($F$23+IF($F$23=0,0,($C$14+$C$15+IF($C$13="single",1.5,3)+3)/12))</f>
        <v>0</v>
      </c>
      <c r="AC1641">
        <f>AB1641-W1641</f>
        <v>0</v>
      </c>
      <c r="AD1641" cm="1">
        <f t="array" ref="AD1641">IFERROR(IF(AC1641&lt;0,0,AC1641/($R$1575-INDEX(hd_off,MATCH(AQ1641,hd_mark,0),0)/12)),0)</f>
        <v>0</v>
      </c>
      <c r="AE1641">
        <f>IF(S1641=0,0,$AD$1575*$AM$1559)</f>
        <v>0</v>
      </c>
      <c r="AF1641">
        <f>IFERROR(AE1641/$R$1575,0)</f>
        <v>0</v>
      </c>
      <c r="AG1641">
        <f>AE1641*($F$23+IF($F$23=0,0,($C$14+$C$15+IF($C$13="single",1.5,3)+3)/12))</f>
        <v>0</v>
      </c>
      <c r="AH1641">
        <f>AG1641-X1641</f>
        <v>0</v>
      </c>
      <c r="AI1641" cm="1">
        <f t="array" ref="AI1641">IFERROR(IF(AH1641&lt;0,0,AH1641/($R$1575-INDEX(hd_off,MATCH(AQ1641,hd_mark,0),0)/12)),0)</f>
        <v>0</v>
      </c>
      <c r="AJ1641">
        <f>MAX($F$23,$AA$1575)/$Q$1588</f>
        <v>0</v>
      </c>
      <c r="AK1641">
        <f t="shared" si="1012"/>
        <v>0</v>
      </c>
      <c r="AL1641" cm="1">
        <f t="array" ref="AL1641">IFERROR(INDEX(sheath_ecap_asd,MATCH(AP1641,sheath_mark,0),0)*AK1641,0)</f>
        <v>0</v>
      </c>
      <c r="AM1641" cm="1">
        <f t="array" ref="AM1641">IFERROR(INDEX(sheath_wcap_asd,MATCH(AP1641,sheath_mark,0),0)*AK1641,0)</f>
        <v>0</v>
      </c>
      <c r="AN1641" cm="1">
        <f t="array" ref="AN1641">IFERROR(INDEX(hd_cap,MATCH(AQ1641,hd_mark,0),0),0)</f>
        <v>0</v>
      </c>
      <c r="AP1641" s="19"/>
      <c r="AQ1641" s="19"/>
      <c r="AR1641" s="100"/>
      <c r="AS1641" s="93"/>
      <c r="AT1641" s="109" t="s">
        <v>491</v>
      </c>
      <c r="AU1641" t="str">
        <f>$Q$1559</f>
        <v>L4</v>
      </c>
      <c r="AV1641">
        <f>$E$23</f>
        <v>0</v>
      </c>
      <c r="AW1641" cm="1">
        <f t="array" ref="AW1641">IFERROR(IF(AV1641=0,0,(INDEX($C$33:$C$38,MATCH($AZ$1575,$B$33:$B$38,0),0)*(AV1643+$BA$1575)+$AW$1575*COUNTIF(AV1641:AV1642,"&gt;0")*$C$32+$AY$1575*$C$31)*$AU$1575),0)</f>
        <v>0</v>
      </c>
      <c r="AX1641">
        <f>IF(AV1641=0,0,-(COUNTIF(AV1641:AV1642,"&gt;0")*$AW$1575*$C$32+$AY$1575*$C$31)*$H$27*$AU$1575)</f>
        <v>0</v>
      </c>
      <c r="AY1641">
        <f>IF(AV1641=0,0,$AY$1575*$H$26*$AU$1575)</f>
        <v>0</v>
      </c>
      <c r="AZ1641">
        <f>(0.6*AW1641+0.7*AX1641)*$AU$1575/2</f>
        <v>0</v>
      </c>
      <c r="BA1641">
        <f>AW1641*$AU$1575/2</f>
        <v>0</v>
      </c>
      <c r="BC1641">
        <f>IF(AV1641=0,0,$BG$1575*$AP$1559)</f>
        <v>0</v>
      </c>
      <c r="BD1641">
        <f>IFERROR(BC1641/$AU$1575,0)</f>
        <v>0</v>
      </c>
      <c r="BE1641">
        <f>BC1641*($F$23+IF($F$23=0,0,($C$14+$C$15+IF($C$13="single",1.5,3)+3)/12))</f>
        <v>0</v>
      </c>
      <c r="BF1641">
        <f>BE1641-AZ1641</f>
        <v>0</v>
      </c>
      <c r="BG1641" cm="1">
        <f t="array" ref="BG1641">IFERROR(IF(BF1641&lt;0,0,BF1641/($AU$1575-INDEX(hd_off,MATCH(BT1641,hd_mark,0),0)/12)),0)</f>
        <v>0</v>
      </c>
      <c r="BH1641">
        <f>IF(AV1641=0,0,$BG$1575*$AM$1559)</f>
        <v>0</v>
      </c>
      <c r="BI1641">
        <f>IFERROR(BH1641/$AU$1575,0)</f>
        <v>0</v>
      </c>
      <c r="BJ1641">
        <f>BH1641*($F$23+IF($F$23=0,0,($C$14+$C$15+IF($C$13="single",1.5,3)+3)/12))</f>
        <v>0</v>
      </c>
      <c r="BK1641">
        <f>BJ1641-BA1641</f>
        <v>0</v>
      </c>
      <c r="BL1641" cm="1">
        <f t="array" ref="BL1641">IFERROR(IF(BK1641&lt;0,0,BK1641/($AU$1575-INDEX(hd_off,MATCH(BT1641,hd_mark,0),0)/12)),0)</f>
        <v>0</v>
      </c>
      <c r="BM1641">
        <f>MAX($F$23,$BD$1575)/$Q$1588</f>
        <v>0</v>
      </c>
      <c r="BN1641">
        <f t="shared" si="1013"/>
        <v>0</v>
      </c>
      <c r="BO1641" cm="1">
        <f t="array" ref="BO1641">IFERROR(INDEX(sheath_ecap_asd,MATCH(BS1641,sheath_mark,0),0)*BN1641,0)</f>
        <v>0</v>
      </c>
      <c r="BP1641" cm="1">
        <f t="array" ref="BP1641">IFERROR(INDEX(sheath_wcap_asd,MATCH(BS1641,sheath_mark,0),0)*BN1641,0)</f>
        <v>0</v>
      </c>
      <c r="BQ1641" cm="1">
        <f t="array" ref="BQ1641">IFERROR(INDEX(hd_cap,MATCH(BT1641,hd_mark,0),0),0)</f>
        <v>0</v>
      </c>
      <c r="BS1641" s="19"/>
      <c r="BT1641" s="19"/>
      <c r="BU1641" s="100"/>
    </row>
    <row r="1642" x14ac:dyDescent="0.25">
      <c r="P1642" s="93"/>
      <c r="Q1642" s="111">
        <f>$R$1575</f>
        <v>0</v>
      </c>
      <c r="R1642" t="str">
        <f>$Q$1560</f>
        <v>L5</v>
      </c>
      <c r="S1642">
        <f>$E$24</f>
        <v>0</v>
      </c>
      <c r="T1642" cm="1">
        <f t="array" ref="T1642">IFERROR(IF(S1642=0,0,(INDEX($C$33:$C$38,MATCH($W$1575,$B$33:$B$38,0),0)*(S1643+$X$1575)+$T$1575*COUNTIF(S1642:S1642,"&gt;0")*$C$32+$V$1575*$C$31)*$R$1575),0)</f>
        <v>0</v>
      </c>
      <c r="U1642">
        <f>IF(S1642=0,0,-(COUNTIF(S1642:S1642,"&gt;0")*$T$1575*$C$32+$V$1575*$C$31)*$H$27*$R$1575)</f>
        <v>0</v>
      </c>
      <c r="V1642">
        <f>IF(S1642=0,0,$V$1575*$H$26*$R$1575)</f>
        <v>0</v>
      </c>
      <c r="W1642">
        <f>(0.6*T1642+0.7*U1642)*$R$1575/2</f>
        <v>0</v>
      </c>
      <c r="X1642">
        <f>T1642*$R$1575/2</f>
        <v>0</v>
      </c>
      <c r="Z1642">
        <f>IF(S1642=0,0,$AD$1575*$AP$1560)</f>
        <v>0</v>
      </c>
      <c r="AA1642">
        <f>IFERROR(Z1642/$R$1575,0)</f>
        <v>0</v>
      </c>
      <c r="AB1642">
        <f>Z1642*($F$24+IF($F$24=0,0,($C$14+$C$15+IF($C$13="single",1.5,3)+3)/12))</f>
        <v>0</v>
      </c>
      <c r="AC1642">
        <f>AB1642-W1642</f>
        <v>0</v>
      </c>
      <c r="AD1642" cm="1">
        <f t="array" ref="AD1642">IFERROR(IF(AC1642&lt;0,0,AC1642/($R$1575-INDEX(hd_off,MATCH(AQ1642,hd_mark,0),0)/12)),0)</f>
        <v>0</v>
      </c>
      <c r="AE1642">
        <f>IF(S1642=0,0,$AD$1575*$AM$1560)</f>
        <v>0</v>
      </c>
      <c r="AF1642">
        <f>IFERROR(AE1642/$R$1575,0)</f>
        <v>0</v>
      </c>
      <c r="AG1642">
        <f>AE1642*($F$24+IF($F$24=0,0,($C$14+$C$15+IF($C$13="single",1.5,3)+3)/12))</f>
        <v>0</v>
      </c>
      <c r="AH1642">
        <f>AG1642-X1642</f>
        <v>0</v>
      </c>
      <c r="AI1642" cm="1">
        <f t="array" ref="AI1642">IFERROR(IF(AH1642&lt;0,0,AH1642/($R$1575-INDEX(hd_off,MATCH(AQ1642,hd_mark,0),0)/12)),0)</f>
        <v>0</v>
      </c>
      <c r="AJ1642">
        <f>MAX($F$24,$AB$1575)/$Q$1588</f>
        <v>0</v>
      </c>
      <c r="AK1642">
        <f t="shared" si="1012"/>
        <v>0</v>
      </c>
      <c r="AL1642" cm="1">
        <f t="array" ref="AL1642">IFERROR(INDEX(sheath_ecap_asd,MATCH(AP1642,sheath_mark,0),0)*AK1642,0)</f>
        <v>0</v>
      </c>
      <c r="AM1642" cm="1">
        <f t="array" ref="AM1642">IFERROR(INDEX(sheath_wcap_asd,MATCH(AP1642,sheath_mark,0),0)*AK1642,0)</f>
        <v>0</v>
      </c>
      <c r="AN1642" cm="1">
        <f t="array" ref="AN1642">IFERROR(INDEX(hd_cap,MATCH(AQ1642,hd_mark,0),0),0)</f>
        <v>0</v>
      </c>
      <c r="AP1642" s="19"/>
      <c r="AQ1642" s="19"/>
      <c r="AR1642" s="100"/>
      <c r="AS1642" s="93"/>
      <c r="AT1642" s="111">
        <f>$R$1575</f>
        <v>0</v>
      </c>
      <c r="AU1642" t="str">
        <f>$Q$1560</f>
        <v>L5</v>
      </c>
      <c r="AV1642">
        <f>$E$24</f>
        <v>0</v>
      </c>
      <c r="AW1642" cm="1">
        <f t="array" ref="AW1642">IFERROR(IF(AV1642=0,0,(INDEX($C$33:$C$38,MATCH($AZ$1575,$B$33:$B$38,0),0)*(AV1643+$BA$1575)+$AW$1575*COUNTIF(AV1642:AV1642,"&gt;0")*$C$32+$AY$1575*$C$31)*$AU$1575),0)</f>
        <v>0</v>
      </c>
      <c r="AX1642">
        <f>IF(AV1642=0,0,-(COUNTIF(AV1642:AV1642,"&gt;0")*$AW$1575*$C$32+$AY$1575*$C$31)*$H$27*$AU$1575)</f>
        <v>0</v>
      </c>
      <c r="AY1642">
        <f>IF(AV1642=0,0,$AY$1575*$H$26*$AU$1575)</f>
        <v>0</v>
      </c>
      <c r="AZ1642">
        <f>(0.6*AW1642+0.7*AX1642)*$AU$1575/2</f>
        <v>0</v>
      </c>
      <c r="BA1642">
        <f>AW1642*$AU$1575/2</f>
        <v>0</v>
      </c>
      <c r="BC1642">
        <f>IF(AV1642=0,0,$BG$1575*$AP$1560)</f>
        <v>0</v>
      </c>
      <c r="BD1642">
        <f>IFERROR(BC1642/$AU$1575,0)</f>
        <v>0</v>
      </c>
      <c r="BE1642">
        <f>BC1642*($F$24+IF($F$24=0,0,($C$14+$C$15+IF($C$13="single",1.5,3)+3)/12))</f>
        <v>0</v>
      </c>
      <c r="BF1642">
        <f>BE1642-AZ1642</f>
        <v>0</v>
      </c>
      <c r="BG1642" cm="1">
        <f t="array" ref="BG1642">IFERROR(IF(BF1642&lt;0,0,BF1642/($AU$1575-INDEX(hd_off,MATCH(BT1642,hd_mark,0),0)/12)),0)</f>
        <v>0</v>
      </c>
      <c r="BH1642">
        <f>IF(AV1642=0,0,$BG$1575*$AM$1560)</f>
        <v>0</v>
      </c>
      <c r="BI1642">
        <f>IFERROR(BH1642/$AU$1575,0)</f>
        <v>0</v>
      </c>
      <c r="BJ1642">
        <f>BH1642*($F$24+IF($F$24=0,0,($C$14+$C$15+IF($C$13="single",1.5,3)+3)/12))</f>
        <v>0</v>
      </c>
      <c r="BK1642">
        <f>BJ1642-BA1642</f>
        <v>0</v>
      </c>
      <c r="BL1642" cm="1">
        <f t="array" ref="BL1642">IFERROR(IF(BK1642&lt;0,0,BK1642/($AU$1575-INDEX(hd_off,MATCH(BT1642,hd_mark,0),0)/12)),0)</f>
        <v>0</v>
      </c>
      <c r="BM1642">
        <f>MAX($F$24,$BE$1575)/$Q$1588</f>
        <v>0</v>
      </c>
      <c r="BN1642">
        <f t="shared" si="1013"/>
        <v>0</v>
      </c>
      <c r="BO1642" cm="1">
        <f t="array" ref="BO1642">IFERROR(INDEX(sheath_ecap_asd,MATCH(BS1642,sheath_mark,0),0)*BN1642,0)</f>
        <v>0</v>
      </c>
      <c r="BP1642" cm="1">
        <f t="array" ref="BP1642">IFERROR(INDEX(sheath_wcap_asd,MATCH(BS1642,sheath_mark,0),0)*BN1642,0)</f>
        <v>0</v>
      </c>
      <c r="BQ1642" cm="1">
        <f t="array" ref="BQ1642">IFERROR(INDEX(hd_cap,MATCH(BT1642,hd_mark,0),0),0)</f>
        <v>0</v>
      </c>
      <c r="BS1642" s="19"/>
      <c r="BT1642" s="19"/>
      <c r="BU1642" s="100"/>
    </row>
    <row r="1643" x14ac:dyDescent="0.25">
      <c r="P1643" s="93"/>
      <c r="Q1643" s="109"/>
      <c r="R1643" t="str">
        <f>$Q$1561</f>
        <v>Roof</v>
      </c>
      <c r="S1643">
        <f>$E$25</f>
        <v>33.171875</v>
      </c>
      <c r="T1643" cm="1">
        <f t="array" ref="T1643">IFERROR(IF(S1643=0,0,(INDEX($C$33:$C$38,MATCH($W$1575,$B$33:$B$38,0),0)*(S1643+$X$1575)+$V$1575*$C$31)*$R$1575),0)</f>
        <v>0</v>
      </c>
      <c r="U1643">
        <f>IF(S1643=0,0,-$V$1575*$C$31*$H$27*$R$1575)</f>
        <v>0</v>
      </c>
      <c r="V1643">
        <f>IF(S1643=0,0,$V$1575*$H$26*$R$1575)</f>
        <v>0</v>
      </c>
      <c r="W1643">
        <f>(0.6*T1643+0.7*U1643)*$R$1575/2</f>
        <v>0</v>
      </c>
      <c r="X1643">
        <f>T1643*$R$1575/2</f>
        <v>0</v>
      </c>
      <c r="Z1643">
        <f>IF(S1643=0,0,$AD$1575*$AP$1561)</f>
        <v>0</v>
      </c>
      <c r="AA1643">
        <f>IFERROR(Z1643/$R$1575,0)</f>
        <v>0</v>
      </c>
      <c r="AB1643">
        <f>Z1643*($F$25+($C$16+$C$17+IF($C$13="single",1.5,3)+3)/12)</f>
        <v>0</v>
      </c>
      <c r="AC1643">
        <f>AB1643-W1643</f>
        <v>0</v>
      </c>
      <c r="AD1643" cm="1">
        <f t="array" ref="AD1643">IFERROR(IF(AC1643&lt;0,0,AC1643/($R$1575-INDEX(hd_off,MATCH(AQ1643,hd_mark,0),0)/12)),0)</f>
        <v>0</v>
      </c>
      <c r="AE1643">
        <f>IF(S1643=0,0,$AD$1575*$AM$1561)</f>
        <v>0</v>
      </c>
      <c r="AF1643">
        <f>IFERROR(AE1643/$R$1575,0)</f>
        <v>0</v>
      </c>
      <c r="AG1643">
        <f>AE1643*($F$25+($C$16+$C$17+IF($C$13="single",1.5,3)+3)/12)</f>
        <v>0</v>
      </c>
      <c r="AH1643">
        <f>AG1643-X1643</f>
        <v>0</v>
      </c>
      <c r="AI1643" cm="1">
        <f t="array" ref="AI1643">IFERROR(IF(AH1643&lt;0,0,AH1643/($R$1575-INDEX(hd_off,MATCH(AQ1643,hd_mark,0),0)/12)),0)</f>
        <v>0</v>
      </c>
      <c r="AJ1643">
        <f>MAX($F$25,$AC$1575)/$Q$1588</f>
        <v>0.29920977011494249</v>
      </c>
      <c r="AK1643">
        <f t="shared" si="1012"/>
        <v>1</v>
      </c>
      <c r="AL1643" cm="1">
        <f t="array" ref="AL1643">IFERROR(INDEX(sheath_ecap_asd,MATCH(AP1643,sheath_mark,0),0)*AK1643,0)</f>
        <v>0</v>
      </c>
      <c r="AM1643" cm="1">
        <f t="array" ref="AM1643">IFERROR(INDEX(sheath_wcap_asd,MATCH(AP1643,sheath_mark,0),0)*AK1643,0)</f>
        <v>0</v>
      </c>
      <c r="AN1643" cm="1">
        <f t="array" ref="AN1643">IFERROR(INDEX(hd_cap,MATCH(AQ1643,hd_mark,0),0),0)</f>
        <v>0</v>
      </c>
      <c r="AP1643" s="19"/>
      <c r="AQ1643" s="19"/>
      <c r="AR1643" s="100"/>
      <c r="AS1643" s="93"/>
      <c r="AT1643" s="109"/>
      <c r="AU1643" t="str">
        <f>$Q$1561</f>
        <v>Roof</v>
      </c>
      <c r="AV1643">
        <f>$E$25</f>
        <v>33.171875</v>
      </c>
      <c r="AW1643" cm="1">
        <f t="array" ref="AW1643">IFERROR(IF(AV1643=0,0,(INDEX($C$33:$C$38,MATCH($AZ$1575,$B$33:$B$38,0),0)*(AV1643+$BA$1575)+$AY$1575*$C$31)*$AU$1575),0)</f>
        <v>0</v>
      </c>
      <c r="AX1643">
        <f>IF(AV1643=0,0,-$AY$1575*$C$31*$H$27*$AU$1575)</f>
        <v>0</v>
      </c>
      <c r="AY1643">
        <f>IF(AV1643=0,0,$AY$1575*$H$26*$AU$1575)</f>
        <v>0</v>
      </c>
      <c r="AZ1643">
        <f>(0.6*AW1643+0.7*AX1643)*$AU$1575/2</f>
        <v>0</v>
      </c>
      <c r="BA1643">
        <f>AW1643*$AU$1575/2</f>
        <v>0</v>
      </c>
      <c r="BC1643">
        <f>IF(AV1643=0,0,$BG$1575*$AP$1561)</f>
        <v>0</v>
      </c>
      <c r="BD1643">
        <f>IFERROR(BC1643/$AU$1575,0)</f>
        <v>0</v>
      </c>
      <c r="BE1643">
        <f>BC1643*($F$25+($C$16+$C$17+IF($C$13="single",1.5,3)+3)/12)</f>
        <v>0</v>
      </c>
      <c r="BF1643">
        <f>BE1643-AZ1643</f>
        <v>0</v>
      </c>
      <c r="BG1643" cm="1">
        <f t="array" ref="BG1643">IFERROR(IF(BF1643&lt;0,0,BF1643/($AU$1575-INDEX(hd_off,MATCH(BT1643,hd_mark,0),0)/12)),0)</f>
        <v>0</v>
      </c>
      <c r="BH1643">
        <f>IF(AV1643=0,0,$BG$1575*$AM$1561)</f>
        <v>0</v>
      </c>
      <c r="BI1643">
        <f>IFERROR(BH1643/$AU$1575,0)</f>
        <v>0</v>
      </c>
      <c r="BJ1643">
        <f>BH1643*($F$25+($C$16+$C$17+IF($C$13="single",1.5,3)+3)/12)</f>
        <v>0</v>
      </c>
      <c r="BK1643">
        <f>BJ1643-BA1643</f>
        <v>0</v>
      </c>
      <c r="BL1643" cm="1">
        <f t="array" ref="BL1643">IFERROR(IF(BK1643&lt;0,0,BK1643/($AU$1575-INDEX(hd_off,MATCH(BT1643,hd_mark,0),0)/12)),0)</f>
        <v>0</v>
      </c>
      <c r="BM1643">
        <f>MAX($F$25,$BF$1575)/$Q$1588</f>
        <v>0.29920977011494249</v>
      </c>
      <c r="BN1643">
        <f t="shared" si="1013"/>
        <v>1</v>
      </c>
      <c r="BO1643" cm="1">
        <f t="array" ref="BO1643">IFERROR(INDEX(sheath_ecap_asd,MATCH(BS1643,sheath_mark,0),0)*BN1643,0)</f>
        <v>0</v>
      </c>
      <c r="BP1643" cm="1">
        <f t="array" ref="BP1643">IFERROR(INDEX(sheath_wcap_asd,MATCH(BS1643,sheath_mark,0),0)*BN1643,0)</f>
        <v>0</v>
      </c>
      <c r="BQ1643" cm="1">
        <f t="array" ref="BQ1643">IFERROR(INDEX(hd_cap,MATCH(BT1643,hd_mark,0),0),0)</f>
        <v>0</v>
      </c>
      <c r="BS1643" s="19"/>
      <c r="BT1643" s="19"/>
      <c r="BU1643" s="100"/>
    </row>
    <row r="1644" x14ac:dyDescent="0.25">
      <c r="P1644" s="93"/>
      <c r="AR1644" s="100"/>
      <c r="AS1644" s="93"/>
      <c r="BU1644" s="100"/>
    </row>
    <row r="1645" x14ac:dyDescent="0.25">
      <c r="P1645" s="93"/>
      <c r="Q1645" s="110" t="str">
        <f>$Q$1576</f>
        <v>A.11</v>
      </c>
      <c r="R1645" t="str">
        <f>$Q$1557</f>
        <v>L2</v>
      </c>
      <c r="S1645">
        <f>$E$21</f>
        <v>10.6875</v>
      </c>
      <c r="T1645" cm="1">
        <f t="array" ref="T1645">IFERROR(IF(S1645=0,0,(INDEX($C$33:$C$38,MATCH($W$1576,$B$33:$B$38,0),0)*(S1649+$X$1576)+$T$1576*COUNTIF(S1645:S1648,"&gt;0")*$C$32+$V$1576*$C$31)*$R$1576),0)</f>
        <v>0</v>
      </c>
      <c r="U1645">
        <f>IF(S1645=0,0,-(COUNTIF(S1645:S1648,"&gt;0")*$T$1576*$C$32+$V$1576*$C$31)*$H$27*$R$1576)</f>
        <v>0</v>
      </c>
      <c r="V1645">
        <f>IF(S1645=0,0,$V$1576*$H$26*$R$1576)</f>
        <v>0</v>
      </c>
      <c r="W1645">
        <f>(0.6*T1645+0.7*U1645)*$R$1576/2</f>
        <v>0</v>
      </c>
      <c r="X1645">
        <f>(0.6*T1645+0.6*V1645)*$R$1576/2</f>
        <v>0</v>
      </c>
      <c r="Z1645">
        <f>IF(S1645=0,0,$AD$1576*$AP$1557)</f>
        <v>0</v>
      </c>
      <c r="AA1645">
        <f>IFERROR(Z1645/$R$1576,0)</f>
        <v>0</v>
      </c>
      <c r="AB1645">
        <f>Z1645*($F$21+IF($F$21=0,0,($C$14+$C$15+IF($C$13="single",1.5,3)+3)/12))</f>
        <v>0</v>
      </c>
      <c r="AC1645">
        <f>AB1645-W1645</f>
        <v>0</v>
      </c>
      <c r="AD1645" cm="1">
        <f t="array" ref="AD1645">IFERROR(IF(AC1645&lt;0,0,AC1645/($R$1576-INDEX(hd_off,MATCH(AQ1645,hd_mark,0),0)/12)),0)</f>
        <v>0</v>
      </c>
      <c r="AE1645">
        <f>IF(S1645=0,0,$AD$1576*$AM$1557)</f>
        <v>0</v>
      </c>
      <c r="AF1645">
        <f>IFERROR(AE1645/$R$1576,0)</f>
        <v>0</v>
      </c>
      <c r="AG1645">
        <f>AE1645*($F$21+IF($F$21=0,0,($C$14+$C$15+IF($C$13="single",1.5,3)+3)/12))</f>
        <v>0</v>
      </c>
      <c r="AH1645">
        <f>AG1645-X1645</f>
        <v>0</v>
      </c>
      <c r="AI1645" cm="1">
        <f t="array" ref="AI1645">IFERROR(IF(AH1645&lt;0,0,AH1645/($R$1576-INDEX(hd_off,MATCH(AQ1645,hd_mark,0),0)/12)),0)</f>
        <v>0</v>
      </c>
      <c r="AJ1645">
        <f>MAX($F$21,$Y$1576)/$Q$1588</f>
        <v>0.30172413793103448</v>
      </c>
      <c r="AK1645">
        <f>IF(AJ1645=0,0,IF(AJ1645&gt;2,1.25-0.125*AJ1645,1))</f>
        <v>1</v>
      </c>
      <c r="AL1645" cm="1">
        <f t="array" ref="AL1645">IFERROR(INDEX(sheath_ecap_asd,MATCH(AP1645,sheath_mark,0),0)*AK1645,0)</f>
        <v>0</v>
      </c>
      <c r="AM1645" cm="1">
        <f t="array" ref="AM1645">IFERROR(INDEX(sheath_wcap_asd,MATCH(AP1645,sheath_mark,0),0)*AK1645,0)</f>
        <v>0</v>
      </c>
      <c r="AN1645" cm="1">
        <f t="array" ref="AN1645">IFERROR(INDEX(hd_cap,MATCH(AQ1645,hd_mark,0),0),0)</f>
        <v>0</v>
      </c>
      <c r="AP1645" s="19"/>
      <c r="AQ1645" s="19"/>
      <c r="AR1645" s="100"/>
      <c r="AS1645" s="93"/>
      <c r="AT1645" s="110" t="str">
        <f>$AT$1576</f>
        <v>1.11</v>
      </c>
      <c r="AU1645" t="str">
        <f>$Q$1557</f>
        <v>L2</v>
      </c>
      <c r="AV1645">
        <f>$E$21</f>
        <v>10.6875</v>
      </c>
      <c r="AW1645" cm="1">
        <f t="array" ref="AW1645">IFERROR(IF(AV1645=0,0,(INDEX($C$33:$C$38,MATCH($AZ$1576,$B$33:$B$38,0),0)*(AV1649+$BA$1576)+$AW$1576*COUNTIF(AV1645:AV1648,"&gt;0")*$C$32+$AY$1576*$C$31)*$AU$1576),0)</f>
        <v>0</v>
      </c>
      <c r="AX1645">
        <f>IF(AV1645=0,0,-(COUNTIF(AV1645:AV1648,"&gt;0")*$AW$1576*$C$32+$AY$1576*$C$31)*$H$27*$AU$1576)</f>
        <v>0</v>
      </c>
      <c r="AY1645">
        <f>IF(AV1645=0,0,$AY$1576*$H$26*$AU$1576)</f>
        <v>0</v>
      </c>
      <c r="AZ1645">
        <f>(0.6*AW1645+0.7*AX1645)*$AU$1576/2</f>
        <v>0</v>
      </c>
      <c r="BA1645">
        <f>(0.6*AW1645+0.6*AY1645)*$AU$1576/2</f>
        <v>0</v>
      </c>
      <c r="BC1645">
        <f>IF(AV1645=0,0,$BG$1576*$AP$1557)</f>
        <v>0</v>
      </c>
      <c r="BD1645">
        <f>IFERROR(BC1645/$AU$1576,0)</f>
        <v>0</v>
      </c>
      <c r="BE1645">
        <f>BC1645*($F$21+IF($F$21=0,0,($C$14+$C$15+IF($C$13="single",1.5,3)+3)/12))</f>
        <v>0</v>
      </c>
      <c r="BF1645">
        <f>BE1645-AZ1645</f>
        <v>0</v>
      </c>
      <c r="BG1645" cm="1">
        <f t="array" ref="BG1645">IFERROR(IF(BF1645&lt;0,0,BF1645/($AU$1576-INDEX(hd_off,MATCH(BT1645,hd_mark,0),0)/12)),0)</f>
        <v>0</v>
      </c>
      <c r="BH1645">
        <f>IF(AV1645=0,0,$BG$1576*$AM$1557)</f>
        <v>0</v>
      </c>
      <c r="BI1645">
        <f>IFERROR(BH1645/$AU$1576,0)</f>
        <v>0</v>
      </c>
      <c r="BJ1645">
        <f>BH1645*($F$21+IF($F$21=0,0,($C$14+$C$15+IF($C$13="single",1.5,3)+3)/12))</f>
        <v>0</v>
      </c>
      <c r="BK1645">
        <f>BJ1645-BA1645</f>
        <v>0</v>
      </c>
      <c r="BL1645" cm="1">
        <f t="array" ref="BL1645">IFERROR(IF(BK1645&lt;0,0,BK1645/($AU$1576-INDEX(hd_off,MATCH(BT1645,hd_mark,0),0)/12)),0)</f>
        <v>0</v>
      </c>
      <c r="BM1645">
        <f>MAX($F$21,$BB$1576)/$Q$1588</f>
        <v>0.30172413793103448</v>
      </c>
      <c r="BN1645">
        <f>IF(BM1645=0,0,IF(BM1645&gt;2,1.25-0.125*BM1645,1))</f>
        <v>1</v>
      </c>
      <c r="BO1645" cm="1">
        <f t="array" ref="BO1645">IFERROR(INDEX(sheath_ecap_asd,MATCH(BS1645,sheath_mark,0),0)*BN1645,0)</f>
        <v>0</v>
      </c>
      <c r="BP1645" cm="1">
        <f t="array" ref="BP1645">IFERROR(INDEX(sheath_wcap_asd,MATCH(BS1645,sheath_mark,0),0)*BN1645,0)</f>
        <v>0</v>
      </c>
      <c r="BQ1645" cm="1">
        <f t="array" ref="BQ1645">IFERROR(INDEX(hd_cap,MATCH(BT1645,hd_mark,0),0),0)</f>
        <v>0</v>
      </c>
      <c r="BS1645" s="19"/>
      <c r="BT1645" s="19"/>
      <c r="BU1645" s="100"/>
    </row>
    <row r="1646" x14ac:dyDescent="0.25">
      <c r="P1646" s="93"/>
      <c r="Q1646" s="109"/>
      <c r="R1646" t="str">
        <f>$Q$1558</f>
        <v>L3</v>
      </c>
      <c r="S1646">
        <f>$E$22</f>
        <v>21.375</v>
      </c>
      <c r="T1646" cm="1">
        <f t="array" ref="T1646">IFERROR(IF(S1646=0,0,(INDEX($C$33:$C$38,MATCH($W$1576,$B$33:$B$38,0),0)*(S1649+$X$1576)+$T$1576*COUNTIF(S1646:S1648,"&gt;0")*$C$32+$V$1576*$C$31)*$R$1576),0)</f>
        <v>0</v>
      </c>
      <c r="U1646">
        <f>IF(S1646=0,0,-(COUNTIF(S1646:S1648,"&gt;0")*$T$1576*$C$32+$V$1576*$C$31)*$H$27*$R$1576)</f>
        <v>0</v>
      </c>
      <c r="V1646">
        <f>IF(S1646=0,0,$V$1576*$H$26*$R$1576)</f>
        <v>0</v>
      </c>
      <c r="W1646">
        <f>(0.6*T1646+0.7*U1646)*$R$1576/2</f>
        <v>0</v>
      </c>
      <c r="X1646">
        <f>T1646*$R$1576/2</f>
        <v>0</v>
      </c>
      <c r="Z1646">
        <f>IF(S1646=0,0,$AD$1576*$AP$1558)</f>
        <v>0</v>
      </c>
      <c r="AA1646">
        <f>IFERROR(Z1646/$R$1576,0)</f>
        <v>0</v>
      </c>
      <c r="AB1646">
        <f>Z1646*($F$22+IF($F$22=0,0,($C$14+$C$15+IF($C$13="single",1.5,3)+3)/12))</f>
        <v>0</v>
      </c>
      <c r="AC1646">
        <f>AB1646-W1646</f>
        <v>0</v>
      </c>
      <c r="AD1646" cm="1">
        <f t="array" ref="AD1646">IFERROR(IF(AC1646&lt;0,0,AC1646/($R$1576-INDEX(hd_off,MATCH(AQ1646,hd_mark,0),0)/12)),0)</f>
        <v>0</v>
      </c>
      <c r="AE1646">
        <f>IF(S1646=0,0,$AD$1576*$AM$1558)</f>
        <v>0</v>
      </c>
      <c r="AF1646">
        <f>IFERROR(AE1646/$R$1576,0)</f>
        <v>0</v>
      </c>
      <c r="AG1646">
        <f>AE1646*($F$22+IF($F$22=0,0,($C$14+$C$15+IF($C$13="single",1.5,3)+3)/12))</f>
        <v>0</v>
      </c>
      <c r="AH1646">
        <f>AG1646-X1646</f>
        <v>0</v>
      </c>
      <c r="AI1646" cm="1">
        <f t="array" ref="AI1646">IFERROR(IF(AH1646&lt;0,0,AH1646/($R$1576-INDEX(hd_off,MATCH(AQ1646,hd_mark,0),0)/12)),0)</f>
        <v>0</v>
      </c>
      <c r="AJ1646">
        <f>MAX($F$22,$Z$1576)/$Q$1588</f>
        <v>0.30172413793103448</v>
      </c>
      <c r="AK1646">
        <f t="shared" ref="AK1646:AK1649" si="1014">IF(AJ1646=0,0,IF(AJ1646&gt;2,1.25-0.125*AJ1646,1))</f>
        <v>1</v>
      </c>
      <c r="AL1646" cm="1">
        <f t="array" ref="AL1646">IFERROR(INDEX(sheath_ecap_asd,MATCH(AP1646,sheath_mark,0),0)*AK1646,0)</f>
        <v>0</v>
      </c>
      <c r="AM1646" cm="1">
        <f t="array" ref="AM1646">IFERROR(INDEX(sheath_wcap_asd,MATCH(AP1646,sheath_mark,0),0)*AK1646,0)</f>
        <v>0</v>
      </c>
      <c r="AN1646" cm="1">
        <f t="array" ref="AN1646">IFERROR(INDEX(hd_cap,MATCH(AQ1646,hd_mark,0),0),0)</f>
        <v>0</v>
      </c>
      <c r="AP1646" s="19"/>
      <c r="AQ1646" s="19"/>
      <c r="AR1646" s="100"/>
      <c r="AS1646" s="93"/>
      <c r="AT1646" s="109"/>
      <c r="AU1646" t="str">
        <f>$Q$1558</f>
        <v>L3</v>
      </c>
      <c r="AV1646">
        <f>$E$22</f>
        <v>21.375</v>
      </c>
      <c r="AW1646" cm="1">
        <f t="array" ref="AW1646">IFERROR(IF(AV1646=0,0,(INDEX($C$33:$C$38,MATCH($AZ$1576,$B$33:$B$38,0),0)*(AV1649+$BA$1576)+$AW$1576*COUNTIF(AV1646:AV1648,"&gt;0")*$C$32+$AY$1576*$C$31)*$AU$1576),0)</f>
        <v>0</v>
      </c>
      <c r="AX1646">
        <f>IF(AV1646=0,0,-(COUNTIF(AV1646:AV1648,"&gt;0")*$AW$1576*$C$32+$AY$1576*$C$31)*$H$27*$AU$1576)</f>
        <v>0</v>
      </c>
      <c r="AY1646">
        <f>IF(AV1646=0,0,$AY$1576*$H$26*$AU$1576)</f>
        <v>0</v>
      </c>
      <c r="AZ1646">
        <f>(0.6*AW1646+0.7*AX1646)*$AU$1576/2</f>
        <v>0</v>
      </c>
      <c r="BA1646">
        <f>AW1646*$AU$1576/2</f>
        <v>0</v>
      </c>
      <c r="BC1646">
        <f>IF(AV1646=0,0,$BG$1576*$AP$1558)</f>
        <v>0</v>
      </c>
      <c r="BD1646">
        <f>IFERROR(BC1646/$AU$1576,0)</f>
        <v>0</v>
      </c>
      <c r="BE1646">
        <f>BC1646*($F$22+IF($F$22=0,0,($C$14+$C$15+IF($C$13="single",1.5,3)+3)/12))</f>
        <v>0</v>
      </c>
      <c r="BF1646">
        <f>BE1646-AZ1646</f>
        <v>0</v>
      </c>
      <c r="BG1646" cm="1">
        <f t="array" ref="BG1646">IFERROR(IF(BF1646&lt;0,0,BF1646/($AU$1576-INDEX(hd_off,MATCH(BT1646,hd_mark,0),0)/12)),0)</f>
        <v>0</v>
      </c>
      <c r="BH1646">
        <f>IF(AV1646=0,0,$BG$1576*$AM$1558)</f>
        <v>0</v>
      </c>
      <c r="BI1646">
        <f>IFERROR(BH1646/$AU$1576,0)</f>
        <v>0</v>
      </c>
      <c r="BJ1646">
        <f>BH1646*($F$22+IF($F$22=0,0,($C$14+$C$15+IF($C$13="single",1.5,3)+3)/12))</f>
        <v>0</v>
      </c>
      <c r="BK1646">
        <f>BJ1646-BA1646</f>
        <v>0</v>
      </c>
      <c r="BL1646" cm="1">
        <f t="array" ref="BL1646">IFERROR(IF(BK1646&lt;0,0,BK1646/($AU$1576-INDEX(hd_off,MATCH(BT1646,hd_mark,0),0)/12)),0)</f>
        <v>0</v>
      </c>
      <c r="BM1646">
        <f>MAX($F$22,$BC$1576)/$Q$1588</f>
        <v>0.30172413793103448</v>
      </c>
      <c r="BN1646">
        <f t="shared" ref="BN1646:BN1649" si="1015">IF(BM1646=0,0,IF(BM1646&gt;2,1.25-0.125*BM1646,1))</f>
        <v>1</v>
      </c>
      <c r="BO1646" cm="1">
        <f t="array" ref="BO1646">IFERROR(INDEX(sheath_ecap_asd,MATCH(BS1646,sheath_mark,0),0)*BN1646,0)</f>
        <v>0</v>
      </c>
      <c r="BP1646" cm="1">
        <f t="array" ref="BP1646">IFERROR(INDEX(sheath_wcap_asd,MATCH(BS1646,sheath_mark,0),0)*BN1646,0)</f>
        <v>0</v>
      </c>
      <c r="BQ1646" cm="1">
        <f t="array" ref="BQ1646">IFERROR(INDEX(hd_cap,MATCH(BT1646,hd_mark,0),0),0)</f>
        <v>0</v>
      </c>
      <c r="BS1646" s="19"/>
      <c r="BT1646" s="19"/>
      <c r="BU1646" s="100"/>
    </row>
    <row r="1647" x14ac:dyDescent="0.25">
      <c r="P1647" s="93"/>
      <c r="Q1647" s="109" t="s">
        <v>491</v>
      </c>
      <c r="R1647" t="str">
        <f>$Q$1559</f>
        <v>L4</v>
      </c>
      <c r="S1647">
        <f>$E$23</f>
        <v>0</v>
      </c>
      <c r="T1647" cm="1">
        <f t="array" ref="T1647">IFERROR(IF(S1647=0,0,(INDEX($C$33:$C$38,MATCH($W$1576,$B$33:$B$38,0),0)*(S1649+$X$1576)+$T$1576*COUNTIF(S1647:S1648,"&gt;0")*$C$32+$V$1576*$C$31)*$R$1576),0)</f>
        <v>0</v>
      </c>
      <c r="U1647">
        <f>IF(S1647=0,0,-(COUNTIF(S1647:S1648,"&gt;0")*$T$1576*$C$32+$V$1576*$C$31)*$H$27*$R$1576)</f>
        <v>0</v>
      </c>
      <c r="V1647">
        <f>IF(S1647=0,0,$V$1576*$H$26*$R$1576)</f>
        <v>0</v>
      </c>
      <c r="W1647">
        <f>(0.6*T1647+0.7*U1647)*$R$1576/2</f>
        <v>0</v>
      </c>
      <c r="X1647">
        <f>T1647*$R$1576/2</f>
        <v>0</v>
      </c>
      <c r="Z1647">
        <f>IF(S1647=0,0,$AD$1576*$AP$1559)</f>
        <v>0</v>
      </c>
      <c r="AA1647">
        <f>IFERROR(Z1647/$R$1576,0)</f>
        <v>0</v>
      </c>
      <c r="AB1647">
        <f>Z1647*($F$23+IF($F$23=0,0,($C$14+$C$15+IF($C$13="single",1.5,3)+3)/12))</f>
        <v>0</v>
      </c>
      <c r="AC1647">
        <f>AB1647-W1647</f>
        <v>0</v>
      </c>
      <c r="AD1647" cm="1">
        <f t="array" ref="AD1647">IFERROR(IF(AC1647&lt;0,0,AC1647/($R$1576-INDEX(hd_off,MATCH(AQ1647,hd_mark,0),0)/12)),0)</f>
        <v>0</v>
      </c>
      <c r="AE1647">
        <f>IF(S1647=0,0,$AD$1576*$AM$1559)</f>
        <v>0</v>
      </c>
      <c r="AF1647">
        <f>IFERROR(AE1647/$R$1576,0)</f>
        <v>0</v>
      </c>
      <c r="AG1647">
        <f>AE1647*($F$23+IF($F$23=0,0,($C$14+$C$15+IF($C$13="single",1.5,3)+3)/12))</f>
        <v>0</v>
      </c>
      <c r="AH1647">
        <f>AG1647-X1647</f>
        <v>0</v>
      </c>
      <c r="AI1647" cm="1">
        <f t="array" ref="AI1647">IFERROR(IF(AH1647&lt;0,0,AH1647/($R$1576-INDEX(hd_off,MATCH(AQ1647,hd_mark,0),0)/12)),0)</f>
        <v>0</v>
      </c>
      <c r="AJ1647">
        <f>MAX($F$23,$AA$1576)/$Q$1588</f>
        <v>0</v>
      </c>
      <c r="AK1647">
        <f t="shared" si="1014"/>
        <v>0</v>
      </c>
      <c r="AL1647" cm="1">
        <f t="array" ref="AL1647">IFERROR(INDEX(sheath_ecap_asd,MATCH(AP1647,sheath_mark,0),0)*AK1647,0)</f>
        <v>0</v>
      </c>
      <c r="AM1647" cm="1">
        <f t="array" ref="AM1647">IFERROR(INDEX(sheath_wcap_asd,MATCH(AP1647,sheath_mark,0),0)*AK1647,0)</f>
        <v>0</v>
      </c>
      <c r="AN1647" cm="1">
        <f t="array" ref="AN1647">IFERROR(INDEX(hd_cap,MATCH(AQ1647,hd_mark,0),0),0)</f>
        <v>0</v>
      </c>
      <c r="AP1647" s="19"/>
      <c r="AQ1647" s="19"/>
      <c r="AR1647" s="100"/>
      <c r="AS1647" s="93"/>
      <c r="AT1647" s="109" t="s">
        <v>491</v>
      </c>
      <c r="AU1647" t="str">
        <f>$Q$1559</f>
        <v>L4</v>
      </c>
      <c r="AV1647">
        <f>$E$23</f>
        <v>0</v>
      </c>
      <c r="AW1647" cm="1">
        <f t="array" ref="AW1647">IFERROR(IF(AV1647=0,0,(INDEX($C$33:$C$38,MATCH($AZ$1576,$B$33:$B$38,0),0)*(AV1649+$BA$1576)+$AW$1576*COUNTIF(AV1647:AV1648,"&gt;0")*$C$32+$AY$1576*$C$31)*$AU$1576),0)</f>
        <v>0</v>
      </c>
      <c r="AX1647">
        <f>IF(AV1647=0,0,-(COUNTIF(AV1647:AV1648,"&gt;0")*$AW$1576*$C$32+$AY$1576*$C$31)*$H$27*$AU$1576)</f>
        <v>0</v>
      </c>
      <c r="AY1647">
        <f>IF(AV1647=0,0,$AY$1576*$H$26*$AU$1576)</f>
        <v>0</v>
      </c>
      <c r="AZ1647">
        <f>(0.6*AW1647+0.7*AX1647)*$AU$1576/2</f>
        <v>0</v>
      </c>
      <c r="BA1647">
        <f>AW1647*$AU$1576/2</f>
        <v>0</v>
      </c>
      <c r="BC1647">
        <f>IF(AV1647=0,0,$BG$1576*$AP$1559)</f>
        <v>0</v>
      </c>
      <c r="BD1647">
        <f>IFERROR(BC1647/$AU$1576,0)</f>
        <v>0</v>
      </c>
      <c r="BE1647">
        <f>BC1647*($F$23+IF($F$23=0,0,($C$14+$C$15+IF($C$13="single",1.5,3)+3)/12))</f>
        <v>0</v>
      </c>
      <c r="BF1647">
        <f>BE1647-AZ1647</f>
        <v>0</v>
      </c>
      <c r="BG1647" cm="1">
        <f t="array" ref="BG1647">IFERROR(IF(BF1647&lt;0,0,BF1647/($AU$1576-INDEX(hd_off,MATCH(BT1647,hd_mark,0),0)/12)),0)</f>
        <v>0</v>
      </c>
      <c r="BH1647">
        <f>IF(AV1647=0,0,$BG$1576*$AM$1559)</f>
        <v>0</v>
      </c>
      <c r="BI1647">
        <f>IFERROR(BH1647/$AU$1576,0)</f>
        <v>0</v>
      </c>
      <c r="BJ1647">
        <f>BH1647*($F$23+IF($F$23=0,0,($C$14+$C$15+IF($C$13="single",1.5,3)+3)/12))</f>
        <v>0</v>
      </c>
      <c r="BK1647">
        <f>BJ1647-BA1647</f>
        <v>0</v>
      </c>
      <c r="BL1647" cm="1">
        <f t="array" ref="BL1647">IFERROR(IF(BK1647&lt;0,0,BK1647/($AU$1576-INDEX(hd_off,MATCH(BT1647,hd_mark,0),0)/12)),0)</f>
        <v>0</v>
      </c>
      <c r="BM1647">
        <f>MAX($F$23,$BD$1576)/$Q$1588</f>
        <v>0</v>
      </c>
      <c r="BN1647">
        <f t="shared" si="1015"/>
        <v>0</v>
      </c>
      <c r="BO1647" cm="1">
        <f t="array" ref="BO1647">IFERROR(INDEX(sheath_ecap_asd,MATCH(BS1647,sheath_mark,0),0)*BN1647,0)</f>
        <v>0</v>
      </c>
      <c r="BP1647" cm="1">
        <f t="array" ref="BP1647">IFERROR(INDEX(sheath_wcap_asd,MATCH(BS1647,sheath_mark,0),0)*BN1647,0)</f>
        <v>0</v>
      </c>
      <c r="BQ1647" cm="1">
        <f t="array" ref="BQ1647">IFERROR(INDEX(hd_cap,MATCH(BT1647,hd_mark,0),0),0)</f>
        <v>0</v>
      </c>
      <c r="BS1647" s="19"/>
      <c r="BT1647" s="19"/>
      <c r="BU1647" s="100"/>
    </row>
    <row r="1648" x14ac:dyDescent="0.25">
      <c r="P1648" s="93"/>
      <c r="Q1648" s="111">
        <f>$R$1576</f>
        <v>0</v>
      </c>
      <c r="R1648" t="str">
        <f>$Q$1560</f>
        <v>L5</v>
      </c>
      <c r="S1648">
        <f>$E$24</f>
        <v>0</v>
      </c>
      <c r="T1648" cm="1">
        <f t="array" ref="T1648">IFERROR(IF(S1648=0,0,(INDEX($C$33:$C$38,MATCH($W$1576,$B$33:$B$38,0),0)*(S1649+$X$1576)+$T$1576*COUNTIF(S1648:S1648,"&gt;0")*$C$32+$V$1576*$C$31)*$R$1576),0)</f>
        <v>0</v>
      </c>
      <c r="U1648">
        <f>IF(S1648=0,0,-(COUNTIF(S1648:S1648,"&gt;0")*$T$1576*$C$32+$V$1576*$C$31)*$H$27*$R$1576)</f>
        <v>0</v>
      </c>
      <c r="V1648">
        <f>IF(S1648=0,0,$V$1576*$H$26*$R$1576)</f>
        <v>0</v>
      </c>
      <c r="W1648">
        <f>(0.6*T1648+0.7*U1648)*$R$1576/2</f>
        <v>0</v>
      </c>
      <c r="X1648">
        <f>T1648*$R$1576/2</f>
        <v>0</v>
      </c>
      <c r="Z1648">
        <f>IF(S1648=0,0,$AD$1576*$AP$1560)</f>
        <v>0</v>
      </c>
      <c r="AA1648">
        <f>IFERROR(Z1648/$R$1576,0)</f>
        <v>0</v>
      </c>
      <c r="AB1648">
        <f>Z1648*($F$24+IF($F$24=0,0,($C$14+$C$15+IF($C$13="single",1.5,3)+3)/12))</f>
        <v>0</v>
      </c>
      <c r="AC1648">
        <f>AB1648-W1648</f>
        <v>0</v>
      </c>
      <c r="AD1648" cm="1">
        <f t="array" ref="AD1648">IFERROR(IF(AC1648&lt;0,0,AC1648/($R$1576-INDEX(hd_off,MATCH(AQ1648,hd_mark,0),0)/12)),0)</f>
        <v>0</v>
      </c>
      <c r="AE1648">
        <f>IF(S1648=0,0,$AD$1576*$AM$1560)</f>
        <v>0</v>
      </c>
      <c r="AF1648">
        <f>IFERROR(AE1648/$R$1576,0)</f>
        <v>0</v>
      </c>
      <c r="AG1648">
        <f>AE1648*($F$24+IF($F$24=0,0,($C$14+$C$15+IF($C$13="single",1.5,3)+3)/12))</f>
        <v>0</v>
      </c>
      <c r="AH1648">
        <f>AG1648-X1648</f>
        <v>0</v>
      </c>
      <c r="AI1648" cm="1">
        <f t="array" ref="AI1648">IFERROR(IF(AH1648&lt;0,0,AH1648/($R$1576-INDEX(hd_off,MATCH(AQ1648,hd_mark,0),0)/12)),0)</f>
        <v>0</v>
      </c>
      <c r="AJ1648">
        <f>MAX($F$24,$AB$1576)/$Q$1588</f>
        <v>0</v>
      </c>
      <c r="AK1648">
        <f t="shared" si="1014"/>
        <v>0</v>
      </c>
      <c r="AL1648" cm="1">
        <f t="array" ref="AL1648">IFERROR(INDEX(sheath_ecap_asd,MATCH(AP1648,sheath_mark,0),0)*AK1648,0)</f>
        <v>0</v>
      </c>
      <c r="AM1648" cm="1">
        <f t="array" ref="AM1648">IFERROR(INDEX(sheath_wcap_asd,MATCH(AP1648,sheath_mark,0),0)*AK1648,0)</f>
        <v>0</v>
      </c>
      <c r="AN1648" cm="1">
        <f t="array" ref="AN1648">IFERROR(INDEX(hd_cap,MATCH(AQ1648,hd_mark,0),0),0)</f>
        <v>0</v>
      </c>
      <c r="AP1648" s="19"/>
      <c r="AQ1648" s="19"/>
      <c r="AR1648" s="100"/>
      <c r="AS1648" s="93"/>
      <c r="AT1648" s="111">
        <f>$R$1576</f>
        <v>0</v>
      </c>
      <c r="AU1648" t="str">
        <f>$Q$1560</f>
        <v>L5</v>
      </c>
      <c r="AV1648">
        <f>$E$24</f>
        <v>0</v>
      </c>
      <c r="AW1648" cm="1">
        <f t="array" ref="AW1648">IFERROR(IF(AV1648=0,0,(INDEX($C$33:$C$38,MATCH($AZ$1576,$B$33:$B$38,0),0)*(AV1649+$BA$1576)+$AW$1576*COUNTIF(AV1648:AV1648,"&gt;0")*$C$32+$AY$1576*$C$31)*$AU$1576),0)</f>
        <v>0</v>
      </c>
      <c r="AX1648">
        <f>IF(AV1648=0,0,-(COUNTIF(AV1648:AV1648,"&gt;0")*$AW$1576*$C$32+$AY$1576*$C$31)*$H$27*$AU$1576)</f>
        <v>0</v>
      </c>
      <c r="AY1648">
        <f>IF(AV1648=0,0,$AY$1576*$H$26*$AU$1576)</f>
        <v>0</v>
      </c>
      <c r="AZ1648">
        <f>(0.6*AW1648+0.7*AX1648)*$AU$1576/2</f>
        <v>0</v>
      </c>
      <c r="BA1648">
        <f>AW1648*$AU$1576/2</f>
        <v>0</v>
      </c>
      <c r="BC1648">
        <f>IF(AV1648=0,0,$BG$1576*$AP$1560)</f>
        <v>0</v>
      </c>
      <c r="BD1648">
        <f>IFERROR(BC1648/$AU$1576,0)</f>
        <v>0</v>
      </c>
      <c r="BE1648">
        <f>BC1648*($F$24+IF($F$24=0,0,($C$14+$C$15+IF($C$13="single",1.5,3)+3)/12))</f>
        <v>0</v>
      </c>
      <c r="BF1648">
        <f>BE1648-AZ1648</f>
        <v>0</v>
      </c>
      <c r="BG1648" cm="1">
        <f t="array" ref="BG1648">IFERROR(IF(BF1648&lt;0,0,BF1648/($AU$1576-INDEX(hd_off,MATCH(BT1648,hd_mark,0),0)/12)),0)</f>
        <v>0</v>
      </c>
      <c r="BH1648">
        <f>IF(AV1648=0,0,$BG$1576*$AM$1560)</f>
        <v>0</v>
      </c>
      <c r="BI1648">
        <f>IFERROR(BH1648/$AU$1576,0)</f>
        <v>0</v>
      </c>
      <c r="BJ1648">
        <f>BH1648*($F$24+IF($F$24=0,0,($C$14+$C$15+IF($C$13="single",1.5,3)+3)/12))</f>
        <v>0</v>
      </c>
      <c r="BK1648">
        <f>BJ1648-BA1648</f>
        <v>0</v>
      </c>
      <c r="BL1648" cm="1">
        <f t="array" ref="BL1648">IFERROR(IF(BK1648&lt;0,0,BK1648/($AU$1576-INDEX(hd_off,MATCH(BT1648,hd_mark,0),0)/12)),0)</f>
        <v>0</v>
      </c>
      <c r="BM1648">
        <f>MAX($F$24,$BE$1576)/$Q$1588</f>
        <v>0</v>
      </c>
      <c r="BN1648">
        <f t="shared" si="1015"/>
        <v>0</v>
      </c>
      <c r="BO1648" cm="1">
        <f t="array" ref="BO1648">IFERROR(INDEX(sheath_ecap_asd,MATCH(BS1648,sheath_mark,0),0)*BN1648,0)</f>
        <v>0</v>
      </c>
      <c r="BP1648" cm="1">
        <f t="array" ref="BP1648">IFERROR(INDEX(sheath_wcap_asd,MATCH(BS1648,sheath_mark,0),0)*BN1648,0)</f>
        <v>0</v>
      </c>
      <c r="BQ1648" cm="1">
        <f t="array" ref="BQ1648">IFERROR(INDEX(hd_cap,MATCH(BT1648,hd_mark,0),0),0)</f>
        <v>0</v>
      </c>
      <c r="BS1648" s="19"/>
      <c r="BT1648" s="19"/>
      <c r="BU1648" s="100"/>
    </row>
    <row r="1649" x14ac:dyDescent="0.25">
      <c r="P1649" s="93"/>
      <c r="Q1649" s="109"/>
      <c r="R1649" t="str">
        <f>$Q$1561</f>
        <v>Roof</v>
      </c>
      <c r="S1649">
        <f>$E$25</f>
        <v>33.171875</v>
      </c>
      <c r="T1649" cm="1">
        <f t="array" ref="T1649">IFERROR(IF(S1649=0,0,(INDEX($C$33:$C$38,MATCH($W$1576,$B$33:$B$38,0),0)*(S1649+$X$1576)+$V$1576*$C$31)*$R$1576),0)</f>
        <v>0</v>
      </c>
      <c r="U1649">
        <f>IF(S1649=0,0,-$V$1576*$C$31*$H$27*$R$1576)</f>
        <v>0</v>
      </c>
      <c r="V1649">
        <f>IF(S1649=0,0,$V$1576*$H$26*$R$1576)</f>
        <v>0</v>
      </c>
      <c r="W1649">
        <f>(0.6*T1649+0.7*U1649)*$R$1576/2</f>
        <v>0</v>
      </c>
      <c r="X1649">
        <f>T1649*$R$1576/2</f>
        <v>0</v>
      </c>
      <c r="Z1649">
        <f>IF(S1649=0,0,$AD$1576*$AP$1561)</f>
        <v>0</v>
      </c>
      <c r="AA1649">
        <f>IFERROR(Z1649/$R$1576,0)</f>
        <v>0</v>
      </c>
      <c r="AB1649">
        <f>Z1649*($F$25+($C$16+$C$17+IF($C$13="single",1.5,3)+3)/12)</f>
        <v>0</v>
      </c>
      <c r="AC1649">
        <f>AB1649-W1649</f>
        <v>0</v>
      </c>
      <c r="AD1649" cm="1">
        <f t="array" ref="AD1649">IFERROR(IF(AC1649&lt;0,0,AC1649/($R$1576-INDEX(hd_off,MATCH(AQ1649,hd_mark,0),0)/12)),0)</f>
        <v>0</v>
      </c>
      <c r="AE1649">
        <f>IF(S1649=0,0,$AD$1576*$AM$1561)</f>
        <v>0</v>
      </c>
      <c r="AF1649">
        <f>IFERROR(AE1649/$R$1576,0)</f>
        <v>0</v>
      </c>
      <c r="AG1649">
        <f>AE1649*($F$25+($C$16+$C$17+IF($C$13="single",1.5,3)+3)/12)</f>
        <v>0</v>
      </c>
      <c r="AH1649">
        <f>AG1649-X1649</f>
        <v>0</v>
      </c>
      <c r="AI1649" cm="1">
        <f t="array" ref="AI1649">IFERROR(IF(AH1649&lt;0,0,AH1649/($R$1576-INDEX(hd_off,MATCH(AQ1649,hd_mark,0),0)/12)),0)</f>
        <v>0</v>
      </c>
      <c r="AJ1649">
        <f>MAX($F$25,$AC$1576)/$Q$1588</f>
        <v>0.29920977011494249</v>
      </c>
      <c r="AK1649">
        <f t="shared" si="1014"/>
        <v>1</v>
      </c>
      <c r="AL1649" cm="1">
        <f t="array" ref="AL1649">IFERROR(INDEX(sheath_ecap_asd,MATCH(AP1649,sheath_mark,0),0)*AK1649,0)</f>
        <v>0</v>
      </c>
      <c r="AM1649" cm="1">
        <f t="array" ref="AM1649">IFERROR(INDEX(sheath_wcap_asd,MATCH(AP1649,sheath_mark,0),0)*AK1649,0)</f>
        <v>0</v>
      </c>
      <c r="AN1649" cm="1">
        <f t="array" ref="AN1649">IFERROR(INDEX(hd_cap,MATCH(AQ1649,hd_mark,0),0),0)</f>
        <v>0</v>
      </c>
      <c r="AP1649" s="19"/>
      <c r="AQ1649" s="19"/>
      <c r="AR1649" s="100"/>
      <c r="AS1649" s="93"/>
      <c r="AT1649" s="109"/>
      <c r="AU1649" t="str">
        <f>$Q$1561</f>
        <v>Roof</v>
      </c>
      <c r="AV1649">
        <f>$E$25</f>
        <v>33.171875</v>
      </c>
      <c r="AW1649" cm="1">
        <f t="array" ref="AW1649">IFERROR(IF(AV1649=0,0,(INDEX($C$33:$C$38,MATCH($AZ$1576,$B$33:$B$38,0),0)*(AV1649+$BA$1576)+$AY$1576*$C$31)*$AU$1576),0)</f>
        <v>0</v>
      </c>
      <c r="AX1649">
        <f>IF(AV1649=0,0,-$AY$1576*$C$31*$H$27*$AU$1576)</f>
        <v>0</v>
      </c>
      <c r="AY1649">
        <f>IF(AV1649=0,0,$AY$1576*$H$26*$AU$1576)</f>
        <v>0</v>
      </c>
      <c r="AZ1649">
        <f>(0.6*AW1649+0.7*AX1649)*$AU$1576/2</f>
        <v>0</v>
      </c>
      <c r="BA1649">
        <f>AW1649*$AU$1576/2</f>
        <v>0</v>
      </c>
      <c r="BC1649">
        <f>IF(AV1649=0,0,$BG$1576*$AP$1561)</f>
        <v>0</v>
      </c>
      <c r="BD1649">
        <f>IFERROR(BC1649/$AU$1576,0)</f>
        <v>0</v>
      </c>
      <c r="BE1649">
        <f>BC1649*($F$25+($C$16+$C$17+IF($C$13="single",1.5,3)+3)/12)</f>
        <v>0</v>
      </c>
      <c r="BF1649">
        <f>BE1649-AZ1649</f>
        <v>0</v>
      </c>
      <c r="BG1649" cm="1">
        <f t="array" ref="BG1649">IFERROR(IF(BF1649&lt;0,0,BF1649/($AU$1576-INDEX(hd_off,MATCH(BT1649,hd_mark,0),0)/12)),0)</f>
        <v>0</v>
      </c>
      <c r="BH1649">
        <f>IF(AV1649=0,0,$BG$1576*$AM$1561)</f>
        <v>0</v>
      </c>
      <c r="BI1649">
        <f>IFERROR(BH1649/$AU$1576,0)</f>
        <v>0</v>
      </c>
      <c r="BJ1649">
        <f>BH1649*($F$25+($C$16+$C$17+IF($C$13="single",1.5,3)+3)/12)</f>
        <v>0</v>
      </c>
      <c r="BK1649">
        <f>BJ1649-BA1649</f>
        <v>0</v>
      </c>
      <c r="BL1649" cm="1">
        <f t="array" ref="BL1649">IFERROR(IF(BK1649&lt;0,0,BK1649/($AU$1576-INDEX(hd_off,MATCH(BT1649,hd_mark,0),0)/12)),0)</f>
        <v>0</v>
      </c>
      <c r="BM1649">
        <f>MAX($F$25,$BF$1576)/$Q$1588</f>
        <v>0.29920977011494249</v>
      </c>
      <c r="BN1649">
        <f t="shared" si="1015"/>
        <v>1</v>
      </c>
      <c r="BO1649" cm="1">
        <f t="array" ref="BO1649">IFERROR(INDEX(sheath_ecap_asd,MATCH(BS1649,sheath_mark,0),0)*BN1649,0)</f>
        <v>0</v>
      </c>
      <c r="BP1649" cm="1">
        <f t="array" ref="BP1649">IFERROR(INDEX(sheath_wcap_asd,MATCH(BS1649,sheath_mark,0),0)*BN1649,0)</f>
        <v>0</v>
      </c>
      <c r="BQ1649" cm="1">
        <f t="array" ref="BQ1649">IFERROR(INDEX(hd_cap,MATCH(BT1649,hd_mark,0),0),0)</f>
        <v>0</v>
      </c>
      <c r="BS1649" s="19"/>
      <c r="BT1649" s="19"/>
      <c r="BU1649" s="100"/>
    </row>
    <row r="1650" x14ac:dyDescent="0.25">
      <c r="P1650" s="93"/>
      <c r="AR1650" s="100"/>
      <c r="AS1650" s="93"/>
      <c r="BU1650" s="100"/>
    </row>
    <row r="1651" x14ac:dyDescent="0.25">
      <c r="P1651" s="93"/>
      <c r="Q1651" s="110" t="str">
        <f>$Q$1577</f>
        <v>A.12</v>
      </c>
      <c r="R1651" t="str">
        <f>$Q$1557</f>
        <v>L2</v>
      </c>
      <c r="S1651">
        <f>$E$21</f>
        <v>10.6875</v>
      </c>
      <c r="T1651" cm="1">
        <f t="array" ref="T1651">IFERROR(IF(S1651=0,0,(INDEX($C$33:$C$38,MATCH($W$1577,$B$33:$B$38,0),0)*(S1655+$X$1577)+$T$1577*COUNTIF(S1651:S1654,"&gt;0")*$C$32+$V$1577*$C$31)*$R$1577),0)</f>
        <v>0</v>
      </c>
      <c r="U1651">
        <f>IF(S1651=0,0,-(COUNTIF(S1651:S1654,"&gt;0")*$T$1577*$C$32+$V$1577*$C$31)*$H$27*$R$1577)</f>
        <v>0</v>
      </c>
      <c r="V1651">
        <f>IF(S1651=0,0,$V$1577*$H$26*$R$1577)</f>
        <v>0</v>
      </c>
      <c r="W1651">
        <f>(0.6*T1651+0.7*U1651)*$R$1577/2</f>
        <v>0</v>
      </c>
      <c r="X1651">
        <f>(0.6*T1651+0.6*V1651)*$R$1577/2</f>
        <v>0</v>
      </c>
      <c r="Z1651">
        <f>IF(S1651=0,0,$AD$1577*$AP$1557)</f>
        <v>0</v>
      </c>
      <c r="AA1651">
        <f>IFERROR(Z1651/$R$1577,0)</f>
        <v>0</v>
      </c>
      <c r="AB1651">
        <f>Z1651*($F$21+IF($F$21=0,0,($C$14+$C$15+IF($C$13="single",1.5,3)+3)/12))</f>
        <v>0</v>
      </c>
      <c r="AC1651">
        <f>AB1651-W1651</f>
        <v>0</v>
      </c>
      <c r="AD1651" cm="1">
        <f t="array" ref="AD1651">IFERROR(IF(AC1651&lt;0,0,AC1651/($R$1577-INDEX(hd_off,MATCH(AQ1651,hd_mark,0),0)/12)),0)</f>
        <v>0</v>
      </c>
      <c r="AE1651">
        <f>IF(S1651=0,0,$AD$1577*$AM$1557)</f>
        <v>0</v>
      </c>
      <c r="AF1651">
        <f>IFERROR(AE1651/$R$1577,0)</f>
        <v>0</v>
      </c>
      <c r="AG1651">
        <f>AE1651*($F$21+IF($F$21=0,0,($C$14+$C$15+IF($C$13="single",1.5,3)+3)/12))</f>
        <v>0</v>
      </c>
      <c r="AH1651">
        <f>AG1651-X1651</f>
        <v>0</v>
      </c>
      <c r="AI1651" cm="1">
        <f t="array" ref="AI1651">IFERROR(IF(AH1651&lt;0,0,AH1651/($R$1577-INDEX(hd_off,MATCH(AQ1651,hd_mark,0),0)/12)),0)</f>
        <v>0</v>
      </c>
      <c r="AJ1651">
        <f>MAX($F$21,$Y$1577)/$Q$1588</f>
        <v>0.30172413793103448</v>
      </c>
      <c r="AK1651">
        <f>IF(AJ1651=0,0,IF(AJ1651&gt;2,1.25-0.125*AJ1651,1))</f>
        <v>1</v>
      </c>
      <c r="AL1651" cm="1">
        <f t="array" ref="AL1651">IFERROR(INDEX(sheath_ecap_asd,MATCH(AP1651,sheath_mark,0),0)*AK1651,0)</f>
        <v>0</v>
      </c>
      <c r="AM1651" cm="1">
        <f t="array" ref="AM1651">IFERROR(INDEX(sheath_wcap_asd,MATCH(AP1651,sheath_mark,0),0)*AK1651,0)</f>
        <v>0</v>
      </c>
      <c r="AN1651" cm="1">
        <f t="array" ref="AN1651">IFERROR(INDEX(hd_cap,MATCH(AQ1651,hd_mark,0),0),0)</f>
        <v>0</v>
      </c>
      <c r="AP1651" s="19"/>
      <c r="AQ1651" s="19"/>
      <c r="AR1651" s="100"/>
      <c r="AS1651" s="93"/>
      <c r="AT1651" s="110" t="str">
        <f>$AT$1577</f>
        <v>1.12</v>
      </c>
      <c r="AU1651" t="str">
        <f>$Q$1557</f>
        <v>L2</v>
      </c>
      <c r="AV1651">
        <f>$E$21</f>
        <v>10.6875</v>
      </c>
      <c r="AW1651" cm="1">
        <f t="array" ref="AW1651">IFERROR(IF(AV1651=0,0,(INDEX($C$33:$C$38,MATCH($AZ$1577,$B$33:$B$38,0),0)*(AV1655+$BA$1577)+$AW$1577*COUNTIF(AV1651:AV1654,"&gt;0")*$C$32+$AY$1577*$C$31)*$AU$1577),0)</f>
        <v>0</v>
      </c>
      <c r="AX1651">
        <f>IF(AV1651=0,0,-(COUNTIF(AV1651:AV1654,"&gt;0")*$AW$1577*$C$32+$AY$1577*$C$31)*$H$27*$AU$1577)</f>
        <v>0</v>
      </c>
      <c r="AY1651">
        <f>IF(AV1651=0,0,$AY$1577*$H$26*$AU$1577)</f>
        <v>0</v>
      </c>
      <c r="AZ1651">
        <f>(0.6*AW1651+0.7*AX1651)*$AU$1577/2</f>
        <v>0</v>
      </c>
      <c r="BA1651">
        <f>(0.6*AW1651+0.6*AY1651)*$AU$1577/2</f>
        <v>0</v>
      </c>
      <c r="BC1651">
        <f>IF(AV1651=0,0,$BG$1577*$AP$1557)</f>
        <v>0</v>
      </c>
      <c r="BD1651">
        <f>IFERROR(BC1651/$AU$1577,0)</f>
        <v>0</v>
      </c>
      <c r="BE1651">
        <f>BC1651*($F$21+IF($F$21=0,0,($C$14+$C$15+IF($C$13="single",1.5,3)+3)/12))</f>
        <v>0</v>
      </c>
      <c r="BF1651">
        <f>BE1651-AZ1651</f>
        <v>0</v>
      </c>
      <c r="BG1651" cm="1">
        <f t="array" ref="BG1651">IFERROR(IF(BF1651&lt;0,0,BF1651/($AU$1577-INDEX(hd_off,MATCH(BT1651,hd_mark,0),0)/12)),0)</f>
        <v>0</v>
      </c>
      <c r="BH1651">
        <f>IF(AV1651=0,0,$BG$1577*$AM$1557)</f>
        <v>0</v>
      </c>
      <c r="BI1651">
        <f>IFERROR(BH1651/$AU$1577,0)</f>
        <v>0</v>
      </c>
      <c r="BJ1651">
        <f>BH1651*($F$21+IF($F$21=0,0,($C$14+$C$15+IF($C$13="single",1.5,3)+3)/12))</f>
        <v>0</v>
      </c>
      <c r="BK1651">
        <f>BJ1651-BA1651</f>
        <v>0</v>
      </c>
      <c r="BL1651" cm="1">
        <f t="array" ref="BL1651">IFERROR(IF(BK1651&lt;0,0,BK1651/($AU$1577-INDEX(hd_off,MATCH(BT1651,hd_mark,0),0)/12)),0)</f>
        <v>0</v>
      </c>
      <c r="BM1651">
        <f>MAX($F$21,$BB$1577)/$Q$1588</f>
        <v>0.30172413793103448</v>
      </c>
      <c r="BN1651">
        <f>IF(BM1651=0,0,IF(BM1651&gt;2,1.25-0.125*BM1651,1))</f>
        <v>1</v>
      </c>
      <c r="BO1651" cm="1">
        <f t="array" ref="BO1651">IFERROR(INDEX(sheath_ecap_asd,MATCH(BS1651,sheath_mark,0),0)*BN1651,0)</f>
        <v>0</v>
      </c>
      <c r="BP1651" cm="1">
        <f t="array" ref="BP1651">IFERROR(INDEX(sheath_wcap_asd,MATCH(BS1651,sheath_mark,0),0)*BN1651,0)</f>
        <v>0</v>
      </c>
      <c r="BQ1651" cm="1">
        <f t="array" ref="BQ1651">IFERROR(INDEX(hd_cap,MATCH(BT1651,hd_mark,0),0),0)</f>
        <v>0</v>
      </c>
      <c r="BS1651" s="19"/>
      <c r="BT1651" s="19"/>
      <c r="BU1651" s="100"/>
    </row>
    <row r="1652" x14ac:dyDescent="0.25">
      <c r="P1652" s="93"/>
      <c r="Q1652" s="109"/>
      <c r="R1652" t="str">
        <f>$Q$1558</f>
        <v>L3</v>
      </c>
      <c r="S1652">
        <f>$E$22</f>
        <v>21.375</v>
      </c>
      <c r="T1652" cm="1">
        <f t="array" ref="T1652">IFERROR(IF(S1652=0,0,(INDEX($C$33:$C$38,MATCH($W$1577,$B$33:$B$38,0),0)*(S1655+$X$1577)+$T$1577*COUNTIF(S1652:S1654,"&gt;0")*$C$32+$V$1577*$C$31)*$R$1577),0)</f>
        <v>0</v>
      </c>
      <c r="U1652">
        <f>IF(S1652=0,0,-(COUNTIF(S1652:S1654,"&gt;0")*$T$1577*$C$32+$V$1577*$C$31)*$H$27*$R$1577)</f>
        <v>0</v>
      </c>
      <c r="V1652">
        <f>IF(S1652=0,0,$V$1577*$H$26*$R$1577)</f>
        <v>0</v>
      </c>
      <c r="W1652">
        <f>(0.6*T1652+0.7*U1652)*$R$1577/2</f>
        <v>0</v>
      </c>
      <c r="X1652">
        <f>T1652*$R$1577/2</f>
        <v>0</v>
      </c>
      <c r="Z1652">
        <f>IF(S1652=0,0,$AD$1577*$AP$1558)</f>
        <v>0</v>
      </c>
      <c r="AA1652">
        <f>IFERROR(Z1652/$R$1577,0)</f>
        <v>0</v>
      </c>
      <c r="AB1652">
        <f>Z1652*($F$22+IF($F$22=0,0,($C$14+$C$15+IF($C$13="single",1.5,3)+3)/12))</f>
        <v>0</v>
      </c>
      <c r="AC1652">
        <f>AB1652-W1652</f>
        <v>0</v>
      </c>
      <c r="AD1652" cm="1">
        <f t="array" ref="AD1652">IFERROR(IF(AC1652&lt;0,0,AC1652/($R$1577-INDEX(hd_off,MATCH(AQ1652,hd_mark,0),0)/12)),0)</f>
        <v>0</v>
      </c>
      <c r="AE1652">
        <f>IF(S1652=0,0,$AD$1577*$AM$1558)</f>
        <v>0</v>
      </c>
      <c r="AF1652">
        <f>IFERROR(AE1652/$R$1577,0)</f>
        <v>0</v>
      </c>
      <c r="AG1652">
        <f>AE1652*($F$22+IF($F$22=0,0,($C$14+$C$15+IF($C$13="single",1.5,3)+3)/12))</f>
        <v>0</v>
      </c>
      <c r="AH1652">
        <f>AG1652-X1652</f>
        <v>0</v>
      </c>
      <c r="AI1652" cm="1">
        <f t="array" ref="AI1652">IFERROR(IF(AH1652&lt;0,0,AH1652/($R$1577-INDEX(hd_off,MATCH(AQ1652,hd_mark,0),0)/12)),0)</f>
        <v>0</v>
      </c>
      <c r="AJ1652">
        <f>MAX($F$22,$Z$1577)/$Q$1588</f>
        <v>0.30172413793103448</v>
      </c>
      <c r="AK1652">
        <f t="shared" ref="AK1652:AK1655" si="1016">IF(AJ1652=0,0,IF(AJ1652&gt;2,1.25-0.125*AJ1652,1))</f>
        <v>1</v>
      </c>
      <c r="AL1652" cm="1">
        <f t="array" ref="AL1652">IFERROR(INDEX(sheath_ecap_asd,MATCH(AP1652,sheath_mark,0),0)*AK1652,0)</f>
        <v>0</v>
      </c>
      <c r="AM1652" cm="1">
        <f t="array" ref="AM1652">IFERROR(INDEX(sheath_wcap_asd,MATCH(AP1652,sheath_mark,0),0)*AK1652,0)</f>
        <v>0</v>
      </c>
      <c r="AN1652" cm="1">
        <f t="array" ref="AN1652">IFERROR(INDEX(hd_cap,MATCH(AQ1652,hd_mark,0),0),0)</f>
        <v>0</v>
      </c>
      <c r="AP1652" s="19"/>
      <c r="AQ1652" s="19"/>
      <c r="AR1652" s="100"/>
      <c r="AS1652" s="93"/>
      <c r="AT1652" s="109"/>
      <c r="AU1652" t="str">
        <f>$Q$1558</f>
        <v>L3</v>
      </c>
      <c r="AV1652">
        <f>$E$22</f>
        <v>21.375</v>
      </c>
      <c r="AW1652" cm="1">
        <f t="array" ref="AW1652">IFERROR(IF(AV1652=0,0,(INDEX($C$33:$C$38,MATCH($AZ$1577,$B$33:$B$38,0),0)*(AV1655+$BA$1577)+$AW$1577*COUNTIF(AV1652:AV1654,"&gt;0")*$C$32+$AY$1577*$C$31)*$AU$1577),0)</f>
        <v>0</v>
      </c>
      <c r="AX1652">
        <f>IF(AV1652=0,0,-(COUNTIF(AV1652:AV1654,"&gt;0")*$AW$1577*$C$32+$AY$1577*$C$31)*$H$27*$AU$1577)</f>
        <v>0</v>
      </c>
      <c r="AY1652">
        <f>IF(AV1652=0,0,$AY$1577*$H$26*$AU$1577)</f>
        <v>0</v>
      </c>
      <c r="AZ1652">
        <f>(0.6*AW1652+0.7*AX1652)*$AU$1577/2</f>
        <v>0</v>
      </c>
      <c r="BA1652">
        <f>AW1652*$AU$1577/2</f>
        <v>0</v>
      </c>
      <c r="BC1652">
        <f>IF(AV1652=0,0,$BG$1577*$AP$1558)</f>
        <v>0</v>
      </c>
      <c r="BD1652">
        <f>IFERROR(BC1652/$AU$1577,0)</f>
        <v>0</v>
      </c>
      <c r="BE1652">
        <f>BC1652*($F$22+IF($F$22=0,0,($C$14+$C$15+IF($C$13="single",1.5,3)+3)/12))</f>
        <v>0</v>
      </c>
      <c r="BF1652">
        <f>BE1652-AZ1652</f>
        <v>0</v>
      </c>
      <c r="BG1652" cm="1">
        <f t="array" ref="BG1652">IFERROR(IF(BF1652&lt;0,0,BF1652/($AU$1577-INDEX(hd_off,MATCH(BT1652,hd_mark,0),0)/12)),0)</f>
        <v>0</v>
      </c>
      <c r="BH1652">
        <f>IF(AV1652=0,0,$BG$1577*$AM$1558)</f>
        <v>0</v>
      </c>
      <c r="BI1652">
        <f>IFERROR(BH1652/$AU$1577,0)</f>
        <v>0</v>
      </c>
      <c r="BJ1652">
        <f>BH1652*($F$22+IF($F$22=0,0,($C$14+$C$15+IF($C$13="single",1.5,3)+3)/12))</f>
        <v>0</v>
      </c>
      <c r="BK1652">
        <f>BJ1652-BA1652</f>
        <v>0</v>
      </c>
      <c r="BL1652" cm="1">
        <f t="array" ref="BL1652">IFERROR(IF(BK1652&lt;0,0,BK1652/($AU$1577-INDEX(hd_off,MATCH(BT1652,hd_mark,0),0)/12)),0)</f>
        <v>0</v>
      </c>
      <c r="BM1652">
        <f>MAX($F$22,$BC$1577)/$Q$1588</f>
        <v>0.30172413793103448</v>
      </c>
      <c r="BN1652">
        <f t="shared" ref="BN1652:BN1655" si="1017">IF(BM1652=0,0,IF(BM1652&gt;2,1.25-0.125*BM1652,1))</f>
        <v>1</v>
      </c>
      <c r="BO1652" cm="1">
        <f t="array" ref="BO1652">IFERROR(INDEX(sheath_ecap_asd,MATCH(BS1652,sheath_mark,0),0)*BN1652,0)</f>
        <v>0</v>
      </c>
      <c r="BP1652" cm="1">
        <f t="array" ref="BP1652">IFERROR(INDEX(sheath_wcap_asd,MATCH(BS1652,sheath_mark,0),0)*BN1652,0)</f>
        <v>0</v>
      </c>
      <c r="BQ1652" cm="1">
        <f t="array" ref="BQ1652">IFERROR(INDEX(hd_cap,MATCH(BT1652,hd_mark,0),0),0)</f>
        <v>0</v>
      </c>
      <c r="BS1652" s="19"/>
      <c r="BT1652" s="19"/>
      <c r="BU1652" s="100"/>
    </row>
    <row r="1653" x14ac:dyDescent="0.25">
      <c r="P1653" s="93"/>
      <c r="Q1653" s="109" t="s">
        <v>491</v>
      </c>
      <c r="R1653" t="str">
        <f>$Q$1559</f>
        <v>L4</v>
      </c>
      <c r="S1653">
        <f>$E$23</f>
        <v>0</v>
      </c>
      <c r="T1653" cm="1">
        <f t="array" ref="T1653">IFERROR(IF(S1653=0,0,(INDEX($C$33:$C$38,MATCH($W$1577,$B$33:$B$38,0),0)*(S1655+$X$1577)+$T$1577*COUNTIF(S1653:S1654,"&gt;0")*$C$32+$V$1577*$C$31)*$R$1577),0)</f>
        <v>0</v>
      </c>
      <c r="U1653">
        <f>IF(S1653=0,0,-(COUNTIF(S1653:S1654,"&gt;0")*$T$1577*$C$32+$V$1577*$C$31)*$H$27*$R$1577)</f>
        <v>0</v>
      </c>
      <c r="V1653">
        <f>IF(S1653=0,0,$V$1577*$H$26*$R$1577)</f>
        <v>0</v>
      </c>
      <c r="W1653">
        <f>(0.6*T1653+0.7*U1653)*$R$1577/2</f>
        <v>0</v>
      </c>
      <c r="X1653">
        <f>T1653*$R$1577/2</f>
        <v>0</v>
      </c>
      <c r="Z1653">
        <f>IF(S1653=0,0,$AD$1577*$AP$1559)</f>
        <v>0</v>
      </c>
      <c r="AA1653">
        <f>IFERROR(Z1653/$R$1577,0)</f>
        <v>0</v>
      </c>
      <c r="AB1653">
        <f>Z1653*($F$23+IF($F$23=0,0,($C$14+$C$15+IF($C$13="single",1.5,3)+3)/12))</f>
        <v>0</v>
      </c>
      <c r="AC1653">
        <f>AB1653-W1653</f>
        <v>0</v>
      </c>
      <c r="AD1653" cm="1">
        <f t="array" ref="AD1653">IFERROR(IF(AC1653&lt;0,0,AC1653/($R$1577-INDEX(hd_off,MATCH(AQ1653,hd_mark,0),0)/12)),0)</f>
        <v>0</v>
      </c>
      <c r="AE1653">
        <f>IF(S1653=0,0,$AD$1577*$AM$1559)</f>
        <v>0</v>
      </c>
      <c r="AF1653">
        <f>IFERROR(AE1653/$R$1577,0)</f>
        <v>0</v>
      </c>
      <c r="AG1653">
        <f>AE1653*($F$23+IF($F$23=0,0,($C$14+$C$15+IF($C$13="single",1.5,3)+3)/12))</f>
        <v>0</v>
      </c>
      <c r="AH1653">
        <f>AG1653-X1653</f>
        <v>0</v>
      </c>
      <c r="AI1653" cm="1">
        <f t="array" ref="AI1653">IFERROR(IF(AH1653&lt;0,0,AH1653/($R$1577-INDEX(hd_off,MATCH(AQ1653,hd_mark,0),0)/12)),0)</f>
        <v>0</v>
      </c>
      <c r="AJ1653">
        <f>MAX($F$23,$AA$1577)/$Q$1588</f>
        <v>0</v>
      </c>
      <c r="AK1653">
        <f t="shared" si="1016"/>
        <v>0</v>
      </c>
      <c r="AL1653" cm="1">
        <f t="array" ref="AL1653">IFERROR(INDEX(sheath_ecap_asd,MATCH(AP1653,sheath_mark,0),0)*AK1653,0)</f>
        <v>0</v>
      </c>
      <c r="AM1653" cm="1">
        <f t="array" ref="AM1653">IFERROR(INDEX(sheath_wcap_asd,MATCH(AP1653,sheath_mark,0),0)*AK1653,0)</f>
        <v>0</v>
      </c>
      <c r="AN1653" cm="1">
        <f t="array" ref="AN1653">IFERROR(INDEX(hd_cap,MATCH(AQ1653,hd_mark,0),0),0)</f>
        <v>0</v>
      </c>
      <c r="AP1653" s="19"/>
      <c r="AQ1653" s="19"/>
      <c r="AR1653" s="100"/>
      <c r="AS1653" s="93"/>
      <c r="AT1653" s="109" t="s">
        <v>491</v>
      </c>
      <c r="AU1653" t="str">
        <f>$Q$1559</f>
        <v>L4</v>
      </c>
      <c r="AV1653">
        <f>$E$23</f>
        <v>0</v>
      </c>
      <c r="AW1653" cm="1">
        <f t="array" ref="AW1653">IFERROR(IF(AV1653=0,0,(INDEX($C$33:$C$38,MATCH($AZ$1577,$B$33:$B$38,0),0)*(AV1655+$BA$1577)+$AW$1577*COUNTIF(AV1653:AV1654,"&gt;0")*$C$32+$AY$1577*$C$31)*$AU$1577),0)</f>
        <v>0</v>
      </c>
      <c r="AX1653">
        <f>IF(AV1653=0,0,-(COUNTIF(AV1653:AV1654,"&gt;0")*$AW$1577*$C$32+$AY$1577*$C$31)*$H$27*$AU$1577)</f>
        <v>0</v>
      </c>
      <c r="AY1653">
        <f>IF(AV1653=0,0,$AY$1577*$H$26*$AU$1577)</f>
        <v>0</v>
      </c>
      <c r="AZ1653">
        <f>(0.6*AW1653+0.7*AX1653)*$AU$1577/2</f>
        <v>0</v>
      </c>
      <c r="BA1653">
        <f>AW1653*$AU$1577/2</f>
        <v>0</v>
      </c>
      <c r="BC1653">
        <f>IF(AV1653=0,0,$BG$1577*$AP$1559)</f>
        <v>0</v>
      </c>
      <c r="BD1653">
        <f>IFERROR(BC1653/$AU$1577,0)</f>
        <v>0</v>
      </c>
      <c r="BE1653">
        <f>BC1653*($F$23+IF($F$23=0,0,($C$14+$C$15+IF($C$13="single",1.5,3)+3)/12))</f>
        <v>0</v>
      </c>
      <c r="BF1653">
        <f>BE1653-AZ1653</f>
        <v>0</v>
      </c>
      <c r="BG1653" cm="1">
        <f t="array" ref="BG1653">IFERROR(IF(BF1653&lt;0,0,BF1653/($AU$1577-INDEX(hd_off,MATCH(BT1653,hd_mark,0),0)/12)),0)</f>
        <v>0</v>
      </c>
      <c r="BH1653">
        <f>IF(AV1653=0,0,$BG$1577*$AM$1559)</f>
        <v>0</v>
      </c>
      <c r="BI1653">
        <f>IFERROR(BH1653/$AU$1577,0)</f>
        <v>0</v>
      </c>
      <c r="BJ1653">
        <f>BH1653*($F$23+IF($F$23=0,0,($C$14+$C$15+IF($C$13="single",1.5,3)+3)/12))</f>
        <v>0</v>
      </c>
      <c r="BK1653">
        <f>BJ1653-BA1653</f>
        <v>0</v>
      </c>
      <c r="BL1653" cm="1">
        <f t="array" ref="BL1653">IFERROR(IF(BK1653&lt;0,0,BK1653/($AU$1577-INDEX(hd_off,MATCH(BT1653,hd_mark,0),0)/12)),0)</f>
        <v>0</v>
      </c>
      <c r="BM1653">
        <f>MAX($F$23,$BD$1577)/$Q$1588</f>
        <v>0</v>
      </c>
      <c r="BN1653">
        <f t="shared" si="1017"/>
        <v>0</v>
      </c>
      <c r="BO1653" cm="1">
        <f t="array" ref="BO1653">IFERROR(INDEX(sheath_ecap_asd,MATCH(BS1653,sheath_mark,0),0)*BN1653,0)</f>
        <v>0</v>
      </c>
      <c r="BP1653" cm="1">
        <f t="array" ref="BP1653">IFERROR(INDEX(sheath_wcap_asd,MATCH(BS1653,sheath_mark,0),0)*BN1653,0)</f>
        <v>0</v>
      </c>
      <c r="BQ1653" cm="1">
        <f t="array" ref="BQ1653">IFERROR(INDEX(hd_cap,MATCH(BT1653,hd_mark,0),0),0)</f>
        <v>0</v>
      </c>
      <c r="BS1653" s="19"/>
      <c r="BT1653" s="19"/>
      <c r="BU1653" s="100"/>
    </row>
    <row r="1654" x14ac:dyDescent="0.25">
      <c r="P1654" s="93"/>
      <c r="Q1654" s="111">
        <f>$R$1577</f>
        <v>0</v>
      </c>
      <c r="R1654" t="str">
        <f>$Q$1560</f>
        <v>L5</v>
      </c>
      <c r="S1654">
        <f>$E$24</f>
        <v>0</v>
      </c>
      <c r="T1654" cm="1">
        <f t="array" ref="T1654">IFERROR(IF(S1654=0,0,(INDEX($C$33:$C$38,MATCH($W$1577,$B$33:$B$38,0),0)*(S1655+$X$1577)+$T$1577*COUNTIF(S1654:S1654,"&gt;0")*$C$32+$V$1577*$C$31)*$R$1577),0)</f>
        <v>0</v>
      </c>
      <c r="U1654">
        <f>IF(S1654=0,0,-(COUNTIF(S1654:S1654,"&gt;0")*$T$1577*$C$32+$V$1577*$C$31)*$H$27*$R$1577)</f>
        <v>0</v>
      </c>
      <c r="V1654">
        <f>IF(S1654=0,0,$V$1577*$H$26*$R$1577)</f>
        <v>0</v>
      </c>
      <c r="W1654">
        <f>(0.6*T1654+0.7*U1654)*$R$1577/2</f>
        <v>0</v>
      </c>
      <c r="X1654">
        <f>T1654*$R$1577/2</f>
        <v>0</v>
      </c>
      <c r="Z1654">
        <f>IF(S1654=0,0,$AD$1577*$AP$1560)</f>
        <v>0</v>
      </c>
      <c r="AA1654">
        <f>IFERROR(Z1654/$R$1577,0)</f>
        <v>0</v>
      </c>
      <c r="AB1654">
        <f>Z1654*($F$24+IF($F$24=0,0,($C$14+$C$15+IF($C$13="single",1.5,3)+3)/12))</f>
        <v>0</v>
      </c>
      <c r="AC1654">
        <f>AB1654-W1654</f>
        <v>0</v>
      </c>
      <c r="AD1654" cm="1">
        <f t="array" ref="AD1654">IFERROR(IF(AC1654&lt;0,0,AC1654/($R$1577-INDEX(hd_off,MATCH(AQ1654,hd_mark,0),0)/12)),0)</f>
        <v>0</v>
      </c>
      <c r="AE1654">
        <f>IF(S1654=0,0,$AD$1577*$AM$1560)</f>
        <v>0</v>
      </c>
      <c r="AF1654">
        <f>IFERROR(AE1654/$R$1577,0)</f>
        <v>0</v>
      </c>
      <c r="AG1654">
        <f>AE1654*($F$24+IF($F$24=0,0,($C$14+$C$15+IF($C$13="single",1.5,3)+3)/12))</f>
        <v>0</v>
      </c>
      <c r="AH1654">
        <f>AG1654-X1654</f>
        <v>0</v>
      </c>
      <c r="AI1654" cm="1">
        <f t="array" ref="AI1654">IFERROR(IF(AH1654&lt;0,0,AH1654/($R$1577-INDEX(hd_off,MATCH(AQ1654,hd_mark,0),0)/12)),0)</f>
        <v>0</v>
      </c>
      <c r="AJ1654">
        <f>MAX($F$24,$AB$1577)/$Q$1588</f>
        <v>0</v>
      </c>
      <c r="AK1654">
        <f t="shared" si="1016"/>
        <v>0</v>
      </c>
      <c r="AL1654" cm="1">
        <f t="array" ref="AL1654">IFERROR(INDEX(sheath_ecap_asd,MATCH(AP1654,sheath_mark,0),0)*AK1654,0)</f>
        <v>0</v>
      </c>
      <c r="AM1654" cm="1">
        <f t="array" ref="AM1654">IFERROR(INDEX(sheath_wcap_asd,MATCH(AP1654,sheath_mark,0),0)*AK1654,0)</f>
        <v>0</v>
      </c>
      <c r="AN1654" cm="1">
        <f t="array" ref="AN1654">IFERROR(INDEX(hd_cap,MATCH(AQ1654,hd_mark,0),0),0)</f>
        <v>0</v>
      </c>
      <c r="AP1654" s="19"/>
      <c r="AQ1654" s="19"/>
      <c r="AR1654" s="100"/>
      <c r="AS1654" s="93"/>
      <c r="AT1654" s="111">
        <f>$R$1577</f>
        <v>0</v>
      </c>
      <c r="AU1654" t="str">
        <f>$Q$1560</f>
        <v>L5</v>
      </c>
      <c r="AV1654">
        <f>$E$24</f>
        <v>0</v>
      </c>
      <c r="AW1654" cm="1">
        <f t="array" ref="AW1654">IFERROR(IF(AV1654=0,0,(INDEX($C$33:$C$38,MATCH($AZ$1577,$B$33:$B$38,0),0)*(AV1655+$BA$1577)+$AW$1577*COUNTIF(AV1654:AV1654,"&gt;0")*$C$32+$AY$1577*$C$31)*$AU$1577),0)</f>
        <v>0</v>
      </c>
      <c r="AX1654">
        <f>IF(AV1654=0,0,-(COUNTIF(AV1654:AV1654,"&gt;0")*$AW$1577*$C$32+$AY$1577*$C$31)*$H$27*$AU$1577)</f>
        <v>0</v>
      </c>
      <c r="AY1654">
        <f>IF(AV1654=0,0,$AY$1577*$H$26*$AU$1577)</f>
        <v>0</v>
      </c>
      <c r="AZ1654">
        <f>(0.6*AW1654+0.7*AX1654)*$AU$1577/2</f>
        <v>0</v>
      </c>
      <c r="BA1654">
        <f>AW1654*$AU$1577/2</f>
        <v>0</v>
      </c>
      <c r="BC1654">
        <f>IF(AV1654=0,0,$BG$1577*$AP$1560)</f>
        <v>0</v>
      </c>
      <c r="BD1654">
        <f>IFERROR(BC1654/$AU$1577,0)</f>
        <v>0</v>
      </c>
      <c r="BE1654">
        <f>BC1654*($F$24+IF($F$24=0,0,($C$14+$C$15+IF($C$13="single",1.5,3)+3)/12))</f>
        <v>0</v>
      </c>
      <c r="BF1654">
        <f>BE1654-AZ1654</f>
        <v>0</v>
      </c>
      <c r="BG1654" cm="1">
        <f t="array" ref="BG1654">IFERROR(IF(BF1654&lt;0,0,BF1654/($AU$1577-INDEX(hd_off,MATCH(BT1654,hd_mark,0),0)/12)),0)</f>
        <v>0</v>
      </c>
      <c r="BH1654">
        <f>IF(AV1654=0,0,$BG$1577*$AM$1560)</f>
        <v>0</v>
      </c>
      <c r="BI1654">
        <f>IFERROR(BH1654/$AU$1577,0)</f>
        <v>0</v>
      </c>
      <c r="BJ1654">
        <f>BH1654*($F$24+IF($F$24=0,0,($C$14+$C$15+IF($C$13="single",1.5,3)+3)/12))</f>
        <v>0</v>
      </c>
      <c r="BK1654">
        <f>BJ1654-BA1654</f>
        <v>0</v>
      </c>
      <c r="BL1654" cm="1">
        <f t="array" ref="BL1654">IFERROR(IF(BK1654&lt;0,0,BK1654/($AU$1577-INDEX(hd_off,MATCH(BT1654,hd_mark,0),0)/12)),0)</f>
        <v>0</v>
      </c>
      <c r="BM1654">
        <f>MAX($F$24,$BE$1577)/$Q$1588</f>
        <v>0</v>
      </c>
      <c r="BN1654">
        <f t="shared" si="1017"/>
        <v>0</v>
      </c>
      <c r="BO1654" cm="1">
        <f t="array" ref="BO1654">IFERROR(INDEX(sheath_ecap_asd,MATCH(BS1654,sheath_mark,0),0)*BN1654,0)</f>
        <v>0</v>
      </c>
      <c r="BP1654" cm="1">
        <f t="array" ref="BP1654">IFERROR(INDEX(sheath_wcap_asd,MATCH(BS1654,sheath_mark,0),0)*BN1654,0)</f>
        <v>0</v>
      </c>
      <c r="BQ1654" cm="1">
        <f t="array" ref="BQ1654">IFERROR(INDEX(hd_cap,MATCH(BT1654,hd_mark,0),0),0)</f>
        <v>0</v>
      </c>
      <c r="BS1654" s="19"/>
      <c r="BT1654" s="19"/>
      <c r="BU1654" s="100"/>
    </row>
    <row r="1655" x14ac:dyDescent="0.25">
      <c r="P1655" s="93"/>
      <c r="Q1655" s="109"/>
      <c r="R1655" t="str">
        <f>$Q$1561</f>
        <v>Roof</v>
      </c>
      <c r="S1655">
        <f>$E$25</f>
        <v>33.171875</v>
      </c>
      <c r="T1655" cm="1">
        <f t="array" ref="T1655">IFERROR(IF(S1655=0,0,(INDEX($C$33:$C$38,MATCH($W$1577,$B$33:$B$38,0),0)*(S1655+$X$1577)+$V$1577*$C$31)*$R$1577),0)</f>
        <v>0</v>
      </c>
      <c r="U1655">
        <f>IF(S1655=0,0,-$V$1577*$C$31*$H$27*$R$1577)</f>
        <v>0</v>
      </c>
      <c r="V1655">
        <f>IF(S1655=0,0,$V$1577*$H$26*$R$1577)</f>
        <v>0</v>
      </c>
      <c r="W1655">
        <f>(0.6*T1655+0.7*U1655)*$R$1577/2</f>
        <v>0</v>
      </c>
      <c r="X1655">
        <f>T1655*$R$1577/2</f>
        <v>0</v>
      </c>
      <c r="Z1655">
        <f>IF(S1655=0,0,$AD$1577*$AP$1561)</f>
        <v>0</v>
      </c>
      <c r="AA1655">
        <f>IFERROR(Z1655/$R$1577,0)</f>
        <v>0</v>
      </c>
      <c r="AB1655">
        <f>Z1655*($F$25+($C$16+$C$17+IF($C$13="single",1.5,3)+3)/12)</f>
        <v>0</v>
      </c>
      <c r="AC1655">
        <f>AB1655-W1655</f>
        <v>0</v>
      </c>
      <c r="AD1655" cm="1">
        <f t="array" ref="AD1655">IFERROR(IF(AC1655&lt;0,0,AC1655/($R$1577-INDEX(hd_off,MATCH(AQ1655,hd_mark,0),0)/12)),0)</f>
        <v>0</v>
      </c>
      <c r="AE1655">
        <f>IF(S1655=0,0,$AD$1577*$AM$1561)</f>
        <v>0</v>
      </c>
      <c r="AF1655">
        <f>IFERROR(AE1655/$R$1577,0)</f>
        <v>0</v>
      </c>
      <c r="AG1655">
        <f>AE1655*($F$25+($C$16+$C$17+IF($C$13="single",1.5,3)+3)/12)</f>
        <v>0</v>
      </c>
      <c r="AH1655">
        <f>AG1655-X1655</f>
        <v>0</v>
      </c>
      <c r="AI1655" cm="1">
        <f t="array" ref="AI1655">IFERROR(IF(AH1655&lt;0,0,AH1655/($R$1577-INDEX(hd_off,MATCH(AQ1655,hd_mark,0),0)/12)),0)</f>
        <v>0</v>
      </c>
      <c r="AJ1655">
        <f>MAX($F$25,$AC$1577)/$Q$1588</f>
        <v>0.29920977011494249</v>
      </c>
      <c r="AK1655">
        <f t="shared" si="1016"/>
        <v>1</v>
      </c>
      <c r="AL1655" cm="1">
        <f t="array" ref="AL1655">IFERROR(INDEX(sheath_ecap_asd,MATCH(AP1655,sheath_mark,0),0)*AK1655,0)</f>
        <v>0</v>
      </c>
      <c r="AM1655" cm="1">
        <f t="array" ref="AM1655">IFERROR(INDEX(sheath_wcap_asd,MATCH(AP1655,sheath_mark,0),0)*AK1655,0)</f>
        <v>0</v>
      </c>
      <c r="AN1655" cm="1">
        <f t="array" ref="AN1655">IFERROR(INDEX(hd_cap,MATCH(AQ1655,hd_mark,0),0),0)</f>
        <v>0</v>
      </c>
      <c r="AP1655" s="19"/>
      <c r="AQ1655" s="19"/>
      <c r="AR1655" s="100"/>
      <c r="AS1655" s="93"/>
      <c r="AT1655" s="109"/>
      <c r="AU1655" t="str">
        <f>$Q$1561</f>
        <v>Roof</v>
      </c>
      <c r="AV1655">
        <f>$E$25</f>
        <v>33.171875</v>
      </c>
      <c r="AW1655" cm="1">
        <f t="array" ref="AW1655">IFERROR(IF(AV1655=0,0,(INDEX($C$33:$C$38,MATCH($AZ$1577,$B$33:$B$38,0),0)*(AV1655+$BA$1577)+$AY$1577*$C$31)*$AU$1577),0)</f>
        <v>0</v>
      </c>
      <c r="AX1655">
        <f>IF(AV1655=0,0,-$AY$1577*$C$31*$H$27*$AU$1577)</f>
        <v>0</v>
      </c>
      <c r="AY1655">
        <f>IF(AV1655=0,0,$AY$1577*$H$26*$AU$1577)</f>
        <v>0</v>
      </c>
      <c r="AZ1655">
        <f>(0.6*AW1655+0.7*AX1655)*$AU$1577/2</f>
        <v>0</v>
      </c>
      <c r="BA1655">
        <f>AW1655*$AU$1577/2</f>
        <v>0</v>
      </c>
      <c r="BC1655">
        <f>IF(AV1655=0,0,$BG$1577*$AP$1561)</f>
        <v>0</v>
      </c>
      <c r="BD1655">
        <f>IFERROR(BC1655/$AU$1577,0)</f>
        <v>0</v>
      </c>
      <c r="BE1655">
        <f>BC1655*($F$25+($C$16+$C$17+IF($C$13="single",1.5,3)+3)/12)</f>
        <v>0</v>
      </c>
      <c r="BF1655">
        <f>BE1655-AZ1655</f>
        <v>0</v>
      </c>
      <c r="BG1655" cm="1">
        <f t="array" ref="BG1655">IFERROR(IF(BF1655&lt;0,0,BF1655/($AU$1577-INDEX(hd_off,MATCH(BT1655,hd_mark,0),0)/12)),0)</f>
        <v>0</v>
      </c>
      <c r="BH1655">
        <f>IF(AV1655=0,0,$BG$1577*$AM$1561)</f>
        <v>0</v>
      </c>
      <c r="BI1655">
        <f>IFERROR(BH1655/$AU$1577,0)</f>
        <v>0</v>
      </c>
      <c r="BJ1655">
        <f>BH1655*($F$25+($C$16+$C$17+IF($C$13="single",1.5,3)+3)/12)</f>
        <v>0</v>
      </c>
      <c r="BK1655">
        <f>BJ1655-BA1655</f>
        <v>0</v>
      </c>
      <c r="BL1655" cm="1">
        <f t="array" ref="BL1655">IFERROR(IF(BK1655&lt;0,0,BK1655/($AU$1577-INDEX(hd_off,MATCH(BT1655,hd_mark,0),0)/12)),0)</f>
        <v>0</v>
      </c>
      <c r="BM1655">
        <f>MAX($F$25,$BF$1577)/$Q$1588</f>
        <v>0.29920977011494249</v>
      </c>
      <c r="BN1655">
        <f t="shared" si="1017"/>
        <v>1</v>
      </c>
      <c r="BO1655" cm="1">
        <f t="array" ref="BO1655">IFERROR(INDEX(sheath_ecap_asd,MATCH(BS1655,sheath_mark,0),0)*BN1655,0)</f>
        <v>0</v>
      </c>
      <c r="BP1655" cm="1">
        <f t="array" ref="BP1655">IFERROR(INDEX(sheath_wcap_asd,MATCH(BS1655,sheath_mark,0),0)*BN1655,0)</f>
        <v>0</v>
      </c>
      <c r="BQ1655" cm="1">
        <f t="array" ref="BQ1655">IFERROR(INDEX(hd_cap,MATCH(BT1655,hd_mark,0),0),0)</f>
        <v>0</v>
      </c>
      <c r="BS1655" s="19"/>
      <c r="BT1655" s="19"/>
      <c r="BU1655" s="100"/>
    </row>
    <row r="1656" x14ac:dyDescent="0.25">
      <c r="P1656" s="93"/>
      <c r="AR1656" s="100"/>
      <c r="AS1656" s="93"/>
      <c r="BU1656" s="100"/>
    </row>
    <row r="1657" x14ac:dyDescent="0.25">
      <c r="P1657" s="93"/>
      <c r="Q1657" s="110" t="str">
        <f>$Q$1578</f>
        <v>A.13</v>
      </c>
      <c r="R1657" t="str">
        <f>$Q$1557</f>
        <v>L2</v>
      </c>
      <c r="S1657">
        <f>$E$21</f>
        <v>10.6875</v>
      </c>
      <c r="T1657" cm="1">
        <f t="array" ref="T1657">IFERROR(IF(S1657=0,0,(INDEX($C$33:$C$38,MATCH($W$1578,$B$33:$B$38,0),0)*(S1661+$X$1578)+$T$1578*COUNTIF(S1657:S1660,"&gt;0")*$C$32+$V$1578*$C$31)*$R$1578),0)</f>
        <v>0</v>
      </c>
      <c r="U1657">
        <f>IF(S1657=0,0,-(COUNTIF(S1657:S1660,"&gt;0")*$T$1578*$C$32+$V$1578*$C$31)*$H$27*$R$1578)</f>
        <v>0</v>
      </c>
      <c r="V1657">
        <f>IF(S1657=0,0,$V$1578*$H$26*$R$1578)</f>
        <v>0</v>
      </c>
      <c r="W1657">
        <f>(0.6*T1657+0.7*U1657)*$R$1578/2</f>
        <v>0</v>
      </c>
      <c r="X1657">
        <f>(0.6*T1657+0.6*V1657)*$R$1578/2</f>
        <v>0</v>
      </c>
      <c r="Z1657">
        <f>IF(S1657=0,0,$AD$1578*$AP$1557)</f>
        <v>0</v>
      </c>
      <c r="AA1657">
        <f>IFERROR(Z1657/$R$1578,0)</f>
        <v>0</v>
      </c>
      <c r="AB1657">
        <f>Z1657*($F$21+IF($F$21=0,0,($C$14+$C$15+IF($C$13="single",1.5,3)+3)/12))</f>
        <v>0</v>
      </c>
      <c r="AC1657">
        <f>AB1657-W1657</f>
        <v>0</v>
      </c>
      <c r="AD1657" cm="1">
        <f t="array" ref="AD1657">IFERROR(IF(AC1657&lt;0,0,AC1657/($R$1578-INDEX(hd_off,MATCH(AQ1657,hd_mark,0),0)/12)),0)</f>
        <v>0</v>
      </c>
      <c r="AE1657">
        <f>IF(S1657=0,0,$AD$1578*$AM$1557)</f>
        <v>0</v>
      </c>
      <c r="AF1657">
        <f>IFERROR(AE1657/$R$1578,0)</f>
        <v>0</v>
      </c>
      <c r="AG1657">
        <f>AE1657*($F$21+IF($F$21=0,0,($C$14+$C$15+IF($C$13="single",1.5,3)+3)/12))</f>
        <v>0</v>
      </c>
      <c r="AH1657">
        <f>AG1657-X1657</f>
        <v>0</v>
      </c>
      <c r="AI1657" cm="1">
        <f t="array" ref="AI1657">IFERROR(IF(AH1657&lt;0,0,AH1657/($R$1578-INDEX(hd_off,MATCH(AQ1657,hd_mark,0),0)/12)),0)</f>
        <v>0</v>
      </c>
      <c r="AJ1657">
        <f>MAX($F$21,$Y$1578)/$Q$1588</f>
        <v>0.30172413793103448</v>
      </c>
      <c r="AK1657">
        <f>IF(AJ1657=0,0,IF(AJ1657&gt;2,1.25-0.125*AJ1657,1))</f>
        <v>1</v>
      </c>
      <c r="AL1657" cm="1">
        <f t="array" ref="AL1657">IFERROR(INDEX(sheath_ecap_asd,MATCH(AP1657,sheath_mark,0),0)*AK1657,0)</f>
        <v>0</v>
      </c>
      <c r="AM1657" cm="1">
        <f t="array" ref="AM1657">IFERROR(INDEX(sheath_wcap_asd,MATCH(AP1657,sheath_mark,0),0)*AK1657,0)</f>
        <v>0</v>
      </c>
      <c r="AN1657" cm="1">
        <f t="array" ref="AN1657">IFERROR(INDEX(hd_cap,MATCH(AQ1657,hd_mark,0),0),0)</f>
        <v>0</v>
      </c>
      <c r="AP1657" s="19"/>
      <c r="AQ1657" s="19"/>
      <c r="AR1657" s="100"/>
      <c r="AS1657" s="93"/>
      <c r="AT1657" s="110" t="str">
        <f>$AT$1578</f>
        <v>1.13</v>
      </c>
      <c r="AU1657" t="str">
        <f>$Q$1557</f>
        <v>L2</v>
      </c>
      <c r="AV1657">
        <f>$E$21</f>
        <v>10.6875</v>
      </c>
      <c r="AW1657" cm="1">
        <f t="array" ref="AW1657">IFERROR(IF(AV1657=0,0,(INDEX($C$33:$C$38,MATCH($AZ$1578,$B$33:$B$38,0),0)*(AV1661+$BA$1578)+$AW$1578*COUNTIF(AV1657:AV1660,"&gt;0")*$C$32+$AY$1578*$C$31)*$AU$1578),0)</f>
        <v>0</v>
      </c>
      <c r="AX1657">
        <f>IF(AV1657=0,0,-(COUNTIF(AV1657:AV1660,"&gt;0")*$AW$1578*$C$32+$AY$1578*$C$31)*$H$27*$AU$1578)</f>
        <v>0</v>
      </c>
      <c r="AY1657">
        <f>IF(AV1657=0,0,$AY$1578*$H$26*$AU$1578)</f>
        <v>0</v>
      </c>
      <c r="AZ1657">
        <f>(0.6*AW1657+0.7*AX1657)*$AU$1578/2</f>
        <v>0</v>
      </c>
      <c r="BA1657">
        <f>(0.6*AW1657+0.6*AY1657)*$AU$1578/2</f>
        <v>0</v>
      </c>
      <c r="BC1657">
        <f>IF(AV1657=0,0,$BG$1578*$AP$1557)</f>
        <v>0</v>
      </c>
      <c r="BD1657">
        <f>IFERROR(BC1657/$AU$1578,0)</f>
        <v>0</v>
      </c>
      <c r="BE1657">
        <f>BC1657*($F$21+IF($F$21=0,0,($C$14+$C$15+IF($C$13="single",1.5,3)+3)/12))</f>
        <v>0</v>
      </c>
      <c r="BF1657">
        <f>BE1657-AZ1657</f>
        <v>0</v>
      </c>
      <c r="BG1657" cm="1">
        <f t="array" ref="BG1657">IFERROR(IF(BF1657&lt;0,0,BF1657/($AU$1578-INDEX(hd_off,MATCH(BT1657,hd_mark,0),0)/12)),0)</f>
        <v>0</v>
      </c>
      <c r="BH1657">
        <f>IF(AV1657=0,0,$BG$1578*$AM$1557)</f>
        <v>0</v>
      </c>
      <c r="BI1657">
        <f>IFERROR(BH1657/$AU$1578,0)</f>
        <v>0</v>
      </c>
      <c r="BJ1657">
        <f>BH1657*($F$21+IF($F$21=0,0,($C$14+$C$15+IF($C$13="single",1.5,3)+3)/12))</f>
        <v>0</v>
      </c>
      <c r="BK1657">
        <f>BJ1657-BA1657</f>
        <v>0</v>
      </c>
      <c r="BL1657" cm="1">
        <f t="array" ref="BL1657">IFERROR(IF(BK1657&lt;0,0,BK1657/($AU$1578-INDEX(hd_off,MATCH(BT1657,hd_mark,0),0)/12)),0)</f>
        <v>0</v>
      </c>
      <c r="BM1657">
        <f>MAX($F$21,$BB$1578)/$Q$1588</f>
        <v>0.30172413793103448</v>
      </c>
      <c r="BN1657">
        <f>IF(BM1657=0,0,IF(BM1657&gt;2,1.25-0.125*BM1657,1))</f>
        <v>1</v>
      </c>
      <c r="BO1657" cm="1">
        <f t="array" ref="BO1657">IFERROR(INDEX(sheath_ecap_asd,MATCH(BS1657,sheath_mark,0),0)*BN1657,0)</f>
        <v>0</v>
      </c>
      <c r="BP1657" cm="1">
        <f t="array" ref="BP1657">IFERROR(INDEX(sheath_wcap_asd,MATCH(BS1657,sheath_mark,0),0)*BN1657,0)</f>
        <v>0</v>
      </c>
      <c r="BQ1657" cm="1">
        <f t="array" ref="BQ1657">IFERROR(INDEX(hd_cap,MATCH(BT1657,hd_mark,0),0),0)</f>
        <v>0</v>
      </c>
      <c r="BS1657" s="19"/>
      <c r="BT1657" s="19"/>
      <c r="BU1657" s="100"/>
    </row>
    <row r="1658" x14ac:dyDescent="0.25">
      <c r="P1658" s="93"/>
      <c r="Q1658" s="109"/>
      <c r="R1658" t="str">
        <f>$Q$1558</f>
        <v>L3</v>
      </c>
      <c r="S1658">
        <f>$E$22</f>
        <v>21.375</v>
      </c>
      <c r="T1658" cm="1">
        <f t="array" ref="T1658">IFERROR(IF(S1658=0,0,(INDEX($C$33:$C$38,MATCH($W$1578,$B$33:$B$38,0),0)*(S1661+$X$1578)+$T$1578*COUNTIF(S1658:S1660,"&gt;0")*$C$32+$V$1578*$C$31)*$R$1578),0)</f>
        <v>0</v>
      </c>
      <c r="U1658">
        <f>IF(S1658=0,0,-(COUNTIF(S1658:S1660,"&gt;0")*$T$1578*$C$32+$V$1578*$C$31)*$H$27*$R$1578)</f>
        <v>0</v>
      </c>
      <c r="V1658">
        <f>IF(S1658=0,0,$V$1578*$H$26*$R$1578)</f>
        <v>0</v>
      </c>
      <c r="W1658">
        <f>(0.6*T1658+0.7*U1658)*$R$1578/2</f>
        <v>0</v>
      </c>
      <c r="X1658">
        <f>T1658*$R$1578/2</f>
        <v>0</v>
      </c>
      <c r="Z1658">
        <f>IF(S1658=0,0,$AD$1578*$AP$1558)</f>
        <v>0</v>
      </c>
      <c r="AA1658">
        <f>IFERROR(Z1658/$R$1578,0)</f>
        <v>0</v>
      </c>
      <c r="AB1658">
        <f>Z1658*($F$22+IF($F$22=0,0,($C$14+$C$15+IF($C$13="single",1.5,3)+3)/12))</f>
        <v>0</v>
      </c>
      <c r="AC1658">
        <f>AB1658-W1658</f>
        <v>0</v>
      </c>
      <c r="AD1658" cm="1">
        <f t="array" ref="AD1658">IFERROR(IF(AC1658&lt;0,0,AC1658/($R$1578-INDEX(hd_off,MATCH(AQ1658,hd_mark,0),0)/12)),0)</f>
        <v>0</v>
      </c>
      <c r="AE1658">
        <f>IF(S1658=0,0,$AD$1578*$AM$1558)</f>
        <v>0</v>
      </c>
      <c r="AF1658">
        <f>IFERROR(AE1658/$R$1578,0)</f>
        <v>0</v>
      </c>
      <c r="AG1658">
        <f>AE1658*($F$22+IF($F$22=0,0,($C$14+$C$15+IF($C$13="single",1.5,3)+3)/12))</f>
        <v>0</v>
      </c>
      <c r="AH1658">
        <f>AG1658-X1658</f>
        <v>0</v>
      </c>
      <c r="AI1658" cm="1">
        <f t="array" ref="AI1658">IFERROR(IF(AH1658&lt;0,0,AH1658/($R$1578-INDEX(hd_off,MATCH(AQ1658,hd_mark,0),0)/12)),0)</f>
        <v>0</v>
      </c>
      <c r="AJ1658">
        <f>MAX($F$22,$Z$1578)/$Q$1588</f>
        <v>0.30172413793103448</v>
      </c>
      <c r="AK1658">
        <f t="shared" ref="AK1658:AK1661" si="1018">IF(AJ1658=0,0,IF(AJ1658&gt;2,1.25-0.125*AJ1658,1))</f>
        <v>1</v>
      </c>
      <c r="AL1658" cm="1">
        <f t="array" ref="AL1658">IFERROR(INDEX(sheath_ecap_asd,MATCH(AP1658,sheath_mark,0),0)*AK1658,0)</f>
        <v>0</v>
      </c>
      <c r="AM1658" cm="1">
        <f t="array" ref="AM1658">IFERROR(INDEX(sheath_wcap_asd,MATCH(AP1658,sheath_mark,0),0)*AK1658,0)</f>
        <v>0</v>
      </c>
      <c r="AN1658" cm="1">
        <f t="array" ref="AN1658">IFERROR(INDEX(hd_cap,MATCH(AQ1658,hd_mark,0),0),0)</f>
        <v>0</v>
      </c>
      <c r="AP1658" s="19"/>
      <c r="AQ1658" s="19"/>
      <c r="AR1658" s="100"/>
      <c r="AS1658" s="93"/>
      <c r="AT1658" s="109"/>
      <c r="AU1658" t="str">
        <f>$Q$1558</f>
        <v>L3</v>
      </c>
      <c r="AV1658">
        <f>$E$22</f>
        <v>21.375</v>
      </c>
      <c r="AW1658" cm="1">
        <f t="array" ref="AW1658">IFERROR(IF(AV1658=0,0,(INDEX($C$33:$C$38,MATCH($AZ$1578,$B$33:$B$38,0),0)*(AV1661+$BA$1578)+$AW$1578*COUNTIF(AV1658:AV1660,"&gt;0")*$C$32+$AY$1578*$C$31)*$AU$1578),0)</f>
        <v>0</v>
      </c>
      <c r="AX1658">
        <f>IF(AV1658=0,0,-(COUNTIF(AV1658:AV1660,"&gt;0")*$AW$1578*$C$32+$AY$1578*$C$31)*$H$27*$AU$1578)</f>
        <v>0</v>
      </c>
      <c r="AY1658">
        <f>IF(AV1658=0,0,$AY$1578*$H$26*$AU$1578)</f>
        <v>0</v>
      </c>
      <c r="AZ1658">
        <f>(0.6*AW1658+0.7*AX1658)*$AU$1578/2</f>
        <v>0</v>
      </c>
      <c r="BA1658">
        <f>AW1658*$AU$1578/2</f>
        <v>0</v>
      </c>
      <c r="BC1658">
        <f>IF(AV1658=0,0,$BG$1578*$AP$1558)</f>
        <v>0</v>
      </c>
      <c r="BD1658">
        <f>IFERROR(BC1658/$AU$1578,0)</f>
        <v>0</v>
      </c>
      <c r="BE1658">
        <f>BC1658*($F$22+IF($F$22=0,0,($C$14+$C$15+IF($C$13="single",1.5,3)+3)/12))</f>
        <v>0</v>
      </c>
      <c r="BF1658">
        <f>BE1658-AZ1658</f>
        <v>0</v>
      </c>
      <c r="BG1658" cm="1">
        <f t="array" ref="BG1658">IFERROR(IF(BF1658&lt;0,0,BF1658/($AU$1578-INDEX(hd_off,MATCH(BT1658,hd_mark,0),0)/12)),0)</f>
        <v>0</v>
      </c>
      <c r="BH1658">
        <f>IF(AV1658=0,0,$BG$1578*$AM$1558)</f>
        <v>0</v>
      </c>
      <c r="BI1658">
        <f>IFERROR(BH1658/$AU$1578,0)</f>
        <v>0</v>
      </c>
      <c r="BJ1658">
        <f>BH1658*($F$22+IF($F$22=0,0,($C$14+$C$15+IF($C$13="single",1.5,3)+3)/12))</f>
        <v>0</v>
      </c>
      <c r="BK1658">
        <f>BJ1658-BA1658</f>
        <v>0</v>
      </c>
      <c r="BL1658" cm="1">
        <f t="array" ref="BL1658">IFERROR(IF(BK1658&lt;0,0,BK1658/($AU$1578-INDEX(hd_off,MATCH(BT1658,hd_mark,0),0)/12)),0)</f>
        <v>0</v>
      </c>
      <c r="BM1658">
        <f>MAX($F$22,$BC$1578)/$Q$1588</f>
        <v>0.30172413793103448</v>
      </c>
      <c r="BN1658">
        <f t="shared" ref="BN1658:BN1661" si="1019">IF(BM1658=0,0,IF(BM1658&gt;2,1.25-0.125*BM1658,1))</f>
        <v>1</v>
      </c>
      <c r="BO1658" cm="1">
        <f t="array" ref="BO1658">IFERROR(INDEX(sheath_ecap_asd,MATCH(BS1658,sheath_mark,0),0)*BN1658,0)</f>
        <v>0</v>
      </c>
      <c r="BP1658" cm="1">
        <f t="array" ref="BP1658">IFERROR(INDEX(sheath_wcap_asd,MATCH(BS1658,sheath_mark,0),0)*BN1658,0)</f>
        <v>0</v>
      </c>
      <c r="BQ1658" cm="1">
        <f t="array" ref="BQ1658">IFERROR(INDEX(hd_cap,MATCH(BT1658,hd_mark,0),0),0)</f>
        <v>0</v>
      </c>
      <c r="BS1658" s="19"/>
      <c r="BT1658" s="19"/>
      <c r="BU1658" s="100"/>
    </row>
    <row r="1659" x14ac:dyDescent="0.25">
      <c r="P1659" s="93"/>
      <c r="Q1659" s="109" t="s">
        <v>491</v>
      </c>
      <c r="R1659" t="str">
        <f>$Q$1559</f>
        <v>L4</v>
      </c>
      <c r="S1659">
        <f>$E$23</f>
        <v>0</v>
      </c>
      <c r="T1659" cm="1">
        <f t="array" ref="T1659">IFERROR(IF(S1659=0,0,(INDEX($C$33:$C$38,MATCH($W$1578,$B$33:$B$38,0),0)*(S1661+$X$1578)+$T$1578*COUNTIF(S1659:S1660,"&gt;0")*$C$32+$V$1578*$C$31)*$R$1578),0)</f>
        <v>0</v>
      </c>
      <c r="U1659">
        <f>IF(S1659=0,0,-(COUNTIF(S1659:S1660,"&gt;0")*$T$1578*$C$32+$V$1578*$C$31)*$H$27*$R$1578)</f>
        <v>0</v>
      </c>
      <c r="V1659">
        <f>IF(S1659=0,0,$V$1578*$H$26*$R$1578)</f>
        <v>0</v>
      </c>
      <c r="W1659">
        <f>(0.6*T1659+0.7*U1659)*$R$1578/2</f>
        <v>0</v>
      </c>
      <c r="X1659">
        <f>T1659*$R$1578/2</f>
        <v>0</v>
      </c>
      <c r="Z1659">
        <f>IF(S1659=0,0,$AD$1578*$AP$1559)</f>
        <v>0</v>
      </c>
      <c r="AA1659">
        <f>IFERROR(Z1659/$R$1578,0)</f>
        <v>0</v>
      </c>
      <c r="AB1659">
        <f>Z1659*($F$23+IF($F$23=0,0,($C$14+$C$15+IF($C$13="single",1.5,3)+3)/12))</f>
        <v>0</v>
      </c>
      <c r="AC1659">
        <f>AB1659-W1659</f>
        <v>0</v>
      </c>
      <c r="AD1659" cm="1">
        <f t="array" ref="AD1659">IFERROR(IF(AC1659&lt;0,0,AC1659/($R$1578-INDEX(hd_off,MATCH(AQ1659,hd_mark,0),0)/12)),0)</f>
        <v>0</v>
      </c>
      <c r="AE1659">
        <f>IF(S1659=0,0,$AD$1578*$AM$1559)</f>
        <v>0</v>
      </c>
      <c r="AF1659">
        <f>IFERROR(AE1659/$R$1578,0)</f>
        <v>0</v>
      </c>
      <c r="AG1659">
        <f>AE1659*($F$23+IF($F$23=0,0,($C$14+$C$15+IF($C$13="single",1.5,3)+3)/12))</f>
        <v>0</v>
      </c>
      <c r="AH1659">
        <f>AG1659-X1659</f>
        <v>0</v>
      </c>
      <c r="AI1659" cm="1">
        <f t="array" ref="AI1659">IFERROR(IF(AH1659&lt;0,0,AH1659/($R$1578-INDEX(hd_off,MATCH(AQ1659,hd_mark,0),0)/12)),0)</f>
        <v>0</v>
      </c>
      <c r="AJ1659">
        <f>MAX($F$23,$AA$1578)/$Q$1588</f>
        <v>0</v>
      </c>
      <c r="AK1659">
        <f t="shared" si="1018"/>
        <v>0</v>
      </c>
      <c r="AL1659" cm="1">
        <f t="array" ref="AL1659">IFERROR(INDEX(sheath_ecap_asd,MATCH(AP1659,sheath_mark,0),0)*AK1659,0)</f>
        <v>0</v>
      </c>
      <c r="AM1659" cm="1">
        <f t="array" ref="AM1659">IFERROR(INDEX(sheath_wcap_asd,MATCH(AP1659,sheath_mark,0),0)*AK1659,0)</f>
        <v>0</v>
      </c>
      <c r="AN1659" cm="1">
        <f t="array" ref="AN1659">IFERROR(INDEX(hd_cap,MATCH(AQ1659,hd_mark,0),0),0)</f>
        <v>0</v>
      </c>
      <c r="AP1659" s="19"/>
      <c r="AQ1659" s="19"/>
      <c r="AR1659" s="100"/>
      <c r="AS1659" s="93"/>
      <c r="AT1659" s="109" t="s">
        <v>491</v>
      </c>
      <c r="AU1659" t="str">
        <f>$Q$1559</f>
        <v>L4</v>
      </c>
      <c r="AV1659">
        <f>$E$23</f>
        <v>0</v>
      </c>
      <c r="AW1659" cm="1">
        <f t="array" ref="AW1659">IFERROR(IF(AV1659=0,0,(INDEX($C$33:$C$38,MATCH($AZ$1578,$B$33:$B$38,0),0)*(AV1661+$BA$1578)+$AW$1578*COUNTIF(AV1659:AV1660,"&gt;0")*$C$32+$AY$1578*$C$31)*$AU$1578),0)</f>
        <v>0</v>
      </c>
      <c r="AX1659">
        <f>IF(AV1659=0,0,-(COUNTIF(AV1659:AV1660,"&gt;0")*$AW$1578*$C$32+$AY$1578*$C$31)*$H$27*$AU$1578)</f>
        <v>0</v>
      </c>
      <c r="AY1659">
        <f>IF(AV1659=0,0,$AY$1578*$H$26*$AU$1578)</f>
        <v>0</v>
      </c>
      <c r="AZ1659">
        <f>(0.6*AW1659+0.7*AX1659)*$AU$1578/2</f>
        <v>0</v>
      </c>
      <c r="BA1659">
        <f>AW1659*$AU$1578/2</f>
        <v>0</v>
      </c>
      <c r="BC1659">
        <f>IF(AV1659=0,0,$BG$1578*$AP$1559)</f>
        <v>0</v>
      </c>
      <c r="BD1659">
        <f>IFERROR(BC1659/$AU$1578,0)</f>
        <v>0</v>
      </c>
      <c r="BE1659">
        <f>BC1659*($F$23+IF($F$23=0,0,($C$14+$C$15+IF($C$13="single",1.5,3)+3)/12))</f>
        <v>0</v>
      </c>
      <c r="BF1659">
        <f>BE1659-AZ1659</f>
        <v>0</v>
      </c>
      <c r="BG1659" cm="1">
        <f t="array" ref="BG1659">IFERROR(IF(BF1659&lt;0,0,BF1659/($AU$1578-INDEX(hd_off,MATCH(BT1659,hd_mark,0),0)/12)),0)</f>
        <v>0</v>
      </c>
      <c r="BH1659">
        <f>IF(AV1659=0,0,$BG$1578*$AM$1559)</f>
        <v>0</v>
      </c>
      <c r="BI1659">
        <f>IFERROR(BH1659/$AU$1578,0)</f>
        <v>0</v>
      </c>
      <c r="BJ1659">
        <f>BH1659*($F$23+IF($F$23=0,0,($C$14+$C$15+IF($C$13="single",1.5,3)+3)/12))</f>
        <v>0</v>
      </c>
      <c r="BK1659">
        <f>BJ1659-BA1659</f>
        <v>0</v>
      </c>
      <c r="BL1659" cm="1">
        <f t="array" ref="BL1659">IFERROR(IF(BK1659&lt;0,0,BK1659/($AU$1578-INDEX(hd_off,MATCH(BT1659,hd_mark,0),0)/12)),0)</f>
        <v>0</v>
      </c>
      <c r="BM1659">
        <f>MAX($F$23,$BD$1578)/$Q$1588</f>
        <v>0</v>
      </c>
      <c r="BN1659">
        <f t="shared" si="1019"/>
        <v>0</v>
      </c>
      <c r="BO1659" cm="1">
        <f t="array" ref="BO1659">IFERROR(INDEX(sheath_ecap_asd,MATCH(BS1659,sheath_mark,0),0)*BN1659,0)</f>
        <v>0</v>
      </c>
      <c r="BP1659" cm="1">
        <f t="array" ref="BP1659">IFERROR(INDEX(sheath_wcap_asd,MATCH(BS1659,sheath_mark,0),0)*BN1659,0)</f>
        <v>0</v>
      </c>
      <c r="BQ1659" cm="1">
        <f t="array" ref="BQ1659">IFERROR(INDEX(hd_cap,MATCH(BT1659,hd_mark,0),0),0)</f>
        <v>0</v>
      </c>
      <c r="BS1659" s="19"/>
      <c r="BT1659" s="19"/>
      <c r="BU1659" s="100"/>
    </row>
    <row r="1660" x14ac:dyDescent="0.25">
      <c r="P1660" s="93"/>
      <c r="Q1660" s="111">
        <f>$R$1578</f>
        <v>0</v>
      </c>
      <c r="R1660" t="str">
        <f>$Q$1560</f>
        <v>L5</v>
      </c>
      <c r="S1660">
        <f>$E$24</f>
        <v>0</v>
      </c>
      <c r="T1660" cm="1">
        <f t="array" ref="T1660">IFERROR(IF(S1660=0,0,(INDEX($C$33:$C$38,MATCH($W$1578,$B$33:$B$38,0),0)*(S1661+$X$1578)+$T$1578*COUNTIF(S1660:S1660,"&gt;0")*$C$32+$V$1578*$C$31)*$R$1578),0)</f>
        <v>0</v>
      </c>
      <c r="U1660">
        <f>IF(S1660=0,0,-(COUNTIF(S1660:S1660,"&gt;0")*$T$1578*$C$32+$V$1578*$C$31)*$H$27*$R$1578)</f>
        <v>0</v>
      </c>
      <c r="V1660">
        <f>IF(S1660=0,0,$V$1578*$H$26*$R$1578)</f>
        <v>0</v>
      </c>
      <c r="W1660">
        <f>(0.6*T1660+0.7*U1660)*$R$1578/2</f>
        <v>0</v>
      </c>
      <c r="X1660">
        <f>T1660*$R$1578/2</f>
        <v>0</v>
      </c>
      <c r="Z1660">
        <f>IF(S1660=0,0,$AD$1578*$AP$1560)</f>
        <v>0</v>
      </c>
      <c r="AA1660">
        <f>IFERROR(Z1660/$R$1578,0)</f>
        <v>0</v>
      </c>
      <c r="AB1660">
        <f>Z1660*($F$24+IF($F$24=0,0,($C$14+$C$15+IF($C$13="single",1.5,3)+3)/12))</f>
        <v>0</v>
      </c>
      <c r="AC1660">
        <f>AB1660-W1660</f>
        <v>0</v>
      </c>
      <c r="AD1660" cm="1">
        <f t="array" ref="AD1660">IFERROR(IF(AC1660&lt;0,0,AC1660/($R$1578-INDEX(hd_off,MATCH(AQ1660,hd_mark,0),0)/12)),0)</f>
        <v>0</v>
      </c>
      <c r="AE1660">
        <f>IF(S1660=0,0,$AD$1578*$AM$1560)</f>
        <v>0</v>
      </c>
      <c r="AF1660">
        <f>IFERROR(AE1660/$R$1578,0)</f>
        <v>0</v>
      </c>
      <c r="AG1660">
        <f>AE1660*($F$24+IF($F$24=0,0,($C$14+$C$15+IF($C$13="single",1.5,3)+3)/12))</f>
        <v>0</v>
      </c>
      <c r="AH1660">
        <f>AG1660-X1660</f>
        <v>0</v>
      </c>
      <c r="AI1660" cm="1">
        <f t="array" ref="AI1660">IFERROR(IF(AH1660&lt;0,0,AH1660/($R$1578-INDEX(hd_off,MATCH(AQ1660,hd_mark,0),0)/12)),0)</f>
        <v>0</v>
      </c>
      <c r="AJ1660">
        <f>MAX($F$24,$AB$1578)/$Q$1588</f>
        <v>0</v>
      </c>
      <c r="AK1660">
        <f t="shared" si="1018"/>
        <v>0</v>
      </c>
      <c r="AL1660" cm="1">
        <f t="array" ref="AL1660">IFERROR(INDEX(sheath_ecap_asd,MATCH(AP1660,sheath_mark,0),0)*AK1660,0)</f>
        <v>0</v>
      </c>
      <c r="AM1660" cm="1">
        <f t="array" ref="AM1660">IFERROR(INDEX(sheath_wcap_asd,MATCH(AP1660,sheath_mark,0),0)*AK1660,0)</f>
        <v>0</v>
      </c>
      <c r="AN1660" cm="1">
        <f t="array" ref="AN1660">IFERROR(INDEX(hd_cap,MATCH(AQ1660,hd_mark,0),0),0)</f>
        <v>0</v>
      </c>
      <c r="AP1660" s="19"/>
      <c r="AQ1660" s="19"/>
      <c r="AR1660" s="100"/>
      <c r="AS1660" s="93"/>
      <c r="AT1660" s="111">
        <f>$R$1578</f>
        <v>0</v>
      </c>
      <c r="AU1660" t="str">
        <f>$Q$1560</f>
        <v>L5</v>
      </c>
      <c r="AV1660">
        <f>$E$24</f>
        <v>0</v>
      </c>
      <c r="AW1660" cm="1">
        <f t="array" ref="AW1660">IFERROR(IF(AV1660=0,0,(INDEX($C$33:$C$38,MATCH($AZ$1578,$B$33:$B$38,0),0)*(AV1661+$BA$1578)+$AW$1578*COUNTIF(AV1660:AV1660,"&gt;0")*$C$32+$AY$1578*$C$31)*$AU$1578),0)</f>
        <v>0</v>
      </c>
      <c r="AX1660">
        <f>IF(AV1660=0,0,-(COUNTIF(AV1660:AV1660,"&gt;0")*$AW$1578*$C$32+$AY$1578*$C$31)*$H$27*$AU$1578)</f>
        <v>0</v>
      </c>
      <c r="AY1660">
        <f>IF(AV1660=0,0,$AY$1578*$H$26*$AU$1578)</f>
        <v>0</v>
      </c>
      <c r="AZ1660">
        <f>(0.6*AW1660+0.7*AX1660)*$AU$1578/2</f>
        <v>0</v>
      </c>
      <c r="BA1660">
        <f>AW1660*$AU$1578/2</f>
        <v>0</v>
      </c>
      <c r="BC1660">
        <f>IF(AV1660=0,0,$BG$1578*$AP$1560)</f>
        <v>0</v>
      </c>
      <c r="BD1660">
        <f>IFERROR(BC1660/$AU$1578,0)</f>
        <v>0</v>
      </c>
      <c r="BE1660">
        <f>BC1660*($F$24+IF($F$24=0,0,($C$14+$C$15+IF($C$13="single",1.5,3)+3)/12))</f>
        <v>0</v>
      </c>
      <c r="BF1660">
        <f>BE1660-AZ1660</f>
        <v>0</v>
      </c>
      <c r="BG1660" cm="1">
        <f t="array" ref="BG1660">IFERROR(IF(BF1660&lt;0,0,BF1660/($AU$1578-INDEX(hd_off,MATCH(BT1660,hd_mark,0),0)/12)),0)</f>
        <v>0</v>
      </c>
      <c r="BH1660">
        <f>IF(AV1660=0,0,$BG$1578*$AM$1560)</f>
        <v>0</v>
      </c>
      <c r="BI1660">
        <f>IFERROR(BH1660/$AU$1578,0)</f>
        <v>0</v>
      </c>
      <c r="BJ1660">
        <f>BH1660*($F$24+IF($F$24=0,0,($C$14+$C$15+IF($C$13="single",1.5,3)+3)/12))</f>
        <v>0</v>
      </c>
      <c r="BK1660">
        <f>BJ1660-BA1660</f>
        <v>0</v>
      </c>
      <c r="BL1660" cm="1">
        <f t="array" ref="BL1660">IFERROR(IF(BK1660&lt;0,0,BK1660/($AU$1578-INDEX(hd_off,MATCH(BT1660,hd_mark,0),0)/12)),0)</f>
        <v>0</v>
      </c>
      <c r="BM1660">
        <f>MAX($F$24,$BE$1578)/$Q$1588</f>
        <v>0</v>
      </c>
      <c r="BN1660">
        <f t="shared" si="1019"/>
        <v>0</v>
      </c>
      <c r="BO1660" cm="1">
        <f t="array" ref="BO1660">IFERROR(INDEX(sheath_ecap_asd,MATCH(BS1660,sheath_mark,0),0)*BN1660,0)</f>
        <v>0</v>
      </c>
      <c r="BP1660" cm="1">
        <f t="array" ref="BP1660">IFERROR(INDEX(sheath_wcap_asd,MATCH(BS1660,sheath_mark,0),0)*BN1660,0)</f>
        <v>0</v>
      </c>
      <c r="BQ1660" cm="1">
        <f t="array" ref="BQ1660">IFERROR(INDEX(hd_cap,MATCH(BT1660,hd_mark,0),0),0)</f>
        <v>0</v>
      </c>
      <c r="BS1660" s="19"/>
      <c r="BT1660" s="19"/>
      <c r="BU1660" s="100"/>
    </row>
    <row r="1661" x14ac:dyDescent="0.25">
      <c r="P1661" s="93"/>
      <c r="Q1661" s="109"/>
      <c r="R1661" t="str">
        <f>$Q$1561</f>
        <v>Roof</v>
      </c>
      <c r="S1661">
        <f>$E$25</f>
        <v>33.171875</v>
      </c>
      <c r="T1661" cm="1">
        <f t="array" ref="T1661">IFERROR(IF(S1661=0,0,(INDEX($C$33:$C$38,MATCH($W$1578,$B$33:$B$38,0),0)*(S1661+$X$1578)+$V$1578*$C$31)*$R$1578),0)</f>
        <v>0</v>
      </c>
      <c r="U1661">
        <f>IF(S1661=0,0,-$V$1578*$C$31*$H$27*$R$1578)</f>
        <v>0</v>
      </c>
      <c r="V1661">
        <f>IF(S1661=0,0,$V$1578*$H$26*$R$1578)</f>
        <v>0</v>
      </c>
      <c r="W1661">
        <f>(0.6*T1661+0.7*U1661)*$R$1578/2</f>
        <v>0</v>
      </c>
      <c r="X1661">
        <f>T1661*$R$1578/2</f>
        <v>0</v>
      </c>
      <c r="Z1661">
        <f>IF(S1661=0,0,$AD$1578*$AP$1561)</f>
        <v>0</v>
      </c>
      <c r="AA1661">
        <f>IFERROR(Z1661/$R$1578,0)</f>
        <v>0</v>
      </c>
      <c r="AB1661">
        <f>Z1661*($F$25+($C$16+$C$17+IF($C$13="single",1.5,3)+3)/12)</f>
        <v>0</v>
      </c>
      <c r="AC1661">
        <f>AB1661-W1661</f>
        <v>0</v>
      </c>
      <c r="AD1661" cm="1">
        <f t="array" ref="AD1661">IFERROR(IF(AC1661&lt;0,0,AC1661/($R$1578-INDEX(hd_off,MATCH(AQ1661,hd_mark,0),0)/12)),0)</f>
        <v>0</v>
      </c>
      <c r="AE1661">
        <f>IF(S1661=0,0,$AD$1578*$AM$1561)</f>
        <v>0</v>
      </c>
      <c r="AF1661">
        <f>IFERROR(AE1661/$R$1578,0)</f>
        <v>0</v>
      </c>
      <c r="AG1661">
        <f>AE1661*($F$25+($C$16+$C$17+IF($C$13="single",1.5,3)+3)/12)</f>
        <v>0</v>
      </c>
      <c r="AH1661">
        <f>AG1661-X1661</f>
        <v>0</v>
      </c>
      <c r="AI1661" cm="1">
        <f t="array" ref="AI1661">IFERROR(IF(AH1661&lt;0,0,AH1661/($R$1578-INDEX(hd_off,MATCH(AQ1661,hd_mark,0),0)/12)),0)</f>
        <v>0</v>
      </c>
      <c r="AJ1661">
        <f>MAX($F$25,$AC$1578)/$Q$1588</f>
        <v>0.29920977011494249</v>
      </c>
      <c r="AK1661">
        <f t="shared" si="1018"/>
        <v>1</v>
      </c>
      <c r="AL1661" cm="1">
        <f t="array" ref="AL1661">IFERROR(INDEX(sheath_ecap_asd,MATCH(AP1661,sheath_mark,0),0)*AK1661,0)</f>
        <v>0</v>
      </c>
      <c r="AM1661" cm="1">
        <f t="array" ref="AM1661">IFERROR(INDEX(sheath_wcap_asd,MATCH(AP1661,sheath_mark,0),0)*AK1661,0)</f>
        <v>0</v>
      </c>
      <c r="AN1661" cm="1">
        <f t="array" ref="AN1661">IFERROR(INDEX(hd_cap,MATCH(AQ1661,hd_mark,0),0),0)</f>
        <v>0</v>
      </c>
      <c r="AP1661" s="19"/>
      <c r="AQ1661" s="19"/>
      <c r="AR1661" s="100"/>
      <c r="AS1661" s="93"/>
      <c r="AT1661" s="109"/>
      <c r="AU1661" t="str">
        <f>$Q$1561</f>
        <v>Roof</v>
      </c>
      <c r="AV1661">
        <f>$E$25</f>
        <v>33.171875</v>
      </c>
      <c r="AW1661" cm="1">
        <f t="array" ref="AW1661">IFERROR(IF(AV1661=0,0,(INDEX($C$33:$C$38,MATCH($AZ$1578,$B$33:$B$38,0),0)*(AV1661+$BA$1578)+$AY$1578*$C$31)*$AU$1578),0)</f>
        <v>0</v>
      </c>
      <c r="AX1661">
        <f>IF(AV1661=0,0,-$AY$1578*$C$31*$H$27*$AU$1578)</f>
        <v>0</v>
      </c>
      <c r="AY1661">
        <f>IF(AV1661=0,0,$AY$1578*$H$26*$AU$1578)</f>
        <v>0</v>
      </c>
      <c r="AZ1661">
        <f>(0.6*AW1661+0.7*AX1661)*$AU$1578/2</f>
        <v>0</v>
      </c>
      <c r="BA1661">
        <f>AW1661*$AU$1578/2</f>
        <v>0</v>
      </c>
      <c r="BC1661">
        <f>IF(AV1661=0,0,$BG$1578*$AP$1561)</f>
        <v>0</v>
      </c>
      <c r="BD1661">
        <f>IFERROR(BC1661/$AU$1578,0)</f>
        <v>0</v>
      </c>
      <c r="BE1661">
        <f>BC1661*($F$25+($C$16+$C$17+IF($C$13="single",1.5,3)+3)/12)</f>
        <v>0</v>
      </c>
      <c r="BF1661">
        <f>BE1661-AZ1661</f>
        <v>0</v>
      </c>
      <c r="BG1661" cm="1">
        <f t="array" ref="BG1661">IFERROR(IF(BF1661&lt;0,0,BF1661/($AU$1578-INDEX(hd_off,MATCH(BT1661,hd_mark,0),0)/12)),0)</f>
        <v>0</v>
      </c>
      <c r="BH1661">
        <f>IF(AV1661=0,0,$BG$1578*$AM$1561)</f>
        <v>0</v>
      </c>
      <c r="BI1661">
        <f>IFERROR(BH1661/$AU$1578,0)</f>
        <v>0</v>
      </c>
      <c r="BJ1661">
        <f>BH1661*($F$25+($C$16+$C$17+IF($C$13="single",1.5,3)+3)/12)</f>
        <v>0</v>
      </c>
      <c r="BK1661">
        <f>BJ1661-BA1661</f>
        <v>0</v>
      </c>
      <c r="BL1661" cm="1">
        <f t="array" ref="BL1661">IFERROR(IF(BK1661&lt;0,0,BK1661/($AU$1578-INDEX(hd_off,MATCH(BT1661,hd_mark,0),0)/12)),0)</f>
        <v>0</v>
      </c>
      <c r="BM1661">
        <f>MAX($F$25,$BF$1578)/$Q$1588</f>
        <v>0.29920977011494249</v>
      </c>
      <c r="BN1661">
        <f t="shared" si="1019"/>
        <v>1</v>
      </c>
      <c r="BO1661" cm="1">
        <f t="array" ref="BO1661">IFERROR(INDEX(sheath_ecap_asd,MATCH(BS1661,sheath_mark,0),0)*BN1661,0)</f>
        <v>0</v>
      </c>
      <c r="BP1661" cm="1">
        <f t="array" ref="BP1661">IFERROR(INDEX(sheath_wcap_asd,MATCH(BS1661,sheath_mark,0),0)*BN1661,0)</f>
        <v>0</v>
      </c>
      <c r="BQ1661" cm="1">
        <f t="array" ref="BQ1661">IFERROR(INDEX(hd_cap,MATCH(BT1661,hd_mark,0),0),0)</f>
        <v>0</v>
      </c>
      <c r="BS1661" s="19"/>
      <c r="BT1661" s="19"/>
      <c r="BU1661" s="100"/>
    </row>
    <row r="1662" x14ac:dyDescent="0.25">
      <c r="P1662" s="93"/>
      <c r="AR1662" s="100"/>
      <c r="AS1662" s="93"/>
      <c r="BU1662" s="100"/>
    </row>
    <row r="1663" x14ac:dyDescent="0.25">
      <c r="P1663" s="93"/>
      <c r="Q1663" s="110" t="str">
        <f>$Q$1579</f>
        <v>A.14</v>
      </c>
      <c r="R1663" t="str">
        <f>$Q$1557</f>
        <v>L2</v>
      </c>
      <c r="S1663">
        <f>$E$21</f>
        <v>10.6875</v>
      </c>
      <c r="T1663" cm="1">
        <f t="array" ref="T1663">IFERROR(IF(S1663=0,0,(INDEX($C$33:$C$38,MATCH($W$1579,$B$33:$B$38,0),0)*(S1667+$X$1579)+$T$1579*COUNTIF(S1663:S1679,"&gt;0")*$C$32+$V$1579*$C$31)*$R$1579),0)</f>
        <v>0</v>
      </c>
      <c r="U1663">
        <f>IF(S1663=0,0,-(COUNTIF(S1663:S1679,"&gt;0")*$T$1579*$C$32+$V$1579*$C$31)*$H$27*$R$1579)</f>
        <v>0</v>
      </c>
      <c r="V1663">
        <f>IF(S1663=0,0,$V$1579*$H$26*$R$1579)</f>
        <v>0</v>
      </c>
      <c r="W1663">
        <f>(0.6*T1663+0.7*U1663)*$R$1579/2</f>
        <v>0</v>
      </c>
      <c r="X1663">
        <f>(0.6*T1663+0.6*V1663)*$R$1579/2</f>
        <v>0</v>
      </c>
      <c r="Z1663">
        <f>IF(S1663=0,0,$AD$1579*$AP$1557)</f>
        <v>0</v>
      </c>
      <c r="AA1663">
        <f>IFERROR(Z1663/$R$1579,0)</f>
        <v>0</v>
      </c>
      <c r="AB1663">
        <f>Z1663*($F$21+IF($F$21=0,0,($C$14+$C$15+IF($C$13="single",1.5,3)+3)/12))</f>
        <v>0</v>
      </c>
      <c r="AC1663">
        <f>AB1663-W1663</f>
        <v>0</v>
      </c>
      <c r="AD1663" cm="1">
        <f t="array" ref="AD1663">IFERROR(IF(AC1663&lt;0,0,AC1663/($R$1579-INDEX(hd_off,MATCH(AQ1663,hd_mark,0),0)/12)),0)</f>
        <v>0</v>
      </c>
      <c r="AE1663">
        <f>IF(S1663=0,0,$AD$1579*$AM$1557)</f>
        <v>0</v>
      </c>
      <c r="AF1663">
        <f>IFERROR(AE1663/$R$1579,0)</f>
        <v>0</v>
      </c>
      <c r="AG1663">
        <f>AE1663*($F$21+IF($F$21=0,0,($C$14+$C$15+IF($C$13="single",1.5,3)+3)/12))</f>
        <v>0</v>
      </c>
      <c r="AH1663">
        <f>AG1663-X1663</f>
        <v>0</v>
      </c>
      <c r="AI1663" cm="1">
        <f t="array" ref="AI1663">IFERROR(IF(AH1663&lt;0,0,AH1663/($R$1579-INDEX(hd_off,MATCH(AQ1663,hd_mark,0),0)/12)),0)</f>
        <v>0</v>
      </c>
      <c r="AJ1663">
        <f>MAX($F$21,$Y$1579)/$Q$1588</f>
        <v>0.30172413793103448</v>
      </c>
      <c r="AK1663">
        <f>IF(AJ1663=0,0,IF(AJ1663&gt;2,1.25-0.125*AJ1663,1))</f>
        <v>1</v>
      </c>
      <c r="AL1663" cm="1">
        <f t="array" ref="AL1663">IFERROR(INDEX(sheath_ecap_asd,MATCH(AP1663,sheath_mark,0),0)*AK1663,0)</f>
        <v>0</v>
      </c>
      <c r="AM1663" cm="1">
        <f t="array" ref="AM1663">IFERROR(INDEX(sheath_wcap_asd,MATCH(AP1663,sheath_mark,0),0)*AK1663,0)</f>
        <v>0</v>
      </c>
      <c r="AN1663" cm="1">
        <f t="array" ref="AN1663">IFERROR(INDEX(hd_cap,MATCH(AQ1663,hd_mark,0),0),0)</f>
        <v>0</v>
      </c>
      <c r="AP1663" s="19"/>
      <c r="AQ1663" s="19"/>
      <c r="AR1663" s="100"/>
      <c r="AS1663" s="93"/>
      <c r="AT1663" s="110" t="str">
        <f>$AT$1579</f>
        <v>1.14</v>
      </c>
      <c r="AU1663" t="str">
        <f>$Q$1557</f>
        <v>L2</v>
      </c>
      <c r="AV1663">
        <f>$E$21</f>
        <v>10.6875</v>
      </c>
      <c r="AW1663" cm="1">
        <f t="array" ref="AW1663">IFERROR(IF(AV1663=0,0,(INDEX($C$33:$C$38,MATCH($AZ$1579,$B$33:$B$38,0),0)*(AV1667+$BA$1579)+$AW$1579*COUNTIF(AV1663:AV1679,"&gt;0")*$C$32+$AY$1579*$C$31)*$AU$1579),0)</f>
        <v>0</v>
      </c>
      <c r="AX1663">
        <f>IF(AV1663=0,0,-(COUNTIF(AV1663:AV1679,"&gt;0")*$AW$1579*$C$32+$AY$1579*$C$31)*$H$27*$AU$1579)</f>
        <v>0</v>
      </c>
      <c r="AY1663">
        <f>IF(AV1663=0,0,$AY$1579*$H$26*$AU$1579)</f>
        <v>0</v>
      </c>
      <c r="AZ1663">
        <f>(0.6*AW1663+0.7*AX1663)*$AU$1579/2</f>
        <v>0</v>
      </c>
      <c r="BA1663">
        <f>(0.6*AW1663+0.6*AY1663)*$AU$1579/2</f>
        <v>0</v>
      </c>
      <c r="BC1663">
        <f>IF(AV1663=0,0,$BG$1579*$AP$1557)</f>
        <v>0</v>
      </c>
      <c r="BD1663">
        <f>IFERROR(BC1663/$AU$1579,0)</f>
        <v>0</v>
      </c>
      <c r="BE1663">
        <f>BC1663*($F$21+IF($F$21=0,0,($C$14+$C$15+IF($C$13="single",1.5,3)+3)/12))</f>
        <v>0</v>
      </c>
      <c r="BF1663">
        <f>BE1663-AZ1663</f>
        <v>0</v>
      </c>
      <c r="BG1663" cm="1">
        <f t="array" ref="BG1663">IFERROR(IF(BF1663&lt;0,0,BF1663/($AU$1579-INDEX(hd_off,MATCH(BT1663,hd_mark,0),0)/12)),0)</f>
        <v>0</v>
      </c>
      <c r="BH1663">
        <f>IF(AV1663=0,0,$BG$1579*$AM$1557)</f>
        <v>0</v>
      </c>
      <c r="BI1663">
        <f>IFERROR(BH1663/$AU$1579,0)</f>
        <v>0</v>
      </c>
      <c r="BJ1663">
        <f>BH1663*($F$21+IF($F$21=0,0,($C$14+$C$15+IF($C$13="single",1.5,3)+3)/12))</f>
        <v>0</v>
      </c>
      <c r="BK1663">
        <f>BJ1663-BA1663</f>
        <v>0</v>
      </c>
      <c r="BL1663" cm="1">
        <f t="array" ref="BL1663">IFERROR(IF(BK1663&lt;0,0,BK1663/($AU$1579-INDEX(hd_off,MATCH(BT1663,hd_mark,0),0)/12)),0)</f>
        <v>0</v>
      </c>
      <c r="BM1663">
        <f>MAX($F$21,$BB$1579)/$Q$1588</f>
        <v>0.30172413793103448</v>
      </c>
      <c r="BN1663">
        <f>IF(BM1663=0,0,IF(BM1663&gt;2,1.25-0.125*BM1663,1))</f>
        <v>1</v>
      </c>
      <c r="BO1663" cm="1">
        <f t="array" ref="BO1663">IFERROR(INDEX(sheath_ecap_asd,MATCH(BS1663,sheath_mark,0),0)*BN1663,0)</f>
        <v>0</v>
      </c>
      <c r="BP1663" cm="1">
        <f t="array" ref="BP1663">IFERROR(INDEX(sheath_wcap_asd,MATCH(BS1663,sheath_mark,0),0)*BN1663,0)</f>
        <v>0</v>
      </c>
      <c r="BQ1663" cm="1">
        <f t="array" ref="BQ1663">IFERROR(INDEX(hd_cap,MATCH(BT1663,hd_mark,0),0),0)</f>
        <v>0</v>
      </c>
      <c r="BS1663" s="19"/>
      <c r="BT1663" s="19"/>
      <c r="BU1663" s="100"/>
    </row>
    <row r="1664" x14ac:dyDescent="0.25">
      <c r="P1664" s="93"/>
      <c r="Q1664" s="109"/>
      <c r="R1664" t="str">
        <f>$Q$1558</f>
        <v>L3</v>
      </c>
      <c r="S1664">
        <f>$E$22</f>
        <v>21.375</v>
      </c>
      <c r="T1664" cm="1">
        <f t="array" ref="T1664">IFERROR(IF(S1664=0,0,(INDEX($C$33:$C$38,MATCH($W$1579,$B$33:$B$38,0),0)*(S1667+$X$1579)+$T$1579*COUNTIF(S1664:S1679,"&gt;0")*$C$32+$V$1579*$C$31)*$R$1579),0)</f>
        <v>0</v>
      </c>
      <c r="U1664">
        <f>IF(S1664=0,0,-(COUNTIF(S1664:S1679,"&gt;0")*$T$1579*$C$32+$V$1579*$C$31)*$H$27*$R$1579)</f>
        <v>0</v>
      </c>
      <c r="V1664">
        <f>IF(S1664=0,0,$V$1579*$H$26*$R$1579)</f>
        <v>0</v>
      </c>
      <c r="W1664">
        <f>(0.6*T1664+0.7*U1664)*$R$1579/2</f>
        <v>0</v>
      </c>
      <c r="X1664">
        <f>T1664*$R$1579/2</f>
        <v>0</v>
      </c>
      <c r="Z1664">
        <f>IF(S1664=0,0,$AD$1579*$AP$1558)</f>
        <v>0</v>
      </c>
      <c r="AA1664">
        <f>IFERROR(Z1664/$R$1579,0)</f>
        <v>0</v>
      </c>
      <c r="AB1664">
        <f>Z1664*($F$22+IF($F$22=0,0,($C$14+$C$15+IF($C$13="single",1.5,3)+3)/12))</f>
        <v>0</v>
      </c>
      <c r="AC1664">
        <f>AB1664-W1664</f>
        <v>0</v>
      </c>
      <c r="AD1664" cm="1">
        <f t="array" ref="AD1664">IFERROR(IF(AC1664&lt;0,0,AC1664/($R$1579-INDEX(hd_off,MATCH(AQ1664,hd_mark,0),0)/12)),0)</f>
        <v>0</v>
      </c>
      <c r="AE1664">
        <f>IF(S1664=0,0,$AD$1579*$AM$1558)</f>
        <v>0</v>
      </c>
      <c r="AF1664">
        <f>IFERROR(AE1664/$R$1579,0)</f>
        <v>0</v>
      </c>
      <c r="AG1664">
        <f>AE1664*($F$22+IF($F$22=0,0,($C$14+$C$15+IF($C$13="single",1.5,3)+3)/12))</f>
        <v>0</v>
      </c>
      <c r="AH1664">
        <f>AG1664-X1664</f>
        <v>0</v>
      </c>
      <c r="AI1664" cm="1">
        <f t="array" ref="AI1664">IFERROR(IF(AH1664&lt;0,0,AH1664/($R$1579-INDEX(hd_off,MATCH(AQ1664,hd_mark,0),0)/12)),0)</f>
        <v>0</v>
      </c>
      <c r="AJ1664">
        <f>MAX($F$22,$Z$1579)/$Q$1588</f>
        <v>0.30172413793103448</v>
      </c>
      <c r="AK1664">
        <f t="shared" ref="AK1664:AK1667" si="1020">IF(AJ1664=0,0,IF(AJ1664&gt;2,1.25-0.125*AJ1664,1))</f>
        <v>1</v>
      </c>
      <c r="AL1664" cm="1">
        <f t="array" ref="AL1664">IFERROR(INDEX(sheath_ecap_asd,MATCH(AP1664,sheath_mark,0),0)*AK1664,0)</f>
        <v>0</v>
      </c>
      <c r="AM1664" cm="1">
        <f t="array" ref="AM1664">IFERROR(INDEX(sheath_wcap_asd,MATCH(AP1664,sheath_mark,0),0)*AK1664,0)</f>
        <v>0</v>
      </c>
      <c r="AN1664" cm="1">
        <f t="array" ref="AN1664">IFERROR(INDEX(hd_cap,MATCH(AQ1664,hd_mark,0),0),0)</f>
        <v>0</v>
      </c>
      <c r="AP1664" s="19"/>
      <c r="AQ1664" s="19"/>
      <c r="AR1664" s="100"/>
      <c r="AS1664" s="93"/>
      <c r="AT1664" s="109"/>
      <c r="AU1664" t="str">
        <f>$Q$1558</f>
        <v>L3</v>
      </c>
      <c r="AV1664">
        <f>$E$22</f>
        <v>21.375</v>
      </c>
      <c r="AW1664" cm="1">
        <f t="array" ref="AW1664">IFERROR(IF(AV1664=0,0,(INDEX($C$33:$C$38,MATCH($AZ$1579,$B$33:$B$38,0),0)*(AV1667+$BA$1579)+$AW$1579*COUNTIF(AV1664:AV1679,"&gt;0")*$C$32+$AY$1579*$C$31)*$AU$1579),0)</f>
        <v>0</v>
      </c>
      <c r="AX1664">
        <f>IF(AV1664=0,0,-(COUNTIF(AV1664:AV1679,"&gt;0")*$AW$1579*$C$32+$AY$1579*$C$31)*$H$27*$AU$1579)</f>
        <v>0</v>
      </c>
      <c r="AY1664">
        <f>IF(AV1664=0,0,$AY$1579*$H$26*$AU$1579)</f>
        <v>0</v>
      </c>
      <c r="AZ1664">
        <f>(0.6*AW1664+0.7*AX1664)*$AU$1579/2</f>
        <v>0</v>
      </c>
      <c r="BA1664">
        <f>AW1664*$AU$1579/2</f>
        <v>0</v>
      </c>
      <c r="BC1664">
        <f>IF(AV1664=0,0,$BG$1579*$AP$1558)</f>
        <v>0</v>
      </c>
      <c r="BD1664">
        <f>IFERROR(BC1664/$AU$1579,0)</f>
        <v>0</v>
      </c>
      <c r="BE1664">
        <f>BC1664*($F$22+IF($F$22=0,0,($C$14+$C$15+IF($C$13="single",1.5,3)+3)/12))</f>
        <v>0</v>
      </c>
      <c r="BF1664">
        <f>BE1664-AZ1664</f>
        <v>0</v>
      </c>
      <c r="BG1664" cm="1">
        <f t="array" ref="BG1664">IFERROR(IF(BF1664&lt;0,0,BF1664/($AU$1579-INDEX(hd_off,MATCH(BT1664,hd_mark,0),0)/12)),0)</f>
        <v>0</v>
      </c>
      <c r="BH1664">
        <f>IF(AV1664=0,0,$BG$1579*$AM$1558)</f>
        <v>0</v>
      </c>
      <c r="BI1664">
        <f>IFERROR(BH1664/$AU$1579,0)</f>
        <v>0</v>
      </c>
      <c r="BJ1664">
        <f>BH1664*($F$22+IF($F$22=0,0,($C$14+$C$15+IF($C$13="single",1.5,3)+3)/12))</f>
        <v>0</v>
      </c>
      <c r="BK1664">
        <f>BJ1664-BA1664</f>
        <v>0</v>
      </c>
      <c r="BL1664" cm="1">
        <f t="array" ref="BL1664">IFERROR(IF(BK1664&lt;0,0,BK1664/($AU$1579-INDEX(hd_off,MATCH(BT1664,hd_mark,0),0)/12)),0)</f>
        <v>0</v>
      </c>
      <c r="BM1664">
        <f>MAX($F$22,$BC$1579)/$Q$1588</f>
        <v>0.30172413793103448</v>
      </c>
      <c r="BN1664">
        <f t="shared" ref="BN1664:BN1665" si="1021">IF(BM1664=0,0,IF(BM1664&gt;2,1.25-0.125*BM1664,1))</f>
        <v>1</v>
      </c>
      <c r="BO1664" cm="1">
        <f t="array" ref="BO1664">IFERROR(INDEX(sheath_ecap_asd,MATCH(BS1664,sheath_mark,0),0)*BN1664,0)</f>
        <v>0</v>
      </c>
      <c r="BP1664" cm="1">
        <f t="array" ref="BP1664">IFERROR(INDEX(sheath_wcap_asd,MATCH(BS1664,sheath_mark,0),0)*BN1664,0)</f>
        <v>0</v>
      </c>
      <c r="BQ1664" cm="1">
        <f t="array" ref="BQ1664">IFERROR(INDEX(hd_cap,MATCH(BT1664,hd_mark,0),0),0)</f>
        <v>0</v>
      </c>
      <c r="BS1664" s="19"/>
      <c r="BT1664" s="19"/>
      <c r="BU1664" s="100"/>
    </row>
    <row r="1665" x14ac:dyDescent="0.25">
      <c r="P1665" s="93"/>
      <c r="Q1665" s="109" t="s">
        <v>491</v>
      </c>
      <c r="R1665" t="str">
        <f>$Q$1559</f>
        <v>L4</v>
      </c>
      <c r="S1665">
        <f>$E$23</f>
        <v>0</v>
      </c>
      <c r="T1665" cm="1">
        <f t="array" ref="T1665">IFERROR(IF(S1665=0,0,(INDEX($C$33:$C$38,MATCH($W$1579,$B$33:$B$38,0),0)*(S1667+$X$1579)+$T$1579*COUNTIF(S1665:S1679,"&gt;0")*$C$32+$V$1579*$C$31)*$R$1579),0)</f>
        <v>0</v>
      </c>
      <c r="U1665">
        <f>IF(S1665=0,0,-(COUNTIF(S1665:S1679,"&gt;0")*$T$1579*$C$32+$V$1579*$C$31)*$H$27*$R$1579)</f>
        <v>0</v>
      </c>
      <c r="V1665">
        <f>IF(S1665=0,0,$V$1579*$H$26*$R$1579)</f>
        <v>0</v>
      </c>
      <c r="W1665">
        <f>(0.6*T1665+0.7*U1665)*$R$1579/2</f>
        <v>0</v>
      </c>
      <c r="X1665">
        <f>T1665*$R$1579/2</f>
        <v>0</v>
      </c>
      <c r="Z1665">
        <f>IF(S1665=0,0,$AD$1579*$AP$1559)</f>
        <v>0</v>
      </c>
      <c r="AA1665">
        <f>IFERROR(Z1665/$R$1579,0)</f>
        <v>0</v>
      </c>
      <c r="AB1665">
        <f>Z1665*($F$23+IF($F$23=0,0,($C$14+$C$15+IF($C$13="single",1.5,3)+3)/12))</f>
        <v>0</v>
      </c>
      <c r="AC1665">
        <f>AB1665-W1665</f>
        <v>0</v>
      </c>
      <c r="AD1665" cm="1">
        <f t="array" ref="AD1665">IFERROR(IF(AC1665&lt;0,0,AC1665/($R$1579-INDEX(hd_off,MATCH(AQ1665,hd_mark,0),0)/12)),0)</f>
        <v>0</v>
      </c>
      <c r="AE1665">
        <f>IF(S1665=0,0,$AD$1579*$AM$1559)</f>
        <v>0</v>
      </c>
      <c r="AF1665">
        <f>IFERROR(AE1665/$R$1579,0)</f>
        <v>0</v>
      </c>
      <c r="AG1665">
        <f>AE1665*($F$23+IF($F$23=0,0,($C$14+$C$15+IF($C$13="single",1.5,3)+3)/12))</f>
        <v>0</v>
      </c>
      <c r="AH1665">
        <f>AG1665-X1665</f>
        <v>0</v>
      </c>
      <c r="AI1665" cm="1">
        <f t="array" ref="AI1665">IFERROR(IF(AH1665&lt;0,0,AH1665/($R$1579-INDEX(hd_off,MATCH(AQ1665,hd_mark,0),0)/12)),0)</f>
        <v>0</v>
      </c>
      <c r="AJ1665">
        <f>MAX($F$23,$AA$1579)/$Q$1588</f>
        <v>0</v>
      </c>
      <c r="AK1665">
        <f t="shared" si="1020"/>
        <v>0</v>
      </c>
      <c r="AL1665" cm="1">
        <f t="array" ref="AL1665">IFERROR(INDEX(sheath_ecap_asd,MATCH(AP1665,sheath_mark,0),0)*AK1665,0)</f>
        <v>0</v>
      </c>
      <c r="AM1665" cm="1">
        <f t="array" ref="AM1665">IFERROR(INDEX(sheath_wcap_asd,MATCH(AP1665,sheath_mark,0),0)*AK1665,0)</f>
        <v>0</v>
      </c>
      <c r="AN1665" cm="1">
        <f t="array" ref="AN1665">IFERROR(INDEX(hd_cap,MATCH(AQ1665,hd_mark,0),0),0)</f>
        <v>0</v>
      </c>
      <c r="AP1665" s="19"/>
      <c r="AQ1665" s="19"/>
      <c r="AR1665" s="100"/>
      <c r="AS1665" s="93"/>
      <c r="AT1665" s="109" t="s">
        <v>491</v>
      </c>
      <c r="AU1665" t="str">
        <f>$Q$1559</f>
        <v>L4</v>
      </c>
      <c r="AV1665">
        <f>$E$23</f>
        <v>0</v>
      </c>
      <c r="AW1665" cm="1">
        <f t="array" ref="AW1665">IFERROR(IF(AV1665=0,0,(INDEX($C$33:$C$38,MATCH($AZ$1579,$B$33:$B$38,0),0)*(AV1667+$BA$1579)+$AW$1579*COUNTIF(AV1665:AV1679,"&gt;0")*$C$32+$AY$1579*$C$31)*$AU$1579),0)</f>
        <v>0</v>
      </c>
      <c r="AX1665">
        <f>IF(AV1665=0,0,-(COUNTIF(AV1665:AV1679,"&gt;0")*$AW$1579*$C$32+$AY$1579*$C$31)*$H$27*$AU$1579)</f>
        <v>0</v>
      </c>
      <c r="AY1665">
        <f>IF(AV1665=0,0,$AY$1579*$H$26*$AU$1579)</f>
        <v>0</v>
      </c>
      <c r="AZ1665">
        <f>(0.6*AW1665+0.7*AX1665)*$AU$1579/2</f>
        <v>0</v>
      </c>
      <c r="BA1665">
        <f>AW1665*$AU$1579/2</f>
        <v>0</v>
      </c>
      <c r="BC1665">
        <f>IF(AV1665=0,0,$BG$1579*$AP$1559)</f>
        <v>0</v>
      </c>
      <c r="BD1665">
        <f>IFERROR(BC1665/$AU$1579,0)</f>
        <v>0</v>
      </c>
      <c r="BE1665">
        <f>BC1665*($F$23+IF($F$23=0,0,($C$14+$C$15+IF($C$13="single",1.5,3)+3)/12))</f>
        <v>0</v>
      </c>
      <c r="BF1665">
        <f>BE1665-AZ1665</f>
        <v>0</v>
      </c>
      <c r="BG1665" cm="1">
        <f t="array" ref="BG1665">IFERROR(IF(BF1665&lt;0,0,BF1665/($AU$1579-INDEX(hd_off,MATCH(BT1665,hd_mark,0),0)/12)),0)</f>
        <v>0</v>
      </c>
      <c r="BH1665">
        <f>IF(AV1665=0,0,$BG$1579*$AM$1559)</f>
        <v>0</v>
      </c>
      <c r="BI1665">
        <f>IFERROR(BH1665/$AU$1579,0)</f>
        <v>0</v>
      </c>
      <c r="BJ1665">
        <f>BH1665*($F$23+IF($F$23=0,0,($C$14+$C$15+IF($C$13="single",1.5,3)+3)/12))</f>
        <v>0</v>
      </c>
      <c r="BK1665">
        <f>BJ1665-BA1665</f>
        <v>0</v>
      </c>
      <c r="BL1665" cm="1">
        <f t="array" ref="BL1665">IFERROR(IF(BK1665&lt;0,0,BK1665/($AU$1579-INDEX(hd_off,MATCH(BT1665,hd_mark,0),0)/12)),0)</f>
        <v>0</v>
      </c>
      <c r="BM1665">
        <f>MAX($F$23,$BD$1579)/$Q$1588</f>
        <v>0</v>
      </c>
      <c r="BN1665">
        <f t="shared" si="1021"/>
        <v>0</v>
      </c>
      <c r="BO1665" cm="1">
        <f t="array" ref="BO1665">IFERROR(INDEX(sheath_ecap_asd,MATCH(BS1665,sheath_mark,0),0)*BN1665,0)</f>
        <v>0</v>
      </c>
      <c r="BP1665" cm="1">
        <f t="array" ref="BP1665">IFERROR(INDEX(sheath_wcap_asd,MATCH(BS1665,sheath_mark,0),0)*BN1665,0)</f>
        <v>0</v>
      </c>
      <c r="BQ1665" cm="1">
        <f t="array" ref="BQ1665">IFERROR(INDEX(hd_cap,MATCH(BT1665,hd_mark,0),0),0)</f>
        <v>0</v>
      </c>
      <c r="BS1665" s="19"/>
      <c r="BT1665" s="19"/>
      <c r="BU1665" s="100"/>
    </row>
    <row r="1666" x14ac:dyDescent="0.25">
      <c r="P1666" s="93"/>
      <c r="Q1666" s="111">
        <f>$R$1579</f>
        <v>0</v>
      </c>
      <c r="R1666" t="str">
        <f>$Q$1560</f>
        <v>L5</v>
      </c>
      <c r="S1666">
        <f>$E$24</f>
        <v>0</v>
      </c>
      <c r="T1666" cm="1">
        <f t="array" ref="T1666">IFERROR(IF(S1679=0,0,(INDEX($C$33:$C$38,MATCH($W$1579,$B$33:$B$38,0),0)*(S1667+$X$1579)+$T$1579*COUNTIF(S1679:S1679,"&gt;0")*$C$32+$V$1579*$C$31)*$R$1579),0)</f>
        <v>0</v>
      </c>
      <c r="U1666">
        <f>IF(S1679=0,0,-(COUNTIF(S1679:S1679,"&gt;0")*$T$1579*$C$32+$V$1579*$C$31)*$H$27*$R$1579)</f>
        <v>0</v>
      </c>
      <c r="V1666">
        <f>IF(S1679=0,0,$V$1579*$H$26*$R$1579)</f>
        <v>0</v>
      </c>
      <c r="W1666">
        <f>(0.6*T1679+0.7*U1679)*$R$1579/2</f>
        <v>0</v>
      </c>
      <c r="X1666">
        <f>T1679*$R$1579/2</f>
        <v>0</v>
      </c>
      <c r="Z1666">
        <f>IF(S1679=0,0,$AD$1579*$AP$1560)</f>
        <v>0</v>
      </c>
      <c r="AA1666">
        <f>IFERROR(Z1679/$R$1579,0)</f>
        <v>0</v>
      </c>
      <c r="AB1666">
        <f>Z1679*($F$24+IF($F$24=0,0,($C$14+$C$15+IF($C$13="single",1.5,3)+3)/12))</f>
        <v>0</v>
      </c>
      <c r="AC1666">
        <f>AB1679-W1679</f>
        <v>0</v>
      </c>
      <c r="AD1666" cm="1">
        <f t="array" ref="AD1666">IFERROR(IF(AC1679&lt;0,0,AC1679/($R$1579-INDEX(hd_off,MATCH(AQ1679,hd_mark,0),0)/12)),0)</f>
        <v>0</v>
      </c>
      <c r="AE1666">
        <f>IF(S1679=0,0,$AD$1579*$AM$1560)</f>
        <v>0</v>
      </c>
      <c r="AF1666">
        <f>IFERROR(AE1679/$R$1579,0)</f>
        <v>0</v>
      </c>
      <c r="AG1666">
        <f>AE1679*($F$24+IF($F$24=0,0,($C$14+$C$15+IF($C$13="single",1.5,3)+3)/12))</f>
        <v>0</v>
      </c>
      <c r="AH1666">
        <f>AG1679-X1679</f>
        <v>0</v>
      </c>
      <c r="AI1666" cm="1">
        <f t="array" ref="AI1666">IFERROR(IF(AH1679&lt;0,0,AH1679/($R$1579-INDEX(hd_off,MATCH(AQ1679,hd_mark,0),0)/12)),0)</f>
        <v>0</v>
      </c>
      <c r="AJ1666">
        <f>MAX($F$24,$AB$1579)/$Q$1588</f>
        <v>0</v>
      </c>
      <c r="AK1666">
        <f>IF(AJ1679=0,0,IF(AJ1679&gt;2,1.25-0.125*AJ1679,1))</f>
        <v>1</v>
      </c>
      <c r="AL1666" cm="1">
        <f t="array" ref="AL1666">IFERROR(INDEX(sheath_ecap_asd,MATCH(AP1679,sheath_mark,0),0)*AK1679,0)</f>
        <v>0</v>
      </c>
      <c r="AM1666" cm="1">
        <f t="array" ref="AM1666">IFERROR(INDEX(sheath_wcap_asd,MATCH(AP1679,sheath_mark,0),0)*AK1679,0)</f>
        <v>0</v>
      </c>
      <c r="AN1666" cm="1">
        <f t="array" ref="AN1666">IFERROR(INDEX(hd_cap,MATCH(AQ1679,hd_mark,0),0),0)</f>
        <v>0</v>
      </c>
      <c r="AP1666" s="19"/>
      <c r="AQ1666" s="19"/>
      <c r="AR1666" s="100"/>
      <c r="AS1666" s="93"/>
      <c r="AT1666" s="111">
        <f>$R$1579</f>
        <v>0</v>
      </c>
      <c r="AU1666" t="str">
        <f>$Q$1560</f>
        <v>L5</v>
      </c>
      <c r="AV1666">
        <f>$E$24</f>
        <v>0</v>
      </c>
      <c r="AW1666" cm="1">
        <f t="array" ref="AW1666">IFERROR(IF(AV1679=0,0,(INDEX($C$33:$C$38,MATCH($AZ$1579,$B$33:$B$38,0),0)*(AV1667+$BA$1579)+$AW$1579*COUNTIF(AV1679:AV1679,"&gt;0")*$C$32+$AY$1579*$C$31)*$AU$1579),0)</f>
        <v>0</v>
      </c>
      <c r="AX1666">
        <f>IF(AV1679=0,0,-(COUNTIF(AV1679:AV1679,"&gt;0")*$AW$1579*$C$32+$AY$1579*$C$31)*$H$27*$AU$1579)</f>
        <v>0</v>
      </c>
      <c r="AY1666">
        <f>IF(AV1679=0,0,$AY$1579*$H$26*$AU$1579)</f>
        <v>0</v>
      </c>
      <c r="AZ1666">
        <f>(0.6*AW1679+0.7*AX1679)*$AU$1579/2</f>
        <v>0</v>
      </c>
      <c r="BA1666">
        <f>AW1679*$AU$1579/2</f>
        <v>0</v>
      </c>
      <c r="BC1666">
        <f>IF(AV1679=0,0,$BG$1579*$AP$1560)</f>
        <v>0</v>
      </c>
      <c r="BD1666">
        <f>IFERROR(BC1679/$AU$1579,0)</f>
        <v>0</v>
      </c>
      <c r="BE1666">
        <f>BC1679*($F$24+IF($F$24=0,0,($C$14+$C$15+IF($C$13="single",1.5,3)+3)/12))</f>
        <v>0</v>
      </c>
      <c r="BF1666">
        <f>BE1679-AZ1679</f>
        <v>0</v>
      </c>
      <c r="BG1666" cm="1">
        <f t="array" ref="BG1666">IFERROR(IF(BF1679&lt;0,0,BF1679/($AU$1579-INDEX(hd_off,MATCH(BT1679,hd_mark,0),0)/12)),0)</f>
        <v>0</v>
      </c>
      <c r="BH1666">
        <f>IF(AV1679=0,0,$BG$1579*$AM$1560)</f>
        <v>0</v>
      </c>
      <c r="BI1666">
        <f>IFERROR(BH1679/$AU$1579,0)</f>
        <v>0</v>
      </c>
      <c r="BJ1666">
        <f>BH1679*($F$24+IF($F$24=0,0,($C$14+$C$15+IF($C$13="single",1.5,3)+3)/12))</f>
        <v>0</v>
      </c>
      <c r="BK1666">
        <f>BJ1679-BA1679</f>
        <v>0</v>
      </c>
      <c r="BL1666" cm="1">
        <f t="array" ref="BL1666">IFERROR(IF(BK1679&lt;0,0,BK1679/($AU$1579-INDEX(hd_off,MATCH(BT1679,hd_mark,0),0)/12)),0)</f>
        <v>0</v>
      </c>
      <c r="BM1666">
        <f>MAX($F$24,$BE$1579)/$Q$1588</f>
        <v>0</v>
      </c>
      <c r="BN1666">
        <f>IF(BM1679=0,0,IF(BM1679&gt;2,1.25-0.125*BM1679,1))</f>
        <v>0</v>
      </c>
      <c r="BO1666" cm="1">
        <f t="array" ref="BO1666">IFERROR(INDEX(sheath_ecap_asd,MATCH(BS1679,sheath_mark,0),0)*BN1679,0)</f>
        <v>0</v>
      </c>
      <c r="BP1666" cm="1">
        <f t="array" ref="BP1666">IFERROR(INDEX(sheath_wcap_asd,MATCH(BS1679,sheath_mark,0),0)*BN1679,0)</f>
        <v>0</v>
      </c>
      <c r="BQ1666" cm="1">
        <f t="array" ref="BQ1666">IFERROR(INDEX(hd_cap,MATCH(BT1679,hd_mark,0),0),0)</f>
        <v>0</v>
      </c>
      <c r="BS1666" s="19"/>
      <c r="BT1666" s="19"/>
      <c r="BU1666" s="100"/>
    </row>
    <row r="1667" x14ac:dyDescent="0.25">
      <c r="P1667" s="93"/>
      <c r="Q1667" s="109"/>
      <c r="R1667" t="str">
        <f>$Q$1561</f>
        <v>Roof</v>
      </c>
      <c r="S1667">
        <f>$E$25</f>
        <v>33.171875</v>
      </c>
      <c r="T1667" cm="1">
        <f t="array" ref="T1667">IFERROR(IF(S1667=0,0,(INDEX($C$33:$C$38,MATCH($W$1579,$B$33:$B$38,0),0)*(S1667+$X$1579)+$V$1579*$C$31)*$R$1579),0)</f>
        <v>0</v>
      </c>
      <c r="U1667">
        <f>IF(S1667=0,0,-$V$1579*$C$31*$H$27*$R$1579)</f>
        <v>0</v>
      </c>
      <c r="V1667">
        <f>IF(S1667=0,0,$V$1579*$H$26*$R$1579)</f>
        <v>0</v>
      </c>
      <c r="W1667">
        <f>(0.6*T1667+0.7*U1667)*$R$1579/2</f>
        <v>0</v>
      </c>
      <c r="X1667">
        <f>T1667*$R$1579/2</f>
        <v>0</v>
      </c>
      <c r="Z1667">
        <f>IF(S1667=0,0,$AD$1579*$AP$1561)</f>
        <v>0</v>
      </c>
      <c r="AA1667">
        <f>IFERROR(Z1667/$R$1579,0)</f>
        <v>0</v>
      </c>
      <c r="AB1667">
        <f>Z1667*($F$25+($C$16+$C$17+IF($C$13="single",1.5,3)+3)/12)</f>
        <v>0</v>
      </c>
      <c r="AC1667">
        <f>AB1667-W1667</f>
        <v>0</v>
      </c>
      <c r="AD1667" cm="1">
        <f t="array" ref="AD1667">IFERROR(IF(AC1667&lt;0,0,AC1667/($R$1579-INDEX(hd_off,MATCH(AQ1667,hd_mark,0),0)/12)),0)</f>
        <v>0</v>
      </c>
      <c r="AE1667">
        <f>IF(S1667=0,0,$AD$1579*$AM$1561)</f>
        <v>0</v>
      </c>
      <c r="AF1667">
        <f>IFERROR(AE1667/$R$1579,0)</f>
        <v>0</v>
      </c>
      <c r="AG1667">
        <f>AE1667*($F$25+($C$16+$C$17+IF($C$13="single",1.5,3)+3)/12)</f>
        <v>0</v>
      </c>
      <c r="AH1667">
        <f>AG1667-X1667</f>
        <v>0</v>
      </c>
      <c r="AI1667" cm="1">
        <f t="array" ref="AI1667">IFERROR(IF(AH1667&lt;0,0,AH1667/($R$1579-INDEX(hd_off,MATCH(AQ1667,hd_mark,0),0)/12)),0)</f>
        <v>0</v>
      </c>
      <c r="AJ1667">
        <f>MAX($F$25,$AC$1579)/$Q$1588</f>
        <v>0.29920977011494249</v>
      </c>
      <c r="AK1667">
        <f t="shared" si="1020"/>
        <v>1</v>
      </c>
      <c r="AL1667" cm="1">
        <f t="array" ref="AL1667">IFERROR(INDEX(sheath_ecap_asd,MATCH(AP1667,sheath_mark,0),0)*AK1667,0)</f>
        <v>0</v>
      </c>
      <c r="AM1667" cm="1">
        <f t="array" ref="AM1667">IFERROR(INDEX(sheath_wcap_asd,MATCH(AP1667,sheath_mark,0),0)*AK1667,0)</f>
        <v>0</v>
      </c>
      <c r="AN1667" cm="1">
        <f t="array" ref="AN1667">IFERROR(INDEX(hd_cap,MATCH(AQ1667,hd_mark,0),0),0)</f>
        <v>0</v>
      </c>
      <c r="AP1667" s="19"/>
      <c r="AQ1667" s="19"/>
      <c r="AR1667" s="100"/>
      <c r="AS1667" s="93"/>
      <c r="AT1667" s="109"/>
      <c r="AU1667" t="str">
        <f>$Q$1561</f>
        <v>Roof</v>
      </c>
      <c r="AV1667">
        <f>$E$25</f>
        <v>33.171875</v>
      </c>
      <c r="AW1667" cm="1">
        <f t="array" ref="AW1667">IFERROR(IF(AV1667=0,0,(INDEX($C$33:$C$38,MATCH($AZ$1579,$B$33:$B$38,0),0)*(AV1667+$BA$1579)+$AY$1579*$C$31)*$AU$1579),0)</f>
        <v>0</v>
      </c>
      <c r="AX1667">
        <f>IF(AV1667=0,0,-$AY$1579*$C$31*$H$27*$AU$1579)</f>
        <v>0</v>
      </c>
      <c r="AY1667">
        <f>IF(AV1667=0,0,$AY$1579*$H$26*$AU$1579)</f>
        <v>0</v>
      </c>
      <c r="AZ1667">
        <f>(0.6*AW1667+0.7*AX1667)*$AU$1579/2</f>
        <v>0</v>
      </c>
      <c r="BA1667">
        <f>AW1667*$AU$1579/2</f>
        <v>0</v>
      </c>
      <c r="BC1667">
        <f>IF(AV1667=0,0,$BG$1579*$AP$1561)</f>
        <v>0</v>
      </c>
      <c r="BD1667">
        <f>IFERROR(BC1667/$AU$1579,0)</f>
        <v>0</v>
      </c>
      <c r="BE1667">
        <f>BC1667*($F$25+($C$16+$C$17+IF($C$13="single",1.5,3)+3)/12)</f>
        <v>0</v>
      </c>
      <c r="BF1667">
        <f>BE1667-AZ1667</f>
        <v>0</v>
      </c>
      <c r="BG1667" cm="1">
        <f t="array" ref="BG1667">IFERROR(IF(BF1667&lt;0,0,BF1667/($AU$1579-INDEX(hd_off,MATCH(BT1667,hd_mark,0),0)/12)),0)</f>
        <v>0</v>
      </c>
      <c r="BH1667">
        <f>IF(AV1667=0,0,$BG$1579*$AM$1561)</f>
        <v>0</v>
      </c>
      <c r="BI1667">
        <f>IFERROR(BH1667/$AU$1579,0)</f>
        <v>0</v>
      </c>
      <c r="BJ1667">
        <f>BH1667*($F$25+($C$16+$C$17+IF($C$13="single",1.5,3)+3)/12)</f>
        <v>0</v>
      </c>
      <c r="BK1667">
        <f>BJ1667-BA1667</f>
        <v>0</v>
      </c>
      <c r="BL1667" cm="1">
        <f t="array" ref="BL1667">IFERROR(IF(BK1667&lt;0,0,BK1667/($AU$1579-INDEX(hd_off,MATCH(BT1667,hd_mark,0),0)/12)),0)</f>
        <v>0</v>
      </c>
      <c r="BM1667">
        <f>MAX($F$25,$BF$1579)/$Q$1588</f>
        <v>0.29920977011494249</v>
      </c>
      <c r="BN1667">
        <f t="shared" ref="BN1667" si="1022">IF(BM1667=0,0,IF(BM1667&gt;2,1.25-0.125*BM1667,1))</f>
        <v>1</v>
      </c>
      <c r="BO1667" cm="1">
        <f t="array" ref="BO1667">IFERROR(INDEX(sheath_ecap_asd,MATCH(BS1667,sheath_mark,0),0)*BN1667,0)</f>
        <v>0</v>
      </c>
      <c r="BP1667" cm="1">
        <f t="array" ref="BP1667">IFERROR(INDEX(sheath_wcap_asd,MATCH(BS1667,sheath_mark,0),0)*BN1667,0)</f>
        <v>0</v>
      </c>
      <c r="BQ1667" cm="1">
        <f t="array" ref="BQ1667">IFERROR(INDEX(hd_cap,MATCH(BT1667,hd_mark,0),0),0)</f>
        <v>0</v>
      </c>
      <c r="BS1667" s="19"/>
      <c r="BT1667" s="19"/>
      <c r="BU1667" s="100"/>
    </row>
    <row r="1668" x14ac:dyDescent="0.25">
      <c r="P1668" s="93"/>
      <c r="AR1668" s="100"/>
      <c r="AS1668" s="93"/>
      <c r="BU1668" s="100"/>
    </row>
    <row r="1669" x14ac:dyDescent="0.25">
      <c r="P1669" s="93"/>
      <c r="Q1669" s="110" t="str">
        <f>$Q$1580</f>
        <v>A.15</v>
      </c>
      <c r="R1669" t="str">
        <f>$Q$1557</f>
        <v>L2</v>
      </c>
      <c r="S1669">
        <f>$E$21</f>
        <v>10.6875</v>
      </c>
      <c r="T1669" cm="1">
        <f t="array" ref="T1669">IFERROR(IF(S1669=0,0,(INDEX($C$33:$C$38,MATCH($W$1580,$B$33:$B$38,0),0)*(S1673+$X$1580)+$T$1580*COUNTIF(S1669:S1672,"&gt;0")*$C$32+$V$1580*$C$31)*$R$1580),0)</f>
        <v>0</v>
      </c>
      <c r="U1669">
        <f>IF(S1669=0,0,-(COUNTIF(S1669:S1672,"&gt;0")*$T$1580*$C$32+$V$1580*$C$31)*$H$27*$R$1580)</f>
        <v>0</v>
      </c>
      <c r="V1669">
        <f>IF(S1669=0,0,$V$1580*$H$26*$R$1580)</f>
        <v>0</v>
      </c>
      <c r="W1669">
        <f>(0.6*T1669+0.7*U1669)*$R$1580/2</f>
        <v>0</v>
      </c>
      <c r="X1669">
        <f>(0.6*T1669+0.6*V1669)*$R$1580/2</f>
        <v>0</v>
      </c>
      <c r="Z1669">
        <f>IF(S1669=0,0,$AD$1580*$AP$1557)</f>
        <v>0</v>
      </c>
      <c r="AA1669">
        <f>IFERROR(Z1669/$R$1580,0)</f>
        <v>0</v>
      </c>
      <c r="AB1669">
        <f>Z1669*($F$21+IF($F$21=0,0,($C$14+$C$15+IF($C$13="single",1.5,3)+3)/12))</f>
        <v>0</v>
      </c>
      <c r="AC1669">
        <f>AB1669-W1669</f>
        <v>0</v>
      </c>
      <c r="AD1669" cm="1">
        <f t="array" ref="AD1669">IFERROR(IF(AC1669&lt;0,0,AC1669/($R$1580-INDEX(hd_off,MATCH(AQ1669,hd_mark,0),0)/12)),0)</f>
        <v>0</v>
      </c>
      <c r="AE1669">
        <f>IF(S1669=0,0,$AD$1580*$AM$1557)</f>
        <v>0</v>
      </c>
      <c r="AF1669">
        <f>IFERROR(AE1669/$R$1580,0)</f>
        <v>0</v>
      </c>
      <c r="AG1669">
        <f>AE1669*($F$21+IF($F$21=0,0,($C$14+$C$15+IF($C$13="single",1.5,3)+3)/12))</f>
        <v>0</v>
      </c>
      <c r="AH1669">
        <f>AG1669-X1669</f>
        <v>0</v>
      </c>
      <c r="AI1669" cm="1">
        <f t="array" ref="AI1669">IFERROR(IF(AH1669&lt;0,0,AH1669/($R$1580-INDEX(hd_off,MATCH(AQ1669,hd_mark,0),0)/12)),0)</f>
        <v>0</v>
      </c>
      <c r="AJ1669">
        <f>MAX($F$21,$Y$1580)/$Q$1588</f>
        <v>0.30172413793103448</v>
      </c>
      <c r="AK1669">
        <f>IF(AJ1669=0,0,IF(AJ1669&gt;2,1.25-0.125*AJ1669,1))</f>
        <v>1</v>
      </c>
      <c r="AL1669" cm="1">
        <f t="array" ref="AL1669">IFERROR(INDEX(sheath_ecap_asd,MATCH(AP1669,sheath_mark,0),0)*AK1669,0)</f>
        <v>0</v>
      </c>
      <c r="AM1669" cm="1">
        <f t="array" ref="AM1669">IFERROR(INDEX(sheath_wcap_asd,MATCH(AP1669,sheath_mark,0),0)*AK1669,0)</f>
        <v>0</v>
      </c>
      <c r="AN1669" cm="1">
        <f t="array" ref="AN1669">IFERROR(INDEX(hd_cap,MATCH(AQ1669,hd_mark,0),0),0)</f>
        <v>0</v>
      </c>
      <c r="AP1669" s="19"/>
      <c r="AQ1669" s="19"/>
      <c r="AR1669" s="100"/>
      <c r="AS1669" s="93"/>
      <c r="AT1669" s="110" t="str">
        <f>$AT$1580</f>
        <v>1.15</v>
      </c>
      <c r="AU1669" t="str">
        <f>$Q$1557</f>
        <v>L2</v>
      </c>
      <c r="AV1669">
        <f>$E$21</f>
        <v>10.6875</v>
      </c>
      <c r="AW1669" cm="1">
        <f t="array" ref="AW1669">IFERROR(IF(AV1669=0,0,(INDEX($C$33:$C$38,MATCH($AZ$1580,$B$33:$B$38,0),0)*(AV1673+$BA$1580)+$AW$1580*COUNTIF(AV1669:AV1672,"&gt;0")*$C$32+$AY$1580*$C$31)*$AU$1580),0)</f>
        <v>0</v>
      </c>
      <c r="AX1669">
        <f>IF(AV1669=0,0,-(COUNTIF(AV1669:AV1672,"&gt;0")*$AW$1580*$C$32+$AY$1580*$C$31)*$H$27*$AU$1580)</f>
        <v>0</v>
      </c>
      <c r="AY1669">
        <f>IF(AV1669=0,0,$AY$1580*$H$26*$AU$1580)</f>
        <v>0</v>
      </c>
      <c r="AZ1669">
        <f>(0.6*AW1669+0.7*AX1669)*$AU$1580/2</f>
        <v>0</v>
      </c>
      <c r="BA1669">
        <f>(0.6*AW1669+0.6*AY1669)*$AU$1580/2</f>
        <v>0</v>
      </c>
      <c r="BC1669">
        <f>IF(AV1669=0,0,$BG$1580*$AP$1557)</f>
        <v>0</v>
      </c>
      <c r="BD1669">
        <f>IFERROR(BC1669/$AU$1580,0)</f>
        <v>0</v>
      </c>
      <c r="BE1669">
        <f>BC1669*($F$21+IF($F$21=0,0,($C$14+$C$15+IF($C$13="single",1.5,3)+3)/12))</f>
        <v>0</v>
      </c>
      <c r="BF1669">
        <f>BE1669-AZ1669</f>
        <v>0</v>
      </c>
      <c r="BG1669" cm="1">
        <f t="array" ref="BG1669">IFERROR(IF(BF1669&lt;0,0,BF1669/($AU$1580-INDEX(hd_off,MATCH(BT1669,hd_mark,0),0)/12)),0)</f>
        <v>0</v>
      </c>
      <c r="BH1669">
        <f>IF(AV1669=0,0,$BG$1580*$AM$1557)</f>
        <v>0</v>
      </c>
      <c r="BI1669">
        <f>IFERROR(BH1669/$AU$1580,0)</f>
        <v>0</v>
      </c>
      <c r="BJ1669">
        <f>BH1669*($F$21+IF($F$21=0,0,($C$14+$C$15+IF($C$13="single",1.5,3)+3)/12))</f>
        <v>0</v>
      </c>
      <c r="BK1669">
        <f>BJ1669-BA1669</f>
        <v>0</v>
      </c>
      <c r="BL1669" cm="1">
        <f t="array" ref="BL1669">IFERROR(IF(BK1669&lt;0,0,BK1669/($AU$1580-INDEX(hd_off,MATCH(BT1669,hd_mark,0),0)/12)),0)</f>
        <v>0</v>
      </c>
      <c r="BM1669">
        <f>MAX($F$21,$BB$1580)/$Q$1588</f>
        <v>0.30172413793103448</v>
      </c>
      <c r="BN1669">
        <f>IF(BM1669=0,0,IF(BM1669&gt;2,1.25-0.125*BM1669,1))</f>
        <v>1</v>
      </c>
      <c r="BO1669" cm="1">
        <f t="array" ref="BO1669">IFERROR(INDEX(sheath_ecap_asd,MATCH(BS1669,sheath_mark,0),0)*BN1669,0)</f>
        <v>0</v>
      </c>
      <c r="BP1669" cm="1">
        <f t="array" ref="BP1669">IFERROR(INDEX(sheath_wcap_asd,MATCH(BS1669,sheath_mark,0),0)*BN1669,0)</f>
        <v>0</v>
      </c>
      <c r="BQ1669" cm="1">
        <f t="array" ref="BQ1669">IFERROR(INDEX(hd_cap,MATCH(BT1669,hd_mark,0),0),0)</f>
        <v>0</v>
      </c>
      <c r="BS1669" s="19"/>
      <c r="BT1669" s="19"/>
      <c r="BU1669" s="100"/>
    </row>
    <row r="1670" x14ac:dyDescent="0.25">
      <c r="P1670" s="93"/>
      <c r="Q1670" s="109"/>
      <c r="R1670" t="str">
        <f>$Q$1558</f>
        <v>L3</v>
      </c>
      <c r="S1670">
        <f>$E$22</f>
        <v>21.375</v>
      </c>
      <c r="T1670" cm="1">
        <f t="array" ref="T1670">IFERROR(IF(S1670=0,0,(INDEX($C$33:$C$38,MATCH($W$1580,$B$33:$B$38,0),0)*(S1673+$X$1580)+$T$1580*COUNTIF(S1670:S1672,"&gt;0")*$C$32+$V$1580*$C$31)*$R$1580),0)</f>
        <v>0</v>
      </c>
      <c r="U1670">
        <f>IF(S1670=0,0,-(COUNTIF(S1670:S1672,"&gt;0")*$T$1580*$C$32+$V$1580*$C$31)*$H$27*$R$1580)</f>
        <v>0</v>
      </c>
      <c r="V1670">
        <f>IF(S1670=0,0,$V$1580*$H$26*$R$1580)</f>
        <v>0</v>
      </c>
      <c r="W1670">
        <f>(0.6*T1670+0.7*U1670)*$R$1580/2</f>
        <v>0</v>
      </c>
      <c r="X1670">
        <f>T1670*$R$1580/2</f>
        <v>0</v>
      </c>
      <c r="Z1670">
        <f>IF(S1670=0,0,$AD$1580*$AP$1558)</f>
        <v>0</v>
      </c>
      <c r="AA1670">
        <f>IFERROR(Z1670/$R$1580,0)</f>
        <v>0</v>
      </c>
      <c r="AB1670">
        <f>Z1670*($F$22+IF($F$22=0,0,($C$14+$C$15+IF($C$13="single",1.5,3)+3)/12))</f>
        <v>0</v>
      </c>
      <c r="AC1670">
        <f>AB1670-W1670</f>
        <v>0</v>
      </c>
      <c r="AD1670" cm="1">
        <f t="array" ref="AD1670">IFERROR(IF(AC1670&lt;0,0,AC1670/($R$1580-INDEX(hd_off,MATCH(AQ1670,hd_mark,0),0)/12)),0)</f>
        <v>0</v>
      </c>
      <c r="AE1670">
        <f>IF(S1670=0,0,$AD$1580*$AM$1558)</f>
        <v>0</v>
      </c>
      <c r="AF1670">
        <f>IFERROR(AE1670/$R$1580,0)</f>
        <v>0</v>
      </c>
      <c r="AG1670">
        <f>AE1670*($F$22+IF($F$22=0,0,($C$14+$C$15+IF($C$13="single",1.5,3)+3)/12))</f>
        <v>0</v>
      </c>
      <c r="AH1670">
        <f>AG1670-X1670</f>
        <v>0</v>
      </c>
      <c r="AI1670" cm="1">
        <f t="array" ref="AI1670">IFERROR(IF(AH1670&lt;0,0,AH1670/($R$1580-INDEX(hd_off,MATCH(AQ1670,hd_mark,0),0)/12)),0)</f>
        <v>0</v>
      </c>
      <c r="AJ1670">
        <f>MAX($F$22,$Z$1580)/$Q$1588</f>
        <v>0.30172413793103448</v>
      </c>
      <c r="AK1670">
        <f t="shared" ref="AK1670:AK1673" si="1023">IF(AJ1670=0,0,IF(AJ1670&gt;2,1.25-0.125*AJ1670,1))</f>
        <v>1</v>
      </c>
      <c r="AL1670" cm="1">
        <f t="array" ref="AL1670">IFERROR(INDEX(sheath_ecap_asd,MATCH(AP1670,sheath_mark,0),0)*AK1670,0)</f>
        <v>0</v>
      </c>
      <c r="AM1670" cm="1">
        <f t="array" ref="AM1670">IFERROR(INDEX(sheath_wcap_asd,MATCH(AP1670,sheath_mark,0),0)*AK1670,0)</f>
        <v>0</v>
      </c>
      <c r="AN1670" cm="1">
        <f t="array" ref="AN1670">IFERROR(INDEX(hd_cap,MATCH(AQ1670,hd_mark,0),0),0)</f>
        <v>0</v>
      </c>
      <c r="AP1670" s="19"/>
      <c r="AQ1670" s="19"/>
      <c r="AR1670" s="100"/>
      <c r="AS1670" s="93"/>
      <c r="AT1670" s="109"/>
      <c r="AU1670" t="str">
        <f>$Q$1558</f>
        <v>L3</v>
      </c>
      <c r="AV1670">
        <f>$E$22</f>
        <v>21.375</v>
      </c>
      <c r="AW1670" cm="1">
        <f t="array" ref="AW1670">IFERROR(IF(AV1670=0,0,(INDEX($C$33:$C$38,MATCH($AZ$1580,$B$33:$B$38,0),0)*(AV1673+$BA$1580)+$AW$1580*COUNTIF(AV1670:AV1672,"&gt;0")*$C$32+$AY$1580*$C$31)*$AU$1580),0)</f>
        <v>0</v>
      </c>
      <c r="AX1670">
        <f>IF(AV1670=0,0,-(COUNTIF(AV1670:AV1672,"&gt;0")*$AW$1580*$C$32+$AY$1580*$C$31)*$H$27*$AU$1580)</f>
        <v>0</v>
      </c>
      <c r="AY1670">
        <f>IF(AV1670=0,0,$AY$1580*$H$26*$AU$1580)</f>
        <v>0</v>
      </c>
      <c r="AZ1670">
        <f>(0.6*AW1670+0.7*AX1670)*$AU$1580/2</f>
        <v>0</v>
      </c>
      <c r="BA1670">
        <f>AW1670*$AU$1580/2</f>
        <v>0</v>
      </c>
      <c r="BC1670">
        <f>IF(AV1670=0,0,$BG$1580*$AP$1558)</f>
        <v>0</v>
      </c>
      <c r="BD1670">
        <f>IFERROR(BC1670/$AU$1580,0)</f>
        <v>0</v>
      </c>
      <c r="BE1670">
        <f>BC1670*($F$22+IF($F$22=0,0,($C$14+$C$15+IF($C$13="single",1.5,3)+3)/12))</f>
        <v>0</v>
      </c>
      <c r="BF1670">
        <f>BE1670-AZ1670</f>
        <v>0</v>
      </c>
      <c r="BG1670" cm="1">
        <f t="array" ref="BG1670">IFERROR(IF(BF1670&lt;0,0,BF1670/($AU$1580-INDEX(hd_off,MATCH(BT1670,hd_mark,0),0)/12)),0)</f>
        <v>0</v>
      </c>
      <c r="BH1670">
        <f>IF(AV1670=0,0,$BG$1580*$AM$1558)</f>
        <v>0</v>
      </c>
      <c r="BI1670">
        <f>IFERROR(BH1670/$AU$1580,0)</f>
        <v>0</v>
      </c>
      <c r="BJ1670">
        <f>BH1670*($F$22+IF($F$22=0,0,($C$14+$C$15+IF($C$13="single",1.5,3)+3)/12))</f>
        <v>0</v>
      </c>
      <c r="BK1670">
        <f>BJ1670-BA1670</f>
        <v>0</v>
      </c>
      <c r="BL1670" cm="1">
        <f t="array" ref="BL1670">IFERROR(IF(BK1670&lt;0,0,BK1670/($AU$1580-INDEX(hd_off,MATCH(BT1670,hd_mark,0),0)/12)),0)</f>
        <v>0</v>
      </c>
      <c r="BM1670">
        <f>MAX($F$22,$BC$1580)/$Q$1588</f>
        <v>0.30172413793103448</v>
      </c>
      <c r="BN1670">
        <f t="shared" ref="BN1670:BN1673" si="1024">IF(BM1670=0,0,IF(BM1670&gt;2,1.25-0.125*BM1670,1))</f>
        <v>1</v>
      </c>
      <c r="BO1670" cm="1">
        <f t="array" ref="BO1670">IFERROR(INDEX(sheath_ecap_asd,MATCH(BS1670,sheath_mark,0),0)*BN1670,0)</f>
        <v>0</v>
      </c>
      <c r="BP1670" cm="1">
        <f t="array" ref="BP1670">IFERROR(INDEX(sheath_wcap_asd,MATCH(BS1670,sheath_mark,0),0)*BN1670,0)</f>
        <v>0</v>
      </c>
      <c r="BQ1670" cm="1">
        <f t="array" ref="BQ1670">IFERROR(INDEX(hd_cap,MATCH(BT1670,hd_mark,0),0),0)</f>
        <v>0</v>
      </c>
      <c r="BS1670" s="19"/>
      <c r="BT1670" s="19"/>
      <c r="BU1670" s="100"/>
    </row>
    <row r="1671" x14ac:dyDescent="0.25">
      <c r="P1671" s="93"/>
      <c r="Q1671" s="109" t="s">
        <v>491</v>
      </c>
      <c r="R1671" t="str">
        <f>$Q$1559</f>
        <v>L4</v>
      </c>
      <c r="S1671">
        <f>$E$23</f>
        <v>0</v>
      </c>
      <c r="T1671" cm="1">
        <f t="array" ref="T1671">IFERROR(IF(S1671=0,0,(INDEX($C$33:$C$38,MATCH($W$1580,$B$33:$B$38,0),0)*(S1673+$X$1580)+$T$1580*COUNTIF(S1671:S1672,"&gt;0")*$C$32+$V$1580*$C$31)*$R$1580),0)</f>
        <v>0</v>
      </c>
      <c r="U1671">
        <f>IF(S1671=0,0,-(COUNTIF(S1671:S1672,"&gt;0")*$T$1580*$C$32+$V$1580*$C$31)*$H$27*$R$1580)</f>
        <v>0</v>
      </c>
      <c r="V1671">
        <f>IF(S1671=0,0,$V$1580*$H$26*$R$1580)</f>
        <v>0</v>
      </c>
      <c r="W1671">
        <f>(0.6*T1671+0.7*U1671)*$R$1580/2</f>
        <v>0</v>
      </c>
      <c r="X1671">
        <f>T1671*$R$1580/2</f>
        <v>0</v>
      </c>
      <c r="Z1671">
        <f>IF(S1671=0,0,$AD$1580*$AP$1559)</f>
        <v>0</v>
      </c>
      <c r="AA1671">
        <f>IFERROR(Z1671/$R$1580,0)</f>
        <v>0</v>
      </c>
      <c r="AB1671">
        <f>Z1671*($F$23+IF($F$23=0,0,($C$14+$C$15+IF($C$13="single",1.5,3)+3)/12))</f>
        <v>0</v>
      </c>
      <c r="AC1671">
        <f>AB1671-W1671</f>
        <v>0</v>
      </c>
      <c r="AD1671" cm="1">
        <f t="array" ref="AD1671">IFERROR(IF(AC1671&lt;0,0,AC1671/($R$1580-INDEX(hd_off,MATCH(AQ1671,hd_mark,0),0)/12)),0)</f>
        <v>0</v>
      </c>
      <c r="AE1671">
        <f>IF(S1671=0,0,$AD$1580*$AM$1559)</f>
        <v>0</v>
      </c>
      <c r="AF1671">
        <f>IFERROR(AE1671/$R$1580,0)</f>
        <v>0</v>
      </c>
      <c r="AG1671">
        <f>AE1671*($F$23+IF($F$23=0,0,($C$14+$C$15+IF($C$13="single",1.5,3)+3)/12))</f>
        <v>0</v>
      </c>
      <c r="AH1671">
        <f>AG1671-X1671</f>
        <v>0</v>
      </c>
      <c r="AI1671" cm="1">
        <f t="array" ref="AI1671">IFERROR(IF(AH1671&lt;0,0,AH1671/($R$1580-INDEX(hd_off,MATCH(AQ1671,hd_mark,0),0)/12)),0)</f>
        <v>0</v>
      </c>
      <c r="AJ1671">
        <f>MAX($F$23,$AA$1580)/$Q$1588</f>
        <v>0</v>
      </c>
      <c r="AK1671">
        <f t="shared" si="1023"/>
        <v>0</v>
      </c>
      <c r="AL1671" cm="1">
        <f t="array" ref="AL1671">IFERROR(INDEX(sheath_ecap_asd,MATCH(AP1671,sheath_mark,0),0)*AK1671,0)</f>
        <v>0</v>
      </c>
      <c r="AM1671" cm="1">
        <f t="array" ref="AM1671">IFERROR(INDEX(sheath_wcap_asd,MATCH(AP1671,sheath_mark,0),0)*AK1671,0)</f>
        <v>0</v>
      </c>
      <c r="AN1671" cm="1">
        <f t="array" ref="AN1671">IFERROR(INDEX(hd_cap,MATCH(AQ1671,hd_mark,0),0),0)</f>
        <v>0</v>
      </c>
      <c r="AP1671" s="19"/>
      <c r="AQ1671" s="19"/>
      <c r="AR1671" s="100"/>
      <c r="AS1671" s="93"/>
      <c r="AT1671" s="109" t="s">
        <v>491</v>
      </c>
      <c r="AU1671" t="str">
        <f>$Q$1559</f>
        <v>L4</v>
      </c>
      <c r="AV1671">
        <f>$E$23</f>
        <v>0</v>
      </c>
      <c r="AW1671" cm="1">
        <f t="array" ref="AW1671">IFERROR(IF(AV1671=0,0,(INDEX($C$33:$C$38,MATCH($AZ$1580,$B$33:$B$38,0),0)*(AV1673+$BA$1580)+$AW$1580*COUNTIF(AV1671:AV1672,"&gt;0")*$C$32+$AY$1580*$C$31)*$AU$1580),0)</f>
        <v>0</v>
      </c>
      <c r="AX1671">
        <f>IF(AV1671=0,0,-(COUNTIF(AV1671:AV1672,"&gt;0")*$AW$1580*$C$32+$AY$1580*$C$31)*$H$27*$AU$1580)</f>
        <v>0</v>
      </c>
      <c r="AY1671">
        <f>IF(AV1671=0,0,$AY$1580*$H$26*$AU$1580)</f>
        <v>0</v>
      </c>
      <c r="AZ1671">
        <f>(0.6*AW1671+0.7*AX1671)*$AU$1580/2</f>
        <v>0</v>
      </c>
      <c r="BA1671">
        <f>AW1671*$AU$1580/2</f>
        <v>0</v>
      </c>
      <c r="BC1671">
        <f>IF(AV1671=0,0,$BG$1580*$AP$1559)</f>
        <v>0</v>
      </c>
      <c r="BD1671">
        <f>IFERROR(BC1671/$AU$1580,0)</f>
        <v>0</v>
      </c>
      <c r="BE1671">
        <f>BC1671*($F$23+IF($F$23=0,0,($C$14+$C$15+IF($C$13="single",1.5,3)+3)/12))</f>
        <v>0</v>
      </c>
      <c r="BF1671">
        <f>BE1671-AZ1671</f>
        <v>0</v>
      </c>
      <c r="BG1671" cm="1">
        <f t="array" ref="BG1671">IFERROR(IF(BF1671&lt;0,0,BF1671/($AU$1580-INDEX(hd_off,MATCH(BT1671,hd_mark,0),0)/12)),0)</f>
        <v>0</v>
      </c>
      <c r="BH1671">
        <f>IF(AV1671=0,0,$BG$1580*$AM$1559)</f>
        <v>0</v>
      </c>
      <c r="BI1671">
        <f>IFERROR(BH1671/$AU$1580,0)</f>
        <v>0</v>
      </c>
      <c r="BJ1671">
        <f>BH1671*($F$23+IF($F$23=0,0,($C$14+$C$15+IF($C$13="single",1.5,3)+3)/12))</f>
        <v>0</v>
      </c>
      <c r="BK1671">
        <f>BJ1671-BA1671</f>
        <v>0</v>
      </c>
      <c r="BL1671" cm="1">
        <f t="array" ref="BL1671">IFERROR(IF(BK1671&lt;0,0,BK1671/($AU$1580-INDEX(hd_off,MATCH(BT1671,hd_mark,0),0)/12)),0)</f>
        <v>0</v>
      </c>
      <c r="BM1671">
        <f>MAX($F$23,$BD$1580)/$Q$1588</f>
        <v>0</v>
      </c>
      <c r="BN1671">
        <f t="shared" si="1024"/>
        <v>0</v>
      </c>
      <c r="BO1671" cm="1">
        <f t="array" ref="BO1671">IFERROR(INDEX(sheath_ecap_asd,MATCH(BS1671,sheath_mark,0),0)*BN1671,0)</f>
        <v>0</v>
      </c>
      <c r="BP1671" cm="1">
        <f t="array" ref="BP1671">IFERROR(INDEX(sheath_wcap_asd,MATCH(BS1671,sheath_mark,0),0)*BN1671,0)</f>
        <v>0</v>
      </c>
      <c r="BQ1671" cm="1">
        <f t="array" ref="BQ1671">IFERROR(INDEX(hd_cap,MATCH(BT1671,hd_mark,0),0),0)</f>
        <v>0</v>
      </c>
      <c r="BS1671" s="19"/>
      <c r="BT1671" s="19"/>
      <c r="BU1671" s="100"/>
    </row>
    <row r="1672" x14ac:dyDescent="0.25">
      <c r="P1672" s="93"/>
      <c r="Q1672" s="111">
        <f>$R$1580</f>
        <v>0</v>
      </c>
      <c r="R1672" t="str">
        <f>$Q$1560</f>
        <v>L5</v>
      </c>
      <c r="S1672">
        <f>$E$24</f>
        <v>0</v>
      </c>
      <c r="T1672" cm="1">
        <f t="array" ref="T1672">IFERROR(IF(S1672=0,0,(INDEX($C$33:$C$38,MATCH($W$1580,$B$33:$B$38,0),0)*(S1673+$X$1580)+$T$1580*COUNTIF(S1672:S1672,"&gt;0")*$C$32+$V$1580*$C$31)*$R$1580),0)</f>
        <v>0</v>
      </c>
      <c r="U1672">
        <f>IF(S1672=0,0,-(COUNTIF(S1672:S1672,"&gt;0")*$T$1580*$C$32+$V$1580*$C$31)*$H$27*$R$1580)</f>
        <v>0</v>
      </c>
      <c r="V1672">
        <f>IF(S1672=0,0,$V$1580*$H$26*$R$1580)</f>
        <v>0</v>
      </c>
      <c r="W1672">
        <f>(0.6*T1672+0.7*U1672)*$R$1580/2</f>
        <v>0</v>
      </c>
      <c r="X1672">
        <f>T1672*$R$1580/2</f>
        <v>0</v>
      </c>
      <c r="Z1672">
        <f>IF(S1672=0,0,$AD$1580*$AP$1560)</f>
        <v>0</v>
      </c>
      <c r="AA1672">
        <f>IFERROR(Z1672/$R$1580,0)</f>
        <v>0</v>
      </c>
      <c r="AB1672">
        <f>Z1672*($F$24+IF($F$24=0,0,($C$14+$C$15+IF($C$13="single",1.5,3)+3)/12))</f>
        <v>0</v>
      </c>
      <c r="AC1672">
        <f>AB1672-W1672</f>
        <v>0</v>
      </c>
      <c r="AD1672" cm="1">
        <f t="array" ref="AD1672">IFERROR(IF(AC1672&lt;0,0,AC1672/($R$1580-INDEX(hd_off,MATCH(AQ1672,hd_mark,0),0)/12)),0)</f>
        <v>0</v>
      </c>
      <c r="AE1672">
        <f>IF(S1672=0,0,$AD$1580*$AM$1560)</f>
        <v>0</v>
      </c>
      <c r="AF1672">
        <f>IFERROR(AE1672/$R$1580,0)</f>
        <v>0</v>
      </c>
      <c r="AG1672">
        <f>AE1672*($F$24+IF($F$24=0,0,($C$14+$C$15+IF($C$13="single",1.5,3)+3)/12))</f>
        <v>0</v>
      </c>
      <c r="AH1672">
        <f>AG1672-X1672</f>
        <v>0</v>
      </c>
      <c r="AI1672" cm="1">
        <f t="array" ref="AI1672">IFERROR(IF(AH1672&lt;0,0,AH1672/($R$1580-INDEX(hd_off,MATCH(AQ1672,hd_mark,0),0)/12)),0)</f>
        <v>0</v>
      </c>
      <c r="AJ1672">
        <f>MAX($F$24,$AB$1580)/$Q$1588</f>
        <v>0</v>
      </c>
      <c r="AK1672">
        <f t="shared" si="1023"/>
        <v>0</v>
      </c>
      <c r="AL1672" cm="1">
        <f t="array" ref="AL1672">IFERROR(INDEX(sheath_ecap_asd,MATCH(AP1672,sheath_mark,0),0)*AK1672,0)</f>
        <v>0</v>
      </c>
      <c r="AM1672" cm="1">
        <f t="array" ref="AM1672">IFERROR(INDEX(sheath_wcap_asd,MATCH(AP1672,sheath_mark,0),0)*AK1672,0)</f>
        <v>0</v>
      </c>
      <c r="AN1672" cm="1">
        <f t="array" ref="AN1672">IFERROR(INDEX(hd_cap,MATCH(AQ1672,hd_mark,0),0),0)</f>
        <v>0</v>
      </c>
      <c r="AP1672" s="19"/>
      <c r="AQ1672" s="19"/>
      <c r="AR1672" s="100"/>
      <c r="AS1672" s="93"/>
      <c r="AT1672" s="111">
        <f>$R$1580</f>
        <v>0</v>
      </c>
      <c r="AU1672" t="str">
        <f>$Q$1560</f>
        <v>L5</v>
      </c>
      <c r="AV1672">
        <f>$E$24</f>
        <v>0</v>
      </c>
      <c r="AW1672" cm="1">
        <f t="array" ref="AW1672">IFERROR(IF(AV1672=0,0,(INDEX($C$33:$C$38,MATCH($AZ$1580,$B$33:$B$38,0),0)*(AV1673+$BA$1580)+$AW$1580*COUNTIF(AV1672:AV1672,"&gt;0")*$C$32+$AY$1580*$C$31)*$AU$1580),0)</f>
        <v>0</v>
      </c>
      <c r="AX1672">
        <f>IF(AV1672=0,0,-(COUNTIF(AV1672:AV1672,"&gt;0")*$AW$1580*$C$32+$AY$1580*$C$31)*$H$27*$AU$1580)</f>
        <v>0</v>
      </c>
      <c r="AY1672">
        <f>IF(AV1672=0,0,$AY$1580*$H$26*$AU$1580)</f>
        <v>0</v>
      </c>
      <c r="AZ1672">
        <f>(0.6*AW1672+0.7*AX1672)*$AU$1580/2</f>
        <v>0</v>
      </c>
      <c r="BA1672">
        <f>AW1672*$AU$1580/2</f>
        <v>0</v>
      </c>
      <c r="BC1672">
        <f>IF(AV1672=0,0,$BG$1580*$AP$1560)</f>
        <v>0</v>
      </c>
      <c r="BD1672">
        <f>IFERROR(BC1672/$AU$1580,0)</f>
        <v>0</v>
      </c>
      <c r="BE1672">
        <f>BC1672*($F$24+IF($F$24=0,0,($C$14+$C$15+IF($C$13="single",1.5,3)+3)/12))</f>
        <v>0</v>
      </c>
      <c r="BF1672">
        <f>BE1672-AZ1672</f>
        <v>0</v>
      </c>
      <c r="BG1672" cm="1">
        <f t="array" ref="BG1672">IFERROR(IF(BF1672&lt;0,0,BF1672/($AU$1580-INDEX(hd_off,MATCH(BT1672,hd_mark,0),0)/12)),0)</f>
        <v>0</v>
      </c>
      <c r="BH1672">
        <f>IF(AV1672=0,0,$BG$1580*$AM$1560)</f>
        <v>0</v>
      </c>
      <c r="BI1672">
        <f>IFERROR(BH1672/$AU$1580,0)</f>
        <v>0</v>
      </c>
      <c r="BJ1672">
        <f>BH1672*($F$24+IF($F$24=0,0,($C$14+$C$15+IF($C$13="single",1.5,3)+3)/12))</f>
        <v>0</v>
      </c>
      <c r="BK1672">
        <f>BJ1672-BA1672</f>
        <v>0</v>
      </c>
      <c r="BL1672" cm="1">
        <f t="array" ref="BL1672">IFERROR(IF(BK1672&lt;0,0,BK1672/($AU$1580-INDEX(hd_off,MATCH(BT1672,hd_mark,0),0)/12)),0)</f>
        <v>0</v>
      </c>
      <c r="BM1672">
        <f>MAX($F$24,$BE$1580)/$Q$1588</f>
        <v>0</v>
      </c>
      <c r="BN1672">
        <f t="shared" si="1024"/>
        <v>0</v>
      </c>
      <c r="BO1672" cm="1">
        <f t="array" ref="BO1672">IFERROR(INDEX(sheath_ecap_asd,MATCH(BS1672,sheath_mark,0),0)*BN1672,0)</f>
        <v>0</v>
      </c>
      <c r="BP1672" cm="1">
        <f t="array" ref="BP1672">IFERROR(INDEX(sheath_wcap_asd,MATCH(BS1672,sheath_mark,0),0)*BN1672,0)</f>
        <v>0</v>
      </c>
      <c r="BQ1672" cm="1">
        <f t="array" ref="BQ1672">IFERROR(INDEX(hd_cap,MATCH(BT1672,hd_mark,0),0),0)</f>
        <v>0</v>
      </c>
      <c r="BS1672" s="19"/>
      <c r="BT1672" s="19"/>
      <c r="BU1672" s="100"/>
    </row>
    <row r="1673" x14ac:dyDescent="0.25">
      <c r="P1673" s="93"/>
      <c r="Q1673" s="109"/>
      <c r="R1673" t="str">
        <f>$Q$1561</f>
        <v>Roof</v>
      </c>
      <c r="S1673">
        <f>$E$25</f>
        <v>33.171875</v>
      </c>
      <c r="T1673" cm="1">
        <f t="array" ref="T1673">IFERROR(IF(S1673=0,0,(INDEX($C$33:$C$38,MATCH($W$1580,$B$33:$B$38,0),0)*(S1673+$X$1580)+$V$1580*$C$31)*$R$1580),0)</f>
        <v>0</v>
      </c>
      <c r="U1673">
        <f>IF(S1673=0,0,-$V$1580*$C$31*$H$27*$R$1580)</f>
        <v>0</v>
      </c>
      <c r="V1673">
        <f>IF(S1673=0,0,$V$1580*$H$26*$R$1580)</f>
        <v>0</v>
      </c>
      <c r="W1673">
        <f>(0.6*T1673+0.7*U1673)*$R$1580/2</f>
        <v>0</v>
      </c>
      <c r="X1673">
        <f>T1673*$R$1580/2</f>
        <v>0</v>
      </c>
      <c r="Z1673">
        <f>IF(S1673=0,0,$AD$1580*$AP$1561)</f>
        <v>0</v>
      </c>
      <c r="AA1673">
        <f>IFERROR(Z1673/$R$1580,0)</f>
        <v>0</v>
      </c>
      <c r="AB1673">
        <f>Z1673*($F$25+($C$16+$C$17+IF($C$13="single",1.5,3)+3)/12)</f>
        <v>0</v>
      </c>
      <c r="AC1673">
        <f>AB1673-W1673</f>
        <v>0</v>
      </c>
      <c r="AD1673" cm="1">
        <f t="array" ref="AD1673">IFERROR(IF(AC1673&lt;0,0,AC1673/($R$1580-INDEX(hd_off,MATCH(AQ1673,hd_mark,0),0)/12)),0)</f>
        <v>0</v>
      </c>
      <c r="AE1673">
        <f>IF(S1673=0,0,$AD$1580*$AM$1561)</f>
        <v>0</v>
      </c>
      <c r="AF1673">
        <f>IFERROR(AE1673/$R$1580,0)</f>
        <v>0</v>
      </c>
      <c r="AG1673">
        <f>AE1673*($F$25+($C$16+$C$17+IF($C$13="single",1.5,3)+3)/12)</f>
        <v>0</v>
      </c>
      <c r="AH1673">
        <f>AG1673-X1673</f>
        <v>0</v>
      </c>
      <c r="AI1673" cm="1">
        <f t="array" ref="AI1673">IFERROR(IF(AH1673&lt;0,0,AH1673/($R$1580-INDEX(hd_off,MATCH(AQ1673,hd_mark,0),0)/12)),0)</f>
        <v>0</v>
      </c>
      <c r="AJ1673">
        <f>MAX($F$25,$AC$1580)/$Q$1588</f>
        <v>0.29920977011494249</v>
      </c>
      <c r="AK1673">
        <f t="shared" si="1023"/>
        <v>1</v>
      </c>
      <c r="AL1673" cm="1">
        <f t="array" ref="AL1673">IFERROR(INDEX(sheath_ecap_asd,MATCH(AP1673,sheath_mark,0),0)*AK1673,0)</f>
        <v>0</v>
      </c>
      <c r="AM1673" cm="1">
        <f t="array" ref="AM1673">IFERROR(INDEX(sheath_wcap_asd,MATCH(AP1673,sheath_mark,0),0)*AK1673,0)</f>
        <v>0</v>
      </c>
      <c r="AN1673" cm="1">
        <f t="array" ref="AN1673">IFERROR(INDEX(hd_cap,MATCH(AQ1673,hd_mark,0),0),0)</f>
        <v>0</v>
      </c>
      <c r="AP1673" s="19"/>
      <c r="AQ1673" s="19"/>
      <c r="AR1673" s="100"/>
      <c r="AS1673" s="93"/>
      <c r="AT1673" s="109"/>
      <c r="AU1673" t="str">
        <f>$Q$1561</f>
        <v>Roof</v>
      </c>
      <c r="AV1673">
        <f>$E$25</f>
        <v>33.171875</v>
      </c>
      <c r="AW1673" cm="1">
        <f t="array" ref="AW1673">IFERROR(IF(AV1673=0,0,(INDEX($C$33:$C$38,MATCH($AZ$1580,$B$33:$B$38,0),0)*(AV1673+$BA$1580)+$AY$1580*$C$31)*$AU$1580),0)</f>
        <v>0</v>
      </c>
      <c r="AX1673">
        <f>IF(AV1673=0,0,-$AY$1580*$C$31*$H$27*$AU$1580)</f>
        <v>0</v>
      </c>
      <c r="AY1673">
        <f>IF(AV1673=0,0,$AY$1580*$H$26*$AU$1580)</f>
        <v>0</v>
      </c>
      <c r="AZ1673">
        <f>(0.6*AW1673+0.7*AX1673)*$AU$1580/2</f>
        <v>0</v>
      </c>
      <c r="BA1673">
        <f>AW1673*$AU$1580/2</f>
        <v>0</v>
      </c>
      <c r="BC1673">
        <f>IF(AV1673=0,0,$BG$1580*$AP$1561)</f>
        <v>0</v>
      </c>
      <c r="BD1673">
        <f>IFERROR(BC1673/$AU$1580,0)</f>
        <v>0</v>
      </c>
      <c r="BE1673">
        <f>BC1673*($F$25+($C$16+$C$17+IF($C$13="single",1.5,3)+3)/12)</f>
        <v>0</v>
      </c>
      <c r="BF1673">
        <f>BE1673-AZ1673</f>
        <v>0</v>
      </c>
      <c r="BG1673" cm="1">
        <f t="array" ref="BG1673">IFERROR(IF(BF1673&lt;0,0,BF1673/($AU$1580-INDEX(hd_off,MATCH(BT1673,hd_mark,0),0)/12)),0)</f>
        <v>0</v>
      </c>
      <c r="BH1673">
        <f>IF(AV1673=0,0,$BG$1580*$AM$1561)</f>
        <v>0</v>
      </c>
      <c r="BI1673">
        <f>IFERROR(BH1673/$AU$1580,0)</f>
        <v>0</v>
      </c>
      <c r="BJ1673">
        <f>BH1673*($F$25+($C$16+$C$17+IF($C$13="single",1.5,3)+3)/12)</f>
        <v>0</v>
      </c>
      <c r="BK1673">
        <f>BJ1673-BA1673</f>
        <v>0</v>
      </c>
      <c r="BL1673" cm="1">
        <f t="array" ref="BL1673">IFERROR(IF(BK1673&lt;0,0,BK1673/($AU$1580-INDEX(hd_off,MATCH(BT1673,hd_mark,0),0)/12)),0)</f>
        <v>0</v>
      </c>
      <c r="BM1673">
        <f>MAX($F$25,$BF$1580)/$Q$1588</f>
        <v>0.29920977011494249</v>
      </c>
      <c r="BN1673">
        <f t="shared" si="1024"/>
        <v>1</v>
      </c>
      <c r="BO1673" cm="1">
        <f t="array" ref="BO1673">IFERROR(INDEX(sheath_ecap_asd,MATCH(BS1673,sheath_mark,0),0)*BN1673,0)</f>
        <v>0</v>
      </c>
      <c r="BP1673" cm="1">
        <f t="array" ref="BP1673">IFERROR(INDEX(sheath_wcap_asd,MATCH(BS1673,sheath_mark,0),0)*BN1673,0)</f>
        <v>0</v>
      </c>
      <c r="BQ1673" cm="1">
        <f t="array" ref="BQ1673">IFERROR(INDEX(hd_cap,MATCH(BT1673,hd_mark,0),0),0)</f>
        <v>0</v>
      </c>
      <c r="BS1673" s="19"/>
      <c r="BT1673" s="19"/>
      <c r="BU1673" s="100"/>
    </row>
    <row r="1674" x14ac:dyDescent="0.25">
      <c r="P1674" s="93"/>
      <c r="AR1674" s="100"/>
      <c r="AS1674" s="93"/>
      <c r="BU1674" s="100"/>
    </row>
    <row r="1675" x14ac:dyDescent="0.25">
      <c r="P1675" s="93"/>
      <c r="Q1675" s="110" t="str">
        <f>$Q$1581</f>
        <v>A.16</v>
      </c>
      <c r="R1675" t="str">
        <f>$Q$1557</f>
        <v>L2</v>
      </c>
      <c r="S1675">
        <f>$E$21</f>
        <v>10.6875</v>
      </c>
      <c r="T1675" cm="1">
        <f t="array" ref="T1675">IFERROR(IF(S1675=0,0,(INDEX($C$33:$C$38,MATCH($W$1581,$B$33:$B$38,0),0)*(S1679+$X$1581)+$T$1581*COUNTIF(S1675:S1678,"&gt;0")*$C$32+$V$1581*$C$31)*$R$1581),0)</f>
        <v>0</v>
      </c>
      <c r="U1675">
        <f>IF(S1675=0,0,-(COUNTIF(S1675:S1678,"&gt;0")*$T$1581*$C$32+$V$1581*$C$31)*$H$27*$R$1581)</f>
        <v>0</v>
      </c>
      <c r="V1675">
        <f>IF(S1675=0,0,$V$1581*$H$26*$R$1581)</f>
        <v>0</v>
      </c>
      <c r="W1675">
        <f>(0.6*T1675+0.7*U1675)*$R$1581/2</f>
        <v>0</v>
      </c>
      <c r="X1675">
        <f>(0.6*T1675+0.6*V1675)*$R$1581/2</f>
        <v>0</v>
      </c>
      <c r="Z1675">
        <f>IF(S1675=0,0,$AD$1581*$AP$1557)</f>
        <v>0</v>
      </c>
      <c r="AA1675">
        <f>IFERROR(Z1675/$R$1581,0)</f>
        <v>0</v>
      </c>
      <c r="AB1675">
        <f>Z1675*($F$21+IF($F$21=0,0,($C$14+$C$15+IF($C$13="single",1.5,3)+3)/12))</f>
        <v>0</v>
      </c>
      <c r="AC1675">
        <f>AB1675-W1675</f>
        <v>0</v>
      </c>
      <c r="AD1675" cm="1">
        <f t="array" ref="AD1675">IFERROR(IF(AC1675&lt;0,0,AC1675/($R$1581-INDEX(hd_off,MATCH(AQ1675,hd_mark,0),0)/12)),0)</f>
        <v>0</v>
      </c>
      <c r="AE1675">
        <f>IF(S1675=0,0,$AD$1581*$AM$1557)</f>
        <v>0</v>
      </c>
      <c r="AF1675">
        <f>IFERROR(AE1675/$R$1581,0)</f>
        <v>0</v>
      </c>
      <c r="AG1675">
        <f>AE1675*($F$21+IF($F$21=0,0,($C$14+$C$15+IF($C$13="single",1.5,3)+3)/12))</f>
        <v>0</v>
      </c>
      <c r="AH1675">
        <f>AG1675-X1675</f>
        <v>0</v>
      </c>
      <c r="AI1675" cm="1">
        <f t="array" ref="AI1675">IFERROR(IF(AH1675&lt;0,0,AH1675/($R$1581-INDEX(hd_off,MATCH(AQ1675,hd_mark,0),0)/12)),0)</f>
        <v>0</v>
      </c>
      <c r="AJ1675">
        <f>MAX($F$21,$Y$1581)/$Q$1588</f>
        <v>0.30172413793103448</v>
      </c>
      <c r="AK1675">
        <f>IF(AJ1675=0,0,IF(AJ1675&gt;2,1.25-0.125*AJ1675,1))</f>
        <v>1</v>
      </c>
      <c r="AL1675" cm="1">
        <f t="array" ref="AL1675">IFERROR(INDEX(sheath_ecap_asd,MATCH(AP1675,sheath_mark,0),0)*AK1675,0)</f>
        <v>0</v>
      </c>
      <c r="AM1675" cm="1">
        <f t="array" ref="AM1675">IFERROR(INDEX(sheath_wcap_asd,MATCH(AP1675,sheath_mark,0),0)*AK1675,0)</f>
        <v>0</v>
      </c>
      <c r="AN1675" cm="1">
        <f t="array" ref="AN1675">IFERROR(INDEX(hd_cap,MATCH(AQ1675,hd_mark,0),0),0)</f>
        <v>0</v>
      </c>
      <c r="AP1675" s="19"/>
      <c r="AQ1675" s="19"/>
      <c r="AR1675" s="100"/>
      <c r="AS1675" s="93"/>
      <c r="AT1675" s="110" t="str">
        <f>$AT$1581</f>
        <v>1.16</v>
      </c>
      <c r="AU1675" t="str">
        <f>$Q$1557</f>
        <v>L2</v>
      </c>
      <c r="AV1675">
        <f>$E$21</f>
        <v>10.6875</v>
      </c>
      <c r="AW1675" cm="1">
        <f t="array" ref="AW1675">IFERROR(IF(AV1675=0,0,(INDEX($C$33:$C$38,MATCH($AZ$1581,$B$33:$B$38,0),0)*(AV1679+$BA$1581)+$AW$1581*COUNTIF(AV1675:AV1678,"&gt;0")*$C$32+$AY$1581*$C$31)*$AU$1581),0)</f>
        <v>0</v>
      </c>
      <c r="AX1675">
        <f>IF(AV1675=0,0,-(COUNTIF(AV1675:AV1678,"&gt;0")*$AW$1581*$C$32+$AY$1581*$C$31)*$H$27*$AU$1581)</f>
        <v>0</v>
      </c>
      <c r="AY1675">
        <f>IF(AV1675=0,0,$AY$1581*$H$26*$AU$1581)</f>
        <v>0</v>
      </c>
      <c r="AZ1675">
        <f>(0.6*AW1675+0.7*AX1675)*$AU$1581/2</f>
        <v>0</v>
      </c>
      <c r="BA1675">
        <f>(0.6*AW1675+0.6*AY1675)*$AU$1581/2</f>
        <v>0</v>
      </c>
      <c r="BC1675">
        <f>IF(AV1675=0,0,$BG$1581*$AP$1557)</f>
        <v>0</v>
      </c>
      <c r="BD1675">
        <f>IFERROR(BC1675/$AU$1581,0)</f>
        <v>0</v>
      </c>
      <c r="BE1675">
        <f>BC1675*($F$21+IF($F$21=0,0,($C$14+$C$15+IF($C$13="single",1.5,3)+3)/12))</f>
        <v>0</v>
      </c>
      <c r="BF1675">
        <f>BE1675-AZ1675</f>
        <v>0</v>
      </c>
      <c r="BG1675" cm="1">
        <f t="array" ref="BG1675">IFERROR(IF(BF1675&lt;0,0,BF1675/($AU$1581-INDEX(hd_off,MATCH(BT1675,hd_mark,0),0)/12)),0)</f>
        <v>0</v>
      </c>
      <c r="BH1675">
        <f>IF(AV1675=0,0,$BG$1581*$AM$1557)</f>
        <v>0</v>
      </c>
      <c r="BI1675">
        <f>IFERROR(BH1675/$AU$1581,0)</f>
        <v>0</v>
      </c>
      <c r="BJ1675">
        <f>BH1675*($F$21+IF($F$21=0,0,($C$14+$C$15+IF($C$13="single",1.5,3)+3)/12))</f>
        <v>0</v>
      </c>
      <c r="BK1675">
        <f>BJ1675-BA1675</f>
        <v>0</v>
      </c>
      <c r="BL1675" cm="1">
        <f t="array" ref="BL1675">IFERROR(IF(BK1675&lt;0,0,BK1675/($AU$1581-INDEX(hd_off,MATCH(BT1675,hd_mark,0),0)/12)),0)</f>
        <v>0</v>
      </c>
      <c r="BM1675">
        <f>MAX($F$21,$BB$1581)/$Q$1588</f>
        <v>0.30172413793103448</v>
      </c>
      <c r="BN1675">
        <f>IF(BM1675=0,0,IF(BM1675&gt;2,1.25-0.125*BM1675,1))</f>
        <v>1</v>
      </c>
      <c r="BO1675" cm="1">
        <f t="array" ref="BO1675">IFERROR(INDEX(sheath_ecap_asd,MATCH(BS1675,sheath_mark,0),0)*BN1675,0)</f>
        <v>0</v>
      </c>
      <c r="BP1675" cm="1">
        <f t="array" ref="BP1675">IFERROR(INDEX(sheath_wcap_asd,MATCH(BS1675,sheath_mark,0),0)*BN1675,0)</f>
        <v>0</v>
      </c>
      <c r="BQ1675" cm="1">
        <f t="array" ref="BQ1675">IFERROR(INDEX(hd_cap,MATCH(BT1675,hd_mark,0),0),0)</f>
        <v>0</v>
      </c>
      <c r="BS1675" s="19"/>
      <c r="BT1675" s="19"/>
      <c r="BU1675" s="100"/>
    </row>
    <row r="1676" x14ac:dyDescent="0.25">
      <c r="P1676" s="93"/>
      <c r="Q1676" s="109"/>
      <c r="R1676" t="str">
        <f>$Q$1558</f>
        <v>L3</v>
      </c>
      <c r="S1676">
        <f>$E$22</f>
        <v>21.375</v>
      </c>
      <c r="T1676" cm="1">
        <f t="array" ref="T1676">IFERROR(IF(S1676=0,0,(INDEX($C$33:$C$38,MATCH($W$1581,$B$33:$B$38,0),0)*(S1679+$X$1581)+$T$1581*COUNTIF(S1676:S1678,"&gt;0")*$C$32+$V$1581*$C$31)*$R$1581),0)</f>
        <v>0</v>
      </c>
      <c r="U1676">
        <f>IF(S1676=0,0,-(COUNTIF(S1676:S1678,"&gt;0")*$T$1581*$C$32+$V$1581*$C$31)*$H$27*$R$1581)</f>
        <v>0</v>
      </c>
      <c r="V1676">
        <f>IF(S1676=0,0,$V$1581*$H$26*$R$1581)</f>
        <v>0</v>
      </c>
      <c r="W1676">
        <f>(0.6*T1676+0.7*U1676)*$R$1581/2</f>
        <v>0</v>
      </c>
      <c r="X1676">
        <f>T1676*$R$1581/2</f>
        <v>0</v>
      </c>
      <c r="Z1676">
        <f>IF(S1676=0,0,$AD$1581*$AP$1558)</f>
        <v>0</v>
      </c>
      <c r="AA1676">
        <f>IFERROR(Z1676/$R$1581,0)</f>
        <v>0</v>
      </c>
      <c r="AB1676">
        <f>Z1676*($F$22+IF($F$22=0,0,($C$14+$C$15+IF($C$13="single",1.5,3)+3)/12))</f>
        <v>0</v>
      </c>
      <c r="AC1676">
        <f>AB1676-W1676</f>
        <v>0</v>
      </c>
      <c r="AD1676" cm="1">
        <f t="array" ref="AD1676">IFERROR(IF(AC1676&lt;0,0,AC1676/($R$1581-INDEX(hd_off,MATCH(AQ1676,hd_mark,0),0)/12)),0)</f>
        <v>0</v>
      </c>
      <c r="AE1676">
        <f>IF(S1676=0,0,$AD$1581*$AM$1558)</f>
        <v>0</v>
      </c>
      <c r="AF1676">
        <f>IFERROR(AE1676/$R$1581,0)</f>
        <v>0</v>
      </c>
      <c r="AG1676">
        <f>AE1676*($F$22+IF($F$22=0,0,($C$14+$C$15+IF($C$13="single",1.5,3)+3)/12))</f>
        <v>0</v>
      </c>
      <c r="AH1676">
        <f>AG1676-X1676</f>
        <v>0</v>
      </c>
      <c r="AI1676" cm="1">
        <f t="array" ref="AI1676">IFERROR(IF(AH1676&lt;0,0,AH1676/($R$1581-INDEX(hd_off,MATCH(AQ1676,hd_mark,0),0)/12)),0)</f>
        <v>0</v>
      </c>
      <c r="AJ1676">
        <f>MAX($F$22,$Z$1581)/$Q$1588</f>
        <v>0.30172413793103448</v>
      </c>
      <c r="AK1676">
        <f t="shared" ref="AK1676:AK1679" si="1025">IF(AJ1676=0,0,IF(AJ1676&gt;2,1.25-0.125*AJ1676,1))</f>
        <v>1</v>
      </c>
      <c r="AL1676" cm="1">
        <f t="array" ref="AL1676">IFERROR(INDEX(sheath_ecap_asd,MATCH(AP1676,sheath_mark,0),0)*AK1676,0)</f>
        <v>0</v>
      </c>
      <c r="AM1676" cm="1">
        <f t="array" ref="AM1676">IFERROR(INDEX(sheath_wcap_asd,MATCH(AP1676,sheath_mark,0),0)*AK1676,0)</f>
        <v>0</v>
      </c>
      <c r="AN1676" cm="1">
        <f t="array" ref="AN1676">IFERROR(INDEX(hd_cap,MATCH(AQ1676,hd_mark,0),0),0)</f>
        <v>0</v>
      </c>
      <c r="AP1676" s="19"/>
      <c r="AQ1676" s="19"/>
      <c r="AR1676" s="100"/>
      <c r="AS1676" s="93"/>
      <c r="AT1676" s="109"/>
      <c r="AU1676" t="str">
        <f>$Q$1558</f>
        <v>L3</v>
      </c>
      <c r="AV1676">
        <f>$E$22</f>
        <v>21.375</v>
      </c>
      <c r="AW1676" cm="1">
        <f t="array" ref="AW1676">IFERROR(IF(AV1676=0,0,(INDEX($C$33:$C$38,MATCH($AZ$1581,$B$33:$B$38,0),0)*(AV1679+$BA$1581)+$AW$1581*COUNTIF(AV1676:AV1678,"&gt;0")*$C$32+$AY$1581*$C$31)*$AU$1581),0)</f>
        <v>0</v>
      </c>
      <c r="AX1676">
        <f>IF(AV1676=0,0,-(COUNTIF(AV1676:AV1678,"&gt;0")*$AW$1581*$C$32+$AY$1581*$C$31)*$H$27*$AU$1581)</f>
        <v>0</v>
      </c>
      <c r="AY1676">
        <f>IF(AV1676=0,0,$AY$1581*$H$26*$AU$1581)</f>
        <v>0</v>
      </c>
      <c r="AZ1676">
        <f>(0.6*AW1676+0.7*AX1676)*$AU$1581/2</f>
        <v>0</v>
      </c>
      <c r="BA1676">
        <f>AW1676*$AU$1581/2</f>
        <v>0</v>
      </c>
      <c r="BC1676">
        <f>IF(AV1676=0,0,$BG$1581*$AP$1558)</f>
        <v>0</v>
      </c>
      <c r="BD1676">
        <f>IFERROR(BC1676/$AU$1581,0)</f>
        <v>0</v>
      </c>
      <c r="BE1676">
        <f>BC1676*($F$22+IF($F$22=0,0,($C$14+$C$15+IF($C$13="single",1.5,3)+3)/12))</f>
        <v>0</v>
      </c>
      <c r="BF1676">
        <f>BE1676-AZ1676</f>
        <v>0</v>
      </c>
      <c r="BG1676" cm="1">
        <f t="array" ref="BG1676">IFERROR(IF(BF1676&lt;0,0,BF1676/($AU$1581-INDEX(hd_off,MATCH(BT1676,hd_mark,0),0)/12)),0)</f>
        <v>0</v>
      </c>
      <c r="BH1676">
        <f>IF(AV1676=0,0,$BG$1581*$AM$1558)</f>
        <v>0</v>
      </c>
      <c r="BI1676">
        <f>IFERROR(BH1676/$AU$1581,0)</f>
        <v>0</v>
      </c>
      <c r="BJ1676">
        <f>BH1676*($F$22+IF($F$22=0,0,($C$14+$C$15+IF($C$13="single",1.5,3)+3)/12))</f>
        <v>0</v>
      </c>
      <c r="BK1676">
        <f>BJ1676-BA1676</f>
        <v>0</v>
      </c>
      <c r="BL1676" cm="1">
        <f t="array" ref="BL1676">IFERROR(IF(BK1676&lt;0,0,BK1676/($AU$1581-INDEX(hd_off,MATCH(BT1676,hd_mark,0),0)/12)),0)</f>
        <v>0</v>
      </c>
      <c r="BM1676">
        <f>MAX($F$22,$BC$1581)/$Q$1588</f>
        <v>0.30172413793103448</v>
      </c>
      <c r="BN1676">
        <f t="shared" ref="BN1676:BN1678" si="1026">IF(BM1676=0,0,IF(BM1676&gt;2,1.25-0.125*BM1676,1))</f>
        <v>1</v>
      </c>
      <c r="BO1676" cm="1">
        <f t="array" ref="BO1676">IFERROR(INDEX(sheath_ecap_asd,MATCH(BS1676,sheath_mark,0),0)*BN1676,0)</f>
        <v>0</v>
      </c>
      <c r="BP1676" cm="1">
        <f t="array" ref="BP1676">IFERROR(INDEX(sheath_wcap_asd,MATCH(BS1676,sheath_mark,0),0)*BN1676,0)</f>
        <v>0</v>
      </c>
      <c r="BQ1676" cm="1">
        <f t="array" ref="BQ1676">IFERROR(INDEX(hd_cap,MATCH(BT1676,hd_mark,0),0),0)</f>
        <v>0</v>
      </c>
      <c r="BS1676" s="19"/>
      <c r="BT1676" s="19"/>
      <c r="BU1676" s="100"/>
    </row>
    <row r="1677" x14ac:dyDescent="0.25">
      <c r="P1677" s="93"/>
      <c r="Q1677" s="109" t="s">
        <v>491</v>
      </c>
      <c r="R1677" t="str">
        <f>$Q$1559</f>
        <v>L4</v>
      </c>
      <c r="S1677">
        <f>$E$23</f>
        <v>0</v>
      </c>
      <c r="T1677" cm="1">
        <f t="array" ref="T1677">IFERROR(IF(S1677=0,0,(INDEX($C$33:$C$38,MATCH($W$1581,$B$33:$B$38,0),0)*(S1679+$X$1581)+$T$1581*COUNTIF(S1677:S1678,"&gt;0")*$C$32+$V$1581*$C$31)*$R$1581),0)</f>
        <v>0</v>
      </c>
      <c r="U1677">
        <f>IF(S1677=0,0,-(COUNTIF(S1677:S1678,"&gt;0")*$T$1581*$C$32+$V$1581*$C$31)*$H$27*$R$1581)</f>
        <v>0</v>
      </c>
      <c r="V1677">
        <f>IF(S1677=0,0,$V$1581*$H$26*$R$1581)</f>
        <v>0</v>
      </c>
      <c r="W1677">
        <f>(0.6*T1677+0.7*U1677)*$R$1581/2</f>
        <v>0</v>
      </c>
      <c r="X1677">
        <f>T1677*$R$1581/2</f>
        <v>0</v>
      </c>
      <c r="Z1677">
        <f>IF(S1677=0,0,$AD$1581*$AP$1559)</f>
        <v>0</v>
      </c>
      <c r="AA1677">
        <f>IFERROR(Z1677/$R$1581,0)</f>
        <v>0</v>
      </c>
      <c r="AB1677">
        <f>Z1677*($F$23+IF($F$23=0,0,($C$14+$C$15+IF($C$13="single",1.5,3)+3)/12))</f>
        <v>0</v>
      </c>
      <c r="AC1677">
        <f>AB1677-W1677</f>
        <v>0</v>
      </c>
      <c r="AD1677" cm="1">
        <f t="array" ref="AD1677">IFERROR(IF(AC1677&lt;0,0,AC1677/($R$1581-INDEX(hd_off,MATCH(AQ1677,hd_mark,0),0)/12)),0)</f>
        <v>0</v>
      </c>
      <c r="AE1677">
        <f>IF(S1677=0,0,$AD$1581*$AM$1559)</f>
        <v>0</v>
      </c>
      <c r="AF1677">
        <f>IFERROR(AE1677/$R$1581,0)</f>
        <v>0</v>
      </c>
      <c r="AG1677">
        <f>AE1677*($F$23+IF($F$23=0,0,($C$14+$C$15+IF($C$13="single",1.5,3)+3)/12))</f>
        <v>0</v>
      </c>
      <c r="AH1677">
        <f>AG1677-X1677</f>
        <v>0</v>
      </c>
      <c r="AI1677" cm="1">
        <f t="array" ref="AI1677">IFERROR(IF(AH1677&lt;0,0,AH1677/($R$1581-INDEX(hd_off,MATCH(AQ1677,hd_mark,0),0)/12)),0)</f>
        <v>0</v>
      </c>
      <c r="AJ1677">
        <f>MAX($F$23,$AA$1581)/$Q$1588</f>
        <v>0</v>
      </c>
      <c r="AK1677">
        <f t="shared" si="1025"/>
        <v>0</v>
      </c>
      <c r="AL1677" cm="1">
        <f t="array" ref="AL1677">IFERROR(INDEX(sheath_ecap_asd,MATCH(AP1677,sheath_mark,0),0)*AK1677,0)</f>
        <v>0</v>
      </c>
      <c r="AM1677" cm="1">
        <f t="array" ref="AM1677">IFERROR(INDEX(sheath_wcap_asd,MATCH(AP1677,sheath_mark,0),0)*AK1677,0)</f>
        <v>0</v>
      </c>
      <c r="AN1677" cm="1">
        <f t="array" ref="AN1677">IFERROR(INDEX(hd_cap,MATCH(AQ1677,hd_mark,0),0),0)</f>
        <v>0</v>
      </c>
      <c r="AP1677" s="19"/>
      <c r="AQ1677" s="19"/>
      <c r="AR1677" s="100"/>
      <c r="AS1677" s="93"/>
      <c r="AT1677" s="109" t="s">
        <v>491</v>
      </c>
      <c r="AU1677" t="str">
        <f>$Q$1559</f>
        <v>L4</v>
      </c>
      <c r="AV1677">
        <f>$E$23</f>
        <v>0</v>
      </c>
      <c r="AW1677" cm="1">
        <f t="array" ref="AW1677">IFERROR(IF(AV1677=0,0,(INDEX($C$33:$C$38,MATCH($AZ$1581,$B$33:$B$38,0),0)*(AV1679+$BA$1581)+$AW$1581*COUNTIF(AV1677:AV1678,"&gt;0")*$C$32+$AY$1581*$C$31)*$AU$1581),0)</f>
        <v>0</v>
      </c>
      <c r="AX1677">
        <f>IF(AV1677=0,0,-(COUNTIF(AV1677:AV1678,"&gt;0")*$AW$1581*$C$32+$AY$1581*$C$31)*$H$27*$AU$1581)</f>
        <v>0</v>
      </c>
      <c r="AY1677">
        <f>IF(AV1677=0,0,$AY$1581*$H$26*$AU$1581)</f>
        <v>0</v>
      </c>
      <c r="AZ1677">
        <f>(0.6*AW1677+0.7*AX1677)*$AU$1581/2</f>
        <v>0</v>
      </c>
      <c r="BA1677">
        <f>AW1677*$AU$1581/2</f>
        <v>0</v>
      </c>
      <c r="BC1677">
        <f>IF(AV1677=0,0,$BG$1581*$AP$1559)</f>
        <v>0</v>
      </c>
      <c r="BD1677">
        <f>IFERROR(BC1677/$AU$1581,0)</f>
        <v>0</v>
      </c>
      <c r="BE1677">
        <f>BC1677*($F$23+IF($F$23=0,0,($C$14+$C$15+IF($C$13="single",1.5,3)+3)/12))</f>
        <v>0</v>
      </c>
      <c r="BF1677">
        <f>BE1677-AZ1677</f>
        <v>0</v>
      </c>
      <c r="BG1677" cm="1">
        <f t="array" ref="BG1677">IFERROR(IF(BF1677&lt;0,0,BF1677/($AU$1581-INDEX(hd_off,MATCH(BT1677,hd_mark,0),0)/12)),0)</f>
        <v>0</v>
      </c>
      <c r="BH1677">
        <f>IF(AV1677=0,0,$BG$1581*$AM$1559)</f>
        <v>0</v>
      </c>
      <c r="BI1677">
        <f>IFERROR(BH1677/$AU$1581,0)</f>
        <v>0</v>
      </c>
      <c r="BJ1677">
        <f>BH1677*($F$23+IF($F$23=0,0,($C$14+$C$15+IF($C$13="single",1.5,3)+3)/12))</f>
        <v>0</v>
      </c>
      <c r="BK1677">
        <f>BJ1677-BA1677</f>
        <v>0</v>
      </c>
      <c r="BL1677" cm="1">
        <f t="array" ref="BL1677">IFERROR(IF(BK1677&lt;0,0,BK1677/($AU$1581-INDEX(hd_off,MATCH(BT1677,hd_mark,0),0)/12)),0)</f>
        <v>0</v>
      </c>
      <c r="BM1677">
        <f>MAX($F$23,$BD$1581)/$Q$1588</f>
        <v>0</v>
      </c>
      <c r="BN1677">
        <f t="shared" si="1026"/>
        <v>0</v>
      </c>
      <c r="BO1677" cm="1">
        <f t="array" ref="BO1677">IFERROR(INDEX(sheath_ecap_asd,MATCH(BS1677,sheath_mark,0),0)*BN1677,0)</f>
        <v>0</v>
      </c>
      <c r="BP1677" cm="1">
        <f t="array" ref="BP1677">IFERROR(INDEX(sheath_wcap_asd,MATCH(BS1677,sheath_mark,0),0)*BN1677,0)</f>
        <v>0</v>
      </c>
      <c r="BQ1677" cm="1">
        <f t="array" ref="BQ1677">IFERROR(INDEX(hd_cap,MATCH(BT1677,hd_mark,0),0),0)</f>
        <v>0</v>
      </c>
      <c r="BS1677" s="19"/>
      <c r="BT1677" s="19"/>
      <c r="BU1677" s="100"/>
    </row>
    <row r="1678" x14ac:dyDescent="0.25">
      <c r="P1678" s="93"/>
      <c r="Q1678" s="111">
        <f>$R$1581</f>
        <v>0</v>
      </c>
      <c r="R1678" t="str">
        <f>$Q$1560</f>
        <v>L5</v>
      </c>
      <c r="S1678">
        <f>$E$24</f>
        <v>0</v>
      </c>
      <c r="T1678" cm="1">
        <f t="array" ref="T1678">IFERROR(IF(S1678=0,0,(INDEX($C$33:$C$38,MATCH($W$1581,$B$33:$B$38,0),0)*(S1679+$X$1581)+$T$1581*COUNTIF(S1678:S1678,"&gt;0")*$C$32+$V$1581*$C$31)*$R$1581),0)</f>
        <v>0</v>
      </c>
      <c r="U1678">
        <f>IF(S1678=0,0,-(COUNTIF(S1678:S1678,"&gt;0")*$T$1581*$C$32+$V$1581*$C$31)*$H$27*$R$1581)</f>
        <v>0</v>
      </c>
      <c r="V1678">
        <f>IF(S1678=0,0,$V$1581*$H$26*$R$1581)</f>
        <v>0</v>
      </c>
      <c r="W1678">
        <f>(0.6*T1678+0.7*U1678)*$R$1581/2</f>
        <v>0</v>
      </c>
      <c r="X1678">
        <f>T1678*$R$1581/2</f>
        <v>0</v>
      </c>
      <c r="Z1678">
        <f>IF(S1678=0,0,$AD$1581*$AP$1560)</f>
        <v>0</v>
      </c>
      <c r="AA1678">
        <f>IFERROR(Z1678/$R$1581,0)</f>
        <v>0</v>
      </c>
      <c r="AB1678">
        <f>Z1678*($F$24+IF($F$24=0,0,($C$14+$C$15+IF($C$13="single",1.5,3)+3)/12))</f>
        <v>0</v>
      </c>
      <c r="AC1678">
        <f>AB1678-W1678</f>
        <v>0</v>
      </c>
      <c r="AD1678" cm="1">
        <f t="array" ref="AD1678">IFERROR(IF(AC1678&lt;0,0,AC1678/($R$1581-INDEX(hd_off,MATCH(AQ1678,hd_mark,0),0)/12)),0)</f>
        <v>0</v>
      </c>
      <c r="AE1678">
        <f>IF(S1678=0,0,$AD$1581*$AM$1560)</f>
        <v>0</v>
      </c>
      <c r="AF1678">
        <f>IFERROR(AE1678/$R$1581,0)</f>
        <v>0</v>
      </c>
      <c r="AG1678">
        <f>AE1678*($F$24+IF($F$24=0,0,($C$14+$C$15+IF($C$13="single",1.5,3)+3)/12))</f>
        <v>0</v>
      </c>
      <c r="AH1678">
        <f>AG1678-X1678</f>
        <v>0</v>
      </c>
      <c r="AI1678" cm="1">
        <f t="array" ref="AI1678">IFERROR(IF(AH1678&lt;0,0,AH1678/($R$1581-INDEX(hd_off,MATCH(AQ1678,hd_mark,0),0)/12)),0)</f>
        <v>0</v>
      </c>
      <c r="AJ1678">
        <f>MAX($F$24,$AB$1581)/$Q$1588</f>
        <v>0</v>
      </c>
      <c r="AK1678">
        <f t="shared" si="1025"/>
        <v>0</v>
      </c>
      <c r="AL1678" cm="1">
        <f t="array" ref="AL1678">IFERROR(INDEX(sheath_ecap_asd,MATCH(AP1678,sheath_mark,0),0)*AK1678,0)</f>
        <v>0</v>
      </c>
      <c r="AM1678" cm="1">
        <f t="array" ref="AM1678">IFERROR(INDEX(sheath_wcap_asd,MATCH(AP1678,sheath_mark,0),0)*AK1678,0)</f>
        <v>0</v>
      </c>
      <c r="AN1678" cm="1">
        <f t="array" ref="AN1678">IFERROR(INDEX(hd_cap,MATCH(AQ1678,hd_mark,0),0),0)</f>
        <v>0</v>
      </c>
      <c r="AP1678" s="19"/>
      <c r="AQ1678" s="19"/>
      <c r="AR1678" s="100"/>
      <c r="AS1678" s="93"/>
      <c r="AT1678" s="111">
        <f>$R$1581</f>
        <v>0</v>
      </c>
      <c r="AU1678" t="str">
        <f>$Q$1560</f>
        <v>L5</v>
      </c>
      <c r="AV1678">
        <f>$E$24</f>
        <v>0</v>
      </c>
      <c r="AW1678" cm="1">
        <f t="array" ref="AW1678">IFERROR(IF(AV1678=0,0,(INDEX($C$33:$C$38,MATCH($AZ$1581,$B$33:$B$38,0),0)*(AV1679+$BA$1581)+$AW$1581*COUNTIF(AV1678:AV1678,"&gt;0")*$C$32+$AY$1581*$C$31)*$AU$1581),0)</f>
        <v>0</v>
      </c>
      <c r="AX1678">
        <f>IF(AV1678=0,0,-(COUNTIF(AV1678:AV1678,"&gt;0")*$AW$1581*$C$32+$AY$1581*$C$31)*$H$27*$AU$1581)</f>
        <v>0</v>
      </c>
      <c r="AY1678">
        <f>IF(AV1678=0,0,$AY$1581*$H$26*$AU$1581)</f>
        <v>0</v>
      </c>
      <c r="AZ1678">
        <f>(0.6*AW1678+0.7*AX1678)*$AU$1581/2</f>
        <v>0</v>
      </c>
      <c r="BA1678">
        <f>AW1678*$AU$1581/2</f>
        <v>0</v>
      </c>
      <c r="BC1678">
        <f>IF(AV1678=0,0,$BG$1581*$AP$1560)</f>
        <v>0</v>
      </c>
      <c r="BD1678">
        <f>IFERROR(BC1678/$AU$1581,0)</f>
        <v>0</v>
      </c>
      <c r="BE1678">
        <f>BC1678*($F$24+IF($F$24=0,0,($C$14+$C$15+IF($C$13="single",1.5,3)+3)/12))</f>
        <v>0</v>
      </c>
      <c r="BF1678">
        <f>BE1678-AZ1678</f>
        <v>0</v>
      </c>
      <c r="BG1678" cm="1">
        <f t="array" ref="BG1678">IFERROR(IF(BF1678&lt;0,0,BF1678/($AU$1581-INDEX(hd_off,MATCH(BT1678,hd_mark,0),0)/12)),0)</f>
        <v>0</v>
      </c>
      <c r="BH1678">
        <f>IF(AV1678=0,0,$BG$1581*$AM$1560)</f>
        <v>0</v>
      </c>
      <c r="BI1678">
        <f>IFERROR(BH1678/$AU$1581,0)</f>
        <v>0</v>
      </c>
      <c r="BJ1678">
        <f>BH1678*($F$24+IF($F$24=0,0,($C$14+$C$15+IF($C$13="single",1.5,3)+3)/12))</f>
        <v>0</v>
      </c>
      <c r="BK1678">
        <f>BJ1678-BA1678</f>
        <v>0</v>
      </c>
      <c r="BL1678" cm="1">
        <f t="array" ref="BL1678">IFERROR(IF(BK1678&lt;0,0,BK1678/($AU$1581-INDEX(hd_off,MATCH(BT1678,hd_mark,0),0)/12)),0)</f>
        <v>0</v>
      </c>
      <c r="BM1678">
        <f>MAX($F$24,$BE$1581)/$Q$1588</f>
        <v>0</v>
      </c>
      <c r="BN1678">
        <f t="shared" si="1026"/>
        <v>0</v>
      </c>
      <c r="BO1678" cm="1">
        <f t="array" ref="BO1678">IFERROR(INDEX(sheath_ecap_asd,MATCH(BS1678,sheath_mark,0),0)*BN1678,0)</f>
        <v>0</v>
      </c>
      <c r="BP1678" cm="1">
        <f t="array" ref="BP1678">IFERROR(INDEX(sheath_wcap_asd,MATCH(BS1678,sheath_mark,0),0)*BN1678,0)</f>
        <v>0</v>
      </c>
      <c r="BQ1678" cm="1">
        <f t="array" ref="BQ1678">IFERROR(INDEX(hd_cap,MATCH(BT1678,hd_mark,0),0),0)</f>
        <v>0</v>
      </c>
      <c r="BS1678" s="19"/>
      <c r="BT1678" s="19"/>
      <c r="BU1678" s="100"/>
    </row>
    <row r="1679" x14ac:dyDescent="0.25">
      <c r="P1679" s="93"/>
      <c r="Q1679" s="109"/>
      <c r="R1679" t="str">
        <f>$Q$1561</f>
        <v>Roof</v>
      </c>
      <c r="S1679">
        <f>$E$25</f>
        <v>33.171875</v>
      </c>
      <c r="T1679" cm="1">
        <f t="array" ref="T1679">IFERROR(IF(S1679=0,0,(INDEX($C$33:$C$38,MATCH($W$1581,$B$33:$B$38,0),0)*(S1679+$X$1581)+$V$1581*$C$31)*$R$1581),0)</f>
        <v>0</v>
      </c>
      <c r="U1679">
        <f>IF(S1679=0,0,-$V$1581*$C$31*$H$27*$R$1581)</f>
        <v>0</v>
      </c>
      <c r="V1679">
        <f>IF(S1679=0,0,$V$1581*$H$26*$R$1581)</f>
        <v>0</v>
      </c>
      <c r="W1679">
        <f>(0.6*T1679+0.7*U1679)*$R$1581/2</f>
        <v>0</v>
      </c>
      <c r="X1679">
        <f>T1679*$R$1581/2</f>
        <v>0</v>
      </c>
      <c r="Z1679">
        <f>IF(S1679=0,0,$AD$1581*$AP$1561)</f>
        <v>0</v>
      </c>
      <c r="AA1679">
        <f>IFERROR(Z1679/$R$1581,0)</f>
        <v>0</v>
      </c>
      <c r="AB1679">
        <f>Z1679*($F$25+($C$16+$C$17+IF($C$13="single",1.5,3)+3)/12)</f>
        <v>0</v>
      </c>
      <c r="AC1679">
        <f>AB1679-W1679</f>
        <v>0</v>
      </c>
      <c r="AD1679" cm="1">
        <f t="array" ref="AD1679">IFERROR(IF(AC1679&lt;0,0,AC1679/($R$1581-INDEX(hd_off,MATCH(AQ1679,hd_mark,0),0)/12)),0)</f>
        <v>0</v>
      </c>
      <c r="AE1679">
        <f>IF(S1679=0,0,$AD$1581*$AM$1561)</f>
        <v>0</v>
      </c>
      <c r="AF1679">
        <f>IFERROR(AE1679/$R$1581,0)</f>
        <v>0</v>
      </c>
      <c r="AG1679">
        <f>AE1679*($F$25+($C$16+$C$17+IF($C$13="single",1.5,3)+3)/12)</f>
        <v>0</v>
      </c>
      <c r="AH1679">
        <f>AG1679-X1679</f>
        <v>0</v>
      </c>
      <c r="AI1679" cm="1">
        <f t="array" ref="AI1679">IFERROR(IF(AH1679&lt;0,0,AH1679/($R$1581-INDEX(hd_off,MATCH(AQ1679,hd_mark,0),0)/12)),0)</f>
        <v>0</v>
      </c>
      <c r="AJ1679">
        <f>MAX($F$25,$AC$1581)/$Q$1588</f>
        <v>0.29920977011494249</v>
      </c>
      <c r="AK1679">
        <f t="shared" si="1025"/>
        <v>1</v>
      </c>
      <c r="AL1679" cm="1">
        <f t="array" ref="AL1679">IFERROR(INDEX(sheath_ecap_asd,MATCH(AP1679,sheath_mark,0),0)*AK1679,0)</f>
        <v>0</v>
      </c>
      <c r="AM1679" cm="1">
        <f t="array" ref="AM1679">IFERROR(INDEX(sheath_wcap_asd,MATCH(AP1679,sheath_mark,0),0)*AK1679,0)</f>
        <v>0</v>
      </c>
      <c r="AN1679" cm="1">
        <f t="array" ref="AN1679">IFERROR(INDEX(hd_cap,MATCH(AQ1679,hd_mark,0),0),0)</f>
        <v>0</v>
      </c>
      <c r="AP1679" s="19"/>
      <c r="AQ1679" s="19"/>
      <c r="AR1679" s="100"/>
      <c r="AS1679" s="93"/>
      <c r="BU1679" s="100"/>
    </row>
    <row r="1680" x14ac:dyDescent="0.25">
      <c r="B1680" s="1" t="s">
        <v>569</v>
      </c>
      <c r="C1680">
        <f>E16+H16*12</f>
        <v>32.4375</v>
      </c>
      <c r="E1680" s="19">
        <v>24</v>
      </c>
      <c r="F1680" s="19">
        <f>32+5.625/12</f>
        <v>32.46875</v>
      </c>
      <c r="G1680" s="19">
        <f>33+10.5/12</f>
        <v>33.875</v>
      </c>
      <c r="H1680">
        <f>(G16-F16)/2</f>
        <v>0.703125</v>
      </c>
      <c r="P1680" s="93"/>
      <c r="Q1680" t="s">
        <v>524</v>
      </c>
      <c r="R1680" s="2" t="str">
        <f>$B$55</f>
        <v>A</v>
      </c>
      <c r="AR1680" s="100"/>
      <c r="AS1680" s="93"/>
      <c r="AT1680" t="s">
        <v>524</v>
      </c>
      <c r="AU1680" s="2">
        <f>H55</f>
        <v>1</v>
      </c>
      <c r="BU1680" s="100"/>
    </row>
    <row r="1681" x14ac:dyDescent="0.25">
      <c r="B1681" s="1" t="s">
        <v>500</v>
      </c>
      <c r="C1681" s="19">
        <v>0.5</v>
      </c>
      <c r="P1681" s="93"/>
      <c r="AR1681" s="100"/>
      <c r="AS1681" s="93"/>
      <c r="BU1681" s="100"/>
    </row>
    <row r="1682" x14ac:dyDescent="0.25">
      <c r="P1682" s="93"/>
      <c r="R1682" t="s">
        <v>482</v>
      </c>
      <c r="Z1682" t="s">
        <v>483</v>
      </c>
      <c r="AH1682" t="s">
        <v>502</v>
      </c>
      <c r="AJ1682" t="s">
        <v>454</v>
      </c>
      <c r="AR1682" s="100"/>
      <c r="AS1682" s="93"/>
      <c r="AU1682" t="s">
        <v>482</v>
      </c>
      <c r="BC1682" t="s">
        <v>483</v>
      </c>
      <c r="BK1682" t="s">
        <v>502</v>
      </c>
      <c r="BM1682" t="s">
        <v>454</v>
      </c>
      <c r="BU1682" s="100"/>
    </row>
    <row r="1683" x14ac:dyDescent="0.25">
      <c r="B1683" t="s">
        <v>448</v>
      </c>
      <c r="C1683" t="s">
        <v>272</v>
      </c>
      <c r="D1683" t="s">
        <v>193</v>
      </c>
      <c r="E1683" s="70" t="s">
        <v>454</v>
      </c>
      <c r="F1683" s="71" t="s">
        <v>501</v>
      </c>
      <c r="H1683" t="s">
        <v>475</v>
      </c>
      <c r="J1683" t="s">
        <v>476</v>
      </c>
      <c r="P1683" s="93"/>
      <c r="R1683" t="s">
        <v>480</v>
      </c>
      <c r="S1683" t="s">
        <v>481</v>
      </c>
      <c r="T1683" t="s">
        <v>486</v>
      </c>
      <c r="U1683" t="s">
        <v>487</v>
      </c>
      <c r="V1683" t="s">
        <v>484</v>
      </c>
      <c r="W1683" t="s">
        <v>485</v>
      </c>
      <c r="X1683" t="s">
        <v>488</v>
      </c>
      <c r="Y1683" t="s">
        <v>489</v>
      </c>
      <c r="Z1683" t="s">
        <v>480</v>
      </c>
      <c r="AA1683" t="s">
        <v>481</v>
      </c>
      <c r="AB1683" t="s">
        <v>486</v>
      </c>
      <c r="AC1683" t="s">
        <v>487</v>
      </c>
      <c r="AD1683" t="s">
        <v>484</v>
      </c>
      <c r="AE1683" t="s">
        <v>485</v>
      </c>
      <c r="AF1683" t="s">
        <v>488</v>
      </c>
      <c r="AG1683" t="s">
        <v>489</v>
      </c>
      <c r="AH1683" t="s">
        <v>312</v>
      </c>
      <c r="AI1683" t="s">
        <v>258</v>
      </c>
      <c r="AJ1683" t="s">
        <v>486</v>
      </c>
      <c r="AK1683" t="s">
        <v>490</v>
      </c>
      <c r="AL1683" t="s">
        <v>487</v>
      </c>
      <c r="AM1683" t="s">
        <v>490</v>
      </c>
      <c r="AN1683" t="s">
        <v>488</v>
      </c>
      <c r="AO1683" t="s">
        <v>490</v>
      </c>
      <c r="AP1683" t="s">
        <v>489</v>
      </c>
      <c r="AQ1683" t="s">
        <v>490</v>
      </c>
      <c r="AR1683" s="100"/>
      <c r="AS1683" s="93"/>
      <c r="AU1683" t="s">
        <v>480</v>
      </c>
      <c r="AV1683" t="s">
        <v>481</v>
      </c>
      <c r="AW1683" t="s">
        <v>486</v>
      </c>
      <c r="AX1683" t="s">
        <v>487</v>
      </c>
      <c r="AY1683" t="s">
        <v>484</v>
      </c>
      <c r="AZ1683" t="s">
        <v>485</v>
      </c>
      <c r="BA1683" t="s">
        <v>488</v>
      </c>
      <c r="BB1683" t="s">
        <v>489</v>
      </c>
      <c r="BC1683" t="s">
        <v>480</v>
      </c>
      <c r="BD1683" t="s">
        <v>481</v>
      </c>
      <c r="BE1683" t="s">
        <v>486</v>
      </c>
      <c r="BF1683" t="s">
        <v>487</v>
      </c>
      <c r="BG1683" t="s">
        <v>484</v>
      </c>
      <c r="BH1683" t="s">
        <v>485</v>
      </c>
      <c r="BI1683" t="s">
        <v>488</v>
      </c>
      <c r="BJ1683" t="s">
        <v>489</v>
      </c>
      <c r="BK1683" t="s">
        <v>312</v>
      </c>
      <c r="BL1683" t="s">
        <v>258</v>
      </c>
      <c r="BM1683" t="s">
        <v>486</v>
      </c>
      <c r="BN1683" t="s">
        <v>490</v>
      </c>
      <c r="BO1683" t="s">
        <v>487</v>
      </c>
      <c r="BP1683" t="s">
        <v>490</v>
      </c>
      <c r="BQ1683" t="s">
        <v>488</v>
      </c>
      <c r="BR1683" t="s">
        <v>490</v>
      </c>
      <c r="BS1683" t="s">
        <v>489</v>
      </c>
      <c r="BT1683" t="s">
        <v>490</v>
      </c>
      <c r="BU1683" s="100"/>
    </row>
    <row r="1684" x14ac:dyDescent="0.25">
      <c r="B1684" t="s">
        <v>449</v>
      </c>
      <c r="C1684" s="19">
        <v>0</v>
      </c>
      <c r="D1684" s="19">
        <v>0</v>
      </c>
      <c r="E1684" s="66">
        <f>C20+D20/12</f>
        <v>0</v>
      </c>
      <c r="F1684" s="67">
        <v>0</v>
      </c>
      <c r="H1684" s="19">
        <v>0</v>
      </c>
      <c r="I1684" s="64" t="s">
        <v>196</v>
      </c>
      <c r="J1684" s="19">
        <v>0</v>
      </c>
      <c r="K1684" s="19">
        <v>0</v>
      </c>
      <c r="L1684" s="19">
        <v>0</v>
      </c>
      <c r="M1684" s="19">
        <v>0</v>
      </c>
      <c r="P1684" s="93"/>
      <c r="Q1684" t="s">
        <v>449</v>
      </c>
      <c r="R1684" s="19">
        <f>$H$20</f>
        <v>0</v>
      </c>
      <c r="S1684">
        <f>R1684*0.6</f>
        <v>0</v>
      </c>
      <c r="T1684">
        <f>$C$55/2*R1684</f>
        <v>0</v>
      </c>
      <c r="U1684">
        <f>T1684*0.6</f>
        <v>0</v>
      </c>
      <c r="V1684" s="19">
        <v>0</v>
      </c>
      <c r="W1684">
        <f>V1684*0.7</f>
        <v>0</v>
      </c>
      <c r="X1684">
        <f>$C$55/2*V1684</f>
        <v>0</v>
      </c>
      <c r="Y1684">
        <f>X1684*0.7</f>
        <v>0</v>
      </c>
      <c r="Z1684" s="19">
        <f>$H$20</f>
        <v>0</v>
      </c>
      <c r="AA1684">
        <f>Z1684*0.6</f>
        <v>0</v>
      </c>
      <c r="AB1684">
        <f>$D$55/2*Z1684</f>
        <v>0</v>
      </c>
      <c r="AC1684">
        <f t="shared" ref="AC1684:AC1690" si="1027">0.6*AB1684</f>
        <v>0</v>
      </c>
      <c r="AD1684" s="19">
        <v>0</v>
      </c>
      <c r="AE1684">
        <f>AD1684*0.7</f>
        <v>0</v>
      </c>
      <c r="AF1684">
        <f>$D$55/2*AD1684</f>
        <v>0</v>
      </c>
      <c r="AG1684">
        <f>AF1684*0.7</f>
        <v>0</v>
      </c>
      <c r="AH1684" s="19">
        <v>0</v>
      </c>
      <c r="AI1684" s="19">
        <v>0</v>
      </c>
      <c r="AJ1684" s="17">
        <f>T1684+AB1684+AH1684</f>
        <v>0</v>
      </c>
      <c r="AK1684" s="17">
        <f>AK1685+AJ1684</f>
        <v>13166</v>
      </c>
      <c r="AL1684" s="17">
        <f>AJ1684*0.6</f>
        <v>0</v>
      </c>
      <c r="AM1684" s="17">
        <f>AM1685+AL1684</f>
        <v>7899.5999999999995</v>
      </c>
      <c r="AN1684" s="17">
        <f>X1684+AF1684+AI1684</f>
        <v>0</v>
      </c>
      <c r="AO1684" s="17">
        <f t="shared" ref="AO1684:AQ1687" si="1028">AN1684+AO1685</f>
        <v>1302.0999999999999</v>
      </c>
      <c r="AP1684" s="17">
        <f>AN1684*0.7</f>
        <v>0</v>
      </c>
      <c r="AQ1684" s="17">
        <f>AP1684+AQ1685</f>
        <v>911.46999999999991</v>
      </c>
      <c r="AR1684" s="100"/>
      <c r="AS1684" s="93"/>
      <c r="AT1684" t="s">
        <v>449</v>
      </c>
      <c r="AU1684" s="19">
        <f>$H$20</f>
        <v>0</v>
      </c>
      <c r="AV1684">
        <f>AU1684*0.6</f>
        <v>0</v>
      </c>
      <c r="AW1684">
        <f t="shared" ref="AW1684:AW1690" si="1029">$I$55/2*AU1684</f>
        <v>0</v>
      </c>
      <c r="AX1684">
        <f>AW1684*0.6</f>
        <v>0</v>
      </c>
      <c r="AY1684" s="19">
        <v>0</v>
      </c>
      <c r="AZ1684">
        <f>AY1684*0.7</f>
        <v>0</v>
      </c>
      <c r="BA1684">
        <f t="shared" ref="BA1684:BA1689" si="1030">$I$55/2*AY1684</f>
        <v>0</v>
      </c>
      <c r="BB1684">
        <f>BA1684*0.7</f>
        <v>0</v>
      </c>
      <c r="BC1684" s="19">
        <f>$H$20</f>
        <v>0</v>
      </c>
      <c r="BD1684">
        <f>BC1684*0.6</f>
        <v>0</v>
      </c>
      <c r="BE1684">
        <f t="shared" ref="BE1684:BE1690" si="1031">$J$55/2*BC1684</f>
        <v>0</v>
      </c>
      <c r="BF1684">
        <f t="shared" ref="BF1684:BF1690" si="1032">0.6*BE1684</f>
        <v>0</v>
      </c>
      <c r="BG1684" s="19">
        <v>0</v>
      </c>
      <c r="BH1684">
        <f>BG1684*0.7</f>
        <v>0</v>
      </c>
      <c r="BI1684">
        <f t="shared" ref="BI1684:BI1689" si="1033">$J$55/2*BG1684</f>
        <v>0</v>
      </c>
      <c r="BJ1684">
        <f>BI1684*0.7</f>
        <v>0</v>
      </c>
      <c r="BK1684" s="19">
        <v>0</v>
      </c>
      <c r="BL1684" s="19">
        <v>0</v>
      </c>
      <c r="BM1684" s="17">
        <f>AW1684+BE1684+BK1684</f>
        <v>0</v>
      </c>
      <c r="BN1684" s="17">
        <f>BN1685+BM1684</f>
        <v>12258</v>
      </c>
      <c r="BO1684" s="17">
        <f>BM1684*0.6</f>
        <v>0</v>
      </c>
      <c r="BP1684" s="17">
        <f>BP1685+BO1684</f>
        <v>7354.7999999999993</v>
      </c>
      <c r="BQ1684" s="17">
        <f>BA1684+BI1684+BL1684</f>
        <v>0</v>
      </c>
      <c r="BR1684" s="17">
        <f t="shared" ref="BR1684:BR1687" si="1034">BQ1684+BR1685</f>
        <v>1212.3</v>
      </c>
      <c r="BS1684" s="17">
        <f>BQ1684*0.7</f>
        <v>0</v>
      </c>
      <c r="BT1684" s="17">
        <f>BS1684+BT1685</f>
        <v>848.6099999999999</v>
      </c>
      <c r="BU1684" s="100"/>
    </row>
    <row r="1685" x14ac:dyDescent="0.25">
      <c r="B1685" t="s">
        <v>450</v>
      </c>
      <c r="C1685" s="19">
        <v>10</v>
      </c>
      <c r="D1685" s="19">
        <v>8.25</v>
      </c>
      <c r="E1685" s="66">
        <f>C21+D21/12</f>
        <v>10.6875</v>
      </c>
      <c r="F1685" s="67">
        <f>IF(E21&gt;0,E21-(C15+C14+2*1.5+IF(C13="single",1.5,3))/12-_xlfn.XLOOKUP(E21,E20,E20,,-1),0)</f>
        <v>8.75</v>
      </c>
      <c r="H1685" s="19">
        <v>236</v>
      </c>
      <c r="I1685" s="64" t="s">
        <v>196</v>
      </c>
      <c r="J1685" s="19">
        <v>33.799999999999997</v>
      </c>
      <c r="K1685" s="19">
        <v>65.599999999999994</v>
      </c>
      <c r="L1685" s="19">
        <v>19.3</v>
      </c>
      <c r="M1685" s="19">
        <v>119.6</v>
      </c>
      <c r="P1685" s="93"/>
      <c r="Q1685" t="s">
        <v>450</v>
      </c>
      <c r="R1685" s="19">
        <f>$H$21</f>
        <v>236</v>
      </c>
      <c r="S1685">
        <f t="shared" ref="S1685:S1690" si="1035">R1685*0.6</f>
        <v>141.6</v>
      </c>
      <c r="T1685">
        <f t="shared" ref="T1685:T1689" si="1036">$C$55/2*R1685</f>
        <v>0</v>
      </c>
      <c r="U1685">
        <f>T1685*0.6</f>
        <v>0</v>
      </c>
      <c r="V1685" s="19">
        <v>33.799999999999997</v>
      </c>
      <c r="W1685">
        <f t="shared" ref="W1685:W1689" si="1037">V1685*0.7</f>
        <v>23.659999999999997</v>
      </c>
      <c r="X1685">
        <f t="shared" ref="X1685:X1689" si="1038">$C$55/2*V1685</f>
        <v>0</v>
      </c>
      <c r="Y1685">
        <f t="shared" ref="Y1685:Y1689" si="1039">X1685*0.7</f>
        <v>0</v>
      </c>
      <c r="Z1685" s="19">
        <f>$H$21</f>
        <v>236</v>
      </c>
      <c r="AA1685">
        <f t="shared" ref="AA1685:AA1689" si="1040">Z1685*0.6</f>
        <v>141.6</v>
      </c>
      <c r="AB1685">
        <f t="shared" ref="AB1685:AB1689" si="1041">$D$55/2*Z1685</f>
        <v>3422</v>
      </c>
      <c r="AC1685">
        <f t="shared" si="1027"/>
        <v>2053.1999999999998</v>
      </c>
      <c r="AD1685" s="19">
        <v>33.799999999999997</v>
      </c>
      <c r="AE1685">
        <f t="shared" ref="AE1685:AE1689" si="1042">AD1685*0.7</f>
        <v>23.659999999999997</v>
      </c>
      <c r="AF1685">
        <f t="shared" ref="AF1685:AF1689" si="1043">$D$55/2*AD1685</f>
        <v>490.09999999999997</v>
      </c>
      <c r="AG1685">
        <f t="shared" ref="AG1685:AG1689" si="1044">AF1685*0.7</f>
        <v>343.06999999999994</v>
      </c>
      <c r="AH1685" s="19">
        <v>0</v>
      </c>
      <c r="AI1685" s="19">
        <v>0</v>
      </c>
      <c r="AJ1685" s="17">
        <f>T1685+AB1685+AH1685</f>
        <v>3422</v>
      </c>
      <c r="AK1685" s="17">
        <f>AK1686+AJ1685</f>
        <v>13166</v>
      </c>
      <c r="AL1685" s="17">
        <f t="shared" ref="AL1685:AL1689" si="1045">AJ1685*0.6</f>
        <v>2053.1999999999998</v>
      </c>
      <c r="AM1685" s="17">
        <f t="shared" ref="AM1685:AM1687" si="1046">AM1686+AL1685</f>
        <v>7899.5999999999995</v>
      </c>
      <c r="AN1685" s="17">
        <f t="shared" ref="AN1685:AN1688" si="1047">X1685+AF1685+AI1685</f>
        <v>490.09999999999997</v>
      </c>
      <c r="AO1685" s="17">
        <f t="shared" si="1028"/>
        <v>1302.0999999999999</v>
      </c>
      <c r="AP1685" s="17">
        <f t="shared" ref="AP1685:AP1688" si="1048">AN1685*0.7</f>
        <v>343.06999999999994</v>
      </c>
      <c r="AQ1685" s="17">
        <f t="shared" si="1028"/>
        <v>911.46999999999991</v>
      </c>
      <c r="AR1685" s="100"/>
      <c r="AS1685" s="93"/>
      <c r="AT1685" t="s">
        <v>450</v>
      </c>
      <c r="AU1685" s="19">
        <f>$H$21</f>
        <v>236</v>
      </c>
      <c r="AV1685">
        <f t="shared" ref="AV1685:AV1690" si="1049">AU1685*0.6</f>
        <v>141.6</v>
      </c>
      <c r="AW1685">
        <f t="shared" si="1029"/>
        <v>0</v>
      </c>
      <c r="AX1685">
        <f>AW1685*0.6</f>
        <v>0</v>
      </c>
      <c r="AY1685" s="19">
        <v>33.799999999999997</v>
      </c>
      <c r="AZ1685">
        <f t="shared" ref="AZ1685:AZ1689" si="1050">AY1685*0.7</f>
        <v>23.659999999999997</v>
      </c>
      <c r="BA1685">
        <f t="shared" si="1030"/>
        <v>0</v>
      </c>
      <c r="BB1685">
        <f t="shared" ref="BB1685:BB1689" si="1051">BA1685*0.7</f>
        <v>0</v>
      </c>
      <c r="BC1685" s="19">
        <f>$H$21</f>
        <v>236</v>
      </c>
      <c r="BD1685">
        <f t="shared" ref="BD1685:BD1689" si="1052">BC1685*0.6</f>
        <v>141.6</v>
      </c>
      <c r="BE1685">
        <f t="shared" si="1031"/>
        <v>3186</v>
      </c>
      <c r="BF1685">
        <f t="shared" si="1032"/>
        <v>1911.6</v>
      </c>
      <c r="BG1685" s="19">
        <v>33.799999999999997</v>
      </c>
      <c r="BH1685">
        <f t="shared" ref="BH1685:BH1689" si="1053">BG1685*0.7</f>
        <v>23.659999999999997</v>
      </c>
      <c r="BI1685">
        <f t="shared" si="1033"/>
        <v>456.29999999999995</v>
      </c>
      <c r="BJ1685">
        <f t="shared" ref="BJ1685:BJ1689" si="1054">BI1685*0.7</f>
        <v>319.40999999999997</v>
      </c>
      <c r="BK1685" s="19">
        <v>0</v>
      </c>
      <c r="BL1685" s="19">
        <v>0</v>
      </c>
      <c r="BM1685" s="17">
        <f>AW1685+BE1685+BK1685</f>
        <v>3186</v>
      </c>
      <c r="BN1685" s="17">
        <f>BN1686+BM1685</f>
        <v>12258</v>
      </c>
      <c r="BO1685" s="17">
        <f t="shared" ref="BO1685" si="1055">BM1685*0.6</f>
        <v>1911.6</v>
      </c>
      <c r="BP1685" s="17">
        <f t="shared" ref="BP1685:BP1687" si="1056">BP1686+BO1685</f>
        <v>7354.7999999999993</v>
      </c>
      <c r="BQ1685" s="17">
        <f t="shared" ref="BQ1685:BQ1688" si="1057">BA1685+BI1685+BL1685</f>
        <v>456.29999999999995</v>
      </c>
      <c r="BR1685" s="17">
        <f t="shared" si="1034"/>
        <v>1212.3</v>
      </c>
      <c r="BS1685" s="17">
        <f t="shared" ref="BS1685:BS1688" si="1058">BQ1685*0.7</f>
        <v>319.40999999999997</v>
      </c>
      <c r="BT1685" s="17">
        <f t="shared" ref="BT1685:BT1687" si="1059">BS1685+BT1686</f>
        <v>848.6099999999999</v>
      </c>
      <c r="BU1685" s="100"/>
    </row>
    <row r="1686" x14ac:dyDescent="0.25">
      <c r="B1686" t="s">
        <v>451</v>
      </c>
      <c r="C1686" s="19">
        <v>21</v>
      </c>
      <c r="D1686" s="19">
        <v>4.5</v>
      </c>
      <c r="E1686" s="66">
        <f t="shared" ref="E22:E25" si="1060">C22+D22/12</f>
        <v>21.375</v>
      </c>
      <c r="F1686" s="67">
        <f>IF(E22&gt;0,E22-(C15+C14+2*1.5+IF(C13="single",1.5,3))/12-_xlfn.XLOOKUP(E22,E20:E21,E20:E21,,-1),0)</f>
        <v>8.75</v>
      </c>
      <c r="H1686" s="19">
        <v>229</v>
      </c>
      <c r="I1686" s="64" t="s">
        <v>196</v>
      </c>
      <c r="J1686" s="19">
        <v>37.1</v>
      </c>
      <c r="K1686" s="19">
        <v>71.8</v>
      </c>
      <c r="L1686" s="19">
        <v>21.1</v>
      </c>
      <c r="M1686" s="19">
        <v>131.1</v>
      </c>
      <c r="P1686" s="93"/>
      <c r="Q1686" t="s">
        <v>451</v>
      </c>
      <c r="R1686" s="19">
        <f>$H$22</f>
        <v>229</v>
      </c>
      <c r="S1686">
        <f t="shared" si="1035"/>
        <v>137.4</v>
      </c>
      <c r="T1686">
        <f t="shared" si="1036"/>
        <v>0</v>
      </c>
      <c r="U1686">
        <f t="shared" ref="U1686:U1690" si="1061">T1686*0.6</f>
        <v>0</v>
      </c>
      <c r="V1686" s="19">
        <v>37.1</v>
      </c>
      <c r="W1686">
        <f t="shared" si="1037"/>
        <v>25.97</v>
      </c>
      <c r="X1686">
        <f>$C$55/2*V1686</f>
        <v>0</v>
      </c>
      <c r="Y1686">
        <f t="shared" si="1039"/>
        <v>0</v>
      </c>
      <c r="Z1686" s="19">
        <f>$H$22</f>
        <v>229</v>
      </c>
      <c r="AA1686">
        <f t="shared" si="1040"/>
        <v>137.4</v>
      </c>
      <c r="AB1686">
        <f t="shared" si="1041"/>
        <v>3320.5</v>
      </c>
      <c r="AC1686">
        <f t="shared" si="1027"/>
        <v>1992.3</v>
      </c>
      <c r="AD1686" s="19">
        <v>37.1</v>
      </c>
      <c r="AE1686">
        <f t="shared" si="1042"/>
        <v>25.97</v>
      </c>
      <c r="AF1686">
        <f t="shared" si="1043"/>
        <v>537.95000000000005</v>
      </c>
      <c r="AG1686">
        <f t="shared" si="1044"/>
        <v>376.565</v>
      </c>
      <c r="AH1686" s="19">
        <v>0</v>
      </c>
      <c r="AI1686" s="19">
        <v>0</v>
      </c>
      <c r="AJ1686" s="17">
        <f t="shared" ref="AJ1686:AJ1688" si="1062">T1686+AB1686+AH1686</f>
        <v>3320.5</v>
      </c>
      <c r="AK1686" s="17">
        <f>AK1687+AJ1686</f>
        <v>9744</v>
      </c>
      <c r="AL1686" s="17">
        <f>AJ1686*0.6</f>
        <v>1992.3</v>
      </c>
      <c r="AM1686" s="17">
        <f t="shared" si="1046"/>
        <v>5846.4</v>
      </c>
      <c r="AN1686" s="17">
        <f t="shared" si="1047"/>
        <v>537.95000000000005</v>
      </c>
      <c r="AO1686" s="17">
        <f t="shared" si="1028"/>
        <v>812</v>
      </c>
      <c r="AP1686" s="17">
        <f t="shared" si="1048"/>
        <v>376.565</v>
      </c>
      <c r="AQ1686" s="17">
        <f t="shared" si="1028"/>
        <v>568.4</v>
      </c>
      <c r="AR1686" s="100"/>
      <c r="AS1686" s="93"/>
      <c r="AT1686" t="s">
        <v>451</v>
      </c>
      <c r="AU1686" s="19">
        <f>$H$22</f>
        <v>229</v>
      </c>
      <c r="AV1686">
        <f t="shared" si="1049"/>
        <v>137.4</v>
      </c>
      <c r="AW1686">
        <f t="shared" si="1029"/>
        <v>0</v>
      </c>
      <c r="AX1686">
        <f t="shared" ref="AX1686:AX1690" si="1063">AW1686*0.6</f>
        <v>0</v>
      </c>
      <c r="AY1686" s="19">
        <v>37.1</v>
      </c>
      <c r="AZ1686">
        <f t="shared" si="1050"/>
        <v>25.97</v>
      </c>
      <c r="BA1686">
        <f t="shared" si="1030"/>
        <v>0</v>
      </c>
      <c r="BB1686">
        <f t="shared" si="1051"/>
        <v>0</v>
      </c>
      <c r="BC1686" s="19">
        <f>$H$22</f>
        <v>229</v>
      </c>
      <c r="BD1686">
        <f t="shared" si="1052"/>
        <v>137.4</v>
      </c>
      <c r="BE1686">
        <f t="shared" si="1031"/>
        <v>3091.5</v>
      </c>
      <c r="BF1686">
        <f t="shared" si="1032"/>
        <v>1854.8999999999999</v>
      </c>
      <c r="BG1686" s="19">
        <v>37.1</v>
      </c>
      <c r="BH1686">
        <f t="shared" si="1053"/>
        <v>25.97</v>
      </c>
      <c r="BI1686">
        <f t="shared" si="1033"/>
        <v>500.85</v>
      </c>
      <c r="BJ1686">
        <f t="shared" si="1054"/>
        <v>350.59499999999997</v>
      </c>
      <c r="BK1686" s="19">
        <v>0</v>
      </c>
      <c r="BL1686" s="19">
        <v>0</v>
      </c>
      <c r="BM1686" s="17">
        <f t="shared" ref="BM1686:BM1688" si="1064">AW1686+BE1686+BK1686</f>
        <v>3091.5</v>
      </c>
      <c r="BN1686" s="17">
        <f>BN1687+BM1686</f>
        <v>9072</v>
      </c>
      <c r="BO1686" s="17">
        <f>BM1686*0.6</f>
        <v>1854.8999999999999</v>
      </c>
      <c r="BP1686" s="17">
        <f t="shared" si="1056"/>
        <v>5443.2</v>
      </c>
      <c r="BQ1686" s="17">
        <f t="shared" si="1057"/>
        <v>500.85</v>
      </c>
      <c r="BR1686" s="17">
        <f t="shared" si="1034"/>
        <v>756</v>
      </c>
      <c r="BS1686" s="17">
        <f t="shared" si="1058"/>
        <v>350.59499999999997</v>
      </c>
      <c r="BT1686" s="17">
        <f t="shared" si="1059"/>
        <v>529.19999999999993</v>
      </c>
      <c r="BU1686" s="100"/>
    </row>
    <row r="1687" x14ac:dyDescent="0.25">
      <c r="B1687" t="s">
        <v>452</v>
      </c>
      <c r="C1687" s="19">
        <v>0</v>
      </c>
      <c r="D1687" s="19">
        <v>0</v>
      </c>
      <c r="E1687" s="66">
        <f t="shared" si="1060"/>
        <v>0</v>
      </c>
      <c r="F1687" s="67">
        <f>IF(E23&gt;0,E23-(C15+C14+2*1.5+IF(C13="single",1.5,3))/12-_xlfn.XLOOKUP(E23,E20:E22,E20:E22,,-1),0)</f>
        <v>0</v>
      </c>
      <c r="H1687" s="19">
        <v>0</v>
      </c>
      <c r="I1687" s="64" t="s">
        <v>196</v>
      </c>
      <c r="J1687" s="19">
        <v>0</v>
      </c>
      <c r="K1687" s="19">
        <v>0</v>
      </c>
      <c r="L1687" s="19">
        <v>0</v>
      </c>
      <c r="M1687" s="19">
        <v>0</v>
      </c>
      <c r="P1687" s="93"/>
      <c r="Q1687" t="s">
        <v>452</v>
      </c>
      <c r="R1687" s="19">
        <f>$H$23</f>
        <v>0</v>
      </c>
      <c r="S1687">
        <f t="shared" si="1035"/>
        <v>0</v>
      </c>
      <c r="T1687">
        <f t="shared" si="1036"/>
        <v>0</v>
      </c>
      <c r="U1687">
        <f t="shared" si="1061"/>
        <v>0</v>
      </c>
      <c r="V1687" s="19">
        <v>0</v>
      </c>
      <c r="W1687">
        <f t="shared" si="1037"/>
        <v>0</v>
      </c>
      <c r="X1687">
        <f t="shared" si="1038"/>
        <v>0</v>
      </c>
      <c r="Y1687">
        <f t="shared" si="1039"/>
        <v>0</v>
      </c>
      <c r="Z1687" s="19">
        <f>$H$23</f>
        <v>0</v>
      </c>
      <c r="AA1687">
        <f t="shared" si="1040"/>
        <v>0</v>
      </c>
      <c r="AB1687">
        <f t="shared" si="1041"/>
        <v>0</v>
      </c>
      <c r="AC1687">
        <f t="shared" si="1027"/>
        <v>0</v>
      </c>
      <c r="AD1687" s="19">
        <v>0</v>
      </c>
      <c r="AE1687">
        <f t="shared" si="1042"/>
        <v>0</v>
      </c>
      <c r="AF1687">
        <f t="shared" si="1043"/>
        <v>0</v>
      </c>
      <c r="AG1687">
        <f t="shared" si="1044"/>
        <v>0</v>
      </c>
      <c r="AH1687" s="19">
        <v>0</v>
      </c>
      <c r="AI1687" s="19">
        <v>0</v>
      </c>
      <c r="AJ1687" s="17">
        <f t="shared" si="1062"/>
        <v>0</v>
      </c>
      <c r="AK1687" s="17">
        <f>AK1688+AJ1687</f>
        <v>6423.5</v>
      </c>
      <c r="AL1687" s="17">
        <f>AJ1687*0.6</f>
        <v>0</v>
      </c>
      <c r="AM1687" s="17">
        <f t="shared" si="1046"/>
        <v>3854.1</v>
      </c>
      <c r="AN1687" s="17">
        <f t="shared" si="1047"/>
        <v>0</v>
      </c>
      <c r="AO1687" s="17">
        <f t="shared" si="1028"/>
        <v>274.04999999999995</v>
      </c>
      <c r="AP1687" s="17">
        <f t="shared" si="1048"/>
        <v>0</v>
      </c>
      <c r="AQ1687" s="17">
        <f t="shared" si="1028"/>
        <v>191.83499999999995</v>
      </c>
      <c r="AR1687" s="100"/>
      <c r="AS1687" s="93"/>
      <c r="AT1687" t="s">
        <v>452</v>
      </c>
      <c r="AU1687" s="19">
        <f>$H$23</f>
        <v>0</v>
      </c>
      <c r="AV1687">
        <f t="shared" si="1049"/>
        <v>0</v>
      </c>
      <c r="AW1687">
        <f t="shared" si="1029"/>
        <v>0</v>
      </c>
      <c r="AX1687">
        <f t="shared" si="1063"/>
        <v>0</v>
      </c>
      <c r="AY1687" s="19">
        <v>0</v>
      </c>
      <c r="AZ1687">
        <f t="shared" si="1050"/>
        <v>0</v>
      </c>
      <c r="BA1687">
        <f t="shared" si="1030"/>
        <v>0</v>
      </c>
      <c r="BB1687">
        <f t="shared" si="1051"/>
        <v>0</v>
      </c>
      <c r="BC1687" s="19">
        <f>$H$23</f>
        <v>0</v>
      </c>
      <c r="BD1687">
        <f t="shared" si="1052"/>
        <v>0</v>
      </c>
      <c r="BE1687">
        <f t="shared" si="1031"/>
        <v>0</v>
      </c>
      <c r="BF1687">
        <f t="shared" si="1032"/>
        <v>0</v>
      </c>
      <c r="BG1687" s="19">
        <v>0</v>
      </c>
      <c r="BH1687">
        <f t="shared" si="1053"/>
        <v>0</v>
      </c>
      <c r="BI1687">
        <f t="shared" si="1033"/>
        <v>0</v>
      </c>
      <c r="BJ1687">
        <f t="shared" si="1054"/>
        <v>0</v>
      </c>
      <c r="BK1687" s="19">
        <v>0</v>
      </c>
      <c r="BL1687" s="19">
        <v>0</v>
      </c>
      <c r="BM1687" s="17">
        <f t="shared" si="1064"/>
        <v>0</v>
      </c>
      <c r="BN1687" s="17">
        <f>BN1688+BM1687</f>
        <v>5980.5</v>
      </c>
      <c r="BO1687" s="17">
        <f>BM1687*0.6</f>
        <v>0</v>
      </c>
      <c r="BP1687" s="17">
        <f t="shared" si="1056"/>
        <v>3588.2999999999997</v>
      </c>
      <c r="BQ1687" s="17">
        <f t="shared" si="1057"/>
        <v>0</v>
      </c>
      <c r="BR1687" s="17">
        <f t="shared" si="1034"/>
        <v>255.14999999999998</v>
      </c>
      <c r="BS1687" s="17">
        <f t="shared" si="1058"/>
        <v>0</v>
      </c>
      <c r="BT1687" s="17">
        <f t="shared" si="1059"/>
        <v>178.60499999999996</v>
      </c>
      <c r="BU1687" s="100"/>
    </row>
    <row r="1688" x14ac:dyDescent="0.25">
      <c r="B1688" t="s">
        <v>453</v>
      </c>
      <c r="C1688" s="19">
        <v>0</v>
      </c>
      <c r="D1688" s="19">
        <v>0</v>
      </c>
      <c r="E1688" s="66">
        <f t="shared" si="1060"/>
        <v>0</v>
      </c>
      <c r="F1688" s="67">
        <f>IF(E24&gt;0,E24-(C15+C14+2*1.5+IF(C13="single",1.5,3))/12-_xlfn.XLOOKUP(E24,E20:E23,E20:E23,,-1),0)</f>
        <v>0</v>
      </c>
      <c r="H1688" s="19">
        <v>0</v>
      </c>
      <c r="I1688" s="64" t="s">
        <v>196</v>
      </c>
      <c r="J1688" s="19">
        <v>0</v>
      </c>
      <c r="K1688" s="19">
        <v>0</v>
      </c>
      <c r="L1688" s="19">
        <v>0</v>
      </c>
      <c r="M1688" s="19">
        <v>0</v>
      </c>
      <c r="P1688" s="93"/>
      <c r="Q1688" t="s">
        <v>453</v>
      </c>
      <c r="R1688" s="19">
        <f>$H$24</f>
        <v>0</v>
      </c>
      <c r="S1688">
        <f t="shared" si="1035"/>
        <v>0</v>
      </c>
      <c r="T1688">
        <f t="shared" si="1036"/>
        <v>0</v>
      </c>
      <c r="U1688">
        <f t="shared" si="1061"/>
        <v>0</v>
      </c>
      <c r="V1688" s="19">
        <v>0</v>
      </c>
      <c r="W1688">
        <f t="shared" si="1037"/>
        <v>0</v>
      </c>
      <c r="X1688">
        <f t="shared" si="1038"/>
        <v>0</v>
      </c>
      <c r="Y1688">
        <f t="shared" si="1039"/>
        <v>0</v>
      </c>
      <c r="Z1688" s="19">
        <f>$H$24</f>
        <v>0</v>
      </c>
      <c r="AA1688">
        <f t="shared" si="1040"/>
        <v>0</v>
      </c>
      <c r="AB1688">
        <f t="shared" si="1041"/>
        <v>0</v>
      </c>
      <c r="AC1688">
        <f t="shared" si="1027"/>
        <v>0</v>
      </c>
      <c r="AD1688" s="19">
        <v>0</v>
      </c>
      <c r="AE1688">
        <f t="shared" si="1042"/>
        <v>0</v>
      </c>
      <c r="AF1688">
        <f t="shared" si="1043"/>
        <v>0</v>
      </c>
      <c r="AG1688">
        <f t="shared" si="1044"/>
        <v>0</v>
      </c>
      <c r="AH1688" s="19">
        <v>0</v>
      </c>
      <c r="AI1688" s="19">
        <v>0</v>
      </c>
      <c r="AJ1688" s="17">
        <f t="shared" si="1062"/>
        <v>0</v>
      </c>
      <c r="AK1688" s="17">
        <f>AK1689+IF(AJ1688=0,0,AJ1688)</f>
        <v>6423.5</v>
      </c>
      <c r="AL1688" s="17">
        <f t="shared" si="1045"/>
        <v>0</v>
      </c>
      <c r="AM1688" s="17">
        <f>AM1689+AL1688</f>
        <v>3854.1</v>
      </c>
      <c r="AN1688" s="17">
        <f t="shared" si="1047"/>
        <v>0</v>
      </c>
      <c r="AO1688" s="17">
        <f>AN1688+AO1689</f>
        <v>274.04999999999995</v>
      </c>
      <c r="AP1688" s="17">
        <f t="shared" si="1048"/>
        <v>0</v>
      </c>
      <c r="AQ1688" s="17">
        <f>AP1688+AQ1689</f>
        <v>191.83499999999995</v>
      </c>
      <c r="AR1688" s="100"/>
      <c r="AS1688" s="93"/>
      <c r="AT1688" t="s">
        <v>453</v>
      </c>
      <c r="AU1688" s="19">
        <f>$H$24</f>
        <v>0</v>
      </c>
      <c r="AV1688">
        <f t="shared" si="1049"/>
        <v>0</v>
      </c>
      <c r="AW1688">
        <f t="shared" si="1029"/>
        <v>0</v>
      </c>
      <c r="AX1688">
        <f t="shared" si="1063"/>
        <v>0</v>
      </c>
      <c r="AY1688" s="19">
        <v>0</v>
      </c>
      <c r="AZ1688">
        <f t="shared" si="1050"/>
        <v>0</v>
      </c>
      <c r="BA1688">
        <f t="shared" si="1030"/>
        <v>0</v>
      </c>
      <c r="BB1688">
        <f t="shared" si="1051"/>
        <v>0</v>
      </c>
      <c r="BC1688" s="19">
        <f>$H$24</f>
        <v>0</v>
      </c>
      <c r="BD1688">
        <f t="shared" si="1052"/>
        <v>0</v>
      </c>
      <c r="BE1688">
        <f t="shared" si="1031"/>
        <v>0</v>
      </c>
      <c r="BF1688">
        <f t="shared" si="1032"/>
        <v>0</v>
      </c>
      <c r="BG1688" s="19">
        <v>0</v>
      </c>
      <c r="BH1688">
        <f t="shared" si="1053"/>
        <v>0</v>
      </c>
      <c r="BI1688">
        <f t="shared" si="1033"/>
        <v>0</v>
      </c>
      <c r="BJ1688">
        <f t="shared" si="1054"/>
        <v>0</v>
      </c>
      <c r="BK1688" s="19">
        <v>0</v>
      </c>
      <c r="BL1688" s="19">
        <v>0</v>
      </c>
      <c r="BM1688" s="17">
        <f t="shared" si="1064"/>
        <v>0</v>
      </c>
      <c r="BN1688" s="17">
        <f>BN1689+IF(BM1688=0,0,BM1688)</f>
        <v>5980.5</v>
      </c>
      <c r="BO1688" s="17">
        <f t="shared" ref="BO1688:BO1689" si="1065">BM1688*0.6</f>
        <v>0</v>
      </c>
      <c r="BP1688" s="17">
        <f>BP1689+BO1688</f>
        <v>3588.2999999999997</v>
      </c>
      <c r="BQ1688" s="17">
        <f t="shared" si="1057"/>
        <v>0</v>
      </c>
      <c r="BR1688" s="17">
        <f>BQ1688+BR1689</f>
        <v>255.14999999999998</v>
      </c>
      <c r="BS1688" s="17">
        <f t="shared" si="1058"/>
        <v>0</v>
      </c>
      <c r="BT1688" s="17">
        <f>BS1688+BT1689</f>
        <v>178.60499999999996</v>
      </c>
      <c r="BU1688" s="100"/>
    </row>
    <row r="1689" x14ac:dyDescent="0.25">
      <c r="B1689" t="s">
        <v>275</v>
      </c>
      <c r="C1689" s="19">
        <f>(33+32)/2</f>
        <v>32.5</v>
      </c>
      <c r="D1689" s="19">
        <f>(10.5+5.625)/2</f>
        <v>8.0625</v>
      </c>
      <c r="E1689" s="68">
        <f t="shared" si="1060"/>
        <v>33.171875</v>
      </c>
      <c r="F1689" s="69">
        <f>E25-(C17+C16+2*1.5+IF(C13="single",1.5,3))/12-_xlfn.XLOOKUP(E25,E20:E24,E20:E24,,-1)</f>
        <v>8.6770833333333321</v>
      </c>
      <c r="H1689" s="19">
        <v>443</v>
      </c>
      <c r="I1689" s="64" t="s">
        <v>196</v>
      </c>
      <c r="J1689" s="19">
        <v>18.899999999999999</v>
      </c>
      <c r="K1689" s="19">
        <v>36.6</v>
      </c>
      <c r="L1689" s="19">
        <v>10.8</v>
      </c>
      <c r="M1689" s="19">
        <v>66.7</v>
      </c>
      <c r="P1689" s="93"/>
      <c r="Q1689" t="s">
        <v>275</v>
      </c>
      <c r="R1689" s="19">
        <f>$H$25</f>
        <v>443</v>
      </c>
      <c r="S1689">
        <f t="shared" si="1035"/>
        <v>265.8</v>
      </c>
      <c r="T1689">
        <f t="shared" si="1036"/>
        <v>0</v>
      </c>
      <c r="U1689">
        <f t="shared" si="1061"/>
        <v>0</v>
      </c>
      <c r="V1689" s="19">
        <v>18.899999999999999</v>
      </c>
      <c r="W1689">
        <f t="shared" si="1037"/>
        <v>13.229999999999999</v>
      </c>
      <c r="X1689">
        <f t="shared" si="1038"/>
        <v>0</v>
      </c>
      <c r="Y1689">
        <f t="shared" si="1039"/>
        <v>0</v>
      </c>
      <c r="Z1689" s="19">
        <f>$H$25</f>
        <v>443</v>
      </c>
      <c r="AA1689">
        <f t="shared" si="1040"/>
        <v>265.8</v>
      </c>
      <c r="AB1689">
        <f t="shared" si="1041"/>
        <v>6423.5</v>
      </c>
      <c r="AC1689">
        <f t="shared" si="1027"/>
        <v>3854.1</v>
      </c>
      <c r="AD1689" s="19">
        <v>18.899999999999999</v>
      </c>
      <c r="AE1689">
        <f t="shared" si="1042"/>
        <v>13.229999999999999</v>
      </c>
      <c r="AF1689">
        <f t="shared" si="1043"/>
        <v>274.04999999999995</v>
      </c>
      <c r="AG1689">
        <f t="shared" si="1044"/>
        <v>191.83499999999995</v>
      </c>
      <c r="AH1689" s="19">
        <v>0</v>
      </c>
      <c r="AI1689" s="19">
        <v>0</v>
      </c>
      <c r="AJ1689" s="17">
        <f>T1689+AB1689+AH1689</f>
        <v>6423.5</v>
      </c>
      <c r="AK1689" s="17">
        <f>AJ1689</f>
        <v>6423.5</v>
      </c>
      <c r="AL1689" s="17">
        <f t="shared" si="1045"/>
        <v>3854.1</v>
      </c>
      <c r="AM1689" s="17">
        <f>AL1689</f>
        <v>3854.1</v>
      </c>
      <c r="AN1689" s="17">
        <f>X1689+AF1689+AI1689</f>
        <v>274.04999999999995</v>
      </c>
      <c r="AO1689" s="17">
        <f>AN1689</f>
        <v>274.04999999999995</v>
      </c>
      <c r="AP1689" s="17">
        <f>AN1689*0.7</f>
        <v>191.83499999999995</v>
      </c>
      <c r="AQ1689" s="17">
        <f>AP1689</f>
        <v>191.83499999999995</v>
      </c>
      <c r="AR1689" s="100"/>
      <c r="AS1689" s="93"/>
      <c r="AT1689" t="s">
        <v>275</v>
      </c>
      <c r="AU1689" s="19">
        <f>$H$25</f>
        <v>443</v>
      </c>
      <c r="AV1689">
        <f t="shared" si="1049"/>
        <v>265.8</v>
      </c>
      <c r="AW1689">
        <f t="shared" si="1029"/>
        <v>0</v>
      </c>
      <c r="AX1689">
        <f t="shared" si="1063"/>
        <v>0</v>
      </c>
      <c r="AY1689" s="19">
        <v>18.899999999999999</v>
      </c>
      <c r="AZ1689">
        <f t="shared" si="1050"/>
        <v>13.229999999999999</v>
      </c>
      <c r="BA1689">
        <f t="shared" si="1030"/>
        <v>0</v>
      </c>
      <c r="BB1689">
        <f t="shared" si="1051"/>
        <v>0</v>
      </c>
      <c r="BC1689" s="19">
        <f>$H$25</f>
        <v>443</v>
      </c>
      <c r="BD1689">
        <f t="shared" si="1052"/>
        <v>265.8</v>
      </c>
      <c r="BE1689">
        <f t="shared" si="1031"/>
        <v>5980.5</v>
      </c>
      <c r="BF1689">
        <f t="shared" si="1032"/>
        <v>3588.2999999999997</v>
      </c>
      <c r="BG1689" s="19">
        <v>18.899999999999999</v>
      </c>
      <c r="BH1689">
        <f t="shared" si="1053"/>
        <v>13.229999999999999</v>
      </c>
      <c r="BI1689">
        <f t="shared" si="1033"/>
        <v>255.14999999999998</v>
      </c>
      <c r="BJ1689">
        <f t="shared" si="1054"/>
        <v>178.60499999999996</v>
      </c>
      <c r="BK1689" s="19">
        <v>0</v>
      </c>
      <c r="BL1689" s="19">
        <v>0</v>
      </c>
      <c r="BM1689" s="17">
        <f>AW1689+BE1689+BK1689</f>
        <v>5980.5</v>
      </c>
      <c r="BN1689" s="17">
        <f>BM1689</f>
        <v>5980.5</v>
      </c>
      <c r="BO1689" s="17">
        <f t="shared" si="1065"/>
        <v>3588.2999999999997</v>
      </c>
      <c r="BP1689" s="17">
        <f>BO1689</f>
        <v>3588.2999999999997</v>
      </c>
      <c r="BQ1689" s="17">
        <f>BA1689+BI1689+BL1689</f>
        <v>255.14999999999998</v>
      </c>
      <c r="BR1689" s="17">
        <f>BQ1689</f>
        <v>255.14999999999998</v>
      </c>
      <c r="BS1689" s="17">
        <f>BQ1689*0.7</f>
        <v>178.60499999999996</v>
      </c>
      <c r="BT1689" s="17">
        <f>BS1689</f>
        <v>178.60499999999996</v>
      </c>
      <c r="BU1689" s="100"/>
    </row>
    <row r="1690" x14ac:dyDescent="0.25">
      <c r="B1690" t="s">
        <v>530</v>
      </c>
      <c r="E1690" s="73"/>
      <c r="F1690" s="73"/>
      <c r="H1690" s="19">
        <v>-22.9</v>
      </c>
      <c r="I1690" s="64" t="s">
        <v>270</v>
      </c>
      <c r="P1690" s="93"/>
      <c r="R1690" s="19">
        <f>$H$26</f>
        <v>-22.9</v>
      </c>
      <c r="S1690">
        <f t="shared" si="1035"/>
        <v>-13.739999999999998</v>
      </c>
      <c r="T1690">
        <f>$I$55/2*R1690</f>
        <v>0</v>
      </c>
      <c r="U1690">
        <f t="shared" si="1061"/>
        <v>0</v>
      </c>
      <c r="Z1690" s="19">
        <f>$H$26</f>
        <v>-22.9</v>
      </c>
      <c r="AA1690">
        <f>Z1690*0.6</f>
        <v>-13.739999999999998</v>
      </c>
      <c r="AB1690">
        <f>$J$55/2*Z1690</f>
        <v>-309.14999999999998</v>
      </c>
      <c r="AC1690">
        <f t="shared" si="1027"/>
        <v>-185.48999999999998</v>
      </c>
      <c r="AR1690" s="100"/>
      <c r="AS1690" s="93"/>
      <c r="AU1690" s="19">
        <f>$H$26</f>
        <v>-22.9</v>
      </c>
      <c r="AV1690">
        <f t="shared" si="1049"/>
        <v>-13.739999999999998</v>
      </c>
      <c r="AW1690">
        <f t="shared" si="1029"/>
        <v>0</v>
      </c>
      <c r="AX1690">
        <f t="shared" si="1063"/>
        <v>0</v>
      </c>
      <c r="BC1690" s="19">
        <f>$H$26</f>
        <v>-22.9</v>
      </c>
      <c r="BD1690">
        <f>BC1690*0.6</f>
        <v>-13.739999999999998</v>
      </c>
      <c r="BE1690">
        <f t="shared" si="1031"/>
        <v>-309.14999999999998</v>
      </c>
      <c r="BF1690">
        <f t="shared" si="1032"/>
        <v>-185.48999999999998</v>
      </c>
      <c r="BU1690" s="100"/>
    </row>
    <row r="1691" x14ac:dyDescent="0.25">
      <c r="B1691" t="s">
        <v>531</v>
      </c>
      <c r="C1691" s="1" t="s">
        <v>533</v>
      </c>
      <c r="D1691" s="19">
        <v>0.18</v>
      </c>
      <c r="E1691" s="73"/>
      <c r="F1691" s="73"/>
      <c r="H1691">
        <f>0.2*D27</f>
        <v>3.5999999999999997E-2</v>
      </c>
      <c r="I1691" s="64" t="s">
        <v>534</v>
      </c>
      <c r="P1691" s="93"/>
      <c r="Q1691" s="1"/>
      <c r="AR1691" s="100"/>
      <c r="AS1691" s="93"/>
      <c r="AT1691" s="1"/>
      <c r="BU1691" s="100"/>
    </row>
    <row r="1692" x14ac:dyDescent="0.25">
      <c r="P1692" s="93"/>
      <c r="Y1692" s="112" t="s">
        <v>752</v>
      </c>
      <c r="Z1692" s="112"/>
      <c r="AA1692" s="112"/>
      <c r="AB1692" s="112"/>
      <c r="AC1692" s="112"/>
      <c r="AR1692" s="100"/>
      <c r="AS1692" s="93"/>
      <c r="BB1692" s="112" t="s">
        <v>752</v>
      </c>
      <c r="BC1692" s="112"/>
      <c r="BD1692" s="112"/>
      <c r="BE1692" s="112"/>
      <c r="BF1692" s="112"/>
      <c r="BU1692" s="100"/>
    </row>
    <row r="1693" x14ac:dyDescent="0.25">
      <c r="B1693" t="s">
        <v>513</v>
      </c>
      <c r="P1693" s="93"/>
      <c r="Q1693" t="s">
        <v>479</v>
      </c>
      <c r="R1693" t="s">
        <v>491</v>
      </c>
      <c r="S1693" t="s">
        <v>508</v>
      </c>
      <c r="T1693" t="s">
        <v>507</v>
      </c>
      <c r="U1693" t="s">
        <v>535</v>
      </c>
      <c r="V1693" t="s">
        <v>536</v>
      </c>
      <c r="W1693" t="s">
        <v>479</v>
      </c>
      <c r="X1693" t="s">
        <v>537</v>
      </c>
      <c r="Y1693" t="s">
        <v>450</v>
      </c>
      <c r="Z1693" t="s">
        <v>451</v>
      </c>
      <c r="AA1693" t="s">
        <v>452</v>
      </c>
      <c r="AB1693" t="s">
        <v>453</v>
      </c>
      <c r="AC1693" t="s">
        <v>753</v>
      </c>
      <c r="AD1693" t="s">
        <v>519</v>
      </c>
      <c r="AR1693" s="100"/>
      <c r="AS1693" s="93"/>
      <c r="AT1693" t="s">
        <v>479</v>
      </c>
      <c r="AU1693" t="s">
        <v>491</v>
      </c>
      <c r="AV1693" t="s">
        <v>508</v>
      </c>
      <c r="AW1693" t="s">
        <v>507</v>
      </c>
      <c r="AX1693" t="s">
        <v>535</v>
      </c>
      <c r="AY1693" t="s">
        <v>536</v>
      </c>
      <c r="AZ1693" t="s">
        <v>479</v>
      </c>
      <c r="BA1693" t="s">
        <v>537</v>
      </c>
      <c r="BB1693" t="s">
        <v>450</v>
      </c>
      <c r="BC1693" t="s">
        <v>451</v>
      </c>
      <c r="BD1693" t="s">
        <v>452</v>
      </c>
      <c r="BE1693" t="s">
        <v>453</v>
      </c>
      <c r="BF1693" t="s">
        <v>753</v>
      </c>
      <c r="BG1693" t="s">
        <v>519</v>
      </c>
      <c r="BU1693" s="100"/>
    </row>
    <row r="1694" x14ac:dyDescent="0.25">
      <c r="B1694" s="1" t="s">
        <v>275</v>
      </c>
      <c r="C1694" s="19">
        <v>20</v>
      </c>
      <c r="D1694" t="s">
        <v>567</v>
      </c>
      <c r="P1694" s="93"/>
      <c r="Q1694" s="109" t="str">
        <f>R1680&amp;".01"</f>
        <v>A.01</v>
      </c>
      <c r="R1694" s="19">
        <v>29</v>
      </c>
      <c r="S1694" s="19">
        <v>12</v>
      </c>
      <c r="T1694">
        <f>S1694/2</f>
        <v>6</v>
      </c>
      <c r="U1694" s="19">
        <v>4</v>
      </c>
      <c r="V1694">
        <f>U1694/2</f>
        <v>2</v>
      </c>
      <c r="W1694" s="19" t="s">
        <v>515</v>
      </c>
      <c r="X1694" s="19">
        <v>6</v>
      </c>
      <c r="Y1694" s="19"/>
      <c r="Z1694" s="19"/>
      <c r="AA1694" s="19"/>
      <c r="AB1694" s="19"/>
      <c r="AC1694" s="19"/>
      <c r="AD1694" s="108">
        <f>R1694/R1710</f>
        <v>1</v>
      </c>
      <c r="AR1694" s="100"/>
      <c r="AS1694" s="93"/>
      <c r="AT1694" s="109" t="str">
        <f>AU$1680&amp;".01"</f>
        <v>1.01</v>
      </c>
      <c r="AU1694" s="19">
        <v>29</v>
      </c>
      <c r="AV1694" s="19">
        <v>12</v>
      </c>
      <c r="AW1694">
        <f>AV1694/2</f>
        <v>6</v>
      </c>
      <c r="AX1694" s="19">
        <v>4</v>
      </c>
      <c r="AY1694">
        <f>AX1694/2</f>
        <v>2</v>
      </c>
      <c r="AZ1694" s="19" t="s">
        <v>515</v>
      </c>
      <c r="BA1694" s="19">
        <v>6</v>
      </c>
      <c r="BB1694" s="19"/>
      <c r="BC1694" s="19"/>
      <c r="BD1694" s="19"/>
      <c r="BE1694" s="19"/>
      <c r="BF1694" s="19"/>
      <c r="BG1694" s="108">
        <f>AU1694/AU1710</f>
        <v>1</v>
      </c>
      <c r="BU1694" s="100"/>
    </row>
    <row r="1695" x14ac:dyDescent="0.25">
      <c r="B1695" s="1"/>
      <c r="C1695">
        <f>0.9*C30</f>
        <v>18</v>
      </c>
      <c r="D1695" t="s">
        <v>532</v>
      </c>
      <c r="P1695" s="93"/>
      <c r="Q1695" s="109" t="str">
        <f>R1680&amp;".02"</f>
        <v>A.02</v>
      </c>
      <c r="R1695" s="19"/>
      <c r="S1695" s="19"/>
      <c r="T1695">
        <f t="shared" ref="T1695:T1709" si="1066">S1695/2</f>
        <v>0</v>
      </c>
      <c r="U1695" s="19"/>
      <c r="V1695">
        <f t="shared" ref="V1695:V1709" si="1067">U1695/2</f>
        <v>0</v>
      </c>
      <c r="W1695" s="19"/>
      <c r="X1695" s="19"/>
      <c r="Y1695" s="19"/>
      <c r="Z1695" s="19"/>
      <c r="AA1695" s="19"/>
      <c r="AB1695" s="19"/>
      <c r="AC1695" s="19"/>
      <c r="AR1695" s="100"/>
      <c r="AS1695" s="93"/>
      <c r="AT1695" s="109" t="str">
        <f>AU$1680&amp;".02"</f>
        <v>1.02</v>
      </c>
      <c r="AU1695" s="19"/>
      <c r="AV1695" s="19"/>
      <c r="AW1695">
        <f t="shared" ref="AW1695:AW1709" si="1068">AV1695/2</f>
        <v>0</v>
      </c>
      <c r="AX1695" s="19"/>
      <c r="AY1695">
        <f t="shared" ref="AY1695:AY1709" si="1069">AX1695/2</f>
        <v>0</v>
      </c>
      <c r="AZ1695" s="19"/>
      <c r="BA1695" s="19"/>
      <c r="BB1695" s="19"/>
      <c r="BC1695" s="19"/>
      <c r="BD1695" s="19"/>
      <c r="BE1695" s="19"/>
      <c r="BF1695" s="19"/>
      <c r="BU1695" s="100"/>
    </row>
    <row r="1696" x14ac:dyDescent="0.25">
      <c r="B1696" s="1" t="s">
        <v>514</v>
      </c>
      <c r="C1696" s="19">
        <v>26</v>
      </c>
      <c r="D1696" t="s">
        <v>512</v>
      </c>
      <c r="P1696" s="93"/>
      <c r="Q1696" s="109" t="str">
        <f>R1680&amp;".03"</f>
        <v>A.03</v>
      </c>
      <c r="R1696" s="19"/>
      <c r="S1696" s="19"/>
      <c r="T1696">
        <f t="shared" si="1066"/>
        <v>0</v>
      </c>
      <c r="U1696" s="19"/>
      <c r="V1696">
        <f t="shared" si="1067"/>
        <v>0</v>
      </c>
      <c r="W1696" s="19"/>
      <c r="X1696" s="19"/>
      <c r="Y1696" s="19"/>
      <c r="Z1696" s="19"/>
      <c r="AA1696" s="19"/>
      <c r="AB1696" s="19"/>
      <c r="AC1696" s="19"/>
      <c r="AR1696" s="100"/>
      <c r="AS1696" s="93"/>
      <c r="AT1696" s="109" t="str">
        <f>AU$1680&amp;".03"</f>
        <v>1.03</v>
      </c>
      <c r="AU1696" s="19"/>
      <c r="AV1696" s="19"/>
      <c r="AW1696">
        <f t="shared" si="1068"/>
        <v>0</v>
      </c>
      <c r="AX1696" s="19"/>
      <c r="AY1696">
        <f t="shared" si="1069"/>
        <v>0</v>
      </c>
      <c r="AZ1696" s="19"/>
      <c r="BA1696" s="19"/>
      <c r="BB1696" s="19"/>
      <c r="BC1696" s="19"/>
      <c r="BD1696" s="19"/>
      <c r="BE1696" s="19"/>
      <c r="BF1696" s="19"/>
      <c r="BU1696" s="100"/>
    </row>
    <row r="1697" x14ac:dyDescent="0.25">
      <c r="B1697" s="1" t="s">
        <v>477</v>
      </c>
      <c r="C1697" s="19">
        <v>11</v>
      </c>
      <c r="D1697" t="s">
        <v>509</v>
      </c>
      <c r="P1697" s="93"/>
      <c r="Q1697" s="109" t="str">
        <f>R1680&amp;".04"</f>
        <v>A.04</v>
      </c>
      <c r="R1697" s="19"/>
      <c r="S1697" s="19"/>
      <c r="T1697">
        <f t="shared" si="1066"/>
        <v>0</v>
      </c>
      <c r="U1697" s="19"/>
      <c r="V1697">
        <f t="shared" si="1067"/>
        <v>0</v>
      </c>
      <c r="W1697" s="19"/>
      <c r="X1697" s="19"/>
      <c r="Y1697" s="19"/>
      <c r="Z1697" s="19"/>
      <c r="AA1697" s="19"/>
      <c r="AB1697" s="19"/>
      <c r="AC1697" s="19"/>
      <c r="AR1697" s="100"/>
      <c r="AS1697" s="93"/>
      <c r="AT1697" s="109" t="str">
        <f>AU$1680&amp;".04"</f>
        <v>1.04</v>
      </c>
      <c r="AU1697" s="19"/>
      <c r="AV1697" s="19"/>
      <c r="AW1697">
        <f t="shared" si="1068"/>
        <v>0</v>
      </c>
      <c r="AX1697" s="19"/>
      <c r="AY1697">
        <f t="shared" si="1069"/>
        <v>0</v>
      </c>
      <c r="AZ1697" s="19"/>
      <c r="BA1697" s="19"/>
      <c r="BB1697" s="19"/>
      <c r="BC1697" s="19"/>
      <c r="BD1697" s="19"/>
      <c r="BE1697" s="19"/>
      <c r="BF1697" s="19"/>
      <c r="BU1697" s="100"/>
    </row>
    <row r="1698" x14ac:dyDescent="0.25">
      <c r="B1698" s="1" t="s">
        <v>478</v>
      </c>
      <c r="C1698" s="19">
        <v>13</v>
      </c>
      <c r="D1698" t="s">
        <v>510</v>
      </c>
      <c r="P1698" s="93"/>
      <c r="Q1698" s="109" t="str">
        <f>R1680&amp;".05"</f>
        <v>A.05</v>
      </c>
      <c r="R1698" s="19"/>
      <c r="S1698" s="19"/>
      <c r="T1698">
        <f t="shared" si="1066"/>
        <v>0</v>
      </c>
      <c r="U1698" s="19"/>
      <c r="V1698">
        <f t="shared" si="1067"/>
        <v>0</v>
      </c>
      <c r="W1698" s="19"/>
      <c r="X1698" s="19"/>
      <c r="Y1698" s="19"/>
      <c r="Z1698" s="19"/>
      <c r="AA1698" s="19"/>
      <c r="AB1698" s="19"/>
      <c r="AC1698" s="19"/>
      <c r="AR1698" s="100"/>
      <c r="AS1698" s="93"/>
      <c r="AT1698" s="109" t="str">
        <f>AU$1680&amp;".05"</f>
        <v>1.05</v>
      </c>
      <c r="AU1698" s="19"/>
      <c r="AV1698" s="19"/>
      <c r="AW1698">
        <f t="shared" si="1068"/>
        <v>0</v>
      </c>
      <c r="AX1698" s="19"/>
      <c r="AY1698">
        <f t="shared" si="1069"/>
        <v>0</v>
      </c>
      <c r="AZ1698" s="19"/>
      <c r="BA1698" s="19"/>
      <c r="BB1698" s="19"/>
      <c r="BC1698" s="19"/>
      <c r="BD1698" s="19"/>
      <c r="BE1698" s="19"/>
      <c r="BF1698" s="19"/>
      <c r="BU1698" s="100"/>
    </row>
    <row r="1699" x14ac:dyDescent="0.25">
      <c r="B1699" s="1" t="s">
        <v>515</v>
      </c>
      <c r="C1699" s="19">
        <v>18</v>
      </c>
      <c r="D1699" t="s">
        <v>511</v>
      </c>
      <c r="P1699" s="93"/>
      <c r="Q1699" s="109" t="str">
        <f>R1680&amp;".06"</f>
        <v>A.06</v>
      </c>
      <c r="R1699" s="19"/>
      <c r="S1699" s="19"/>
      <c r="T1699">
        <f t="shared" si="1066"/>
        <v>0</v>
      </c>
      <c r="U1699" s="19"/>
      <c r="V1699">
        <f t="shared" si="1067"/>
        <v>0</v>
      </c>
      <c r="W1699" s="19"/>
      <c r="X1699" s="19"/>
      <c r="Y1699" s="19"/>
      <c r="Z1699" s="19"/>
      <c r="AA1699" s="19"/>
      <c r="AB1699" s="19"/>
      <c r="AC1699" s="19"/>
      <c r="AR1699" s="100"/>
      <c r="AS1699" s="93"/>
      <c r="AT1699" s="109" t="str">
        <f>AU$1680&amp;".06"</f>
        <v>1.06</v>
      </c>
      <c r="AU1699" s="19"/>
      <c r="AV1699" s="19"/>
      <c r="AW1699">
        <f t="shared" si="1068"/>
        <v>0</v>
      </c>
      <c r="AX1699" s="19"/>
      <c r="AY1699">
        <f t="shared" si="1069"/>
        <v>0</v>
      </c>
      <c r="AZ1699" s="19"/>
      <c r="BA1699" s="19"/>
      <c r="BB1699" s="19"/>
      <c r="BC1699" s="19"/>
      <c r="BD1699" s="19"/>
      <c r="BE1699" s="19"/>
      <c r="BF1699" s="19"/>
      <c r="BU1699" s="100"/>
    </row>
    <row r="1700" x14ac:dyDescent="0.25">
      <c r="B1700" s="1" t="s">
        <v>516</v>
      </c>
      <c r="P1700" s="93"/>
      <c r="Q1700" s="109" t="str">
        <f>R1680&amp;".07"</f>
        <v>A.07</v>
      </c>
      <c r="R1700" s="19"/>
      <c r="S1700" s="19"/>
      <c r="T1700">
        <f t="shared" si="1066"/>
        <v>0</v>
      </c>
      <c r="U1700" s="19"/>
      <c r="V1700">
        <f t="shared" si="1067"/>
        <v>0</v>
      </c>
      <c r="W1700" s="19"/>
      <c r="X1700" s="19"/>
      <c r="Y1700" s="19"/>
      <c r="Z1700" s="19"/>
      <c r="AA1700" s="19"/>
      <c r="AB1700" s="19"/>
      <c r="AC1700" s="19"/>
      <c r="AF1700" s="109"/>
      <c r="AR1700" s="100"/>
      <c r="AS1700" s="93"/>
      <c r="AT1700" s="109" t="str">
        <f>AU$1680&amp;".07"</f>
        <v>1.07</v>
      </c>
      <c r="AU1700" s="19"/>
      <c r="AV1700" s="19"/>
      <c r="AW1700">
        <f t="shared" si="1068"/>
        <v>0</v>
      </c>
      <c r="AX1700" s="19"/>
      <c r="AY1700">
        <f t="shared" si="1069"/>
        <v>0</v>
      </c>
      <c r="AZ1700" s="19"/>
      <c r="BA1700" s="19"/>
      <c r="BB1700" s="19"/>
      <c r="BC1700" s="19"/>
      <c r="BD1700" s="19"/>
      <c r="BE1700" s="19"/>
      <c r="BF1700" s="19"/>
      <c r="BI1700" s="109"/>
      <c r="BU1700" s="100"/>
    </row>
    <row r="1701" x14ac:dyDescent="0.25">
      <c r="B1701" s="1" t="s">
        <v>517</v>
      </c>
      <c r="P1701" s="93"/>
      <c r="Q1701" s="109" t="str">
        <f>R1680&amp;".08"</f>
        <v>A.08</v>
      </c>
      <c r="R1701" s="19"/>
      <c r="S1701" s="19"/>
      <c r="T1701">
        <f t="shared" si="1066"/>
        <v>0</v>
      </c>
      <c r="U1701" s="19"/>
      <c r="V1701">
        <f t="shared" si="1067"/>
        <v>0</v>
      </c>
      <c r="W1701" s="19"/>
      <c r="X1701" s="19"/>
      <c r="Y1701" s="19"/>
      <c r="Z1701" s="19"/>
      <c r="AA1701" s="19"/>
      <c r="AB1701" s="19"/>
      <c r="AC1701" s="19"/>
      <c r="AF1701" s="109"/>
      <c r="AR1701" s="100"/>
      <c r="AS1701" s="93"/>
      <c r="AT1701" s="109" t="str">
        <f>AU$1680&amp;".08"</f>
        <v>1.08</v>
      </c>
      <c r="AU1701" s="19"/>
      <c r="AV1701" s="19"/>
      <c r="AW1701">
        <f t="shared" si="1068"/>
        <v>0</v>
      </c>
      <c r="AX1701" s="19"/>
      <c r="AY1701">
        <f t="shared" si="1069"/>
        <v>0</v>
      </c>
      <c r="AZ1701" s="19"/>
      <c r="BA1701" s="19"/>
      <c r="BB1701" s="19"/>
      <c r="BC1701" s="19"/>
      <c r="BD1701" s="19"/>
      <c r="BE1701" s="19"/>
      <c r="BF1701" s="19"/>
      <c r="BI1701" s="109"/>
      <c r="BU1701" s="100"/>
    </row>
    <row r="1702" x14ac:dyDescent="0.25">
      <c r="B1702" s="1" t="s">
        <v>518</v>
      </c>
      <c r="P1702" s="93"/>
      <c r="Q1702" s="109" t="str">
        <f>R1680&amp;".09"</f>
        <v>A.09</v>
      </c>
      <c r="R1702" s="19"/>
      <c r="S1702" s="19"/>
      <c r="T1702">
        <f t="shared" si="1066"/>
        <v>0</v>
      </c>
      <c r="U1702" s="19"/>
      <c r="V1702">
        <f t="shared" si="1067"/>
        <v>0</v>
      </c>
      <c r="W1702" s="19"/>
      <c r="X1702" s="19"/>
      <c r="Y1702" s="19"/>
      <c r="Z1702" s="19"/>
      <c r="AA1702" s="19"/>
      <c r="AB1702" s="19"/>
      <c r="AC1702" s="19"/>
      <c r="AF1702" s="109"/>
      <c r="AR1702" s="100"/>
      <c r="AS1702" s="93"/>
      <c r="AT1702" s="109" t="str">
        <f>AU$1680&amp;".09"</f>
        <v>1.09</v>
      </c>
      <c r="AU1702" s="19"/>
      <c r="AV1702" s="19"/>
      <c r="AW1702">
        <f t="shared" si="1068"/>
        <v>0</v>
      </c>
      <c r="AX1702" s="19"/>
      <c r="AY1702">
        <f t="shared" si="1069"/>
        <v>0</v>
      </c>
      <c r="AZ1702" s="19"/>
      <c r="BA1702" s="19"/>
      <c r="BB1702" s="19"/>
      <c r="BC1702" s="19"/>
      <c r="BD1702" s="19"/>
      <c r="BE1702" s="19"/>
      <c r="BF1702" s="19"/>
      <c r="BI1702" s="109"/>
      <c r="BU1702" s="100"/>
    </row>
    <row r="1703" x14ac:dyDescent="0.25">
      <c r="P1703" s="93"/>
      <c r="Q1703" s="109" t="str">
        <f>R1680&amp;".10"</f>
        <v>A.10</v>
      </c>
      <c r="R1703" s="19"/>
      <c r="S1703" s="19"/>
      <c r="T1703">
        <f t="shared" si="1066"/>
        <v>0</v>
      </c>
      <c r="U1703" s="19"/>
      <c r="V1703">
        <f t="shared" si="1067"/>
        <v>0</v>
      </c>
      <c r="W1703" s="19"/>
      <c r="X1703" s="19"/>
      <c r="Y1703" s="19"/>
      <c r="Z1703" s="19"/>
      <c r="AA1703" s="19"/>
      <c r="AB1703" s="19"/>
      <c r="AC1703" s="19"/>
      <c r="AF1703" s="109"/>
      <c r="AR1703" s="100"/>
      <c r="AS1703" s="93"/>
      <c r="AT1703" s="109" t="str">
        <f>AU$1680&amp;".10"</f>
        <v>1.10</v>
      </c>
      <c r="AU1703" s="19"/>
      <c r="AV1703" s="19"/>
      <c r="AW1703">
        <f t="shared" si="1068"/>
        <v>0</v>
      </c>
      <c r="AX1703" s="19"/>
      <c r="AY1703">
        <f t="shared" si="1069"/>
        <v>0</v>
      </c>
      <c r="AZ1703" s="19"/>
      <c r="BA1703" s="19"/>
      <c r="BB1703" s="19"/>
      <c r="BC1703" s="19"/>
      <c r="BD1703" s="19"/>
      <c r="BE1703" s="19"/>
      <c r="BF1703" s="19"/>
      <c r="BI1703" s="109"/>
      <c r="BU1703" s="100"/>
    </row>
    <row r="1704" x14ac:dyDescent="0.25">
      <c r="C1704" s="112" t="s">
        <v>495</v>
      </c>
      <c r="D1704" s="112"/>
      <c r="E1704" s="112"/>
      <c r="I1704" s="112" t="s">
        <v>495</v>
      </c>
      <c r="J1704" s="112"/>
      <c r="K1704" s="112"/>
      <c r="P1704" s="93"/>
      <c r="Q1704" s="109" t="str">
        <f>R1680&amp;".11"</f>
        <v>A.11</v>
      </c>
      <c r="R1704" s="19"/>
      <c r="S1704" s="19"/>
      <c r="T1704">
        <f t="shared" si="1066"/>
        <v>0</v>
      </c>
      <c r="U1704" s="19"/>
      <c r="V1704">
        <f t="shared" si="1067"/>
        <v>0</v>
      </c>
      <c r="W1704" s="19"/>
      <c r="X1704" s="19"/>
      <c r="Y1704" s="19"/>
      <c r="Z1704" s="19"/>
      <c r="AA1704" s="19"/>
      <c r="AB1704" s="19"/>
      <c r="AC1704" s="19"/>
      <c r="AF1704" s="109"/>
      <c r="AR1704" s="100"/>
      <c r="AS1704" s="93"/>
      <c r="AT1704" s="109" t="str">
        <f>AU$1680&amp;".11"</f>
        <v>1.11</v>
      </c>
      <c r="AU1704" s="19"/>
      <c r="AV1704" s="19"/>
      <c r="AW1704">
        <f t="shared" si="1068"/>
        <v>0</v>
      </c>
      <c r="AX1704" s="19"/>
      <c r="AY1704">
        <f t="shared" si="1069"/>
        <v>0</v>
      </c>
      <c r="AZ1704" s="19"/>
      <c r="BA1704" s="19"/>
      <c r="BB1704" s="19"/>
      <c r="BC1704" s="19"/>
      <c r="BD1704" s="19"/>
      <c r="BE1704" s="19"/>
      <c r="BF1704" s="19"/>
      <c r="BI1704" s="109"/>
      <c r="BU1704" s="100"/>
    </row>
    <row r="1705" x14ac:dyDescent="0.25">
      <c r="B1705" t="s">
        <v>474</v>
      </c>
      <c r="C1705" t="s">
        <v>492</v>
      </c>
      <c r="D1705" t="s">
        <v>493</v>
      </c>
      <c r="E1705" t="s">
        <v>494</v>
      </c>
      <c r="H1705" t="s">
        <v>455</v>
      </c>
      <c r="I1705" t="s">
        <v>492</v>
      </c>
      <c r="J1705" t="s">
        <v>493</v>
      </c>
      <c r="K1705" t="s">
        <v>494</v>
      </c>
      <c r="P1705" s="93"/>
      <c r="Q1705" s="109" t="str">
        <f>R1680&amp;".12"</f>
        <v>A.12</v>
      </c>
      <c r="R1705" s="19"/>
      <c r="S1705" s="19"/>
      <c r="T1705">
        <f t="shared" si="1066"/>
        <v>0</v>
      </c>
      <c r="U1705" s="19"/>
      <c r="V1705">
        <f t="shared" si="1067"/>
        <v>0</v>
      </c>
      <c r="W1705" s="19"/>
      <c r="X1705" s="19"/>
      <c r="Y1705" s="19"/>
      <c r="Z1705" s="19"/>
      <c r="AA1705" s="19"/>
      <c r="AB1705" s="19"/>
      <c r="AC1705" s="19"/>
      <c r="AF1705" s="109"/>
      <c r="AR1705" s="100"/>
      <c r="AS1705" s="93"/>
      <c r="AT1705" s="109" t="str">
        <f>AU$1680&amp;".12"</f>
        <v>1.12</v>
      </c>
      <c r="AU1705" s="19"/>
      <c r="AV1705" s="19"/>
      <c r="AW1705">
        <f t="shared" si="1068"/>
        <v>0</v>
      </c>
      <c r="AX1705" s="19"/>
      <c r="AY1705">
        <f t="shared" si="1069"/>
        <v>0</v>
      </c>
      <c r="AZ1705" s="19"/>
      <c r="BA1705" s="19"/>
      <c r="BB1705" s="19"/>
      <c r="BC1705" s="19"/>
      <c r="BD1705" s="19"/>
      <c r="BE1705" s="19"/>
      <c r="BF1705" s="19"/>
      <c r="BI1705" s="109"/>
      <c r="BU1705" s="100"/>
    </row>
    <row r="1706" x14ac:dyDescent="0.25">
      <c r="B1706" t="s">
        <v>274</v>
      </c>
      <c r="C1706" s="19">
        <v>0</v>
      </c>
      <c r="D1706" s="19">
        <v>29</v>
      </c>
      <c r="E1706">
        <f>C55+D55</f>
        <v>29</v>
      </c>
      <c r="H1706">
        <v>1</v>
      </c>
      <c r="I1706" s="19">
        <v>0</v>
      </c>
      <c r="J1706" s="19">
        <v>27</v>
      </c>
      <c r="K1706">
        <f>I55+J55</f>
        <v>27</v>
      </c>
      <c r="P1706" s="93"/>
      <c r="Q1706" s="109" t="str">
        <f>R1680&amp;".13"</f>
        <v>A.13</v>
      </c>
      <c r="R1706" s="19"/>
      <c r="S1706" s="19"/>
      <c r="T1706">
        <f t="shared" si="1066"/>
        <v>0</v>
      </c>
      <c r="U1706" s="19"/>
      <c r="V1706">
        <f t="shared" si="1067"/>
        <v>0</v>
      </c>
      <c r="W1706" s="19"/>
      <c r="X1706" s="19"/>
      <c r="Y1706" s="19"/>
      <c r="Z1706" s="19"/>
      <c r="AA1706" s="19"/>
      <c r="AB1706" s="19"/>
      <c r="AC1706" s="19"/>
      <c r="AF1706" s="109"/>
      <c r="AR1706" s="100"/>
      <c r="AS1706" s="93"/>
      <c r="AT1706" s="109" t="str">
        <f>AU$1680&amp;".13"</f>
        <v>1.13</v>
      </c>
      <c r="AU1706" s="19"/>
      <c r="AV1706" s="19"/>
      <c r="AW1706">
        <f t="shared" si="1068"/>
        <v>0</v>
      </c>
      <c r="AX1706" s="19"/>
      <c r="AY1706">
        <f t="shared" si="1069"/>
        <v>0</v>
      </c>
      <c r="AZ1706" s="19"/>
      <c r="BA1706" s="19"/>
      <c r="BB1706" s="19"/>
      <c r="BC1706" s="19"/>
      <c r="BD1706" s="19"/>
      <c r="BE1706" s="19"/>
      <c r="BF1706" s="19"/>
      <c r="BI1706" s="109"/>
      <c r="BU1706" s="100"/>
    </row>
    <row r="1707" x14ac:dyDescent="0.25">
      <c r="B1707" t="s">
        <v>279</v>
      </c>
      <c r="C1707" s="19">
        <v>29</v>
      </c>
      <c r="D1707" s="19">
        <v>6</v>
      </c>
      <c r="E1707">
        <f t="shared" ref="E43:E67" si="1070">C43+D43</f>
        <v>35</v>
      </c>
      <c r="H1707">
        <v>2</v>
      </c>
      <c r="I1707" s="19">
        <v>27</v>
      </c>
      <c r="J1707" s="19">
        <v>14</v>
      </c>
      <c r="K1707">
        <f t="shared" ref="K43:K67" si="1071">I43+J43</f>
        <v>41</v>
      </c>
      <c r="P1707" s="93"/>
      <c r="Q1707" s="109" t="str">
        <f>R1680&amp;".14"</f>
        <v>A.14</v>
      </c>
      <c r="R1707" s="19"/>
      <c r="S1707" s="19"/>
      <c r="T1707">
        <f t="shared" si="1066"/>
        <v>0</v>
      </c>
      <c r="U1707" s="19"/>
      <c r="V1707">
        <f t="shared" si="1067"/>
        <v>0</v>
      </c>
      <c r="W1707" s="19"/>
      <c r="X1707" s="19"/>
      <c r="Y1707" s="19"/>
      <c r="Z1707" s="19"/>
      <c r="AA1707" s="19"/>
      <c r="AB1707" s="19"/>
      <c r="AC1707" s="19"/>
      <c r="AF1707" s="109"/>
      <c r="AR1707" s="100"/>
      <c r="AS1707" s="93"/>
      <c r="AT1707" s="109" t="str">
        <f>AU$1680&amp;".14"</f>
        <v>1.14</v>
      </c>
      <c r="AU1707" s="19"/>
      <c r="AV1707" s="19"/>
      <c r="AW1707">
        <f t="shared" si="1068"/>
        <v>0</v>
      </c>
      <c r="AX1707" s="19"/>
      <c r="AY1707">
        <f t="shared" si="1069"/>
        <v>0</v>
      </c>
      <c r="AZ1707" s="19"/>
      <c r="BA1707" s="19"/>
      <c r="BB1707" s="19"/>
      <c r="BC1707" s="19"/>
      <c r="BD1707" s="19"/>
      <c r="BE1707" s="19"/>
      <c r="BF1707" s="19"/>
      <c r="BI1707" s="109"/>
      <c r="BU1707" s="100"/>
    </row>
    <row r="1708" x14ac:dyDescent="0.25">
      <c r="B1708" t="s">
        <v>283</v>
      </c>
      <c r="C1708" s="19">
        <v>6</v>
      </c>
      <c r="D1708" s="19">
        <v>29</v>
      </c>
      <c r="E1708">
        <f t="shared" si="1070"/>
        <v>35</v>
      </c>
      <c r="H1708">
        <v>3</v>
      </c>
      <c r="I1708" s="19">
        <v>14</v>
      </c>
      <c r="J1708" s="19">
        <v>13</v>
      </c>
      <c r="K1708">
        <f t="shared" si="1071"/>
        <v>27</v>
      </c>
      <c r="P1708" s="93"/>
      <c r="Q1708" s="109" t="str">
        <f>R1680&amp;".15"</f>
        <v>A.15</v>
      </c>
      <c r="R1708" s="19"/>
      <c r="S1708" s="19"/>
      <c r="T1708">
        <f t="shared" si="1066"/>
        <v>0</v>
      </c>
      <c r="U1708" s="19"/>
      <c r="V1708">
        <f t="shared" si="1067"/>
        <v>0</v>
      </c>
      <c r="W1708" s="19"/>
      <c r="X1708" s="19"/>
      <c r="Y1708" s="19"/>
      <c r="Z1708" s="19"/>
      <c r="AA1708" s="19"/>
      <c r="AB1708" s="19"/>
      <c r="AC1708" s="19"/>
      <c r="AF1708" s="109"/>
      <c r="AR1708" s="100"/>
      <c r="AS1708" s="93"/>
      <c r="AT1708" s="109" t="str">
        <f>AU$1680&amp;".15"</f>
        <v>1.15</v>
      </c>
      <c r="AU1708" s="19"/>
      <c r="AV1708" s="19"/>
      <c r="AW1708">
        <f t="shared" si="1068"/>
        <v>0</v>
      </c>
      <c r="AX1708" s="19"/>
      <c r="AY1708">
        <f t="shared" si="1069"/>
        <v>0</v>
      </c>
      <c r="AZ1708" s="19"/>
      <c r="BA1708" s="19"/>
      <c r="BB1708" s="19"/>
      <c r="BC1708" s="19"/>
      <c r="BD1708" s="19"/>
      <c r="BE1708" s="19"/>
      <c r="BF1708" s="19"/>
      <c r="BI1708" s="109"/>
      <c r="BU1708" s="100"/>
    </row>
    <row r="1709" x14ac:dyDescent="0.25">
      <c r="B1709" t="s">
        <v>287</v>
      </c>
      <c r="C1709" s="19">
        <v>26</v>
      </c>
      <c r="D1709" s="19">
        <v>26</v>
      </c>
      <c r="E1709">
        <f t="shared" si="1070"/>
        <v>52</v>
      </c>
      <c r="F1709" t="s">
        <v>506</v>
      </c>
      <c r="H1709">
        <v>4</v>
      </c>
      <c r="I1709" s="19">
        <v>13</v>
      </c>
      <c r="J1709" s="19">
        <v>27</v>
      </c>
      <c r="K1709">
        <f t="shared" si="1071"/>
        <v>40</v>
      </c>
      <c r="P1709" s="93"/>
      <c r="Q1709" s="109" t="str">
        <f>R1680&amp;".16"</f>
        <v>A.16</v>
      </c>
      <c r="R1709" s="19"/>
      <c r="S1709" s="19"/>
      <c r="T1709">
        <f t="shared" si="1066"/>
        <v>0</v>
      </c>
      <c r="U1709" s="19"/>
      <c r="V1709">
        <f t="shared" si="1067"/>
        <v>0</v>
      </c>
      <c r="W1709" s="19"/>
      <c r="X1709" s="19"/>
      <c r="Y1709" s="19"/>
      <c r="Z1709" s="19"/>
      <c r="AA1709" s="19"/>
      <c r="AB1709" s="19"/>
      <c r="AC1709" s="19"/>
      <c r="AF1709" s="109"/>
      <c r="AR1709" s="100"/>
      <c r="AS1709" s="93"/>
      <c r="AT1709" s="109" t="str">
        <f>AU$1680&amp;".16"</f>
        <v>1.16</v>
      </c>
      <c r="AU1709" s="19"/>
      <c r="AV1709" s="19"/>
      <c r="AW1709">
        <f t="shared" si="1068"/>
        <v>0</v>
      </c>
      <c r="AX1709" s="19"/>
      <c r="AY1709">
        <f t="shared" si="1069"/>
        <v>0</v>
      </c>
      <c r="AZ1709" s="19"/>
      <c r="BA1709" s="19"/>
      <c r="BB1709" s="19"/>
      <c r="BC1709" s="19"/>
      <c r="BD1709" s="19"/>
      <c r="BE1709" s="19"/>
      <c r="BF1709" s="19"/>
      <c r="BI1709" s="109"/>
      <c r="BU1709" s="100"/>
    </row>
    <row r="1710" x14ac:dyDescent="0.25">
      <c r="B1710" t="s">
        <v>288</v>
      </c>
      <c r="C1710" s="19">
        <v>29</v>
      </c>
      <c r="D1710" s="19">
        <v>0</v>
      </c>
      <c r="E1710">
        <f t="shared" si="1070"/>
        <v>29</v>
      </c>
      <c r="H1710">
        <v>5</v>
      </c>
      <c r="I1710" s="19">
        <v>27</v>
      </c>
      <c r="J1710" s="19">
        <v>11</v>
      </c>
      <c r="K1710">
        <f t="shared" si="1071"/>
        <v>38</v>
      </c>
      <c r="P1710" s="93"/>
      <c r="R1710">
        <f>SUM(R1694:R1709)</f>
        <v>29</v>
      </c>
      <c r="AR1710" s="100"/>
      <c r="AS1710" s="93"/>
      <c r="AU1710">
        <f>SUM(AU1694:AU1709)</f>
        <v>29</v>
      </c>
      <c r="BU1710" s="100"/>
    </row>
    <row r="1711" x14ac:dyDescent="0.25">
      <c r="B1711" t="s">
        <v>293</v>
      </c>
      <c r="C1711" s="19">
        <v>17</v>
      </c>
      <c r="D1711" s="19">
        <v>27</v>
      </c>
      <c r="E1711">
        <f t="shared" si="1070"/>
        <v>44</v>
      </c>
      <c r="H1711">
        <v>6</v>
      </c>
      <c r="I1711" s="19">
        <v>11</v>
      </c>
      <c r="J1711" s="19">
        <v>6</v>
      </c>
      <c r="K1711">
        <f t="shared" si="1071"/>
        <v>17</v>
      </c>
      <c r="P1711" s="93"/>
      <c r="AP1711" t="s">
        <v>746</v>
      </c>
      <c r="AR1711" s="100"/>
      <c r="AS1711" s="93"/>
      <c r="BS1711" t="s">
        <v>746</v>
      </c>
      <c r="BU1711" s="100"/>
    </row>
    <row r="1712" x14ac:dyDescent="0.25">
      <c r="B1712" t="s">
        <v>456</v>
      </c>
      <c r="C1712" s="19">
        <v>27</v>
      </c>
      <c r="D1712" s="19">
        <v>27</v>
      </c>
      <c r="E1712">
        <f t="shared" si="1070"/>
        <v>54</v>
      </c>
      <c r="H1712">
        <v>7</v>
      </c>
      <c r="I1712" s="19">
        <v>6</v>
      </c>
      <c r="J1712" s="19">
        <v>11</v>
      </c>
      <c r="K1712">
        <f t="shared" si="1071"/>
        <v>17</v>
      </c>
      <c r="P1712" s="93"/>
      <c r="Q1712" t="s">
        <v>525</v>
      </c>
      <c r="R1712" t="s">
        <v>263</v>
      </c>
      <c r="S1712" t="s">
        <v>526</v>
      </c>
      <c r="T1712" t="s">
        <v>570</v>
      </c>
      <c r="U1712" t="s">
        <v>571</v>
      </c>
      <c r="V1712" t="s">
        <v>572</v>
      </c>
      <c r="W1712" t="s">
        <v>539</v>
      </c>
      <c r="X1712" t="s">
        <v>538</v>
      </c>
      <c r="Z1712" t="s">
        <v>522</v>
      </c>
      <c r="AA1712" t="s">
        <v>523</v>
      </c>
      <c r="AB1712" t="s">
        <v>541</v>
      </c>
      <c r="AC1712" t="s">
        <v>540</v>
      </c>
      <c r="AD1712" t="s">
        <v>542</v>
      </c>
      <c r="AE1712" t="s">
        <v>520</v>
      </c>
      <c r="AF1712" t="s">
        <v>521</v>
      </c>
      <c r="AG1712" t="s">
        <v>527</v>
      </c>
      <c r="AH1712" t="s">
        <v>528</v>
      </c>
      <c r="AI1712" t="s">
        <v>543</v>
      </c>
      <c r="AJ1712" t="s">
        <v>744</v>
      </c>
      <c r="AK1712" t="s">
        <v>745</v>
      </c>
      <c r="AL1712" t="s">
        <v>749</v>
      </c>
      <c r="AM1712" t="s">
        <v>750</v>
      </c>
      <c r="AN1712" t="s">
        <v>751</v>
      </c>
      <c r="AP1712" t="s">
        <v>747</v>
      </c>
      <c r="AQ1712" t="s">
        <v>748</v>
      </c>
      <c r="AR1712" s="100"/>
      <c r="AS1712" s="93"/>
      <c r="AT1712" t="s">
        <v>525</v>
      </c>
      <c r="AU1712" t="s">
        <v>263</v>
      </c>
      <c r="AV1712" t="s">
        <v>526</v>
      </c>
      <c r="AW1712" t="s">
        <v>570</v>
      </c>
      <c r="AX1712" t="s">
        <v>571</v>
      </c>
      <c r="AY1712" t="s">
        <v>572</v>
      </c>
      <c r="AZ1712" t="s">
        <v>539</v>
      </c>
      <c r="BA1712" t="s">
        <v>538</v>
      </c>
      <c r="BC1712" t="s">
        <v>522</v>
      </c>
      <c r="BD1712" t="s">
        <v>523</v>
      </c>
      <c r="BE1712" t="s">
        <v>541</v>
      </c>
      <c r="BF1712" t="s">
        <v>540</v>
      </c>
      <c r="BG1712" t="s">
        <v>542</v>
      </c>
      <c r="BH1712" t="s">
        <v>520</v>
      </c>
      <c r="BI1712" t="s">
        <v>521</v>
      </c>
      <c r="BJ1712" t="s">
        <v>527</v>
      </c>
      <c r="BK1712" t="s">
        <v>528</v>
      </c>
      <c r="BL1712" t="s">
        <v>543</v>
      </c>
      <c r="BM1712" t="s">
        <v>744</v>
      </c>
      <c r="BN1712" t="s">
        <v>745</v>
      </c>
      <c r="BO1712" t="s">
        <v>749</v>
      </c>
      <c r="BP1712" t="s">
        <v>750</v>
      </c>
      <c r="BQ1712" t="s">
        <v>751</v>
      </c>
      <c r="BS1712" t="s">
        <v>747</v>
      </c>
      <c r="BT1712" t="s">
        <v>748</v>
      </c>
      <c r="BU1712" s="100"/>
    </row>
    <row r="1713" x14ac:dyDescent="0.25">
      <c r="B1713" t="s">
        <v>457</v>
      </c>
      <c r="C1713" s="19">
        <v>27</v>
      </c>
      <c r="D1713" s="19">
        <v>27</v>
      </c>
      <c r="E1713">
        <f t="shared" si="1070"/>
        <v>54</v>
      </c>
      <c r="H1713">
        <v>8</v>
      </c>
      <c r="I1713" s="19">
        <v>20</v>
      </c>
      <c r="J1713" s="19">
        <v>0</v>
      </c>
      <c r="K1713">
        <f t="shared" si="1071"/>
        <v>20</v>
      </c>
      <c r="L1713" t="s">
        <v>506</v>
      </c>
      <c r="P1713" s="93"/>
      <c r="Q1713" s="110" t="str">
        <f>$Q$1694</f>
        <v>A.01</v>
      </c>
      <c r="R1713" t="str">
        <f>$Q$1685</f>
        <v>L2</v>
      </c>
      <c r="S1713">
        <f>$E$21</f>
        <v>10.6875</v>
      </c>
      <c r="T1713" cm="1">
        <f t="array" ref="T1713">IFERROR(IF(S1713=0,0,(INDEX($C$33:$C$38,MATCH($W$1694,$B$33:$B$38,0),0)*(S1717+$X$1694)+$T$1694*COUNTIF(S1713:S1716,"&gt;0")*$C$32+$V$1694*$C$31)*$R$1694),0)</f>
        <v>30539.71875</v>
      </c>
      <c r="U1713">
        <f>IF(S1713=0,0,-(COUNTIF(S1713:S1716,"&gt;0")*$T$1694*$C$32+$V$1694*$C$31)*$H$27*$R$1694)</f>
        <v>-363.31199999999995</v>
      </c>
      <c r="V1713">
        <f>IF(S1713=0,0,$V$1694*$H$26*$R$1694)</f>
        <v>-1328.1999999999998</v>
      </c>
      <c r="W1713">
        <f>(0.6*T1713+0.7*U1713)*$R$1694/2</f>
        <v>262007.93632499999</v>
      </c>
      <c r="X1713">
        <f>(0.6*T1713+0.6*V1713)*$R$1694/2</f>
        <v>254140.21312500001</v>
      </c>
      <c r="Z1713">
        <f>IF(S1713=0,0,$AD$1694*$AP$1685)</f>
        <v>343.06999999999994</v>
      </c>
      <c r="AA1713">
        <f>IFERROR(Z1713/$R$1694,0)</f>
        <v>11.829999999999998</v>
      </c>
      <c r="AB1713">
        <f>Z1713*($F$21+IF($F$21=0,0,($C$14+$C$15+IF($C$13="single",1.5,3)+3)/12))</f>
        <v>3666.5606249999992</v>
      </c>
      <c r="AC1713">
        <f>AB1713-W1713</f>
        <v>-258341.37569999998</v>
      </c>
      <c r="AD1713" cm="1">
        <f t="array" ref="AD1713">IFERROR(IF(AC1713&lt;0,0,AC1713/($R$1694-INDEX(hd_off,MATCH(AQ1713,hd_mark,0),0)/12)),0)</f>
        <v>0</v>
      </c>
      <c r="AE1713">
        <f>IF(S1713=0,0,$AD$1694*$AM$1685)</f>
        <v>7899.5999999999995</v>
      </c>
      <c r="AF1713">
        <f>IFERROR(AE1713/$R$1694,0)</f>
        <v>272.39999999999998</v>
      </c>
      <c r="AG1713">
        <f>AE1713*($F$21+IF($F$21=0,0,($C$14+$C$15+IF($C$13="single",1.5,3)+3)/12))</f>
        <v>84426.974999999991</v>
      </c>
      <c r="AH1713">
        <f>AG1713-X1713</f>
        <v>-169713.23812500003</v>
      </c>
      <c r="AI1713" cm="1">
        <f t="array" ref="AI1713">IFERROR(IF(AH1713&lt;0,0,AH1713/($R$1694-INDEX(hd_off,MATCH(AQ1713,hd_mark,0),0)/12)),0)</f>
        <v>0</v>
      </c>
      <c r="AJ1713">
        <f>MAX($F$21,$Y$1694)/$Q$1716</f>
        <v>0.30172413793103448</v>
      </c>
      <c r="AK1713">
        <f>IF(AJ1713=0,0,IF(AJ1713&gt;2,1.25-0.125*AJ1713,1))</f>
        <v>1</v>
      </c>
      <c r="AL1713" cm="1">
        <f t="array" ref="AL1713">IFERROR(INDEX(sheath_ecap_asd,MATCH(AP1713,sheath_mark,0),0)*AK1713,0)</f>
        <v>239.85714285714286</v>
      </c>
      <c r="AM1713" cm="1">
        <f t="array" ref="AM1713">IFERROR(INDEX(sheath_wcap_asd,MATCH(AP1713,sheath_mark,0),0)*AK1713,0)</f>
        <v>335.8</v>
      </c>
      <c r="AN1713" cm="1">
        <f t="array" ref="AN1713">IFERROR(INDEX(hd_cap,MATCH(AQ1713,hd_mark,0),0),0)</f>
        <v>0</v>
      </c>
      <c r="AP1713" s="19">
        <v>21</v>
      </c>
      <c r="AQ1713" s="19"/>
      <c r="AR1713" s="100"/>
      <c r="AS1713" s="93"/>
      <c r="AT1713" s="110" t="str">
        <f>$AT$1694</f>
        <v>1.01</v>
      </c>
      <c r="AU1713" t="str">
        <f>$Q$1685</f>
        <v>L2</v>
      </c>
      <c r="AV1713">
        <f>$E$21</f>
        <v>10.6875</v>
      </c>
      <c r="AW1713" cm="1">
        <f t="array" ref="AW1713">IFERROR(IF(AV1713=0,0,(INDEX($C$33:$C$38,MATCH($AZ$1694,$B$33:$B$38,0),0)*(AV1717+$BA$1694)+$AW$1694*COUNTIF(AV1713:AV1716,"&gt;0")*$C$32+$AY$1694*$C$31)*$AU$1694),0)</f>
        <v>30539.71875</v>
      </c>
      <c r="AX1713">
        <f>IF(AV1713=0,0,-(COUNTIF(AV1713:AV1716,"&gt;0")*$AW$1694*$C$32+$AY$1694*$C$31)*$H$27*$AU$1694)</f>
        <v>-363.31199999999995</v>
      </c>
      <c r="AY1713">
        <f>IF(AV1713=0,0,$AY$1694*$H$26*$AU$1694)</f>
        <v>-1328.1999999999998</v>
      </c>
      <c r="AZ1713">
        <f>(0.6*AW1713+0.7*AX1713)*$AU$1694/2</f>
        <v>262007.93632499999</v>
      </c>
      <c r="BA1713">
        <f>(0.6*AW1713+0.6*AY1713)*$AU$1694/2</f>
        <v>254140.21312500001</v>
      </c>
      <c r="BC1713">
        <f>IF(AV1713=0,0,$BG$1694*$AP$1685)</f>
        <v>343.06999999999994</v>
      </c>
      <c r="BD1713">
        <f>IFERROR(BC1713/$AU$1694,0)</f>
        <v>11.829999999999998</v>
      </c>
      <c r="BE1713">
        <f>BC1713*($F$21+IF($F$21=0,0,($C$14+$C$15+IF($C$13="single",1.5,3)+3)/12))</f>
        <v>3666.5606249999992</v>
      </c>
      <c r="BF1713">
        <f>BE1713-AZ1713</f>
        <v>-258341.37569999998</v>
      </c>
      <c r="BG1713" cm="1">
        <f t="array" ref="BG1713">IFERROR(IF(BF1713&lt;0,0,BF1713/($AU$1694-INDEX(hd_off,MATCH(BT1713,hd_mark,0),0)/12)),0)</f>
        <v>0</v>
      </c>
      <c r="BH1713">
        <f>IF(AV1713=0,0,$BG$1694*$AM$1685)</f>
        <v>7899.5999999999995</v>
      </c>
      <c r="BI1713">
        <f>IFERROR(BH1713/$AU$1694,0)</f>
        <v>272.39999999999998</v>
      </c>
      <c r="BJ1713">
        <f>BH1713*($F$21+IF($F$21=0,0,($C$14+$C$15+IF($C$13="single",1.5,3)+3)/12))</f>
        <v>84426.974999999991</v>
      </c>
      <c r="BK1713">
        <f>BJ1713-BA1713</f>
        <v>-169713.23812500003</v>
      </c>
      <c r="BL1713" cm="1">
        <f t="array" ref="BL1713">IFERROR(IF(BK1713&lt;0,0,BK1713/($AU$1694-INDEX(hd_off,MATCH(BT1713,hd_mark,0),0)/12)),0)</f>
        <v>0</v>
      </c>
      <c r="BM1713">
        <f>MAX($F$21,$BB$1694)/$Q$1716</f>
        <v>0.30172413793103448</v>
      </c>
      <c r="BN1713">
        <f>IF(BM1713=0,0,IF(BM1713&gt;2,1.25-0.125*BM1713,1))</f>
        <v>1</v>
      </c>
      <c r="BO1713" cm="1">
        <f t="array" ref="BO1713">IFERROR(INDEX(sheath_ecap_asd,MATCH(BS1713,sheath_mark,0),0)*BN1713,0)</f>
        <v>239.85714285714286</v>
      </c>
      <c r="BP1713" cm="1">
        <f t="array" ref="BP1713">IFERROR(INDEX(sheath_wcap_asd,MATCH(BS1713,sheath_mark,0),0)*BN1713,0)</f>
        <v>335.8</v>
      </c>
      <c r="BQ1713" cm="1">
        <f t="array" ref="BQ1713">IFERROR(INDEX(hd_cap,MATCH(BT1713,hd_mark,0),0),0)</f>
        <v>0</v>
      </c>
      <c r="BS1713" s="19">
        <v>21</v>
      </c>
      <c r="BT1713" s="19"/>
      <c r="BU1713" s="100"/>
    </row>
    <row r="1714" x14ac:dyDescent="0.25">
      <c r="B1714" t="s">
        <v>458</v>
      </c>
      <c r="C1714" s="19">
        <v>27</v>
      </c>
      <c r="D1714" s="19">
        <v>27</v>
      </c>
      <c r="E1714">
        <f t="shared" si="1070"/>
        <v>54</v>
      </c>
      <c r="H1714">
        <v>9</v>
      </c>
      <c r="I1714" s="19">
        <v>30</v>
      </c>
      <c r="J1714" s="19">
        <v>0</v>
      </c>
      <c r="K1714">
        <f t="shared" si="1071"/>
        <v>30</v>
      </c>
      <c r="P1714" s="93"/>
      <c r="Q1714" s="109"/>
      <c r="R1714" t="str">
        <f>$Q$1686</f>
        <v>L3</v>
      </c>
      <c r="S1714">
        <f>$E$22</f>
        <v>21.375</v>
      </c>
      <c r="T1714" cm="1">
        <f t="array" ref="T1714">IFERROR(IF(S1714=0,0,(INDEX($C$33:$C$38,MATCH($W$1694,$B$33:$B$38,0),0)*(S1717+$X$1694)+$T$1694*COUNTIF(S1714:S1716,"&gt;0")*$C$32+$V$1694*$C$31)*$R$1694),0)</f>
        <v>26015.71875</v>
      </c>
      <c r="U1714">
        <f>IF(S1714=0,0,-(COUNTIF(S1714:S1716,"&gt;0")*$T$1694*$C$32+$V$1694*$C$31)*$H$27*$R$1694)</f>
        <v>-200.44799999999998</v>
      </c>
      <c r="V1714">
        <f>IF(S1714=0,0,$V$1694*$H$26*$R$1694)</f>
        <v>-1328.1999999999998</v>
      </c>
      <c r="W1714">
        <f t="shared" ref="W1714:W1716" si="1072">(0.6*T1714+0.7*U1714)*$R$1694/2</f>
        <v>224302.20592500002</v>
      </c>
      <c r="X1714">
        <f>T1714*$R$1694/2</f>
        <v>377227.921875</v>
      </c>
      <c r="Z1714">
        <f>IF(S1714=0,0,$AD$1694*$AP$1686)</f>
        <v>376.565</v>
      </c>
      <c r="AA1714">
        <f>IFERROR(Z1714/$R$1694,0)</f>
        <v>12.984999999999999</v>
      </c>
      <c r="AB1714">
        <f>Z1714*($F$22+IF($F$22=0,0,($C$14+$C$15+IF($C$13="single",1.5,3)+3)/12))</f>
        <v>4024.5384374999999</v>
      </c>
      <c r="AC1714">
        <f>AB1714-W1714</f>
        <v>-220277.6674875</v>
      </c>
      <c r="AD1714" cm="1">
        <f t="array" ref="AD1714">IFERROR(IF(AC1714&lt;0,0,AC1714/($R$1694-INDEX(hd_off,MATCH(AQ1714,hd_mark,0),0)/12)),0)</f>
        <v>0</v>
      </c>
      <c r="AE1714">
        <f>IF(S1714=0,0,$AD$1694*$AM$1686)</f>
        <v>5846.4</v>
      </c>
      <c r="AF1714">
        <f>IFERROR(AE1714/$R$1694,0)</f>
        <v>201.6</v>
      </c>
      <c r="AG1714">
        <f>AE1714*($F$22+IF($F$22=0,0,($C$14+$C$15+IF($C$13="single",1.5,3)+3)/12))</f>
        <v>62483.399999999994</v>
      </c>
      <c r="AH1714">
        <f>AG1714-X1714</f>
        <v>-314744.52187499998</v>
      </c>
      <c r="AI1714" cm="1">
        <f t="array" ref="AI1714">IFERROR(IF(AH1714&lt;0,0,AH1714/($R$1694-INDEX(hd_off,MATCH(AQ1714,hd_mark,0),0)/12)),0)</f>
        <v>0</v>
      </c>
      <c r="AJ1714">
        <f>MAX($F$22,$Z$1694)/$Q$1716</f>
        <v>0.30172413793103448</v>
      </c>
      <c r="AK1714">
        <f t="shared" ref="AK1714:AK1717" si="1073">IF(AJ1714=0,0,IF(AJ1714&gt;2,1.25-0.125*AJ1714,1))</f>
        <v>1</v>
      </c>
      <c r="AL1714" cm="1">
        <f t="array" ref="AL1714">IFERROR(INDEX(sheath_ecap_asd,MATCH(AP1714,sheath_mark,0),0)*AK1714,0)</f>
        <v>239.85714285714286</v>
      </c>
      <c r="AM1714" cm="1">
        <f t="array" ref="AM1714">IFERROR(INDEX(sheath_wcap_asd,MATCH(AP1714,sheath_mark,0),0)*AK1714,0)</f>
        <v>335.8</v>
      </c>
      <c r="AN1714" cm="1">
        <f t="array" ref="AN1714">IFERROR(INDEX(hd_cap,MATCH(AQ1714,hd_mark,0),0),0)</f>
        <v>0</v>
      </c>
      <c r="AP1714" s="19">
        <v>21</v>
      </c>
      <c r="AQ1714" s="19"/>
      <c r="AR1714" s="100"/>
      <c r="AS1714" s="93"/>
      <c r="AT1714" s="109"/>
      <c r="AU1714" t="str">
        <f>$Q$1686</f>
        <v>L3</v>
      </c>
      <c r="AV1714">
        <f>$E$22</f>
        <v>21.375</v>
      </c>
      <c r="AW1714" cm="1">
        <f t="array" ref="AW1714">IFERROR(IF(AV1714=0,0,(INDEX($C$33:$C$38,MATCH($AZ$1694,$B$33:$B$38,0),0)*(AV1717+$BA$1694)+$AW$1694*COUNTIF(AV1714:AV1716,"&gt;0")*$C$32+$AY$1694*$C$31)*$AU$1694),0)</f>
        <v>26015.71875</v>
      </c>
      <c r="AX1714">
        <f>IF(AV1714=0,0,-(COUNTIF(AV1714:AV1716,"&gt;0")*$AW$1694*$C$32+$AY$1694*$C$31)*$H$27*$AU$1694)</f>
        <v>-200.44799999999998</v>
      </c>
      <c r="AY1714">
        <f>IF(AV1714=0,0,$AY$1694*$H$26*$AU$1694)</f>
        <v>-1328.1999999999998</v>
      </c>
      <c r="AZ1714">
        <f>(0.6*AW1714+0.7*AX1714)*$AU$1694/2</f>
        <v>224302.20592500002</v>
      </c>
      <c r="BA1714">
        <f>AW1714*$AU$1694/2</f>
        <v>377227.921875</v>
      </c>
      <c r="BC1714">
        <f>IF(AV1714=0,0,$BG$1694*$AP$1686)</f>
        <v>376.565</v>
      </c>
      <c r="BD1714">
        <f>IFERROR(BC1714/$AU$1694,0)</f>
        <v>12.984999999999999</v>
      </c>
      <c r="BE1714">
        <f>BC1714*($F$22+IF($F$22=0,0,($C$14+$C$15+IF($C$13="single",1.5,3)+3)/12))</f>
        <v>4024.5384374999999</v>
      </c>
      <c r="BF1714">
        <f>BE1714-AZ1714</f>
        <v>-220277.6674875</v>
      </c>
      <c r="BG1714" cm="1">
        <f t="array" ref="BG1714">IFERROR(IF(BF1714&lt;0,0,BF1714/($AU$1694-INDEX(hd_off,MATCH(BT1714,hd_mark,0),0)/12)),0)</f>
        <v>0</v>
      </c>
      <c r="BH1714">
        <f>IF(AV1714=0,0,$BG$1694*$AM$1686)</f>
        <v>5846.4</v>
      </c>
      <c r="BI1714">
        <f>IFERROR(BH1714/$AU$1694,0)</f>
        <v>201.6</v>
      </c>
      <c r="BJ1714">
        <f>BH1714*($F$22+IF($F$22=0,0,($C$14+$C$15+IF($C$13="single",1.5,3)+3)/12))</f>
        <v>62483.399999999994</v>
      </c>
      <c r="BK1714">
        <f>BJ1714-BA1714</f>
        <v>-314744.52187499998</v>
      </c>
      <c r="BL1714" cm="1">
        <f t="array" ref="BL1714">IFERROR(IF(BK1714&lt;0,0,BK1714/($AU$1694-INDEX(hd_off,MATCH(BT1714,hd_mark,0),0)/12)),0)</f>
        <v>0</v>
      </c>
      <c r="BM1714">
        <f>MAX($F$22,$BC$1694)/$Q$1716</f>
        <v>0.30172413793103448</v>
      </c>
      <c r="BN1714">
        <f t="shared" ref="BN1714:BN1717" si="1074">IF(BM1714=0,0,IF(BM1714&gt;2,1.25-0.125*BM1714,1))</f>
        <v>1</v>
      </c>
      <c r="BO1714" cm="1">
        <f t="array" ref="BO1714">IFERROR(INDEX(sheath_ecap_asd,MATCH(BS1714,sheath_mark,0),0)*BN1714,0)</f>
        <v>239.85714285714286</v>
      </c>
      <c r="BP1714" cm="1">
        <f t="array" ref="BP1714">IFERROR(INDEX(sheath_wcap_asd,MATCH(BS1714,sheath_mark,0),0)*BN1714,0)</f>
        <v>335.8</v>
      </c>
      <c r="BQ1714" cm="1">
        <f t="array" ref="BQ1714">IFERROR(INDEX(hd_cap,MATCH(BT1714,hd_mark,0),0),0)</f>
        <v>0</v>
      </c>
      <c r="BS1714" s="19">
        <v>21</v>
      </c>
      <c r="BT1714" s="19"/>
      <c r="BU1714" s="100"/>
    </row>
    <row r="1715" x14ac:dyDescent="0.25">
      <c r="B1715" t="s">
        <v>459</v>
      </c>
      <c r="C1715" s="19">
        <v>27</v>
      </c>
      <c r="D1715" s="19">
        <v>41</v>
      </c>
      <c r="E1715">
        <f t="shared" si="1070"/>
        <v>68</v>
      </c>
      <c r="F1715" t="s">
        <v>506</v>
      </c>
      <c r="H1715">
        <v>10</v>
      </c>
      <c r="I1715" s="19">
        <v>30</v>
      </c>
      <c r="J1715" s="19">
        <v>0</v>
      </c>
      <c r="K1715">
        <f t="shared" si="1071"/>
        <v>30</v>
      </c>
      <c r="P1715" s="93"/>
      <c r="Q1715" s="109" t="s">
        <v>491</v>
      </c>
      <c r="R1715" t="str">
        <f>$Q$1687</f>
        <v>L4</v>
      </c>
      <c r="S1715">
        <f>$E$23</f>
        <v>0</v>
      </c>
      <c r="T1715" cm="1">
        <f t="array" ref="T1715">IFERROR(IF(S1715=0,0,(INDEX($C$33:$C$38,MATCH($W$1694,$B$33:$B$38,0),0)*(S1717+$X$1694)+$T$1694*COUNTIF(S1715:S1716,"&gt;0")*$C$32+$V$1694*$C$31)*$R$1694),0)</f>
        <v>0</v>
      </c>
      <c r="U1715">
        <f>IF(S1715=0,0,-(COUNTIF(S1715:S1716,"&gt;0")*$T$1694*$C$32+$V$1694*$C$31)*$H$27*$R$1694)</f>
        <v>0</v>
      </c>
      <c r="V1715">
        <f>IF(S1715=0,0,$V$1694*$H$26*$R$1694)</f>
        <v>0</v>
      </c>
      <c r="W1715">
        <f t="shared" si="1072"/>
        <v>0</v>
      </c>
      <c r="X1715">
        <f>T1715*$R$1694/2</f>
        <v>0</v>
      </c>
      <c r="Z1715">
        <f>IF(S1715=0,0,$AD$1694*$AP$1687)</f>
        <v>0</v>
      </c>
      <c r="AA1715">
        <f>IFERROR(Z1715/$R$1694,0)</f>
        <v>0</v>
      </c>
      <c r="AB1715">
        <f>Z1715*($F$23+IF($F$23=0,0,($C$14+$C$15+IF($C$13="single",1.5,3)+3)/12))</f>
        <v>0</v>
      </c>
      <c r="AC1715">
        <f>AB1715-W1715</f>
        <v>0</v>
      </c>
      <c r="AD1715" cm="1">
        <f t="array" ref="AD1715">IFERROR(IF(AC1715&lt;0,0,AC1715/($R$1694-INDEX(hd_off,MATCH(AQ1715,hd_mark,0),0)/12)),0)</f>
        <v>0</v>
      </c>
      <c r="AE1715">
        <f>IF(S1715=0,0,$AD$1694*$AM$1687)</f>
        <v>0</v>
      </c>
      <c r="AF1715">
        <f>IFERROR(AE1715/$R$1694,0)</f>
        <v>0</v>
      </c>
      <c r="AG1715">
        <f>AE1715*($F$23+IF($F$23=0,0,($C$14+$C$15+IF($C$13="single",1.5,3)+3)/12))</f>
        <v>0</v>
      </c>
      <c r="AH1715">
        <f>AG1715-X1715</f>
        <v>0</v>
      </c>
      <c r="AI1715" cm="1">
        <f t="array" ref="AI1715">IFERROR(IF(AH1715&lt;0,0,AH1715/($R$1694-INDEX(hd_off,MATCH(AQ1715,hd_mark,0),0)/12)),0)</f>
        <v>0</v>
      </c>
      <c r="AJ1715">
        <f>MAX($F$23,$AA$1694)/$Q$1716</f>
        <v>0</v>
      </c>
      <c r="AK1715">
        <f t="shared" si="1073"/>
        <v>0</v>
      </c>
      <c r="AL1715" cm="1">
        <f t="array" ref="AL1715">IFERROR(INDEX(sheath_ecap_asd,MATCH(AP1715,sheath_mark,0),0)*AK1715,0)</f>
        <v>0</v>
      </c>
      <c r="AM1715" cm="1">
        <f t="array" ref="AM1715">IFERROR(INDEX(sheath_wcap_asd,MATCH(AP1715,sheath_mark,0),0)*AK1715,0)</f>
        <v>0</v>
      </c>
      <c r="AN1715" cm="1">
        <f t="array" ref="AN1715">IFERROR(INDEX(hd_cap,MATCH(AQ1715,hd_mark,0),0),0)</f>
        <v>0</v>
      </c>
      <c r="AP1715" s="19"/>
      <c r="AQ1715" s="19"/>
      <c r="AR1715" s="100"/>
      <c r="AS1715" s="93"/>
      <c r="AT1715" s="109" t="s">
        <v>491</v>
      </c>
      <c r="AU1715" t="str">
        <f>$Q$1687</f>
        <v>L4</v>
      </c>
      <c r="AV1715">
        <f>$E$23</f>
        <v>0</v>
      </c>
      <c r="AW1715" cm="1">
        <f t="array" ref="AW1715">IFERROR(IF(AV1715=0,0,(INDEX($C$33:$C$38,MATCH($AZ$1694,$B$33:$B$38,0),0)*(AV1717+$BA$1694)+$AW$1694*COUNTIF(AV1715:AV1716,"&gt;0")*$C$32+$AY$1694*$C$31)*$AU$1694),0)</f>
        <v>0</v>
      </c>
      <c r="AX1715">
        <f>IF(AV1715=0,0,-(COUNTIF(AV1715:AV1716,"&gt;0")*$AW$1694*$C$32+$AY$1694*$C$31)*$H$27*$AU$1694)</f>
        <v>0</v>
      </c>
      <c r="AY1715">
        <f>IF(AV1715=0,0,$AY$1694*$H$26*$AU$1694)</f>
        <v>0</v>
      </c>
      <c r="AZ1715">
        <f>(0.6*AW1715+0.7*AX1715)*$AU$1694/2</f>
        <v>0</v>
      </c>
      <c r="BA1715">
        <f>AW1715*$AU$1694/2</f>
        <v>0</v>
      </c>
      <c r="BC1715">
        <f>IF(AV1715=0,0,$BG$1694*$AP$1687)</f>
        <v>0</v>
      </c>
      <c r="BD1715">
        <f>IFERROR(BC1715/$AU$1694,0)</f>
        <v>0</v>
      </c>
      <c r="BE1715">
        <f>BC1715*($F$23+IF($F$23=0,0,($C$14+$C$15+IF($C$13="single",1.5,3)+3)/12))</f>
        <v>0</v>
      </c>
      <c r="BF1715">
        <f>BE1715-AZ1715</f>
        <v>0</v>
      </c>
      <c r="BG1715" cm="1">
        <f t="array" ref="BG1715">IFERROR(IF(BF1715&lt;0,0,BF1715/($AU$1694-INDEX(hd_off,MATCH(BT1715,hd_mark,0),0)/12)),0)</f>
        <v>0</v>
      </c>
      <c r="BH1715">
        <f>IF(AV1715=0,0,$BG$1694*$AM$1687)</f>
        <v>0</v>
      </c>
      <c r="BI1715">
        <f>IFERROR(BH1715/$AU$1694,0)</f>
        <v>0</v>
      </c>
      <c r="BJ1715">
        <f>BH1715*($F$23+IF($F$23=0,0,($C$14+$C$15+IF($C$13="single",1.5,3)+3)/12))</f>
        <v>0</v>
      </c>
      <c r="BK1715">
        <f>BJ1715-BA1715</f>
        <v>0</v>
      </c>
      <c r="BL1715" cm="1">
        <f t="array" ref="BL1715">IFERROR(IF(BK1715&lt;0,0,BK1715/($AU$1694-INDEX(hd_off,MATCH(BT1715,hd_mark,0),0)/12)),0)</f>
        <v>0</v>
      </c>
      <c r="BM1715">
        <f>MAX($F$23,$BD$1694)/$Q$1716</f>
        <v>0</v>
      </c>
      <c r="BN1715">
        <f t="shared" si="1074"/>
        <v>0</v>
      </c>
      <c r="BO1715" cm="1">
        <f t="array" ref="BO1715">IFERROR(INDEX(sheath_ecap_asd,MATCH(BS1715,sheath_mark,0),0)*BN1715,0)</f>
        <v>0</v>
      </c>
      <c r="BP1715" cm="1">
        <f t="array" ref="BP1715">IFERROR(INDEX(sheath_wcap_asd,MATCH(BS1715,sheath_mark,0),0)*BN1715,0)</f>
        <v>0</v>
      </c>
      <c r="BQ1715" cm="1">
        <f t="array" ref="BQ1715">IFERROR(INDEX(hd_cap,MATCH(BT1715,hd_mark,0),0),0)</f>
        <v>0</v>
      </c>
      <c r="BS1715" s="19"/>
      <c r="BT1715" s="19"/>
      <c r="BU1715" s="100"/>
    </row>
    <row r="1716" x14ac:dyDescent="0.25">
      <c r="B1716" t="s">
        <v>171</v>
      </c>
      <c r="C1716" s="19">
        <v>0</v>
      </c>
      <c r="D1716" s="19">
        <v>29</v>
      </c>
      <c r="E1716">
        <f t="shared" si="1070"/>
        <v>29</v>
      </c>
      <c r="H1716">
        <v>11</v>
      </c>
      <c r="I1716" s="19">
        <v>0</v>
      </c>
      <c r="J1716" s="19">
        <v>27</v>
      </c>
      <c r="K1716">
        <f t="shared" si="1071"/>
        <v>27</v>
      </c>
      <c r="P1716" s="93"/>
      <c r="Q1716" s="111">
        <f>$R$1694</f>
        <v>29</v>
      </c>
      <c r="R1716" t="str">
        <f>$Q$1688</f>
        <v>L5</v>
      </c>
      <c r="S1716">
        <f>$E$24</f>
        <v>0</v>
      </c>
      <c r="T1716" cm="1">
        <f t="array" ref="T1716">IFERROR(IF(S1716=0,0,(INDEX($C$33:$C$38,MATCH($W$1694,$B$33:$B$38,0),0)*(S1717+$X$1694)+$T$1694*COUNTIF(S1716:S1716,"&gt;0")*$C$32+$V$1694*$C$31)*$R$1694),0)</f>
        <v>0</v>
      </c>
      <c r="U1716">
        <f>IF(S1716=0,0,-(COUNTIF(S1716:S1716,"&gt;0")*$T$1694*$C$32+$V$1694*$C$31)*$H$27*$R$1694)</f>
        <v>0</v>
      </c>
      <c r="V1716">
        <f>IF(S1716=0,0,$V$1694*$H$26*$R$1694)</f>
        <v>0</v>
      </c>
      <c r="W1716">
        <f t="shared" si="1072"/>
        <v>0</v>
      </c>
      <c r="X1716">
        <f>T1716*$R$1694/2</f>
        <v>0</v>
      </c>
      <c r="Z1716">
        <f>IF(S1716=0,0,$AD$1694*$AP$1688)</f>
        <v>0</v>
      </c>
      <c r="AA1716">
        <f>IFERROR(Z1716/$R$1694,0)</f>
        <v>0</v>
      </c>
      <c r="AB1716">
        <f>Z1716*($F$24+IF($F$24=0,0,($C$14+$C$15+IF($C$13="single",1.5,3)+3)/12))</f>
        <v>0</v>
      </c>
      <c r="AC1716">
        <f>AB1716-W1716</f>
        <v>0</v>
      </c>
      <c r="AD1716" cm="1">
        <f t="array" ref="AD1716">IFERROR(IF(AC1716&lt;0,0,AC1716/($R$1694-INDEX(hd_off,MATCH(AQ1716,hd_mark,0),0)/12)),0)</f>
        <v>0</v>
      </c>
      <c r="AE1716">
        <f>IF(S1716=0,0,$AD$1694*$AM$1688)</f>
        <v>0</v>
      </c>
      <c r="AF1716">
        <f>IFERROR(AE1716/$R$1694,0)</f>
        <v>0</v>
      </c>
      <c r="AG1716">
        <f>AE1716*($F$24+IF($F$24=0,0,($C$14+$C$15+IF($C$13="single",1.5,3)+3)/12))</f>
        <v>0</v>
      </c>
      <c r="AH1716">
        <f>AG1716-X1716</f>
        <v>0</v>
      </c>
      <c r="AI1716" cm="1">
        <f t="array" ref="AI1716">IFERROR(IF(AH1716&lt;0,0,AH1716/($R$1694-INDEX(hd_off,MATCH(AQ1716,hd_mark,0),0)/12)),0)</f>
        <v>0</v>
      </c>
      <c r="AJ1716">
        <f>MAX($F$24,$AB$1694)/$Q$1716</f>
        <v>0</v>
      </c>
      <c r="AK1716">
        <f t="shared" si="1073"/>
        <v>0</v>
      </c>
      <c r="AL1716" cm="1">
        <f t="array" ref="AL1716">IFERROR(INDEX(sheath_ecap_asd,MATCH(AP1716,sheath_mark,0),0)*AK1716,0)</f>
        <v>0</v>
      </c>
      <c r="AM1716" cm="1">
        <f t="array" ref="AM1716">IFERROR(INDEX(sheath_wcap_asd,MATCH(AP1716,sheath_mark,0),0)*AK1716,0)</f>
        <v>0</v>
      </c>
      <c r="AN1716" cm="1">
        <f t="array" ref="AN1716">IFERROR(INDEX(hd_cap,MATCH(AQ1716,hd_mark,0),0),0)</f>
        <v>0</v>
      </c>
      <c r="AP1716" s="19"/>
      <c r="AQ1716" s="19"/>
      <c r="AR1716" s="100"/>
      <c r="AS1716" s="93"/>
      <c r="AT1716" s="111">
        <f>$R$1694</f>
        <v>29</v>
      </c>
      <c r="AU1716" t="str">
        <f>$Q$1688</f>
        <v>L5</v>
      </c>
      <c r="AV1716">
        <f>$E$24</f>
        <v>0</v>
      </c>
      <c r="AW1716" cm="1">
        <f t="array" ref="AW1716">IFERROR(IF(AV1716=0,0,(INDEX($C$33:$C$38,MATCH($AZ$1694,$B$33:$B$38,0),0)*(AV1717+$BA$1694)+$AW$1694*COUNTIF(AV1716:AV1716,"&gt;0")*$C$32+$AY$1694*$C$31)*$AU$1694),0)</f>
        <v>0</v>
      </c>
      <c r="AX1716">
        <f>IF(AV1716=0,0,-(COUNTIF(AV1716:AV1716,"&gt;0")*$AW$1694*$C$32+$AY$1694*$C$31)*$H$27*$AU$1694)</f>
        <v>0</v>
      </c>
      <c r="AY1716">
        <f>IF(AV1716=0,0,$AY$1694*$H$26*$AU$1694)</f>
        <v>0</v>
      </c>
      <c r="AZ1716">
        <f>(0.6*AW1716+0.7*AX1716)*$AU$1694/2</f>
        <v>0</v>
      </c>
      <c r="BA1716">
        <f>AW1716*$AU$1694/2</f>
        <v>0</v>
      </c>
      <c r="BC1716">
        <f>IF(AV1716=0,0,$BG$1694*$AP$1688)</f>
        <v>0</v>
      </c>
      <c r="BD1716">
        <f>IFERROR(BC1716/$AU$1694,0)</f>
        <v>0</v>
      </c>
      <c r="BE1716">
        <f>BC1716*($F$24+IF($F$24=0,0,($C$14+$C$15+IF($C$13="single",1.5,3)+3)/12))</f>
        <v>0</v>
      </c>
      <c r="BF1716">
        <f>BE1716-AZ1716</f>
        <v>0</v>
      </c>
      <c r="BG1716" cm="1">
        <f t="array" ref="BG1716">IFERROR(IF(BF1716&lt;0,0,BF1716/($AU$1694-INDEX(hd_off,MATCH(BT1716,hd_mark,0),0)/12)),0)</f>
        <v>0</v>
      </c>
      <c r="BH1716">
        <f>IF(AV1716=0,0,$BG$1694*$AM$1688)</f>
        <v>0</v>
      </c>
      <c r="BI1716">
        <f>IFERROR(BH1716/$AU$1694,0)</f>
        <v>0</v>
      </c>
      <c r="BJ1716">
        <f>BH1716*($F$24+IF($F$24=0,0,($C$14+$C$15+IF($C$13="single",1.5,3)+3)/12))</f>
        <v>0</v>
      </c>
      <c r="BK1716">
        <f>BJ1716-BA1716</f>
        <v>0</v>
      </c>
      <c r="BL1716" cm="1">
        <f t="array" ref="BL1716">IFERROR(IF(BK1716&lt;0,0,BK1716/($AU$1694-INDEX(hd_off,MATCH(BT1716,hd_mark,0),0)/12)),0)</f>
        <v>0</v>
      </c>
      <c r="BM1716">
        <f>MAX($F$24,$BE$1694)/$Q$1716</f>
        <v>0</v>
      </c>
      <c r="BN1716">
        <f t="shared" si="1074"/>
        <v>0</v>
      </c>
      <c r="BO1716" cm="1">
        <f t="array" ref="BO1716">IFERROR(INDEX(sheath_ecap_asd,MATCH(BS1716,sheath_mark,0),0)*BN1716,0)</f>
        <v>0</v>
      </c>
      <c r="BP1716" cm="1">
        <f t="array" ref="BP1716">IFERROR(INDEX(sheath_wcap_asd,MATCH(BS1716,sheath_mark,0),0)*BN1716,0)</f>
        <v>0</v>
      </c>
      <c r="BQ1716" cm="1">
        <f t="array" ref="BQ1716">IFERROR(INDEX(hd_cap,MATCH(BT1716,hd_mark,0),0),0)</f>
        <v>0</v>
      </c>
      <c r="BS1716" s="19"/>
      <c r="BT1716" s="19"/>
      <c r="BU1716" s="100"/>
    </row>
    <row r="1717" x14ac:dyDescent="0.25">
      <c r="B1717" t="s">
        <v>460</v>
      </c>
      <c r="C1717" s="19">
        <v>29</v>
      </c>
      <c r="D1717" s="19">
        <v>6</v>
      </c>
      <c r="E1717">
        <f t="shared" si="1070"/>
        <v>35</v>
      </c>
      <c r="H1717">
        <v>12</v>
      </c>
      <c r="I1717" s="19">
        <v>27</v>
      </c>
      <c r="J1717" s="19">
        <v>14</v>
      </c>
      <c r="K1717">
        <f t="shared" si="1071"/>
        <v>41</v>
      </c>
      <c r="P1717" s="93"/>
      <c r="Q1717" s="109"/>
      <c r="R1717" t="str">
        <f>$Q$1689</f>
        <v>Roof</v>
      </c>
      <c r="S1717">
        <f>$E$25</f>
        <v>33.171875</v>
      </c>
      <c r="T1717" cm="1">
        <f t="array" ref="T1717">IFERROR(IF(S1717=0,0,(INDEX($C$33:$C$38,MATCH($W$1694,$B$33:$B$38,0),0)*(S1717+$X$1694)+$V$1694*$C$31)*$R$1694),0)</f>
        <v>21491.71875</v>
      </c>
      <c r="U1717">
        <f>IF(S1717=0,0,-$V$1694*$C$31*$H$27*$R$1694)</f>
        <v>-37.583999999999996</v>
      </c>
      <c r="V1717">
        <f>IF(S1717=0,0,$V$1694*$H$26*$R$1694)</f>
        <v>-1328.1999999999998</v>
      </c>
      <c r="W1717">
        <f>(0.6*T1717+0.7*U1717)*$R$1694/2</f>
        <v>186596.47552499999</v>
      </c>
      <c r="X1717">
        <f>T1717*$R$1694/2</f>
        <v>311629.921875</v>
      </c>
      <c r="Z1717">
        <f>IF(S1717=0,0,$AD$1694*$AP$1689)</f>
        <v>191.83499999999995</v>
      </c>
      <c r="AA1717">
        <f>IFERROR(Z1717/$R$1694,0)</f>
        <v>6.6149999999999984</v>
      </c>
      <c r="AB1717">
        <f>Z1717*($F$25+($C$16+$C$17+IF($C$13="single",1.5,3)+3)/12)</f>
        <v>2263.0535156249989</v>
      </c>
      <c r="AC1717">
        <f>AB1717-W1717</f>
        <v>-184333.42200937498</v>
      </c>
      <c r="AD1717" cm="1">
        <f t="array" ref="AD1717">IFERROR(IF(AC1717&lt;0,0,AC1717/($R$1694-INDEX(hd_off,MATCH(AQ1717,hd_mark,0),0)/12)),0)</f>
        <v>0</v>
      </c>
      <c r="AE1717">
        <f>IF(S1717=0,0,$AD$1694*$AM$1689)</f>
        <v>3854.1</v>
      </c>
      <c r="AF1717">
        <f>IFERROR(AE1717/$R$1694,0)</f>
        <v>132.9</v>
      </c>
      <c r="AG1717">
        <f>AE1717*($F$25+($C$16+$C$17+IF($C$13="single",1.5,3)+3)/12)</f>
        <v>45466.335937499993</v>
      </c>
      <c r="AH1717">
        <f>AG1717-X1717</f>
        <v>-266163.5859375</v>
      </c>
      <c r="AI1717" cm="1">
        <f t="array" ref="AI1717">IFERROR(IF(AH1717&lt;0,0,AH1717/($R$1694-INDEX(hd_off,MATCH(AQ1717,hd_mark,0),0)/12)),0)</f>
        <v>0</v>
      </c>
      <c r="AJ1717">
        <f>MAX($F$25,$AC$1694)/$Q$1716</f>
        <v>0.29920977011494249</v>
      </c>
      <c r="AK1717">
        <f t="shared" si="1073"/>
        <v>1</v>
      </c>
      <c r="AL1717" cm="1">
        <f t="array" ref="AL1717">IFERROR(INDEX(sheath_ecap_asd,MATCH(AP1717,sheath_mark,0),0)*AK1717,0)</f>
        <v>95.285714285714306</v>
      </c>
      <c r="AM1717" cm="1">
        <f t="array" ref="AM1717">IFERROR(INDEX(sheath_wcap_asd,MATCH(AP1717,sheath_mark,0),0)*AK1717,0)</f>
        <v>133.4</v>
      </c>
      <c r="AN1717" cm="1">
        <f t="array" ref="AN1717">IFERROR(INDEX(hd_cap,MATCH(AQ1717,hd_mark,0),0),0)</f>
        <v>0</v>
      </c>
      <c r="AP1717" s="19">
        <v>11</v>
      </c>
      <c r="AQ1717" s="19"/>
      <c r="AR1717" s="100"/>
      <c r="AS1717" s="93"/>
      <c r="AT1717" s="109"/>
      <c r="AU1717" t="str">
        <f>$Q$1689</f>
        <v>Roof</v>
      </c>
      <c r="AV1717">
        <f>$E$25</f>
        <v>33.171875</v>
      </c>
      <c r="AW1717" cm="1">
        <f t="array" ref="AW1717">IFERROR(IF(AV1717=0,0,(INDEX($C$33:$C$38,MATCH($AZ$1694,$B$33:$B$38,0),0)*(AV1717+$BA$1694)+$AY$1694*$C$31)*$AU$1694),0)</f>
        <v>21491.71875</v>
      </c>
      <c r="AX1717">
        <f>IF(AV1717=0,0,-$AY$1694*$C$31*$H$27*$AU$1694)</f>
        <v>-37.583999999999996</v>
      </c>
      <c r="AY1717">
        <f>IF(AV1717=0,0,$AY$1694*$H$26*$AU$1694)</f>
        <v>-1328.1999999999998</v>
      </c>
      <c r="AZ1717">
        <f>(0.6*AW1717+0.7*AX1717)*$AU$1694/2</f>
        <v>186596.47552499999</v>
      </c>
      <c r="BA1717">
        <f>AW1717*$AU$1694/2</f>
        <v>311629.921875</v>
      </c>
      <c r="BC1717">
        <f>IF(AV1717=0,0,$BG$1694*$AP$1689)</f>
        <v>191.83499999999995</v>
      </c>
      <c r="BD1717">
        <f>IFERROR(BC1717/$AU$1694,0)</f>
        <v>6.6149999999999984</v>
      </c>
      <c r="BE1717">
        <f>BC1717*($F$25+($C$16+$C$17+IF($C$13="single",1.5,3)+3)/12)</f>
        <v>2263.0535156249989</v>
      </c>
      <c r="BF1717">
        <f>BE1717-AZ1717</f>
        <v>-184333.42200937498</v>
      </c>
      <c r="BG1717" cm="1">
        <f t="array" ref="BG1717">IFERROR(IF(BF1717&lt;0,0,BF1717/($AU$1694-INDEX(hd_off,MATCH(BT1717,hd_mark,0),0)/12)),0)</f>
        <v>0</v>
      </c>
      <c r="BH1717">
        <f>IF(AV1717=0,0,$BG$1694*$AM$1689)</f>
        <v>3854.1</v>
      </c>
      <c r="BI1717">
        <f>IFERROR(BH1717/$AU$1694,0)</f>
        <v>132.9</v>
      </c>
      <c r="BJ1717">
        <f>BH1717*($F$25+($C$16+$C$17+IF($C$13="single",1.5,3)+3)/12)</f>
        <v>45466.335937499993</v>
      </c>
      <c r="BK1717">
        <f>BJ1717-BA1717</f>
        <v>-266163.5859375</v>
      </c>
      <c r="BL1717" cm="1">
        <f t="array" ref="BL1717">IFERROR(IF(BK1717&lt;0,0,BK1717/($AU$1694-INDEX(hd_off,MATCH(BT1717,hd_mark,0),0)/12)),0)</f>
        <v>0</v>
      </c>
      <c r="BM1717">
        <f>MAX($F$25,$BF$1694)/$Q$1716</f>
        <v>0.29920977011494249</v>
      </c>
      <c r="BN1717">
        <f t="shared" si="1074"/>
        <v>1</v>
      </c>
      <c r="BO1717" cm="1">
        <f t="array" ref="BO1717">IFERROR(INDEX(sheath_ecap_asd,MATCH(BS1717,sheath_mark,0),0)*BN1717,0)</f>
        <v>95.285714285714306</v>
      </c>
      <c r="BP1717" cm="1">
        <f t="array" ref="BP1717">IFERROR(INDEX(sheath_wcap_asd,MATCH(BS1717,sheath_mark,0),0)*BN1717,0)</f>
        <v>133.4</v>
      </c>
      <c r="BQ1717" cm="1">
        <f t="array" ref="BQ1717">IFERROR(INDEX(hd_cap,MATCH(BT1717,hd_mark,0),0),0)</f>
        <v>0</v>
      </c>
      <c r="BS1717" s="19">
        <v>11</v>
      </c>
      <c r="BT1717" s="19"/>
      <c r="BU1717" s="100"/>
    </row>
    <row r="1718" x14ac:dyDescent="0.25">
      <c r="B1718" t="s">
        <v>461</v>
      </c>
      <c r="C1718" s="19">
        <v>6</v>
      </c>
      <c r="D1718" s="19">
        <v>29</v>
      </c>
      <c r="E1718">
        <f t="shared" si="1070"/>
        <v>35</v>
      </c>
      <c r="H1718">
        <v>13</v>
      </c>
      <c r="I1718" s="19">
        <v>14</v>
      </c>
      <c r="J1718" s="19">
        <v>12</v>
      </c>
      <c r="K1718">
        <f t="shared" si="1071"/>
        <v>26</v>
      </c>
      <c r="P1718" s="93"/>
      <c r="Q1718" s="109"/>
      <c r="AR1718" s="100"/>
      <c r="AS1718" s="93"/>
      <c r="AT1718" s="109"/>
      <c r="BU1718" s="100"/>
    </row>
    <row r="1719" x14ac:dyDescent="0.25">
      <c r="B1719" t="s">
        <v>462</v>
      </c>
      <c r="C1719" s="19">
        <v>29</v>
      </c>
      <c r="D1719" s="19">
        <v>0</v>
      </c>
      <c r="E1719">
        <f t="shared" si="1070"/>
        <v>29</v>
      </c>
      <c r="H1719">
        <v>14</v>
      </c>
      <c r="I1719" s="19">
        <v>12</v>
      </c>
      <c r="J1719" s="19">
        <v>27</v>
      </c>
      <c r="K1719">
        <f t="shared" si="1071"/>
        <v>39</v>
      </c>
      <c r="P1719" s="93"/>
      <c r="Q1719" s="110" t="str">
        <f>$Q$1695</f>
        <v>A.02</v>
      </c>
      <c r="R1719" t="str">
        <f>$Q$1685</f>
        <v>L2</v>
      </c>
      <c r="S1719">
        <f>$E$21</f>
        <v>10.6875</v>
      </c>
      <c r="T1719" cm="1">
        <f t="array" ref="T1719">IFERROR(IF(S1719=0,0,(INDEX($C$33:$C$38,MATCH($W$1695,$B$33:$B$38,0),0)*(S1723+$X$1695)+$T$1695*COUNTIF(S1719:S1722,"&gt;0")*$C$32+$V$1695*$C$31)*$R$1695),0)</f>
        <v>0</v>
      </c>
      <c r="U1719">
        <f>IF(S1719=0,0,-(COUNTIF(S1719:S1722,"&gt;0")*$T$1695*$C$32+$V$1695*$C$31)*$H$27*$R$1695)</f>
        <v>0</v>
      </c>
      <c r="V1719">
        <f>IF(S1719=0,0,$V$1695*$H$26*$R$1695)</f>
        <v>0</v>
      </c>
      <c r="W1719">
        <f>(0.6*T1719+0.7*U1719)*$R$1695/2</f>
        <v>0</v>
      </c>
      <c r="X1719">
        <f>(0.6*T1719+0.6*V1719)*$R$1695/2</f>
        <v>0</v>
      </c>
      <c r="Z1719">
        <f>IF(S1719=0,0,$AD$1695*$AP$1685)</f>
        <v>0</v>
      </c>
      <c r="AA1719">
        <f>IFERROR(Z1719/$R$1695,0)</f>
        <v>0</v>
      </c>
      <c r="AB1719">
        <f>Z1719*($F$21+IF($F$21=0,0,($C$14+$C$15+IF($C$13="single",1.5,3)+3)/12))</f>
        <v>0</v>
      </c>
      <c r="AC1719">
        <f>AB1719-W1719</f>
        <v>0</v>
      </c>
      <c r="AD1719" cm="1">
        <f t="array" ref="AD1719">IFERROR(IF(AC1719&lt;0,0,AC1719/($R$1695-INDEX(hd_off,MATCH(AQ1719,hd_mark,0),0)/12)),0)</f>
        <v>0</v>
      </c>
      <c r="AE1719">
        <f>IF(S1719=0,0,$AD$1695*$AM$1685)</f>
        <v>0</v>
      </c>
      <c r="AF1719">
        <f>IFERROR(AE1719/$R$1695,0)</f>
        <v>0</v>
      </c>
      <c r="AG1719">
        <f>AE1719*($F$21+IF($F$21=0,0,($C$14+$C$15+IF($C$13="single",1.5,3)+3)/12))</f>
        <v>0</v>
      </c>
      <c r="AH1719">
        <f>AG1719-X1719</f>
        <v>0</v>
      </c>
      <c r="AI1719" cm="1">
        <f t="array" ref="AI1719">IFERROR(IF(AH1719&lt;0,0,AH1719/($R$1695-INDEX(hd_off,MATCH(AQ1719,hd_mark,0),0)/12)),0)</f>
        <v>0</v>
      </c>
      <c r="AJ1719">
        <f>MAX($F$21,$Y$1695)/$Q$1716</f>
        <v>0.30172413793103448</v>
      </c>
      <c r="AK1719">
        <f>IF(AJ1719=0,0,IF(AJ1719&gt;2,1.25-0.125*AJ1719,1))</f>
        <v>1</v>
      </c>
      <c r="AL1719" cm="1">
        <f t="array" ref="AL1719">IFERROR(INDEX(sheath_ecap_asd,MATCH(AP1719,sheath_mark,0),0)*AK1719,0)</f>
        <v>0</v>
      </c>
      <c r="AM1719" cm="1">
        <f t="array" ref="AM1719">IFERROR(INDEX(sheath_wcap_asd,MATCH(AP1719,sheath_mark,0),0)*AK1719,0)</f>
        <v>0</v>
      </c>
      <c r="AN1719" cm="1">
        <f t="array" ref="AN1719">IFERROR(INDEX(hd_cap,MATCH(AQ1719,hd_mark,0),0),0)</f>
        <v>0</v>
      </c>
      <c r="AP1719" s="19"/>
      <c r="AQ1719" s="19"/>
      <c r="AR1719" s="100"/>
      <c r="AS1719" s="93"/>
      <c r="AT1719" s="110" t="str">
        <f>$AT$1695</f>
        <v>1.02</v>
      </c>
      <c r="AU1719" t="str">
        <f>$Q$1685</f>
        <v>L2</v>
      </c>
      <c r="AV1719">
        <f>$E$21</f>
        <v>10.6875</v>
      </c>
      <c r="AW1719" cm="1">
        <f t="array" ref="AW1719">IFERROR(IF(AV1719=0,0,(INDEX($C$33:$C$38,MATCH($AZ$1695,$B$33:$B$38,0),0)*(AV1723+$BA$1695)+$AW$1695*COUNTIF(AV1719:AV1722,"&gt;0")*$C$32+$AY$1695*$C$31)*$AU$1695),0)</f>
        <v>0</v>
      </c>
      <c r="AX1719">
        <f>IF(AV1719=0,0,-(COUNTIF(AV1719:AV1722,"&gt;0")*$AW$1695*$C$32+$AY$1695*$C$31)*$H$27*$AU$1695)</f>
        <v>0</v>
      </c>
      <c r="AY1719">
        <f>IF(AV1719=0,0,$AY$1695*$H$26*$AU$1695)</f>
        <v>0</v>
      </c>
      <c r="AZ1719">
        <f>(0.6*AW1719+0.7*AX1719)*$AU$1695/2</f>
        <v>0</v>
      </c>
      <c r="BA1719">
        <f>(0.6*AW1719+0.6*AY1719)*$AU$1695/2</f>
        <v>0</v>
      </c>
      <c r="BC1719">
        <f>IF(AV1719=0,0,$BG$1695*$AP$1685)</f>
        <v>0</v>
      </c>
      <c r="BD1719">
        <f>IFERROR(BC1719/$AU$1695,0)</f>
        <v>0</v>
      </c>
      <c r="BE1719">
        <f>BC1719*($F$21+IF($F$21=0,0,($C$14+$C$15+IF($C$13="single",1.5,3)+3)/12))</f>
        <v>0</v>
      </c>
      <c r="BF1719">
        <f>BE1719-AZ1719</f>
        <v>0</v>
      </c>
      <c r="BG1719" cm="1">
        <f t="array" ref="BG1719">IFERROR(IF(BF1719&lt;0,0,BF1719/($AU$1695-INDEX(hd_off,MATCH(BT1719,hd_mark,0),0)/12)),0)</f>
        <v>0</v>
      </c>
      <c r="BH1719">
        <f>IF(AV1719=0,0,$BG$1695*$AM$1685)</f>
        <v>0</v>
      </c>
      <c r="BI1719">
        <f>IFERROR(BH1719/$AU$1695,0)</f>
        <v>0</v>
      </c>
      <c r="BJ1719">
        <f>BH1719*($F$21+IF($F$21=0,0,($C$14+$C$15+IF($C$13="single",1.5,3)+3)/12))</f>
        <v>0</v>
      </c>
      <c r="BK1719">
        <f>BJ1719-BA1719</f>
        <v>0</v>
      </c>
      <c r="BL1719" cm="1">
        <f t="array" ref="BL1719">IFERROR(IF(BK1719&lt;0,0,BK1719/($AU$1695-INDEX(hd_off,MATCH(BT1719,hd_mark,0),0)/12)),0)</f>
        <v>0</v>
      </c>
      <c r="BM1719">
        <f>MAX($F$21,$BB$1695)/$Q$1716</f>
        <v>0.30172413793103448</v>
      </c>
      <c r="BN1719">
        <f>IF(BM1719=0,0,IF(BM1719&gt;2,1.25-0.125*BM1719,1))</f>
        <v>1</v>
      </c>
      <c r="BO1719" cm="1">
        <f t="array" ref="BO1719">IFERROR(INDEX(sheath_ecap_asd,MATCH(BS1719,sheath_mark,0),0)*BN1719,0)</f>
        <v>0</v>
      </c>
      <c r="BP1719" cm="1">
        <f t="array" ref="BP1719">IFERROR(INDEX(sheath_wcap_asd,MATCH(BS1719,sheath_mark,0),0)*BN1719,0)</f>
        <v>0</v>
      </c>
      <c r="BQ1719" cm="1">
        <f t="array" ref="BQ1719">IFERROR(INDEX(hd_cap,MATCH(BT1719,hd_mark,0),0),0)</f>
        <v>0</v>
      </c>
      <c r="BS1719" s="19"/>
      <c r="BT1719" s="19"/>
      <c r="BU1719" s="100"/>
    </row>
    <row r="1720" x14ac:dyDescent="0.25">
      <c r="B1720" t="s">
        <v>463</v>
      </c>
      <c r="C1720" s="19"/>
      <c r="D1720" s="19"/>
      <c r="E1720">
        <f t="shared" si="1070"/>
        <v>0</v>
      </c>
      <c r="H1720">
        <v>15</v>
      </c>
      <c r="I1720" s="19">
        <v>27</v>
      </c>
      <c r="J1720" s="19">
        <v>18</v>
      </c>
      <c r="K1720">
        <f t="shared" si="1071"/>
        <v>45</v>
      </c>
      <c r="P1720" s="93"/>
      <c r="Q1720" s="109"/>
      <c r="R1720" t="str">
        <f>$Q$1686</f>
        <v>L3</v>
      </c>
      <c r="S1720">
        <f>$E$22</f>
        <v>21.375</v>
      </c>
      <c r="T1720" cm="1">
        <f t="array" ref="T1720">IFERROR(IF(S1720=0,0,(INDEX($C$33:$C$38,MATCH($W$1695,$B$33:$B$38,0),0)*(S1723+$X$1695)+$T$1695*COUNTIF(S1720:S1722,"&gt;0")*$C$32+$V$1695*$C$31)*$R$1695),0)</f>
        <v>0</v>
      </c>
      <c r="U1720">
        <f>IF(S1720=0,0,-(COUNTIF(S1720:S1722,"&gt;0")*$T$1695*$C$32+$V$1695*$C$31)*$H$27*$R$1695)</f>
        <v>0</v>
      </c>
      <c r="V1720">
        <f>IF(S1720=0,0,$V$1695*$H$26*$R$1695)</f>
        <v>0</v>
      </c>
      <c r="W1720">
        <f>(0.6*T1720+0.7*U1720)*$R$1695/2</f>
        <v>0</v>
      </c>
      <c r="X1720">
        <f>T1720*$R$1695/2</f>
        <v>0</v>
      </c>
      <c r="Z1720">
        <f>IF(S1720=0,0,$AD$1695*$AP$1686)</f>
        <v>0</v>
      </c>
      <c r="AA1720">
        <f>IFERROR(Z1720/$R$1695,0)</f>
        <v>0</v>
      </c>
      <c r="AB1720">
        <f>Z1720*($F$22+IF($F$22=0,0,($C$14+$C$15+IF($C$13="single",1.5,3)+3)/12))</f>
        <v>0</v>
      </c>
      <c r="AC1720">
        <f>AB1720-W1720</f>
        <v>0</v>
      </c>
      <c r="AD1720" cm="1">
        <f t="array" ref="AD1720">IFERROR(IF(AC1720&lt;0,0,AC1720/($R$1695-INDEX(hd_off,MATCH(AQ1720,hd_mark,0),0)/12)),0)</f>
        <v>0</v>
      </c>
      <c r="AE1720">
        <f>IF(S1720=0,0,$AD$1695*$AM$1686)</f>
        <v>0</v>
      </c>
      <c r="AF1720">
        <f>IFERROR(AE1720/$R$1695,0)</f>
        <v>0</v>
      </c>
      <c r="AG1720">
        <f>AE1720*($F$22+IF($F$22=0,0,($C$14+$C$15+IF($C$13="single",1.5,3)+3)/12))</f>
        <v>0</v>
      </c>
      <c r="AH1720">
        <f>AG1720-X1720</f>
        <v>0</v>
      </c>
      <c r="AI1720" cm="1">
        <f t="array" ref="AI1720">IFERROR(IF(AH1720&lt;0,0,AH1720/($R$1695-INDEX(hd_off,MATCH(AQ1720,hd_mark,0),0)/12)),0)</f>
        <v>0</v>
      </c>
      <c r="AJ1720">
        <f>MAX($F$22,$Z$1695)/$Q$1716</f>
        <v>0.30172413793103448</v>
      </c>
      <c r="AK1720">
        <f t="shared" ref="AK1720:AK1723" si="1075">IF(AJ1720=0,0,IF(AJ1720&gt;2,1.25-0.125*AJ1720,1))</f>
        <v>1</v>
      </c>
      <c r="AL1720" cm="1">
        <f t="array" ref="AL1720">IFERROR(INDEX(sheath_ecap_asd,MATCH(AP1720,sheath_mark,0),0)*AK1720,0)</f>
        <v>0</v>
      </c>
      <c r="AM1720" cm="1">
        <f t="array" ref="AM1720">IFERROR(INDEX(sheath_wcap_asd,MATCH(AP1720,sheath_mark,0),0)*AK1720,0)</f>
        <v>0</v>
      </c>
      <c r="AN1720" cm="1">
        <f t="array" ref="AN1720">IFERROR(INDEX(hd_cap,MATCH(AQ1720,hd_mark,0),0),0)</f>
        <v>0</v>
      </c>
      <c r="AP1720" s="19"/>
      <c r="AQ1720" s="19"/>
      <c r="AR1720" s="100"/>
      <c r="AS1720" s="93"/>
      <c r="AT1720" s="109"/>
      <c r="AU1720" t="str">
        <f>$Q$1686</f>
        <v>L3</v>
      </c>
      <c r="AV1720">
        <f>$E$22</f>
        <v>21.375</v>
      </c>
      <c r="AW1720" cm="1">
        <f t="array" ref="AW1720">IFERROR(IF(AV1720=0,0,(INDEX($C$33:$C$38,MATCH($AZ$1695,$B$33:$B$38,0),0)*(AV1723+$BA$1695)+$AW$1695*COUNTIF(AV1720:AV1722,"&gt;0")*$C$32+$AY$1695*$C$31)*$AU$1695),0)</f>
        <v>0</v>
      </c>
      <c r="AX1720">
        <f>IF(AV1720=0,0,-(COUNTIF(AV1720:AV1722,"&gt;0")*$AW$1695*$C$32+$AY$1695*$C$31)*$H$27*$AU$1695)</f>
        <v>0</v>
      </c>
      <c r="AY1720">
        <f>IF(AV1720=0,0,$AY$1695*$H$26*$AU$1695)</f>
        <v>0</v>
      </c>
      <c r="AZ1720">
        <f>(0.6*AW1720+0.7*AX1720)*$AU$1695/2</f>
        <v>0</v>
      </c>
      <c r="BA1720">
        <f>AW1720*$AU$1695/2</f>
        <v>0</v>
      </c>
      <c r="BC1720">
        <f>IF(AV1720=0,0,$BG$1695*$AP$1686)</f>
        <v>0</v>
      </c>
      <c r="BD1720">
        <f>IFERROR(BC1720/$AU$1695,0)</f>
        <v>0</v>
      </c>
      <c r="BE1720">
        <f>BC1720*($F$22+IF($F$22=0,0,($C$14+$C$15+IF($C$13="single",1.5,3)+3)/12))</f>
        <v>0</v>
      </c>
      <c r="BF1720">
        <f>BE1720-AZ1720</f>
        <v>0</v>
      </c>
      <c r="BG1720" cm="1">
        <f t="array" ref="BG1720">IFERROR(IF(BF1720&lt;0,0,BF1720/($AU$1695-INDEX(hd_off,MATCH(BT1720,hd_mark,0),0)/12)),0)</f>
        <v>0</v>
      </c>
      <c r="BH1720">
        <f>IF(AV1720=0,0,$BG$1695*$AM$1686)</f>
        <v>0</v>
      </c>
      <c r="BI1720">
        <f>IFERROR(BH1720/$AU$1695,0)</f>
        <v>0</v>
      </c>
      <c r="BJ1720">
        <f>BH1720*($F$22+IF($F$22=0,0,($C$14+$C$15+IF($C$13="single",1.5,3)+3)/12))</f>
        <v>0</v>
      </c>
      <c r="BK1720">
        <f>BJ1720-BA1720</f>
        <v>0</v>
      </c>
      <c r="BL1720" cm="1">
        <f t="array" ref="BL1720">IFERROR(IF(BK1720&lt;0,0,BK1720/($AU$1695-INDEX(hd_off,MATCH(BT1720,hd_mark,0),0)/12)),0)</f>
        <v>0</v>
      </c>
      <c r="BM1720">
        <f>MAX($F$22,$BC$1695)/$Q$1716</f>
        <v>0.30172413793103448</v>
      </c>
      <c r="BN1720">
        <f t="shared" ref="BN1720:BN1723" si="1076">IF(BM1720=0,0,IF(BM1720&gt;2,1.25-0.125*BM1720,1))</f>
        <v>1</v>
      </c>
      <c r="BO1720" cm="1">
        <f t="array" ref="BO1720">IFERROR(INDEX(sheath_ecap_asd,MATCH(BS1720,sheath_mark,0),0)*BN1720,0)</f>
        <v>0</v>
      </c>
      <c r="BP1720" cm="1">
        <f t="array" ref="BP1720">IFERROR(INDEX(sheath_wcap_asd,MATCH(BS1720,sheath_mark,0),0)*BN1720,0)</f>
        <v>0</v>
      </c>
      <c r="BQ1720" cm="1">
        <f t="array" ref="BQ1720">IFERROR(INDEX(hd_cap,MATCH(BT1720,hd_mark,0),0),0)</f>
        <v>0</v>
      </c>
      <c r="BS1720" s="19"/>
      <c r="BT1720" s="19"/>
      <c r="BU1720" s="100"/>
    </row>
    <row r="1721" x14ac:dyDescent="0.25">
      <c r="B1721" t="s">
        <v>464</v>
      </c>
      <c r="C1721" s="19"/>
      <c r="D1721" s="19"/>
      <c r="E1721">
        <f t="shared" si="1070"/>
        <v>0</v>
      </c>
      <c r="H1721">
        <v>16</v>
      </c>
      <c r="I1721" s="19"/>
      <c r="J1721" s="19"/>
      <c r="K1721">
        <f t="shared" si="1071"/>
        <v>0</v>
      </c>
      <c r="P1721" s="93"/>
      <c r="Q1721" s="109" t="s">
        <v>491</v>
      </c>
      <c r="R1721" t="str">
        <f>$Q$1687</f>
        <v>L4</v>
      </c>
      <c r="S1721">
        <f>$E$23</f>
        <v>0</v>
      </c>
      <c r="T1721" cm="1">
        <f t="array" ref="T1721">IFERROR(IF(S1721=0,0,(INDEX($C$33:$C$38,MATCH($W$1695,$B$33:$B$38,0),0)*(S1723+$X$1695)+$T$1695*COUNTIF(S1721:S1722,"&gt;0")*$C$32+$V$1695*$C$31)*$R$1695),0)</f>
        <v>0</v>
      </c>
      <c r="U1721">
        <f>IF(S1721=0,0,-(COUNTIF(S1721:S1722,"&gt;0")*$T$1695*$C$32+$V$1695*$C$31)*$H$27*$R$1695)</f>
        <v>0</v>
      </c>
      <c r="V1721">
        <f>IF(S1721=0,0,$V$1695*$H$26*$R$1695)</f>
        <v>0</v>
      </c>
      <c r="W1721">
        <f>(0.6*T1721+0.7*U1721)*$R$1695/2</f>
        <v>0</v>
      </c>
      <c r="X1721">
        <f>T1721*$R$1695/2</f>
        <v>0</v>
      </c>
      <c r="Z1721">
        <f>IF(S1721=0,0,$AD$1695*$AP$1687)</f>
        <v>0</v>
      </c>
      <c r="AA1721">
        <f>IFERROR(Z1721/$R$1695,0)</f>
        <v>0</v>
      </c>
      <c r="AB1721">
        <f>Z1721*($F$23+IF($F$23=0,0,($C$14+$C$15+IF($C$13="single",1.5,3)+3)/12))</f>
        <v>0</v>
      </c>
      <c r="AC1721">
        <f>AB1721-W1721</f>
        <v>0</v>
      </c>
      <c r="AD1721" cm="1">
        <f t="array" ref="AD1721">IFERROR(IF(AC1721&lt;0,0,AC1721/($R$1695-INDEX(hd_off,MATCH(AQ1721,hd_mark,0),0)/12)),0)</f>
        <v>0</v>
      </c>
      <c r="AE1721">
        <f>IF(S1721=0,0,$AD$1695*$AM$1687)</f>
        <v>0</v>
      </c>
      <c r="AF1721">
        <f>IFERROR(AE1721/$R$1695,0)</f>
        <v>0</v>
      </c>
      <c r="AG1721">
        <f>AE1721*($F$23+IF($F$23=0,0,($C$14+$C$15+IF($C$13="single",1.5,3)+3)/12))</f>
        <v>0</v>
      </c>
      <c r="AH1721">
        <f>AG1721-X1721</f>
        <v>0</v>
      </c>
      <c r="AI1721" cm="1">
        <f t="array" ref="AI1721">IFERROR(IF(AH1721&lt;0,0,AH1721/($R$1695-INDEX(hd_off,MATCH(AQ1721,hd_mark,0),0)/12)),0)</f>
        <v>0</v>
      </c>
      <c r="AJ1721">
        <f>MAX($F$23,$AA$1695)/$Q$1716</f>
        <v>0</v>
      </c>
      <c r="AK1721">
        <f t="shared" si="1075"/>
        <v>0</v>
      </c>
      <c r="AL1721" cm="1">
        <f t="array" ref="AL1721">IFERROR(INDEX(sheath_ecap_asd,MATCH(AP1721,sheath_mark,0),0)*AK1721,0)</f>
        <v>0</v>
      </c>
      <c r="AM1721" cm="1">
        <f t="array" ref="AM1721">IFERROR(INDEX(sheath_wcap_asd,MATCH(AP1721,sheath_mark,0),0)*AK1721,0)</f>
        <v>0</v>
      </c>
      <c r="AN1721" cm="1">
        <f t="array" ref="AN1721">IFERROR(INDEX(hd_cap,MATCH(AQ1721,hd_mark,0),0),0)</f>
        <v>0</v>
      </c>
      <c r="AP1721" s="19"/>
      <c r="AQ1721" s="19"/>
      <c r="AR1721" s="100"/>
      <c r="AS1721" s="93"/>
      <c r="AT1721" s="109" t="s">
        <v>491</v>
      </c>
      <c r="AU1721" t="str">
        <f>$Q$1687</f>
        <v>L4</v>
      </c>
      <c r="AV1721">
        <f>$E$23</f>
        <v>0</v>
      </c>
      <c r="AW1721" cm="1">
        <f t="array" ref="AW1721">IFERROR(IF(AV1721=0,0,(INDEX($C$33:$C$38,MATCH($AZ$1695,$B$33:$B$38,0),0)*(AV1723+$BA$1695)+$AW$1695*COUNTIF(AV1721:AV1722,"&gt;0")*$C$32+$AY$1695*$C$31)*$AU$1695),0)</f>
        <v>0</v>
      </c>
      <c r="AX1721">
        <f>IF(AV1721=0,0,-(COUNTIF(AV1721:AV1722,"&gt;0")*$AW$1695*$C$32+$AY$1695*$C$31)*$H$27*$AU$1695)</f>
        <v>0</v>
      </c>
      <c r="AY1721">
        <f>IF(AV1721=0,0,$AY$1695*$H$26*$AU$1695)</f>
        <v>0</v>
      </c>
      <c r="AZ1721">
        <f>(0.6*AW1721+0.7*AX1721)*$AU$1695/2</f>
        <v>0</v>
      </c>
      <c r="BA1721">
        <f>AW1721*$AU$1695/2</f>
        <v>0</v>
      </c>
      <c r="BC1721">
        <f>IF(AV1721=0,0,$BG$1695*$AP$1687)</f>
        <v>0</v>
      </c>
      <c r="BD1721">
        <f>IFERROR(BC1721/$AU$1695,0)</f>
        <v>0</v>
      </c>
      <c r="BE1721">
        <f>BC1721*($F$23+IF($F$23=0,0,($C$14+$C$15+IF($C$13="single",1.5,3)+3)/12))</f>
        <v>0</v>
      </c>
      <c r="BF1721">
        <f>BE1721-AZ1721</f>
        <v>0</v>
      </c>
      <c r="BG1721" cm="1">
        <f t="array" ref="BG1721">IFERROR(IF(BF1721&lt;0,0,BF1721/($AU$1695-INDEX(hd_off,MATCH(BT1721,hd_mark,0),0)/12)),0)</f>
        <v>0</v>
      </c>
      <c r="BH1721">
        <f>IF(AV1721=0,0,$BG$1695*$AM$1687)</f>
        <v>0</v>
      </c>
      <c r="BI1721">
        <f>IFERROR(BH1721/$AU$1695,0)</f>
        <v>0</v>
      </c>
      <c r="BJ1721">
        <f>BH1721*($F$23+IF($F$23=0,0,($C$14+$C$15+IF($C$13="single",1.5,3)+3)/12))</f>
        <v>0</v>
      </c>
      <c r="BK1721">
        <f>BJ1721-BA1721</f>
        <v>0</v>
      </c>
      <c r="BL1721" cm="1">
        <f t="array" ref="BL1721">IFERROR(IF(BK1721&lt;0,0,BK1721/($AU$1695-INDEX(hd_off,MATCH(BT1721,hd_mark,0),0)/12)),0)</f>
        <v>0</v>
      </c>
      <c r="BM1721">
        <f>MAX($F$23,$BD$1695)/$Q$1716</f>
        <v>0</v>
      </c>
      <c r="BN1721">
        <f t="shared" si="1076"/>
        <v>0</v>
      </c>
      <c r="BO1721" cm="1">
        <f t="array" ref="BO1721">IFERROR(INDEX(sheath_ecap_asd,MATCH(BS1721,sheath_mark,0),0)*BN1721,0)</f>
        <v>0</v>
      </c>
      <c r="BP1721" cm="1">
        <f t="array" ref="BP1721">IFERROR(INDEX(sheath_wcap_asd,MATCH(BS1721,sheath_mark,0),0)*BN1721,0)</f>
        <v>0</v>
      </c>
      <c r="BQ1721" cm="1">
        <f t="array" ref="BQ1721">IFERROR(INDEX(hd_cap,MATCH(BT1721,hd_mark,0),0),0)</f>
        <v>0</v>
      </c>
      <c r="BS1721" s="19"/>
      <c r="BT1721" s="19"/>
      <c r="BU1721" s="100"/>
    </row>
    <row r="1722" x14ac:dyDescent="0.25">
      <c r="B1722" t="s">
        <v>465</v>
      </c>
      <c r="C1722" s="19"/>
      <c r="D1722" s="19"/>
      <c r="E1722">
        <f t="shared" si="1070"/>
        <v>0</v>
      </c>
      <c r="H1722">
        <v>17</v>
      </c>
      <c r="I1722" s="19"/>
      <c r="J1722" s="19"/>
      <c r="K1722">
        <f t="shared" si="1071"/>
        <v>0</v>
      </c>
      <c r="P1722" s="93"/>
      <c r="Q1722" s="111">
        <f>$R$1695</f>
        <v>0</v>
      </c>
      <c r="R1722" t="str">
        <f>$Q$1688</f>
        <v>L5</v>
      </c>
      <c r="S1722">
        <f>$E$24</f>
        <v>0</v>
      </c>
      <c r="T1722" cm="1">
        <f t="array" ref="T1722">IFERROR(IF(S1722=0,0,(INDEX($C$33:$C$38,MATCH($W$1695,$B$33:$B$38,0),0)*(S1723+$X$1695)+$T$1695*COUNTIF(S1722:S1722,"&gt;0")*$C$32+$V$1695*$C$31)*$R$1695),0)</f>
        <v>0</v>
      </c>
      <c r="U1722">
        <f>IF(S1722=0,0,-(COUNTIF(S1722:S1722,"&gt;0")*$T$1695*$C$32+$V$1695*$C$31)*$H$27*$R$1695)</f>
        <v>0</v>
      </c>
      <c r="V1722">
        <f>IF(S1722=0,0,$V$1695*$H$26*$R$1695)</f>
        <v>0</v>
      </c>
      <c r="W1722">
        <f>(0.6*T1722+0.7*U1722)*$R$1695/2</f>
        <v>0</v>
      </c>
      <c r="X1722">
        <f>T1722*$R$1695/2</f>
        <v>0</v>
      </c>
      <c r="Z1722">
        <f>IF(S1722=0,0,$AD$1695*$AP$1688)</f>
        <v>0</v>
      </c>
      <c r="AA1722">
        <f>IFERROR(Z1722/$R$1695,0)</f>
        <v>0</v>
      </c>
      <c r="AB1722">
        <f>Z1722*($F$24+IF($F$24=0,0,($C$14+$C$15+IF($C$13="single",1.5,3)+3)/12))</f>
        <v>0</v>
      </c>
      <c r="AC1722">
        <f>AB1722-W1722</f>
        <v>0</v>
      </c>
      <c r="AD1722" cm="1">
        <f t="array" ref="AD1722">IFERROR(IF(AC1722&lt;0,0,AC1722/($R$1695-INDEX(hd_off,MATCH(AQ1722,hd_mark,0),0)/12)),0)</f>
        <v>0</v>
      </c>
      <c r="AE1722">
        <f>IF(S1722=0,0,$AD$1695*$AM$1688)</f>
        <v>0</v>
      </c>
      <c r="AF1722">
        <f>IFERROR(AE1722/$R$1695,0)</f>
        <v>0</v>
      </c>
      <c r="AG1722">
        <f>AE1722*($F$24+IF($F$24=0,0,($C$14+$C$15+IF($C$13="single",1.5,3)+3)/12))</f>
        <v>0</v>
      </c>
      <c r="AH1722">
        <f>AG1722-X1722</f>
        <v>0</v>
      </c>
      <c r="AI1722" cm="1">
        <f t="array" ref="AI1722">IFERROR(IF(AH1722&lt;0,0,AH1722/($R$1695-INDEX(hd_off,MATCH(AQ1722,hd_mark,0),0)/12)),0)</f>
        <v>0</v>
      </c>
      <c r="AJ1722">
        <f>MAX($F$24,$AB$1695)/$Q$1716</f>
        <v>0</v>
      </c>
      <c r="AK1722">
        <f t="shared" si="1075"/>
        <v>0</v>
      </c>
      <c r="AL1722" cm="1">
        <f t="array" ref="AL1722">IFERROR(INDEX(sheath_ecap_asd,MATCH(AP1722,sheath_mark,0),0)*AK1722,0)</f>
        <v>0</v>
      </c>
      <c r="AM1722" cm="1">
        <f t="array" ref="AM1722">IFERROR(INDEX(sheath_wcap_asd,MATCH(AP1722,sheath_mark,0),0)*AK1722,0)</f>
        <v>0</v>
      </c>
      <c r="AN1722" cm="1">
        <f t="array" ref="AN1722">IFERROR(INDEX(hd_cap,MATCH(AQ1722,hd_mark,0),0),0)</f>
        <v>0</v>
      </c>
      <c r="AP1722" s="19"/>
      <c r="AQ1722" s="19"/>
      <c r="AR1722" s="100"/>
      <c r="AS1722" s="93"/>
      <c r="AT1722" s="111">
        <f>$R$1695</f>
        <v>0</v>
      </c>
      <c r="AU1722" t="str">
        <f>$Q$1688</f>
        <v>L5</v>
      </c>
      <c r="AV1722">
        <f>$E$24</f>
        <v>0</v>
      </c>
      <c r="AW1722" cm="1">
        <f t="array" ref="AW1722">IFERROR(IF(AV1722=0,0,(INDEX($C$33:$C$38,MATCH($AZ$1695,$B$33:$B$38,0),0)*(AV1723+$BA$1695)+$AW$1695*COUNTIF(AV1722:AV1722,"&gt;0")*$C$32+$AY$1695*$C$31)*$AU$1695),0)</f>
        <v>0</v>
      </c>
      <c r="AX1722">
        <f>IF(AV1722=0,0,-(COUNTIF(AV1722:AV1722,"&gt;0")*$AW$1695*$C$32+$AY$1695*$C$31)*$H$27*$AU$1695)</f>
        <v>0</v>
      </c>
      <c r="AY1722">
        <f>IF(AV1722=0,0,$AY$1695*$H$26*$AU$1695)</f>
        <v>0</v>
      </c>
      <c r="AZ1722">
        <f>(0.6*AW1722+0.7*AX1722)*$AU$1695/2</f>
        <v>0</v>
      </c>
      <c r="BA1722">
        <f>AW1722*$AU$1695/2</f>
        <v>0</v>
      </c>
      <c r="BC1722">
        <f>IF(AV1722=0,0,$BG$1695*$AP$1688)</f>
        <v>0</v>
      </c>
      <c r="BD1722">
        <f>IFERROR(BC1722/$AU$1695,0)</f>
        <v>0</v>
      </c>
      <c r="BE1722">
        <f>BC1722*($F$24+IF($F$24=0,0,($C$14+$C$15+IF($C$13="single",1.5,3)+3)/12))</f>
        <v>0</v>
      </c>
      <c r="BF1722">
        <f>BE1722-AZ1722</f>
        <v>0</v>
      </c>
      <c r="BG1722" cm="1">
        <f t="array" ref="BG1722">IFERROR(IF(BF1722&lt;0,0,BF1722/($AU$1695-INDEX(hd_off,MATCH(BT1722,hd_mark,0),0)/12)),0)</f>
        <v>0</v>
      </c>
      <c r="BH1722">
        <f>IF(AV1722=0,0,$BG$1695*$AM$1688)</f>
        <v>0</v>
      </c>
      <c r="BI1722">
        <f>IFERROR(BH1722/$AU$1695,0)</f>
        <v>0</v>
      </c>
      <c r="BJ1722">
        <f>BH1722*($F$24+IF($F$24=0,0,($C$14+$C$15+IF($C$13="single",1.5,3)+3)/12))</f>
        <v>0</v>
      </c>
      <c r="BK1722">
        <f>BJ1722-BA1722</f>
        <v>0</v>
      </c>
      <c r="BL1722" cm="1">
        <f t="array" ref="BL1722">IFERROR(IF(BK1722&lt;0,0,BK1722/($AU$1695-INDEX(hd_off,MATCH(BT1722,hd_mark,0),0)/12)),0)</f>
        <v>0</v>
      </c>
      <c r="BM1722">
        <f>MAX($F$24,$BE$1695)/$Q$1716</f>
        <v>0</v>
      </c>
      <c r="BN1722">
        <f t="shared" si="1076"/>
        <v>0</v>
      </c>
      <c r="BO1722" cm="1">
        <f t="array" ref="BO1722">IFERROR(INDEX(sheath_ecap_asd,MATCH(BS1722,sheath_mark,0),0)*BN1722,0)</f>
        <v>0</v>
      </c>
      <c r="BP1722" cm="1">
        <f t="array" ref="BP1722">IFERROR(INDEX(sheath_wcap_asd,MATCH(BS1722,sheath_mark,0),0)*BN1722,0)</f>
        <v>0</v>
      </c>
      <c r="BQ1722" cm="1">
        <f t="array" ref="BQ1722">IFERROR(INDEX(hd_cap,MATCH(BT1722,hd_mark,0),0),0)</f>
        <v>0</v>
      </c>
      <c r="BS1722" s="19"/>
      <c r="BT1722" s="19"/>
      <c r="BU1722" s="100"/>
    </row>
    <row r="1723" x14ac:dyDescent="0.25">
      <c r="B1723" t="s">
        <v>466</v>
      </c>
      <c r="C1723" s="19"/>
      <c r="D1723" s="19"/>
      <c r="E1723">
        <f t="shared" si="1070"/>
        <v>0</v>
      </c>
      <c r="H1723">
        <v>18</v>
      </c>
      <c r="I1723" s="19"/>
      <c r="J1723" s="19"/>
      <c r="K1723">
        <f t="shared" si="1071"/>
        <v>0</v>
      </c>
      <c r="P1723" s="93"/>
      <c r="Q1723" s="109"/>
      <c r="R1723" t="str">
        <f>$Q$1689</f>
        <v>Roof</v>
      </c>
      <c r="S1723">
        <f>$E$25</f>
        <v>33.171875</v>
      </c>
      <c r="T1723" cm="1">
        <f t="array" ref="T1723">IFERROR(IF(S1723=0,0,(INDEX($C$33:$C$38,MATCH($W$1695,$B$33:$B$38,0),0)*(S1723+$X$1695)+$V$1695*$C$31)*$R$1695),0)</f>
        <v>0</v>
      </c>
      <c r="U1723">
        <f>IF(S1723=0,0,-$V$1695*$C$31*$H$27*$R$1695)</f>
        <v>0</v>
      </c>
      <c r="V1723">
        <f>IF(S1723=0,0,$V$1695*$H$26*$R$1695)</f>
        <v>0</v>
      </c>
      <c r="W1723">
        <f>(0.6*T1723+0.7*U1723)*$R$1695/2</f>
        <v>0</v>
      </c>
      <c r="X1723">
        <f>T1723*$R$1695/2</f>
        <v>0</v>
      </c>
      <c r="Z1723">
        <f>IF(S1723=0,0,$AD$1695*$AP$1689)</f>
        <v>0</v>
      </c>
      <c r="AA1723">
        <f>IFERROR(Z1723/$R$1695,0)</f>
        <v>0</v>
      </c>
      <c r="AB1723">
        <f>Z1723*($F$25+($C$16+$C$17+IF($C$13="single",1.5,3)+3)/12)</f>
        <v>0</v>
      </c>
      <c r="AC1723">
        <f>AB1723-W1723</f>
        <v>0</v>
      </c>
      <c r="AD1723" cm="1">
        <f t="array" ref="AD1723">IFERROR(IF(AC1723&lt;0,0,AC1723/($R$1695-INDEX(hd_off,MATCH(AQ1723,hd_mark,0),0)/12)),0)</f>
        <v>0</v>
      </c>
      <c r="AE1723">
        <f>IF(S1723=0,0,$AD$1695*$AM$1689)</f>
        <v>0</v>
      </c>
      <c r="AF1723">
        <f>IFERROR(AE1723/$R$1695,0)</f>
        <v>0</v>
      </c>
      <c r="AG1723">
        <f>AE1723*($F$25+($C$16+$C$17+IF($C$13="single",1.5,3)+3)/12)</f>
        <v>0</v>
      </c>
      <c r="AH1723">
        <f>AG1723-X1723</f>
        <v>0</v>
      </c>
      <c r="AI1723" cm="1">
        <f t="array" ref="AI1723">IFERROR(IF(AH1723&lt;0,0,AH1723/($R$1695-INDEX(hd_off,MATCH(AQ1723,hd_mark,0),0)/12)),0)</f>
        <v>0</v>
      </c>
      <c r="AJ1723">
        <f>MAX($F$25,$AC$1695)/$Q$1716</f>
        <v>0.29920977011494249</v>
      </c>
      <c r="AK1723">
        <f t="shared" si="1075"/>
        <v>1</v>
      </c>
      <c r="AL1723" cm="1">
        <f t="array" ref="AL1723">IFERROR(INDEX(sheath_ecap_asd,MATCH(AP1723,sheath_mark,0),0)*AK1723,0)</f>
        <v>0</v>
      </c>
      <c r="AM1723" cm="1">
        <f t="array" ref="AM1723">IFERROR(INDEX(sheath_wcap_asd,MATCH(AP1723,sheath_mark,0),0)*AK1723,0)</f>
        <v>0</v>
      </c>
      <c r="AN1723" cm="1">
        <f t="array" ref="AN1723">IFERROR(INDEX(hd_cap,MATCH(AQ1723,hd_mark,0),0),0)</f>
        <v>0</v>
      </c>
      <c r="AP1723" s="19"/>
      <c r="AQ1723" s="19"/>
      <c r="AR1723" s="100"/>
      <c r="AS1723" s="93"/>
      <c r="AT1723" s="109"/>
      <c r="AU1723" t="str">
        <f>$Q$1689</f>
        <v>Roof</v>
      </c>
      <c r="AV1723">
        <f>$E$25</f>
        <v>33.171875</v>
      </c>
      <c r="AW1723" cm="1">
        <f t="array" ref="AW1723">IFERROR(IF(AV1723=0,0,(INDEX($C$33:$C$38,MATCH($AZ$1695,$B$33:$B$38,0),0)*(AV1723+$BA$1695)+$AY$1695*$C$31)*$AU$1695),0)</f>
        <v>0</v>
      </c>
      <c r="AX1723">
        <f>IF(AV1723=0,0,-$AY$1695*$C$31*$H$27*$AU$1695)</f>
        <v>0</v>
      </c>
      <c r="AY1723">
        <f>IF(AV1723=0,0,$AY$1695*$H$26*$AU$1695)</f>
        <v>0</v>
      </c>
      <c r="AZ1723">
        <f>(0.6*AW1723+0.7*AX1723)*$AU$1695/2</f>
        <v>0</v>
      </c>
      <c r="BA1723">
        <f>AW1723*$AU$1695/2</f>
        <v>0</v>
      </c>
      <c r="BC1723">
        <f>IF(AV1723=0,0,$BG$1695*$AP$1689)</f>
        <v>0</v>
      </c>
      <c r="BD1723">
        <f>IFERROR(BC1723/$AU$1695,0)</f>
        <v>0</v>
      </c>
      <c r="BE1723">
        <f>BC1723*($F$25+($C$16+$C$17+IF($C$13="single",1.5,3)+3)/12)</f>
        <v>0</v>
      </c>
      <c r="BF1723">
        <f>BE1723-AZ1723</f>
        <v>0</v>
      </c>
      <c r="BG1723" cm="1">
        <f t="array" ref="BG1723">IFERROR(IF(BF1723&lt;0,0,BF1723/($AU$1695-INDEX(hd_off,MATCH(BT1723,hd_mark,0),0)/12)),0)</f>
        <v>0</v>
      </c>
      <c r="BH1723">
        <f>IF(AV1723=0,0,$BG$1695*$AM$1689)</f>
        <v>0</v>
      </c>
      <c r="BI1723">
        <f>IFERROR(BH1723/$AU$1695,0)</f>
        <v>0</v>
      </c>
      <c r="BJ1723">
        <f>BH1723*($F$25+($C$16+$C$17+IF($C$13="single",1.5,3)+3)/12)</f>
        <v>0</v>
      </c>
      <c r="BK1723">
        <f>BJ1723-BA1723</f>
        <v>0</v>
      </c>
      <c r="BL1723" cm="1">
        <f t="array" ref="BL1723">IFERROR(IF(BK1723&lt;0,0,BK1723/($AU$1695-INDEX(hd_off,MATCH(BT1723,hd_mark,0),0)/12)),0)</f>
        <v>0</v>
      </c>
      <c r="BM1723">
        <f>MAX($F$25,$BF$1695)/$Q$1716</f>
        <v>0.29920977011494249</v>
      </c>
      <c r="BN1723">
        <f t="shared" si="1076"/>
        <v>1</v>
      </c>
      <c r="BO1723" cm="1">
        <f t="array" ref="BO1723">IFERROR(INDEX(sheath_ecap_asd,MATCH(BS1723,sheath_mark,0),0)*BN1723,0)</f>
        <v>0</v>
      </c>
      <c r="BP1723" cm="1">
        <f t="array" ref="BP1723">IFERROR(INDEX(sheath_wcap_asd,MATCH(BS1723,sheath_mark,0),0)*BN1723,0)</f>
        <v>0</v>
      </c>
      <c r="BQ1723" cm="1">
        <f t="array" ref="BQ1723">IFERROR(INDEX(hd_cap,MATCH(BT1723,hd_mark,0),0),0)</f>
        <v>0</v>
      </c>
      <c r="BS1723" s="19"/>
      <c r="BT1723" s="19"/>
      <c r="BU1723" s="100"/>
    </row>
    <row r="1724" x14ac:dyDescent="0.25">
      <c r="B1724" t="s">
        <v>467</v>
      </c>
      <c r="C1724" s="19"/>
      <c r="D1724" s="19"/>
      <c r="E1724">
        <f t="shared" si="1070"/>
        <v>0</v>
      </c>
      <c r="H1724">
        <v>19</v>
      </c>
      <c r="I1724" s="19"/>
      <c r="J1724" s="19"/>
      <c r="K1724">
        <f t="shared" si="1071"/>
        <v>0</v>
      </c>
      <c r="P1724" s="93"/>
      <c r="AR1724" s="100"/>
      <c r="AS1724" s="93"/>
      <c r="BU1724" s="100"/>
    </row>
    <row r="1725" x14ac:dyDescent="0.25">
      <c r="B1725" t="s">
        <v>468</v>
      </c>
      <c r="C1725" s="19"/>
      <c r="D1725" s="19"/>
      <c r="E1725">
        <f t="shared" si="1070"/>
        <v>0</v>
      </c>
      <c r="H1725">
        <v>20</v>
      </c>
      <c r="I1725" s="19"/>
      <c r="J1725" s="19"/>
      <c r="K1725">
        <f t="shared" si="1071"/>
        <v>0</v>
      </c>
      <c r="P1725" s="93"/>
      <c r="Q1725" s="110" t="str">
        <f>$Q$1696</f>
        <v>A.03</v>
      </c>
      <c r="R1725" t="str">
        <f>$Q$1685</f>
        <v>L2</v>
      </c>
      <c r="S1725">
        <f>$E$21</f>
        <v>10.6875</v>
      </c>
      <c r="T1725" cm="1">
        <f t="array" ref="T1725">IFERROR(IF(S1725=0,0,(INDEX($C$33:$C$38,MATCH($W$1696,$B$33:$B$38,0),0)*(S1729+$X$1696)+$T$1696*COUNTIF(S1725:S1728,"&gt;0")*$C$32+$V$1696*$C$31)*$R$1696),0)</f>
        <v>0</v>
      </c>
      <c r="U1725">
        <f>IF(S1725=0,0,-(COUNTIF(S1725:S1728,"&gt;0")*$T$1696*$C$32+$V$1696*$C$31)*$H$27*$R$1696)</f>
        <v>0</v>
      </c>
      <c r="V1725">
        <f>IF(S1725=0,0,$V$1696*$H$26*$R$1696)</f>
        <v>0</v>
      </c>
      <c r="W1725">
        <f>(0.6*T1725+0.7*U1725)*$R$1696/2</f>
        <v>0</v>
      </c>
      <c r="X1725">
        <f>(0.6*T1725+0.6*V1725)*$R$1696/2</f>
        <v>0</v>
      </c>
      <c r="Z1725">
        <f>IF(S1725=0,0,$AD$1696*$AP$1685)</f>
        <v>0</v>
      </c>
      <c r="AA1725">
        <f>IFERROR(Z1725/$R$1696,0)</f>
        <v>0</v>
      </c>
      <c r="AB1725">
        <f>Z1725*($F$21+IF($F$21=0,0,($C$14+$C$15+IF($C$13="single",1.5,3)+3)/12))</f>
        <v>0</v>
      </c>
      <c r="AC1725">
        <f>AB1725-W1725</f>
        <v>0</v>
      </c>
      <c r="AD1725" cm="1">
        <f t="array" ref="AD1725">IFERROR(IF(AC1725&lt;0,0,AC1725/($R$1696-INDEX(hd_off,MATCH(AQ1725,hd_mark,0),0)/12)),0)</f>
        <v>0</v>
      </c>
      <c r="AE1725">
        <f>IF(S1725=0,0,$AD$1696*$AM$1685)</f>
        <v>0</v>
      </c>
      <c r="AF1725">
        <f>IFERROR(AE1725/$R$1696,0)</f>
        <v>0</v>
      </c>
      <c r="AG1725">
        <f>AE1725*($F$21+IF($F$21=0,0,($C$14+$C$15+IF($C$13="single",1.5,3)+3)/12))</f>
        <v>0</v>
      </c>
      <c r="AH1725">
        <f>AG1725-X1725</f>
        <v>0</v>
      </c>
      <c r="AI1725" cm="1">
        <f t="array" ref="AI1725">IFERROR(IF(AH1725&lt;0,0,AH1725/($R$1696-INDEX(hd_off,MATCH(AQ1725,hd_mark,0),0)/12)),0)</f>
        <v>0</v>
      </c>
      <c r="AJ1725">
        <f>MAX($F$21,$Y$1696)/$Q$1716</f>
        <v>0.30172413793103448</v>
      </c>
      <c r="AK1725">
        <f>IF(AJ1725=0,0,IF(AJ1725&gt;2,1.25-0.125*AJ1725,1))</f>
        <v>1</v>
      </c>
      <c r="AL1725" cm="1">
        <f t="array" ref="AL1725">IFERROR(INDEX(sheath_ecap_asd,MATCH(AP1725,sheath_mark,0),0)*AK1725,0)</f>
        <v>0</v>
      </c>
      <c r="AM1725" cm="1">
        <f t="array" ref="AM1725">IFERROR(INDEX(sheath_wcap_asd,MATCH(AP1725,sheath_mark,0),0)*AK1725,0)</f>
        <v>0</v>
      </c>
      <c r="AN1725" cm="1">
        <f t="array" ref="AN1725">IFERROR(INDEX(hd_cap,MATCH(AQ1725,hd_mark,0),0),0)</f>
        <v>0</v>
      </c>
      <c r="AP1725" s="19"/>
      <c r="AQ1725" s="19"/>
      <c r="AR1725" s="100"/>
      <c r="AS1725" s="93"/>
      <c r="AT1725" s="110" t="str">
        <f>$AT$1696</f>
        <v>1.03</v>
      </c>
      <c r="AU1725" t="str">
        <f>$Q$1685</f>
        <v>L2</v>
      </c>
      <c r="AV1725">
        <f>$E$21</f>
        <v>10.6875</v>
      </c>
      <c r="AW1725" cm="1">
        <f t="array" ref="AW1725">IFERROR(IF(AV1725=0,0,(INDEX($C$33:$C$38,MATCH($AZ$1696,$B$33:$B$38,0),0)*(AV1729+$BA$1696)+$AW$1696*COUNTIF(AV1725:AV1728,"&gt;0")*$C$32+$AY$1696*$C$31)*$AU$1696),0)</f>
        <v>0</v>
      </c>
      <c r="AX1725">
        <f>IF(AV1725=0,0,-(COUNTIF(AV1725:AV1728,"&gt;0")*$AW$1696*$C$32+$AY$1696*$C$31)*$H$27*$AU$1696)</f>
        <v>0</v>
      </c>
      <c r="AY1725">
        <f>IF(AV1725=0,0,$AY$1696*$H$26*$AU$1696)</f>
        <v>0</v>
      </c>
      <c r="AZ1725">
        <f>(0.6*AW1725+0.7*AX1725)*$AU$1696/2</f>
        <v>0</v>
      </c>
      <c r="BA1725">
        <f>(0.6*AW1725+0.6*AY1725)*$AU$1696/2</f>
        <v>0</v>
      </c>
      <c r="BC1725">
        <f>IF(AV1725=0,0,$BG$1696*$AP$1685)</f>
        <v>0</v>
      </c>
      <c r="BD1725">
        <f>IFERROR(BC1725/$AU$1696,0)</f>
        <v>0</v>
      </c>
      <c r="BE1725">
        <f>BC1725*($F$21+IF($F$21=0,0,($C$14+$C$15+IF($C$13="single",1.5,3)+3)/12))</f>
        <v>0</v>
      </c>
      <c r="BF1725">
        <f>BE1725-AZ1725</f>
        <v>0</v>
      </c>
      <c r="BG1725" cm="1">
        <f t="array" ref="BG1725">IFERROR(IF(BF1725&lt;0,0,BF1725/($AU$1696-INDEX(hd_off,MATCH(BT1725,hd_mark,0),0)/12)),0)</f>
        <v>0</v>
      </c>
      <c r="BH1725">
        <f>IF(AV1725=0,0,$BG$1696*$AM$1685)</f>
        <v>0</v>
      </c>
      <c r="BI1725">
        <f>IFERROR(BH1725/$AU$1696,0)</f>
        <v>0</v>
      </c>
      <c r="BJ1725">
        <f>BH1725*($F$21+IF($F$21=0,0,($C$14+$C$15+IF($C$13="single",1.5,3)+3)/12))</f>
        <v>0</v>
      </c>
      <c r="BK1725">
        <f>BJ1725-BA1725</f>
        <v>0</v>
      </c>
      <c r="BL1725" cm="1">
        <f t="array" ref="BL1725">IFERROR(IF(BK1725&lt;0,0,BK1725/($AU$1696-INDEX(hd_off,MATCH(BT1725,hd_mark,0),0)/12)),0)</f>
        <v>0</v>
      </c>
      <c r="BM1725">
        <f>MAX($F$21,$BB$1696)/$Q$1716</f>
        <v>0.30172413793103448</v>
      </c>
      <c r="BN1725">
        <f>IF(BM1725=0,0,IF(BM1725&gt;2,1.25-0.125*BM1725,1))</f>
        <v>1</v>
      </c>
      <c r="BO1725" cm="1">
        <f t="array" ref="BO1725">IFERROR(INDEX(sheath_ecap_asd,MATCH(BS1725,sheath_mark,0),0)*BN1725,0)</f>
        <v>0</v>
      </c>
      <c r="BP1725" cm="1">
        <f t="array" ref="BP1725">IFERROR(INDEX(sheath_wcap_asd,MATCH(BS1725,sheath_mark,0),0)*BN1725,0)</f>
        <v>0</v>
      </c>
      <c r="BQ1725" cm="1">
        <f t="array" ref="BQ1725">IFERROR(INDEX(hd_cap,MATCH(BT1725,hd_mark,0),0),0)</f>
        <v>0</v>
      </c>
      <c r="BS1725" s="19"/>
      <c r="BT1725" s="19"/>
      <c r="BU1725" s="100"/>
    </row>
    <row r="1726" x14ac:dyDescent="0.25">
      <c r="B1726" t="s">
        <v>469</v>
      </c>
      <c r="C1726" s="19"/>
      <c r="D1726" s="19"/>
      <c r="E1726">
        <f t="shared" si="1070"/>
        <v>0</v>
      </c>
      <c r="H1726">
        <v>21</v>
      </c>
      <c r="I1726" s="19"/>
      <c r="J1726" s="19"/>
      <c r="K1726">
        <f t="shared" si="1071"/>
        <v>0</v>
      </c>
      <c r="P1726" s="93"/>
      <c r="Q1726" s="109"/>
      <c r="R1726" t="str">
        <f>$Q$1686</f>
        <v>L3</v>
      </c>
      <c r="S1726">
        <f>$E$22</f>
        <v>21.375</v>
      </c>
      <c r="T1726" cm="1">
        <f t="array" ref="T1726">IFERROR(IF(S1726=0,0,(INDEX($C$33:$C$38,MATCH($W$1696,$B$33:$B$38,0),0)*(S1729+$X$1696)+$T$1696*COUNTIF(S1726:S1728,"&gt;0")*$C$32+$V$1696*$C$31)*$R$1696),0)</f>
        <v>0</v>
      </c>
      <c r="U1726">
        <f>IF(S1726=0,0,-(COUNTIF(S1726:S1728,"&gt;0")*$T$1696*$C$32+$V$1696*$C$31)*$H$27*$R$1696)</f>
        <v>0</v>
      </c>
      <c r="V1726">
        <f>IF(S1726=0,0,$V$1696*$H$26*$R$1696)</f>
        <v>0</v>
      </c>
      <c r="W1726">
        <f>(0.6*T1726+0.7*U1726)*$R$1696/2</f>
        <v>0</v>
      </c>
      <c r="X1726">
        <f>T1726*$R$1696/2</f>
        <v>0</v>
      </c>
      <c r="Z1726">
        <f>IF(S1726=0,0,$AD$1696*$AP$1686)</f>
        <v>0</v>
      </c>
      <c r="AA1726">
        <f>IFERROR(Z1726/$R$1696,0)</f>
        <v>0</v>
      </c>
      <c r="AB1726">
        <f>Z1726*($F$22+IF($F$22=0,0,($C$14+$C$15+IF($C$13="single",1.5,3)+3)/12))</f>
        <v>0</v>
      </c>
      <c r="AC1726">
        <f>AB1726-W1726</f>
        <v>0</v>
      </c>
      <c r="AD1726" cm="1">
        <f t="array" ref="AD1726">IFERROR(IF(AC1726&lt;0,0,AC1726/($R$1696-INDEX(hd_off,MATCH(AQ1726,hd_mark,0),0)/12)),0)</f>
        <v>0</v>
      </c>
      <c r="AE1726">
        <f>IF(S1726=0,0,$AD$1696*$AM$1686)</f>
        <v>0</v>
      </c>
      <c r="AF1726">
        <f>IFERROR(AE1726/$R$1696,0)</f>
        <v>0</v>
      </c>
      <c r="AG1726">
        <f>AE1726*($F$22+IF($F$22=0,0,($C$14+$C$15+IF($C$13="single",1.5,3)+3)/12))</f>
        <v>0</v>
      </c>
      <c r="AH1726">
        <f>AG1726-X1726</f>
        <v>0</v>
      </c>
      <c r="AI1726" cm="1">
        <f t="array" ref="AI1726">IFERROR(IF(AH1726&lt;0,0,AH1726/($R$1696-INDEX(hd_off,MATCH(AQ1726,hd_mark,0),0)/12)),0)</f>
        <v>0</v>
      </c>
      <c r="AJ1726">
        <f>MAX($F$22,$Z$1696)/$Q$1716</f>
        <v>0.30172413793103448</v>
      </c>
      <c r="AK1726">
        <f t="shared" ref="AK1726:AK1729" si="1077">IF(AJ1726=0,0,IF(AJ1726&gt;2,1.25-0.125*AJ1726,1))</f>
        <v>1</v>
      </c>
      <c r="AL1726" cm="1">
        <f t="array" ref="AL1726">IFERROR(INDEX(sheath_ecap_asd,MATCH(AP1726,sheath_mark,0),0)*AK1726,0)</f>
        <v>0</v>
      </c>
      <c r="AM1726" cm="1">
        <f t="array" ref="AM1726">IFERROR(INDEX(sheath_wcap_asd,MATCH(AP1726,sheath_mark,0),0)*AK1726,0)</f>
        <v>0</v>
      </c>
      <c r="AN1726" cm="1">
        <f t="array" ref="AN1726">IFERROR(INDEX(hd_cap,MATCH(AQ1726,hd_mark,0),0),0)</f>
        <v>0</v>
      </c>
      <c r="AP1726" s="19"/>
      <c r="AQ1726" s="19"/>
      <c r="AR1726" s="100"/>
      <c r="AS1726" s="93"/>
      <c r="AT1726" s="109"/>
      <c r="AU1726" t="str">
        <f>$Q$1686</f>
        <v>L3</v>
      </c>
      <c r="AV1726">
        <f>$E$22</f>
        <v>21.375</v>
      </c>
      <c r="AW1726" cm="1">
        <f t="array" ref="AW1726">IFERROR(IF(AV1726=0,0,(INDEX($C$33:$C$38,MATCH($AZ$1696,$B$33:$B$38,0),0)*(AV1729+$BA$1696)+$AW$1696*COUNTIF(AV1726:AV1728,"&gt;0")*$C$32+$AY$1696*$C$31)*$AU$1696),0)</f>
        <v>0</v>
      </c>
      <c r="AX1726">
        <f>IF(AV1726=0,0,-(COUNTIF(AV1726:AV1728,"&gt;0")*$AW$1696*$C$32+$AY$1696*$C$31)*$H$27*$AU$1696)</f>
        <v>0</v>
      </c>
      <c r="AY1726">
        <f>IF(AV1726=0,0,$AY$1696*$H$26*$AU$1696)</f>
        <v>0</v>
      </c>
      <c r="AZ1726">
        <f>(0.6*AW1726+0.7*AX1726)*$AU$1696/2</f>
        <v>0</v>
      </c>
      <c r="BA1726">
        <f>AW1726*$AU$1696/2</f>
        <v>0</v>
      </c>
      <c r="BC1726">
        <f>IF(AV1726=0,0,$BG$1696*$AP$1686)</f>
        <v>0</v>
      </c>
      <c r="BD1726">
        <f>IFERROR(BC1726/$AU$1696,0)</f>
        <v>0</v>
      </c>
      <c r="BE1726">
        <f>BC1726*($F$22+IF($F$22=0,0,($C$14+$C$15+IF($C$13="single",1.5,3)+3)/12))</f>
        <v>0</v>
      </c>
      <c r="BF1726">
        <f>BE1726-AZ1726</f>
        <v>0</v>
      </c>
      <c r="BG1726" cm="1">
        <f t="array" ref="BG1726">IFERROR(IF(BF1726&lt;0,0,BF1726/($AU$1696-INDEX(hd_off,MATCH(BT1726,hd_mark,0),0)/12)),0)</f>
        <v>0</v>
      </c>
      <c r="BH1726">
        <f>IF(AV1726=0,0,$BG$1696*$AM$1686)</f>
        <v>0</v>
      </c>
      <c r="BI1726">
        <f>IFERROR(BH1726/$AU$1696,0)</f>
        <v>0</v>
      </c>
      <c r="BJ1726">
        <f>BH1726*($F$22+IF($F$22=0,0,($C$14+$C$15+IF($C$13="single",1.5,3)+3)/12))</f>
        <v>0</v>
      </c>
      <c r="BK1726">
        <f>BJ1726-BA1726</f>
        <v>0</v>
      </c>
      <c r="BL1726" cm="1">
        <f t="array" ref="BL1726">IFERROR(IF(BK1726&lt;0,0,BK1726/($AU$1696-INDEX(hd_off,MATCH(BT1726,hd_mark,0),0)/12)),0)</f>
        <v>0</v>
      </c>
      <c r="BM1726">
        <f>MAX($F$22,$BC$1696)/$Q$1716</f>
        <v>0.30172413793103448</v>
      </c>
      <c r="BN1726">
        <f t="shared" ref="BN1726:BN1729" si="1078">IF(BM1726=0,0,IF(BM1726&gt;2,1.25-0.125*BM1726,1))</f>
        <v>1</v>
      </c>
      <c r="BO1726" cm="1">
        <f t="array" ref="BO1726">IFERROR(INDEX(sheath_ecap_asd,MATCH(BS1726,sheath_mark,0),0)*BN1726,0)</f>
        <v>0</v>
      </c>
      <c r="BP1726" cm="1">
        <f t="array" ref="BP1726">IFERROR(INDEX(sheath_wcap_asd,MATCH(BS1726,sheath_mark,0),0)*BN1726,0)</f>
        <v>0</v>
      </c>
      <c r="BQ1726" cm="1">
        <f t="array" ref="BQ1726">IFERROR(INDEX(hd_cap,MATCH(BT1726,hd_mark,0),0),0)</f>
        <v>0</v>
      </c>
      <c r="BS1726" s="19"/>
      <c r="BT1726" s="19"/>
      <c r="BU1726" s="100"/>
    </row>
    <row r="1727" x14ac:dyDescent="0.25">
      <c r="B1727" t="s">
        <v>285</v>
      </c>
      <c r="C1727" s="19"/>
      <c r="D1727" s="19"/>
      <c r="E1727">
        <f t="shared" si="1070"/>
        <v>0</v>
      </c>
      <c r="H1727">
        <v>22</v>
      </c>
      <c r="I1727" s="19"/>
      <c r="J1727" s="19"/>
      <c r="K1727">
        <f t="shared" si="1071"/>
        <v>0</v>
      </c>
      <c r="P1727" s="93"/>
      <c r="Q1727" s="109" t="s">
        <v>491</v>
      </c>
      <c r="R1727" t="str">
        <f>$Q$1687</f>
        <v>L4</v>
      </c>
      <c r="S1727">
        <f>$E$23</f>
        <v>0</v>
      </c>
      <c r="T1727" cm="1">
        <f t="array" ref="T1727">IFERROR(IF(S1727=0,0,(INDEX($C$33:$C$38,MATCH($W$1696,$B$33:$B$38,0),0)*(S1729+$X$1696)+$T$1696*COUNTIF(S1727:S1728,"&gt;0")*$C$32+$V$1696*$C$31)*$R$1696),0)</f>
        <v>0</v>
      </c>
      <c r="U1727">
        <f>IF(S1727=0,0,-(COUNTIF(S1727:S1728,"&gt;0")*$T$1696*$C$32+$V$1696*$C$31)*$H$27*$R$1696)</f>
        <v>0</v>
      </c>
      <c r="V1727">
        <f>IF(S1727=0,0,$V$1696*$H$26*$R$1696)</f>
        <v>0</v>
      </c>
      <c r="W1727">
        <f>(0.6*T1727+0.7*U1727)*$R$1696/2</f>
        <v>0</v>
      </c>
      <c r="X1727">
        <f>T1727*$R$1696/2</f>
        <v>0</v>
      </c>
      <c r="Z1727">
        <f>IF(S1727=0,0,$AD$1696*$AP$1687)</f>
        <v>0</v>
      </c>
      <c r="AA1727">
        <f>IFERROR(Z1727/$R$1696,0)</f>
        <v>0</v>
      </c>
      <c r="AB1727">
        <f>Z1727*($F$23+IF($F$23=0,0,($C$14+$C$15+IF($C$13="single",1.5,3)+3)/12))</f>
        <v>0</v>
      </c>
      <c r="AC1727">
        <f>AB1727-W1727</f>
        <v>0</v>
      </c>
      <c r="AD1727" cm="1">
        <f t="array" ref="AD1727">IFERROR(IF(AC1727&lt;0,0,AC1727/($R$1696-INDEX(hd_off,MATCH(AQ1727,hd_mark,0),0)/12)),0)</f>
        <v>0</v>
      </c>
      <c r="AE1727">
        <f>IF(S1727=0,0,$AD$1696*$AM$1687)</f>
        <v>0</v>
      </c>
      <c r="AF1727">
        <f>IFERROR(AE1727/$R$1696,0)</f>
        <v>0</v>
      </c>
      <c r="AG1727">
        <f>AE1727*($F$23+IF($F$23=0,0,($C$14+$C$15+IF($C$13="single",1.5,3)+3)/12))</f>
        <v>0</v>
      </c>
      <c r="AH1727">
        <f>AG1727-X1727</f>
        <v>0</v>
      </c>
      <c r="AI1727" cm="1">
        <f t="array" ref="AI1727">IFERROR(IF(AH1727&lt;0,0,AH1727/($R$1696-INDEX(hd_off,MATCH(AQ1727,hd_mark,0),0)/12)),0)</f>
        <v>0</v>
      </c>
      <c r="AJ1727">
        <f>MAX($F$23,$AA$1696)/$Q$1716</f>
        <v>0</v>
      </c>
      <c r="AK1727">
        <f t="shared" si="1077"/>
        <v>0</v>
      </c>
      <c r="AL1727" cm="1">
        <f t="array" ref="AL1727">IFERROR(INDEX(sheath_ecap_asd,MATCH(AP1727,sheath_mark,0),0)*AK1727,0)</f>
        <v>0</v>
      </c>
      <c r="AM1727" cm="1">
        <f t="array" ref="AM1727">IFERROR(INDEX(sheath_wcap_asd,MATCH(AP1727,sheath_mark,0),0)*AK1727,0)</f>
        <v>0</v>
      </c>
      <c r="AN1727" cm="1">
        <f t="array" ref="AN1727">IFERROR(INDEX(hd_cap,MATCH(AQ1727,hd_mark,0),0),0)</f>
        <v>0</v>
      </c>
      <c r="AP1727" s="19"/>
      <c r="AQ1727" s="19"/>
      <c r="AR1727" s="100"/>
      <c r="AS1727" s="93"/>
      <c r="AT1727" s="109" t="s">
        <v>491</v>
      </c>
      <c r="AU1727" t="str">
        <f>$Q$1687</f>
        <v>L4</v>
      </c>
      <c r="AV1727">
        <f>$E$23</f>
        <v>0</v>
      </c>
      <c r="AW1727" cm="1">
        <f t="array" ref="AW1727">IFERROR(IF(AV1727=0,0,(INDEX($C$33:$C$38,MATCH($AZ$1696,$B$33:$B$38,0),0)*(AV1729+$BA$1696)+$AW$1696*COUNTIF(AV1727:AV1728,"&gt;0")*$C$32+$AY$1696*$C$31)*$AU$1696),0)</f>
        <v>0</v>
      </c>
      <c r="AX1727">
        <f>IF(AV1727=0,0,-(COUNTIF(AV1727:AV1728,"&gt;0")*$AW$1696*$C$32+$AY$1696*$C$31)*$H$27*$AU$1696)</f>
        <v>0</v>
      </c>
      <c r="AY1727">
        <f>IF(AV1727=0,0,$AY$1696*$H$26*$AU$1696)</f>
        <v>0</v>
      </c>
      <c r="AZ1727">
        <f>(0.6*AW1727+0.7*AX1727)*$AU$1696/2</f>
        <v>0</v>
      </c>
      <c r="BA1727">
        <f>AW1727*$AU$1696/2</f>
        <v>0</v>
      </c>
      <c r="BC1727">
        <f>IF(AV1727=0,0,$BG$1696*$AP$1687)</f>
        <v>0</v>
      </c>
      <c r="BD1727">
        <f>IFERROR(BC1727/$AU$1696,0)</f>
        <v>0</v>
      </c>
      <c r="BE1727">
        <f>BC1727*($F$23+IF($F$23=0,0,($C$14+$C$15+IF($C$13="single",1.5,3)+3)/12))</f>
        <v>0</v>
      </c>
      <c r="BF1727">
        <f>BE1727-AZ1727</f>
        <v>0</v>
      </c>
      <c r="BG1727" cm="1">
        <f t="array" ref="BG1727">IFERROR(IF(BF1727&lt;0,0,BF1727/($AU$1696-INDEX(hd_off,MATCH(BT1727,hd_mark,0),0)/12)),0)</f>
        <v>0</v>
      </c>
      <c r="BH1727">
        <f>IF(AV1727=0,0,$BG$1696*$AM$1687)</f>
        <v>0</v>
      </c>
      <c r="BI1727">
        <f>IFERROR(BH1727/$AU$1696,0)</f>
        <v>0</v>
      </c>
      <c r="BJ1727">
        <f>BH1727*($F$23+IF($F$23=0,0,($C$14+$C$15+IF($C$13="single",1.5,3)+3)/12))</f>
        <v>0</v>
      </c>
      <c r="BK1727">
        <f>BJ1727-BA1727</f>
        <v>0</v>
      </c>
      <c r="BL1727" cm="1">
        <f t="array" ref="BL1727">IFERROR(IF(BK1727&lt;0,0,BK1727/($AU$1696-INDEX(hd_off,MATCH(BT1727,hd_mark,0),0)/12)),0)</f>
        <v>0</v>
      </c>
      <c r="BM1727">
        <f>MAX($F$23,$BD$1696)/$Q$1716</f>
        <v>0</v>
      </c>
      <c r="BN1727">
        <f t="shared" si="1078"/>
        <v>0</v>
      </c>
      <c r="BO1727" cm="1">
        <f t="array" ref="BO1727">IFERROR(INDEX(sheath_ecap_asd,MATCH(BS1727,sheath_mark,0),0)*BN1727,0)</f>
        <v>0</v>
      </c>
      <c r="BP1727" cm="1">
        <f t="array" ref="BP1727">IFERROR(INDEX(sheath_wcap_asd,MATCH(BS1727,sheath_mark,0),0)*BN1727,0)</f>
        <v>0</v>
      </c>
      <c r="BQ1727" cm="1">
        <f t="array" ref="BQ1727">IFERROR(INDEX(hd_cap,MATCH(BT1727,hd_mark,0),0),0)</f>
        <v>0</v>
      </c>
      <c r="BS1727" s="19"/>
      <c r="BT1727" s="19"/>
      <c r="BU1727" s="100"/>
    </row>
    <row r="1728" x14ac:dyDescent="0.25">
      <c r="B1728" t="s">
        <v>470</v>
      </c>
      <c r="C1728" s="19"/>
      <c r="D1728" s="19"/>
      <c r="E1728">
        <f t="shared" si="1070"/>
        <v>0</v>
      </c>
      <c r="H1728">
        <v>23</v>
      </c>
      <c r="I1728" s="19"/>
      <c r="J1728" s="19"/>
      <c r="K1728">
        <f t="shared" si="1071"/>
        <v>0</v>
      </c>
      <c r="P1728" s="93"/>
      <c r="Q1728" s="111">
        <f>$R$1696</f>
        <v>0</v>
      </c>
      <c r="R1728" t="str">
        <f>$Q$1688</f>
        <v>L5</v>
      </c>
      <c r="S1728">
        <f>$E$24</f>
        <v>0</v>
      </c>
      <c r="T1728" cm="1">
        <f t="array" ref="T1728">IFERROR(IF(S1728=0,0,(INDEX($C$33:$C$38,MATCH($W$1696,$B$33:$B$38,0),0)*(S1729+$X$1696)+$T$1696*COUNTIF(S1728:S1728,"&gt;0")*$C$32+$V$1696*$C$31)*$R$1696),0)</f>
        <v>0</v>
      </c>
      <c r="U1728">
        <f>IF(S1728=0,0,-(COUNTIF(S1728:S1728,"&gt;0")*$T$1696*$C$32+$V$1696*$C$31)*$H$27*$R$1696)</f>
        <v>0</v>
      </c>
      <c r="V1728">
        <f>IF(S1728=0,0,$V$1696*$H$26*$R$1696)</f>
        <v>0</v>
      </c>
      <c r="W1728">
        <f>(0.6*T1728+0.7*U1728)*$R$1696/2</f>
        <v>0</v>
      </c>
      <c r="X1728">
        <f>T1728*$R$1696/2</f>
        <v>0</v>
      </c>
      <c r="Z1728">
        <f>IF(S1728=0,0,$AD$1696*$AP$1688)</f>
        <v>0</v>
      </c>
      <c r="AA1728">
        <f>IFERROR(Z1728/$R$1696,0)</f>
        <v>0</v>
      </c>
      <c r="AB1728">
        <f>Z1728*($F$24+IF($F$24=0,0,($C$14+$C$15+IF($C$13="single",1.5,3)+3)/12))</f>
        <v>0</v>
      </c>
      <c r="AC1728">
        <f>AB1728-W1728</f>
        <v>0</v>
      </c>
      <c r="AD1728" cm="1">
        <f t="array" ref="AD1728">IFERROR(IF(AC1728&lt;0,0,AC1728/($R$1696-INDEX(hd_off,MATCH(AQ1728,hd_mark,0),0)/12)),0)</f>
        <v>0</v>
      </c>
      <c r="AE1728">
        <f>IF(S1728=0,0,$AD$1696*$AM$1688)</f>
        <v>0</v>
      </c>
      <c r="AF1728">
        <f>IFERROR(AE1728/$R$1696,0)</f>
        <v>0</v>
      </c>
      <c r="AG1728">
        <f>AE1728*($F$24+IF($F$24=0,0,($C$14+$C$15+IF($C$13="single",1.5,3)+3)/12))</f>
        <v>0</v>
      </c>
      <c r="AH1728">
        <f>AG1728-X1728</f>
        <v>0</v>
      </c>
      <c r="AI1728" cm="1">
        <f t="array" ref="AI1728">IFERROR(IF(AH1728&lt;0,0,AH1728/($R$1696-INDEX(hd_off,MATCH(AQ1728,hd_mark,0),0)/12)),0)</f>
        <v>0</v>
      </c>
      <c r="AJ1728">
        <f>MAX($F$24,$AB$1696)/$Q$1716</f>
        <v>0</v>
      </c>
      <c r="AK1728">
        <f t="shared" si="1077"/>
        <v>0</v>
      </c>
      <c r="AL1728" cm="1">
        <f t="array" ref="AL1728">IFERROR(INDEX(sheath_ecap_asd,MATCH(AP1728,sheath_mark,0),0)*AK1728,0)</f>
        <v>0</v>
      </c>
      <c r="AM1728" cm="1">
        <f t="array" ref="AM1728">IFERROR(INDEX(sheath_wcap_asd,MATCH(AP1728,sheath_mark,0),0)*AK1728,0)</f>
        <v>0</v>
      </c>
      <c r="AN1728" cm="1">
        <f t="array" ref="AN1728">IFERROR(INDEX(hd_cap,MATCH(AQ1728,hd_mark,0),0),0)</f>
        <v>0</v>
      </c>
      <c r="AP1728" s="19"/>
      <c r="AQ1728" s="19"/>
      <c r="AR1728" s="100"/>
      <c r="AS1728" s="93"/>
      <c r="AT1728" s="111">
        <f>$R$1696</f>
        <v>0</v>
      </c>
      <c r="AU1728" t="str">
        <f>$Q$1688</f>
        <v>L5</v>
      </c>
      <c r="AV1728">
        <f>$E$24</f>
        <v>0</v>
      </c>
      <c r="AW1728" cm="1">
        <f t="array" ref="AW1728">IFERROR(IF(AV1728=0,0,(INDEX($C$33:$C$38,MATCH($AZ$1696,$B$33:$B$38,0),0)*(AV1729+$BA$1696)+$AW$1696*COUNTIF(AV1728:AV1728,"&gt;0")*$C$32+$AY$1696*$C$31)*$AU$1696),0)</f>
        <v>0</v>
      </c>
      <c r="AX1728">
        <f>IF(AV1728=0,0,-(COUNTIF(AV1728:AV1728,"&gt;0")*$AW$1696*$C$32+$AY$1696*$C$31)*$H$27*$AU$1696)</f>
        <v>0</v>
      </c>
      <c r="AY1728">
        <f>IF(AV1728=0,0,$AY$1696*$H$26*$AU$1696)</f>
        <v>0</v>
      </c>
      <c r="AZ1728">
        <f>(0.6*AW1728+0.7*AX1728)*$AU$1696/2</f>
        <v>0</v>
      </c>
      <c r="BA1728">
        <f>AW1728*$AU$1696/2</f>
        <v>0</v>
      </c>
      <c r="BC1728">
        <f>IF(AV1728=0,0,$BG$1696*$AP$1688)</f>
        <v>0</v>
      </c>
      <c r="BD1728">
        <f>IFERROR(BC1728/$AU$1696,0)</f>
        <v>0</v>
      </c>
      <c r="BE1728">
        <f>BC1728*($F$24+IF($F$24=0,0,($C$14+$C$15+IF($C$13="single",1.5,3)+3)/12))</f>
        <v>0</v>
      </c>
      <c r="BF1728">
        <f>BE1728-AZ1728</f>
        <v>0</v>
      </c>
      <c r="BG1728" cm="1">
        <f t="array" ref="BG1728">IFERROR(IF(BF1728&lt;0,0,BF1728/($AU$1696-INDEX(hd_off,MATCH(BT1728,hd_mark,0),0)/12)),0)</f>
        <v>0</v>
      </c>
      <c r="BH1728">
        <f>IF(AV1728=0,0,$BG$1696*$AM$1688)</f>
        <v>0</v>
      </c>
      <c r="BI1728">
        <f>IFERROR(BH1728/$AU$1696,0)</f>
        <v>0</v>
      </c>
      <c r="BJ1728">
        <f>BH1728*($F$24+IF($F$24=0,0,($C$14+$C$15+IF($C$13="single",1.5,3)+3)/12))</f>
        <v>0</v>
      </c>
      <c r="BK1728">
        <f>BJ1728-BA1728</f>
        <v>0</v>
      </c>
      <c r="BL1728" cm="1">
        <f t="array" ref="BL1728">IFERROR(IF(BK1728&lt;0,0,BK1728/($AU$1696-INDEX(hd_off,MATCH(BT1728,hd_mark,0),0)/12)),0)</f>
        <v>0</v>
      </c>
      <c r="BM1728">
        <f>MAX($F$24,$BE$1696)/$Q$1716</f>
        <v>0</v>
      </c>
      <c r="BN1728">
        <f t="shared" si="1078"/>
        <v>0</v>
      </c>
      <c r="BO1728" cm="1">
        <f t="array" ref="BO1728">IFERROR(INDEX(sheath_ecap_asd,MATCH(BS1728,sheath_mark,0),0)*BN1728,0)</f>
        <v>0</v>
      </c>
      <c r="BP1728" cm="1">
        <f t="array" ref="BP1728">IFERROR(INDEX(sheath_wcap_asd,MATCH(BS1728,sheath_mark,0),0)*BN1728,0)</f>
        <v>0</v>
      </c>
      <c r="BQ1728" cm="1">
        <f t="array" ref="BQ1728">IFERROR(INDEX(hd_cap,MATCH(BT1728,hd_mark,0),0),0)</f>
        <v>0</v>
      </c>
      <c r="BS1728" s="19"/>
      <c r="BT1728" s="19"/>
      <c r="BU1728" s="100"/>
    </row>
    <row r="1729" x14ac:dyDescent="0.25">
      <c r="B1729" t="s">
        <v>471</v>
      </c>
      <c r="C1729" s="19"/>
      <c r="D1729" s="19"/>
      <c r="E1729">
        <f t="shared" si="1070"/>
        <v>0</v>
      </c>
      <c r="H1729">
        <v>24</v>
      </c>
      <c r="I1729" s="19"/>
      <c r="J1729" s="19"/>
      <c r="K1729">
        <f t="shared" si="1071"/>
        <v>0</v>
      </c>
      <c r="P1729" s="93"/>
      <c r="Q1729" s="109"/>
      <c r="R1729" t="str">
        <f>$Q$1689</f>
        <v>Roof</v>
      </c>
      <c r="S1729">
        <f>$E$25</f>
        <v>33.171875</v>
      </c>
      <c r="T1729" cm="1">
        <f t="array" ref="T1729">IFERROR(IF(S1729=0,0,(INDEX($C$33:$C$38,MATCH($W$1696,$B$33:$B$38,0),0)*(S1729+$X$1696)+$V$1696*$C$31)*$R$1696),0)</f>
        <v>0</v>
      </c>
      <c r="U1729">
        <f>IF(S1729=0,0,-$V$1696*$C$31*$H$27*$R$1696)</f>
        <v>0</v>
      </c>
      <c r="V1729">
        <f>IF(S1729=0,0,$V$1696*$H$26*$R$1696)</f>
        <v>0</v>
      </c>
      <c r="W1729">
        <f>(0.6*T1729+0.7*U1729)*$R$1696/2</f>
        <v>0</v>
      </c>
      <c r="X1729">
        <f>T1729*$R$1696/2</f>
        <v>0</v>
      </c>
      <c r="Z1729">
        <f>IF(S1729=0,0,$AD$1696*$AP$1689)</f>
        <v>0</v>
      </c>
      <c r="AA1729">
        <f>IFERROR(Z1729/$R$1696,0)</f>
        <v>0</v>
      </c>
      <c r="AB1729">
        <f>Z1729*($F$25+($C$16+$C$17+IF($C$13="single",1.5,3)+3)/12)</f>
        <v>0</v>
      </c>
      <c r="AC1729">
        <f>AB1729-W1729</f>
        <v>0</v>
      </c>
      <c r="AD1729" cm="1">
        <f t="array" ref="AD1729">IFERROR(IF(AC1729&lt;0,0,AC1729/($R$1696-INDEX(hd_off,MATCH(AQ1729,hd_mark,0),0)/12)),0)</f>
        <v>0</v>
      </c>
      <c r="AE1729">
        <f>IF(S1729=0,0,$AD$1696*$AM$1689)</f>
        <v>0</v>
      </c>
      <c r="AF1729">
        <f>IFERROR(AE1729/$R$1696,0)</f>
        <v>0</v>
      </c>
      <c r="AG1729">
        <f>AE1729*($F$25+($C$16+$C$17+IF($C$13="single",1.5,3)+3)/12)</f>
        <v>0</v>
      </c>
      <c r="AH1729">
        <f>AG1729-X1729</f>
        <v>0</v>
      </c>
      <c r="AI1729" cm="1">
        <f t="array" ref="AI1729">IFERROR(IF(AH1729&lt;0,0,AH1729/($R$1696-INDEX(hd_off,MATCH(AQ1729,hd_mark,0),0)/12)),0)</f>
        <v>0</v>
      </c>
      <c r="AJ1729">
        <f>MAX($F$25,$AC$1696)/$Q$1716</f>
        <v>0.29920977011494249</v>
      </c>
      <c r="AK1729">
        <f t="shared" si="1077"/>
        <v>1</v>
      </c>
      <c r="AL1729" cm="1">
        <f t="array" ref="AL1729">IFERROR(INDEX(sheath_ecap_asd,MATCH(AP1729,sheath_mark,0),0)*AK1729,0)</f>
        <v>0</v>
      </c>
      <c r="AM1729" cm="1">
        <f t="array" ref="AM1729">IFERROR(INDEX(sheath_wcap_asd,MATCH(AP1729,sheath_mark,0),0)*AK1729,0)</f>
        <v>0</v>
      </c>
      <c r="AN1729" cm="1">
        <f t="array" ref="AN1729">IFERROR(INDEX(hd_cap,MATCH(AQ1729,hd_mark,0),0),0)</f>
        <v>0</v>
      </c>
      <c r="AP1729" s="19"/>
      <c r="AQ1729" s="19"/>
      <c r="AR1729" s="100"/>
      <c r="AS1729" s="93"/>
      <c r="AT1729" s="109"/>
      <c r="AU1729" t="str">
        <f>$Q$1689</f>
        <v>Roof</v>
      </c>
      <c r="AV1729">
        <f>$E$25</f>
        <v>33.171875</v>
      </c>
      <c r="AW1729" cm="1">
        <f t="array" ref="AW1729">IFERROR(IF(AV1729=0,0,(INDEX($C$33:$C$38,MATCH($AZ$1696,$B$33:$B$38,0),0)*(AV1729+$BA$1696)+$AY$1696*$C$31)*$AU$1696),0)</f>
        <v>0</v>
      </c>
      <c r="AX1729">
        <f>IF(AV1729=0,0,-$AY$1696*$C$31*$H$27*$AU$1696)</f>
        <v>0</v>
      </c>
      <c r="AY1729">
        <f>IF(AV1729=0,0,$AY$1696*$H$26*$AU$1696)</f>
        <v>0</v>
      </c>
      <c r="AZ1729">
        <f>(0.6*AW1729+0.7*AX1729)*$AU$1696/2</f>
        <v>0</v>
      </c>
      <c r="BA1729">
        <f>AW1729*$AU$1696/2</f>
        <v>0</v>
      </c>
      <c r="BC1729">
        <f>IF(AV1729=0,0,$BG$1696*$AP$1689)</f>
        <v>0</v>
      </c>
      <c r="BD1729">
        <f>IFERROR(BC1729/$AU$1696,0)</f>
        <v>0</v>
      </c>
      <c r="BE1729">
        <f>BC1729*($F$25+($C$16+$C$17+IF($C$13="single",1.5,3)+3)/12)</f>
        <v>0</v>
      </c>
      <c r="BF1729">
        <f>BE1729-AZ1729</f>
        <v>0</v>
      </c>
      <c r="BG1729" cm="1">
        <f t="array" ref="BG1729">IFERROR(IF(BF1729&lt;0,0,BF1729/($AU$1696-INDEX(hd_off,MATCH(BT1729,hd_mark,0),0)/12)),0)</f>
        <v>0</v>
      </c>
      <c r="BH1729">
        <f>IF(AV1729=0,0,$BG$1696*$AM$1689)</f>
        <v>0</v>
      </c>
      <c r="BI1729">
        <f>IFERROR(BH1729/$AU$1696,0)</f>
        <v>0</v>
      </c>
      <c r="BJ1729">
        <f>BH1729*($F$25+($C$16+$C$17+IF($C$13="single",1.5,3)+3)/12)</f>
        <v>0</v>
      </c>
      <c r="BK1729">
        <f>BJ1729-BA1729</f>
        <v>0</v>
      </c>
      <c r="BL1729" cm="1">
        <f t="array" ref="BL1729">IFERROR(IF(BK1729&lt;0,0,BK1729/($AU$1696-INDEX(hd_off,MATCH(BT1729,hd_mark,0),0)/12)),0)</f>
        <v>0</v>
      </c>
      <c r="BM1729">
        <f>MAX($F$25,$BF$1696)/$Q$1716</f>
        <v>0.29920977011494249</v>
      </c>
      <c r="BN1729">
        <f t="shared" si="1078"/>
        <v>1</v>
      </c>
      <c r="BO1729" cm="1">
        <f t="array" ref="BO1729">IFERROR(INDEX(sheath_ecap_asd,MATCH(BS1729,sheath_mark,0),0)*BN1729,0)</f>
        <v>0</v>
      </c>
      <c r="BP1729" cm="1">
        <f t="array" ref="BP1729">IFERROR(INDEX(sheath_wcap_asd,MATCH(BS1729,sheath_mark,0),0)*BN1729,0)</f>
        <v>0</v>
      </c>
      <c r="BQ1729" cm="1">
        <f t="array" ref="BQ1729">IFERROR(INDEX(hd_cap,MATCH(BT1729,hd_mark,0),0),0)</f>
        <v>0</v>
      </c>
      <c r="BS1729" s="19"/>
      <c r="BT1729" s="19"/>
      <c r="BU1729" s="100"/>
    </row>
    <row r="1730" x14ac:dyDescent="0.25">
      <c r="B1730" t="s">
        <v>472</v>
      </c>
      <c r="C1730" s="19"/>
      <c r="D1730" s="19"/>
      <c r="E1730">
        <f t="shared" si="1070"/>
        <v>0</v>
      </c>
      <c r="H1730">
        <v>25</v>
      </c>
      <c r="I1730" s="19"/>
      <c r="J1730" s="19"/>
      <c r="K1730">
        <f t="shared" si="1071"/>
        <v>0</v>
      </c>
      <c r="P1730" s="93"/>
      <c r="AR1730" s="100"/>
      <c r="AS1730" s="93"/>
      <c r="BU1730" s="100"/>
    </row>
    <row r="1731" x14ac:dyDescent="0.25">
      <c r="B1731" t="s">
        <v>473</v>
      </c>
      <c r="C1731" s="19"/>
      <c r="D1731" s="19"/>
      <c r="E1731">
        <f t="shared" si="1070"/>
        <v>0</v>
      </c>
      <c r="H1731">
        <v>26</v>
      </c>
      <c r="I1731" s="19"/>
      <c r="J1731" s="19"/>
      <c r="K1731">
        <f t="shared" si="1071"/>
        <v>0</v>
      </c>
      <c r="P1731" s="93"/>
      <c r="Q1731" s="110" t="str">
        <f>$Q$1697</f>
        <v>A.04</v>
      </c>
      <c r="R1731" t="str">
        <f>$Q$1685</f>
        <v>L2</v>
      </c>
      <c r="S1731">
        <f>$E$21</f>
        <v>10.6875</v>
      </c>
      <c r="T1731" cm="1">
        <f t="array" ref="T1731">IFERROR(IF(S1731=0,0,(INDEX($C$33:$C$38,MATCH($W$1697,$B$33:$B$38,0),0)*(S1735+$X$1697)+$T$1697*COUNTIF(S1731:S1734,"&gt;0")*$C$32+$V$1697*$C$31)*$R$1697),0)</f>
        <v>0</v>
      </c>
      <c r="U1731">
        <f>IF(S1731=0,0,-(COUNTIF(S1731:S1734,"&gt;0")*$T$1697*$C$32+$V$1697*$C$31)*$H$27*$R$1697)</f>
        <v>0</v>
      </c>
      <c r="V1731">
        <f>IF(S1731=0,0,$V$1697*$H$26*$R$1697)</f>
        <v>0</v>
      </c>
      <c r="W1731">
        <f>(0.6*T1731+0.7*U1731)*$R$1697/2</f>
        <v>0</v>
      </c>
      <c r="X1731">
        <f>(0.6*T1731+0.6*V1731)*$R$1697/2</f>
        <v>0</v>
      </c>
      <c r="Z1731">
        <f>IF(S1731=0,0,$AD$1697*$AP$1685)</f>
        <v>0</v>
      </c>
      <c r="AA1731">
        <f>IFERROR(Z1731/$R$1697,0)</f>
        <v>0</v>
      </c>
      <c r="AB1731">
        <f>Z1731*($F$21+IF($F$21=0,0,($C$14+$C$15+IF($C$13="single",1.5,3)+3)/12))</f>
        <v>0</v>
      </c>
      <c r="AC1731">
        <f>AB1731-W1731</f>
        <v>0</v>
      </c>
      <c r="AD1731" cm="1">
        <f t="array" ref="AD1731">IFERROR(IF(AC1731&lt;0,0,AC1731/($R$1697-INDEX(hd_off,MATCH(AQ1731,hd_mark,0),0)/12)),0)</f>
        <v>0</v>
      </c>
      <c r="AE1731">
        <f>IF(S1731=0,0,$AD$1697*$AM$1685)</f>
        <v>0</v>
      </c>
      <c r="AF1731">
        <f>IFERROR(AE1731/$R$1697,0)</f>
        <v>0</v>
      </c>
      <c r="AG1731">
        <f>AE1731*($F$21+IF($F$21=0,0,($C$14+$C$15+IF($C$13="single",1.5,3)+3)/12))</f>
        <v>0</v>
      </c>
      <c r="AH1731">
        <f>AG1731-X1731</f>
        <v>0</v>
      </c>
      <c r="AI1731" cm="1">
        <f t="array" ref="AI1731">IFERROR(IF(AH1731&lt;0,0,AH1731/($R$1697-INDEX(hd_off,MATCH(AQ1731,hd_mark,0),0)/12)),0)</f>
        <v>0</v>
      </c>
      <c r="AJ1731">
        <f>MAX($F$21,$Y$1697)/$Q$1716</f>
        <v>0.30172413793103448</v>
      </c>
      <c r="AK1731">
        <f>IF(AJ1731=0,0,IF(AJ1731&gt;2,1.25-0.125*AJ1731,1))</f>
        <v>1</v>
      </c>
      <c r="AL1731" cm="1">
        <f t="array" ref="AL1731">IFERROR(INDEX(sheath_ecap_asd,MATCH(AP1731,sheath_mark,0),0)*AK1731,0)</f>
        <v>0</v>
      </c>
      <c r="AM1731" cm="1">
        <f t="array" ref="AM1731">IFERROR(INDEX(sheath_wcap_asd,MATCH(AP1731,sheath_mark,0),0)*AK1731,0)</f>
        <v>0</v>
      </c>
      <c r="AN1731" cm="1">
        <f t="array" ref="AN1731">IFERROR(INDEX(hd_cap,MATCH(AQ1731,hd_mark,0),0),0)</f>
        <v>0</v>
      </c>
      <c r="AP1731" s="19"/>
      <c r="AQ1731" s="19"/>
      <c r="AR1731" s="100"/>
      <c r="AS1731" s="93"/>
      <c r="AT1731" s="110" t="str">
        <f>$AT$1697</f>
        <v>1.04</v>
      </c>
      <c r="AU1731" t="str">
        <f>$Q$1685</f>
        <v>L2</v>
      </c>
      <c r="AV1731">
        <f>$E$21</f>
        <v>10.6875</v>
      </c>
      <c r="AW1731" cm="1">
        <f t="array" ref="AW1731">IFERROR(IF(AV1731=0,0,(INDEX($C$33:$C$38,MATCH($AZ$1697,$B$33:$B$38,0),0)*(AV1735+$BA$1697)+$AW$1697*COUNTIF(AV1731:AV1734,"&gt;0")*$C$32+$AY$1697*$C$31)*$AU$1697),0)</f>
        <v>0</v>
      </c>
      <c r="AX1731">
        <f>IF(AV1731=0,0,-(COUNTIF(AV1731:AV1734,"&gt;0")*$AW$1697*$C$32+$AY$1697*$C$31)*$H$27*$AU$1697)</f>
        <v>0</v>
      </c>
      <c r="AY1731">
        <f>IF(AV1731=0,0,$AY$1697*$H$26*$AU$1697)</f>
        <v>0</v>
      </c>
      <c r="AZ1731">
        <f>(0.6*AW1731+0.7*AX1731)*$AU$1697/2</f>
        <v>0</v>
      </c>
      <c r="BA1731">
        <f>(0.6*AW1731+0.6*AY1731)*$AU$1697/2</f>
        <v>0</v>
      </c>
      <c r="BC1731">
        <f>IF(AV1731=0,0,$BG$1697*$AP$1685)</f>
        <v>0</v>
      </c>
      <c r="BD1731">
        <f>IFERROR(BC1731/$AU$1697,0)</f>
        <v>0</v>
      </c>
      <c r="BE1731">
        <f>BC1731*($F$21+IF($F$21=0,0,($C$14+$C$15+IF($C$13="single",1.5,3)+3)/12))</f>
        <v>0</v>
      </c>
      <c r="BF1731">
        <f>BE1731-AZ1731</f>
        <v>0</v>
      </c>
      <c r="BG1731" cm="1">
        <f t="array" ref="BG1731">IFERROR(IF(BF1731&lt;0,0,BF1731/($AU$1697-INDEX(hd_off,MATCH(BT1731,hd_mark,0),0)/12)),0)</f>
        <v>0</v>
      </c>
      <c r="BH1731">
        <f>IF(AV1731=0,0,$BG$1697*$AM$1685)</f>
        <v>0</v>
      </c>
      <c r="BI1731">
        <f>IFERROR(BH1731/$AU$1697,0)</f>
        <v>0</v>
      </c>
      <c r="BJ1731">
        <f>BH1731*($F$21+IF($F$21=0,0,($C$14+$C$15+IF($C$13="single",1.5,3)+3)/12))</f>
        <v>0</v>
      </c>
      <c r="BK1731">
        <f>BJ1731-BA1731</f>
        <v>0</v>
      </c>
      <c r="BL1731" cm="1">
        <f t="array" ref="BL1731">IFERROR(IF(BK1731&lt;0,0,BK1731/($AU$1697-INDEX(hd_off,MATCH(BT1731,hd_mark,0),0)/12)),0)</f>
        <v>0</v>
      </c>
      <c r="BM1731">
        <f>MAX($F$21,$BB$1697)/$Q$1716</f>
        <v>0.30172413793103448</v>
      </c>
      <c r="BN1731">
        <f>IF(BM1731=0,0,IF(BM1731&gt;2,1.25-0.125*BM1731,1))</f>
        <v>1</v>
      </c>
      <c r="BO1731" cm="1">
        <f t="array" ref="BO1731">IFERROR(INDEX(sheath_ecap_asd,MATCH(BS1731,sheath_mark,0),0)*BN1731,0)</f>
        <v>0</v>
      </c>
      <c r="BP1731" cm="1">
        <f t="array" ref="BP1731">IFERROR(INDEX(sheath_wcap_asd,MATCH(BS1731,sheath_mark,0),0)*BN1731,0)</f>
        <v>0</v>
      </c>
      <c r="BQ1731" cm="1">
        <f t="array" ref="BQ1731">IFERROR(INDEX(hd_cap,MATCH(BT1731,hd_mark,0),0),0)</f>
        <v>0</v>
      </c>
      <c r="BS1731" s="19"/>
      <c r="BT1731" s="19"/>
      <c r="BU1731" s="100"/>
    </row>
    <row r="1732" x14ac:dyDescent="0.25">
      <c r="P1732" s="93"/>
      <c r="Q1732" s="109"/>
      <c r="R1732" t="str">
        <f>$Q$1686</f>
        <v>L3</v>
      </c>
      <c r="S1732">
        <f>$E$22</f>
        <v>21.375</v>
      </c>
      <c r="T1732" cm="1">
        <f t="array" ref="T1732">IFERROR(IF(S1732=0,0,(INDEX($C$33:$C$38,MATCH($W$1697,$B$33:$B$38,0),0)*(S1735+$X$1697)+$T$1697*COUNTIF(S1732:S1734,"&gt;0")*$C$32+$V$1697*$C$31)*$R$1697),0)</f>
        <v>0</v>
      </c>
      <c r="U1732">
        <f>IF(S1732=0,0,-(COUNTIF(S1732:S1734,"&gt;0")*$T$1697*$C$32+$V$1697*$C$31)*$H$27*$R$1697)</f>
        <v>0</v>
      </c>
      <c r="V1732">
        <f>IF(S1732=0,0,$V$1697*$H$26*$R$1697)</f>
        <v>0</v>
      </c>
      <c r="W1732">
        <f>(0.6*T1732+0.7*U1732)*$R$1697/2</f>
        <v>0</v>
      </c>
      <c r="X1732">
        <f>T1732*$R$1697/2</f>
        <v>0</v>
      </c>
      <c r="Z1732">
        <f>IF(S1732=0,0,$AD$1697*$AP$1686)</f>
        <v>0</v>
      </c>
      <c r="AA1732">
        <f>IFERROR(Z1732/$R$1697,0)</f>
        <v>0</v>
      </c>
      <c r="AB1732">
        <f>Z1732*($F$22+IF($F$22=0,0,($C$14+$C$15+IF($C$13="single",1.5,3)+3)/12))</f>
        <v>0</v>
      </c>
      <c r="AC1732">
        <f>AB1732-W1732</f>
        <v>0</v>
      </c>
      <c r="AD1732" cm="1">
        <f t="array" ref="AD1732">IFERROR(IF(AC1732&lt;0,0,AC1732/($R$1697-INDEX(hd_off,MATCH(AQ1732,hd_mark,0),0)/12)),0)</f>
        <v>0</v>
      </c>
      <c r="AE1732">
        <f>IF(S1732=0,0,$AD$1697*$AM$1686)</f>
        <v>0</v>
      </c>
      <c r="AF1732">
        <f>IFERROR(AE1732/$R$1697,0)</f>
        <v>0</v>
      </c>
      <c r="AG1732">
        <f>AE1732*($F$22+IF($F$22=0,0,($C$14+$C$15+IF($C$13="single",1.5,3)+3)/12))</f>
        <v>0</v>
      </c>
      <c r="AH1732">
        <f>AG1732-X1732</f>
        <v>0</v>
      </c>
      <c r="AI1732" cm="1">
        <f t="array" ref="AI1732">IFERROR(IF(AH1732&lt;0,0,AH1732/($R$1697-INDEX(hd_off,MATCH(AQ1732,hd_mark,0),0)/12)),0)</f>
        <v>0</v>
      </c>
      <c r="AJ1732">
        <f>MAX($F$22,$Z$1697)/$Q$1716</f>
        <v>0.30172413793103448</v>
      </c>
      <c r="AK1732">
        <f t="shared" ref="AK1732:AK1735" si="1079">IF(AJ1732=0,0,IF(AJ1732&gt;2,1.25-0.125*AJ1732,1))</f>
        <v>1</v>
      </c>
      <c r="AL1732" cm="1">
        <f t="array" ref="AL1732">IFERROR(INDEX(sheath_ecap_asd,MATCH(AP1732,sheath_mark,0),0)*AK1732,0)</f>
        <v>0</v>
      </c>
      <c r="AM1732" cm="1">
        <f t="array" ref="AM1732">IFERROR(INDEX(sheath_wcap_asd,MATCH(AP1732,sheath_mark,0),0)*AK1732,0)</f>
        <v>0</v>
      </c>
      <c r="AN1732" cm="1">
        <f t="array" ref="AN1732">IFERROR(INDEX(hd_cap,MATCH(AQ1732,hd_mark,0),0),0)</f>
        <v>0</v>
      </c>
      <c r="AP1732" s="19"/>
      <c r="AQ1732" s="19"/>
      <c r="AR1732" s="100"/>
      <c r="AS1732" s="93"/>
      <c r="AT1732" s="109"/>
      <c r="AU1732" t="str">
        <f>$Q$1686</f>
        <v>L3</v>
      </c>
      <c r="AV1732">
        <f>$E$22</f>
        <v>21.375</v>
      </c>
      <c r="AW1732" cm="1">
        <f t="array" ref="AW1732">IFERROR(IF(AV1732=0,0,(INDEX($C$33:$C$38,MATCH($AZ$1697,$B$33:$B$38,0),0)*(AV1735+$BA$1697)+$AW$1697*COUNTIF(AV1732:AV1734,"&gt;0")*$C$32+$AY$1697*$C$31)*$AU$1697),0)</f>
        <v>0</v>
      </c>
      <c r="AX1732">
        <f>IF(AV1732=0,0,-(COUNTIF(AV1732:AV1734,"&gt;0")*$AW$1697*$C$32+$AY$1697*$C$31)*$H$27*$AU$1697)</f>
        <v>0</v>
      </c>
      <c r="AY1732">
        <f>IF(AV1732=0,0,$AY$1697*$H$26*$AU$1697)</f>
        <v>0</v>
      </c>
      <c r="AZ1732">
        <f>(0.6*AW1732+0.7*AX1732)*$AU$1697/2</f>
        <v>0</v>
      </c>
      <c r="BA1732">
        <f>AW1732*$AU$1697/2</f>
        <v>0</v>
      </c>
      <c r="BC1732">
        <f>IF(AV1732=0,0,$BG$1697*$AP$1686)</f>
        <v>0</v>
      </c>
      <c r="BD1732">
        <f>IFERROR(BC1732/$AU$1697,0)</f>
        <v>0</v>
      </c>
      <c r="BE1732">
        <f>BC1732*($F$22+IF($F$22=0,0,($C$14+$C$15+IF($C$13="single",1.5,3)+3)/12))</f>
        <v>0</v>
      </c>
      <c r="BF1732">
        <f>BE1732-AZ1732</f>
        <v>0</v>
      </c>
      <c r="BG1732" cm="1">
        <f t="array" ref="BG1732">IFERROR(IF(BF1732&lt;0,0,BF1732/($AU$1697-INDEX(hd_off,MATCH(BT1732,hd_mark,0),0)/12)),0)</f>
        <v>0</v>
      </c>
      <c r="BH1732">
        <f>IF(AV1732=0,0,$BG$1697*$AM$1686)</f>
        <v>0</v>
      </c>
      <c r="BI1732">
        <f>IFERROR(BH1732/$AU$1697,0)</f>
        <v>0</v>
      </c>
      <c r="BJ1732">
        <f>BH1732*($F$22+IF($F$22=0,0,($C$14+$C$15+IF($C$13="single",1.5,3)+3)/12))</f>
        <v>0</v>
      </c>
      <c r="BK1732">
        <f>BJ1732-BA1732</f>
        <v>0</v>
      </c>
      <c r="BL1732" cm="1">
        <f t="array" ref="BL1732">IFERROR(IF(BK1732&lt;0,0,BK1732/($AU$1697-INDEX(hd_off,MATCH(BT1732,hd_mark,0),0)/12)),0)</f>
        <v>0</v>
      </c>
      <c r="BM1732">
        <f>MAX($F$22,$BC$1697)/$Q$1716</f>
        <v>0.30172413793103448</v>
      </c>
      <c r="BN1732">
        <f t="shared" ref="BN1732:BN1735" si="1080">IF(BM1732=0,0,IF(BM1732&gt;2,1.25-0.125*BM1732,1))</f>
        <v>1</v>
      </c>
      <c r="BO1732" cm="1">
        <f t="array" ref="BO1732">IFERROR(INDEX(sheath_ecap_asd,MATCH(BS1732,sheath_mark,0),0)*BN1732,0)</f>
        <v>0</v>
      </c>
      <c r="BP1732" cm="1">
        <f t="array" ref="BP1732">IFERROR(INDEX(sheath_wcap_asd,MATCH(BS1732,sheath_mark,0),0)*BN1732,0)</f>
        <v>0</v>
      </c>
      <c r="BQ1732" cm="1">
        <f t="array" ref="BQ1732">IFERROR(INDEX(hd_cap,MATCH(BT1732,hd_mark,0),0),0)</f>
        <v>0</v>
      </c>
      <c r="BS1732" s="19"/>
      <c r="BT1732" s="19"/>
      <c r="BU1732" s="100"/>
    </row>
    <row r="1733" x14ac:dyDescent="0.25">
      <c r="B1733" s="1"/>
      <c r="P1733" s="93"/>
      <c r="Q1733" s="109" t="s">
        <v>491</v>
      </c>
      <c r="R1733" t="str">
        <f>$Q$1687</f>
        <v>L4</v>
      </c>
      <c r="S1733">
        <f>$E$23</f>
        <v>0</v>
      </c>
      <c r="T1733" cm="1">
        <f t="array" ref="T1733">IFERROR(IF(S1733=0,0,(INDEX($C$33:$C$38,MATCH($W$1697,$B$33:$B$38,0),0)*(S1735+$X$1697)+$T$1697*COUNTIF(S1733:S1734,"&gt;0")*$C$32+$V$1697*$C$31)*$R$1697),0)</f>
        <v>0</v>
      </c>
      <c r="U1733">
        <f>IF(S1733=0,0,-(COUNTIF(S1733:S1734,"&gt;0")*$T$1697*$C$32+$V$1697*$C$31)*$H$27*$R$1697)</f>
        <v>0</v>
      </c>
      <c r="V1733">
        <f>IF(S1733=0,0,$V$1697*$H$26*$R$1697)</f>
        <v>0</v>
      </c>
      <c r="W1733">
        <f>(0.6*T1733+0.7*U1733)*$R$1697/2</f>
        <v>0</v>
      </c>
      <c r="X1733">
        <f>T1733*$R$1697/2</f>
        <v>0</v>
      </c>
      <c r="Z1733">
        <f>IF(S1733=0,0,$AD$1697*$AP$1687)</f>
        <v>0</v>
      </c>
      <c r="AA1733">
        <f>IFERROR(Z1733/$R$1697,0)</f>
        <v>0</v>
      </c>
      <c r="AB1733">
        <f>Z1733*($F$23+IF($F$23=0,0,($C$14+$C$15+IF($C$13="single",1.5,3)+3)/12))</f>
        <v>0</v>
      </c>
      <c r="AC1733">
        <f>AB1733-W1733</f>
        <v>0</v>
      </c>
      <c r="AD1733" cm="1">
        <f t="array" ref="AD1733">IFERROR(IF(AC1733&lt;0,0,AC1733/($R$1697-INDEX(hd_off,MATCH(AQ1733,hd_mark,0),0)/12)),0)</f>
        <v>0</v>
      </c>
      <c r="AE1733">
        <f>IF(S1733=0,0,$AD$1697*$AM$1687)</f>
        <v>0</v>
      </c>
      <c r="AF1733">
        <f>IFERROR(AE1733/$R$1697,0)</f>
        <v>0</v>
      </c>
      <c r="AG1733">
        <f>AE1733*($F$23+IF($F$23=0,0,($C$14+$C$15+IF($C$13="single",1.5,3)+3)/12))</f>
        <v>0</v>
      </c>
      <c r="AH1733">
        <f>AG1733-X1733</f>
        <v>0</v>
      </c>
      <c r="AI1733" cm="1">
        <f t="array" ref="AI1733">IFERROR(IF(AH1733&lt;0,0,AH1733/($R$1697-INDEX(hd_off,MATCH(AQ1733,hd_mark,0),0)/12)),0)</f>
        <v>0</v>
      </c>
      <c r="AJ1733">
        <f>MAX($F$23,$AA$1697)/$Q$1716</f>
        <v>0</v>
      </c>
      <c r="AK1733">
        <f t="shared" si="1079"/>
        <v>0</v>
      </c>
      <c r="AL1733" cm="1">
        <f t="array" ref="AL1733">IFERROR(INDEX(sheath_ecap_asd,MATCH(AP1733,sheath_mark,0),0)*AK1733,0)</f>
        <v>0</v>
      </c>
      <c r="AM1733" cm="1">
        <f t="array" ref="AM1733">IFERROR(INDEX(sheath_wcap_asd,MATCH(AP1733,sheath_mark,0),0)*AK1733,0)</f>
        <v>0</v>
      </c>
      <c r="AN1733" cm="1">
        <f t="array" ref="AN1733">IFERROR(INDEX(hd_cap,MATCH(AQ1733,hd_mark,0),0),0)</f>
        <v>0</v>
      </c>
      <c r="AP1733" s="19"/>
      <c r="AQ1733" s="19"/>
      <c r="AR1733" s="100"/>
      <c r="AS1733" s="93"/>
      <c r="AT1733" s="109" t="s">
        <v>491</v>
      </c>
      <c r="AU1733" t="str">
        <f>$Q$1687</f>
        <v>L4</v>
      </c>
      <c r="AV1733">
        <f>$E$23</f>
        <v>0</v>
      </c>
      <c r="AW1733" cm="1">
        <f t="array" ref="AW1733">IFERROR(IF(AV1733=0,0,(INDEX($C$33:$C$38,MATCH($AZ$1697,$B$33:$B$38,0),0)*(AV1735+$BA$1697)+$AW$1697*COUNTIF(AV1733:AV1734,"&gt;0")*$C$32+$AY$1697*$C$31)*$AU$1697),0)</f>
        <v>0</v>
      </c>
      <c r="AX1733">
        <f>IF(AV1733=0,0,-(COUNTIF(AV1733:AV1734,"&gt;0")*$AW$1697*$C$32+$AY$1697*$C$31)*$H$27*$AU$1697)</f>
        <v>0</v>
      </c>
      <c r="AY1733">
        <f>IF(AV1733=0,0,$AY$1697*$H$26*$AU$1697)</f>
        <v>0</v>
      </c>
      <c r="AZ1733">
        <f>(0.6*AW1733+0.7*AX1733)*$AU$1697/2</f>
        <v>0</v>
      </c>
      <c r="BA1733">
        <f>AW1733*$AU$1697/2</f>
        <v>0</v>
      </c>
      <c r="BC1733">
        <f>IF(AV1733=0,0,$BG$1697*$AP$1687)</f>
        <v>0</v>
      </c>
      <c r="BD1733">
        <f>IFERROR(BC1733/$AU$1697,0)</f>
        <v>0</v>
      </c>
      <c r="BE1733">
        <f>BC1733*($F$23+IF($F$23=0,0,($C$14+$C$15+IF($C$13="single",1.5,3)+3)/12))</f>
        <v>0</v>
      </c>
      <c r="BF1733">
        <f>BE1733-AZ1733</f>
        <v>0</v>
      </c>
      <c r="BG1733" cm="1">
        <f t="array" ref="BG1733">IFERROR(IF(BF1733&lt;0,0,BF1733/($AU$1697-INDEX(hd_off,MATCH(BT1733,hd_mark,0),0)/12)),0)</f>
        <v>0</v>
      </c>
      <c r="BH1733">
        <f>IF(AV1733=0,0,$BG$1697*$AM$1687)</f>
        <v>0</v>
      </c>
      <c r="BI1733">
        <f>IFERROR(BH1733/$AU$1697,0)</f>
        <v>0</v>
      </c>
      <c r="BJ1733">
        <f>BH1733*($F$23+IF($F$23=0,0,($C$14+$C$15+IF($C$13="single",1.5,3)+3)/12))</f>
        <v>0</v>
      </c>
      <c r="BK1733">
        <f>BJ1733-BA1733</f>
        <v>0</v>
      </c>
      <c r="BL1733" cm="1">
        <f t="array" ref="BL1733">IFERROR(IF(BK1733&lt;0,0,BK1733/($AU$1697-INDEX(hd_off,MATCH(BT1733,hd_mark,0),0)/12)),0)</f>
        <v>0</v>
      </c>
      <c r="BM1733">
        <f>MAX($F$23,$BD$1697)/$Q$1716</f>
        <v>0</v>
      </c>
      <c r="BN1733">
        <f t="shared" si="1080"/>
        <v>0</v>
      </c>
      <c r="BO1733" cm="1">
        <f t="array" ref="BO1733">IFERROR(INDEX(sheath_ecap_asd,MATCH(BS1733,sheath_mark,0),0)*BN1733,0)</f>
        <v>0</v>
      </c>
      <c r="BP1733" cm="1">
        <f t="array" ref="BP1733">IFERROR(INDEX(sheath_wcap_asd,MATCH(BS1733,sheath_mark,0),0)*BN1733,0)</f>
        <v>0</v>
      </c>
      <c r="BQ1733" cm="1">
        <f t="array" ref="BQ1733">IFERROR(INDEX(hd_cap,MATCH(BT1733,hd_mark,0),0),0)</f>
        <v>0</v>
      </c>
      <c r="BS1733" s="19"/>
      <c r="BT1733" s="19"/>
      <c r="BU1733" s="100"/>
    </row>
    <row r="1734" x14ac:dyDescent="0.25">
      <c r="P1734" s="93"/>
      <c r="Q1734" s="111">
        <f>$R$1697</f>
        <v>0</v>
      </c>
      <c r="R1734" t="str">
        <f>$Q$1688</f>
        <v>L5</v>
      </c>
      <c r="S1734">
        <f>$E$24</f>
        <v>0</v>
      </c>
      <c r="T1734" cm="1">
        <f t="array" ref="T1734">IFERROR(IF(S1734=0,0,(INDEX($C$33:$C$38,MATCH($W$1697,$B$33:$B$38,0),0)*(S1735+$X$1697)+$T$1697*COUNTIF(S1734:S1734,"&gt;0")*$C$32+$V$1697*$C$31)*$R$1697),0)</f>
        <v>0</v>
      </c>
      <c r="U1734">
        <f>IF(S1734=0,0,-(COUNTIF(S1734:S1734,"&gt;0")*$T$1697*$C$32+$V$1697*$C$31)*$H$27*$R$1697)</f>
        <v>0</v>
      </c>
      <c r="V1734">
        <f>IF(S1734=0,0,$V$1697*$H$26*$R$1697)</f>
        <v>0</v>
      </c>
      <c r="W1734">
        <f>(0.6*T1734+0.7*U1734)*$R$1697/2</f>
        <v>0</v>
      </c>
      <c r="X1734">
        <f>T1734*$R$1697/2</f>
        <v>0</v>
      </c>
      <c r="Z1734">
        <f>IF(S1734=0,0,$AD$1697*$AP$1688)</f>
        <v>0</v>
      </c>
      <c r="AA1734">
        <f>IFERROR(Z1734/$R$1697,0)</f>
        <v>0</v>
      </c>
      <c r="AB1734">
        <f>Z1734*($F$24+IF($F$24=0,0,($C$14+$C$15+IF($C$13="single",1.5,3)+3)/12))</f>
        <v>0</v>
      </c>
      <c r="AC1734">
        <f>AB1734-W1734</f>
        <v>0</v>
      </c>
      <c r="AD1734" cm="1">
        <f t="array" ref="AD1734">IFERROR(IF(AC1734&lt;0,0,AC1734/($R$1697-INDEX(hd_off,MATCH(AQ1734,hd_mark,0),0)/12)),0)</f>
        <v>0</v>
      </c>
      <c r="AE1734">
        <f>IF(S1734=0,0,$AD$1697*$AM$1688)</f>
        <v>0</v>
      </c>
      <c r="AF1734">
        <f>IFERROR(AE1734/$R$1697,0)</f>
        <v>0</v>
      </c>
      <c r="AG1734">
        <f>AE1734*($F$24+IF($F$24=0,0,($C$14+$C$15+IF($C$13="single",1.5,3)+3)/12))</f>
        <v>0</v>
      </c>
      <c r="AH1734">
        <f>AG1734-X1734</f>
        <v>0</v>
      </c>
      <c r="AI1734" cm="1">
        <f t="array" ref="AI1734">IFERROR(IF(AH1734&lt;0,0,AH1734/($R$1697-INDEX(hd_off,MATCH(AQ1734,hd_mark,0),0)/12)),0)</f>
        <v>0</v>
      </c>
      <c r="AJ1734">
        <f>MAX($F$24,$AB$1697)/$Q$1716</f>
        <v>0</v>
      </c>
      <c r="AK1734">
        <f t="shared" si="1079"/>
        <v>0</v>
      </c>
      <c r="AL1734" cm="1">
        <f t="array" ref="AL1734">IFERROR(INDEX(sheath_ecap_asd,MATCH(AP1734,sheath_mark,0),0)*AK1734,0)</f>
        <v>0</v>
      </c>
      <c r="AM1734" cm="1">
        <f t="array" ref="AM1734">IFERROR(INDEX(sheath_wcap_asd,MATCH(AP1734,sheath_mark,0),0)*AK1734,0)</f>
        <v>0</v>
      </c>
      <c r="AN1734" cm="1">
        <f t="array" ref="AN1734">IFERROR(INDEX(hd_cap,MATCH(AQ1734,hd_mark,0),0),0)</f>
        <v>0</v>
      </c>
      <c r="AP1734" s="19"/>
      <c r="AQ1734" s="19"/>
      <c r="AR1734" s="100"/>
      <c r="AS1734" s="93"/>
      <c r="AT1734" s="111">
        <f>$R$1697</f>
        <v>0</v>
      </c>
      <c r="AU1734" t="str">
        <f>$Q$1688</f>
        <v>L5</v>
      </c>
      <c r="AV1734">
        <f>$E$24</f>
        <v>0</v>
      </c>
      <c r="AW1734" cm="1">
        <f t="array" ref="AW1734">IFERROR(IF(AV1734=0,0,(INDEX($C$33:$C$38,MATCH($AZ$1697,$B$33:$B$38,0),0)*(AV1735+$BA$1697)+$AW$1697*COUNTIF(AV1734:AV1734,"&gt;0")*$C$32+$AY$1697*$C$31)*$AU$1697),0)</f>
        <v>0</v>
      </c>
      <c r="AX1734">
        <f>IF(AV1734=0,0,-(COUNTIF(AV1734:AV1734,"&gt;0")*$AW$1697*$C$32+$AY$1697*$C$31)*$H$27*$AU$1697)</f>
        <v>0</v>
      </c>
      <c r="AY1734">
        <f>IF(AV1734=0,0,$AY$1697*$H$26*$AU$1697)</f>
        <v>0</v>
      </c>
      <c r="AZ1734">
        <f>(0.6*AW1734+0.7*AX1734)*$AU$1697/2</f>
        <v>0</v>
      </c>
      <c r="BA1734">
        <f>AW1734*$AU$1697/2</f>
        <v>0</v>
      </c>
      <c r="BC1734">
        <f>IF(AV1734=0,0,$BG$1697*$AP$1688)</f>
        <v>0</v>
      </c>
      <c r="BD1734">
        <f>IFERROR(BC1734/$AU$1697,0)</f>
        <v>0</v>
      </c>
      <c r="BE1734">
        <f>BC1734*($F$24+IF($F$24=0,0,($C$14+$C$15+IF($C$13="single",1.5,3)+3)/12))</f>
        <v>0</v>
      </c>
      <c r="BF1734">
        <f>BE1734-AZ1734</f>
        <v>0</v>
      </c>
      <c r="BG1734" cm="1">
        <f t="array" ref="BG1734">IFERROR(IF(BF1734&lt;0,0,BF1734/($AU$1697-INDEX(hd_off,MATCH(BT1734,hd_mark,0),0)/12)),0)</f>
        <v>0</v>
      </c>
      <c r="BH1734">
        <f>IF(AV1734=0,0,$BG$1697*$AM$1688)</f>
        <v>0</v>
      </c>
      <c r="BI1734">
        <f>IFERROR(BH1734/$AU$1697,0)</f>
        <v>0</v>
      </c>
      <c r="BJ1734">
        <f>BH1734*($F$24+IF($F$24=0,0,($C$14+$C$15+IF($C$13="single",1.5,3)+3)/12))</f>
        <v>0</v>
      </c>
      <c r="BK1734">
        <f>BJ1734-BA1734</f>
        <v>0</v>
      </c>
      <c r="BL1734" cm="1">
        <f t="array" ref="BL1734">IFERROR(IF(BK1734&lt;0,0,BK1734/($AU$1697-INDEX(hd_off,MATCH(BT1734,hd_mark,0),0)/12)),0)</f>
        <v>0</v>
      </c>
      <c r="BM1734">
        <f>MAX($F$24,$BE$1697)/$Q$1716</f>
        <v>0</v>
      </c>
      <c r="BN1734">
        <f t="shared" si="1080"/>
        <v>0</v>
      </c>
      <c r="BO1734" cm="1">
        <f t="array" ref="BO1734">IFERROR(INDEX(sheath_ecap_asd,MATCH(BS1734,sheath_mark,0),0)*BN1734,0)</f>
        <v>0</v>
      </c>
      <c r="BP1734" cm="1">
        <f t="array" ref="BP1734">IFERROR(INDEX(sheath_wcap_asd,MATCH(BS1734,sheath_mark,0),0)*BN1734,0)</f>
        <v>0</v>
      </c>
      <c r="BQ1734" cm="1">
        <f t="array" ref="BQ1734">IFERROR(INDEX(hd_cap,MATCH(BT1734,hd_mark,0),0),0)</f>
        <v>0</v>
      </c>
      <c r="BS1734" s="19"/>
      <c r="BT1734" s="19"/>
      <c r="BU1734" s="100"/>
    </row>
    <row r="1735" x14ac:dyDescent="0.25">
      <c r="P1735" s="93"/>
      <c r="Q1735" s="109"/>
      <c r="R1735" t="str">
        <f>$Q$1689</f>
        <v>Roof</v>
      </c>
      <c r="S1735">
        <f>$E$25</f>
        <v>33.171875</v>
      </c>
      <c r="T1735" cm="1">
        <f t="array" ref="T1735">IFERROR(IF(S1735=0,0,(INDEX($C$33:$C$38,MATCH($W$1697,$B$33:$B$38,0),0)*(S1735+$X$1697)+$V$1697*$C$31)*$R$1697),0)</f>
        <v>0</v>
      </c>
      <c r="U1735">
        <f>IF(S1735=0,0,-$V$1697*$C$31*$H$27*$R$1697)</f>
        <v>0</v>
      </c>
      <c r="V1735">
        <f>IF(S1735=0,0,$V$1697*$H$26*$R$1697)</f>
        <v>0</v>
      </c>
      <c r="W1735">
        <f>(0.6*T1735+0.7*U1735)*$R$1697/2</f>
        <v>0</v>
      </c>
      <c r="X1735">
        <f>T1735*$R$1697/2</f>
        <v>0</v>
      </c>
      <c r="Z1735">
        <f>IF(S1735=0,0,$AD$1697*$AP$1689)</f>
        <v>0</v>
      </c>
      <c r="AA1735">
        <f>IFERROR(Z1735/$R$1697,0)</f>
        <v>0</v>
      </c>
      <c r="AB1735">
        <f>Z1735*($F$25+($C$16+$C$17+IF($C$13="single",1.5,3)+3)/12)</f>
        <v>0</v>
      </c>
      <c r="AC1735">
        <f>AB1735-W1735</f>
        <v>0</v>
      </c>
      <c r="AD1735" cm="1">
        <f t="array" ref="AD1735">IFERROR(IF(AC1735&lt;0,0,AC1735/($R$1697-INDEX(hd_off,MATCH(AQ1735,hd_mark,0),0)/12)),0)</f>
        <v>0</v>
      </c>
      <c r="AE1735">
        <f>IF(S1735=0,0,$AD$1697*$AM$1689)</f>
        <v>0</v>
      </c>
      <c r="AF1735">
        <f>IFERROR(AE1735/$R$1697,0)</f>
        <v>0</v>
      </c>
      <c r="AG1735">
        <f>AE1735*($F$25+($C$16+$C$17+IF($C$13="single",1.5,3)+3)/12)</f>
        <v>0</v>
      </c>
      <c r="AH1735">
        <f>AG1735-X1735</f>
        <v>0</v>
      </c>
      <c r="AI1735" cm="1">
        <f t="array" ref="AI1735">IFERROR(IF(AH1735&lt;0,0,AH1735/($R$1697-INDEX(hd_off,MATCH(AQ1735,hd_mark,0),0)/12)),0)</f>
        <v>0</v>
      </c>
      <c r="AJ1735">
        <f>MAX($F$25,$AC$1697)/$Q$1716</f>
        <v>0.29920977011494249</v>
      </c>
      <c r="AK1735">
        <f t="shared" si="1079"/>
        <v>1</v>
      </c>
      <c r="AL1735" cm="1">
        <f t="array" ref="AL1735">IFERROR(INDEX(sheath_ecap_asd,MATCH(AP1735,sheath_mark,0),0)*AK1735,0)</f>
        <v>0</v>
      </c>
      <c r="AM1735" cm="1">
        <f t="array" ref="AM1735">IFERROR(INDEX(sheath_wcap_asd,MATCH(AP1735,sheath_mark,0),0)*AK1735,0)</f>
        <v>0</v>
      </c>
      <c r="AN1735" cm="1">
        <f t="array" ref="AN1735">IFERROR(INDEX(hd_cap,MATCH(AQ1735,hd_mark,0),0),0)</f>
        <v>0</v>
      </c>
      <c r="AP1735" s="19"/>
      <c r="AQ1735" s="19"/>
      <c r="AR1735" s="100"/>
      <c r="AS1735" s="93"/>
      <c r="AT1735" s="109"/>
      <c r="AU1735" t="str">
        <f>$Q$1689</f>
        <v>Roof</v>
      </c>
      <c r="AV1735">
        <f>$E$25</f>
        <v>33.171875</v>
      </c>
      <c r="AW1735" cm="1">
        <f t="array" ref="AW1735">IFERROR(IF(AV1735=0,0,(INDEX($C$33:$C$38,MATCH($AZ$1697,$B$33:$B$38,0),0)*(AV1735+$BA$1697)+$AY$1697*$C$31)*$AU$1697),0)</f>
        <v>0</v>
      </c>
      <c r="AX1735">
        <f>IF(AV1735=0,0,-$AY$1697*$C$31*$H$27*$AU$1697)</f>
        <v>0</v>
      </c>
      <c r="AY1735">
        <f>IF(AV1735=0,0,$AY$1697*$H$26*$AU$1697)</f>
        <v>0</v>
      </c>
      <c r="AZ1735">
        <f>(0.6*AW1735+0.7*AX1735)*$AU$1697/2</f>
        <v>0</v>
      </c>
      <c r="BA1735">
        <f>AW1735*$AU$1697/2</f>
        <v>0</v>
      </c>
      <c r="BC1735">
        <f>IF(AV1735=0,0,$BG$1697*$AP$1689)</f>
        <v>0</v>
      </c>
      <c r="BD1735">
        <f>IFERROR(BC1735/$AU$1697,0)</f>
        <v>0</v>
      </c>
      <c r="BE1735">
        <f>BC1735*($F$25+($C$16+$C$17+IF($C$13="single",1.5,3)+3)/12)</f>
        <v>0</v>
      </c>
      <c r="BF1735">
        <f>BE1735-AZ1735</f>
        <v>0</v>
      </c>
      <c r="BG1735" cm="1">
        <f t="array" ref="BG1735">IFERROR(IF(BF1735&lt;0,0,BF1735/($AU$1697-INDEX(hd_off,MATCH(BT1735,hd_mark,0),0)/12)),0)</f>
        <v>0</v>
      </c>
      <c r="BH1735">
        <f>IF(AV1735=0,0,$BG$1697*$AM$1689)</f>
        <v>0</v>
      </c>
      <c r="BI1735">
        <f>IFERROR(BH1735/$AU$1697,0)</f>
        <v>0</v>
      </c>
      <c r="BJ1735">
        <f>BH1735*($F$25+($C$16+$C$17+IF($C$13="single",1.5,3)+3)/12)</f>
        <v>0</v>
      </c>
      <c r="BK1735">
        <f>BJ1735-BA1735</f>
        <v>0</v>
      </c>
      <c r="BL1735" cm="1">
        <f t="array" ref="BL1735">IFERROR(IF(BK1735&lt;0,0,BK1735/($AU$1697-INDEX(hd_off,MATCH(BT1735,hd_mark,0),0)/12)),0)</f>
        <v>0</v>
      </c>
      <c r="BM1735">
        <f>MAX($F$25,$BF$1697)/$Q$1716</f>
        <v>0.29920977011494249</v>
      </c>
      <c r="BN1735">
        <f t="shared" si="1080"/>
        <v>1</v>
      </c>
      <c r="BO1735" cm="1">
        <f t="array" ref="BO1735">IFERROR(INDEX(sheath_ecap_asd,MATCH(BS1735,sheath_mark,0),0)*BN1735,0)</f>
        <v>0</v>
      </c>
      <c r="BP1735" cm="1">
        <f t="array" ref="BP1735">IFERROR(INDEX(sheath_wcap_asd,MATCH(BS1735,sheath_mark,0),0)*BN1735,0)</f>
        <v>0</v>
      </c>
      <c r="BQ1735" cm="1">
        <f t="array" ref="BQ1735">IFERROR(INDEX(hd_cap,MATCH(BT1735,hd_mark,0),0),0)</f>
        <v>0</v>
      </c>
      <c r="BS1735" s="19"/>
      <c r="BT1735" s="19"/>
      <c r="BU1735" s="100"/>
    </row>
    <row r="1736" x14ac:dyDescent="0.25">
      <c r="P1736" s="93"/>
      <c r="AR1736" s="100"/>
      <c r="AS1736" s="93"/>
      <c r="BU1736" s="100"/>
    </row>
    <row r="1737" x14ac:dyDescent="0.25">
      <c r="P1737" s="93"/>
      <c r="Q1737" s="110" t="str">
        <f>$Q$1698</f>
        <v>A.05</v>
      </c>
      <c r="R1737" t="str">
        <f>$Q$1685</f>
        <v>L2</v>
      </c>
      <c r="S1737">
        <f>$E$21</f>
        <v>10.6875</v>
      </c>
      <c r="T1737" cm="1">
        <f t="array" ref="T1737">IFERROR(IF(S1737=0,0,(INDEX($C$33:$C$38,MATCH($W$1698,$B$33:$B$38,0),0)*(S1741+$X$1698)+$T$1698*COUNTIF(S1737:S1740,"&gt;0")*$C$32+$V$1698*$C$31)*$R$1698),0)</f>
        <v>0</v>
      </c>
      <c r="U1737">
        <f>IF(S1737=0,0,-(COUNTIF(S1737:S1740,"&gt;0")*$T$1698*$C$32+$V$1698*$C$31)*$H$27*$R$1698)</f>
        <v>0</v>
      </c>
      <c r="V1737">
        <f>IF(S1737=0,0,$V$1698*$H$26*$R$1698)</f>
        <v>0</v>
      </c>
      <c r="W1737">
        <f>(0.6*T1737+0.7*U1737)*$R$1698/2</f>
        <v>0</v>
      </c>
      <c r="X1737">
        <f>(0.6*T1737+0.6*V1737)*$R$1698/2</f>
        <v>0</v>
      </c>
      <c r="Z1737">
        <f>IF(S1737=0,0,$AD$1698*$AP$1685)</f>
        <v>0</v>
      </c>
      <c r="AA1737">
        <f>IFERROR(Z1737/$R$1698,0)</f>
        <v>0</v>
      </c>
      <c r="AB1737">
        <f>Z1737*($F$21+IF($F$21=0,0,($C$14+$C$15+IF($C$13="single",1.5,3)+3)/12))</f>
        <v>0</v>
      </c>
      <c r="AC1737">
        <f>AB1737-W1737</f>
        <v>0</v>
      </c>
      <c r="AD1737" cm="1">
        <f t="array" ref="AD1737">IFERROR(IF(AC1737&lt;0,0,AC1737/($R$1698-INDEX(hd_off,MATCH(AQ1737,hd_mark,0),0)/12)),0)</f>
        <v>0</v>
      </c>
      <c r="AE1737">
        <f>IF(S1737=0,0,$AD$1698*$AM$1685)</f>
        <v>0</v>
      </c>
      <c r="AF1737">
        <f>IFERROR(AE1737/$R$1698,0)</f>
        <v>0</v>
      </c>
      <c r="AG1737">
        <f>AE1737*($F$21+IF($F$21=0,0,($C$14+$C$15+IF($C$13="single",1.5,3)+3)/12))</f>
        <v>0</v>
      </c>
      <c r="AH1737">
        <f>AG1737-X1737</f>
        <v>0</v>
      </c>
      <c r="AI1737" cm="1">
        <f t="array" ref="AI1737">IFERROR(IF(AH1737&lt;0,0,AH1737/($R$1698-INDEX(hd_off,MATCH(AQ1737,hd_mark,0),0)/12)),0)</f>
        <v>0</v>
      </c>
      <c r="AJ1737">
        <f>MAX($F$21,$Y$1698)/$Q$1716</f>
        <v>0.30172413793103448</v>
      </c>
      <c r="AK1737">
        <f>IF(AJ1737=0,0,IF(AJ1737&gt;2,1.25-0.125*AJ1737,1))</f>
        <v>1</v>
      </c>
      <c r="AL1737" cm="1">
        <f t="array" ref="AL1737">IFERROR(INDEX(sheath_ecap_asd,MATCH(AP1737,sheath_mark,0),0)*AK1737,0)</f>
        <v>0</v>
      </c>
      <c r="AM1737" cm="1">
        <f t="array" ref="AM1737">IFERROR(INDEX(sheath_wcap_asd,MATCH(AP1737,sheath_mark,0),0)*AK1737,0)</f>
        <v>0</v>
      </c>
      <c r="AN1737" cm="1">
        <f t="array" ref="AN1737">IFERROR(INDEX(hd_cap,MATCH(AQ1737,hd_mark,0),0),0)</f>
        <v>0</v>
      </c>
      <c r="AP1737" s="19"/>
      <c r="AQ1737" s="19"/>
      <c r="AR1737" s="100"/>
      <c r="AS1737" s="93"/>
      <c r="AT1737" s="110" t="str">
        <f>$AT$1698</f>
        <v>1.05</v>
      </c>
      <c r="AU1737" t="str">
        <f>$Q$1685</f>
        <v>L2</v>
      </c>
      <c r="AV1737">
        <f>$E$21</f>
        <v>10.6875</v>
      </c>
      <c r="AW1737" cm="1">
        <f t="array" ref="AW1737">IFERROR(IF(AV1737=0,0,(INDEX($C$33:$C$38,MATCH($AZ$1698,$B$33:$B$38,0),0)*(AV1741+$BA$1698)+$AW$1698*COUNTIF(AV1737:AV1740,"&gt;0")*$C$32+$AY$1698*$C$31)*$AU$1698),0)</f>
        <v>0</v>
      </c>
      <c r="AX1737">
        <f>IF(AV1737=0,0,-(COUNTIF(AV1737:AV1740,"&gt;0")*$AW$1698*$C$32+$AY$1698*$C$31)*$H$27*$AU$1698)</f>
        <v>0</v>
      </c>
      <c r="AY1737">
        <f>IF(AV1737=0,0,$AY$1698*$H$26*$AU$1698)</f>
        <v>0</v>
      </c>
      <c r="AZ1737">
        <f>(0.6*AW1737+0.7*AX1737)*$AU$1698/2</f>
        <v>0</v>
      </c>
      <c r="BA1737">
        <f>(0.6*AW1737+0.6*AY1737)*$AU$1698/2</f>
        <v>0</v>
      </c>
      <c r="BC1737">
        <f>IF(AV1737=0,0,$BG$1698*$AP$1685)</f>
        <v>0</v>
      </c>
      <c r="BD1737">
        <f>IFERROR(BC1737/$AU$1698,0)</f>
        <v>0</v>
      </c>
      <c r="BE1737">
        <f>BC1737*($F$21+IF($F$21=0,0,($C$14+$C$15+IF($C$13="single",1.5,3)+3)/12))</f>
        <v>0</v>
      </c>
      <c r="BF1737">
        <f>BE1737-AZ1737</f>
        <v>0</v>
      </c>
      <c r="BG1737" cm="1">
        <f t="array" ref="BG1737">IFERROR(IF(BF1737&lt;0,0,BF1737/($AU$1698-INDEX(hd_off,MATCH(BT1737,hd_mark,0),0)/12)),0)</f>
        <v>0</v>
      </c>
      <c r="BH1737">
        <f>IF(AV1737=0,0,$BG$1698*$AM$1685)</f>
        <v>0</v>
      </c>
      <c r="BI1737">
        <f>IFERROR(BH1737/$AU$1698,0)</f>
        <v>0</v>
      </c>
      <c r="BJ1737">
        <f>BH1737*($F$21+IF($F$21=0,0,($C$14+$C$15+IF($C$13="single",1.5,3)+3)/12))</f>
        <v>0</v>
      </c>
      <c r="BK1737">
        <f>BJ1737-BA1737</f>
        <v>0</v>
      </c>
      <c r="BL1737" cm="1">
        <f t="array" ref="BL1737">IFERROR(IF(BK1737&lt;0,0,BK1737/($AU$1698-INDEX(hd_off,MATCH(BT1737,hd_mark,0),0)/12)),0)</f>
        <v>0</v>
      </c>
      <c r="BM1737">
        <f>MAX($F$21,$BB$1698)/$Q$1716</f>
        <v>0.30172413793103448</v>
      </c>
      <c r="BN1737">
        <f>IF(BM1737=0,0,IF(BM1737&gt;2,1.25-0.125*BM1737,1))</f>
        <v>1</v>
      </c>
      <c r="BO1737" cm="1">
        <f t="array" ref="BO1737">IFERROR(INDEX(sheath_ecap_asd,MATCH(BS1737,sheath_mark,0),0)*BN1737,0)</f>
        <v>0</v>
      </c>
      <c r="BP1737" cm="1">
        <f t="array" ref="BP1737">IFERROR(INDEX(sheath_wcap_asd,MATCH(BS1737,sheath_mark,0),0)*BN1737,0)</f>
        <v>0</v>
      </c>
      <c r="BQ1737" cm="1">
        <f t="array" ref="BQ1737">IFERROR(INDEX(hd_cap,MATCH(BT1737,hd_mark,0),0),0)</f>
        <v>0</v>
      </c>
      <c r="BS1737" s="19"/>
      <c r="BT1737" s="19"/>
      <c r="BU1737" s="100"/>
    </row>
    <row r="1738" x14ac:dyDescent="0.25">
      <c r="B1738" s="1"/>
      <c r="P1738" s="93"/>
      <c r="Q1738" s="109"/>
      <c r="R1738" t="str">
        <f>$Q$1686</f>
        <v>L3</v>
      </c>
      <c r="S1738">
        <f>$E$22</f>
        <v>21.375</v>
      </c>
      <c r="T1738" cm="1">
        <f t="array" ref="T1738">IFERROR(IF(S1738=0,0,(INDEX($C$33:$C$38,MATCH($W$1698,$B$33:$B$38,0),0)*(S1741+$X$1698)+$T$1698*COUNTIF(S1738:S1740,"&gt;0")*$C$32+$V$1698*$C$31)*$R$1698),0)</f>
        <v>0</v>
      </c>
      <c r="U1738">
        <f>IF(S1738=0,0,-(COUNTIF(S1738:S1740,"&gt;0")*$T$1698*$C$32+$V$1698*$C$31)*$H$27*$R$1698)</f>
        <v>0</v>
      </c>
      <c r="V1738">
        <f>IF(S1738=0,0,$V$1698*$H$26*$R$1698)</f>
        <v>0</v>
      </c>
      <c r="W1738">
        <f>(0.6*T1738+0.7*U1738)*$R$1698/2</f>
        <v>0</v>
      </c>
      <c r="X1738">
        <f>T1738*$R$1698/2</f>
        <v>0</v>
      </c>
      <c r="Z1738">
        <f>IF(S1738=0,0,$AD$1698*$AP$1686)</f>
        <v>0</v>
      </c>
      <c r="AA1738">
        <f>IFERROR(Z1738/$R$1698,0)</f>
        <v>0</v>
      </c>
      <c r="AB1738">
        <f>Z1738*($F$22+IF($F$22=0,0,($C$14+$C$15+IF($C$13="single",1.5,3)+3)/12))</f>
        <v>0</v>
      </c>
      <c r="AC1738">
        <f>AB1738-W1738</f>
        <v>0</v>
      </c>
      <c r="AD1738" cm="1">
        <f t="array" ref="AD1738">IFERROR(IF(AC1738&lt;0,0,AC1738/($R$1698-INDEX(hd_off,MATCH(AQ1738,hd_mark,0),0)/12)),0)</f>
        <v>0</v>
      </c>
      <c r="AE1738">
        <f>IF(S1738=0,0,$AD$1698*$AM$1686)</f>
        <v>0</v>
      </c>
      <c r="AF1738">
        <f>IFERROR(AE1738/$R$1698,0)</f>
        <v>0</v>
      </c>
      <c r="AG1738">
        <f>AE1738*($F$22+IF($F$22=0,0,($C$14+$C$15+IF($C$13="single",1.5,3)+3)/12))</f>
        <v>0</v>
      </c>
      <c r="AH1738">
        <f>AG1738-X1738</f>
        <v>0</v>
      </c>
      <c r="AI1738" cm="1">
        <f t="array" ref="AI1738">IFERROR(IF(AH1738&lt;0,0,AH1738/($R$1698-INDEX(hd_off,MATCH(AQ1738,hd_mark,0),0)/12)),0)</f>
        <v>0</v>
      </c>
      <c r="AJ1738">
        <f>MAX($F$22,$Z$1698)/$Q$1716</f>
        <v>0.30172413793103448</v>
      </c>
      <c r="AK1738">
        <f t="shared" ref="AK1738:AK1741" si="1081">IF(AJ1738=0,0,IF(AJ1738&gt;2,1.25-0.125*AJ1738,1))</f>
        <v>1</v>
      </c>
      <c r="AL1738" cm="1">
        <f t="array" ref="AL1738">IFERROR(INDEX(sheath_ecap_asd,MATCH(AP1738,sheath_mark,0),0)*AK1738,0)</f>
        <v>0</v>
      </c>
      <c r="AM1738" cm="1">
        <f t="array" ref="AM1738">IFERROR(INDEX(sheath_wcap_asd,MATCH(AP1738,sheath_mark,0),0)*AK1738,0)</f>
        <v>0</v>
      </c>
      <c r="AN1738" cm="1">
        <f t="array" ref="AN1738">IFERROR(INDEX(hd_cap,MATCH(AQ1738,hd_mark,0),0),0)</f>
        <v>0</v>
      </c>
      <c r="AP1738" s="19"/>
      <c r="AQ1738" s="19"/>
      <c r="AR1738" s="100"/>
      <c r="AS1738" s="93"/>
      <c r="AT1738" s="109"/>
      <c r="AU1738" t="str">
        <f>$Q$1686</f>
        <v>L3</v>
      </c>
      <c r="AV1738">
        <f>$E$22</f>
        <v>21.375</v>
      </c>
      <c r="AW1738" cm="1">
        <f t="array" ref="AW1738">IFERROR(IF(AV1738=0,0,(INDEX($C$33:$C$38,MATCH($AZ$1698,$B$33:$B$38,0),0)*(AV1741+$BA$1698)+$AW$1698*COUNTIF(AV1738:AV1740,"&gt;0")*$C$32+$AY$1698*$C$31)*$AU$1698),0)</f>
        <v>0</v>
      </c>
      <c r="AX1738">
        <f>IF(AV1738=0,0,-(COUNTIF(AV1738:AV1740,"&gt;0")*$AW$1698*$C$32+$AY$1698*$C$31)*$H$27*$AU$1698)</f>
        <v>0</v>
      </c>
      <c r="AY1738">
        <f>IF(AV1738=0,0,$AY$1698*$H$26*$AU$1698)</f>
        <v>0</v>
      </c>
      <c r="AZ1738">
        <f>(0.6*AW1738+0.7*AX1738)*$AU$1698/2</f>
        <v>0</v>
      </c>
      <c r="BA1738">
        <f>AW1738*$AU$1698/2</f>
        <v>0</v>
      </c>
      <c r="BC1738">
        <f>IF(AV1738=0,0,$BG$1698*$AP$1686)</f>
        <v>0</v>
      </c>
      <c r="BD1738">
        <f>IFERROR(BC1738/$AU$1698,0)</f>
        <v>0</v>
      </c>
      <c r="BE1738">
        <f>BC1738*($F$22+IF($F$22=0,0,($C$14+$C$15+IF($C$13="single",1.5,3)+3)/12))</f>
        <v>0</v>
      </c>
      <c r="BF1738">
        <f>BE1738-AZ1738</f>
        <v>0</v>
      </c>
      <c r="BG1738" cm="1">
        <f t="array" ref="BG1738">IFERROR(IF(BF1738&lt;0,0,BF1738/($AU$1698-INDEX(hd_off,MATCH(BT1738,hd_mark,0),0)/12)),0)</f>
        <v>0</v>
      </c>
      <c r="BH1738">
        <f>IF(AV1738=0,0,$BG$1698*$AM$1686)</f>
        <v>0</v>
      </c>
      <c r="BI1738">
        <f>IFERROR(BH1738/$AU$1698,0)</f>
        <v>0</v>
      </c>
      <c r="BJ1738">
        <f>BH1738*($F$22+IF($F$22=0,0,($C$14+$C$15+IF($C$13="single",1.5,3)+3)/12))</f>
        <v>0</v>
      </c>
      <c r="BK1738">
        <f>BJ1738-BA1738</f>
        <v>0</v>
      </c>
      <c r="BL1738" cm="1">
        <f t="array" ref="BL1738">IFERROR(IF(BK1738&lt;0,0,BK1738/($AU$1698-INDEX(hd_off,MATCH(BT1738,hd_mark,0),0)/12)),0)</f>
        <v>0</v>
      </c>
      <c r="BM1738">
        <f>MAX($F$22,$BC$1698)/$Q$1716</f>
        <v>0.30172413793103448</v>
      </c>
      <c r="BN1738">
        <f t="shared" ref="BN1738:BN1741" si="1082">IF(BM1738=0,0,IF(BM1738&gt;2,1.25-0.125*BM1738,1))</f>
        <v>1</v>
      </c>
      <c r="BO1738" cm="1">
        <f t="array" ref="BO1738">IFERROR(INDEX(sheath_ecap_asd,MATCH(BS1738,sheath_mark,0),0)*BN1738,0)</f>
        <v>0</v>
      </c>
      <c r="BP1738" cm="1">
        <f t="array" ref="BP1738">IFERROR(INDEX(sheath_wcap_asd,MATCH(BS1738,sheath_mark,0),0)*BN1738,0)</f>
        <v>0</v>
      </c>
      <c r="BQ1738" cm="1">
        <f t="array" ref="BQ1738">IFERROR(INDEX(hd_cap,MATCH(BT1738,hd_mark,0),0),0)</f>
        <v>0</v>
      </c>
      <c r="BS1738" s="19"/>
      <c r="BT1738" s="19"/>
      <c r="BU1738" s="100"/>
    </row>
    <row r="1739" x14ac:dyDescent="0.25">
      <c r="P1739" s="93"/>
      <c r="Q1739" s="109" t="s">
        <v>491</v>
      </c>
      <c r="R1739" t="str">
        <f>$Q$1687</f>
        <v>L4</v>
      </c>
      <c r="S1739">
        <f>$E$23</f>
        <v>0</v>
      </c>
      <c r="T1739" cm="1">
        <f t="array" ref="T1739">IFERROR(IF(S1739=0,0,(INDEX($C$33:$C$38,MATCH($W$1698,$B$33:$B$38,0),0)*(S1741+$X$1698)+$T$1698*COUNTIF(S1739:S1740,"&gt;0")*$C$32+$V$1698*$C$31)*$R$1698),0)</f>
        <v>0</v>
      </c>
      <c r="U1739">
        <f>IF(S1739=0,0,-(COUNTIF(S1739:S1740,"&gt;0")*$T$1698*$C$32+$V$1698*$C$31)*$H$27*$R$1698)</f>
        <v>0</v>
      </c>
      <c r="V1739">
        <f>IF(S1739=0,0,$V$1698*$H$26*$R$1698)</f>
        <v>0</v>
      </c>
      <c r="W1739">
        <f>(0.6*T1739+0.7*U1739)*$R$1698/2</f>
        <v>0</v>
      </c>
      <c r="X1739">
        <f>T1739*$R$1698/2</f>
        <v>0</v>
      </c>
      <c r="Z1739">
        <f>IF(S1739=0,0,$AD$1698*$AP$1687)</f>
        <v>0</v>
      </c>
      <c r="AA1739">
        <f>IFERROR(Z1739/$R$1698,0)</f>
        <v>0</v>
      </c>
      <c r="AB1739">
        <f>Z1739*($F$23+IF($F$23=0,0,($C$14+$C$15+IF($C$13="single",1.5,3)+3)/12))</f>
        <v>0</v>
      </c>
      <c r="AC1739">
        <f>AB1739-W1739</f>
        <v>0</v>
      </c>
      <c r="AD1739" cm="1">
        <f t="array" ref="AD1739">IFERROR(IF(AC1739&lt;0,0,AC1739/($R$1698-INDEX(hd_off,MATCH(AQ1739,hd_mark,0),0)/12)),0)</f>
        <v>0</v>
      </c>
      <c r="AE1739">
        <f>IF(S1739=0,0,$AD$1698*$AM$1687)</f>
        <v>0</v>
      </c>
      <c r="AF1739">
        <f>IFERROR(AE1739/$R$1698,0)</f>
        <v>0</v>
      </c>
      <c r="AG1739">
        <f>AE1739*($F$23+IF($F$23=0,0,($C$14+$C$15+IF($C$13="single",1.5,3)+3)/12))</f>
        <v>0</v>
      </c>
      <c r="AH1739">
        <f>AG1739-X1739</f>
        <v>0</v>
      </c>
      <c r="AI1739" cm="1">
        <f t="array" ref="AI1739">IFERROR(IF(AH1739&lt;0,0,AH1739/($R$1698-INDEX(hd_off,MATCH(AQ1739,hd_mark,0),0)/12)),0)</f>
        <v>0</v>
      </c>
      <c r="AJ1739">
        <f>MAX($F$23,$AA$1698)/$Q$1716</f>
        <v>0</v>
      </c>
      <c r="AK1739">
        <f t="shared" si="1081"/>
        <v>0</v>
      </c>
      <c r="AL1739" cm="1">
        <f t="array" ref="AL1739">IFERROR(INDEX(sheath_ecap_asd,MATCH(AP1739,sheath_mark,0),0)*AK1739,0)</f>
        <v>0</v>
      </c>
      <c r="AM1739" cm="1">
        <f t="array" ref="AM1739">IFERROR(INDEX(sheath_wcap_asd,MATCH(AP1739,sheath_mark,0),0)*AK1739,0)</f>
        <v>0</v>
      </c>
      <c r="AN1739" cm="1">
        <f t="array" ref="AN1739">IFERROR(INDEX(hd_cap,MATCH(AQ1739,hd_mark,0),0),0)</f>
        <v>0</v>
      </c>
      <c r="AP1739" s="19"/>
      <c r="AQ1739" s="19"/>
      <c r="AR1739" s="100"/>
      <c r="AS1739" s="93"/>
      <c r="AT1739" s="109" t="s">
        <v>491</v>
      </c>
      <c r="AU1739" t="str">
        <f>$Q$1687</f>
        <v>L4</v>
      </c>
      <c r="AV1739">
        <f>$E$23</f>
        <v>0</v>
      </c>
      <c r="AW1739" cm="1">
        <f t="array" ref="AW1739">IFERROR(IF(AV1739=0,0,(INDEX($C$33:$C$38,MATCH($AZ$1698,$B$33:$B$38,0),0)*(AV1741+$BA$1698)+$AW$1698*COUNTIF(AV1739:AV1740,"&gt;0")*$C$32+$AY$1698*$C$31)*$AU$1698),0)</f>
        <v>0</v>
      </c>
      <c r="AX1739">
        <f>IF(AV1739=0,0,-(COUNTIF(AV1739:AV1740,"&gt;0")*$AW$1698*$C$32+$AY$1698*$C$31)*$H$27*$AU$1698)</f>
        <v>0</v>
      </c>
      <c r="AY1739">
        <f>IF(AV1739=0,0,$AY$1698*$H$26*$AU$1698)</f>
        <v>0</v>
      </c>
      <c r="AZ1739">
        <f>(0.6*AW1739+0.7*AX1739)*$AU$1698/2</f>
        <v>0</v>
      </c>
      <c r="BA1739">
        <f>AW1739*$AU$1698/2</f>
        <v>0</v>
      </c>
      <c r="BC1739">
        <f>IF(AV1739=0,0,$BG$1698*$AP$1687)</f>
        <v>0</v>
      </c>
      <c r="BD1739">
        <f>IFERROR(BC1739/$AU$1698,0)</f>
        <v>0</v>
      </c>
      <c r="BE1739">
        <f>BC1739*($F$23+IF($F$23=0,0,($C$14+$C$15+IF($C$13="single",1.5,3)+3)/12))</f>
        <v>0</v>
      </c>
      <c r="BF1739">
        <f>BE1739-AZ1739</f>
        <v>0</v>
      </c>
      <c r="BG1739" cm="1">
        <f t="array" ref="BG1739">IFERROR(IF(BF1739&lt;0,0,BF1739/($AU$1698-INDEX(hd_off,MATCH(BT1739,hd_mark,0),0)/12)),0)</f>
        <v>0</v>
      </c>
      <c r="BH1739">
        <f>IF(AV1739=0,0,$BG$1698*$AM$1687)</f>
        <v>0</v>
      </c>
      <c r="BI1739">
        <f>IFERROR(BH1739/$AU$1698,0)</f>
        <v>0</v>
      </c>
      <c r="BJ1739">
        <f>BH1739*($F$23+IF($F$23=0,0,($C$14+$C$15+IF($C$13="single",1.5,3)+3)/12))</f>
        <v>0</v>
      </c>
      <c r="BK1739">
        <f>BJ1739-BA1739</f>
        <v>0</v>
      </c>
      <c r="BL1739" cm="1">
        <f t="array" ref="BL1739">IFERROR(IF(BK1739&lt;0,0,BK1739/($AU$1698-INDEX(hd_off,MATCH(BT1739,hd_mark,0),0)/12)),0)</f>
        <v>0</v>
      </c>
      <c r="BM1739">
        <f>MAX($F$23,$BD$1698)/$Q$1716</f>
        <v>0</v>
      </c>
      <c r="BN1739">
        <f t="shared" si="1082"/>
        <v>0</v>
      </c>
      <c r="BO1739" cm="1">
        <f t="array" ref="BO1739">IFERROR(INDEX(sheath_ecap_asd,MATCH(BS1739,sheath_mark,0),0)*BN1739,0)</f>
        <v>0</v>
      </c>
      <c r="BP1739" cm="1">
        <f t="array" ref="BP1739">IFERROR(INDEX(sheath_wcap_asd,MATCH(BS1739,sheath_mark,0),0)*BN1739,0)</f>
        <v>0</v>
      </c>
      <c r="BQ1739" cm="1">
        <f t="array" ref="BQ1739">IFERROR(INDEX(hd_cap,MATCH(BT1739,hd_mark,0),0),0)</f>
        <v>0</v>
      </c>
      <c r="BS1739" s="19"/>
      <c r="BT1739" s="19"/>
      <c r="BU1739" s="100"/>
    </row>
    <row r="1740" x14ac:dyDescent="0.25">
      <c r="P1740" s="93"/>
      <c r="Q1740" s="111">
        <f>$R$1698</f>
        <v>0</v>
      </c>
      <c r="R1740" t="str">
        <f>$Q$1688</f>
        <v>L5</v>
      </c>
      <c r="S1740">
        <f>$E$24</f>
        <v>0</v>
      </c>
      <c r="T1740" cm="1">
        <f t="array" ref="T1740">IFERROR(IF(S1740=0,0,(INDEX($C$33:$C$38,MATCH($W$1698,$B$33:$B$38,0),0)*(S1741+$X$1698)+$T$1698*COUNTIF(S1740:S1740,"&gt;0")*$C$32+$V$1698*$C$31)*$R$1698),0)</f>
        <v>0</v>
      </c>
      <c r="U1740">
        <f>IF(S1740=0,0,-(COUNTIF(S1740:S1740,"&gt;0")*$T$1698*$C$32+$V$1698*$C$31)*$H$27*$R$1698)</f>
        <v>0</v>
      </c>
      <c r="V1740">
        <f>IF(S1740=0,0,$V$1698*$H$26*$R$1698)</f>
        <v>0</v>
      </c>
      <c r="W1740">
        <f>(0.6*T1740+0.7*U1740)*$R$1698/2</f>
        <v>0</v>
      </c>
      <c r="X1740">
        <f>T1740*$R$1698/2</f>
        <v>0</v>
      </c>
      <c r="Z1740">
        <f>IF(S1740=0,0,$AD$1698*$AP$1688)</f>
        <v>0</v>
      </c>
      <c r="AA1740">
        <f>IFERROR(Z1740/$R$1698,0)</f>
        <v>0</v>
      </c>
      <c r="AB1740">
        <f>Z1740*($F$24+IF($F$24=0,0,($C$14+$C$15+IF($C$13="single",1.5,3)+3)/12))</f>
        <v>0</v>
      </c>
      <c r="AC1740">
        <f>AB1740-W1740</f>
        <v>0</v>
      </c>
      <c r="AD1740" cm="1">
        <f t="array" ref="AD1740">IFERROR(IF(AC1740&lt;0,0,AC1740/($R$1698-INDEX(hd_off,MATCH(AQ1740,hd_mark,0),0)/12)),0)</f>
        <v>0</v>
      </c>
      <c r="AE1740">
        <f>IF(S1740=0,0,$AD$1698*$AM$1688)</f>
        <v>0</v>
      </c>
      <c r="AF1740">
        <f>IFERROR(AE1740/$R$1698,0)</f>
        <v>0</v>
      </c>
      <c r="AG1740">
        <f>AE1740*($F$24+IF($F$24=0,0,($C$14+$C$15+IF($C$13="single",1.5,3)+3)/12))</f>
        <v>0</v>
      </c>
      <c r="AH1740">
        <f>AG1740-X1740</f>
        <v>0</v>
      </c>
      <c r="AI1740" cm="1">
        <f t="array" ref="AI1740">IFERROR(IF(AH1740&lt;0,0,AH1740/($R$1698-INDEX(hd_off,MATCH(AQ1740,hd_mark,0),0)/12)),0)</f>
        <v>0</v>
      </c>
      <c r="AJ1740">
        <f>MAX($F$24,$AB$1698)/$Q$1716</f>
        <v>0</v>
      </c>
      <c r="AK1740">
        <f t="shared" si="1081"/>
        <v>0</v>
      </c>
      <c r="AL1740" cm="1">
        <f t="array" ref="AL1740">IFERROR(INDEX(sheath_ecap_asd,MATCH(AP1740,sheath_mark,0),0)*AK1740,0)</f>
        <v>0</v>
      </c>
      <c r="AM1740" cm="1">
        <f t="array" ref="AM1740">IFERROR(INDEX(sheath_wcap_asd,MATCH(AP1740,sheath_mark,0),0)*AK1740,0)</f>
        <v>0</v>
      </c>
      <c r="AN1740" cm="1">
        <f t="array" ref="AN1740">IFERROR(INDEX(hd_cap,MATCH(AQ1740,hd_mark,0),0),0)</f>
        <v>0</v>
      </c>
      <c r="AP1740" s="19"/>
      <c r="AQ1740" s="19"/>
      <c r="AR1740" s="100"/>
      <c r="AS1740" s="93"/>
      <c r="AT1740" s="111">
        <f>$R$1698</f>
        <v>0</v>
      </c>
      <c r="AU1740" t="str">
        <f>$Q$1688</f>
        <v>L5</v>
      </c>
      <c r="AV1740">
        <f>$E$24</f>
        <v>0</v>
      </c>
      <c r="AW1740" cm="1">
        <f t="array" ref="AW1740">IFERROR(IF(AV1740=0,0,(INDEX($C$33:$C$38,MATCH($AZ$1698,$B$33:$B$38,0),0)*(AV1741+$BA$1698)+$AW$1698*COUNTIF(AV1740:AV1740,"&gt;0")*$C$32+$AY$1698*$C$31)*$AU$1698),0)</f>
        <v>0</v>
      </c>
      <c r="AX1740">
        <f>IF(AV1740=0,0,-(COUNTIF(AV1740:AV1740,"&gt;0")*$AW$1698*$C$32+$AY$1698*$C$31)*$H$27*$AU$1698)</f>
        <v>0</v>
      </c>
      <c r="AY1740">
        <f>IF(AV1740=0,0,$AY$1698*$H$26*$AU$1698)</f>
        <v>0</v>
      </c>
      <c r="AZ1740">
        <f>(0.6*AW1740+0.7*AX1740)*$AU$1698/2</f>
        <v>0</v>
      </c>
      <c r="BA1740">
        <f>AW1740*$AU$1698/2</f>
        <v>0</v>
      </c>
      <c r="BC1740">
        <f>IF(AV1740=0,0,$BG$1698*$AP$1688)</f>
        <v>0</v>
      </c>
      <c r="BD1740">
        <f>IFERROR(BC1740/$AU$1698,0)</f>
        <v>0</v>
      </c>
      <c r="BE1740">
        <f>BC1740*($F$24+IF($F$24=0,0,($C$14+$C$15+IF($C$13="single",1.5,3)+3)/12))</f>
        <v>0</v>
      </c>
      <c r="BF1740">
        <f>BE1740-AZ1740</f>
        <v>0</v>
      </c>
      <c r="BG1740" cm="1">
        <f t="array" ref="BG1740">IFERROR(IF(BF1740&lt;0,0,BF1740/($AU$1698-INDEX(hd_off,MATCH(BT1740,hd_mark,0),0)/12)),0)</f>
        <v>0</v>
      </c>
      <c r="BH1740">
        <f>IF(AV1740=0,0,$BG$1698*$AM$1688)</f>
        <v>0</v>
      </c>
      <c r="BI1740">
        <f>IFERROR(BH1740/$AU$1698,0)</f>
        <v>0</v>
      </c>
      <c r="BJ1740">
        <f>BH1740*($F$24+IF($F$24=0,0,($C$14+$C$15+IF($C$13="single",1.5,3)+3)/12))</f>
        <v>0</v>
      </c>
      <c r="BK1740">
        <f>BJ1740-BA1740</f>
        <v>0</v>
      </c>
      <c r="BL1740" cm="1">
        <f t="array" ref="BL1740">IFERROR(IF(BK1740&lt;0,0,BK1740/($AU$1698-INDEX(hd_off,MATCH(BT1740,hd_mark,0),0)/12)),0)</f>
        <v>0</v>
      </c>
      <c r="BM1740">
        <f>MAX($F$24,$BE$1698)/$Q$1716</f>
        <v>0</v>
      </c>
      <c r="BN1740">
        <f t="shared" si="1082"/>
        <v>0</v>
      </c>
      <c r="BO1740" cm="1">
        <f t="array" ref="BO1740">IFERROR(INDEX(sheath_ecap_asd,MATCH(BS1740,sheath_mark,0),0)*BN1740,0)</f>
        <v>0</v>
      </c>
      <c r="BP1740" cm="1">
        <f t="array" ref="BP1740">IFERROR(INDEX(sheath_wcap_asd,MATCH(BS1740,sheath_mark,0),0)*BN1740,0)</f>
        <v>0</v>
      </c>
      <c r="BQ1740" cm="1">
        <f t="array" ref="BQ1740">IFERROR(INDEX(hd_cap,MATCH(BT1740,hd_mark,0),0),0)</f>
        <v>0</v>
      </c>
      <c r="BS1740" s="19"/>
      <c r="BT1740" s="19"/>
      <c r="BU1740" s="100"/>
    </row>
    <row r="1741" x14ac:dyDescent="0.25">
      <c r="P1741" s="93"/>
      <c r="Q1741" s="109"/>
      <c r="R1741" t="str">
        <f>$Q$1689</f>
        <v>Roof</v>
      </c>
      <c r="S1741">
        <f>$E$25</f>
        <v>33.171875</v>
      </c>
      <c r="T1741" cm="1">
        <f t="array" ref="T1741">IFERROR(IF(S1741=0,0,(INDEX($C$33:$C$38,MATCH($W$1698,$B$33:$B$38,0),0)*(S1741+$X$1698)+$V$1698*$C$31)*$R$1698),0)</f>
        <v>0</v>
      </c>
      <c r="U1741">
        <f>IF(S1741=0,0,-$V$1698*$C$31*$H$27*$R$1698)</f>
        <v>0</v>
      </c>
      <c r="V1741">
        <f>IF(S1741=0,0,$V$1698*$H$26*$R$1698)</f>
        <v>0</v>
      </c>
      <c r="W1741">
        <f>(0.6*T1741+0.7*U1741)*$R$1698/2</f>
        <v>0</v>
      </c>
      <c r="X1741">
        <f>T1741*$R$1698/2</f>
        <v>0</v>
      </c>
      <c r="Z1741">
        <f>IF(S1741=0,0,$AD$1698*$AP$1689)</f>
        <v>0</v>
      </c>
      <c r="AA1741">
        <f>IFERROR(Z1741/$R$1698,0)</f>
        <v>0</v>
      </c>
      <c r="AB1741">
        <f>Z1741*($F$25+($C$16+$C$17+IF($C$13="single",1.5,3)+3)/12)</f>
        <v>0</v>
      </c>
      <c r="AC1741">
        <f>AB1741-W1741</f>
        <v>0</v>
      </c>
      <c r="AD1741" cm="1">
        <f t="array" ref="AD1741">IFERROR(IF(AC1741&lt;0,0,AC1741/($R$1698-INDEX(hd_off,MATCH(AQ1741,hd_mark,0),0)/12)),0)</f>
        <v>0</v>
      </c>
      <c r="AE1741">
        <f>IF(S1741=0,0,$AD$1698*$AM$1689)</f>
        <v>0</v>
      </c>
      <c r="AF1741">
        <f>IFERROR(AE1741/$R$1698,0)</f>
        <v>0</v>
      </c>
      <c r="AG1741">
        <f>AE1741*($F$25+($C$16+$C$17+IF($C$13="single",1.5,3)+3)/12)</f>
        <v>0</v>
      </c>
      <c r="AH1741">
        <f>AG1741-X1741</f>
        <v>0</v>
      </c>
      <c r="AI1741" cm="1">
        <f t="array" ref="AI1741">IFERROR(IF(AH1741&lt;0,0,AH1741/($R$1698-INDEX(hd_off,MATCH(AQ1741,hd_mark,0),0)/12)),0)</f>
        <v>0</v>
      </c>
      <c r="AJ1741">
        <f>MAX($F$25,$AC$1698)/$Q$1716</f>
        <v>0.29920977011494249</v>
      </c>
      <c r="AK1741">
        <f t="shared" si="1081"/>
        <v>1</v>
      </c>
      <c r="AL1741" cm="1">
        <f t="array" ref="AL1741">IFERROR(INDEX(sheath_ecap_asd,MATCH(AP1741,sheath_mark,0),0)*AK1741,0)</f>
        <v>0</v>
      </c>
      <c r="AM1741" cm="1">
        <f t="array" ref="AM1741">IFERROR(INDEX(sheath_wcap_asd,MATCH(AP1741,sheath_mark,0),0)*AK1741,0)</f>
        <v>0</v>
      </c>
      <c r="AN1741" cm="1">
        <f t="array" ref="AN1741">IFERROR(INDEX(hd_cap,MATCH(AQ1741,hd_mark,0),0),0)</f>
        <v>0</v>
      </c>
      <c r="AP1741" s="19"/>
      <c r="AQ1741" s="19"/>
      <c r="AR1741" s="100"/>
      <c r="AS1741" s="93"/>
      <c r="AT1741" s="109"/>
      <c r="AU1741" t="str">
        <f>$Q$1689</f>
        <v>Roof</v>
      </c>
      <c r="AV1741">
        <f>$E$25</f>
        <v>33.171875</v>
      </c>
      <c r="AW1741" cm="1">
        <f t="array" ref="AW1741">IFERROR(IF(AV1741=0,0,(INDEX($C$33:$C$38,MATCH($AZ$1698,$B$33:$B$38,0),0)*(AV1741+$BA$1698)+$AY$1698*$C$31)*$AU$1698),0)</f>
        <v>0</v>
      </c>
      <c r="AX1741">
        <f>IF(AV1741=0,0,-$AY$1698*$C$31*$H$27*$AU$1698)</f>
        <v>0</v>
      </c>
      <c r="AY1741">
        <f>IF(AV1741=0,0,$AY$1698*$H$26*$AU$1698)</f>
        <v>0</v>
      </c>
      <c r="AZ1741">
        <f>(0.6*AW1741+0.7*AX1741)*$AU$1698/2</f>
        <v>0</v>
      </c>
      <c r="BA1741">
        <f>AW1741*$AU$1698/2</f>
        <v>0</v>
      </c>
      <c r="BC1741">
        <f>IF(AV1741=0,0,$BG$1698*$AP$1689)</f>
        <v>0</v>
      </c>
      <c r="BD1741">
        <f>IFERROR(BC1741/$AU$1698,0)</f>
        <v>0</v>
      </c>
      <c r="BE1741">
        <f>BC1741*($F$25+($C$16+$C$17+IF($C$13="single",1.5,3)+3)/12)</f>
        <v>0</v>
      </c>
      <c r="BF1741">
        <f>BE1741-AZ1741</f>
        <v>0</v>
      </c>
      <c r="BG1741" cm="1">
        <f t="array" ref="BG1741">IFERROR(IF(BF1741&lt;0,0,BF1741/($AU$1698-INDEX(hd_off,MATCH(BT1741,hd_mark,0),0)/12)),0)</f>
        <v>0</v>
      </c>
      <c r="BH1741">
        <f>IF(AV1741=0,0,$BG$1698*$AM$1689)</f>
        <v>0</v>
      </c>
      <c r="BI1741">
        <f>IFERROR(BH1741/$AU$1698,0)</f>
        <v>0</v>
      </c>
      <c r="BJ1741">
        <f>BH1741*($F$25+($C$16+$C$17+IF($C$13="single",1.5,3)+3)/12)</f>
        <v>0</v>
      </c>
      <c r="BK1741">
        <f>BJ1741-BA1741</f>
        <v>0</v>
      </c>
      <c r="BL1741" cm="1">
        <f t="array" ref="BL1741">IFERROR(IF(BK1741&lt;0,0,BK1741/($AU$1698-INDEX(hd_off,MATCH(BT1741,hd_mark,0),0)/12)),0)</f>
        <v>0</v>
      </c>
      <c r="BM1741">
        <f>MAX($F$25,$BF$1698)/$Q$1716</f>
        <v>0.29920977011494249</v>
      </c>
      <c r="BN1741">
        <f t="shared" si="1082"/>
        <v>1</v>
      </c>
      <c r="BO1741" cm="1">
        <f t="array" ref="BO1741">IFERROR(INDEX(sheath_ecap_asd,MATCH(BS1741,sheath_mark,0),0)*BN1741,0)</f>
        <v>0</v>
      </c>
      <c r="BP1741" cm="1">
        <f t="array" ref="BP1741">IFERROR(INDEX(sheath_wcap_asd,MATCH(BS1741,sheath_mark,0),0)*BN1741,0)</f>
        <v>0</v>
      </c>
      <c r="BQ1741" cm="1">
        <f t="array" ref="BQ1741">IFERROR(INDEX(hd_cap,MATCH(BT1741,hd_mark,0),0),0)</f>
        <v>0</v>
      </c>
      <c r="BS1741" s="19"/>
      <c r="BT1741" s="19"/>
      <c r="BU1741" s="100"/>
    </row>
    <row r="1742" x14ac:dyDescent="0.25">
      <c r="P1742" s="93"/>
      <c r="AR1742" s="100"/>
      <c r="AS1742" s="93"/>
      <c r="BU1742" s="100"/>
    </row>
    <row r="1743" x14ac:dyDescent="0.25">
      <c r="P1743" s="93"/>
      <c r="Q1743" s="110" t="str">
        <f>$Q$1699</f>
        <v>A.06</v>
      </c>
      <c r="R1743" t="str">
        <f>$Q$1685</f>
        <v>L2</v>
      </c>
      <c r="S1743">
        <f>$E$21</f>
        <v>10.6875</v>
      </c>
      <c r="T1743" cm="1">
        <f t="array" ref="T1743">IFERROR(IF(S1743=0,0,(INDEX($C$33:$C$38,MATCH($W$1699,$B$33:$B$38,0),0)*(S1747+$X$1699)+$T$1699*COUNTIF(S1743:S1746,"&gt;0")*$C$32+$V$1699*$C$31)*$R$1699),0)</f>
        <v>0</v>
      </c>
      <c r="U1743">
        <f>IF(S1743=0,0,-(COUNTIF(S1743:S1746,"&gt;0")*$T$1699*$C$32+$V$1699*$C$31)*$H$27*$R$1699)</f>
        <v>0</v>
      </c>
      <c r="V1743">
        <f>IF(S1743=0,0,$V$1699*$H$26*$R$1699)</f>
        <v>0</v>
      </c>
      <c r="W1743">
        <f>(0.6*T1743+0.7*U1743)*$R$1699/2</f>
        <v>0</v>
      </c>
      <c r="X1743">
        <f>(0.6*T1743+0.6*V1743)*$R$1699/2</f>
        <v>0</v>
      </c>
      <c r="Z1743">
        <f>IF(S1743=0,0,$AD$1699*$AP$1685)</f>
        <v>0</v>
      </c>
      <c r="AA1743">
        <f>IFERROR(Z1743/$R$1699,0)</f>
        <v>0</v>
      </c>
      <c r="AB1743">
        <f>Z1743*($F$21+IF($F$21=0,0,($C$14+$C$15+IF($C$13="single",1.5,3)+3)/12))</f>
        <v>0</v>
      </c>
      <c r="AC1743">
        <f>AB1743-W1743</f>
        <v>0</v>
      </c>
      <c r="AD1743" cm="1">
        <f t="array" ref="AD1743">IFERROR(IF(AC1743&lt;0,0,AC1743/($R$1699-INDEX(hd_off,MATCH(AQ1743,hd_mark,0),0)/12)),0)</f>
        <v>0</v>
      </c>
      <c r="AE1743">
        <f>IF(S1743=0,0,$AD$1699*$AM$1685)</f>
        <v>0</v>
      </c>
      <c r="AF1743">
        <f>IFERROR(AE1743/$R$1699,0)</f>
        <v>0</v>
      </c>
      <c r="AG1743">
        <f>AE1743*($F$21+IF($F$21=0,0,($C$14+$C$15+IF($C$13="single",1.5,3)+3)/12))</f>
        <v>0</v>
      </c>
      <c r="AH1743">
        <f>AG1743-X1743</f>
        <v>0</v>
      </c>
      <c r="AI1743" cm="1">
        <f t="array" ref="AI1743">IFERROR(IF(AH1743&lt;0,0,AH1743/($R$1699-INDEX(hd_off,MATCH(AQ1743,hd_mark,0),0)/12)),0)</f>
        <v>0</v>
      </c>
      <c r="AJ1743">
        <f>MAX($F$21,$Y$1699)/$Q$1716</f>
        <v>0.30172413793103448</v>
      </c>
      <c r="AK1743">
        <f>IF(AJ1743=0,0,IF(AJ1743&gt;2,1.25-0.125*AJ1743,1))</f>
        <v>1</v>
      </c>
      <c r="AL1743" cm="1">
        <f t="array" ref="AL1743">IFERROR(INDEX(sheath_ecap_asd,MATCH(AP1743,sheath_mark,0),0)*AK1743,0)</f>
        <v>0</v>
      </c>
      <c r="AM1743" cm="1">
        <f t="array" ref="AM1743">IFERROR(INDEX(sheath_wcap_asd,MATCH(AP1743,sheath_mark,0),0)*AK1743,0)</f>
        <v>0</v>
      </c>
      <c r="AN1743" cm="1">
        <f t="array" ref="AN1743">IFERROR(INDEX(hd_cap,MATCH(AQ1743,hd_mark,0),0),0)</f>
        <v>0</v>
      </c>
      <c r="AP1743" s="19"/>
      <c r="AQ1743" s="19"/>
      <c r="AR1743" s="100"/>
      <c r="AS1743" s="93"/>
      <c r="AT1743" s="110" t="str">
        <f>$AT$1699</f>
        <v>1.06</v>
      </c>
      <c r="AU1743" t="str">
        <f>$Q$1685</f>
        <v>L2</v>
      </c>
      <c r="AV1743">
        <f>$E$21</f>
        <v>10.6875</v>
      </c>
      <c r="AW1743" cm="1">
        <f t="array" ref="AW1743">IFERROR(IF(AV1743=0,0,(INDEX($C$33:$C$38,MATCH($AZ$1699,$B$33:$B$38,0),0)*(AV1747+$BA$1699)+$AW$1699*COUNTIF(AV1743:AV1746,"&gt;0")*$C$32+$AY$1699*$C$31)*$AU$1699),0)</f>
        <v>0</v>
      </c>
      <c r="AX1743">
        <f>IF(AV1743=0,0,-(COUNTIF(AV1743:AV1746,"&gt;0")*$AW$1699*$C$32+$AY$1699*$C$31)*$H$27*$AU$1699)</f>
        <v>0</v>
      </c>
      <c r="AY1743">
        <f>IF(AV1743=0,0,$AY$1699*$H$26*$AU$1699)</f>
        <v>0</v>
      </c>
      <c r="AZ1743">
        <f>(0.6*AW1743+0.7*AX1743)*$AU$1699/2</f>
        <v>0</v>
      </c>
      <c r="BA1743">
        <f>(0.6*AW1743+0.6*AY1743)*$AU$1699/2</f>
        <v>0</v>
      </c>
      <c r="BC1743">
        <f>IF(AV1743=0,0,$BG$1699*$AP$1685)</f>
        <v>0</v>
      </c>
      <c r="BD1743">
        <f>IFERROR(BC1743/$AU$1699,0)</f>
        <v>0</v>
      </c>
      <c r="BE1743">
        <f>BC1743*($F$21+IF($F$21=0,0,($C$14+$C$15+IF($C$13="single",1.5,3)+3)/12))</f>
        <v>0</v>
      </c>
      <c r="BF1743">
        <f>BE1743-AZ1743</f>
        <v>0</v>
      </c>
      <c r="BG1743" cm="1">
        <f t="array" ref="BG1743">IFERROR(IF(BF1743&lt;0,0,BF1743/($AU$1699-INDEX(hd_off,MATCH(BT1743,hd_mark,0),0)/12)),0)</f>
        <v>0</v>
      </c>
      <c r="BH1743">
        <f>IF(AV1743=0,0,$BG$1699*$AM$1685)</f>
        <v>0</v>
      </c>
      <c r="BI1743">
        <f>IFERROR(BH1743/$AU$1699,0)</f>
        <v>0</v>
      </c>
      <c r="BJ1743">
        <f>BH1743*($F$21+IF($F$21=0,0,($C$14+$C$15+IF($C$13="single",1.5,3)+3)/12))</f>
        <v>0</v>
      </c>
      <c r="BK1743">
        <f>BJ1743-BA1743</f>
        <v>0</v>
      </c>
      <c r="BL1743" cm="1">
        <f t="array" ref="BL1743">IFERROR(IF(BK1743&lt;0,0,BK1743/($AU$1699-INDEX(hd_off,MATCH(BT1743,hd_mark,0),0)/12)),0)</f>
        <v>0</v>
      </c>
      <c r="BM1743">
        <f>MAX($F$21,$BB$1699)/$Q$1716</f>
        <v>0.30172413793103448</v>
      </c>
      <c r="BN1743">
        <f>IF(BM1743=0,0,IF(BM1743&gt;2,1.25-0.125*BM1743,1))</f>
        <v>1</v>
      </c>
      <c r="BO1743" cm="1">
        <f t="array" ref="BO1743">IFERROR(INDEX(sheath_ecap_asd,MATCH(BS1743,sheath_mark,0),0)*BN1743,0)</f>
        <v>0</v>
      </c>
      <c r="BP1743" cm="1">
        <f t="array" ref="BP1743">IFERROR(INDEX(sheath_wcap_asd,MATCH(BS1743,sheath_mark,0),0)*BN1743,0)</f>
        <v>0</v>
      </c>
      <c r="BQ1743" cm="1">
        <f t="array" ref="BQ1743">IFERROR(INDEX(hd_cap,MATCH(BT1743,hd_mark,0),0),0)</f>
        <v>0</v>
      </c>
      <c r="BS1743" s="19"/>
      <c r="BT1743" s="19"/>
      <c r="BU1743" s="100"/>
    </row>
    <row r="1744" x14ac:dyDescent="0.25">
      <c r="P1744" s="93"/>
      <c r="Q1744" s="109"/>
      <c r="R1744" t="str">
        <f>$Q$1686</f>
        <v>L3</v>
      </c>
      <c r="S1744">
        <f>$E$22</f>
        <v>21.375</v>
      </c>
      <c r="T1744" cm="1">
        <f t="array" ref="T1744">IFERROR(IF(S1744=0,0,(INDEX($C$33:$C$38,MATCH($W$1699,$B$33:$B$38,0),0)*(S1747+$X$1699)+$T$1699*COUNTIF(S1744:S1746,"&gt;0")*$C$32+$V$1699*$C$31)*$R$1699),0)</f>
        <v>0</v>
      </c>
      <c r="U1744">
        <f>IF(S1744=0,0,-(COUNTIF(S1744:S1746,"&gt;0")*$T$1699*$C$32+$V$1699*$C$31)*$H$27*$R$1699)</f>
        <v>0</v>
      </c>
      <c r="V1744">
        <f>IF(S1744=0,0,$V$1699*$H$26*$R$1699)</f>
        <v>0</v>
      </c>
      <c r="W1744">
        <f>(0.6*T1744+0.7*U1744)*$R$1699/2</f>
        <v>0</v>
      </c>
      <c r="X1744">
        <f>T1744*$R$1699/2</f>
        <v>0</v>
      </c>
      <c r="Z1744">
        <f>IF(S1744=0,0,$AD$1699*$AP$1686)</f>
        <v>0</v>
      </c>
      <c r="AA1744">
        <f>IFERROR(Z1744/$R$1699,0)</f>
        <v>0</v>
      </c>
      <c r="AB1744">
        <f>Z1744*($F$22+IF($F$22=0,0,($C$14+$C$15+IF($C$13="single",1.5,3)+3)/12))</f>
        <v>0</v>
      </c>
      <c r="AC1744">
        <f>AB1744-W1744</f>
        <v>0</v>
      </c>
      <c r="AD1744" cm="1">
        <f t="array" ref="AD1744">IFERROR(IF(AC1744&lt;0,0,AC1744/($R$1699-INDEX(hd_off,MATCH(AQ1744,hd_mark,0),0)/12)),0)</f>
        <v>0</v>
      </c>
      <c r="AE1744">
        <f>IF(S1744=0,0,$AD$1699*$AM$1686)</f>
        <v>0</v>
      </c>
      <c r="AF1744">
        <f>IFERROR(AE1744/$R$1699,0)</f>
        <v>0</v>
      </c>
      <c r="AG1744">
        <f>AE1744*($F$22+IF($F$22=0,0,($C$14+$C$15+IF($C$13="single",1.5,3)+3)/12))</f>
        <v>0</v>
      </c>
      <c r="AH1744">
        <f>AG1744-X1744</f>
        <v>0</v>
      </c>
      <c r="AI1744" cm="1">
        <f t="array" ref="AI1744">IFERROR(IF(AH1744&lt;0,0,AH1744/($R$1699-INDEX(hd_off,MATCH(AQ1744,hd_mark,0),0)/12)),0)</f>
        <v>0</v>
      </c>
      <c r="AJ1744">
        <f>MAX($F$22,$Z$1699)/$Q$1716</f>
        <v>0.30172413793103448</v>
      </c>
      <c r="AK1744">
        <f t="shared" ref="AK1744:AK1747" si="1083">IF(AJ1744=0,0,IF(AJ1744&gt;2,1.25-0.125*AJ1744,1))</f>
        <v>1</v>
      </c>
      <c r="AL1744" cm="1">
        <f t="array" ref="AL1744">IFERROR(INDEX(sheath_ecap_asd,MATCH(AP1744,sheath_mark,0),0)*AK1744,0)</f>
        <v>0</v>
      </c>
      <c r="AM1744" cm="1">
        <f t="array" ref="AM1744">IFERROR(INDEX(sheath_wcap_asd,MATCH(AP1744,sheath_mark,0),0)*AK1744,0)</f>
        <v>0</v>
      </c>
      <c r="AN1744" cm="1">
        <f t="array" ref="AN1744">IFERROR(INDEX(hd_cap,MATCH(AQ1744,hd_mark,0),0),0)</f>
        <v>0</v>
      </c>
      <c r="AP1744" s="19"/>
      <c r="AQ1744" s="19"/>
      <c r="AR1744" s="100"/>
      <c r="AS1744" s="93"/>
      <c r="AT1744" s="109"/>
      <c r="AU1744" t="str">
        <f>$Q$1686</f>
        <v>L3</v>
      </c>
      <c r="AV1744">
        <f>$E$22</f>
        <v>21.375</v>
      </c>
      <c r="AW1744" cm="1">
        <f t="array" ref="AW1744">IFERROR(IF(AV1744=0,0,(INDEX($C$33:$C$38,MATCH($AZ$1699,$B$33:$B$38,0),0)*(AV1747+$BA$1699)+$AW$1699*COUNTIF(AV1744:AV1746,"&gt;0")*$C$32+$AY$1699*$C$31)*$AU$1699),0)</f>
        <v>0</v>
      </c>
      <c r="AX1744">
        <f>IF(AV1744=0,0,-(COUNTIF(AV1744:AV1746,"&gt;0")*$AW$1699*$C$32+$AY$1699*$C$31)*$H$27*$AU$1699)</f>
        <v>0</v>
      </c>
      <c r="AY1744">
        <f>IF(AV1744=0,0,$AY$1699*$H$26*$AU$1699)</f>
        <v>0</v>
      </c>
      <c r="AZ1744">
        <f>(0.6*AW1744+0.7*AX1744)*$AU$1699/2</f>
        <v>0</v>
      </c>
      <c r="BA1744">
        <f>AW1744*$AU$1699/2</f>
        <v>0</v>
      </c>
      <c r="BC1744">
        <f>IF(AV1744=0,0,$BG$1699*$AP$1686)</f>
        <v>0</v>
      </c>
      <c r="BD1744">
        <f>IFERROR(BC1744/$AU$1699,0)</f>
        <v>0</v>
      </c>
      <c r="BE1744">
        <f>BC1744*($F$22+IF($F$22=0,0,($C$14+$C$15+IF($C$13="single",1.5,3)+3)/12))</f>
        <v>0</v>
      </c>
      <c r="BF1744">
        <f>BE1744-AZ1744</f>
        <v>0</v>
      </c>
      <c r="BG1744" cm="1">
        <f t="array" ref="BG1744">IFERROR(IF(BF1744&lt;0,0,BF1744/($AU$1699-INDEX(hd_off,MATCH(BT1744,hd_mark,0),0)/12)),0)</f>
        <v>0</v>
      </c>
      <c r="BH1744">
        <f>IF(AV1744=0,0,$BG$1699*$AM$1686)</f>
        <v>0</v>
      </c>
      <c r="BI1744">
        <f>IFERROR(BH1744/$AU$1699,0)</f>
        <v>0</v>
      </c>
      <c r="BJ1744">
        <f>BH1744*($F$22+IF($F$22=0,0,($C$14+$C$15+IF($C$13="single",1.5,3)+3)/12))</f>
        <v>0</v>
      </c>
      <c r="BK1744">
        <f>BJ1744-BA1744</f>
        <v>0</v>
      </c>
      <c r="BL1744" cm="1">
        <f t="array" ref="BL1744">IFERROR(IF(BK1744&lt;0,0,BK1744/($AU$1699-INDEX(hd_off,MATCH(BT1744,hd_mark,0),0)/12)),0)</f>
        <v>0</v>
      </c>
      <c r="BM1744">
        <f>MAX($F$22,$BC$1699)/$Q$1716</f>
        <v>0.30172413793103448</v>
      </c>
      <c r="BN1744">
        <f t="shared" ref="BN1744:BN1747" si="1084">IF(BM1744=0,0,IF(BM1744&gt;2,1.25-0.125*BM1744,1))</f>
        <v>1</v>
      </c>
      <c r="BO1744" cm="1">
        <f t="array" ref="BO1744">IFERROR(INDEX(sheath_ecap_asd,MATCH(BS1744,sheath_mark,0),0)*BN1744,0)</f>
        <v>0</v>
      </c>
      <c r="BP1744" cm="1">
        <f t="array" ref="BP1744">IFERROR(INDEX(sheath_wcap_asd,MATCH(BS1744,sheath_mark,0),0)*BN1744,0)</f>
        <v>0</v>
      </c>
      <c r="BQ1744" cm="1">
        <f t="array" ref="BQ1744">IFERROR(INDEX(hd_cap,MATCH(BT1744,hd_mark,0),0),0)</f>
        <v>0</v>
      </c>
      <c r="BS1744" s="19"/>
      <c r="BT1744" s="19"/>
      <c r="BU1744" s="100"/>
    </row>
    <row r="1745" x14ac:dyDescent="0.25">
      <c r="P1745" s="93"/>
      <c r="Q1745" s="109" t="s">
        <v>491</v>
      </c>
      <c r="R1745" t="str">
        <f>$Q$1687</f>
        <v>L4</v>
      </c>
      <c r="S1745">
        <f>$E$23</f>
        <v>0</v>
      </c>
      <c r="T1745" cm="1">
        <f t="array" ref="T1745">IFERROR(IF(S1745=0,0,(INDEX($C$33:$C$38,MATCH($W$1699,$B$33:$B$38,0),0)*(S1747+$X$1699)+$T$1699*COUNTIF(S1745:S1746,"&gt;0")*$C$32+$V$1699*$C$31)*$R$1699),0)</f>
        <v>0</v>
      </c>
      <c r="U1745">
        <f>IF(S1745=0,0,-(COUNTIF(S1745:S1746,"&gt;0")*$T$1699*$C$32+$V$1699*$C$31)*$H$27*$R$1699)</f>
        <v>0</v>
      </c>
      <c r="V1745">
        <f>IF(S1745=0,0,$V$1699*$H$26*$R$1699)</f>
        <v>0</v>
      </c>
      <c r="W1745">
        <f>(0.6*T1745+0.7*U1745)*$R$1699/2</f>
        <v>0</v>
      </c>
      <c r="X1745">
        <f>T1745*$R$1699/2</f>
        <v>0</v>
      </c>
      <c r="Z1745">
        <f>IF(S1745=0,0,$AD$1699*$AP$1687)</f>
        <v>0</v>
      </c>
      <c r="AA1745">
        <f>IFERROR(Z1745/$R$1699,0)</f>
        <v>0</v>
      </c>
      <c r="AB1745">
        <f>Z1745*($F$23+IF($F$23=0,0,($C$14+$C$15+IF($C$13="single",1.5,3)+3)/12))</f>
        <v>0</v>
      </c>
      <c r="AC1745">
        <f>AB1745-W1745</f>
        <v>0</v>
      </c>
      <c r="AD1745" cm="1">
        <f t="array" ref="AD1745">IFERROR(IF(AC1745&lt;0,0,AC1745/($R$1699-INDEX(hd_off,MATCH(AQ1745,hd_mark,0),0)/12)),0)</f>
        <v>0</v>
      </c>
      <c r="AE1745">
        <f>IF(S1745=0,0,$AD$1699*$AM$1687)</f>
        <v>0</v>
      </c>
      <c r="AF1745">
        <f>IFERROR(AE1745/$R$1699,0)</f>
        <v>0</v>
      </c>
      <c r="AG1745">
        <f>AE1745*($F$23+IF($F$23=0,0,($C$14+$C$15+IF($C$13="single",1.5,3)+3)/12))</f>
        <v>0</v>
      </c>
      <c r="AH1745">
        <f>AG1745-X1745</f>
        <v>0</v>
      </c>
      <c r="AI1745" cm="1">
        <f t="array" ref="AI1745">IFERROR(IF(AH1745&lt;0,0,AH1745/($R$1699-INDEX(hd_off,MATCH(AQ1745,hd_mark,0),0)/12)),0)</f>
        <v>0</v>
      </c>
      <c r="AJ1745">
        <f>MAX($F$23,$AA$1699)/$Q$1716</f>
        <v>0</v>
      </c>
      <c r="AK1745">
        <f t="shared" si="1083"/>
        <v>0</v>
      </c>
      <c r="AL1745" cm="1">
        <f t="array" ref="AL1745">IFERROR(INDEX(sheath_ecap_asd,MATCH(AP1745,sheath_mark,0),0)*AK1745,0)</f>
        <v>0</v>
      </c>
      <c r="AM1745" cm="1">
        <f t="array" ref="AM1745">IFERROR(INDEX(sheath_wcap_asd,MATCH(AP1745,sheath_mark,0),0)*AK1745,0)</f>
        <v>0</v>
      </c>
      <c r="AN1745" cm="1">
        <f t="array" ref="AN1745">IFERROR(INDEX(hd_cap,MATCH(AQ1745,hd_mark,0),0),0)</f>
        <v>0</v>
      </c>
      <c r="AP1745" s="19"/>
      <c r="AQ1745" s="19"/>
      <c r="AR1745" s="100"/>
      <c r="AS1745" s="93"/>
      <c r="AT1745" s="109" t="s">
        <v>491</v>
      </c>
      <c r="AU1745" t="str">
        <f>$Q$1687</f>
        <v>L4</v>
      </c>
      <c r="AV1745">
        <f>$E$23</f>
        <v>0</v>
      </c>
      <c r="AW1745" cm="1">
        <f t="array" ref="AW1745">IFERROR(IF(AV1745=0,0,(INDEX($C$33:$C$38,MATCH($AZ$1699,$B$33:$B$38,0),0)*(AV1747+$BA$1699)+$AW$1699*COUNTIF(AV1745:AV1746,"&gt;0")*$C$32+$AY$1699*$C$31)*$AU$1699),0)</f>
        <v>0</v>
      </c>
      <c r="AX1745">
        <f>IF(AV1745=0,0,-(COUNTIF(AV1745:AV1746,"&gt;0")*$AW$1699*$C$32+$AY$1699*$C$31)*$H$27*$AU$1699)</f>
        <v>0</v>
      </c>
      <c r="AY1745">
        <f>IF(AV1745=0,0,$AY$1699*$H$26*$AU$1699)</f>
        <v>0</v>
      </c>
      <c r="AZ1745">
        <f>(0.6*AW1745+0.7*AX1745)*$AU$1699/2</f>
        <v>0</v>
      </c>
      <c r="BA1745">
        <f>AW1745*$AU$1699/2</f>
        <v>0</v>
      </c>
      <c r="BC1745">
        <f>IF(AV1745=0,0,$BG$1699*$AP$1687)</f>
        <v>0</v>
      </c>
      <c r="BD1745">
        <f>IFERROR(BC1745/$AU$1699,0)</f>
        <v>0</v>
      </c>
      <c r="BE1745">
        <f>BC1745*($F$23+IF($F$23=0,0,($C$14+$C$15+IF($C$13="single",1.5,3)+3)/12))</f>
        <v>0</v>
      </c>
      <c r="BF1745">
        <f>BE1745-AZ1745</f>
        <v>0</v>
      </c>
      <c r="BG1745" cm="1">
        <f t="array" ref="BG1745">IFERROR(IF(BF1745&lt;0,0,BF1745/($AU$1699-INDEX(hd_off,MATCH(BT1745,hd_mark,0),0)/12)),0)</f>
        <v>0</v>
      </c>
      <c r="BH1745">
        <f>IF(AV1745=0,0,$BG$1699*$AM$1687)</f>
        <v>0</v>
      </c>
      <c r="BI1745">
        <f>IFERROR(BH1745/$AU$1699,0)</f>
        <v>0</v>
      </c>
      <c r="BJ1745">
        <f>BH1745*($F$23+IF($F$23=0,0,($C$14+$C$15+IF($C$13="single",1.5,3)+3)/12))</f>
        <v>0</v>
      </c>
      <c r="BK1745">
        <f>BJ1745-BA1745</f>
        <v>0</v>
      </c>
      <c r="BL1745" cm="1">
        <f t="array" ref="BL1745">IFERROR(IF(BK1745&lt;0,0,BK1745/($AU$1699-INDEX(hd_off,MATCH(BT1745,hd_mark,0),0)/12)),0)</f>
        <v>0</v>
      </c>
      <c r="BM1745">
        <f>MAX($F$23,$BD$1699)/$Q$1716</f>
        <v>0</v>
      </c>
      <c r="BN1745">
        <f t="shared" si="1084"/>
        <v>0</v>
      </c>
      <c r="BO1745" cm="1">
        <f t="array" ref="BO1745">IFERROR(INDEX(sheath_ecap_asd,MATCH(BS1745,sheath_mark,0),0)*BN1745,0)</f>
        <v>0</v>
      </c>
      <c r="BP1745" cm="1">
        <f t="array" ref="BP1745">IFERROR(INDEX(sheath_wcap_asd,MATCH(BS1745,sheath_mark,0),0)*BN1745,0)</f>
        <v>0</v>
      </c>
      <c r="BQ1745" cm="1">
        <f t="array" ref="BQ1745">IFERROR(INDEX(hd_cap,MATCH(BT1745,hd_mark,0),0),0)</f>
        <v>0</v>
      </c>
      <c r="BS1745" s="19"/>
      <c r="BT1745" s="19"/>
      <c r="BU1745" s="100"/>
    </row>
    <row r="1746" x14ac:dyDescent="0.25">
      <c r="P1746" s="93"/>
      <c r="Q1746" s="111">
        <f>$R$1699</f>
        <v>0</v>
      </c>
      <c r="R1746" t="str">
        <f>$Q$1688</f>
        <v>L5</v>
      </c>
      <c r="S1746">
        <f>$E$24</f>
        <v>0</v>
      </c>
      <c r="T1746" cm="1">
        <f t="array" ref="T1746">IFERROR(IF(S1746=0,0,(INDEX($C$33:$C$38,MATCH($W$1699,$B$33:$B$38,0),0)*(S1747+$X$1699)+$T$1699*COUNTIF(S1746:S1746,"&gt;0")*$C$32+$V$1699*$C$31)*$R$1699),0)</f>
        <v>0</v>
      </c>
      <c r="U1746">
        <f>IF(S1746=0,0,-(COUNTIF(S1746:S1746,"&gt;0")*$T$1699*$C$32+$V$1699*$C$31)*$H$27*$R$1699)</f>
        <v>0</v>
      </c>
      <c r="V1746">
        <f>IF(S1746=0,0,$V$1699*$H$26*$R$1699)</f>
        <v>0</v>
      </c>
      <c r="W1746">
        <f>(0.6*T1746+0.7*U1746)*$R$1699/2</f>
        <v>0</v>
      </c>
      <c r="X1746">
        <f>T1746*$R$1699/2</f>
        <v>0</v>
      </c>
      <c r="Z1746">
        <f>IF(S1746=0,0,$AD$1699*$AP$1688)</f>
        <v>0</v>
      </c>
      <c r="AA1746">
        <f>IFERROR(Z1746/$R$1699,0)</f>
        <v>0</v>
      </c>
      <c r="AB1746">
        <f>Z1746*($F$24+IF($F$24=0,0,($C$14+$C$15+IF($C$13="single",1.5,3)+3)/12))</f>
        <v>0</v>
      </c>
      <c r="AC1746">
        <f>AB1746-W1746</f>
        <v>0</v>
      </c>
      <c r="AD1746" cm="1">
        <f t="array" ref="AD1746">IFERROR(IF(AC1746&lt;0,0,AC1746/($R$1699-INDEX(hd_off,MATCH(AQ1746,hd_mark,0),0)/12)),0)</f>
        <v>0</v>
      </c>
      <c r="AE1746">
        <f>IF(S1746=0,0,$AD$1699*$AM$1688)</f>
        <v>0</v>
      </c>
      <c r="AF1746">
        <f>IFERROR(AE1746/$R$1699,0)</f>
        <v>0</v>
      </c>
      <c r="AG1746">
        <f>AE1746*($F$24+IF($F$24=0,0,($C$14+$C$15+IF($C$13="single",1.5,3)+3)/12))</f>
        <v>0</v>
      </c>
      <c r="AH1746">
        <f>AG1746-X1746</f>
        <v>0</v>
      </c>
      <c r="AI1746" cm="1">
        <f t="array" ref="AI1746">IFERROR(IF(AH1746&lt;0,0,AH1746/($R$1699-INDEX(hd_off,MATCH(AQ1746,hd_mark,0),0)/12)),0)</f>
        <v>0</v>
      </c>
      <c r="AJ1746">
        <f>MAX($F$24,$AB$1699)/$Q$1716</f>
        <v>0</v>
      </c>
      <c r="AK1746">
        <f t="shared" si="1083"/>
        <v>0</v>
      </c>
      <c r="AL1746" cm="1">
        <f t="array" ref="AL1746">IFERROR(INDEX(sheath_ecap_asd,MATCH(AP1746,sheath_mark,0),0)*AK1746,0)</f>
        <v>0</v>
      </c>
      <c r="AM1746" cm="1">
        <f t="array" ref="AM1746">IFERROR(INDEX(sheath_wcap_asd,MATCH(AP1746,sheath_mark,0),0)*AK1746,0)</f>
        <v>0</v>
      </c>
      <c r="AN1746" cm="1">
        <f t="array" ref="AN1746">IFERROR(INDEX(hd_cap,MATCH(AQ1746,hd_mark,0),0),0)</f>
        <v>0</v>
      </c>
      <c r="AP1746" s="19"/>
      <c r="AQ1746" s="19"/>
      <c r="AR1746" s="100"/>
      <c r="AS1746" s="93"/>
      <c r="AT1746" s="111">
        <f>$R$1699</f>
        <v>0</v>
      </c>
      <c r="AU1746" t="str">
        <f>$Q$1688</f>
        <v>L5</v>
      </c>
      <c r="AV1746">
        <f>$E$24</f>
        <v>0</v>
      </c>
      <c r="AW1746" cm="1">
        <f t="array" ref="AW1746">IFERROR(IF(AV1746=0,0,(INDEX($C$33:$C$38,MATCH($AZ$1699,$B$33:$B$38,0),0)*(AV1747+$BA$1699)+$AW$1699*COUNTIF(AV1746:AV1746,"&gt;0")*$C$32+$AY$1699*$C$31)*$AU$1699),0)</f>
        <v>0</v>
      </c>
      <c r="AX1746">
        <f>IF(AV1746=0,0,-(COUNTIF(AV1746:AV1746,"&gt;0")*$AW$1699*$C$32+$AY$1699*$C$31)*$H$27*$AU$1699)</f>
        <v>0</v>
      </c>
      <c r="AY1746">
        <f>IF(AV1746=0,0,$AY$1699*$H$26*$AU$1699)</f>
        <v>0</v>
      </c>
      <c r="AZ1746">
        <f>(0.6*AW1746+0.7*AX1746)*$AU$1699/2</f>
        <v>0</v>
      </c>
      <c r="BA1746">
        <f>AW1746*$AU$1699/2</f>
        <v>0</v>
      </c>
      <c r="BC1746">
        <f>IF(AV1746=0,0,$BG$1699*$AP$1688)</f>
        <v>0</v>
      </c>
      <c r="BD1746">
        <f>IFERROR(BC1746/$AU$1699,0)</f>
        <v>0</v>
      </c>
      <c r="BE1746">
        <f>BC1746*($F$24+IF($F$24=0,0,($C$14+$C$15+IF($C$13="single",1.5,3)+3)/12))</f>
        <v>0</v>
      </c>
      <c r="BF1746">
        <f>BE1746-AZ1746</f>
        <v>0</v>
      </c>
      <c r="BG1746" cm="1">
        <f t="array" ref="BG1746">IFERROR(IF(BF1746&lt;0,0,BF1746/($AU$1699-INDEX(hd_off,MATCH(BT1746,hd_mark,0),0)/12)),0)</f>
        <v>0</v>
      </c>
      <c r="BH1746">
        <f>IF(AV1746=0,0,$BG$1699*$AM$1688)</f>
        <v>0</v>
      </c>
      <c r="BI1746">
        <f>IFERROR(BH1746/$AU$1699,0)</f>
        <v>0</v>
      </c>
      <c r="BJ1746">
        <f>BH1746*($F$24+IF($F$24=0,0,($C$14+$C$15+IF($C$13="single",1.5,3)+3)/12))</f>
        <v>0</v>
      </c>
      <c r="BK1746">
        <f>BJ1746-BA1746</f>
        <v>0</v>
      </c>
      <c r="BL1746" cm="1">
        <f t="array" ref="BL1746">IFERROR(IF(BK1746&lt;0,0,BK1746/($AU$1699-INDEX(hd_off,MATCH(BT1746,hd_mark,0),0)/12)),0)</f>
        <v>0</v>
      </c>
      <c r="BM1746">
        <f>MAX($F$24,$BE$1699)/$Q$1716</f>
        <v>0</v>
      </c>
      <c r="BN1746">
        <f t="shared" si="1084"/>
        <v>0</v>
      </c>
      <c r="BO1746" cm="1">
        <f t="array" ref="BO1746">IFERROR(INDEX(sheath_ecap_asd,MATCH(BS1746,sheath_mark,0),0)*BN1746,0)</f>
        <v>0</v>
      </c>
      <c r="BP1746" cm="1">
        <f t="array" ref="BP1746">IFERROR(INDEX(sheath_wcap_asd,MATCH(BS1746,sheath_mark,0),0)*BN1746,0)</f>
        <v>0</v>
      </c>
      <c r="BQ1746" cm="1">
        <f t="array" ref="BQ1746">IFERROR(INDEX(hd_cap,MATCH(BT1746,hd_mark,0),0),0)</f>
        <v>0</v>
      </c>
      <c r="BS1746" s="19"/>
      <c r="BT1746" s="19"/>
      <c r="BU1746" s="100"/>
    </row>
    <row r="1747" x14ac:dyDescent="0.25">
      <c r="P1747" s="93"/>
      <c r="Q1747" s="109"/>
      <c r="R1747" t="str">
        <f>$Q$1689</f>
        <v>Roof</v>
      </c>
      <c r="S1747">
        <f>$E$25</f>
        <v>33.171875</v>
      </c>
      <c r="T1747" cm="1">
        <f t="array" ref="T1747">IFERROR(IF(S1747=0,0,(INDEX($C$33:$C$38,MATCH($W$1699,$B$33:$B$38,0),0)*(S1747+$X$1699)+$V$1699*$C$31)*$R$1699),0)</f>
        <v>0</v>
      </c>
      <c r="U1747">
        <f>IF(S1747=0,0,-$V$1699*$C$31*$H$27*$R$1699)</f>
        <v>0</v>
      </c>
      <c r="V1747">
        <f>IF(S1747=0,0,$V$1699*$H$26*$R$1699)</f>
        <v>0</v>
      </c>
      <c r="W1747">
        <f>(0.6*T1747+0.7*U1747)*$R$1699/2</f>
        <v>0</v>
      </c>
      <c r="X1747">
        <f>T1747*$R$1699/2</f>
        <v>0</v>
      </c>
      <c r="Z1747">
        <f>IF(S1747=0,0,$AD$1699*$AP$1689)</f>
        <v>0</v>
      </c>
      <c r="AA1747">
        <f>IFERROR(Z1747/$R$1699,0)</f>
        <v>0</v>
      </c>
      <c r="AB1747">
        <f>Z1747*($F$25+($C$16+$C$17+IF($C$13="single",1.5,3)+3)/12)</f>
        <v>0</v>
      </c>
      <c r="AC1747">
        <f>AB1747-W1747</f>
        <v>0</v>
      </c>
      <c r="AD1747" cm="1">
        <f t="array" ref="AD1747">IFERROR(IF(AC1747&lt;0,0,AC1747/($R$1699-INDEX(hd_off,MATCH(AQ1747,hd_mark,0),0)/12)),0)</f>
        <v>0</v>
      </c>
      <c r="AE1747">
        <f>IF(S1747=0,0,$AD$1699*$AM$1689)</f>
        <v>0</v>
      </c>
      <c r="AF1747">
        <f>IFERROR(AE1747/$R$1699,0)</f>
        <v>0</v>
      </c>
      <c r="AG1747">
        <f>AE1747*($F$25+($C$16+$C$17+IF($C$13="single",1.5,3)+3)/12)</f>
        <v>0</v>
      </c>
      <c r="AH1747">
        <f>AG1747-X1747</f>
        <v>0</v>
      </c>
      <c r="AI1747" cm="1">
        <f t="array" ref="AI1747">IFERROR(IF(AH1747&lt;0,0,AH1747/($R$1699-INDEX(hd_off,MATCH(AQ1747,hd_mark,0),0)/12)),0)</f>
        <v>0</v>
      </c>
      <c r="AJ1747">
        <f>MAX($F$25,$AC$1699)/$Q$1716</f>
        <v>0.29920977011494249</v>
      </c>
      <c r="AK1747">
        <f t="shared" si="1083"/>
        <v>1</v>
      </c>
      <c r="AL1747" cm="1">
        <f t="array" ref="AL1747">IFERROR(INDEX(sheath_ecap_asd,MATCH(AP1747,sheath_mark,0),0)*AK1747,0)</f>
        <v>0</v>
      </c>
      <c r="AM1747" cm="1">
        <f t="array" ref="AM1747">IFERROR(INDEX(sheath_wcap_asd,MATCH(AP1747,sheath_mark,0),0)*AK1747,0)</f>
        <v>0</v>
      </c>
      <c r="AN1747" cm="1">
        <f t="array" ref="AN1747">IFERROR(INDEX(hd_cap,MATCH(AQ1747,hd_mark,0),0),0)</f>
        <v>0</v>
      </c>
      <c r="AP1747" s="19"/>
      <c r="AQ1747" s="19"/>
      <c r="AR1747" s="100"/>
      <c r="AS1747" s="93"/>
      <c r="AT1747" s="109"/>
      <c r="AU1747" t="str">
        <f>$Q$1689</f>
        <v>Roof</v>
      </c>
      <c r="AV1747">
        <f>$E$25</f>
        <v>33.171875</v>
      </c>
      <c r="AW1747" cm="1">
        <f t="array" ref="AW1747">IFERROR(IF(AV1747=0,0,(INDEX($C$33:$C$38,MATCH($AZ$1699,$B$33:$B$38,0),0)*(AV1747+$BA$1699)+$AY$1699*$C$31)*$AU$1699),0)</f>
        <v>0</v>
      </c>
      <c r="AX1747">
        <f>IF(AV1747=0,0,-$AY$1699*$C$31*$H$27*$AU$1699)</f>
        <v>0</v>
      </c>
      <c r="AY1747">
        <f>IF(AV1747=0,0,$AY$1699*$H$26*$AU$1699)</f>
        <v>0</v>
      </c>
      <c r="AZ1747">
        <f>(0.6*AW1747+0.7*AX1747)*$AU$1699/2</f>
        <v>0</v>
      </c>
      <c r="BA1747">
        <f>AW1747*$AU$1699/2</f>
        <v>0</v>
      </c>
      <c r="BC1747">
        <f>IF(AV1747=0,0,$BG$1699*$AP$1689)</f>
        <v>0</v>
      </c>
      <c r="BD1747">
        <f>IFERROR(BC1747/$AU$1699,0)</f>
        <v>0</v>
      </c>
      <c r="BE1747">
        <f>BC1747*($F$25+($C$16+$C$17+IF($C$13="single",1.5,3)+3)/12)</f>
        <v>0</v>
      </c>
      <c r="BF1747">
        <f>BE1747-AZ1747</f>
        <v>0</v>
      </c>
      <c r="BG1747" cm="1">
        <f t="array" ref="BG1747">IFERROR(IF(BF1747&lt;0,0,BF1747/($AU$1699-INDEX(hd_off,MATCH(BT1747,hd_mark,0),0)/12)),0)</f>
        <v>0</v>
      </c>
      <c r="BH1747">
        <f>IF(AV1747=0,0,$BG$1699*$AM$1689)</f>
        <v>0</v>
      </c>
      <c r="BI1747">
        <f>IFERROR(BH1747/$AU$1699,0)</f>
        <v>0</v>
      </c>
      <c r="BJ1747">
        <f>BH1747*($F$25+($C$16+$C$17+IF($C$13="single",1.5,3)+3)/12)</f>
        <v>0</v>
      </c>
      <c r="BK1747">
        <f>BJ1747-BA1747</f>
        <v>0</v>
      </c>
      <c r="BL1747" cm="1">
        <f t="array" ref="BL1747">IFERROR(IF(BK1747&lt;0,0,BK1747/($AU$1699-INDEX(hd_off,MATCH(BT1747,hd_mark,0),0)/12)),0)</f>
        <v>0</v>
      </c>
      <c r="BM1747">
        <f>MAX($F$25,$BF$1699)/$Q$1716</f>
        <v>0.29920977011494249</v>
      </c>
      <c r="BN1747">
        <f t="shared" si="1084"/>
        <v>1</v>
      </c>
      <c r="BO1747" cm="1">
        <f t="array" ref="BO1747">IFERROR(INDEX(sheath_ecap_asd,MATCH(BS1747,sheath_mark,0),0)*BN1747,0)</f>
        <v>0</v>
      </c>
      <c r="BP1747" cm="1">
        <f t="array" ref="BP1747">IFERROR(INDEX(sheath_wcap_asd,MATCH(BS1747,sheath_mark,0),0)*BN1747,0)</f>
        <v>0</v>
      </c>
      <c r="BQ1747" cm="1">
        <f t="array" ref="BQ1747">IFERROR(INDEX(hd_cap,MATCH(BT1747,hd_mark,0),0),0)</f>
        <v>0</v>
      </c>
      <c r="BS1747" s="19"/>
      <c r="BT1747" s="19"/>
      <c r="BU1747" s="100"/>
    </row>
    <row r="1748" x14ac:dyDescent="0.25">
      <c r="P1748" s="93"/>
      <c r="AR1748" s="100"/>
      <c r="AS1748" s="93"/>
      <c r="BU1748" s="100"/>
    </row>
    <row r="1749" x14ac:dyDescent="0.25">
      <c r="P1749" s="93"/>
      <c r="Q1749" s="110" t="str">
        <f>$Q$1700</f>
        <v>A.07</v>
      </c>
      <c r="R1749" t="str">
        <f>$Q$1685</f>
        <v>L2</v>
      </c>
      <c r="S1749">
        <f>$E$21</f>
        <v>10.6875</v>
      </c>
      <c r="T1749" cm="1">
        <f t="array" ref="T1749">IFERROR(IF(S1749=0,0,(INDEX($C$33:$C$38,MATCH($W$1700,$B$33:$B$38,0),0)*(S1753+$X$1700)+$T$1700*COUNTIF(S1749:S1752,"&gt;0")*$C$32+$V$1700*$C$31)*$R$1700),0)</f>
        <v>0</v>
      </c>
      <c r="U1749">
        <f>IF(S1749=0,0,-(COUNTIF(S1749:S1752,"&gt;0")*$T$1700*$C$32+$V$1700*$C$31)*$H$27*$R$1700)</f>
        <v>0</v>
      </c>
      <c r="V1749">
        <f>IF(S1749=0,0,$V$1700*$H$26*$R$1700)</f>
        <v>0</v>
      </c>
      <c r="W1749">
        <f>(0.6*T1749+0.7*U1749)*$R$1700/2</f>
        <v>0</v>
      </c>
      <c r="X1749">
        <f>(0.6*T1749+0.6*V1749)*$R$1700/2</f>
        <v>0</v>
      </c>
      <c r="Z1749">
        <f>IF(S1749=0,0,$AD$1700*$AP$1685)</f>
        <v>0</v>
      </c>
      <c r="AA1749">
        <f>IFERROR(Z1749/$R$1700,0)</f>
        <v>0</v>
      </c>
      <c r="AB1749">
        <f>Z1749*($F$21+IF($F$21=0,0,($C$14+$C$15+IF($C$13="single",1.5,3)+3)/12))</f>
        <v>0</v>
      </c>
      <c r="AC1749">
        <f>AB1749-W1749</f>
        <v>0</v>
      </c>
      <c r="AD1749" cm="1">
        <f t="array" ref="AD1749">IFERROR(IF(AC1749&lt;0,0,AC1749/($R$1700-INDEX(hd_off,MATCH(AQ1749,hd_mark,0),0)/12)),0)</f>
        <v>0</v>
      </c>
      <c r="AE1749">
        <f>IF(S1749=0,0,$AD$1700*$AM$1685)</f>
        <v>0</v>
      </c>
      <c r="AF1749">
        <f>IFERROR(AE1749/$R$1700,0)</f>
        <v>0</v>
      </c>
      <c r="AG1749">
        <f>AE1749*($F$21+IF($F$21=0,0,($C$14+$C$15+IF($C$13="single",1.5,3)+3)/12))</f>
        <v>0</v>
      </c>
      <c r="AH1749">
        <f>AG1749-X1749</f>
        <v>0</v>
      </c>
      <c r="AI1749" cm="1">
        <f t="array" ref="AI1749">IFERROR(IF(AH1749&lt;0,0,AH1749/($R$1700-INDEX(hd_off,MATCH(AQ1749,hd_mark,0),0)/12)),0)</f>
        <v>0</v>
      </c>
      <c r="AJ1749">
        <f>MAX($F$21,$Y$1700)/$Q$1716</f>
        <v>0.30172413793103448</v>
      </c>
      <c r="AK1749">
        <f>IF(AJ1749=0,0,IF(AJ1749&gt;2,1.25-0.125*AJ1749,1))</f>
        <v>1</v>
      </c>
      <c r="AL1749" cm="1">
        <f t="array" ref="AL1749">IFERROR(INDEX(sheath_ecap_asd,MATCH(AP1749,sheath_mark,0),0)*AK1749,0)</f>
        <v>0</v>
      </c>
      <c r="AM1749" cm="1">
        <f t="array" ref="AM1749">IFERROR(INDEX(sheath_wcap_asd,MATCH(AP1749,sheath_mark,0),0)*AK1749,0)</f>
        <v>0</v>
      </c>
      <c r="AN1749" cm="1">
        <f t="array" ref="AN1749">IFERROR(INDEX(hd_cap,MATCH(AQ1749,hd_mark,0),0),0)</f>
        <v>0</v>
      </c>
      <c r="AP1749" s="19"/>
      <c r="AQ1749" s="19"/>
      <c r="AR1749" s="100"/>
      <c r="AS1749" s="93"/>
      <c r="AT1749" s="110" t="str">
        <f>$AT$1700</f>
        <v>1.07</v>
      </c>
      <c r="AU1749" t="str">
        <f>$Q$1685</f>
        <v>L2</v>
      </c>
      <c r="AV1749">
        <f>$E$21</f>
        <v>10.6875</v>
      </c>
      <c r="AW1749" cm="1">
        <f t="array" ref="AW1749">IFERROR(IF(AV1749=0,0,(INDEX($C$33:$C$38,MATCH($AZ$1700,$B$33:$B$38,0),0)*(AV1753+$BA$1700)+$AW$1700*COUNTIF(AV1749:AV1752,"&gt;0")*$C$32+$AY$1700*$C$31)*$AU$1700),0)</f>
        <v>0</v>
      </c>
      <c r="AX1749">
        <f>IF(AV1749=0,0,-(COUNTIF(AV1749:AV1752,"&gt;0")*$AW$1700*$C$32+$AY$1700*$C$31)*$H$27*$AU$1700)</f>
        <v>0</v>
      </c>
      <c r="AY1749">
        <f>IF(AV1749=0,0,$AY$1700*$H$26*$AU$1700)</f>
        <v>0</v>
      </c>
      <c r="AZ1749">
        <f>(0.6*AW1749+0.7*AX1749)*$AU$1700/2</f>
        <v>0</v>
      </c>
      <c r="BA1749">
        <f>(0.6*AW1749+0.6*AY1749)*$AU$1700/2</f>
        <v>0</v>
      </c>
      <c r="BC1749">
        <f>IF(AV1749=0,0,$BG$1700*$AP$1685)</f>
        <v>0</v>
      </c>
      <c r="BD1749">
        <f>IFERROR(BC1749/$AU$1700,0)</f>
        <v>0</v>
      </c>
      <c r="BE1749">
        <f>BC1749*($F$21+IF($F$21=0,0,($C$14+$C$15+IF($C$13="single",1.5,3)+3)/12))</f>
        <v>0</v>
      </c>
      <c r="BF1749">
        <f>BE1749-AZ1749</f>
        <v>0</v>
      </c>
      <c r="BG1749" cm="1">
        <f t="array" ref="BG1749">IFERROR(IF(BF1749&lt;0,0,BF1749/($AU$1700-INDEX(hd_off,MATCH(BT1749,hd_mark,0),0)/12)),0)</f>
        <v>0</v>
      </c>
      <c r="BH1749">
        <f>IF(AV1749=0,0,$BG$1700*$AM$1685)</f>
        <v>0</v>
      </c>
      <c r="BI1749">
        <f>IFERROR(BH1749/$AU$1700,0)</f>
        <v>0</v>
      </c>
      <c r="BJ1749">
        <f>BH1749*($F$21+IF($F$21=0,0,($C$14+$C$15+IF($C$13="single",1.5,3)+3)/12))</f>
        <v>0</v>
      </c>
      <c r="BK1749">
        <f>BJ1749-BA1749</f>
        <v>0</v>
      </c>
      <c r="BL1749" cm="1">
        <f t="array" ref="BL1749">IFERROR(IF(BK1749&lt;0,0,BK1749/($AU$1700-INDEX(hd_off,MATCH(BT1749,hd_mark,0),0)/12)),0)</f>
        <v>0</v>
      </c>
      <c r="BM1749">
        <f>MAX($F$21,$BB$1700)/$Q$1716</f>
        <v>0.30172413793103448</v>
      </c>
      <c r="BN1749">
        <f>IF(BM1749=0,0,IF(BM1749&gt;2,1.25-0.125*BM1749,1))</f>
        <v>1</v>
      </c>
      <c r="BO1749" cm="1">
        <f t="array" ref="BO1749">IFERROR(INDEX(sheath_ecap_asd,MATCH(BS1749,sheath_mark,0),0)*BN1749,0)</f>
        <v>0</v>
      </c>
      <c r="BP1749" cm="1">
        <f t="array" ref="BP1749">IFERROR(INDEX(sheath_wcap_asd,MATCH(BS1749,sheath_mark,0),0)*BN1749,0)</f>
        <v>0</v>
      </c>
      <c r="BQ1749" cm="1">
        <f t="array" ref="BQ1749">IFERROR(INDEX(hd_cap,MATCH(BT1749,hd_mark,0),0),0)</f>
        <v>0</v>
      </c>
      <c r="BS1749" s="19"/>
      <c r="BT1749" s="19"/>
      <c r="BU1749" s="100"/>
    </row>
    <row r="1750" x14ac:dyDescent="0.25">
      <c r="P1750" s="93"/>
      <c r="Q1750" s="109"/>
      <c r="R1750" t="str">
        <f>$Q$1686</f>
        <v>L3</v>
      </c>
      <c r="S1750">
        <f>$E$22</f>
        <v>21.375</v>
      </c>
      <c r="T1750" cm="1">
        <f t="array" ref="T1750">IFERROR(IF(S1750=0,0,(INDEX($C$33:$C$38,MATCH($W$1700,$B$33:$B$38,0),0)*(S1753+$X$1700)+$T$1700*COUNTIF(S1750:S1752,"&gt;0")*$C$32+$V$1700*$C$31)*$R$1700),0)</f>
        <v>0</v>
      </c>
      <c r="U1750">
        <f>IF(S1750=0,0,-(COUNTIF(S1750:S1752,"&gt;0")*$T$1700*$C$32+$V$1700*$C$31)*$H$27*$R$1700)</f>
        <v>0</v>
      </c>
      <c r="V1750">
        <f>IF(S1750=0,0,$V$1700*$H$26*$R$1700)</f>
        <v>0</v>
      </c>
      <c r="W1750">
        <f>(0.6*T1750+0.7*U1750)*$R$1700/2</f>
        <v>0</v>
      </c>
      <c r="X1750">
        <f>T1750*$R$1700/2</f>
        <v>0</v>
      </c>
      <c r="Z1750">
        <f>IF(S1750=0,0,$AD$1700*$AP$1686)</f>
        <v>0</v>
      </c>
      <c r="AA1750">
        <f>IFERROR(Z1750/$R$1700,0)</f>
        <v>0</v>
      </c>
      <c r="AB1750">
        <f>Z1750*($F$22+IF($F$22=0,0,($C$14+$C$15+IF($C$13="single",1.5,3)+3)/12))</f>
        <v>0</v>
      </c>
      <c r="AC1750">
        <f>AB1750-W1750</f>
        <v>0</v>
      </c>
      <c r="AD1750" cm="1">
        <f t="array" ref="AD1750">IFERROR(IF(AC1750&lt;0,0,AC1750/($R$1700-INDEX(hd_off,MATCH(AQ1750,hd_mark,0),0)/12)),0)</f>
        <v>0</v>
      </c>
      <c r="AE1750">
        <f>IF(S1750=0,0,$AD$1700*$AM$1686)</f>
        <v>0</v>
      </c>
      <c r="AF1750">
        <f>IFERROR(AE1750/$R$1700,0)</f>
        <v>0</v>
      </c>
      <c r="AG1750">
        <f>AE1750*($F$22+IF($F$22=0,0,($C$14+$C$15+IF($C$13="single",1.5,3)+3)/12))</f>
        <v>0</v>
      </c>
      <c r="AH1750">
        <f>AG1750-X1750</f>
        <v>0</v>
      </c>
      <c r="AI1750" cm="1">
        <f t="array" ref="AI1750">IFERROR(IF(AH1750&lt;0,0,AH1750/($R$1700-INDEX(hd_off,MATCH(AQ1750,hd_mark,0),0)/12)),0)</f>
        <v>0</v>
      </c>
      <c r="AJ1750">
        <f>MAX($F$22,$Z$1700)/$Q$1716</f>
        <v>0.30172413793103448</v>
      </c>
      <c r="AK1750">
        <f t="shared" ref="AK1750:AK1753" si="1085">IF(AJ1750=0,0,IF(AJ1750&gt;2,1.25-0.125*AJ1750,1))</f>
        <v>1</v>
      </c>
      <c r="AL1750" cm="1">
        <f t="array" ref="AL1750">IFERROR(INDEX(sheath_ecap_asd,MATCH(AP1750,sheath_mark,0),0)*AK1750,0)</f>
        <v>0</v>
      </c>
      <c r="AM1750" cm="1">
        <f t="array" ref="AM1750">IFERROR(INDEX(sheath_wcap_asd,MATCH(AP1750,sheath_mark,0),0)*AK1750,0)</f>
        <v>0</v>
      </c>
      <c r="AN1750" cm="1">
        <f t="array" ref="AN1750">IFERROR(INDEX(hd_cap,MATCH(AQ1750,hd_mark,0),0),0)</f>
        <v>0</v>
      </c>
      <c r="AP1750" s="19"/>
      <c r="AQ1750" s="19"/>
      <c r="AR1750" s="100"/>
      <c r="AS1750" s="93"/>
      <c r="AT1750" s="109"/>
      <c r="AU1750" t="str">
        <f>$Q$1686</f>
        <v>L3</v>
      </c>
      <c r="AV1750">
        <f>$E$22</f>
        <v>21.375</v>
      </c>
      <c r="AW1750" cm="1">
        <f t="array" ref="AW1750">IFERROR(IF(AV1750=0,0,(INDEX($C$33:$C$38,MATCH($AZ$1700,$B$33:$B$38,0),0)*(AV1753+$BA$1700)+$AW$1700*COUNTIF(AV1750:AV1752,"&gt;0")*$C$32+$AY$1700*$C$31)*$AU$1700),0)</f>
        <v>0</v>
      </c>
      <c r="AX1750">
        <f>IF(AV1750=0,0,-(COUNTIF(AV1750:AV1752,"&gt;0")*$AW$1700*$C$32+$AY$1700*$C$31)*$H$27*$AU$1700)</f>
        <v>0</v>
      </c>
      <c r="AY1750">
        <f>IF(AV1750=0,0,$AY$1700*$H$26*$AU$1700)</f>
        <v>0</v>
      </c>
      <c r="AZ1750">
        <f>(0.6*AW1750+0.7*AX1750)*$AU$1700/2</f>
        <v>0</v>
      </c>
      <c r="BA1750">
        <f>AW1750*$AU$1700/2</f>
        <v>0</v>
      </c>
      <c r="BC1750">
        <f>IF(AV1750=0,0,$BG$1700*$AP$1686)</f>
        <v>0</v>
      </c>
      <c r="BD1750">
        <f>IFERROR(BC1750/$AU$1700,0)</f>
        <v>0</v>
      </c>
      <c r="BE1750">
        <f>BC1750*($F$22+IF($F$22=0,0,($C$14+$C$15+IF($C$13="single",1.5,3)+3)/12))</f>
        <v>0</v>
      </c>
      <c r="BF1750">
        <f>BE1750-AZ1750</f>
        <v>0</v>
      </c>
      <c r="BG1750" cm="1">
        <f t="array" ref="BG1750">IFERROR(IF(BF1750&lt;0,0,BF1750/($AU$1700-INDEX(hd_off,MATCH(BT1750,hd_mark,0),0)/12)),0)</f>
        <v>0</v>
      </c>
      <c r="BH1750">
        <f>IF(AV1750=0,0,$BG$1700*$AM$1686)</f>
        <v>0</v>
      </c>
      <c r="BI1750">
        <f>IFERROR(BH1750/$AU$1700,0)</f>
        <v>0</v>
      </c>
      <c r="BJ1750">
        <f>BH1750*($F$22+IF($F$22=0,0,($C$14+$C$15+IF($C$13="single",1.5,3)+3)/12))</f>
        <v>0</v>
      </c>
      <c r="BK1750">
        <f>BJ1750-BA1750</f>
        <v>0</v>
      </c>
      <c r="BL1750" cm="1">
        <f t="array" ref="BL1750">IFERROR(IF(BK1750&lt;0,0,BK1750/($AU$1700-INDEX(hd_off,MATCH(BT1750,hd_mark,0),0)/12)),0)</f>
        <v>0</v>
      </c>
      <c r="BM1750">
        <f>MAX($F$22,$BC$1700)/$Q$1716</f>
        <v>0.30172413793103448</v>
      </c>
      <c r="BN1750">
        <f t="shared" ref="BN1750:BN1753" si="1086">IF(BM1750=0,0,IF(BM1750&gt;2,1.25-0.125*BM1750,1))</f>
        <v>1</v>
      </c>
      <c r="BO1750" cm="1">
        <f t="array" ref="BO1750">IFERROR(INDEX(sheath_ecap_asd,MATCH(BS1750,sheath_mark,0),0)*BN1750,0)</f>
        <v>0</v>
      </c>
      <c r="BP1750" cm="1">
        <f t="array" ref="BP1750">IFERROR(INDEX(sheath_wcap_asd,MATCH(BS1750,sheath_mark,0),0)*BN1750,0)</f>
        <v>0</v>
      </c>
      <c r="BQ1750" cm="1">
        <f t="array" ref="BQ1750">IFERROR(INDEX(hd_cap,MATCH(BT1750,hd_mark,0),0),0)</f>
        <v>0</v>
      </c>
      <c r="BS1750" s="19"/>
      <c r="BT1750" s="19"/>
      <c r="BU1750" s="100"/>
    </row>
    <row r="1751" x14ac:dyDescent="0.25">
      <c r="P1751" s="93"/>
      <c r="Q1751" s="109" t="s">
        <v>491</v>
      </c>
      <c r="R1751" t="str">
        <f>$Q$1687</f>
        <v>L4</v>
      </c>
      <c r="S1751">
        <f>$E$23</f>
        <v>0</v>
      </c>
      <c r="T1751" cm="1">
        <f t="array" ref="T1751">IFERROR(IF(S1751=0,0,(INDEX($C$33:$C$38,MATCH($W$1700,$B$33:$B$38,0),0)*(S1753+$X$1700)+$T$1700*COUNTIF(S1751:S1752,"&gt;0")*$C$32+$V$1700*$C$31)*$R$1700),0)</f>
        <v>0</v>
      </c>
      <c r="U1751">
        <f>IF(S1751=0,0,-(COUNTIF(S1751:S1752,"&gt;0")*$T$1700*$C$32+$V$1700*$C$31)*$H$27*$R$1700)</f>
        <v>0</v>
      </c>
      <c r="V1751">
        <f>IF(S1751=0,0,$V$1700*$H$26*$R$1700)</f>
        <v>0</v>
      </c>
      <c r="W1751">
        <f>(0.6*T1751+0.7*U1751)*$R$1700/2</f>
        <v>0</v>
      </c>
      <c r="X1751">
        <f>T1751*$R$1700/2</f>
        <v>0</v>
      </c>
      <c r="Z1751">
        <f>IF(S1751=0,0,$AD$1700*$AP$1687)</f>
        <v>0</v>
      </c>
      <c r="AA1751">
        <f>IFERROR(Z1751/$R$1700,0)</f>
        <v>0</v>
      </c>
      <c r="AB1751">
        <f>Z1751*($F$23+IF($F$23=0,0,($C$14+$C$15+IF($C$13="single",1.5,3)+3)/12))</f>
        <v>0</v>
      </c>
      <c r="AC1751">
        <f>AB1751-W1751</f>
        <v>0</v>
      </c>
      <c r="AD1751" cm="1">
        <f t="array" ref="AD1751">IFERROR(IF(AC1751&lt;0,0,AC1751/($R$1700-INDEX(hd_off,MATCH(AQ1751,hd_mark,0),0)/12)),0)</f>
        <v>0</v>
      </c>
      <c r="AE1751">
        <f>IF(S1751=0,0,$AD$1700*$AM$1687)</f>
        <v>0</v>
      </c>
      <c r="AF1751">
        <f>IFERROR(AE1751/$R$1700,0)</f>
        <v>0</v>
      </c>
      <c r="AG1751">
        <f>AE1751*($F$23+IF($F$23=0,0,($C$14+$C$15+IF($C$13="single",1.5,3)+3)/12))</f>
        <v>0</v>
      </c>
      <c r="AH1751">
        <f>AG1751-X1751</f>
        <v>0</v>
      </c>
      <c r="AI1751" cm="1">
        <f t="array" ref="AI1751">IFERROR(IF(AH1751&lt;0,0,AH1751/($R$1700-INDEX(hd_off,MATCH(AQ1751,hd_mark,0),0)/12)),0)</f>
        <v>0</v>
      </c>
      <c r="AJ1751">
        <f>MAX($F$23,$AA$1700)/$Q$1716</f>
        <v>0</v>
      </c>
      <c r="AK1751">
        <f t="shared" si="1085"/>
        <v>0</v>
      </c>
      <c r="AL1751" cm="1">
        <f t="array" ref="AL1751">IFERROR(INDEX(sheath_ecap_asd,MATCH(AP1751,sheath_mark,0),0)*AK1751,0)</f>
        <v>0</v>
      </c>
      <c r="AM1751" cm="1">
        <f t="array" ref="AM1751">IFERROR(INDEX(sheath_wcap_asd,MATCH(AP1751,sheath_mark,0),0)*AK1751,0)</f>
        <v>0</v>
      </c>
      <c r="AN1751" cm="1">
        <f t="array" ref="AN1751">IFERROR(INDEX(hd_cap,MATCH(AQ1751,hd_mark,0),0),0)</f>
        <v>0</v>
      </c>
      <c r="AP1751" s="19"/>
      <c r="AQ1751" s="19"/>
      <c r="AR1751" s="100"/>
      <c r="AS1751" s="93"/>
      <c r="AT1751" s="109" t="s">
        <v>491</v>
      </c>
      <c r="AU1751" t="str">
        <f>$Q$1687</f>
        <v>L4</v>
      </c>
      <c r="AV1751">
        <f>$E$23</f>
        <v>0</v>
      </c>
      <c r="AW1751" cm="1">
        <f t="array" ref="AW1751">IFERROR(IF(AV1751=0,0,(INDEX($C$33:$C$38,MATCH($AZ$1700,$B$33:$B$38,0),0)*(AV1753+$BA$1700)+$AW$1700*COUNTIF(AV1751:AV1752,"&gt;0")*$C$32+$AY$1700*$C$31)*$AU$1700),0)</f>
        <v>0</v>
      </c>
      <c r="AX1751">
        <f>IF(AV1751=0,0,-(COUNTIF(AV1751:AV1752,"&gt;0")*$AW$1700*$C$32+$AY$1700*$C$31)*$H$27*$AU$1700)</f>
        <v>0</v>
      </c>
      <c r="AY1751">
        <f>IF(AV1751=0,0,$AY$1700*$H$26*$AU$1700)</f>
        <v>0</v>
      </c>
      <c r="AZ1751">
        <f>(0.6*AW1751+0.7*AX1751)*$AU$1700/2</f>
        <v>0</v>
      </c>
      <c r="BA1751">
        <f>AW1751*$AU$1700/2</f>
        <v>0</v>
      </c>
      <c r="BC1751">
        <f>IF(AV1751=0,0,$BG$1700*$AP$1687)</f>
        <v>0</v>
      </c>
      <c r="BD1751">
        <f>IFERROR(BC1751/$AU$1700,0)</f>
        <v>0</v>
      </c>
      <c r="BE1751">
        <f>BC1751*($F$23+IF($F$23=0,0,($C$14+$C$15+IF($C$13="single",1.5,3)+3)/12))</f>
        <v>0</v>
      </c>
      <c r="BF1751">
        <f>BE1751-AZ1751</f>
        <v>0</v>
      </c>
      <c r="BG1751" cm="1">
        <f t="array" ref="BG1751">IFERROR(IF(BF1751&lt;0,0,BF1751/($AU$1700-INDEX(hd_off,MATCH(BT1751,hd_mark,0),0)/12)),0)</f>
        <v>0</v>
      </c>
      <c r="BH1751">
        <f>IF(AV1751=0,0,$BG$1700*$AM$1687)</f>
        <v>0</v>
      </c>
      <c r="BI1751">
        <f>IFERROR(BH1751/$AU$1700,0)</f>
        <v>0</v>
      </c>
      <c r="BJ1751">
        <f>BH1751*($F$23+IF($F$23=0,0,($C$14+$C$15+IF($C$13="single",1.5,3)+3)/12))</f>
        <v>0</v>
      </c>
      <c r="BK1751">
        <f>BJ1751-BA1751</f>
        <v>0</v>
      </c>
      <c r="BL1751" cm="1">
        <f t="array" ref="BL1751">IFERROR(IF(BK1751&lt;0,0,BK1751/($AU$1700-INDEX(hd_off,MATCH(BT1751,hd_mark,0),0)/12)),0)</f>
        <v>0</v>
      </c>
      <c r="BM1751">
        <f>MAX($F$23,$BD$1700)/$Q$1716</f>
        <v>0</v>
      </c>
      <c r="BN1751">
        <f t="shared" si="1086"/>
        <v>0</v>
      </c>
      <c r="BO1751" cm="1">
        <f t="array" ref="BO1751">IFERROR(INDEX(sheath_ecap_asd,MATCH(BS1751,sheath_mark,0),0)*BN1751,0)</f>
        <v>0</v>
      </c>
      <c r="BP1751" cm="1">
        <f t="array" ref="BP1751">IFERROR(INDEX(sheath_wcap_asd,MATCH(BS1751,sheath_mark,0),0)*BN1751,0)</f>
        <v>0</v>
      </c>
      <c r="BQ1751" cm="1">
        <f t="array" ref="BQ1751">IFERROR(INDEX(hd_cap,MATCH(BT1751,hd_mark,0),0),0)</f>
        <v>0</v>
      </c>
      <c r="BS1751" s="19"/>
      <c r="BT1751" s="19"/>
      <c r="BU1751" s="100"/>
    </row>
    <row r="1752" x14ac:dyDescent="0.25">
      <c r="P1752" s="93"/>
      <c r="Q1752" s="111">
        <f>$R$1700</f>
        <v>0</v>
      </c>
      <c r="R1752" t="str">
        <f>$Q$1688</f>
        <v>L5</v>
      </c>
      <c r="S1752">
        <f>$E$24</f>
        <v>0</v>
      </c>
      <c r="T1752" cm="1">
        <f t="array" ref="T1752">IFERROR(IF(S1752=0,0,(INDEX($C$33:$C$38,MATCH($W$1700,$B$33:$B$38,0),0)*(S1753+$X$1700)+$T$1700*COUNTIF(S1752:S1752,"&gt;0")*$C$32+$V$1700*$C$31)*$R$1700),0)</f>
        <v>0</v>
      </c>
      <c r="U1752">
        <f>IF(S1752=0,0,-(COUNTIF(S1752:S1752,"&gt;0")*$T$1700*$C$32+$V$1700*$C$31)*$H$27*$R$1700)</f>
        <v>0</v>
      </c>
      <c r="V1752">
        <f>IF(S1752=0,0,$V$1700*$H$26*$R$1700)</f>
        <v>0</v>
      </c>
      <c r="W1752">
        <f>(0.6*T1752+0.7*U1752)*$R$1700/2</f>
        <v>0</v>
      </c>
      <c r="X1752">
        <f>T1752*$R$1700/2</f>
        <v>0</v>
      </c>
      <c r="Z1752">
        <f>IF(S1752=0,0,$AD$1700*$AP$1688)</f>
        <v>0</v>
      </c>
      <c r="AA1752">
        <f>IFERROR(Z1752/$R$1700,0)</f>
        <v>0</v>
      </c>
      <c r="AB1752">
        <f>Z1752*($F$24+IF($F$24=0,0,($C$14+$C$15+IF($C$13="single",1.5,3)+3)/12))</f>
        <v>0</v>
      </c>
      <c r="AC1752">
        <f>AB1752-W1752</f>
        <v>0</v>
      </c>
      <c r="AD1752" cm="1">
        <f t="array" ref="AD1752">IFERROR(IF(AC1752&lt;0,0,AC1752/($R$1700-INDEX(hd_off,MATCH(AQ1752,hd_mark,0),0)/12)),0)</f>
        <v>0</v>
      </c>
      <c r="AE1752">
        <f>IF(S1752=0,0,$AD$1700*$AM$1688)</f>
        <v>0</v>
      </c>
      <c r="AF1752">
        <f>IFERROR(AE1752/$R$1700,0)</f>
        <v>0</v>
      </c>
      <c r="AG1752">
        <f>AE1752*($F$24+IF($F$24=0,0,($C$14+$C$15+IF($C$13="single",1.5,3)+3)/12))</f>
        <v>0</v>
      </c>
      <c r="AH1752">
        <f>AG1752-X1752</f>
        <v>0</v>
      </c>
      <c r="AI1752" cm="1">
        <f t="array" ref="AI1752">IFERROR(IF(AH1752&lt;0,0,AH1752/($R$1700-INDEX(hd_off,MATCH(AQ1752,hd_mark,0),0)/12)),0)</f>
        <v>0</v>
      </c>
      <c r="AJ1752">
        <f>MAX($F$24,$AB$1700)/$Q$1716</f>
        <v>0</v>
      </c>
      <c r="AK1752">
        <f t="shared" si="1085"/>
        <v>0</v>
      </c>
      <c r="AL1752" cm="1">
        <f t="array" ref="AL1752">IFERROR(INDEX(sheath_ecap_asd,MATCH(AP1752,sheath_mark,0),0)*AK1752,0)</f>
        <v>0</v>
      </c>
      <c r="AM1752" cm="1">
        <f t="array" ref="AM1752">IFERROR(INDEX(sheath_wcap_asd,MATCH(AP1752,sheath_mark,0),0)*AK1752,0)</f>
        <v>0</v>
      </c>
      <c r="AN1752" cm="1">
        <f t="array" ref="AN1752">IFERROR(INDEX(hd_cap,MATCH(AQ1752,hd_mark,0),0),0)</f>
        <v>0</v>
      </c>
      <c r="AP1752" s="19"/>
      <c r="AQ1752" s="19"/>
      <c r="AR1752" s="100"/>
      <c r="AS1752" s="93"/>
      <c r="AT1752" s="111">
        <f>$R$1700</f>
        <v>0</v>
      </c>
      <c r="AU1752" t="str">
        <f>$Q$1688</f>
        <v>L5</v>
      </c>
      <c r="AV1752">
        <f>$E$24</f>
        <v>0</v>
      </c>
      <c r="AW1752" cm="1">
        <f t="array" ref="AW1752">IFERROR(IF(AV1752=0,0,(INDEX($C$33:$C$38,MATCH($AZ$1700,$B$33:$B$38,0),0)*(AV1753+$BA$1700)+$AW$1700*COUNTIF(AV1752:AV1752,"&gt;0")*$C$32+$AY$1700*$C$31)*$AU$1700),0)</f>
        <v>0</v>
      </c>
      <c r="AX1752">
        <f>IF(AV1752=0,0,-(COUNTIF(AV1752:AV1752,"&gt;0")*$AW$1700*$C$32+$AY$1700*$C$31)*$H$27*$AU$1700)</f>
        <v>0</v>
      </c>
      <c r="AY1752">
        <f>IF(AV1752=0,0,$AY$1700*$H$26*$AU$1700)</f>
        <v>0</v>
      </c>
      <c r="AZ1752">
        <f>(0.6*AW1752+0.7*AX1752)*$AU$1700/2</f>
        <v>0</v>
      </c>
      <c r="BA1752">
        <f>AW1752*$AU$1700/2</f>
        <v>0</v>
      </c>
      <c r="BC1752">
        <f>IF(AV1752=0,0,$BG$1700*$AP$1688)</f>
        <v>0</v>
      </c>
      <c r="BD1752">
        <f>IFERROR(BC1752/$AU$1700,0)</f>
        <v>0</v>
      </c>
      <c r="BE1752">
        <f>BC1752*($F$24+IF($F$24=0,0,($C$14+$C$15+IF($C$13="single",1.5,3)+3)/12))</f>
        <v>0</v>
      </c>
      <c r="BF1752">
        <f>BE1752-AZ1752</f>
        <v>0</v>
      </c>
      <c r="BG1752" cm="1">
        <f t="array" ref="BG1752">IFERROR(IF(BF1752&lt;0,0,BF1752/($AU$1700-INDEX(hd_off,MATCH(BT1752,hd_mark,0),0)/12)),0)</f>
        <v>0</v>
      </c>
      <c r="BH1752">
        <f>IF(AV1752=0,0,$BG$1700*$AM$1688)</f>
        <v>0</v>
      </c>
      <c r="BI1752">
        <f>IFERROR(BH1752/$AU$1700,0)</f>
        <v>0</v>
      </c>
      <c r="BJ1752">
        <f>BH1752*($F$24+IF($F$24=0,0,($C$14+$C$15+IF($C$13="single",1.5,3)+3)/12))</f>
        <v>0</v>
      </c>
      <c r="BK1752">
        <f>BJ1752-BA1752</f>
        <v>0</v>
      </c>
      <c r="BL1752" cm="1">
        <f t="array" ref="BL1752">IFERROR(IF(BK1752&lt;0,0,BK1752/($AU$1700-INDEX(hd_off,MATCH(BT1752,hd_mark,0),0)/12)),0)</f>
        <v>0</v>
      </c>
      <c r="BM1752">
        <f>MAX($F$24,$BE$1700)/$Q$1716</f>
        <v>0</v>
      </c>
      <c r="BN1752">
        <f t="shared" si="1086"/>
        <v>0</v>
      </c>
      <c r="BO1752" cm="1">
        <f t="array" ref="BO1752">IFERROR(INDEX(sheath_ecap_asd,MATCH(BS1752,sheath_mark,0),0)*BN1752,0)</f>
        <v>0</v>
      </c>
      <c r="BP1752" cm="1">
        <f t="array" ref="BP1752">IFERROR(INDEX(sheath_wcap_asd,MATCH(BS1752,sheath_mark,0),0)*BN1752,0)</f>
        <v>0</v>
      </c>
      <c r="BQ1752" cm="1">
        <f t="array" ref="BQ1752">IFERROR(INDEX(hd_cap,MATCH(BT1752,hd_mark,0),0),0)</f>
        <v>0</v>
      </c>
      <c r="BS1752" s="19"/>
      <c r="BT1752" s="19"/>
      <c r="BU1752" s="100"/>
    </row>
    <row r="1753" x14ac:dyDescent="0.25">
      <c r="P1753" s="93"/>
      <c r="Q1753" s="109"/>
      <c r="R1753" t="str">
        <f>$Q$1689</f>
        <v>Roof</v>
      </c>
      <c r="S1753">
        <f>$E$25</f>
        <v>33.171875</v>
      </c>
      <c r="T1753" cm="1">
        <f t="array" ref="T1753">IFERROR(IF(S1753=0,0,(INDEX($C$33:$C$38,MATCH($W$1700,$B$33:$B$38,0),0)*(S1753+$X$1700)+$V$1700*$C$31)*$R$1700),0)</f>
        <v>0</v>
      </c>
      <c r="U1753">
        <f>IF(S1753=0,0,-$V$1700*$C$31*$H$27*$R$1700)</f>
        <v>0</v>
      </c>
      <c r="V1753">
        <f>IF(S1753=0,0,$V$1700*$H$26*$R$1700)</f>
        <v>0</v>
      </c>
      <c r="W1753">
        <f>(0.6*T1753+0.7*U1753)*$R$1700/2</f>
        <v>0</v>
      </c>
      <c r="X1753">
        <f>T1753*$R$1700/2</f>
        <v>0</v>
      </c>
      <c r="Z1753">
        <f>IF(S1753=0,0,$AD$1700*$AP$1689)</f>
        <v>0</v>
      </c>
      <c r="AA1753">
        <f>IFERROR(Z1753/$R$1700,0)</f>
        <v>0</v>
      </c>
      <c r="AB1753">
        <f>Z1753*($F$25+($C$16+$C$17+IF($C$13="single",1.5,3)+3)/12)</f>
        <v>0</v>
      </c>
      <c r="AC1753">
        <f>AB1753-W1753</f>
        <v>0</v>
      </c>
      <c r="AD1753" cm="1">
        <f t="array" ref="AD1753">IFERROR(IF(AC1753&lt;0,0,AC1753/($R$1700-INDEX(hd_off,MATCH(AQ1753,hd_mark,0),0)/12)),0)</f>
        <v>0</v>
      </c>
      <c r="AE1753">
        <f>IF(S1753=0,0,$AD$1700*$AM$1689)</f>
        <v>0</v>
      </c>
      <c r="AF1753">
        <f>IFERROR(AE1753/$R$1700,0)</f>
        <v>0</v>
      </c>
      <c r="AG1753">
        <f>AE1753*($F$25+($C$16+$C$17+IF($C$13="single",1.5,3)+3)/12)</f>
        <v>0</v>
      </c>
      <c r="AH1753">
        <f>AG1753-X1753</f>
        <v>0</v>
      </c>
      <c r="AI1753" cm="1">
        <f t="array" ref="AI1753">IFERROR(IF(AH1753&lt;0,0,AH1753/($R$1700-INDEX(hd_off,MATCH(AQ1753,hd_mark,0),0)/12)),0)</f>
        <v>0</v>
      </c>
      <c r="AJ1753">
        <f>MAX($F$25,$AC$1700)/$Q$1716</f>
        <v>0.29920977011494249</v>
      </c>
      <c r="AK1753">
        <f t="shared" si="1085"/>
        <v>1</v>
      </c>
      <c r="AL1753" cm="1">
        <f t="array" ref="AL1753">IFERROR(INDEX(sheath_ecap_asd,MATCH(AP1753,sheath_mark,0),0)*AK1753,0)</f>
        <v>0</v>
      </c>
      <c r="AM1753" cm="1">
        <f t="array" ref="AM1753">IFERROR(INDEX(sheath_wcap_asd,MATCH(AP1753,sheath_mark,0),0)*AK1753,0)</f>
        <v>0</v>
      </c>
      <c r="AN1753" cm="1">
        <f t="array" ref="AN1753">IFERROR(INDEX(hd_cap,MATCH(AQ1753,hd_mark,0),0),0)</f>
        <v>0</v>
      </c>
      <c r="AP1753" s="19"/>
      <c r="AQ1753" s="19"/>
      <c r="AR1753" s="100"/>
      <c r="AS1753" s="93"/>
      <c r="AT1753" s="109"/>
      <c r="AU1753" t="str">
        <f>$Q$1689</f>
        <v>Roof</v>
      </c>
      <c r="AV1753">
        <f>$E$25</f>
        <v>33.171875</v>
      </c>
      <c r="AW1753" cm="1">
        <f t="array" ref="AW1753">IFERROR(IF(AV1753=0,0,(INDEX($C$33:$C$38,MATCH($AZ$1700,$B$33:$B$38,0),0)*(AV1753+$BA$1700)+$AY$1700*$C$31)*$AU$1700),0)</f>
        <v>0</v>
      </c>
      <c r="AX1753">
        <f>IF(AV1753=0,0,-$AY$1700*$C$31*$H$27*$AU$1700)</f>
        <v>0</v>
      </c>
      <c r="AY1753">
        <f>IF(AV1753=0,0,$AY$1700*$H$26*$AU$1700)</f>
        <v>0</v>
      </c>
      <c r="AZ1753">
        <f>(0.6*AW1753+0.7*AX1753)*$AU$1700/2</f>
        <v>0</v>
      </c>
      <c r="BA1753">
        <f>AW1753*$AU$1700/2</f>
        <v>0</v>
      </c>
      <c r="BC1753">
        <f>IF(AV1753=0,0,$BG$1700*$AP$1689)</f>
        <v>0</v>
      </c>
      <c r="BD1753">
        <f>IFERROR(BC1753/$AU$1700,0)</f>
        <v>0</v>
      </c>
      <c r="BE1753">
        <f>BC1753*($F$25+($C$16+$C$17+IF($C$13="single",1.5,3)+3)/12)</f>
        <v>0</v>
      </c>
      <c r="BF1753">
        <f>BE1753-AZ1753</f>
        <v>0</v>
      </c>
      <c r="BG1753" cm="1">
        <f t="array" ref="BG1753">IFERROR(IF(BF1753&lt;0,0,BF1753/($AU$1700-INDEX(hd_off,MATCH(BT1753,hd_mark,0),0)/12)),0)</f>
        <v>0</v>
      </c>
      <c r="BH1753">
        <f>IF(AV1753=0,0,$BG$1700*$AM$1689)</f>
        <v>0</v>
      </c>
      <c r="BI1753">
        <f>IFERROR(BH1753/$AU$1700,0)</f>
        <v>0</v>
      </c>
      <c r="BJ1753">
        <f>BH1753*($F$25+($C$16+$C$17+IF($C$13="single",1.5,3)+3)/12)</f>
        <v>0</v>
      </c>
      <c r="BK1753">
        <f>BJ1753-BA1753</f>
        <v>0</v>
      </c>
      <c r="BL1753" cm="1">
        <f t="array" ref="BL1753">IFERROR(IF(BK1753&lt;0,0,BK1753/($AU$1700-INDEX(hd_off,MATCH(BT1753,hd_mark,0),0)/12)),0)</f>
        <v>0</v>
      </c>
      <c r="BM1753">
        <f>MAX($F$25,$BF$1700)/$Q$1716</f>
        <v>0.29920977011494249</v>
      </c>
      <c r="BN1753">
        <f t="shared" si="1086"/>
        <v>1</v>
      </c>
      <c r="BO1753" cm="1">
        <f t="array" ref="BO1753">IFERROR(INDEX(sheath_ecap_asd,MATCH(BS1753,sheath_mark,0),0)*BN1753,0)</f>
        <v>0</v>
      </c>
      <c r="BP1753" cm="1">
        <f t="array" ref="BP1753">IFERROR(INDEX(sheath_wcap_asd,MATCH(BS1753,sheath_mark,0),0)*BN1753,0)</f>
        <v>0</v>
      </c>
      <c r="BQ1753" cm="1">
        <f t="array" ref="BQ1753">IFERROR(INDEX(hd_cap,MATCH(BT1753,hd_mark,0),0),0)</f>
        <v>0</v>
      </c>
      <c r="BS1753" s="19"/>
      <c r="BT1753" s="19"/>
      <c r="BU1753" s="100"/>
    </row>
    <row r="1754" x14ac:dyDescent="0.25">
      <c r="P1754" s="93"/>
      <c r="AR1754" s="100"/>
      <c r="AS1754" s="93"/>
      <c r="BU1754" s="100"/>
    </row>
    <row r="1755" x14ac:dyDescent="0.25">
      <c r="P1755" s="93"/>
      <c r="Q1755" s="110" t="str">
        <f>$Q$1701</f>
        <v>A.08</v>
      </c>
      <c r="R1755" t="str">
        <f>$Q$1685</f>
        <v>L2</v>
      </c>
      <c r="S1755">
        <f>$E$21</f>
        <v>10.6875</v>
      </c>
      <c r="T1755" cm="1">
        <f t="array" ref="T1755">IFERROR(IF(S1755=0,0,(INDEX($C$33:$C$38,MATCH($W$1701,$B$33:$B$38,0),0)*(S1759+$X$1701)+$T$1701*COUNTIF(S1755:S1758,"&gt;0")*$C$32+$V$1701*$C$31)*$R$1701),0)</f>
        <v>0</v>
      </c>
      <c r="U1755">
        <f>IF(S1755=0,0,-(COUNTIF(S1755:S1758,"&gt;0")*$T$1701*$C$32+$V$1701*$C$31)*$H$27*$R$1701)</f>
        <v>0</v>
      </c>
      <c r="V1755">
        <f>IF(S1755=0,0,$V$1701*$H$26*$R$1701)</f>
        <v>0</v>
      </c>
      <c r="W1755">
        <f>(0.6*T1755+0.7*U1755)*$R$1701/2</f>
        <v>0</v>
      </c>
      <c r="X1755">
        <f>(0.6*T1755+0.6*V1755)*$R$1701/2</f>
        <v>0</v>
      </c>
      <c r="Z1755">
        <f>IF(S1755=0,0,$AD$1701*$AP$1685)</f>
        <v>0</v>
      </c>
      <c r="AA1755">
        <f>IFERROR(Z1755/$R$1701,0)</f>
        <v>0</v>
      </c>
      <c r="AB1755">
        <f>Z1755*($F$21+IF($F$21=0,0,($C$14+$C$15+IF($C$13="single",1.5,3)+3)/12))</f>
        <v>0</v>
      </c>
      <c r="AC1755">
        <f>AB1755-W1755</f>
        <v>0</v>
      </c>
      <c r="AD1755" cm="1">
        <f t="array" ref="AD1755">IFERROR(IF(AC1755&lt;0,0,AC1755/($R$1701-INDEX(hd_off,MATCH(AQ1755,hd_mark,0),0)/12)),0)</f>
        <v>0</v>
      </c>
      <c r="AE1755">
        <f>IF(S1755=0,0,$AD$1701*$AM$1685)</f>
        <v>0</v>
      </c>
      <c r="AF1755">
        <f>IFERROR(AE1755/$R$1701,0)</f>
        <v>0</v>
      </c>
      <c r="AG1755">
        <f>AE1755*($F$21+IF($F$21=0,0,($C$14+$C$15+IF($C$13="single",1.5,3)+3)/12))</f>
        <v>0</v>
      </c>
      <c r="AH1755">
        <f>AG1755-X1755</f>
        <v>0</v>
      </c>
      <c r="AI1755" cm="1">
        <f t="array" ref="AI1755">IFERROR(IF(AH1755&lt;0,0,AH1755/($R$1701-INDEX(hd_off,MATCH(AQ1755,hd_mark,0),0)/12)),0)</f>
        <v>0</v>
      </c>
      <c r="AJ1755">
        <f>MAX($F$21,$Y$1701)/$Q$1716</f>
        <v>0.30172413793103448</v>
      </c>
      <c r="AK1755">
        <f>IF(AJ1755=0,0,IF(AJ1755&gt;2,1.25-0.125*AJ1755,1))</f>
        <v>1</v>
      </c>
      <c r="AL1755" cm="1">
        <f t="array" ref="AL1755">IFERROR(INDEX(sheath_ecap_asd,MATCH(AP1755,sheath_mark,0),0)*AK1755,0)</f>
        <v>0</v>
      </c>
      <c r="AM1755" cm="1">
        <f t="array" ref="AM1755">IFERROR(INDEX(sheath_wcap_asd,MATCH(AP1755,sheath_mark,0),0)*AK1755,0)</f>
        <v>0</v>
      </c>
      <c r="AN1755" cm="1">
        <f t="array" ref="AN1755">IFERROR(INDEX(hd_cap,MATCH(AQ1755,hd_mark,0),0),0)</f>
        <v>0</v>
      </c>
      <c r="AP1755" s="19"/>
      <c r="AQ1755" s="19"/>
      <c r="AR1755" s="100"/>
      <c r="AS1755" s="93"/>
      <c r="AT1755" s="110" t="str">
        <f>$AT$1701</f>
        <v>1.08</v>
      </c>
      <c r="AU1755" t="str">
        <f>$Q$1685</f>
        <v>L2</v>
      </c>
      <c r="AV1755">
        <f>$E$21</f>
        <v>10.6875</v>
      </c>
      <c r="AW1755" cm="1">
        <f t="array" ref="AW1755">IFERROR(IF(AV1755=0,0,(INDEX($C$33:$C$38,MATCH($AZ$1701,$B$33:$B$38,0),0)*(AV1759+$BA$1701)+$AW$1701*COUNTIF(AV1755:AV1758,"&gt;0")*$C$32+$AY$1701*$C$31)*$AU$1701),0)</f>
        <v>0</v>
      </c>
      <c r="AX1755">
        <f>IF(AV1755=0,0,-(COUNTIF(AV1755:AV1758,"&gt;0")*$AW$1701*$C$32+$AY$1701*$C$31)*$H$27*$AU$1701)</f>
        <v>0</v>
      </c>
      <c r="AY1755">
        <f>IF(AV1755=0,0,$AY$1701*$H$26*$AU$1701)</f>
        <v>0</v>
      </c>
      <c r="AZ1755">
        <f>(0.6*AW1755+0.7*AX1755)*$AU$1701/2</f>
        <v>0</v>
      </c>
      <c r="BA1755">
        <f>(0.6*AW1755+0.6*AY1755)*$AU$1701/2</f>
        <v>0</v>
      </c>
      <c r="BC1755">
        <f>IF(AV1755=0,0,$BG$1701*$AP$1685)</f>
        <v>0</v>
      </c>
      <c r="BD1755">
        <f>IFERROR(BC1755/$AU$1701,0)</f>
        <v>0</v>
      </c>
      <c r="BE1755">
        <f>BC1755*($F$21+IF($F$21=0,0,($C$14+$C$15+IF($C$13="single",1.5,3)+3)/12))</f>
        <v>0</v>
      </c>
      <c r="BF1755">
        <f>BE1755-AZ1755</f>
        <v>0</v>
      </c>
      <c r="BG1755" cm="1">
        <f t="array" ref="BG1755">IFERROR(IF(BF1755&lt;0,0,BF1755/($AU$1701-INDEX(hd_off,MATCH(BT1755,hd_mark,0),0)/12)),0)</f>
        <v>0</v>
      </c>
      <c r="BH1755">
        <f>IF(AV1755=0,0,$BG$1701*$AM$1685)</f>
        <v>0</v>
      </c>
      <c r="BI1755">
        <f>IFERROR(BH1755/$AU$1701,0)</f>
        <v>0</v>
      </c>
      <c r="BJ1755">
        <f>BH1755*($F$21+IF($F$21=0,0,($C$14+$C$15+IF($C$13="single",1.5,3)+3)/12))</f>
        <v>0</v>
      </c>
      <c r="BK1755">
        <f>BJ1755-BA1755</f>
        <v>0</v>
      </c>
      <c r="BL1755" cm="1">
        <f t="array" ref="BL1755">IFERROR(IF(BK1755&lt;0,0,BK1755/($AU$1701-INDEX(hd_off,MATCH(BT1755,hd_mark,0),0)/12)),0)</f>
        <v>0</v>
      </c>
      <c r="BM1755">
        <f>MAX($F$21,$BB$1701)/$Q$1716</f>
        <v>0.30172413793103448</v>
      </c>
      <c r="BN1755">
        <f>IF(BM1755=0,0,IF(BM1755&gt;2,1.25-0.125*BM1755,1))</f>
        <v>1</v>
      </c>
      <c r="BO1755" cm="1">
        <f t="array" ref="BO1755">IFERROR(INDEX(sheath_ecap_asd,MATCH(BS1755,sheath_mark,0),0)*BN1755,0)</f>
        <v>0</v>
      </c>
      <c r="BP1755" cm="1">
        <f t="array" ref="BP1755">IFERROR(INDEX(sheath_wcap_asd,MATCH(BS1755,sheath_mark,0),0)*BN1755,0)</f>
        <v>0</v>
      </c>
      <c r="BQ1755" cm="1">
        <f t="array" ref="BQ1755">IFERROR(INDEX(hd_cap,MATCH(BT1755,hd_mark,0),0),0)</f>
        <v>0</v>
      </c>
      <c r="BS1755" s="19"/>
      <c r="BT1755" s="19"/>
      <c r="BU1755" s="100"/>
    </row>
    <row r="1756" x14ac:dyDescent="0.25">
      <c r="P1756" s="93"/>
      <c r="Q1756" s="109"/>
      <c r="R1756" t="str">
        <f>$Q$1686</f>
        <v>L3</v>
      </c>
      <c r="S1756">
        <f>$E$22</f>
        <v>21.375</v>
      </c>
      <c r="T1756" cm="1">
        <f t="array" ref="T1756">IFERROR(IF(S1756=0,0,(INDEX($C$33:$C$38,MATCH($W$1701,$B$33:$B$38,0),0)*(S1759+$X$1701)+$T$1701*COUNTIF(S1756:S1758,"&gt;0")*$C$32+$V$1701*$C$31)*$R$1701),0)</f>
        <v>0</v>
      </c>
      <c r="U1756">
        <f>IF(S1756=0,0,-(COUNTIF(S1756:S1758,"&gt;0")*$T$1701*$C$32+$V$1701*$C$31)*$H$27*$R$1701)</f>
        <v>0</v>
      </c>
      <c r="V1756">
        <f>IF(S1756=0,0,$V$1701*$H$26*$R$1701)</f>
        <v>0</v>
      </c>
      <c r="W1756">
        <f>(0.6*T1756+0.7*U1756)*$R$1701/2</f>
        <v>0</v>
      </c>
      <c r="X1756">
        <f>T1756*$R$1701/2</f>
        <v>0</v>
      </c>
      <c r="Z1756">
        <f>IF(S1756=0,0,$AD$1701*$AP$1686)</f>
        <v>0</v>
      </c>
      <c r="AA1756">
        <f>IFERROR(Z1756/$R$1701,0)</f>
        <v>0</v>
      </c>
      <c r="AB1756">
        <f>Z1756*($F$22+IF($F$22=0,0,($C$14+$C$15+IF($C$13="single",1.5,3)+3)/12))</f>
        <v>0</v>
      </c>
      <c r="AC1756">
        <f>AB1756-W1756</f>
        <v>0</v>
      </c>
      <c r="AD1756" cm="1">
        <f t="array" ref="AD1756">IFERROR(IF(AC1756&lt;0,0,AC1756/($R$1701-INDEX(hd_off,MATCH(AQ1756,hd_mark,0),0)/12)),0)</f>
        <v>0</v>
      </c>
      <c r="AE1756">
        <f>IF(S1756=0,0,$AD$1701*$AM$1686)</f>
        <v>0</v>
      </c>
      <c r="AF1756">
        <f>IFERROR(AE1756/$R$1701,0)</f>
        <v>0</v>
      </c>
      <c r="AG1756">
        <f>AE1756*($F$22+IF($F$22=0,0,($C$14+$C$15+IF($C$13="single",1.5,3)+3)/12))</f>
        <v>0</v>
      </c>
      <c r="AH1756">
        <f>AG1756-X1756</f>
        <v>0</v>
      </c>
      <c r="AI1756" cm="1">
        <f t="array" ref="AI1756">IFERROR(IF(AH1756&lt;0,0,AH1756/($R$1701-INDEX(hd_off,MATCH(AQ1756,hd_mark,0),0)/12)),0)</f>
        <v>0</v>
      </c>
      <c r="AJ1756">
        <f>MAX($F$22,$Z$1701)/$Q$1716</f>
        <v>0.30172413793103448</v>
      </c>
      <c r="AK1756">
        <f t="shared" ref="AK1756:AK1759" si="1087">IF(AJ1756=0,0,IF(AJ1756&gt;2,1.25-0.125*AJ1756,1))</f>
        <v>1</v>
      </c>
      <c r="AL1756" cm="1">
        <f t="array" ref="AL1756">IFERROR(INDEX(sheath_ecap_asd,MATCH(AP1756,sheath_mark,0),0)*AK1756,0)</f>
        <v>0</v>
      </c>
      <c r="AM1756" cm="1">
        <f t="array" ref="AM1756">IFERROR(INDEX(sheath_wcap_asd,MATCH(AP1756,sheath_mark,0),0)*AK1756,0)</f>
        <v>0</v>
      </c>
      <c r="AN1756" cm="1">
        <f t="array" ref="AN1756">IFERROR(INDEX(hd_cap,MATCH(AQ1756,hd_mark,0),0),0)</f>
        <v>0</v>
      </c>
      <c r="AP1756" s="19"/>
      <c r="AQ1756" s="19"/>
      <c r="AR1756" s="100"/>
      <c r="AS1756" s="93"/>
      <c r="AT1756" s="109"/>
      <c r="AU1756" t="str">
        <f>$Q$1686</f>
        <v>L3</v>
      </c>
      <c r="AV1756">
        <f>$E$22</f>
        <v>21.375</v>
      </c>
      <c r="AW1756" cm="1">
        <f t="array" ref="AW1756">IFERROR(IF(AV1756=0,0,(INDEX($C$33:$C$38,MATCH($AZ$1701,$B$33:$B$38,0),0)*(AV1759+$BA$1701)+$AW$1701*COUNTIF(AV1756:AV1758,"&gt;0")*$C$32+$AY$1701*$C$31)*$AU$1701),0)</f>
        <v>0</v>
      </c>
      <c r="AX1756">
        <f>IF(AV1756=0,0,-(COUNTIF(AV1756:AV1758,"&gt;0")*$AW$1701*$C$32+$AY$1701*$C$31)*$H$27*$AU$1701)</f>
        <v>0</v>
      </c>
      <c r="AY1756">
        <f>IF(AV1756=0,0,$AY$1701*$H$26*$AU$1701)</f>
        <v>0</v>
      </c>
      <c r="AZ1756">
        <f>(0.6*AW1756+0.7*AX1756)*$AU$1701/2</f>
        <v>0</v>
      </c>
      <c r="BA1756">
        <f>AW1756*$AU$1701/2</f>
        <v>0</v>
      </c>
      <c r="BC1756">
        <f>IF(AV1756=0,0,$BG$1701*$AP$1686)</f>
        <v>0</v>
      </c>
      <c r="BD1756">
        <f>IFERROR(BC1756/$AU$1701,0)</f>
        <v>0</v>
      </c>
      <c r="BE1756">
        <f>BC1756*($F$22+IF($F$22=0,0,($C$14+$C$15+IF($C$13="single",1.5,3)+3)/12))</f>
        <v>0</v>
      </c>
      <c r="BF1756">
        <f>BE1756-AZ1756</f>
        <v>0</v>
      </c>
      <c r="BG1756" cm="1">
        <f t="array" ref="BG1756">IFERROR(IF(BF1756&lt;0,0,BF1756/($AU$1701-INDEX(hd_off,MATCH(BT1756,hd_mark,0),0)/12)),0)</f>
        <v>0</v>
      </c>
      <c r="BH1756">
        <f>IF(AV1756=0,0,$BG$1701*$AM$1686)</f>
        <v>0</v>
      </c>
      <c r="BI1756">
        <f>IFERROR(BH1756/$AU$1701,0)</f>
        <v>0</v>
      </c>
      <c r="BJ1756">
        <f>BH1756*($F$22+IF($F$22=0,0,($C$14+$C$15+IF($C$13="single",1.5,3)+3)/12))</f>
        <v>0</v>
      </c>
      <c r="BK1756">
        <f>BJ1756-BA1756</f>
        <v>0</v>
      </c>
      <c r="BL1756" cm="1">
        <f t="array" ref="BL1756">IFERROR(IF(BK1756&lt;0,0,BK1756/($AU$1701-INDEX(hd_off,MATCH(BT1756,hd_mark,0),0)/12)),0)</f>
        <v>0</v>
      </c>
      <c r="BM1756">
        <f>MAX($F$22,$BC$1701)/$Q$1716</f>
        <v>0.30172413793103448</v>
      </c>
      <c r="BN1756">
        <f t="shared" ref="BN1756:BN1759" si="1088">IF(BM1756=0,0,IF(BM1756&gt;2,1.25-0.125*BM1756,1))</f>
        <v>1</v>
      </c>
      <c r="BO1756" cm="1">
        <f t="array" ref="BO1756">IFERROR(INDEX(sheath_ecap_asd,MATCH(BS1756,sheath_mark,0),0)*BN1756,0)</f>
        <v>0</v>
      </c>
      <c r="BP1756" cm="1">
        <f t="array" ref="BP1756">IFERROR(INDEX(sheath_wcap_asd,MATCH(BS1756,sheath_mark,0),0)*BN1756,0)</f>
        <v>0</v>
      </c>
      <c r="BQ1756" cm="1">
        <f t="array" ref="BQ1756">IFERROR(INDEX(hd_cap,MATCH(BT1756,hd_mark,0),0),0)</f>
        <v>0</v>
      </c>
      <c r="BS1756" s="19"/>
      <c r="BT1756" s="19"/>
      <c r="BU1756" s="100"/>
    </row>
    <row r="1757" x14ac:dyDescent="0.25">
      <c r="P1757" s="93"/>
      <c r="Q1757" s="109" t="s">
        <v>491</v>
      </c>
      <c r="R1757" t="str">
        <f>$Q$1687</f>
        <v>L4</v>
      </c>
      <c r="S1757">
        <f>$E$23</f>
        <v>0</v>
      </c>
      <c r="T1757" cm="1">
        <f t="array" ref="T1757">IFERROR(IF(S1757=0,0,(INDEX($C$33:$C$38,MATCH($W$1701,$B$33:$B$38,0),0)*(S1759+$X$1701)+$T$1701*COUNTIF(S1757:S1758,"&gt;0")*$C$32+$V$1701*$C$31)*$R$1701),0)</f>
        <v>0</v>
      </c>
      <c r="U1757">
        <f>IF(S1757=0,0,-(COUNTIF(S1757:S1758,"&gt;0")*$T$1701*$C$32+$V$1701*$C$31)*$H$27*$R$1701)</f>
        <v>0</v>
      </c>
      <c r="V1757">
        <f>IF(S1757=0,0,$V$1701*$H$26*$R$1701)</f>
        <v>0</v>
      </c>
      <c r="W1757">
        <f>(0.6*T1757+0.7*U1757)*$R$1701/2</f>
        <v>0</v>
      </c>
      <c r="X1757">
        <f>T1757*$R$1701/2</f>
        <v>0</v>
      </c>
      <c r="Z1757">
        <f>IF(S1757=0,0,$AD$1701*$AP$1687)</f>
        <v>0</v>
      </c>
      <c r="AA1757">
        <f>IFERROR(Z1757/$R$1701,0)</f>
        <v>0</v>
      </c>
      <c r="AB1757">
        <f>Z1757*($F$23+IF($F$23=0,0,($C$14+$C$15+IF($C$13="single",1.5,3)+3)/12))</f>
        <v>0</v>
      </c>
      <c r="AC1757">
        <f>AB1757-W1757</f>
        <v>0</v>
      </c>
      <c r="AD1757" cm="1">
        <f t="array" ref="AD1757">IFERROR(IF(AC1757&lt;0,0,AC1757/($R$1701-INDEX(hd_off,MATCH(AQ1757,hd_mark,0),0)/12)),0)</f>
        <v>0</v>
      </c>
      <c r="AE1757">
        <f>IF(S1757=0,0,$AD$1701*$AM$1687)</f>
        <v>0</v>
      </c>
      <c r="AF1757">
        <f>IFERROR(AE1757/$R$1701,0)</f>
        <v>0</v>
      </c>
      <c r="AG1757">
        <f>AE1757*($F$23+IF($F$23=0,0,($C$14+$C$15+IF($C$13="single",1.5,3)+3)/12))</f>
        <v>0</v>
      </c>
      <c r="AH1757">
        <f>AG1757-X1757</f>
        <v>0</v>
      </c>
      <c r="AI1757" cm="1">
        <f t="array" ref="AI1757">IFERROR(IF(AH1757&lt;0,0,AH1757/($R$1701-INDEX(hd_off,MATCH(AQ1757,hd_mark,0),0)/12)),0)</f>
        <v>0</v>
      </c>
      <c r="AJ1757">
        <f>MAX($F$23,$AA$1701)/$Q$1716</f>
        <v>0</v>
      </c>
      <c r="AK1757">
        <f t="shared" si="1087"/>
        <v>0</v>
      </c>
      <c r="AL1757" cm="1">
        <f t="array" ref="AL1757">IFERROR(INDEX(sheath_ecap_asd,MATCH(AP1757,sheath_mark,0),0)*AK1757,0)</f>
        <v>0</v>
      </c>
      <c r="AM1757" cm="1">
        <f t="array" ref="AM1757">IFERROR(INDEX(sheath_wcap_asd,MATCH(AP1757,sheath_mark,0),0)*AK1757,0)</f>
        <v>0</v>
      </c>
      <c r="AN1757" cm="1">
        <f t="array" ref="AN1757">IFERROR(INDEX(hd_cap,MATCH(AQ1757,hd_mark,0),0),0)</f>
        <v>0</v>
      </c>
      <c r="AP1757" s="19"/>
      <c r="AQ1757" s="19"/>
      <c r="AR1757" s="100"/>
      <c r="AS1757" s="93"/>
      <c r="AT1757" s="109" t="s">
        <v>491</v>
      </c>
      <c r="AU1757" t="str">
        <f>$Q$1687</f>
        <v>L4</v>
      </c>
      <c r="AV1757">
        <f>$E$23</f>
        <v>0</v>
      </c>
      <c r="AW1757" cm="1">
        <f t="array" ref="AW1757">IFERROR(IF(AV1757=0,0,(INDEX($C$33:$C$38,MATCH($AZ$1701,$B$33:$B$38,0),0)*(AV1759+$BA$1701)+$AW$1701*COUNTIF(AV1757:AV1758,"&gt;0")*$C$32+$AY$1701*$C$31)*$AU$1701),0)</f>
        <v>0</v>
      </c>
      <c r="AX1757">
        <f>IF(AV1757=0,0,-(COUNTIF(AV1757:AV1758,"&gt;0")*$AW$1701*$C$32+$AY$1701*$C$31)*$H$27*$AU$1701)</f>
        <v>0</v>
      </c>
      <c r="AY1757">
        <f>IF(AV1757=0,0,$AY$1701*$H$26*$AU$1701)</f>
        <v>0</v>
      </c>
      <c r="AZ1757">
        <f>(0.6*AW1757+0.7*AX1757)*$AU$1701/2</f>
        <v>0</v>
      </c>
      <c r="BA1757">
        <f>AW1757*$AU$1701/2</f>
        <v>0</v>
      </c>
      <c r="BC1757">
        <f>IF(AV1757=0,0,$BG$1701*$AP$1687)</f>
        <v>0</v>
      </c>
      <c r="BD1757">
        <f>IFERROR(BC1757/$AU$1701,0)</f>
        <v>0</v>
      </c>
      <c r="BE1757">
        <f>BC1757*($F$23+IF($F$23=0,0,($C$14+$C$15+IF($C$13="single",1.5,3)+3)/12))</f>
        <v>0</v>
      </c>
      <c r="BF1757">
        <f>BE1757-AZ1757</f>
        <v>0</v>
      </c>
      <c r="BG1757" cm="1">
        <f t="array" ref="BG1757">IFERROR(IF(BF1757&lt;0,0,BF1757/($AU$1701-INDEX(hd_off,MATCH(BT1757,hd_mark,0),0)/12)),0)</f>
        <v>0</v>
      </c>
      <c r="BH1757">
        <f>IF(AV1757=0,0,$BG$1701*$AM$1687)</f>
        <v>0</v>
      </c>
      <c r="BI1757">
        <f>IFERROR(BH1757/$AU$1701,0)</f>
        <v>0</v>
      </c>
      <c r="BJ1757">
        <f>BH1757*($F$23+IF($F$23=0,0,($C$14+$C$15+IF($C$13="single",1.5,3)+3)/12))</f>
        <v>0</v>
      </c>
      <c r="BK1757">
        <f>BJ1757-BA1757</f>
        <v>0</v>
      </c>
      <c r="BL1757" cm="1">
        <f t="array" ref="BL1757">IFERROR(IF(BK1757&lt;0,0,BK1757/($AU$1701-INDEX(hd_off,MATCH(BT1757,hd_mark,0),0)/12)),0)</f>
        <v>0</v>
      </c>
      <c r="BM1757">
        <f>MAX($F$23,$BD$1701)/$Q$1716</f>
        <v>0</v>
      </c>
      <c r="BN1757">
        <f t="shared" si="1088"/>
        <v>0</v>
      </c>
      <c r="BO1757" cm="1">
        <f t="array" ref="BO1757">IFERROR(INDEX(sheath_ecap_asd,MATCH(BS1757,sheath_mark,0),0)*BN1757,0)</f>
        <v>0</v>
      </c>
      <c r="BP1757" cm="1">
        <f t="array" ref="BP1757">IFERROR(INDEX(sheath_wcap_asd,MATCH(BS1757,sheath_mark,0),0)*BN1757,0)</f>
        <v>0</v>
      </c>
      <c r="BQ1757" cm="1">
        <f t="array" ref="BQ1757">IFERROR(INDEX(hd_cap,MATCH(BT1757,hd_mark,0),0),0)</f>
        <v>0</v>
      </c>
      <c r="BS1757" s="19"/>
      <c r="BT1757" s="19"/>
      <c r="BU1757" s="100"/>
    </row>
    <row r="1758" x14ac:dyDescent="0.25">
      <c r="P1758" s="93"/>
      <c r="Q1758" s="111">
        <f>$R$1701</f>
        <v>0</v>
      </c>
      <c r="R1758" t="str">
        <f>$Q$1688</f>
        <v>L5</v>
      </c>
      <c r="S1758">
        <f>$E$24</f>
        <v>0</v>
      </c>
      <c r="T1758" cm="1">
        <f t="array" ref="T1758">IFERROR(IF(S1758=0,0,(INDEX($C$33:$C$38,MATCH($W$1701,$B$33:$B$38,0),0)*(S1759+$X$1701)+$T$1701*COUNTIF(S1758:S1758,"&gt;0")*$C$32+$V$1701*$C$31)*$R$1701),0)</f>
        <v>0</v>
      </c>
      <c r="U1758">
        <f>IF(S1758=0,0,-(COUNTIF(S1758:S1758,"&gt;0")*$T$1701*$C$32+$V$1701*$C$31)*$H$27*$R$1701)</f>
        <v>0</v>
      </c>
      <c r="V1758">
        <f>IF(S1758=0,0,$V$1701*$H$26*$R$1701)</f>
        <v>0</v>
      </c>
      <c r="W1758">
        <f>(0.6*T1758+0.7*U1758)*$R$1701/2</f>
        <v>0</v>
      </c>
      <c r="X1758">
        <f>T1758*$R$1701/2</f>
        <v>0</v>
      </c>
      <c r="Z1758">
        <f>IF(S1758=0,0,$AD$1701*$AP$1688)</f>
        <v>0</v>
      </c>
      <c r="AA1758">
        <f>IFERROR(Z1758/$R$1701,0)</f>
        <v>0</v>
      </c>
      <c r="AB1758">
        <f>Z1758*($F$24+IF($F$24=0,0,($C$14+$C$15+IF($C$13="single",1.5,3)+3)/12))</f>
        <v>0</v>
      </c>
      <c r="AC1758">
        <f>AB1758-W1758</f>
        <v>0</v>
      </c>
      <c r="AD1758" cm="1">
        <f t="array" ref="AD1758">IFERROR(IF(AC1758&lt;0,0,AC1758/($R$1701-INDEX(hd_off,MATCH(AQ1758,hd_mark,0),0)/12)),0)</f>
        <v>0</v>
      </c>
      <c r="AE1758">
        <f>IF(S1758=0,0,$AD$1701*$AM$1688)</f>
        <v>0</v>
      </c>
      <c r="AF1758">
        <f>IFERROR(AE1758/$R$1701,0)</f>
        <v>0</v>
      </c>
      <c r="AG1758">
        <f>AE1758*($F$24+IF($F$24=0,0,($C$14+$C$15+IF($C$13="single",1.5,3)+3)/12))</f>
        <v>0</v>
      </c>
      <c r="AH1758">
        <f>AG1758-X1758</f>
        <v>0</v>
      </c>
      <c r="AI1758" cm="1">
        <f t="array" ref="AI1758">IFERROR(IF(AH1758&lt;0,0,AH1758/($R$1701-INDEX(hd_off,MATCH(AQ1758,hd_mark,0),0)/12)),0)</f>
        <v>0</v>
      </c>
      <c r="AJ1758">
        <f>MAX($F$24,$AB$1701)/$Q$1716</f>
        <v>0</v>
      </c>
      <c r="AK1758">
        <f t="shared" si="1087"/>
        <v>0</v>
      </c>
      <c r="AL1758" cm="1">
        <f t="array" ref="AL1758">IFERROR(INDEX(sheath_ecap_asd,MATCH(AP1758,sheath_mark,0),0)*AK1758,0)</f>
        <v>0</v>
      </c>
      <c r="AM1758" cm="1">
        <f t="array" ref="AM1758">IFERROR(INDEX(sheath_wcap_asd,MATCH(AP1758,sheath_mark,0),0)*AK1758,0)</f>
        <v>0</v>
      </c>
      <c r="AN1758" cm="1">
        <f t="array" ref="AN1758">IFERROR(INDEX(hd_cap,MATCH(AQ1758,hd_mark,0),0),0)</f>
        <v>0</v>
      </c>
      <c r="AP1758" s="19"/>
      <c r="AQ1758" s="19"/>
      <c r="AR1758" s="100"/>
      <c r="AS1758" s="93"/>
      <c r="AT1758" s="111">
        <f>$R$1701</f>
        <v>0</v>
      </c>
      <c r="AU1758" t="str">
        <f>$Q$1688</f>
        <v>L5</v>
      </c>
      <c r="AV1758">
        <f>$E$24</f>
        <v>0</v>
      </c>
      <c r="AW1758" cm="1">
        <f t="array" ref="AW1758">IFERROR(IF(AV1758=0,0,(INDEX($C$33:$C$38,MATCH($AZ$1701,$B$33:$B$38,0),0)*(AV1759+$BA$1701)+$AW$1701*COUNTIF(AV1758:AV1758,"&gt;0")*$C$32+$AY$1701*$C$31)*$AU$1701),0)</f>
        <v>0</v>
      </c>
      <c r="AX1758">
        <f>IF(AV1758=0,0,-(COUNTIF(AV1758:AV1758,"&gt;0")*$AW$1701*$C$32+$AY$1701*$C$31)*$H$27*$AU$1701)</f>
        <v>0</v>
      </c>
      <c r="AY1758">
        <f>IF(AV1758=0,0,$AY$1701*$H$26*$AU$1701)</f>
        <v>0</v>
      </c>
      <c r="AZ1758">
        <f>(0.6*AW1758+0.7*AX1758)*$AU$1701/2</f>
        <v>0</v>
      </c>
      <c r="BA1758">
        <f>AW1758*$AU$1701/2</f>
        <v>0</v>
      </c>
      <c r="BC1758">
        <f>IF(AV1758=0,0,$BG$1701*$AP$1688)</f>
        <v>0</v>
      </c>
      <c r="BD1758">
        <f>IFERROR(BC1758/$AU$1701,0)</f>
        <v>0</v>
      </c>
      <c r="BE1758">
        <f>BC1758*($F$24+IF($F$24=0,0,($C$14+$C$15+IF($C$13="single",1.5,3)+3)/12))</f>
        <v>0</v>
      </c>
      <c r="BF1758">
        <f>BE1758-AZ1758</f>
        <v>0</v>
      </c>
      <c r="BG1758" cm="1">
        <f t="array" ref="BG1758">IFERROR(IF(BF1758&lt;0,0,BF1758/($AU$1701-INDEX(hd_off,MATCH(BT1758,hd_mark,0),0)/12)),0)</f>
        <v>0</v>
      </c>
      <c r="BH1758">
        <f>IF(AV1758=0,0,$BG$1701*$AM$1688)</f>
        <v>0</v>
      </c>
      <c r="BI1758">
        <f>IFERROR(BH1758/$AU$1701,0)</f>
        <v>0</v>
      </c>
      <c r="BJ1758">
        <f>BH1758*($F$24+IF($F$24=0,0,($C$14+$C$15+IF($C$13="single",1.5,3)+3)/12))</f>
        <v>0</v>
      </c>
      <c r="BK1758">
        <f>BJ1758-BA1758</f>
        <v>0</v>
      </c>
      <c r="BL1758" cm="1">
        <f t="array" ref="BL1758">IFERROR(IF(BK1758&lt;0,0,BK1758/($AU$1701-INDEX(hd_off,MATCH(BT1758,hd_mark,0),0)/12)),0)</f>
        <v>0</v>
      </c>
      <c r="BM1758">
        <f>MAX($F$24,$BE$1701)/$Q$1716</f>
        <v>0</v>
      </c>
      <c r="BN1758">
        <f t="shared" si="1088"/>
        <v>0</v>
      </c>
      <c r="BO1758" cm="1">
        <f t="array" ref="BO1758">IFERROR(INDEX(sheath_ecap_asd,MATCH(BS1758,sheath_mark,0),0)*BN1758,0)</f>
        <v>0</v>
      </c>
      <c r="BP1758" cm="1">
        <f t="array" ref="BP1758">IFERROR(INDEX(sheath_wcap_asd,MATCH(BS1758,sheath_mark,0),0)*BN1758,0)</f>
        <v>0</v>
      </c>
      <c r="BQ1758" cm="1">
        <f t="array" ref="BQ1758">IFERROR(INDEX(hd_cap,MATCH(BT1758,hd_mark,0),0),0)</f>
        <v>0</v>
      </c>
      <c r="BS1758" s="19"/>
      <c r="BT1758" s="19"/>
      <c r="BU1758" s="100"/>
    </row>
    <row r="1759" x14ac:dyDescent="0.25">
      <c r="P1759" s="93"/>
      <c r="Q1759" s="109"/>
      <c r="R1759" t="str">
        <f>$Q$1689</f>
        <v>Roof</v>
      </c>
      <c r="S1759">
        <f>$E$25</f>
        <v>33.171875</v>
      </c>
      <c r="T1759" cm="1">
        <f t="array" ref="T1759">IFERROR(IF(S1759=0,0,(INDEX($C$33:$C$38,MATCH($W$1701,$B$33:$B$38,0),0)*(S1759+$X$1701)+$V$1701*$C$31)*$R$1701),0)</f>
        <v>0</v>
      </c>
      <c r="U1759">
        <f>IF(S1759=0,0,-$V$1701*$C$31*$H$27*$R$1701)</f>
        <v>0</v>
      </c>
      <c r="V1759">
        <f>IF(S1759=0,0,$V$1701*$H$26*$R$1701)</f>
        <v>0</v>
      </c>
      <c r="W1759">
        <f>(0.6*T1759+0.7*U1759)*$R$1701/2</f>
        <v>0</v>
      </c>
      <c r="X1759">
        <f>T1759*$R$1701/2</f>
        <v>0</v>
      </c>
      <c r="Z1759">
        <f>IF(S1759=0,0,$AD$1701*$AP$1689)</f>
        <v>0</v>
      </c>
      <c r="AA1759">
        <f>IFERROR(Z1759/$R$1701,0)</f>
        <v>0</v>
      </c>
      <c r="AB1759">
        <f>Z1759*($F$25+($C$16+$C$17+IF($C$13="single",1.5,3)+3)/12)</f>
        <v>0</v>
      </c>
      <c r="AC1759">
        <f>AB1759-W1759</f>
        <v>0</v>
      </c>
      <c r="AD1759" cm="1">
        <f t="array" ref="AD1759">IFERROR(IF(AC1759&lt;0,0,AC1759/($R$1701-INDEX(hd_off,MATCH(AQ1759,hd_mark,0),0)/12)),0)</f>
        <v>0</v>
      </c>
      <c r="AE1759">
        <f>IF(S1759=0,0,$AD$1701*$AM$1689)</f>
        <v>0</v>
      </c>
      <c r="AF1759">
        <f>IFERROR(AE1759/$R$1701,0)</f>
        <v>0</v>
      </c>
      <c r="AG1759">
        <f>AE1759*($F$25+($C$16+$C$17+IF($C$13="single",1.5,3)+3)/12)</f>
        <v>0</v>
      </c>
      <c r="AH1759">
        <f>AG1759-X1759</f>
        <v>0</v>
      </c>
      <c r="AI1759" cm="1">
        <f t="array" ref="AI1759">IFERROR(IF(AH1759&lt;0,0,AH1759/($R$1701-INDEX(hd_off,MATCH(AQ1759,hd_mark,0),0)/12)),0)</f>
        <v>0</v>
      </c>
      <c r="AJ1759">
        <f>MAX($F$25,$AC$1701)/$Q$1716</f>
        <v>0.29920977011494249</v>
      </c>
      <c r="AK1759">
        <f t="shared" si="1087"/>
        <v>1</v>
      </c>
      <c r="AL1759" cm="1">
        <f t="array" ref="AL1759">IFERROR(INDEX(sheath_ecap_asd,MATCH(AP1759,sheath_mark,0),0)*AK1759,0)</f>
        <v>0</v>
      </c>
      <c r="AM1759" cm="1">
        <f t="array" ref="AM1759">IFERROR(INDEX(sheath_wcap_asd,MATCH(AP1759,sheath_mark,0),0)*AK1759,0)</f>
        <v>0</v>
      </c>
      <c r="AN1759" cm="1">
        <f t="array" ref="AN1759">IFERROR(INDEX(hd_cap,MATCH(AQ1759,hd_mark,0),0),0)</f>
        <v>0</v>
      </c>
      <c r="AP1759" s="19"/>
      <c r="AQ1759" s="19"/>
      <c r="AR1759" s="100"/>
      <c r="AS1759" s="93"/>
      <c r="AT1759" s="109"/>
      <c r="AU1759" t="str">
        <f>$Q$1689</f>
        <v>Roof</v>
      </c>
      <c r="AV1759">
        <f>$E$25</f>
        <v>33.171875</v>
      </c>
      <c r="AW1759" cm="1">
        <f t="array" ref="AW1759">IFERROR(IF(AV1759=0,0,(INDEX($C$33:$C$38,MATCH($AZ$1701,$B$33:$B$38,0),0)*(AV1759+$BA$1701)+$AY$1701*$C$31)*$AU$1701),0)</f>
        <v>0</v>
      </c>
      <c r="AX1759">
        <f>IF(AV1759=0,0,-$AY$1701*$C$31*$H$27*$AU$1701)</f>
        <v>0</v>
      </c>
      <c r="AY1759">
        <f>IF(AV1759=0,0,$AY$1701*$H$26*$AU$1701)</f>
        <v>0</v>
      </c>
      <c r="AZ1759">
        <f>(0.6*AW1759+0.7*AX1759)*$AU$1701/2</f>
        <v>0</v>
      </c>
      <c r="BA1759">
        <f>AW1759*$AU$1701/2</f>
        <v>0</v>
      </c>
      <c r="BC1759">
        <f>IF(AV1759=0,0,$BG$1701*$AP$1689)</f>
        <v>0</v>
      </c>
      <c r="BD1759">
        <f>IFERROR(BC1759/$AU$1701,0)</f>
        <v>0</v>
      </c>
      <c r="BE1759">
        <f>BC1759*($F$25+($C$16+$C$17+IF($C$13="single",1.5,3)+3)/12)</f>
        <v>0</v>
      </c>
      <c r="BF1759">
        <f>BE1759-AZ1759</f>
        <v>0</v>
      </c>
      <c r="BG1759" cm="1">
        <f t="array" ref="BG1759">IFERROR(IF(BF1759&lt;0,0,BF1759/($AU$1701-INDEX(hd_off,MATCH(BT1759,hd_mark,0),0)/12)),0)</f>
        <v>0</v>
      </c>
      <c r="BH1759">
        <f>IF(AV1759=0,0,$BG$1701*$AM$1689)</f>
        <v>0</v>
      </c>
      <c r="BI1759">
        <f>IFERROR(BH1759/$AU$1701,0)</f>
        <v>0</v>
      </c>
      <c r="BJ1759">
        <f>BH1759*($F$25+($C$16+$C$17+IF($C$13="single",1.5,3)+3)/12)</f>
        <v>0</v>
      </c>
      <c r="BK1759">
        <f>BJ1759-BA1759</f>
        <v>0</v>
      </c>
      <c r="BL1759" cm="1">
        <f t="array" ref="BL1759">IFERROR(IF(BK1759&lt;0,0,BK1759/($AU$1701-INDEX(hd_off,MATCH(BT1759,hd_mark,0),0)/12)),0)</f>
        <v>0</v>
      </c>
      <c r="BM1759">
        <f>MAX($F$25,$BF$1701)/$Q$1716</f>
        <v>0.29920977011494249</v>
      </c>
      <c r="BN1759">
        <f t="shared" si="1088"/>
        <v>1</v>
      </c>
      <c r="BO1759" cm="1">
        <f t="array" ref="BO1759">IFERROR(INDEX(sheath_ecap_asd,MATCH(BS1759,sheath_mark,0),0)*BN1759,0)</f>
        <v>0</v>
      </c>
      <c r="BP1759" cm="1">
        <f t="array" ref="BP1759">IFERROR(INDEX(sheath_wcap_asd,MATCH(BS1759,sheath_mark,0),0)*BN1759,0)</f>
        <v>0</v>
      </c>
      <c r="BQ1759" cm="1">
        <f t="array" ref="BQ1759">IFERROR(INDEX(hd_cap,MATCH(BT1759,hd_mark,0),0),0)</f>
        <v>0</v>
      </c>
      <c r="BS1759" s="19"/>
      <c r="BT1759" s="19"/>
      <c r="BU1759" s="100"/>
    </row>
    <row r="1760" x14ac:dyDescent="0.25">
      <c r="P1760" s="93"/>
      <c r="AR1760" s="100"/>
      <c r="AS1760" s="93"/>
      <c r="BU1760" s="100"/>
    </row>
    <row r="1761" x14ac:dyDescent="0.25">
      <c r="P1761" s="93"/>
      <c r="Q1761" s="110" t="str">
        <f>$Q$1702</f>
        <v>A.09</v>
      </c>
      <c r="R1761" t="str">
        <f>$Q$1685</f>
        <v>L2</v>
      </c>
      <c r="S1761">
        <f>$E$21</f>
        <v>10.6875</v>
      </c>
      <c r="T1761" cm="1">
        <f t="array" ref="T1761">IFERROR(IF(S1761=0,0,(INDEX($C$33:$C$38,MATCH($W$1702,$B$33:$B$38,0),0)*(S1765+$X$1702)+$T$1702*COUNTIF(S1761:S1764,"&gt;0")*$C$32+$V$1702*$C$31)*$R$1702),0)</f>
        <v>0</v>
      </c>
      <c r="U1761">
        <f>IF(S1761=0,0,-(COUNTIF(S1761:S1764,"&gt;0")*$T$1702*$C$32+$V$1702*$C$31)*$H$27*$R$1702)</f>
        <v>0</v>
      </c>
      <c r="V1761">
        <f>IF(S1761=0,0,$V$1702*$H$26*$R$1702)</f>
        <v>0</v>
      </c>
      <c r="W1761">
        <f>(0.6*T1761+0.7*U1761)*$R$1702/2</f>
        <v>0</v>
      </c>
      <c r="X1761">
        <f>(0.6*T1761+0.6*V1761)*$R$1702/2</f>
        <v>0</v>
      </c>
      <c r="Z1761">
        <f>IF(S1761=0,0,$AD$1702*$AP$1685)</f>
        <v>0</v>
      </c>
      <c r="AA1761">
        <f>IFERROR(Z1761/$R$1702,0)</f>
        <v>0</v>
      </c>
      <c r="AB1761">
        <f>Z1761*($F$21+IF($F$21=0,0,($C$14+$C$15+IF($C$13="single",1.5,3)+3)/12))</f>
        <v>0</v>
      </c>
      <c r="AC1761">
        <f>AB1761-W1761</f>
        <v>0</v>
      </c>
      <c r="AD1761" cm="1">
        <f t="array" ref="AD1761">IFERROR(IF(AC1761&lt;0,0,AC1761/($R$1702-INDEX(hd_off,MATCH(AQ1761,hd_mark,0),0)/12)),0)</f>
        <v>0</v>
      </c>
      <c r="AE1761">
        <f>IF(S1761=0,0,$AD$1702*$AM$1685)</f>
        <v>0</v>
      </c>
      <c r="AF1761">
        <f>IFERROR(AE1761/$R$1702,0)</f>
        <v>0</v>
      </c>
      <c r="AG1761">
        <f>AE1761*($F$21+IF($F$21=0,0,($C$14+$C$15+IF($C$13="single",1.5,3)+3)/12))</f>
        <v>0</v>
      </c>
      <c r="AH1761">
        <f>AG1761-X1761</f>
        <v>0</v>
      </c>
      <c r="AI1761" cm="1">
        <f t="array" ref="AI1761">IFERROR(IF(AH1761&lt;0,0,AH1761/($R$1702-INDEX(hd_off,MATCH(AQ1761,hd_mark,0),0)/12)),0)</f>
        <v>0</v>
      </c>
      <c r="AJ1761">
        <f>MAX($F$21,$Y$1702)/$Q$1716</f>
        <v>0.30172413793103448</v>
      </c>
      <c r="AK1761">
        <f>IF(AJ1761=0,0,IF(AJ1761&gt;2,1.25-0.125*AJ1761,1))</f>
        <v>1</v>
      </c>
      <c r="AL1761" cm="1">
        <f t="array" ref="AL1761">IFERROR(INDEX(sheath_ecap_asd,MATCH(AP1761,sheath_mark,0),0)*AK1761,0)</f>
        <v>0</v>
      </c>
      <c r="AM1761" cm="1">
        <f t="array" ref="AM1761">IFERROR(INDEX(sheath_wcap_asd,MATCH(AP1761,sheath_mark,0),0)*AK1761,0)</f>
        <v>0</v>
      </c>
      <c r="AN1761" cm="1">
        <f t="array" ref="AN1761">IFERROR(INDEX(hd_cap,MATCH(AQ1761,hd_mark,0),0),0)</f>
        <v>0</v>
      </c>
      <c r="AP1761" s="19"/>
      <c r="AQ1761" s="19"/>
      <c r="AR1761" s="100"/>
      <c r="AS1761" s="93"/>
      <c r="AT1761" s="110" t="str">
        <f>$AT$1702</f>
        <v>1.09</v>
      </c>
      <c r="AU1761" t="str">
        <f>$Q$1685</f>
        <v>L2</v>
      </c>
      <c r="AV1761">
        <f>$E$21</f>
        <v>10.6875</v>
      </c>
      <c r="AW1761" cm="1">
        <f t="array" ref="AW1761">IFERROR(IF(AV1761=0,0,(INDEX($C$33:$C$38,MATCH($AZ$1702,$B$33:$B$38,0),0)*(AV1765+$BA$1702)+$AW$1702*COUNTIF(AV1761:AV1764,"&gt;0")*$C$32+$AY$1702*$C$31)*$AU$1702),0)</f>
        <v>0</v>
      </c>
      <c r="AX1761">
        <f>IF(AV1761=0,0,-(COUNTIF(AV1761:AV1764,"&gt;0")*$AW$1702*$C$32+$AY$1702*$C$31)*$H$27*$AU$1702)</f>
        <v>0</v>
      </c>
      <c r="AY1761">
        <f>IF(AV1761=0,0,$AY$1702*$H$26*$AU$1702)</f>
        <v>0</v>
      </c>
      <c r="AZ1761">
        <f>(0.6*AW1761+0.7*AX1761)*$AU$1702/2</f>
        <v>0</v>
      </c>
      <c r="BA1761">
        <f>(0.6*AW1761+0.6*AY1761)*$AU$1702/2</f>
        <v>0</v>
      </c>
      <c r="BC1761">
        <f>IF(AV1761=0,0,$BG$1702*$AP$1685)</f>
        <v>0</v>
      </c>
      <c r="BD1761">
        <f>IFERROR(BC1761/$AU$1702,0)</f>
        <v>0</v>
      </c>
      <c r="BE1761">
        <f>BC1761*($F$21+IF($F$21=0,0,($C$14+$C$15+IF($C$13="single",1.5,3)+3)/12))</f>
        <v>0</v>
      </c>
      <c r="BF1761">
        <f>BE1761-AZ1761</f>
        <v>0</v>
      </c>
      <c r="BG1761" cm="1">
        <f t="array" ref="BG1761">IFERROR(IF(BF1761&lt;0,0,BF1761/($AU$1702-INDEX(hd_off,MATCH(BT1761,hd_mark,0),0)/12)),0)</f>
        <v>0</v>
      </c>
      <c r="BH1761">
        <f>IF(AV1761=0,0,$BG$1702*$AM$1685)</f>
        <v>0</v>
      </c>
      <c r="BI1761">
        <f>IFERROR(BH1761/$AU$1702,0)</f>
        <v>0</v>
      </c>
      <c r="BJ1761">
        <f>BH1761*($F$21+IF($F$21=0,0,($C$14+$C$15+IF($C$13="single",1.5,3)+3)/12))</f>
        <v>0</v>
      </c>
      <c r="BK1761">
        <f>BJ1761-BA1761</f>
        <v>0</v>
      </c>
      <c r="BL1761" cm="1">
        <f t="array" ref="BL1761">IFERROR(IF(BK1761&lt;0,0,BK1761/($AU$1702-INDEX(hd_off,MATCH(BT1761,hd_mark,0),0)/12)),0)</f>
        <v>0</v>
      </c>
      <c r="BM1761">
        <f>MAX($F$21,$BB$1702)/$Q$1716</f>
        <v>0.30172413793103448</v>
      </c>
      <c r="BN1761">
        <f>IF(BM1761=0,0,IF(BM1761&gt;2,1.25-0.125*BM1761,1))</f>
        <v>1</v>
      </c>
      <c r="BO1761" cm="1">
        <f t="array" ref="BO1761">IFERROR(INDEX(sheath_ecap_asd,MATCH(BS1761,sheath_mark,0),0)*BN1761,0)</f>
        <v>0</v>
      </c>
      <c r="BP1761" cm="1">
        <f t="array" ref="BP1761">IFERROR(INDEX(sheath_wcap_asd,MATCH(BS1761,sheath_mark,0),0)*BN1761,0)</f>
        <v>0</v>
      </c>
      <c r="BQ1761" cm="1">
        <f t="array" ref="BQ1761">IFERROR(INDEX(hd_cap,MATCH(BT1761,hd_mark,0),0),0)</f>
        <v>0</v>
      </c>
      <c r="BS1761" s="19"/>
      <c r="BT1761" s="19"/>
      <c r="BU1761" s="100"/>
    </row>
    <row r="1762" x14ac:dyDescent="0.25">
      <c r="P1762" s="93"/>
      <c r="Q1762" s="109"/>
      <c r="R1762" t="str">
        <f>$Q$1686</f>
        <v>L3</v>
      </c>
      <c r="S1762">
        <f>$E$22</f>
        <v>21.375</v>
      </c>
      <c r="T1762" cm="1">
        <f t="array" ref="T1762">IFERROR(IF(S1762=0,0,(INDEX($C$33:$C$38,MATCH($W$1702,$B$33:$B$38,0),0)*(S1765+$X$1702)+$T$1702*COUNTIF(S1762:S1764,"&gt;0")*$C$32+$V$1702*$C$31)*$R$1702),0)</f>
        <v>0</v>
      </c>
      <c r="U1762">
        <f>IF(S1762=0,0,-(COUNTIF(S1762:S1764,"&gt;0")*$T$1702*$C$32+$V$1702*$C$31)*$H$27*$R$1702)</f>
        <v>0</v>
      </c>
      <c r="V1762">
        <f>IF(S1762=0,0,$V$1702*$H$26*$R$1702)</f>
        <v>0</v>
      </c>
      <c r="W1762">
        <f>(0.6*T1762+0.7*U1762)*$R$1702/2</f>
        <v>0</v>
      </c>
      <c r="X1762">
        <f>T1762*$R$1702/2</f>
        <v>0</v>
      </c>
      <c r="Z1762">
        <f>IF(S1762=0,0,$AD$1702*$AP$1686)</f>
        <v>0</v>
      </c>
      <c r="AA1762">
        <f>IFERROR(Z1762/$R$1702,0)</f>
        <v>0</v>
      </c>
      <c r="AB1762">
        <f>Z1762*($F$22+IF($F$22=0,0,($C$14+$C$15+IF($C$13="single",1.5,3)+3)/12))</f>
        <v>0</v>
      </c>
      <c r="AC1762">
        <f>AB1762-W1762</f>
        <v>0</v>
      </c>
      <c r="AD1762" cm="1">
        <f t="array" ref="AD1762">IFERROR(IF(AC1762&lt;0,0,AC1762/($R$1702-INDEX(hd_off,MATCH(AQ1762,hd_mark,0),0)/12)),0)</f>
        <v>0</v>
      </c>
      <c r="AE1762">
        <f>IF(S1762=0,0,$AD$1702*$AM$1686)</f>
        <v>0</v>
      </c>
      <c r="AF1762">
        <f>IFERROR(AE1762/$R$1702,0)</f>
        <v>0</v>
      </c>
      <c r="AG1762">
        <f>AE1762*($F$22+IF($F$22=0,0,($C$14+$C$15+IF($C$13="single",1.5,3)+3)/12))</f>
        <v>0</v>
      </c>
      <c r="AH1762">
        <f>AG1762-X1762</f>
        <v>0</v>
      </c>
      <c r="AI1762" cm="1">
        <f t="array" ref="AI1762">IFERROR(IF(AH1762&lt;0,0,AH1762/($R$1702-INDEX(hd_off,MATCH(AQ1762,hd_mark,0),0)/12)),0)</f>
        <v>0</v>
      </c>
      <c r="AJ1762">
        <f>MAX($F$22,$Z$1702)/$Q$1716</f>
        <v>0.30172413793103448</v>
      </c>
      <c r="AK1762">
        <f t="shared" ref="AK1762:AK1765" si="1089">IF(AJ1762=0,0,IF(AJ1762&gt;2,1.25-0.125*AJ1762,1))</f>
        <v>1</v>
      </c>
      <c r="AL1762" cm="1">
        <f t="array" ref="AL1762">IFERROR(INDEX(sheath_ecap_asd,MATCH(AP1762,sheath_mark,0),0)*AK1762,0)</f>
        <v>0</v>
      </c>
      <c r="AM1762" cm="1">
        <f t="array" ref="AM1762">IFERROR(INDEX(sheath_wcap_asd,MATCH(AP1762,sheath_mark,0),0)*AK1762,0)</f>
        <v>0</v>
      </c>
      <c r="AN1762" cm="1">
        <f t="array" ref="AN1762">IFERROR(INDEX(hd_cap,MATCH(AQ1762,hd_mark,0),0),0)</f>
        <v>0</v>
      </c>
      <c r="AP1762" s="19"/>
      <c r="AQ1762" s="19"/>
      <c r="AR1762" s="100"/>
      <c r="AS1762" s="93"/>
      <c r="AT1762" s="109"/>
      <c r="AU1762" t="str">
        <f>$Q$1686</f>
        <v>L3</v>
      </c>
      <c r="AV1762">
        <f>$E$22</f>
        <v>21.375</v>
      </c>
      <c r="AW1762" cm="1">
        <f t="array" ref="AW1762">IFERROR(IF(AV1762=0,0,(INDEX($C$33:$C$38,MATCH($AZ$1702,$B$33:$B$38,0),0)*(AV1765+$BA$1702)+$AW$1702*COUNTIF(AV1762:AV1764,"&gt;0")*$C$32+$AY$1702*$C$31)*$AU$1702),0)</f>
        <v>0</v>
      </c>
      <c r="AX1762">
        <f>IF(AV1762=0,0,-(COUNTIF(AV1762:AV1764,"&gt;0")*$AW$1702*$C$32+$AY$1702*$C$31)*$H$27*$AU$1702)</f>
        <v>0</v>
      </c>
      <c r="AY1762">
        <f>IF(AV1762=0,0,$AY$1702*$H$26*$AU$1702)</f>
        <v>0</v>
      </c>
      <c r="AZ1762">
        <f>(0.6*AW1762+0.7*AX1762)*$AU$1702/2</f>
        <v>0</v>
      </c>
      <c r="BA1762">
        <f>AW1762*$AU$1702/2</f>
        <v>0</v>
      </c>
      <c r="BC1762">
        <f>IF(AV1762=0,0,$BG$1702*$AP$1686)</f>
        <v>0</v>
      </c>
      <c r="BD1762">
        <f>IFERROR(BC1762/$AU$1702,0)</f>
        <v>0</v>
      </c>
      <c r="BE1762">
        <f>BC1762*($F$22+IF($F$22=0,0,($C$14+$C$15+IF($C$13="single",1.5,3)+3)/12))</f>
        <v>0</v>
      </c>
      <c r="BF1762">
        <f>BE1762-AZ1762</f>
        <v>0</v>
      </c>
      <c r="BG1762" cm="1">
        <f t="array" ref="BG1762">IFERROR(IF(BF1762&lt;0,0,BF1762/($AU$1702-INDEX(hd_off,MATCH(BT1762,hd_mark,0),0)/12)),0)</f>
        <v>0</v>
      </c>
      <c r="BH1762">
        <f>IF(AV1762=0,0,$BG$1702*$AM$1686)</f>
        <v>0</v>
      </c>
      <c r="BI1762">
        <f>IFERROR(BH1762/$AU$1702,0)</f>
        <v>0</v>
      </c>
      <c r="BJ1762">
        <f>BH1762*($F$22+IF($F$22=0,0,($C$14+$C$15+IF($C$13="single",1.5,3)+3)/12))</f>
        <v>0</v>
      </c>
      <c r="BK1762">
        <f>BJ1762-BA1762</f>
        <v>0</v>
      </c>
      <c r="BL1762" cm="1">
        <f t="array" ref="BL1762">IFERROR(IF(BK1762&lt;0,0,BK1762/($AU$1702-INDEX(hd_off,MATCH(BT1762,hd_mark,0),0)/12)),0)</f>
        <v>0</v>
      </c>
      <c r="BM1762">
        <f>MAX($F$22,$BC$1702)/$Q$1716</f>
        <v>0.30172413793103448</v>
      </c>
      <c r="BN1762">
        <f t="shared" ref="BN1762:BN1765" si="1090">IF(BM1762=0,0,IF(BM1762&gt;2,1.25-0.125*BM1762,1))</f>
        <v>1</v>
      </c>
      <c r="BO1762" cm="1">
        <f t="array" ref="BO1762">IFERROR(INDEX(sheath_ecap_asd,MATCH(BS1762,sheath_mark,0),0)*BN1762,0)</f>
        <v>0</v>
      </c>
      <c r="BP1762" cm="1">
        <f t="array" ref="BP1762">IFERROR(INDEX(sheath_wcap_asd,MATCH(BS1762,sheath_mark,0),0)*BN1762,0)</f>
        <v>0</v>
      </c>
      <c r="BQ1762" cm="1">
        <f t="array" ref="BQ1762">IFERROR(INDEX(hd_cap,MATCH(BT1762,hd_mark,0),0),0)</f>
        <v>0</v>
      </c>
      <c r="BS1762" s="19"/>
      <c r="BT1762" s="19"/>
      <c r="BU1762" s="100"/>
    </row>
    <row r="1763" x14ac:dyDescent="0.25">
      <c r="P1763" s="93"/>
      <c r="Q1763" s="109" t="s">
        <v>491</v>
      </c>
      <c r="R1763" t="str">
        <f>$Q$1687</f>
        <v>L4</v>
      </c>
      <c r="S1763">
        <f>$E$23</f>
        <v>0</v>
      </c>
      <c r="T1763" cm="1">
        <f t="array" ref="T1763">IFERROR(IF(S1763=0,0,(INDEX($C$33:$C$38,MATCH($W$1702,$B$33:$B$38,0),0)*(S1765+$X$1702)+$T$1702*COUNTIF(S1763:S1764,"&gt;0")*$C$32+$V$1702*$C$31)*$R$1702),0)</f>
        <v>0</v>
      </c>
      <c r="U1763">
        <f>IF(S1763=0,0,-(COUNTIF(S1763:S1764,"&gt;0")*$T$1702*$C$32+$V$1702*$C$31)*$H$27*$R$1702)</f>
        <v>0</v>
      </c>
      <c r="V1763">
        <f>IF(S1763=0,0,$V$1702*$H$26*$R$1702)</f>
        <v>0</v>
      </c>
      <c r="W1763">
        <f>(0.6*T1763+0.7*U1763)*$R$1702/2</f>
        <v>0</v>
      </c>
      <c r="X1763">
        <f>T1763*$R$1702/2</f>
        <v>0</v>
      </c>
      <c r="Z1763">
        <f>IF(S1763=0,0,$AD$1702*$AP$1687)</f>
        <v>0</v>
      </c>
      <c r="AA1763">
        <f>IFERROR(Z1763/$R$1702,0)</f>
        <v>0</v>
      </c>
      <c r="AB1763">
        <f>Z1763*($F$23+IF($F$23=0,0,($C$14+$C$15+IF($C$13="single",1.5,3)+3)/12))</f>
        <v>0</v>
      </c>
      <c r="AC1763">
        <f>AB1763-W1763</f>
        <v>0</v>
      </c>
      <c r="AD1763" cm="1">
        <f t="array" ref="AD1763">IFERROR(IF(AC1763&lt;0,0,AC1763/($R$1702-INDEX(hd_off,MATCH(AQ1763,hd_mark,0),0)/12)),0)</f>
        <v>0</v>
      </c>
      <c r="AE1763">
        <f>IF(S1763=0,0,$AD$1702*$AM$1687)</f>
        <v>0</v>
      </c>
      <c r="AF1763">
        <f>IFERROR(AE1763/$R$1702,0)</f>
        <v>0</v>
      </c>
      <c r="AG1763">
        <f>AE1763*($F$23+IF($F$23=0,0,($C$14+$C$15+IF($C$13="single",1.5,3)+3)/12))</f>
        <v>0</v>
      </c>
      <c r="AH1763">
        <f>AG1763-X1763</f>
        <v>0</v>
      </c>
      <c r="AI1763" cm="1">
        <f t="array" ref="AI1763">IFERROR(IF(AH1763&lt;0,0,AH1763/($R$1702-INDEX(hd_off,MATCH(AQ1763,hd_mark,0),0)/12)),0)</f>
        <v>0</v>
      </c>
      <c r="AJ1763">
        <f>MAX($F$23,$AA$1702)/$Q$1716</f>
        <v>0</v>
      </c>
      <c r="AK1763">
        <f t="shared" si="1089"/>
        <v>0</v>
      </c>
      <c r="AL1763" cm="1">
        <f t="array" ref="AL1763">IFERROR(INDEX(sheath_ecap_asd,MATCH(AP1763,sheath_mark,0),0)*AK1763,0)</f>
        <v>0</v>
      </c>
      <c r="AM1763" cm="1">
        <f t="array" ref="AM1763">IFERROR(INDEX(sheath_wcap_asd,MATCH(AP1763,sheath_mark,0),0)*AK1763,0)</f>
        <v>0</v>
      </c>
      <c r="AN1763" cm="1">
        <f t="array" ref="AN1763">IFERROR(INDEX(hd_cap,MATCH(AQ1763,hd_mark,0),0),0)</f>
        <v>0</v>
      </c>
      <c r="AP1763" s="19"/>
      <c r="AQ1763" s="19"/>
      <c r="AR1763" s="100"/>
      <c r="AS1763" s="93"/>
      <c r="AT1763" s="109" t="s">
        <v>491</v>
      </c>
      <c r="AU1763" t="str">
        <f>$Q$1687</f>
        <v>L4</v>
      </c>
      <c r="AV1763">
        <f>$E$23</f>
        <v>0</v>
      </c>
      <c r="AW1763" cm="1">
        <f t="array" ref="AW1763">IFERROR(IF(AV1763=0,0,(INDEX($C$33:$C$38,MATCH($AZ$1702,$B$33:$B$38,0),0)*(AV1765+$BA$1702)+$AW$1702*COUNTIF(AV1763:AV1764,"&gt;0")*$C$32+$AY$1702*$C$31)*$AU$1702),0)</f>
        <v>0</v>
      </c>
      <c r="AX1763">
        <f>IF(AV1763=0,0,-(COUNTIF(AV1763:AV1764,"&gt;0")*$AW$1702*$C$32+$AY$1702*$C$31)*$H$27*$AU$1702)</f>
        <v>0</v>
      </c>
      <c r="AY1763">
        <f>IF(AV1763=0,0,$AY$1702*$H$26*$AU$1702)</f>
        <v>0</v>
      </c>
      <c r="AZ1763">
        <f>(0.6*AW1763+0.7*AX1763)*$AU$1702/2</f>
        <v>0</v>
      </c>
      <c r="BA1763">
        <f>AW1763*$AU$1702/2</f>
        <v>0</v>
      </c>
      <c r="BC1763">
        <f>IF(AV1763=0,0,$BG$1702*$AP$1687)</f>
        <v>0</v>
      </c>
      <c r="BD1763">
        <f>IFERROR(BC1763/$AU$1702,0)</f>
        <v>0</v>
      </c>
      <c r="BE1763">
        <f>BC1763*($F$23+IF($F$23=0,0,($C$14+$C$15+IF($C$13="single",1.5,3)+3)/12))</f>
        <v>0</v>
      </c>
      <c r="BF1763">
        <f>BE1763-AZ1763</f>
        <v>0</v>
      </c>
      <c r="BG1763" cm="1">
        <f t="array" ref="BG1763">IFERROR(IF(BF1763&lt;0,0,BF1763/($AU$1702-INDEX(hd_off,MATCH(BT1763,hd_mark,0),0)/12)),0)</f>
        <v>0</v>
      </c>
      <c r="BH1763">
        <f>IF(AV1763=0,0,$BG$1702*$AM$1687)</f>
        <v>0</v>
      </c>
      <c r="BI1763">
        <f>IFERROR(BH1763/$AU$1702,0)</f>
        <v>0</v>
      </c>
      <c r="BJ1763">
        <f>BH1763*($F$23+IF($F$23=0,0,($C$14+$C$15+IF($C$13="single",1.5,3)+3)/12))</f>
        <v>0</v>
      </c>
      <c r="BK1763">
        <f>BJ1763-BA1763</f>
        <v>0</v>
      </c>
      <c r="BL1763" cm="1">
        <f t="array" ref="BL1763">IFERROR(IF(BK1763&lt;0,0,BK1763/($AU$1702-INDEX(hd_off,MATCH(BT1763,hd_mark,0),0)/12)),0)</f>
        <v>0</v>
      </c>
      <c r="BM1763">
        <f>MAX($F$23,$BD$1702)/$Q$1716</f>
        <v>0</v>
      </c>
      <c r="BN1763">
        <f t="shared" si="1090"/>
        <v>0</v>
      </c>
      <c r="BO1763" cm="1">
        <f t="array" ref="BO1763">IFERROR(INDEX(sheath_ecap_asd,MATCH(BS1763,sheath_mark,0),0)*BN1763,0)</f>
        <v>0</v>
      </c>
      <c r="BP1763" cm="1">
        <f t="array" ref="BP1763">IFERROR(INDEX(sheath_wcap_asd,MATCH(BS1763,sheath_mark,0),0)*BN1763,0)</f>
        <v>0</v>
      </c>
      <c r="BQ1763" cm="1">
        <f t="array" ref="BQ1763">IFERROR(INDEX(hd_cap,MATCH(BT1763,hd_mark,0),0),0)</f>
        <v>0</v>
      </c>
      <c r="BS1763" s="19"/>
      <c r="BT1763" s="19"/>
      <c r="BU1763" s="100"/>
    </row>
    <row r="1764" x14ac:dyDescent="0.25">
      <c r="P1764" s="93"/>
      <c r="Q1764" s="111">
        <f>$R$1702</f>
        <v>0</v>
      </c>
      <c r="R1764" t="str">
        <f>$Q$1688</f>
        <v>L5</v>
      </c>
      <c r="S1764">
        <f>$E$24</f>
        <v>0</v>
      </c>
      <c r="T1764" cm="1">
        <f t="array" ref="T1764">IFERROR(IF(S1764=0,0,(INDEX($C$33:$C$38,MATCH($W$1702,$B$33:$B$38,0),0)*(S1765+$X$1702)+$T$1702*COUNTIF(S1764:S1764,"&gt;0")*$C$32+$V$1702*$C$31)*$R$1702),0)</f>
        <v>0</v>
      </c>
      <c r="U1764">
        <f>IF(S1764=0,0,-(COUNTIF(S1764:S1764,"&gt;0")*$T$1702*$C$32+$V$1702*$C$31)*$H$27*$R$1702)</f>
        <v>0</v>
      </c>
      <c r="V1764">
        <f>IF(S1764=0,0,$V$1702*$H$26*$R$1702)</f>
        <v>0</v>
      </c>
      <c r="W1764">
        <f>(0.6*T1764+0.7*U1764)*$R$1702/2</f>
        <v>0</v>
      </c>
      <c r="X1764">
        <f>T1764*$R$1702/2</f>
        <v>0</v>
      </c>
      <c r="Z1764">
        <f>IF(S1764=0,0,$AD$1702*$AP$1688)</f>
        <v>0</v>
      </c>
      <c r="AA1764">
        <f>IFERROR(Z1764/$R$1702,0)</f>
        <v>0</v>
      </c>
      <c r="AB1764">
        <f>Z1764*($F$24+IF($F$24=0,0,($C$14+$C$15+IF($C$13="single",1.5,3)+3)/12))</f>
        <v>0</v>
      </c>
      <c r="AC1764">
        <f>AB1764-W1764</f>
        <v>0</v>
      </c>
      <c r="AD1764" cm="1">
        <f t="array" ref="AD1764">IFERROR(IF(AC1764&lt;0,0,AC1764/($R$1702-INDEX(hd_off,MATCH(AQ1764,hd_mark,0),0)/12)),0)</f>
        <v>0</v>
      </c>
      <c r="AE1764">
        <f>IF(S1764=0,0,$AD$1702*$AM$1688)</f>
        <v>0</v>
      </c>
      <c r="AF1764">
        <f>IFERROR(AE1764/$R$1702,0)</f>
        <v>0</v>
      </c>
      <c r="AG1764">
        <f>AE1764*($F$24+IF($F$24=0,0,($C$14+$C$15+IF($C$13="single",1.5,3)+3)/12))</f>
        <v>0</v>
      </c>
      <c r="AH1764">
        <f>AG1764-X1764</f>
        <v>0</v>
      </c>
      <c r="AI1764" cm="1">
        <f t="array" ref="AI1764">IFERROR(IF(AH1764&lt;0,0,AH1764/($R$1702-INDEX(hd_off,MATCH(AQ1764,hd_mark,0),0)/12)),0)</f>
        <v>0</v>
      </c>
      <c r="AJ1764">
        <f>MAX($F$24,$AB$1702)/$Q$1716</f>
        <v>0</v>
      </c>
      <c r="AK1764">
        <f t="shared" si="1089"/>
        <v>0</v>
      </c>
      <c r="AL1764" cm="1">
        <f t="array" ref="AL1764">IFERROR(INDEX(sheath_ecap_asd,MATCH(AP1764,sheath_mark,0),0)*AK1764,0)</f>
        <v>0</v>
      </c>
      <c r="AM1764" cm="1">
        <f t="array" ref="AM1764">IFERROR(INDEX(sheath_wcap_asd,MATCH(AP1764,sheath_mark,0),0)*AK1764,0)</f>
        <v>0</v>
      </c>
      <c r="AN1764" cm="1">
        <f t="array" ref="AN1764">IFERROR(INDEX(hd_cap,MATCH(AQ1764,hd_mark,0),0),0)</f>
        <v>0</v>
      </c>
      <c r="AP1764" s="19"/>
      <c r="AQ1764" s="19"/>
      <c r="AR1764" s="100"/>
      <c r="AS1764" s="93"/>
      <c r="AT1764" s="111">
        <f>$R$1702</f>
        <v>0</v>
      </c>
      <c r="AU1764" t="str">
        <f>$Q$1688</f>
        <v>L5</v>
      </c>
      <c r="AV1764">
        <f>$E$24</f>
        <v>0</v>
      </c>
      <c r="AW1764" cm="1">
        <f t="array" ref="AW1764">IFERROR(IF(AV1764=0,0,(INDEX($C$33:$C$38,MATCH($AZ$1702,$B$33:$B$38,0),0)*(AV1765+$BA$1702)+$AW$1702*COUNTIF(AV1764:AV1764,"&gt;0")*$C$32+$AY$1702*$C$31)*$AU$1702),0)</f>
        <v>0</v>
      </c>
      <c r="AX1764">
        <f>IF(AV1764=0,0,-(COUNTIF(AV1764:AV1764,"&gt;0")*$AW$1702*$C$32+$AY$1702*$C$31)*$H$27*$AU$1702)</f>
        <v>0</v>
      </c>
      <c r="AY1764">
        <f>IF(AV1764=0,0,$AY$1702*$H$26*$AU$1702)</f>
        <v>0</v>
      </c>
      <c r="AZ1764">
        <f>(0.6*AW1764+0.7*AX1764)*$AU$1702/2</f>
        <v>0</v>
      </c>
      <c r="BA1764">
        <f>AW1764*$AU$1702/2</f>
        <v>0</v>
      </c>
      <c r="BC1764">
        <f>IF(AV1764=0,0,$BG$1702*$AP$1688)</f>
        <v>0</v>
      </c>
      <c r="BD1764">
        <f>IFERROR(BC1764/$AU$1702,0)</f>
        <v>0</v>
      </c>
      <c r="BE1764">
        <f>BC1764*($F$24+IF($F$24=0,0,($C$14+$C$15+IF($C$13="single",1.5,3)+3)/12))</f>
        <v>0</v>
      </c>
      <c r="BF1764">
        <f>BE1764-AZ1764</f>
        <v>0</v>
      </c>
      <c r="BG1764" cm="1">
        <f t="array" ref="BG1764">IFERROR(IF(BF1764&lt;0,0,BF1764/($AU$1702-INDEX(hd_off,MATCH(BT1764,hd_mark,0),0)/12)),0)</f>
        <v>0</v>
      </c>
      <c r="BH1764">
        <f>IF(AV1764=0,0,$BG$1702*$AM$1688)</f>
        <v>0</v>
      </c>
      <c r="BI1764">
        <f>IFERROR(BH1764/$AU$1702,0)</f>
        <v>0</v>
      </c>
      <c r="BJ1764">
        <f>BH1764*($F$24+IF($F$24=0,0,($C$14+$C$15+IF($C$13="single",1.5,3)+3)/12))</f>
        <v>0</v>
      </c>
      <c r="BK1764">
        <f>BJ1764-BA1764</f>
        <v>0</v>
      </c>
      <c r="BL1764" cm="1">
        <f t="array" ref="BL1764">IFERROR(IF(BK1764&lt;0,0,BK1764/($AU$1702-INDEX(hd_off,MATCH(BT1764,hd_mark,0),0)/12)),0)</f>
        <v>0</v>
      </c>
      <c r="BM1764">
        <f>MAX($F$24,$BE$1702)/$Q$1716</f>
        <v>0</v>
      </c>
      <c r="BN1764">
        <f t="shared" si="1090"/>
        <v>0</v>
      </c>
      <c r="BO1764" cm="1">
        <f t="array" ref="BO1764">IFERROR(INDEX(sheath_ecap_asd,MATCH(BS1764,sheath_mark,0),0)*BN1764,0)</f>
        <v>0</v>
      </c>
      <c r="BP1764" cm="1">
        <f t="array" ref="BP1764">IFERROR(INDEX(sheath_wcap_asd,MATCH(BS1764,sheath_mark,0),0)*BN1764,0)</f>
        <v>0</v>
      </c>
      <c r="BQ1764" cm="1">
        <f t="array" ref="BQ1764">IFERROR(INDEX(hd_cap,MATCH(BT1764,hd_mark,0),0),0)</f>
        <v>0</v>
      </c>
      <c r="BS1764" s="19"/>
      <c r="BT1764" s="19"/>
      <c r="BU1764" s="100"/>
    </row>
    <row r="1765" x14ac:dyDescent="0.25">
      <c r="P1765" s="93"/>
      <c r="Q1765" s="109"/>
      <c r="R1765" t="str">
        <f>$Q$1689</f>
        <v>Roof</v>
      </c>
      <c r="S1765">
        <f>$E$25</f>
        <v>33.171875</v>
      </c>
      <c r="T1765" cm="1">
        <f t="array" ref="T1765">IFERROR(IF(S1765=0,0,(INDEX($C$33:$C$38,MATCH($W$1702,$B$33:$B$38,0),0)*(S1765+$X$1702)+$V$1702*$C$31)*$R$1702),0)</f>
        <v>0</v>
      </c>
      <c r="U1765">
        <f>IF(S1765=0,0,-$V$1702*$C$31*$H$27*$R$1702)</f>
        <v>0</v>
      </c>
      <c r="V1765">
        <f>IF(S1765=0,0,$V$1702*$H$26*$R$1702)</f>
        <v>0</v>
      </c>
      <c r="W1765">
        <f>(0.6*T1765+0.7*U1765)*$R$1702/2</f>
        <v>0</v>
      </c>
      <c r="X1765">
        <f>T1765*$R$1702/2</f>
        <v>0</v>
      </c>
      <c r="Z1765">
        <f>IF(S1765=0,0,$AD$1702*$AP$1689)</f>
        <v>0</v>
      </c>
      <c r="AA1765">
        <f>IFERROR(Z1765/$R$1702,0)</f>
        <v>0</v>
      </c>
      <c r="AB1765">
        <f>Z1765*($F$25+($C$16+$C$17+IF($C$13="single",1.5,3)+3)/12)</f>
        <v>0</v>
      </c>
      <c r="AC1765">
        <f>AB1765-W1765</f>
        <v>0</v>
      </c>
      <c r="AD1765" cm="1">
        <f t="array" ref="AD1765">IFERROR(IF(AC1765&lt;0,0,AC1765/($R$1702-INDEX(hd_off,MATCH(AQ1765,hd_mark,0),0)/12)),0)</f>
        <v>0</v>
      </c>
      <c r="AE1765">
        <f>IF(S1765=0,0,$AD$1702*$AM$1689)</f>
        <v>0</v>
      </c>
      <c r="AF1765">
        <f>IFERROR(AE1765/$R$1702,0)</f>
        <v>0</v>
      </c>
      <c r="AG1765">
        <f>AE1765*($F$25+($C$16+$C$17+IF($C$13="single",1.5,3)+3)/12)</f>
        <v>0</v>
      </c>
      <c r="AH1765">
        <f>AG1765-X1765</f>
        <v>0</v>
      </c>
      <c r="AI1765" cm="1">
        <f t="array" ref="AI1765">IFERROR(IF(AH1765&lt;0,0,AH1765/($R$1702-INDEX(hd_off,MATCH(AQ1765,hd_mark,0),0)/12)),0)</f>
        <v>0</v>
      </c>
      <c r="AJ1765">
        <f>MAX($F$25,$AC$1702)/$Q$1716</f>
        <v>0.29920977011494249</v>
      </c>
      <c r="AK1765">
        <f t="shared" si="1089"/>
        <v>1</v>
      </c>
      <c r="AL1765" cm="1">
        <f t="array" ref="AL1765">IFERROR(INDEX(sheath_ecap_asd,MATCH(AP1765,sheath_mark,0),0)*AK1765,0)</f>
        <v>0</v>
      </c>
      <c r="AM1765" cm="1">
        <f t="array" ref="AM1765">IFERROR(INDEX(sheath_wcap_asd,MATCH(AP1765,sheath_mark,0),0)*AK1765,0)</f>
        <v>0</v>
      </c>
      <c r="AN1765" cm="1">
        <f t="array" ref="AN1765">IFERROR(INDEX(hd_cap,MATCH(AQ1765,hd_mark,0),0),0)</f>
        <v>0</v>
      </c>
      <c r="AP1765" s="19"/>
      <c r="AQ1765" s="19"/>
      <c r="AR1765" s="100"/>
      <c r="AS1765" s="93"/>
      <c r="AT1765" s="109"/>
      <c r="AU1765" t="str">
        <f>$Q$1689</f>
        <v>Roof</v>
      </c>
      <c r="AV1765">
        <f>$E$25</f>
        <v>33.171875</v>
      </c>
      <c r="AW1765" cm="1">
        <f t="array" ref="AW1765">IFERROR(IF(AV1765=0,0,(INDEX($C$33:$C$38,MATCH($AZ$1702,$B$33:$B$38,0),0)*(AV1765+$BA$1702)+$AY$1702*$C$31)*$AU$1702),0)</f>
        <v>0</v>
      </c>
      <c r="AX1765">
        <f>IF(AV1765=0,0,-$AY$1702*$C$31*$H$27*$AU$1702)</f>
        <v>0</v>
      </c>
      <c r="AY1765">
        <f>IF(AV1765=0,0,$AY$1702*$H$26*$AU$1702)</f>
        <v>0</v>
      </c>
      <c r="AZ1765">
        <f>(0.6*AW1765+0.7*AX1765)*$AU$1702/2</f>
        <v>0</v>
      </c>
      <c r="BA1765">
        <f>AW1765*$AU$1702/2</f>
        <v>0</v>
      </c>
      <c r="BC1765">
        <f>IF(AV1765=0,0,$BG$1702*$AP$1689)</f>
        <v>0</v>
      </c>
      <c r="BD1765">
        <f>IFERROR(BC1765/$AU$1702,0)</f>
        <v>0</v>
      </c>
      <c r="BE1765">
        <f>BC1765*($F$25+($C$16+$C$17+IF($C$13="single",1.5,3)+3)/12)</f>
        <v>0</v>
      </c>
      <c r="BF1765">
        <f>BE1765-AZ1765</f>
        <v>0</v>
      </c>
      <c r="BG1765" cm="1">
        <f t="array" ref="BG1765">IFERROR(IF(BF1765&lt;0,0,BF1765/($AU$1702-INDEX(hd_off,MATCH(BT1765,hd_mark,0),0)/12)),0)</f>
        <v>0</v>
      </c>
      <c r="BH1765">
        <f>IF(AV1765=0,0,$BG$1702*$AM$1689)</f>
        <v>0</v>
      </c>
      <c r="BI1765">
        <f>IFERROR(BH1765/$AU$1702,0)</f>
        <v>0</v>
      </c>
      <c r="BJ1765">
        <f>BH1765*($F$25+($C$16+$C$17+IF($C$13="single",1.5,3)+3)/12)</f>
        <v>0</v>
      </c>
      <c r="BK1765">
        <f>BJ1765-BA1765</f>
        <v>0</v>
      </c>
      <c r="BL1765" cm="1">
        <f t="array" ref="BL1765">IFERROR(IF(BK1765&lt;0,0,BK1765/($AU$1702-INDEX(hd_off,MATCH(BT1765,hd_mark,0),0)/12)),0)</f>
        <v>0</v>
      </c>
      <c r="BM1765">
        <f>MAX($F$25,$BF$1702)/$Q$1716</f>
        <v>0.29920977011494249</v>
      </c>
      <c r="BN1765">
        <f t="shared" si="1090"/>
        <v>1</v>
      </c>
      <c r="BO1765" cm="1">
        <f t="array" ref="BO1765">IFERROR(INDEX(sheath_ecap_asd,MATCH(BS1765,sheath_mark,0),0)*BN1765,0)</f>
        <v>0</v>
      </c>
      <c r="BP1765" cm="1">
        <f t="array" ref="BP1765">IFERROR(INDEX(sheath_wcap_asd,MATCH(BS1765,sheath_mark,0),0)*BN1765,0)</f>
        <v>0</v>
      </c>
      <c r="BQ1765" cm="1">
        <f t="array" ref="BQ1765">IFERROR(INDEX(hd_cap,MATCH(BT1765,hd_mark,0),0),0)</f>
        <v>0</v>
      </c>
      <c r="BS1765" s="19"/>
      <c r="BT1765" s="19"/>
      <c r="BU1765" s="100"/>
    </row>
    <row r="1766" x14ac:dyDescent="0.25">
      <c r="P1766" s="93"/>
      <c r="AR1766" s="100"/>
      <c r="AS1766" s="93"/>
      <c r="BU1766" s="100"/>
    </row>
    <row r="1767" x14ac:dyDescent="0.25">
      <c r="P1767" s="93"/>
      <c r="Q1767" s="110" t="str">
        <f>$Q$1703</f>
        <v>A.10</v>
      </c>
      <c r="R1767" t="str">
        <f>$Q$1685</f>
        <v>L2</v>
      </c>
      <c r="S1767">
        <f>$E$21</f>
        <v>10.6875</v>
      </c>
      <c r="T1767" cm="1">
        <f t="array" ref="T1767">IFERROR(IF(S1767=0,0,(INDEX($C$33:$C$38,MATCH($W$1703,$B$33:$B$38,0),0)*(S1771+$X$1703)+$T$1703*COUNTIF(S1767:S1770,"&gt;0")*$C$32+$V$1703*$C$31)*$R$1703),0)</f>
        <v>0</v>
      </c>
      <c r="U1767">
        <f>IF(S1767=0,0,-(COUNTIF(S1767:S1770,"&gt;0")*$T$1703*$C$32+$V$1703*$C$31)*$H$27*$R$1703)</f>
        <v>0</v>
      </c>
      <c r="V1767">
        <f>IF(S1767=0,0,$V$1703*$H$26*$R$1703)</f>
        <v>0</v>
      </c>
      <c r="W1767">
        <f>(0.6*T1767+0.7*U1767)*$R$1703/2</f>
        <v>0</v>
      </c>
      <c r="X1767">
        <f>(0.6*T1767+0.6*V1767)*$R$1703/2</f>
        <v>0</v>
      </c>
      <c r="Z1767">
        <f>IF(S1767=0,0,$AD$1703*$AP$1685)</f>
        <v>0</v>
      </c>
      <c r="AA1767">
        <f>IFERROR(Z1767/$R$1703,0)</f>
        <v>0</v>
      </c>
      <c r="AB1767">
        <f>Z1767*($F$21+IF($F$21=0,0,($C$14+$C$15+IF($C$13="single",1.5,3)+3)/12))</f>
        <v>0</v>
      </c>
      <c r="AC1767">
        <f>AB1767-W1767</f>
        <v>0</v>
      </c>
      <c r="AD1767" cm="1">
        <f t="array" ref="AD1767">IFERROR(IF(AC1767&lt;0,0,AC1767/($R$1703-INDEX(hd_off,MATCH(AQ1767,hd_mark,0),0)/12)),0)</f>
        <v>0</v>
      </c>
      <c r="AE1767">
        <f>IF(S1767=0,0,$AD$1703*$AM$1685)</f>
        <v>0</v>
      </c>
      <c r="AF1767">
        <f>IFERROR(AE1767/$R$1703,0)</f>
        <v>0</v>
      </c>
      <c r="AG1767">
        <f>AE1767*($F$21+IF($F$21=0,0,($C$14+$C$15+IF($C$13="single",1.5,3)+3)/12))</f>
        <v>0</v>
      </c>
      <c r="AH1767">
        <f>AG1767-X1767</f>
        <v>0</v>
      </c>
      <c r="AI1767" cm="1">
        <f t="array" ref="AI1767">IFERROR(IF(AH1767&lt;0,0,AH1767/($R$1703-INDEX(hd_off,MATCH(AQ1767,hd_mark,0),0)/12)),0)</f>
        <v>0</v>
      </c>
      <c r="AJ1767">
        <f>MAX($F$21,$Y$1703)/$Q$1716</f>
        <v>0.30172413793103448</v>
      </c>
      <c r="AK1767">
        <f>IF(AJ1767=0,0,IF(AJ1767&gt;2,1.25-0.125*AJ1767,1))</f>
        <v>1</v>
      </c>
      <c r="AL1767" cm="1">
        <f t="array" ref="AL1767">IFERROR(INDEX(sheath_ecap_asd,MATCH(AP1767,sheath_mark,0),0)*AK1767,0)</f>
        <v>0</v>
      </c>
      <c r="AM1767" cm="1">
        <f t="array" ref="AM1767">IFERROR(INDEX(sheath_wcap_asd,MATCH(AP1767,sheath_mark,0),0)*AK1767,0)</f>
        <v>0</v>
      </c>
      <c r="AN1767" cm="1">
        <f t="array" ref="AN1767">IFERROR(INDEX(hd_cap,MATCH(AQ1767,hd_mark,0),0),0)</f>
        <v>0</v>
      </c>
      <c r="AP1767" s="19"/>
      <c r="AQ1767" s="19"/>
      <c r="AR1767" s="100"/>
      <c r="AS1767" s="93"/>
      <c r="AT1767" s="110" t="str">
        <f>$AT$1703</f>
        <v>1.10</v>
      </c>
      <c r="AU1767" t="str">
        <f>$Q$1685</f>
        <v>L2</v>
      </c>
      <c r="AV1767">
        <f>$E$21</f>
        <v>10.6875</v>
      </c>
      <c r="AW1767" cm="1">
        <f t="array" ref="AW1767">IFERROR(IF(AV1767=0,0,(INDEX($C$33:$C$38,MATCH($AZ$1703,$B$33:$B$38,0),0)*(AV1771+$BA$1703)+$AW$1703*COUNTIF(AV1767:AV1770,"&gt;0")*$C$32+$AY$1703*$C$31)*$AU$1703),0)</f>
        <v>0</v>
      </c>
      <c r="AX1767">
        <f>IF(AV1767=0,0,-(COUNTIF(AV1767:AV1770,"&gt;0")*$AW$1703*$C$32+$AY$1703*$C$31)*$H$27*$AU$1703)</f>
        <v>0</v>
      </c>
      <c r="AY1767">
        <f>IF(AV1767=0,0,$AY$1703*$H$26*$AU$1703)</f>
        <v>0</v>
      </c>
      <c r="AZ1767">
        <f>(0.6*AW1767+0.7*AX1767)*$AU$1703/2</f>
        <v>0</v>
      </c>
      <c r="BA1767">
        <f>(0.6*AW1767+0.6*AY1767)*$AU$1703/2</f>
        <v>0</v>
      </c>
      <c r="BC1767">
        <f>IF(AV1767=0,0,$BG$1703*$AP$1685)</f>
        <v>0</v>
      </c>
      <c r="BD1767">
        <f>IFERROR(BC1767/$AU$1703,0)</f>
        <v>0</v>
      </c>
      <c r="BE1767">
        <f>BC1767*($F$21+IF($F$21=0,0,($C$14+$C$15+IF($C$13="single",1.5,3)+3)/12))</f>
        <v>0</v>
      </c>
      <c r="BF1767">
        <f>BE1767-AZ1767</f>
        <v>0</v>
      </c>
      <c r="BG1767" cm="1">
        <f t="array" ref="BG1767">IFERROR(IF(BF1767&lt;0,0,BF1767/($AU$1703-INDEX(hd_off,MATCH(BT1767,hd_mark,0),0)/12)),0)</f>
        <v>0</v>
      </c>
      <c r="BH1767">
        <f>IF(AV1767=0,0,$BG$1703*$AM$1685)</f>
        <v>0</v>
      </c>
      <c r="BI1767">
        <f>IFERROR(BH1767/$AU$1703,0)</f>
        <v>0</v>
      </c>
      <c r="BJ1767">
        <f>BH1767*($F$21+IF($F$21=0,0,($C$14+$C$15+IF($C$13="single",1.5,3)+3)/12))</f>
        <v>0</v>
      </c>
      <c r="BK1767">
        <f>BJ1767-BA1767</f>
        <v>0</v>
      </c>
      <c r="BL1767" cm="1">
        <f t="array" ref="BL1767">IFERROR(IF(BK1767&lt;0,0,BK1767/($AU$1703-INDEX(hd_off,MATCH(BT1767,hd_mark,0),0)/12)),0)</f>
        <v>0</v>
      </c>
      <c r="BM1767">
        <f>MAX($F$21,$BB$1703)/$Q$1716</f>
        <v>0.30172413793103448</v>
      </c>
      <c r="BN1767">
        <f>IF(BM1767=0,0,IF(BM1767&gt;2,1.25-0.125*BM1767,1))</f>
        <v>1</v>
      </c>
      <c r="BO1767" cm="1">
        <f t="array" ref="BO1767">IFERROR(INDEX(sheath_ecap_asd,MATCH(BS1767,sheath_mark,0),0)*BN1767,0)</f>
        <v>0</v>
      </c>
      <c r="BP1767" cm="1">
        <f t="array" ref="BP1767">IFERROR(INDEX(sheath_wcap_asd,MATCH(BS1767,sheath_mark,0),0)*BN1767,0)</f>
        <v>0</v>
      </c>
      <c r="BQ1767" cm="1">
        <f t="array" ref="BQ1767">IFERROR(INDEX(hd_cap,MATCH(BT1767,hd_mark,0),0),0)</f>
        <v>0</v>
      </c>
      <c r="BS1767" s="19"/>
      <c r="BT1767" s="19"/>
      <c r="BU1767" s="100"/>
    </row>
    <row r="1768" x14ac:dyDescent="0.25">
      <c r="P1768" s="93"/>
      <c r="Q1768" s="109"/>
      <c r="R1768" t="str">
        <f>$Q$1686</f>
        <v>L3</v>
      </c>
      <c r="S1768">
        <f>$E$22</f>
        <v>21.375</v>
      </c>
      <c r="T1768" cm="1">
        <f t="array" ref="T1768">IFERROR(IF(S1768=0,0,(INDEX($C$33:$C$38,MATCH($W$1703,$B$33:$B$38,0),0)*(S1771+$X$1703)+$T$1703*COUNTIF(S1768:S1770,"&gt;0")*$C$32+$V$1703*$C$31)*$R$1703),0)</f>
        <v>0</v>
      </c>
      <c r="U1768">
        <f>IF(S1768=0,0,-(COUNTIF(S1768:S1770,"&gt;0")*$T$1703*$C$32+$V$1703*$C$31)*$H$27*$R$1703)</f>
        <v>0</v>
      </c>
      <c r="V1768">
        <f>IF(S1768=0,0,$V$1703*$H$26*$R$1703)</f>
        <v>0</v>
      </c>
      <c r="W1768">
        <f>(0.6*T1768+0.7*U1768)*$R$1703/2</f>
        <v>0</v>
      </c>
      <c r="X1768">
        <f>T1768*$R$1703/2</f>
        <v>0</v>
      </c>
      <c r="Z1768">
        <f>IF(S1768=0,0,$AD$1703*$AP$1686)</f>
        <v>0</v>
      </c>
      <c r="AA1768">
        <f>IFERROR(Z1768/$R$1703,0)</f>
        <v>0</v>
      </c>
      <c r="AB1768">
        <f>Z1768*($F$22+IF($F$22=0,0,($C$14+$C$15+IF($C$13="single",1.5,3)+3)/12))</f>
        <v>0</v>
      </c>
      <c r="AC1768">
        <f>AB1768-W1768</f>
        <v>0</v>
      </c>
      <c r="AD1768" cm="1">
        <f t="array" ref="AD1768">IFERROR(IF(AC1768&lt;0,0,AC1768/($R$1703-INDEX(hd_off,MATCH(AQ1768,hd_mark,0),0)/12)),0)</f>
        <v>0</v>
      </c>
      <c r="AE1768">
        <f>IF(S1768=0,0,$AD$1703*$AM$1686)</f>
        <v>0</v>
      </c>
      <c r="AF1768">
        <f>IFERROR(AE1768/$R$1703,0)</f>
        <v>0</v>
      </c>
      <c r="AG1768">
        <f>AE1768*($F$22+IF($F$22=0,0,($C$14+$C$15+IF($C$13="single",1.5,3)+3)/12))</f>
        <v>0</v>
      </c>
      <c r="AH1768">
        <f>AG1768-X1768</f>
        <v>0</v>
      </c>
      <c r="AI1768" cm="1">
        <f t="array" ref="AI1768">IFERROR(IF(AH1768&lt;0,0,AH1768/($R$1703-INDEX(hd_off,MATCH(AQ1768,hd_mark,0),0)/12)),0)</f>
        <v>0</v>
      </c>
      <c r="AJ1768">
        <f>MAX($F$22,$Z$1703)/$Q$1716</f>
        <v>0.30172413793103448</v>
      </c>
      <c r="AK1768">
        <f t="shared" ref="AK1768:AK1771" si="1091">IF(AJ1768=0,0,IF(AJ1768&gt;2,1.25-0.125*AJ1768,1))</f>
        <v>1</v>
      </c>
      <c r="AL1768" cm="1">
        <f t="array" ref="AL1768">IFERROR(INDEX(sheath_ecap_asd,MATCH(AP1768,sheath_mark,0),0)*AK1768,0)</f>
        <v>0</v>
      </c>
      <c r="AM1768" cm="1">
        <f t="array" ref="AM1768">IFERROR(INDEX(sheath_wcap_asd,MATCH(AP1768,sheath_mark,0),0)*AK1768,0)</f>
        <v>0</v>
      </c>
      <c r="AN1768" cm="1">
        <f t="array" ref="AN1768">IFERROR(INDEX(hd_cap,MATCH(AQ1768,hd_mark,0),0),0)</f>
        <v>0</v>
      </c>
      <c r="AP1768" s="19"/>
      <c r="AQ1768" s="19"/>
      <c r="AR1768" s="100"/>
      <c r="AS1768" s="93"/>
      <c r="AT1768" s="109"/>
      <c r="AU1768" t="str">
        <f>$Q$1686</f>
        <v>L3</v>
      </c>
      <c r="AV1768">
        <f>$E$22</f>
        <v>21.375</v>
      </c>
      <c r="AW1768" cm="1">
        <f t="array" ref="AW1768">IFERROR(IF(AV1768=0,0,(INDEX($C$33:$C$38,MATCH($AZ$1703,$B$33:$B$38,0),0)*(AV1771+$BA$1703)+$AW$1703*COUNTIF(AV1768:AV1770,"&gt;0")*$C$32+$AY$1703*$C$31)*$AU$1703),0)</f>
        <v>0</v>
      </c>
      <c r="AX1768">
        <f>IF(AV1768=0,0,-(COUNTIF(AV1768:AV1770,"&gt;0")*$AW$1703*$C$32+$AY$1703*$C$31)*$H$27*$AU$1703)</f>
        <v>0</v>
      </c>
      <c r="AY1768">
        <f>IF(AV1768=0,0,$AY$1703*$H$26*$AU$1703)</f>
        <v>0</v>
      </c>
      <c r="AZ1768">
        <f>(0.6*AW1768+0.7*AX1768)*$AU$1703/2</f>
        <v>0</v>
      </c>
      <c r="BA1768">
        <f>AW1768*$AU$1703/2</f>
        <v>0</v>
      </c>
      <c r="BC1768">
        <f>IF(AV1768=0,0,$BG$1703*$AP$1686)</f>
        <v>0</v>
      </c>
      <c r="BD1768">
        <f>IFERROR(BC1768/$AU$1703,0)</f>
        <v>0</v>
      </c>
      <c r="BE1768">
        <f>BC1768*($F$22+IF($F$22=0,0,($C$14+$C$15+IF($C$13="single",1.5,3)+3)/12))</f>
        <v>0</v>
      </c>
      <c r="BF1768">
        <f>BE1768-AZ1768</f>
        <v>0</v>
      </c>
      <c r="BG1768" cm="1">
        <f t="array" ref="BG1768">IFERROR(IF(BF1768&lt;0,0,BF1768/($AU$1703-INDEX(hd_off,MATCH(BT1768,hd_mark,0),0)/12)),0)</f>
        <v>0</v>
      </c>
      <c r="BH1768">
        <f>IF(AV1768=0,0,$BG$1703*$AM$1686)</f>
        <v>0</v>
      </c>
      <c r="BI1768">
        <f>IFERROR(BH1768/$AU$1703,0)</f>
        <v>0</v>
      </c>
      <c r="BJ1768">
        <f>BH1768*($F$22+IF($F$22=0,0,($C$14+$C$15+IF($C$13="single",1.5,3)+3)/12))</f>
        <v>0</v>
      </c>
      <c r="BK1768">
        <f>BJ1768-BA1768</f>
        <v>0</v>
      </c>
      <c r="BL1768" cm="1">
        <f t="array" ref="BL1768">IFERROR(IF(BK1768&lt;0,0,BK1768/($AU$1703-INDEX(hd_off,MATCH(BT1768,hd_mark,0),0)/12)),0)</f>
        <v>0</v>
      </c>
      <c r="BM1768">
        <f>MAX($F$22,$BC$1703)/$Q$1716</f>
        <v>0.30172413793103448</v>
      </c>
      <c r="BN1768">
        <f t="shared" ref="BN1768:BN1771" si="1092">IF(BM1768=0,0,IF(BM1768&gt;2,1.25-0.125*BM1768,1))</f>
        <v>1</v>
      </c>
      <c r="BO1768" cm="1">
        <f t="array" ref="BO1768">IFERROR(INDEX(sheath_ecap_asd,MATCH(BS1768,sheath_mark,0),0)*BN1768,0)</f>
        <v>0</v>
      </c>
      <c r="BP1768" cm="1">
        <f t="array" ref="BP1768">IFERROR(INDEX(sheath_wcap_asd,MATCH(BS1768,sheath_mark,0),0)*BN1768,0)</f>
        <v>0</v>
      </c>
      <c r="BQ1768" cm="1">
        <f t="array" ref="BQ1768">IFERROR(INDEX(hd_cap,MATCH(BT1768,hd_mark,0),0),0)</f>
        <v>0</v>
      </c>
      <c r="BS1768" s="19"/>
      <c r="BT1768" s="19"/>
      <c r="BU1768" s="100"/>
    </row>
    <row r="1769" x14ac:dyDescent="0.25">
      <c r="P1769" s="93"/>
      <c r="Q1769" s="109" t="s">
        <v>491</v>
      </c>
      <c r="R1769" t="str">
        <f>$Q$1687</f>
        <v>L4</v>
      </c>
      <c r="S1769">
        <f>$E$23</f>
        <v>0</v>
      </c>
      <c r="T1769" cm="1">
        <f t="array" ref="T1769">IFERROR(IF(S1769=0,0,(INDEX($C$33:$C$38,MATCH($W$1703,$B$33:$B$38,0),0)*(S1771+$X$1703)+$T$1703*COUNTIF(S1769:S1770,"&gt;0")*$C$32+$V$1703*$C$31)*$R$1703),0)</f>
        <v>0</v>
      </c>
      <c r="U1769">
        <f>IF(S1769=0,0,-(COUNTIF(S1769:S1770,"&gt;0")*$T$1703*$C$32+$V$1703*$C$31)*$H$27*$R$1703)</f>
        <v>0</v>
      </c>
      <c r="V1769">
        <f>IF(S1769=0,0,$V$1703*$H$26*$R$1703)</f>
        <v>0</v>
      </c>
      <c r="W1769">
        <f>(0.6*T1769+0.7*U1769)*$R$1703/2</f>
        <v>0</v>
      </c>
      <c r="X1769">
        <f>T1769*$R$1703/2</f>
        <v>0</v>
      </c>
      <c r="Z1769">
        <f>IF(S1769=0,0,$AD$1703*$AP$1687)</f>
        <v>0</v>
      </c>
      <c r="AA1769">
        <f>IFERROR(Z1769/$R$1703,0)</f>
        <v>0</v>
      </c>
      <c r="AB1769">
        <f>Z1769*($F$23+IF($F$23=0,0,($C$14+$C$15+IF($C$13="single",1.5,3)+3)/12))</f>
        <v>0</v>
      </c>
      <c r="AC1769">
        <f>AB1769-W1769</f>
        <v>0</v>
      </c>
      <c r="AD1769" cm="1">
        <f t="array" ref="AD1769">IFERROR(IF(AC1769&lt;0,0,AC1769/($R$1703-INDEX(hd_off,MATCH(AQ1769,hd_mark,0),0)/12)),0)</f>
        <v>0</v>
      </c>
      <c r="AE1769">
        <f>IF(S1769=0,0,$AD$1703*$AM$1687)</f>
        <v>0</v>
      </c>
      <c r="AF1769">
        <f>IFERROR(AE1769/$R$1703,0)</f>
        <v>0</v>
      </c>
      <c r="AG1769">
        <f>AE1769*($F$23+IF($F$23=0,0,($C$14+$C$15+IF($C$13="single",1.5,3)+3)/12))</f>
        <v>0</v>
      </c>
      <c r="AH1769">
        <f>AG1769-X1769</f>
        <v>0</v>
      </c>
      <c r="AI1769" cm="1">
        <f t="array" ref="AI1769">IFERROR(IF(AH1769&lt;0,0,AH1769/($R$1703-INDEX(hd_off,MATCH(AQ1769,hd_mark,0),0)/12)),0)</f>
        <v>0</v>
      </c>
      <c r="AJ1769">
        <f>MAX($F$23,$AA$1703)/$Q$1716</f>
        <v>0</v>
      </c>
      <c r="AK1769">
        <f t="shared" si="1091"/>
        <v>0</v>
      </c>
      <c r="AL1769" cm="1">
        <f t="array" ref="AL1769">IFERROR(INDEX(sheath_ecap_asd,MATCH(AP1769,sheath_mark,0),0)*AK1769,0)</f>
        <v>0</v>
      </c>
      <c r="AM1769" cm="1">
        <f t="array" ref="AM1769">IFERROR(INDEX(sheath_wcap_asd,MATCH(AP1769,sheath_mark,0),0)*AK1769,0)</f>
        <v>0</v>
      </c>
      <c r="AN1769" cm="1">
        <f t="array" ref="AN1769">IFERROR(INDEX(hd_cap,MATCH(AQ1769,hd_mark,0),0),0)</f>
        <v>0</v>
      </c>
      <c r="AP1769" s="19"/>
      <c r="AQ1769" s="19"/>
      <c r="AR1769" s="100"/>
      <c r="AS1769" s="93"/>
      <c r="AT1769" s="109" t="s">
        <v>491</v>
      </c>
      <c r="AU1769" t="str">
        <f>$Q$1687</f>
        <v>L4</v>
      </c>
      <c r="AV1769">
        <f>$E$23</f>
        <v>0</v>
      </c>
      <c r="AW1769" cm="1">
        <f t="array" ref="AW1769">IFERROR(IF(AV1769=0,0,(INDEX($C$33:$C$38,MATCH($AZ$1703,$B$33:$B$38,0),0)*(AV1771+$BA$1703)+$AW$1703*COUNTIF(AV1769:AV1770,"&gt;0")*$C$32+$AY$1703*$C$31)*$AU$1703),0)</f>
        <v>0</v>
      </c>
      <c r="AX1769">
        <f>IF(AV1769=0,0,-(COUNTIF(AV1769:AV1770,"&gt;0")*$AW$1703*$C$32+$AY$1703*$C$31)*$H$27*$AU$1703)</f>
        <v>0</v>
      </c>
      <c r="AY1769">
        <f>IF(AV1769=0,0,$AY$1703*$H$26*$AU$1703)</f>
        <v>0</v>
      </c>
      <c r="AZ1769">
        <f>(0.6*AW1769+0.7*AX1769)*$AU$1703/2</f>
        <v>0</v>
      </c>
      <c r="BA1769">
        <f>AW1769*$AU$1703/2</f>
        <v>0</v>
      </c>
      <c r="BC1769">
        <f>IF(AV1769=0,0,$BG$1703*$AP$1687)</f>
        <v>0</v>
      </c>
      <c r="BD1769">
        <f>IFERROR(BC1769/$AU$1703,0)</f>
        <v>0</v>
      </c>
      <c r="BE1769">
        <f>BC1769*($F$23+IF($F$23=0,0,($C$14+$C$15+IF($C$13="single",1.5,3)+3)/12))</f>
        <v>0</v>
      </c>
      <c r="BF1769">
        <f>BE1769-AZ1769</f>
        <v>0</v>
      </c>
      <c r="BG1769" cm="1">
        <f t="array" ref="BG1769">IFERROR(IF(BF1769&lt;0,0,BF1769/($AU$1703-INDEX(hd_off,MATCH(BT1769,hd_mark,0),0)/12)),0)</f>
        <v>0</v>
      </c>
      <c r="BH1769">
        <f>IF(AV1769=0,0,$BG$1703*$AM$1687)</f>
        <v>0</v>
      </c>
      <c r="BI1769">
        <f>IFERROR(BH1769/$AU$1703,0)</f>
        <v>0</v>
      </c>
      <c r="BJ1769">
        <f>BH1769*($F$23+IF($F$23=0,0,($C$14+$C$15+IF($C$13="single",1.5,3)+3)/12))</f>
        <v>0</v>
      </c>
      <c r="BK1769">
        <f>BJ1769-BA1769</f>
        <v>0</v>
      </c>
      <c r="BL1769" cm="1">
        <f t="array" ref="BL1769">IFERROR(IF(BK1769&lt;0,0,BK1769/($AU$1703-INDEX(hd_off,MATCH(BT1769,hd_mark,0),0)/12)),0)</f>
        <v>0</v>
      </c>
      <c r="BM1769">
        <f>MAX($F$23,$BD$1703)/$Q$1716</f>
        <v>0</v>
      </c>
      <c r="BN1769">
        <f t="shared" si="1092"/>
        <v>0</v>
      </c>
      <c r="BO1769" cm="1">
        <f t="array" ref="BO1769">IFERROR(INDEX(sheath_ecap_asd,MATCH(BS1769,sheath_mark,0),0)*BN1769,0)</f>
        <v>0</v>
      </c>
      <c r="BP1769" cm="1">
        <f t="array" ref="BP1769">IFERROR(INDEX(sheath_wcap_asd,MATCH(BS1769,sheath_mark,0),0)*BN1769,0)</f>
        <v>0</v>
      </c>
      <c r="BQ1769" cm="1">
        <f t="array" ref="BQ1769">IFERROR(INDEX(hd_cap,MATCH(BT1769,hd_mark,0),0),0)</f>
        <v>0</v>
      </c>
      <c r="BS1769" s="19"/>
      <c r="BT1769" s="19"/>
      <c r="BU1769" s="100"/>
    </row>
    <row r="1770" x14ac:dyDescent="0.25">
      <c r="P1770" s="93"/>
      <c r="Q1770" s="111">
        <f>$R$1703</f>
        <v>0</v>
      </c>
      <c r="R1770" t="str">
        <f>$Q$1688</f>
        <v>L5</v>
      </c>
      <c r="S1770">
        <f>$E$24</f>
        <v>0</v>
      </c>
      <c r="T1770" cm="1">
        <f t="array" ref="T1770">IFERROR(IF(S1770=0,0,(INDEX($C$33:$C$38,MATCH($W$1703,$B$33:$B$38,0),0)*(S1771+$X$1703)+$T$1703*COUNTIF(S1770:S1770,"&gt;0")*$C$32+$V$1703*$C$31)*$R$1703),0)</f>
        <v>0</v>
      </c>
      <c r="U1770">
        <f>IF(S1770=0,0,-(COUNTIF(S1770:S1770,"&gt;0")*$T$1703*$C$32+$V$1703*$C$31)*$H$27*$R$1703)</f>
        <v>0</v>
      </c>
      <c r="V1770">
        <f>IF(S1770=0,0,$V$1703*$H$26*$R$1703)</f>
        <v>0</v>
      </c>
      <c r="W1770">
        <f>(0.6*T1770+0.7*U1770)*$R$1703/2</f>
        <v>0</v>
      </c>
      <c r="X1770">
        <f>T1770*$R$1703/2</f>
        <v>0</v>
      </c>
      <c r="Z1770">
        <f>IF(S1770=0,0,$AD$1703*$AP$1688)</f>
        <v>0</v>
      </c>
      <c r="AA1770">
        <f>IFERROR(Z1770/$R$1703,0)</f>
        <v>0</v>
      </c>
      <c r="AB1770">
        <f>Z1770*($F$24+IF($F$24=0,0,($C$14+$C$15+IF($C$13="single",1.5,3)+3)/12))</f>
        <v>0</v>
      </c>
      <c r="AC1770">
        <f>AB1770-W1770</f>
        <v>0</v>
      </c>
      <c r="AD1770" cm="1">
        <f t="array" ref="AD1770">IFERROR(IF(AC1770&lt;0,0,AC1770/($R$1703-INDEX(hd_off,MATCH(AQ1770,hd_mark,0),0)/12)),0)</f>
        <v>0</v>
      </c>
      <c r="AE1770">
        <f>IF(S1770=0,0,$AD$1703*$AM$1688)</f>
        <v>0</v>
      </c>
      <c r="AF1770">
        <f>IFERROR(AE1770/$R$1703,0)</f>
        <v>0</v>
      </c>
      <c r="AG1770">
        <f>AE1770*($F$24+IF($F$24=0,0,($C$14+$C$15+IF($C$13="single",1.5,3)+3)/12))</f>
        <v>0</v>
      </c>
      <c r="AH1770">
        <f>AG1770-X1770</f>
        <v>0</v>
      </c>
      <c r="AI1770" cm="1">
        <f t="array" ref="AI1770">IFERROR(IF(AH1770&lt;0,0,AH1770/($R$1703-INDEX(hd_off,MATCH(AQ1770,hd_mark,0),0)/12)),0)</f>
        <v>0</v>
      </c>
      <c r="AJ1770">
        <f>MAX($F$24,$AB$1703)/$Q$1716</f>
        <v>0</v>
      </c>
      <c r="AK1770">
        <f t="shared" si="1091"/>
        <v>0</v>
      </c>
      <c r="AL1770" cm="1">
        <f t="array" ref="AL1770">IFERROR(INDEX(sheath_ecap_asd,MATCH(AP1770,sheath_mark,0),0)*AK1770,0)</f>
        <v>0</v>
      </c>
      <c r="AM1770" cm="1">
        <f t="array" ref="AM1770">IFERROR(INDEX(sheath_wcap_asd,MATCH(AP1770,sheath_mark,0),0)*AK1770,0)</f>
        <v>0</v>
      </c>
      <c r="AN1770" cm="1">
        <f t="array" ref="AN1770">IFERROR(INDEX(hd_cap,MATCH(AQ1770,hd_mark,0),0),0)</f>
        <v>0</v>
      </c>
      <c r="AP1770" s="19"/>
      <c r="AQ1770" s="19"/>
      <c r="AR1770" s="100"/>
      <c r="AS1770" s="93"/>
      <c r="AT1770" s="111">
        <f>$R$1703</f>
        <v>0</v>
      </c>
      <c r="AU1770" t="str">
        <f>$Q$1688</f>
        <v>L5</v>
      </c>
      <c r="AV1770">
        <f>$E$24</f>
        <v>0</v>
      </c>
      <c r="AW1770" cm="1">
        <f t="array" ref="AW1770">IFERROR(IF(AV1770=0,0,(INDEX($C$33:$C$38,MATCH($AZ$1703,$B$33:$B$38,0),0)*(AV1771+$BA$1703)+$AW$1703*COUNTIF(AV1770:AV1770,"&gt;0")*$C$32+$AY$1703*$C$31)*$AU$1703),0)</f>
        <v>0</v>
      </c>
      <c r="AX1770">
        <f>IF(AV1770=0,0,-(COUNTIF(AV1770:AV1770,"&gt;0")*$AW$1703*$C$32+$AY$1703*$C$31)*$H$27*$AU$1703)</f>
        <v>0</v>
      </c>
      <c r="AY1770">
        <f>IF(AV1770=0,0,$AY$1703*$H$26*$AU$1703)</f>
        <v>0</v>
      </c>
      <c r="AZ1770">
        <f>(0.6*AW1770+0.7*AX1770)*$AU$1703/2</f>
        <v>0</v>
      </c>
      <c r="BA1770">
        <f>AW1770*$AU$1703/2</f>
        <v>0</v>
      </c>
      <c r="BC1770">
        <f>IF(AV1770=0,0,$BG$1703*$AP$1688)</f>
        <v>0</v>
      </c>
      <c r="BD1770">
        <f>IFERROR(BC1770/$AU$1703,0)</f>
        <v>0</v>
      </c>
      <c r="BE1770">
        <f>BC1770*($F$24+IF($F$24=0,0,($C$14+$C$15+IF($C$13="single",1.5,3)+3)/12))</f>
        <v>0</v>
      </c>
      <c r="BF1770">
        <f>BE1770-AZ1770</f>
        <v>0</v>
      </c>
      <c r="BG1770" cm="1">
        <f t="array" ref="BG1770">IFERROR(IF(BF1770&lt;0,0,BF1770/($AU$1703-INDEX(hd_off,MATCH(BT1770,hd_mark,0),0)/12)),0)</f>
        <v>0</v>
      </c>
      <c r="BH1770">
        <f>IF(AV1770=0,0,$BG$1703*$AM$1688)</f>
        <v>0</v>
      </c>
      <c r="BI1770">
        <f>IFERROR(BH1770/$AU$1703,0)</f>
        <v>0</v>
      </c>
      <c r="BJ1770">
        <f>BH1770*($F$24+IF($F$24=0,0,($C$14+$C$15+IF($C$13="single",1.5,3)+3)/12))</f>
        <v>0</v>
      </c>
      <c r="BK1770">
        <f>BJ1770-BA1770</f>
        <v>0</v>
      </c>
      <c r="BL1770" cm="1">
        <f t="array" ref="BL1770">IFERROR(IF(BK1770&lt;0,0,BK1770/($AU$1703-INDEX(hd_off,MATCH(BT1770,hd_mark,0),0)/12)),0)</f>
        <v>0</v>
      </c>
      <c r="BM1770">
        <f>MAX($F$24,$BE$1703)/$Q$1716</f>
        <v>0</v>
      </c>
      <c r="BN1770">
        <f t="shared" si="1092"/>
        <v>0</v>
      </c>
      <c r="BO1770" cm="1">
        <f t="array" ref="BO1770">IFERROR(INDEX(sheath_ecap_asd,MATCH(BS1770,sheath_mark,0),0)*BN1770,0)</f>
        <v>0</v>
      </c>
      <c r="BP1770" cm="1">
        <f t="array" ref="BP1770">IFERROR(INDEX(sheath_wcap_asd,MATCH(BS1770,sheath_mark,0),0)*BN1770,0)</f>
        <v>0</v>
      </c>
      <c r="BQ1770" cm="1">
        <f t="array" ref="BQ1770">IFERROR(INDEX(hd_cap,MATCH(BT1770,hd_mark,0),0),0)</f>
        <v>0</v>
      </c>
      <c r="BS1770" s="19"/>
      <c r="BT1770" s="19"/>
      <c r="BU1770" s="100"/>
    </row>
    <row r="1771" x14ac:dyDescent="0.25">
      <c r="P1771" s="93"/>
      <c r="Q1771" s="109"/>
      <c r="R1771" t="str">
        <f>$Q$1689</f>
        <v>Roof</v>
      </c>
      <c r="S1771">
        <f>$E$25</f>
        <v>33.171875</v>
      </c>
      <c r="T1771" cm="1">
        <f t="array" ref="T1771">IFERROR(IF(S1771=0,0,(INDEX($C$33:$C$38,MATCH($W$1703,$B$33:$B$38,0),0)*(S1771+$X$1703)+$V$1703*$C$31)*$R$1703),0)</f>
        <v>0</v>
      </c>
      <c r="U1771">
        <f>IF(S1771=0,0,-$V$1703*$C$31*$H$27*$R$1703)</f>
        <v>0</v>
      </c>
      <c r="V1771">
        <f>IF(S1771=0,0,$V$1703*$H$26*$R$1703)</f>
        <v>0</v>
      </c>
      <c r="W1771">
        <f>(0.6*T1771+0.7*U1771)*$R$1703/2</f>
        <v>0</v>
      </c>
      <c r="X1771">
        <f>T1771*$R$1703/2</f>
        <v>0</v>
      </c>
      <c r="Z1771">
        <f>IF(S1771=0,0,$AD$1703*$AP$1689)</f>
        <v>0</v>
      </c>
      <c r="AA1771">
        <f>IFERROR(Z1771/$R$1703,0)</f>
        <v>0</v>
      </c>
      <c r="AB1771">
        <f>Z1771*($F$25+($C$16+$C$17+IF($C$13="single",1.5,3)+3)/12)</f>
        <v>0</v>
      </c>
      <c r="AC1771">
        <f>AB1771-W1771</f>
        <v>0</v>
      </c>
      <c r="AD1771" cm="1">
        <f t="array" ref="AD1771">IFERROR(IF(AC1771&lt;0,0,AC1771/($R$1703-INDEX(hd_off,MATCH(AQ1771,hd_mark,0),0)/12)),0)</f>
        <v>0</v>
      </c>
      <c r="AE1771">
        <f>IF(S1771=0,0,$AD$1703*$AM$1689)</f>
        <v>0</v>
      </c>
      <c r="AF1771">
        <f>IFERROR(AE1771/$R$1703,0)</f>
        <v>0</v>
      </c>
      <c r="AG1771">
        <f>AE1771*($F$25+($C$16+$C$17+IF($C$13="single",1.5,3)+3)/12)</f>
        <v>0</v>
      </c>
      <c r="AH1771">
        <f>AG1771-X1771</f>
        <v>0</v>
      </c>
      <c r="AI1771" cm="1">
        <f t="array" ref="AI1771">IFERROR(IF(AH1771&lt;0,0,AH1771/($R$1703-INDEX(hd_off,MATCH(AQ1771,hd_mark,0),0)/12)),0)</f>
        <v>0</v>
      </c>
      <c r="AJ1771">
        <f>MAX($F$25,$AC$1703)/$Q$1716</f>
        <v>0.29920977011494249</v>
      </c>
      <c r="AK1771">
        <f t="shared" si="1091"/>
        <v>1</v>
      </c>
      <c r="AL1771" cm="1">
        <f t="array" ref="AL1771">IFERROR(INDEX(sheath_ecap_asd,MATCH(AP1771,sheath_mark,0),0)*AK1771,0)</f>
        <v>0</v>
      </c>
      <c r="AM1771" cm="1">
        <f t="array" ref="AM1771">IFERROR(INDEX(sheath_wcap_asd,MATCH(AP1771,sheath_mark,0),0)*AK1771,0)</f>
        <v>0</v>
      </c>
      <c r="AN1771" cm="1">
        <f t="array" ref="AN1771">IFERROR(INDEX(hd_cap,MATCH(AQ1771,hd_mark,0),0),0)</f>
        <v>0</v>
      </c>
      <c r="AP1771" s="19"/>
      <c r="AQ1771" s="19"/>
      <c r="AR1771" s="100"/>
      <c r="AS1771" s="93"/>
      <c r="AT1771" s="109"/>
      <c r="AU1771" t="str">
        <f>$Q$1689</f>
        <v>Roof</v>
      </c>
      <c r="AV1771">
        <f>$E$25</f>
        <v>33.171875</v>
      </c>
      <c r="AW1771" cm="1">
        <f t="array" ref="AW1771">IFERROR(IF(AV1771=0,0,(INDEX($C$33:$C$38,MATCH($AZ$1703,$B$33:$B$38,0),0)*(AV1771+$BA$1703)+$AY$1703*$C$31)*$AU$1703),0)</f>
        <v>0</v>
      </c>
      <c r="AX1771">
        <f>IF(AV1771=0,0,-$AY$1703*$C$31*$H$27*$AU$1703)</f>
        <v>0</v>
      </c>
      <c r="AY1771">
        <f>IF(AV1771=0,0,$AY$1703*$H$26*$AU$1703)</f>
        <v>0</v>
      </c>
      <c r="AZ1771">
        <f>(0.6*AW1771+0.7*AX1771)*$AU$1703/2</f>
        <v>0</v>
      </c>
      <c r="BA1771">
        <f>AW1771*$AU$1703/2</f>
        <v>0</v>
      </c>
      <c r="BC1771">
        <f>IF(AV1771=0,0,$BG$1703*$AP$1689)</f>
        <v>0</v>
      </c>
      <c r="BD1771">
        <f>IFERROR(BC1771/$AU$1703,0)</f>
        <v>0</v>
      </c>
      <c r="BE1771">
        <f>BC1771*($F$25+($C$16+$C$17+IF($C$13="single",1.5,3)+3)/12)</f>
        <v>0</v>
      </c>
      <c r="BF1771">
        <f>BE1771-AZ1771</f>
        <v>0</v>
      </c>
      <c r="BG1771" cm="1">
        <f t="array" ref="BG1771">IFERROR(IF(BF1771&lt;0,0,BF1771/($AU$1703-INDEX(hd_off,MATCH(BT1771,hd_mark,0),0)/12)),0)</f>
        <v>0</v>
      </c>
      <c r="BH1771">
        <f>IF(AV1771=0,0,$BG$1703*$AM$1689)</f>
        <v>0</v>
      </c>
      <c r="BI1771">
        <f>IFERROR(BH1771/$AU$1703,0)</f>
        <v>0</v>
      </c>
      <c r="BJ1771">
        <f>BH1771*($F$25+($C$16+$C$17+IF($C$13="single",1.5,3)+3)/12)</f>
        <v>0</v>
      </c>
      <c r="BK1771">
        <f>BJ1771-BA1771</f>
        <v>0</v>
      </c>
      <c r="BL1771" cm="1">
        <f t="array" ref="BL1771">IFERROR(IF(BK1771&lt;0,0,BK1771/($AU$1703-INDEX(hd_off,MATCH(BT1771,hd_mark,0),0)/12)),0)</f>
        <v>0</v>
      </c>
      <c r="BM1771">
        <f>MAX($F$25,$BF$1703)/$Q$1716</f>
        <v>0.29920977011494249</v>
      </c>
      <c r="BN1771">
        <f t="shared" si="1092"/>
        <v>1</v>
      </c>
      <c r="BO1771" cm="1">
        <f t="array" ref="BO1771">IFERROR(INDEX(sheath_ecap_asd,MATCH(BS1771,sheath_mark,0),0)*BN1771,0)</f>
        <v>0</v>
      </c>
      <c r="BP1771" cm="1">
        <f t="array" ref="BP1771">IFERROR(INDEX(sheath_wcap_asd,MATCH(BS1771,sheath_mark,0),0)*BN1771,0)</f>
        <v>0</v>
      </c>
      <c r="BQ1771" cm="1">
        <f t="array" ref="BQ1771">IFERROR(INDEX(hd_cap,MATCH(BT1771,hd_mark,0),0),0)</f>
        <v>0</v>
      </c>
      <c r="BS1771" s="19"/>
      <c r="BT1771" s="19"/>
      <c r="BU1771" s="100"/>
    </row>
    <row r="1772" x14ac:dyDescent="0.25">
      <c r="P1772" s="93"/>
      <c r="AR1772" s="100"/>
      <c r="AS1772" s="93"/>
      <c r="BU1772" s="100"/>
    </row>
    <row r="1773" x14ac:dyDescent="0.25">
      <c r="P1773" s="93"/>
      <c r="Q1773" s="110" t="str">
        <f>$Q$1704</f>
        <v>A.11</v>
      </c>
      <c r="R1773" t="str">
        <f>$Q$1685</f>
        <v>L2</v>
      </c>
      <c r="S1773">
        <f>$E$21</f>
        <v>10.6875</v>
      </c>
      <c r="T1773" cm="1">
        <f t="array" ref="T1773">IFERROR(IF(S1773=0,0,(INDEX($C$33:$C$38,MATCH($W$1704,$B$33:$B$38,0),0)*(S1777+$X$1704)+$T$1704*COUNTIF(S1773:S1776,"&gt;0")*$C$32+$V$1704*$C$31)*$R$1704),0)</f>
        <v>0</v>
      </c>
      <c r="U1773">
        <f>IF(S1773=0,0,-(COUNTIF(S1773:S1776,"&gt;0")*$T$1704*$C$32+$V$1704*$C$31)*$H$27*$R$1704)</f>
        <v>0</v>
      </c>
      <c r="V1773">
        <f>IF(S1773=0,0,$V$1704*$H$26*$R$1704)</f>
        <v>0</v>
      </c>
      <c r="W1773">
        <f>(0.6*T1773+0.7*U1773)*$R$1704/2</f>
        <v>0</v>
      </c>
      <c r="X1773">
        <f>(0.6*T1773+0.6*V1773)*$R$1704/2</f>
        <v>0</v>
      </c>
      <c r="Z1773">
        <f>IF(S1773=0,0,$AD$1704*$AP$1685)</f>
        <v>0</v>
      </c>
      <c r="AA1773">
        <f>IFERROR(Z1773/$R$1704,0)</f>
        <v>0</v>
      </c>
      <c r="AB1773">
        <f>Z1773*($F$21+IF($F$21=0,0,($C$14+$C$15+IF($C$13="single",1.5,3)+3)/12))</f>
        <v>0</v>
      </c>
      <c r="AC1773">
        <f>AB1773-W1773</f>
        <v>0</v>
      </c>
      <c r="AD1773" cm="1">
        <f t="array" ref="AD1773">IFERROR(IF(AC1773&lt;0,0,AC1773/($R$1704-INDEX(hd_off,MATCH(AQ1773,hd_mark,0),0)/12)),0)</f>
        <v>0</v>
      </c>
      <c r="AE1773">
        <f>IF(S1773=0,0,$AD$1704*$AM$1685)</f>
        <v>0</v>
      </c>
      <c r="AF1773">
        <f>IFERROR(AE1773/$R$1704,0)</f>
        <v>0</v>
      </c>
      <c r="AG1773">
        <f>AE1773*($F$21+IF($F$21=0,0,($C$14+$C$15+IF($C$13="single",1.5,3)+3)/12))</f>
        <v>0</v>
      </c>
      <c r="AH1773">
        <f>AG1773-X1773</f>
        <v>0</v>
      </c>
      <c r="AI1773" cm="1">
        <f t="array" ref="AI1773">IFERROR(IF(AH1773&lt;0,0,AH1773/($R$1704-INDEX(hd_off,MATCH(AQ1773,hd_mark,0),0)/12)),0)</f>
        <v>0</v>
      </c>
      <c r="AJ1773">
        <f>MAX($F$21,$Y$1704)/$Q$1716</f>
        <v>0.30172413793103448</v>
      </c>
      <c r="AK1773">
        <f>IF(AJ1773=0,0,IF(AJ1773&gt;2,1.25-0.125*AJ1773,1))</f>
        <v>1</v>
      </c>
      <c r="AL1773" cm="1">
        <f t="array" ref="AL1773">IFERROR(INDEX(sheath_ecap_asd,MATCH(AP1773,sheath_mark,0),0)*AK1773,0)</f>
        <v>0</v>
      </c>
      <c r="AM1773" cm="1">
        <f t="array" ref="AM1773">IFERROR(INDEX(sheath_wcap_asd,MATCH(AP1773,sheath_mark,0),0)*AK1773,0)</f>
        <v>0</v>
      </c>
      <c r="AN1773" cm="1">
        <f t="array" ref="AN1773">IFERROR(INDEX(hd_cap,MATCH(AQ1773,hd_mark,0),0),0)</f>
        <v>0</v>
      </c>
      <c r="AP1773" s="19"/>
      <c r="AQ1773" s="19"/>
      <c r="AR1773" s="100"/>
      <c r="AS1773" s="93"/>
      <c r="AT1773" s="110" t="str">
        <f>$AT$1704</f>
        <v>1.11</v>
      </c>
      <c r="AU1773" t="str">
        <f>$Q$1685</f>
        <v>L2</v>
      </c>
      <c r="AV1773">
        <f>$E$21</f>
        <v>10.6875</v>
      </c>
      <c r="AW1773" cm="1">
        <f t="array" ref="AW1773">IFERROR(IF(AV1773=0,0,(INDEX($C$33:$C$38,MATCH($AZ$1704,$B$33:$B$38,0),0)*(AV1777+$BA$1704)+$AW$1704*COUNTIF(AV1773:AV1776,"&gt;0")*$C$32+$AY$1704*$C$31)*$AU$1704),0)</f>
        <v>0</v>
      </c>
      <c r="AX1773">
        <f>IF(AV1773=0,0,-(COUNTIF(AV1773:AV1776,"&gt;0")*$AW$1704*$C$32+$AY$1704*$C$31)*$H$27*$AU$1704)</f>
        <v>0</v>
      </c>
      <c r="AY1773">
        <f>IF(AV1773=0,0,$AY$1704*$H$26*$AU$1704)</f>
        <v>0</v>
      </c>
      <c r="AZ1773">
        <f>(0.6*AW1773+0.7*AX1773)*$AU$1704/2</f>
        <v>0</v>
      </c>
      <c r="BA1773">
        <f>(0.6*AW1773+0.6*AY1773)*$AU$1704/2</f>
        <v>0</v>
      </c>
      <c r="BC1773">
        <f>IF(AV1773=0,0,$BG$1704*$AP$1685)</f>
        <v>0</v>
      </c>
      <c r="BD1773">
        <f>IFERROR(BC1773/$AU$1704,0)</f>
        <v>0</v>
      </c>
      <c r="BE1773">
        <f>BC1773*($F$21+IF($F$21=0,0,($C$14+$C$15+IF($C$13="single",1.5,3)+3)/12))</f>
        <v>0</v>
      </c>
      <c r="BF1773">
        <f>BE1773-AZ1773</f>
        <v>0</v>
      </c>
      <c r="BG1773" cm="1">
        <f t="array" ref="BG1773">IFERROR(IF(BF1773&lt;0,0,BF1773/($AU$1704-INDEX(hd_off,MATCH(BT1773,hd_mark,0),0)/12)),0)</f>
        <v>0</v>
      </c>
      <c r="BH1773">
        <f>IF(AV1773=0,0,$BG$1704*$AM$1685)</f>
        <v>0</v>
      </c>
      <c r="BI1773">
        <f>IFERROR(BH1773/$AU$1704,0)</f>
        <v>0</v>
      </c>
      <c r="BJ1773">
        <f>BH1773*($F$21+IF($F$21=0,0,($C$14+$C$15+IF($C$13="single",1.5,3)+3)/12))</f>
        <v>0</v>
      </c>
      <c r="BK1773">
        <f>BJ1773-BA1773</f>
        <v>0</v>
      </c>
      <c r="BL1773" cm="1">
        <f t="array" ref="BL1773">IFERROR(IF(BK1773&lt;0,0,BK1773/($AU$1704-INDEX(hd_off,MATCH(BT1773,hd_mark,0),0)/12)),0)</f>
        <v>0</v>
      </c>
      <c r="BM1773">
        <f>MAX($F$21,$BB$1704)/$Q$1716</f>
        <v>0.30172413793103448</v>
      </c>
      <c r="BN1773">
        <f>IF(BM1773=0,0,IF(BM1773&gt;2,1.25-0.125*BM1773,1))</f>
        <v>1</v>
      </c>
      <c r="BO1773" cm="1">
        <f t="array" ref="BO1773">IFERROR(INDEX(sheath_ecap_asd,MATCH(BS1773,sheath_mark,0),0)*BN1773,0)</f>
        <v>0</v>
      </c>
      <c r="BP1773" cm="1">
        <f t="array" ref="BP1773">IFERROR(INDEX(sheath_wcap_asd,MATCH(BS1773,sheath_mark,0),0)*BN1773,0)</f>
        <v>0</v>
      </c>
      <c r="BQ1773" cm="1">
        <f t="array" ref="BQ1773">IFERROR(INDEX(hd_cap,MATCH(BT1773,hd_mark,0),0),0)</f>
        <v>0</v>
      </c>
      <c r="BS1773" s="19"/>
      <c r="BT1773" s="19"/>
      <c r="BU1773" s="100"/>
    </row>
    <row r="1774" x14ac:dyDescent="0.25">
      <c r="P1774" s="93"/>
      <c r="Q1774" s="109"/>
      <c r="R1774" t="str">
        <f>$Q$1686</f>
        <v>L3</v>
      </c>
      <c r="S1774">
        <f>$E$22</f>
        <v>21.375</v>
      </c>
      <c r="T1774" cm="1">
        <f t="array" ref="T1774">IFERROR(IF(S1774=0,0,(INDEX($C$33:$C$38,MATCH($W$1704,$B$33:$B$38,0),0)*(S1777+$X$1704)+$T$1704*COUNTIF(S1774:S1776,"&gt;0")*$C$32+$V$1704*$C$31)*$R$1704),0)</f>
        <v>0</v>
      </c>
      <c r="U1774">
        <f>IF(S1774=0,0,-(COUNTIF(S1774:S1776,"&gt;0")*$T$1704*$C$32+$V$1704*$C$31)*$H$27*$R$1704)</f>
        <v>0</v>
      </c>
      <c r="V1774">
        <f>IF(S1774=0,0,$V$1704*$H$26*$R$1704)</f>
        <v>0</v>
      </c>
      <c r="W1774">
        <f>(0.6*T1774+0.7*U1774)*$R$1704/2</f>
        <v>0</v>
      </c>
      <c r="X1774">
        <f>T1774*$R$1704/2</f>
        <v>0</v>
      </c>
      <c r="Z1774">
        <f>IF(S1774=0,0,$AD$1704*$AP$1686)</f>
        <v>0</v>
      </c>
      <c r="AA1774">
        <f>IFERROR(Z1774/$R$1704,0)</f>
        <v>0</v>
      </c>
      <c r="AB1774">
        <f>Z1774*($F$22+IF($F$22=0,0,($C$14+$C$15+IF($C$13="single",1.5,3)+3)/12))</f>
        <v>0</v>
      </c>
      <c r="AC1774">
        <f>AB1774-W1774</f>
        <v>0</v>
      </c>
      <c r="AD1774" cm="1">
        <f t="array" ref="AD1774">IFERROR(IF(AC1774&lt;0,0,AC1774/($R$1704-INDEX(hd_off,MATCH(AQ1774,hd_mark,0),0)/12)),0)</f>
        <v>0</v>
      </c>
      <c r="AE1774">
        <f>IF(S1774=0,0,$AD$1704*$AM$1686)</f>
        <v>0</v>
      </c>
      <c r="AF1774">
        <f>IFERROR(AE1774/$R$1704,0)</f>
        <v>0</v>
      </c>
      <c r="AG1774">
        <f>AE1774*($F$22+IF($F$22=0,0,($C$14+$C$15+IF($C$13="single",1.5,3)+3)/12))</f>
        <v>0</v>
      </c>
      <c r="AH1774">
        <f>AG1774-X1774</f>
        <v>0</v>
      </c>
      <c r="AI1774" cm="1">
        <f t="array" ref="AI1774">IFERROR(IF(AH1774&lt;0,0,AH1774/($R$1704-INDEX(hd_off,MATCH(AQ1774,hd_mark,0),0)/12)),0)</f>
        <v>0</v>
      </c>
      <c r="AJ1774">
        <f>MAX($F$22,$Z$1704)/$Q$1716</f>
        <v>0.30172413793103448</v>
      </c>
      <c r="AK1774">
        <f t="shared" ref="AK1774:AK1777" si="1093">IF(AJ1774=0,0,IF(AJ1774&gt;2,1.25-0.125*AJ1774,1))</f>
        <v>1</v>
      </c>
      <c r="AL1774" cm="1">
        <f t="array" ref="AL1774">IFERROR(INDEX(sheath_ecap_asd,MATCH(AP1774,sheath_mark,0),0)*AK1774,0)</f>
        <v>0</v>
      </c>
      <c r="AM1774" cm="1">
        <f t="array" ref="AM1774">IFERROR(INDEX(sheath_wcap_asd,MATCH(AP1774,sheath_mark,0),0)*AK1774,0)</f>
        <v>0</v>
      </c>
      <c r="AN1774" cm="1">
        <f t="array" ref="AN1774">IFERROR(INDEX(hd_cap,MATCH(AQ1774,hd_mark,0),0),0)</f>
        <v>0</v>
      </c>
      <c r="AP1774" s="19"/>
      <c r="AQ1774" s="19"/>
      <c r="AR1774" s="100"/>
      <c r="AS1774" s="93"/>
      <c r="AT1774" s="109"/>
      <c r="AU1774" t="str">
        <f>$Q$1686</f>
        <v>L3</v>
      </c>
      <c r="AV1774">
        <f>$E$22</f>
        <v>21.375</v>
      </c>
      <c r="AW1774" cm="1">
        <f t="array" ref="AW1774">IFERROR(IF(AV1774=0,0,(INDEX($C$33:$C$38,MATCH($AZ$1704,$B$33:$B$38,0),0)*(AV1777+$BA$1704)+$AW$1704*COUNTIF(AV1774:AV1776,"&gt;0")*$C$32+$AY$1704*$C$31)*$AU$1704),0)</f>
        <v>0</v>
      </c>
      <c r="AX1774">
        <f>IF(AV1774=0,0,-(COUNTIF(AV1774:AV1776,"&gt;0")*$AW$1704*$C$32+$AY$1704*$C$31)*$H$27*$AU$1704)</f>
        <v>0</v>
      </c>
      <c r="AY1774">
        <f>IF(AV1774=0,0,$AY$1704*$H$26*$AU$1704)</f>
        <v>0</v>
      </c>
      <c r="AZ1774">
        <f>(0.6*AW1774+0.7*AX1774)*$AU$1704/2</f>
        <v>0</v>
      </c>
      <c r="BA1774">
        <f>AW1774*$AU$1704/2</f>
        <v>0</v>
      </c>
      <c r="BC1774">
        <f>IF(AV1774=0,0,$BG$1704*$AP$1686)</f>
        <v>0</v>
      </c>
      <c r="BD1774">
        <f>IFERROR(BC1774/$AU$1704,0)</f>
        <v>0</v>
      </c>
      <c r="BE1774">
        <f>BC1774*($F$22+IF($F$22=0,0,($C$14+$C$15+IF($C$13="single",1.5,3)+3)/12))</f>
        <v>0</v>
      </c>
      <c r="BF1774">
        <f>BE1774-AZ1774</f>
        <v>0</v>
      </c>
      <c r="BG1774" cm="1">
        <f t="array" ref="BG1774">IFERROR(IF(BF1774&lt;0,0,BF1774/($AU$1704-INDEX(hd_off,MATCH(BT1774,hd_mark,0),0)/12)),0)</f>
        <v>0</v>
      </c>
      <c r="BH1774">
        <f>IF(AV1774=0,0,$BG$1704*$AM$1686)</f>
        <v>0</v>
      </c>
      <c r="BI1774">
        <f>IFERROR(BH1774/$AU$1704,0)</f>
        <v>0</v>
      </c>
      <c r="BJ1774">
        <f>BH1774*($F$22+IF($F$22=0,0,($C$14+$C$15+IF($C$13="single",1.5,3)+3)/12))</f>
        <v>0</v>
      </c>
      <c r="BK1774">
        <f>BJ1774-BA1774</f>
        <v>0</v>
      </c>
      <c r="BL1774" cm="1">
        <f t="array" ref="BL1774">IFERROR(IF(BK1774&lt;0,0,BK1774/($AU$1704-INDEX(hd_off,MATCH(BT1774,hd_mark,0),0)/12)),0)</f>
        <v>0</v>
      </c>
      <c r="BM1774">
        <f>MAX($F$22,$BC$1704)/$Q$1716</f>
        <v>0.30172413793103448</v>
      </c>
      <c r="BN1774">
        <f t="shared" ref="BN1774:BN1777" si="1094">IF(BM1774=0,0,IF(BM1774&gt;2,1.25-0.125*BM1774,1))</f>
        <v>1</v>
      </c>
      <c r="BO1774" cm="1">
        <f t="array" ref="BO1774">IFERROR(INDEX(sheath_ecap_asd,MATCH(BS1774,sheath_mark,0),0)*BN1774,0)</f>
        <v>0</v>
      </c>
      <c r="BP1774" cm="1">
        <f t="array" ref="BP1774">IFERROR(INDEX(sheath_wcap_asd,MATCH(BS1774,sheath_mark,0),0)*BN1774,0)</f>
        <v>0</v>
      </c>
      <c r="BQ1774" cm="1">
        <f t="array" ref="BQ1774">IFERROR(INDEX(hd_cap,MATCH(BT1774,hd_mark,0),0),0)</f>
        <v>0</v>
      </c>
      <c r="BS1774" s="19"/>
      <c r="BT1774" s="19"/>
      <c r="BU1774" s="100"/>
    </row>
    <row r="1775" x14ac:dyDescent="0.25">
      <c r="P1775" s="93"/>
      <c r="Q1775" s="109" t="s">
        <v>491</v>
      </c>
      <c r="R1775" t="str">
        <f>$Q$1687</f>
        <v>L4</v>
      </c>
      <c r="S1775">
        <f>$E$23</f>
        <v>0</v>
      </c>
      <c r="T1775" cm="1">
        <f t="array" ref="T1775">IFERROR(IF(S1775=0,0,(INDEX($C$33:$C$38,MATCH($W$1704,$B$33:$B$38,0),0)*(S1777+$X$1704)+$T$1704*COUNTIF(S1775:S1776,"&gt;0")*$C$32+$V$1704*$C$31)*$R$1704),0)</f>
        <v>0</v>
      </c>
      <c r="U1775">
        <f>IF(S1775=0,0,-(COUNTIF(S1775:S1776,"&gt;0")*$T$1704*$C$32+$V$1704*$C$31)*$H$27*$R$1704)</f>
        <v>0</v>
      </c>
      <c r="V1775">
        <f>IF(S1775=0,0,$V$1704*$H$26*$R$1704)</f>
        <v>0</v>
      </c>
      <c r="W1775">
        <f>(0.6*T1775+0.7*U1775)*$R$1704/2</f>
        <v>0</v>
      </c>
      <c r="X1775">
        <f>T1775*$R$1704/2</f>
        <v>0</v>
      </c>
      <c r="Z1775">
        <f>IF(S1775=0,0,$AD$1704*$AP$1687)</f>
        <v>0</v>
      </c>
      <c r="AA1775">
        <f>IFERROR(Z1775/$R$1704,0)</f>
        <v>0</v>
      </c>
      <c r="AB1775">
        <f>Z1775*($F$23+IF($F$23=0,0,($C$14+$C$15+IF($C$13="single",1.5,3)+3)/12))</f>
        <v>0</v>
      </c>
      <c r="AC1775">
        <f>AB1775-W1775</f>
        <v>0</v>
      </c>
      <c r="AD1775" cm="1">
        <f t="array" ref="AD1775">IFERROR(IF(AC1775&lt;0,0,AC1775/($R$1704-INDEX(hd_off,MATCH(AQ1775,hd_mark,0),0)/12)),0)</f>
        <v>0</v>
      </c>
      <c r="AE1775">
        <f>IF(S1775=0,0,$AD$1704*$AM$1687)</f>
        <v>0</v>
      </c>
      <c r="AF1775">
        <f>IFERROR(AE1775/$R$1704,0)</f>
        <v>0</v>
      </c>
      <c r="AG1775">
        <f>AE1775*($F$23+IF($F$23=0,0,($C$14+$C$15+IF($C$13="single",1.5,3)+3)/12))</f>
        <v>0</v>
      </c>
      <c r="AH1775">
        <f>AG1775-X1775</f>
        <v>0</v>
      </c>
      <c r="AI1775" cm="1">
        <f t="array" ref="AI1775">IFERROR(IF(AH1775&lt;0,0,AH1775/($R$1704-INDEX(hd_off,MATCH(AQ1775,hd_mark,0),0)/12)),0)</f>
        <v>0</v>
      </c>
      <c r="AJ1775">
        <f>MAX($F$23,$AA$1704)/$Q$1716</f>
        <v>0</v>
      </c>
      <c r="AK1775">
        <f t="shared" si="1093"/>
        <v>0</v>
      </c>
      <c r="AL1775" cm="1">
        <f t="array" ref="AL1775">IFERROR(INDEX(sheath_ecap_asd,MATCH(AP1775,sheath_mark,0),0)*AK1775,0)</f>
        <v>0</v>
      </c>
      <c r="AM1775" cm="1">
        <f t="array" ref="AM1775">IFERROR(INDEX(sheath_wcap_asd,MATCH(AP1775,sheath_mark,0),0)*AK1775,0)</f>
        <v>0</v>
      </c>
      <c r="AN1775" cm="1">
        <f t="array" ref="AN1775">IFERROR(INDEX(hd_cap,MATCH(AQ1775,hd_mark,0),0),0)</f>
        <v>0</v>
      </c>
      <c r="AP1775" s="19"/>
      <c r="AQ1775" s="19"/>
      <c r="AR1775" s="100"/>
      <c r="AS1775" s="93"/>
      <c r="AT1775" s="109" t="s">
        <v>491</v>
      </c>
      <c r="AU1775" t="str">
        <f>$Q$1687</f>
        <v>L4</v>
      </c>
      <c r="AV1775">
        <f>$E$23</f>
        <v>0</v>
      </c>
      <c r="AW1775" cm="1">
        <f t="array" ref="AW1775">IFERROR(IF(AV1775=0,0,(INDEX($C$33:$C$38,MATCH($AZ$1704,$B$33:$B$38,0),0)*(AV1777+$BA$1704)+$AW$1704*COUNTIF(AV1775:AV1776,"&gt;0")*$C$32+$AY$1704*$C$31)*$AU$1704),0)</f>
        <v>0</v>
      </c>
      <c r="AX1775">
        <f>IF(AV1775=0,0,-(COUNTIF(AV1775:AV1776,"&gt;0")*$AW$1704*$C$32+$AY$1704*$C$31)*$H$27*$AU$1704)</f>
        <v>0</v>
      </c>
      <c r="AY1775">
        <f>IF(AV1775=0,0,$AY$1704*$H$26*$AU$1704)</f>
        <v>0</v>
      </c>
      <c r="AZ1775">
        <f>(0.6*AW1775+0.7*AX1775)*$AU$1704/2</f>
        <v>0</v>
      </c>
      <c r="BA1775">
        <f>AW1775*$AU$1704/2</f>
        <v>0</v>
      </c>
      <c r="BC1775">
        <f>IF(AV1775=0,0,$BG$1704*$AP$1687)</f>
        <v>0</v>
      </c>
      <c r="BD1775">
        <f>IFERROR(BC1775/$AU$1704,0)</f>
        <v>0</v>
      </c>
      <c r="BE1775">
        <f>BC1775*($F$23+IF($F$23=0,0,($C$14+$C$15+IF($C$13="single",1.5,3)+3)/12))</f>
        <v>0</v>
      </c>
      <c r="BF1775">
        <f>BE1775-AZ1775</f>
        <v>0</v>
      </c>
      <c r="BG1775" cm="1">
        <f t="array" ref="BG1775">IFERROR(IF(BF1775&lt;0,0,BF1775/($AU$1704-INDEX(hd_off,MATCH(BT1775,hd_mark,0),0)/12)),0)</f>
        <v>0</v>
      </c>
      <c r="BH1775">
        <f>IF(AV1775=0,0,$BG$1704*$AM$1687)</f>
        <v>0</v>
      </c>
      <c r="BI1775">
        <f>IFERROR(BH1775/$AU$1704,0)</f>
        <v>0</v>
      </c>
      <c r="BJ1775">
        <f>BH1775*($F$23+IF($F$23=0,0,($C$14+$C$15+IF($C$13="single",1.5,3)+3)/12))</f>
        <v>0</v>
      </c>
      <c r="BK1775">
        <f>BJ1775-BA1775</f>
        <v>0</v>
      </c>
      <c r="BL1775" cm="1">
        <f t="array" ref="BL1775">IFERROR(IF(BK1775&lt;0,0,BK1775/($AU$1704-INDEX(hd_off,MATCH(BT1775,hd_mark,0),0)/12)),0)</f>
        <v>0</v>
      </c>
      <c r="BM1775">
        <f>MAX($F$23,$BD$1704)/$Q$1716</f>
        <v>0</v>
      </c>
      <c r="BN1775">
        <f t="shared" si="1094"/>
        <v>0</v>
      </c>
      <c r="BO1775" cm="1">
        <f t="array" ref="BO1775">IFERROR(INDEX(sheath_ecap_asd,MATCH(BS1775,sheath_mark,0),0)*BN1775,0)</f>
        <v>0</v>
      </c>
      <c r="BP1775" cm="1">
        <f t="array" ref="BP1775">IFERROR(INDEX(sheath_wcap_asd,MATCH(BS1775,sheath_mark,0),0)*BN1775,0)</f>
        <v>0</v>
      </c>
      <c r="BQ1775" cm="1">
        <f t="array" ref="BQ1775">IFERROR(INDEX(hd_cap,MATCH(BT1775,hd_mark,0),0),0)</f>
        <v>0</v>
      </c>
      <c r="BS1775" s="19"/>
      <c r="BT1775" s="19"/>
      <c r="BU1775" s="100"/>
    </row>
    <row r="1776" x14ac:dyDescent="0.25">
      <c r="P1776" s="93"/>
      <c r="Q1776" s="111">
        <f>$R$1704</f>
        <v>0</v>
      </c>
      <c r="R1776" t="str">
        <f>$Q$1688</f>
        <v>L5</v>
      </c>
      <c r="S1776">
        <f>$E$24</f>
        <v>0</v>
      </c>
      <c r="T1776" cm="1">
        <f t="array" ref="T1776">IFERROR(IF(S1776=0,0,(INDEX($C$33:$C$38,MATCH($W$1704,$B$33:$B$38,0),0)*(S1777+$X$1704)+$T$1704*COUNTIF(S1776:S1776,"&gt;0")*$C$32+$V$1704*$C$31)*$R$1704),0)</f>
        <v>0</v>
      </c>
      <c r="U1776">
        <f>IF(S1776=0,0,-(COUNTIF(S1776:S1776,"&gt;0")*$T$1704*$C$32+$V$1704*$C$31)*$H$27*$R$1704)</f>
        <v>0</v>
      </c>
      <c r="V1776">
        <f>IF(S1776=0,0,$V$1704*$H$26*$R$1704)</f>
        <v>0</v>
      </c>
      <c r="W1776">
        <f>(0.6*T1776+0.7*U1776)*$R$1704/2</f>
        <v>0</v>
      </c>
      <c r="X1776">
        <f>T1776*$R$1704/2</f>
        <v>0</v>
      </c>
      <c r="Z1776">
        <f>IF(S1776=0,0,$AD$1704*$AP$1688)</f>
        <v>0</v>
      </c>
      <c r="AA1776">
        <f>IFERROR(Z1776/$R$1704,0)</f>
        <v>0</v>
      </c>
      <c r="AB1776">
        <f>Z1776*($F$24+IF($F$24=0,0,($C$14+$C$15+IF($C$13="single",1.5,3)+3)/12))</f>
        <v>0</v>
      </c>
      <c r="AC1776">
        <f>AB1776-W1776</f>
        <v>0</v>
      </c>
      <c r="AD1776" cm="1">
        <f t="array" ref="AD1776">IFERROR(IF(AC1776&lt;0,0,AC1776/($R$1704-INDEX(hd_off,MATCH(AQ1776,hd_mark,0),0)/12)),0)</f>
        <v>0</v>
      </c>
      <c r="AE1776">
        <f>IF(S1776=0,0,$AD$1704*$AM$1688)</f>
        <v>0</v>
      </c>
      <c r="AF1776">
        <f>IFERROR(AE1776/$R$1704,0)</f>
        <v>0</v>
      </c>
      <c r="AG1776">
        <f>AE1776*($F$24+IF($F$24=0,0,($C$14+$C$15+IF($C$13="single",1.5,3)+3)/12))</f>
        <v>0</v>
      </c>
      <c r="AH1776">
        <f>AG1776-X1776</f>
        <v>0</v>
      </c>
      <c r="AI1776" cm="1">
        <f t="array" ref="AI1776">IFERROR(IF(AH1776&lt;0,0,AH1776/($R$1704-INDEX(hd_off,MATCH(AQ1776,hd_mark,0),0)/12)),0)</f>
        <v>0</v>
      </c>
      <c r="AJ1776">
        <f>MAX($F$24,$AB$1704)/$Q$1716</f>
        <v>0</v>
      </c>
      <c r="AK1776">
        <f t="shared" si="1093"/>
        <v>0</v>
      </c>
      <c r="AL1776" cm="1">
        <f t="array" ref="AL1776">IFERROR(INDEX(sheath_ecap_asd,MATCH(AP1776,sheath_mark,0),0)*AK1776,0)</f>
        <v>0</v>
      </c>
      <c r="AM1776" cm="1">
        <f t="array" ref="AM1776">IFERROR(INDEX(sheath_wcap_asd,MATCH(AP1776,sheath_mark,0),0)*AK1776,0)</f>
        <v>0</v>
      </c>
      <c r="AN1776" cm="1">
        <f t="array" ref="AN1776">IFERROR(INDEX(hd_cap,MATCH(AQ1776,hd_mark,0),0),0)</f>
        <v>0</v>
      </c>
      <c r="AP1776" s="19"/>
      <c r="AQ1776" s="19"/>
      <c r="AR1776" s="100"/>
      <c r="AS1776" s="93"/>
      <c r="AT1776" s="111">
        <f>$R$1704</f>
        <v>0</v>
      </c>
      <c r="AU1776" t="str">
        <f>$Q$1688</f>
        <v>L5</v>
      </c>
      <c r="AV1776">
        <f>$E$24</f>
        <v>0</v>
      </c>
      <c r="AW1776" cm="1">
        <f t="array" ref="AW1776">IFERROR(IF(AV1776=0,0,(INDEX($C$33:$C$38,MATCH($AZ$1704,$B$33:$B$38,0),0)*(AV1777+$BA$1704)+$AW$1704*COUNTIF(AV1776:AV1776,"&gt;0")*$C$32+$AY$1704*$C$31)*$AU$1704),0)</f>
        <v>0</v>
      </c>
      <c r="AX1776">
        <f>IF(AV1776=0,0,-(COUNTIF(AV1776:AV1776,"&gt;0")*$AW$1704*$C$32+$AY$1704*$C$31)*$H$27*$AU$1704)</f>
        <v>0</v>
      </c>
      <c r="AY1776">
        <f>IF(AV1776=0,0,$AY$1704*$H$26*$AU$1704)</f>
        <v>0</v>
      </c>
      <c r="AZ1776">
        <f>(0.6*AW1776+0.7*AX1776)*$AU$1704/2</f>
        <v>0</v>
      </c>
      <c r="BA1776">
        <f>AW1776*$AU$1704/2</f>
        <v>0</v>
      </c>
      <c r="BC1776">
        <f>IF(AV1776=0,0,$BG$1704*$AP$1688)</f>
        <v>0</v>
      </c>
      <c r="BD1776">
        <f>IFERROR(BC1776/$AU$1704,0)</f>
        <v>0</v>
      </c>
      <c r="BE1776">
        <f>BC1776*($F$24+IF($F$24=0,0,($C$14+$C$15+IF($C$13="single",1.5,3)+3)/12))</f>
        <v>0</v>
      </c>
      <c r="BF1776">
        <f>BE1776-AZ1776</f>
        <v>0</v>
      </c>
      <c r="BG1776" cm="1">
        <f t="array" ref="BG1776">IFERROR(IF(BF1776&lt;0,0,BF1776/($AU$1704-INDEX(hd_off,MATCH(BT1776,hd_mark,0),0)/12)),0)</f>
        <v>0</v>
      </c>
      <c r="BH1776">
        <f>IF(AV1776=0,0,$BG$1704*$AM$1688)</f>
        <v>0</v>
      </c>
      <c r="BI1776">
        <f>IFERROR(BH1776/$AU$1704,0)</f>
        <v>0</v>
      </c>
      <c r="BJ1776">
        <f>BH1776*($F$24+IF($F$24=0,0,($C$14+$C$15+IF($C$13="single",1.5,3)+3)/12))</f>
        <v>0</v>
      </c>
      <c r="BK1776">
        <f>BJ1776-BA1776</f>
        <v>0</v>
      </c>
      <c r="BL1776" cm="1">
        <f t="array" ref="BL1776">IFERROR(IF(BK1776&lt;0,0,BK1776/($AU$1704-INDEX(hd_off,MATCH(BT1776,hd_mark,0),0)/12)),0)</f>
        <v>0</v>
      </c>
      <c r="BM1776">
        <f>MAX($F$24,$BE$1704)/$Q$1716</f>
        <v>0</v>
      </c>
      <c r="BN1776">
        <f t="shared" si="1094"/>
        <v>0</v>
      </c>
      <c r="BO1776" cm="1">
        <f t="array" ref="BO1776">IFERROR(INDEX(sheath_ecap_asd,MATCH(BS1776,sheath_mark,0),0)*BN1776,0)</f>
        <v>0</v>
      </c>
      <c r="BP1776" cm="1">
        <f t="array" ref="BP1776">IFERROR(INDEX(sheath_wcap_asd,MATCH(BS1776,sheath_mark,0),0)*BN1776,0)</f>
        <v>0</v>
      </c>
      <c r="BQ1776" cm="1">
        <f t="array" ref="BQ1776">IFERROR(INDEX(hd_cap,MATCH(BT1776,hd_mark,0),0),0)</f>
        <v>0</v>
      </c>
      <c r="BS1776" s="19"/>
      <c r="BT1776" s="19"/>
      <c r="BU1776" s="100"/>
    </row>
    <row r="1777" x14ac:dyDescent="0.25">
      <c r="P1777" s="93"/>
      <c r="Q1777" s="109"/>
      <c r="R1777" t="str">
        <f>$Q$1689</f>
        <v>Roof</v>
      </c>
      <c r="S1777">
        <f>$E$25</f>
        <v>33.171875</v>
      </c>
      <c r="T1777" cm="1">
        <f t="array" ref="T1777">IFERROR(IF(S1777=0,0,(INDEX($C$33:$C$38,MATCH($W$1704,$B$33:$B$38,0),0)*(S1777+$X$1704)+$V$1704*$C$31)*$R$1704),0)</f>
        <v>0</v>
      </c>
      <c r="U1777">
        <f>IF(S1777=0,0,-$V$1704*$C$31*$H$27*$R$1704)</f>
        <v>0</v>
      </c>
      <c r="V1777">
        <f>IF(S1777=0,0,$V$1704*$H$26*$R$1704)</f>
        <v>0</v>
      </c>
      <c r="W1777">
        <f>(0.6*T1777+0.7*U1777)*$R$1704/2</f>
        <v>0</v>
      </c>
      <c r="X1777">
        <f>T1777*$R$1704/2</f>
        <v>0</v>
      </c>
      <c r="Z1777">
        <f>IF(S1777=0,0,$AD$1704*$AP$1689)</f>
        <v>0</v>
      </c>
      <c r="AA1777">
        <f>IFERROR(Z1777/$R$1704,0)</f>
        <v>0</v>
      </c>
      <c r="AB1777">
        <f>Z1777*($F$25+($C$16+$C$17+IF($C$13="single",1.5,3)+3)/12)</f>
        <v>0</v>
      </c>
      <c r="AC1777">
        <f>AB1777-W1777</f>
        <v>0</v>
      </c>
      <c r="AD1777" cm="1">
        <f t="array" ref="AD1777">IFERROR(IF(AC1777&lt;0,0,AC1777/($R$1704-INDEX(hd_off,MATCH(AQ1777,hd_mark,0),0)/12)),0)</f>
        <v>0</v>
      </c>
      <c r="AE1777">
        <f>IF(S1777=0,0,$AD$1704*$AM$1689)</f>
        <v>0</v>
      </c>
      <c r="AF1777">
        <f>IFERROR(AE1777/$R$1704,0)</f>
        <v>0</v>
      </c>
      <c r="AG1777">
        <f>AE1777*($F$25+($C$16+$C$17+IF($C$13="single",1.5,3)+3)/12)</f>
        <v>0</v>
      </c>
      <c r="AH1777">
        <f>AG1777-X1777</f>
        <v>0</v>
      </c>
      <c r="AI1777" cm="1">
        <f t="array" ref="AI1777">IFERROR(IF(AH1777&lt;0,0,AH1777/($R$1704-INDEX(hd_off,MATCH(AQ1777,hd_mark,0),0)/12)),0)</f>
        <v>0</v>
      </c>
      <c r="AJ1777">
        <f>MAX($F$25,$AC$1704)/$Q$1716</f>
        <v>0.29920977011494249</v>
      </c>
      <c r="AK1777">
        <f t="shared" si="1093"/>
        <v>1</v>
      </c>
      <c r="AL1777" cm="1">
        <f t="array" ref="AL1777">IFERROR(INDEX(sheath_ecap_asd,MATCH(AP1777,sheath_mark,0),0)*AK1777,0)</f>
        <v>0</v>
      </c>
      <c r="AM1777" cm="1">
        <f t="array" ref="AM1777">IFERROR(INDEX(sheath_wcap_asd,MATCH(AP1777,sheath_mark,0),0)*AK1777,0)</f>
        <v>0</v>
      </c>
      <c r="AN1777" cm="1">
        <f t="array" ref="AN1777">IFERROR(INDEX(hd_cap,MATCH(AQ1777,hd_mark,0),0),0)</f>
        <v>0</v>
      </c>
      <c r="AP1777" s="19"/>
      <c r="AQ1777" s="19"/>
      <c r="AR1777" s="100"/>
      <c r="AS1777" s="93"/>
      <c r="AT1777" s="109"/>
      <c r="AU1777" t="str">
        <f>$Q$1689</f>
        <v>Roof</v>
      </c>
      <c r="AV1777">
        <f>$E$25</f>
        <v>33.171875</v>
      </c>
      <c r="AW1777" cm="1">
        <f t="array" ref="AW1777">IFERROR(IF(AV1777=0,0,(INDEX($C$33:$C$38,MATCH($AZ$1704,$B$33:$B$38,0),0)*(AV1777+$BA$1704)+$AY$1704*$C$31)*$AU$1704),0)</f>
        <v>0</v>
      </c>
      <c r="AX1777">
        <f>IF(AV1777=0,0,-$AY$1704*$C$31*$H$27*$AU$1704)</f>
        <v>0</v>
      </c>
      <c r="AY1777">
        <f>IF(AV1777=0,0,$AY$1704*$H$26*$AU$1704)</f>
        <v>0</v>
      </c>
      <c r="AZ1777">
        <f>(0.6*AW1777+0.7*AX1777)*$AU$1704/2</f>
        <v>0</v>
      </c>
      <c r="BA1777">
        <f>AW1777*$AU$1704/2</f>
        <v>0</v>
      </c>
      <c r="BC1777">
        <f>IF(AV1777=0,0,$BG$1704*$AP$1689)</f>
        <v>0</v>
      </c>
      <c r="BD1777">
        <f>IFERROR(BC1777/$AU$1704,0)</f>
        <v>0</v>
      </c>
      <c r="BE1777">
        <f>BC1777*($F$25+($C$16+$C$17+IF($C$13="single",1.5,3)+3)/12)</f>
        <v>0</v>
      </c>
      <c r="BF1777">
        <f>BE1777-AZ1777</f>
        <v>0</v>
      </c>
      <c r="BG1777" cm="1">
        <f t="array" ref="BG1777">IFERROR(IF(BF1777&lt;0,0,BF1777/($AU$1704-INDEX(hd_off,MATCH(BT1777,hd_mark,0),0)/12)),0)</f>
        <v>0</v>
      </c>
      <c r="BH1777">
        <f>IF(AV1777=0,0,$BG$1704*$AM$1689)</f>
        <v>0</v>
      </c>
      <c r="BI1777">
        <f>IFERROR(BH1777/$AU$1704,0)</f>
        <v>0</v>
      </c>
      <c r="BJ1777">
        <f>BH1777*($F$25+($C$16+$C$17+IF($C$13="single",1.5,3)+3)/12)</f>
        <v>0</v>
      </c>
      <c r="BK1777">
        <f>BJ1777-BA1777</f>
        <v>0</v>
      </c>
      <c r="BL1777" cm="1">
        <f t="array" ref="BL1777">IFERROR(IF(BK1777&lt;0,0,BK1777/($AU$1704-INDEX(hd_off,MATCH(BT1777,hd_mark,0),0)/12)),0)</f>
        <v>0</v>
      </c>
      <c r="BM1777">
        <f>MAX($F$25,$BF$1704)/$Q$1716</f>
        <v>0.29920977011494249</v>
      </c>
      <c r="BN1777">
        <f t="shared" si="1094"/>
        <v>1</v>
      </c>
      <c r="BO1777" cm="1">
        <f t="array" ref="BO1777">IFERROR(INDEX(sheath_ecap_asd,MATCH(BS1777,sheath_mark,0),0)*BN1777,0)</f>
        <v>0</v>
      </c>
      <c r="BP1777" cm="1">
        <f t="array" ref="BP1777">IFERROR(INDEX(sheath_wcap_asd,MATCH(BS1777,sheath_mark,0),0)*BN1777,0)</f>
        <v>0</v>
      </c>
      <c r="BQ1777" cm="1">
        <f t="array" ref="BQ1777">IFERROR(INDEX(hd_cap,MATCH(BT1777,hd_mark,0),0),0)</f>
        <v>0</v>
      </c>
      <c r="BS1777" s="19"/>
      <c r="BT1777" s="19"/>
      <c r="BU1777" s="100"/>
    </row>
    <row r="1778" x14ac:dyDescent="0.25">
      <c r="P1778" s="93"/>
      <c r="AR1778" s="100"/>
      <c r="AS1778" s="93"/>
      <c r="BU1778" s="100"/>
    </row>
    <row r="1779" x14ac:dyDescent="0.25">
      <c r="P1779" s="93"/>
      <c r="Q1779" s="110" t="str">
        <f>$Q$1705</f>
        <v>A.12</v>
      </c>
      <c r="R1779" t="str">
        <f>$Q$1685</f>
        <v>L2</v>
      </c>
      <c r="S1779">
        <f>$E$21</f>
        <v>10.6875</v>
      </c>
      <c r="T1779" cm="1">
        <f t="array" ref="T1779">IFERROR(IF(S1779=0,0,(INDEX($C$33:$C$38,MATCH($W$1705,$B$33:$B$38,0),0)*(S1783+$X$1705)+$T$1705*COUNTIF(S1779:S1782,"&gt;0")*$C$32+$V$1705*$C$31)*$R$1705),0)</f>
        <v>0</v>
      </c>
      <c r="U1779">
        <f>IF(S1779=0,0,-(COUNTIF(S1779:S1782,"&gt;0")*$T$1705*$C$32+$V$1705*$C$31)*$H$27*$R$1705)</f>
        <v>0</v>
      </c>
      <c r="V1779">
        <f>IF(S1779=0,0,$V$1705*$H$26*$R$1705)</f>
        <v>0</v>
      </c>
      <c r="W1779">
        <f>(0.6*T1779+0.7*U1779)*$R$1705/2</f>
        <v>0</v>
      </c>
      <c r="X1779">
        <f>(0.6*T1779+0.6*V1779)*$R$1705/2</f>
        <v>0</v>
      </c>
      <c r="Z1779">
        <f>IF(S1779=0,0,$AD$1705*$AP$1685)</f>
        <v>0</v>
      </c>
      <c r="AA1779">
        <f>IFERROR(Z1779/$R$1705,0)</f>
        <v>0</v>
      </c>
      <c r="AB1779">
        <f>Z1779*($F$21+IF($F$21=0,0,($C$14+$C$15+IF($C$13="single",1.5,3)+3)/12))</f>
        <v>0</v>
      </c>
      <c r="AC1779">
        <f>AB1779-W1779</f>
        <v>0</v>
      </c>
      <c r="AD1779" cm="1">
        <f t="array" ref="AD1779">IFERROR(IF(AC1779&lt;0,0,AC1779/($R$1705-INDEX(hd_off,MATCH(AQ1779,hd_mark,0),0)/12)),0)</f>
        <v>0</v>
      </c>
      <c r="AE1779">
        <f>IF(S1779=0,0,$AD$1705*$AM$1685)</f>
        <v>0</v>
      </c>
      <c r="AF1779">
        <f>IFERROR(AE1779/$R$1705,0)</f>
        <v>0</v>
      </c>
      <c r="AG1779">
        <f>AE1779*($F$21+IF($F$21=0,0,($C$14+$C$15+IF($C$13="single",1.5,3)+3)/12))</f>
        <v>0</v>
      </c>
      <c r="AH1779">
        <f>AG1779-X1779</f>
        <v>0</v>
      </c>
      <c r="AI1779" cm="1">
        <f t="array" ref="AI1779">IFERROR(IF(AH1779&lt;0,0,AH1779/($R$1705-INDEX(hd_off,MATCH(AQ1779,hd_mark,0),0)/12)),0)</f>
        <v>0</v>
      </c>
      <c r="AJ1779">
        <f>MAX($F$21,$Y$1705)/$Q$1716</f>
        <v>0.30172413793103448</v>
      </c>
      <c r="AK1779">
        <f>IF(AJ1779=0,0,IF(AJ1779&gt;2,1.25-0.125*AJ1779,1))</f>
        <v>1</v>
      </c>
      <c r="AL1779" cm="1">
        <f t="array" ref="AL1779">IFERROR(INDEX(sheath_ecap_asd,MATCH(AP1779,sheath_mark,0),0)*AK1779,0)</f>
        <v>0</v>
      </c>
      <c r="AM1779" cm="1">
        <f t="array" ref="AM1779">IFERROR(INDEX(sheath_wcap_asd,MATCH(AP1779,sheath_mark,0),0)*AK1779,0)</f>
        <v>0</v>
      </c>
      <c r="AN1779" cm="1">
        <f t="array" ref="AN1779">IFERROR(INDEX(hd_cap,MATCH(AQ1779,hd_mark,0),0),0)</f>
        <v>0</v>
      </c>
      <c r="AP1779" s="19"/>
      <c r="AQ1779" s="19"/>
      <c r="AR1779" s="100"/>
      <c r="AS1779" s="93"/>
      <c r="AT1779" s="110" t="str">
        <f>$AT$1705</f>
        <v>1.12</v>
      </c>
      <c r="AU1779" t="str">
        <f>$Q$1685</f>
        <v>L2</v>
      </c>
      <c r="AV1779">
        <f>$E$21</f>
        <v>10.6875</v>
      </c>
      <c r="AW1779" cm="1">
        <f t="array" ref="AW1779">IFERROR(IF(AV1779=0,0,(INDEX($C$33:$C$38,MATCH($AZ$1705,$B$33:$B$38,0),0)*(AV1783+$BA$1705)+$AW$1705*COUNTIF(AV1779:AV1782,"&gt;0")*$C$32+$AY$1705*$C$31)*$AU$1705),0)</f>
        <v>0</v>
      </c>
      <c r="AX1779">
        <f>IF(AV1779=0,0,-(COUNTIF(AV1779:AV1782,"&gt;0")*$AW$1705*$C$32+$AY$1705*$C$31)*$H$27*$AU$1705)</f>
        <v>0</v>
      </c>
      <c r="AY1779">
        <f>IF(AV1779=0,0,$AY$1705*$H$26*$AU$1705)</f>
        <v>0</v>
      </c>
      <c r="AZ1779">
        <f>(0.6*AW1779+0.7*AX1779)*$AU$1705/2</f>
        <v>0</v>
      </c>
      <c r="BA1779">
        <f>(0.6*AW1779+0.6*AY1779)*$AU$1705/2</f>
        <v>0</v>
      </c>
      <c r="BC1779">
        <f>IF(AV1779=0,0,$BG$1705*$AP$1685)</f>
        <v>0</v>
      </c>
      <c r="BD1779">
        <f>IFERROR(BC1779/$AU$1705,0)</f>
        <v>0</v>
      </c>
      <c r="BE1779">
        <f>BC1779*($F$21+IF($F$21=0,0,($C$14+$C$15+IF($C$13="single",1.5,3)+3)/12))</f>
        <v>0</v>
      </c>
      <c r="BF1779">
        <f>BE1779-AZ1779</f>
        <v>0</v>
      </c>
      <c r="BG1779" cm="1">
        <f t="array" ref="BG1779">IFERROR(IF(BF1779&lt;0,0,BF1779/($AU$1705-INDEX(hd_off,MATCH(BT1779,hd_mark,0),0)/12)),0)</f>
        <v>0</v>
      </c>
      <c r="BH1779">
        <f>IF(AV1779=0,0,$BG$1705*$AM$1685)</f>
        <v>0</v>
      </c>
      <c r="BI1779">
        <f>IFERROR(BH1779/$AU$1705,0)</f>
        <v>0</v>
      </c>
      <c r="BJ1779">
        <f>BH1779*($F$21+IF($F$21=0,0,($C$14+$C$15+IF($C$13="single",1.5,3)+3)/12))</f>
        <v>0</v>
      </c>
      <c r="BK1779">
        <f>BJ1779-BA1779</f>
        <v>0</v>
      </c>
      <c r="BL1779" cm="1">
        <f t="array" ref="BL1779">IFERROR(IF(BK1779&lt;0,0,BK1779/($AU$1705-INDEX(hd_off,MATCH(BT1779,hd_mark,0),0)/12)),0)</f>
        <v>0</v>
      </c>
      <c r="BM1779">
        <f>MAX($F$21,$BB$1705)/$Q$1716</f>
        <v>0.30172413793103448</v>
      </c>
      <c r="BN1779">
        <f>IF(BM1779=0,0,IF(BM1779&gt;2,1.25-0.125*BM1779,1))</f>
        <v>1</v>
      </c>
      <c r="BO1779" cm="1">
        <f t="array" ref="BO1779">IFERROR(INDEX(sheath_ecap_asd,MATCH(BS1779,sheath_mark,0),0)*BN1779,0)</f>
        <v>0</v>
      </c>
      <c r="BP1779" cm="1">
        <f t="array" ref="BP1779">IFERROR(INDEX(sheath_wcap_asd,MATCH(BS1779,sheath_mark,0),0)*BN1779,0)</f>
        <v>0</v>
      </c>
      <c r="BQ1779" cm="1">
        <f t="array" ref="BQ1779">IFERROR(INDEX(hd_cap,MATCH(BT1779,hd_mark,0),0),0)</f>
        <v>0</v>
      </c>
      <c r="BS1779" s="19"/>
      <c r="BT1779" s="19"/>
      <c r="BU1779" s="100"/>
    </row>
    <row r="1780" x14ac:dyDescent="0.25">
      <c r="P1780" s="93"/>
      <c r="Q1780" s="109"/>
      <c r="R1780" t="str">
        <f>$Q$1686</f>
        <v>L3</v>
      </c>
      <c r="S1780">
        <f>$E$22</f>
        <v>21.375</v>
      </c>
      <c r="T1780" cm="1">
        <f t="array" ref="T1780">IFERROR(IF(S1780=0,0,(INDEX($C$33:$C$38,MATCH($W$1705,$B$33:$B$38,0),0)*(S1783+$X$1705)+$T$1705*COUNTIF(S1780:S1782,"&gt;0")*$C$32+$V$1705*$C$31)*$R$1705),0)</f>
        <v>0</v>
      </c>
      <c r="U1780">
        <f>IF(S1780=0,0,-(COUNTIF(S1780:S1782,"&gt;0")*$T$1705*$C$32+$V$1705*$C$31)*$H$27*$R$1705)</f>
        <v>0</v>
      </c>
      <c r="V1780">
        <f>IF(S1780=0,0,$V$1705*$H$26*$R$1705)</f>
        <v>0</v>
      </c>
      <c r="W1780">
        <f>(0.6*T1780+0.7*U1780)*$R$1705/2</f>
        <v>0</v>
      </c>
      <c r="X1780">
        <f>T1780*$R$1705/2</f>
        <v>0</v>
      </c>
      <c r="Z1780">
        <f>IF(S1780=0,0,$AD$1705*$AP$1686)</f>
        <v>0</v>
      </c>
      <c r="AA1780">
        <f>IFERROR(Z1780/$R$1705,0)</f>
        <v>0</v>
      </c>
      <c r="AB1780">
        <f>Z1780*($F$22+IF($F$22=0,0,($C$14+$C$15+IF($C$13="single",1.5,3)+3)/12))</f>
        <v>0</v>
      </c>
      <c r="AC1780">
        <f>AB1780-W1780</f>
        <v>0</v>
      </c>
      <c r="AD1780" cm="1">
        <f t="array" ref="AD1780">IFERROR(IF(AC1780&lt;0,0,AC1780/($R$1705-INDEX(hd_off,MATCH(AQ1780,hd_mark,0),0)/12)),0)</f>
        <v>0</v>
      </c>
      <c r="AE1780">
        <f>IF(S1780=0,0,$AD$1705*$AM$1686)</f>
        <v>0</v>
      </c>
      <c r="AF1780">
        <f>IFERROR(AE1780/$R$1705,0)</f>
        <v>0</v>
      </c>
      <c r="AG1780">
        <f>AE1780*($F$22+IF($F$22=0,0,($C$14+$C$15+IF($C$13="single",1.5,3)+3)/12))</f>
        <v>0</v>
      </c>
      <c r="AH1780">
        <f>AG1780-X1780</f>
        <v>0</v>
      </c>
      <c r="AI1780" cm="1">
        <f t="array" ref="AI1780">IFERROR(IF(AH1780&lt;0,0,AH1780/($R$1705-INDEX(hd_off,MATCH(AQ1780,hd_mark,0),0)/12)),0)</f>
        <v>0</v>
      </c>
      <c r="AJ1780">
        <f>MAX($F$22,$Z$1705)/$Q$1716</f>
        <v>0.30172413793103448</v>
      </c>
      <c r="AK1780">
        <f t="shared" ref="AK1780:AK1783" si="1095">IF(AJ1780=0,0,IF(AJ1780&gt;2,1.25-0.125*AJ1780,1))</f>
        <v>1</v>
      </c>
      <c r="AL1780" cm="1">
        <f t="array" ref="AL1780">IFERROR(INDEX(sheath_ecap_asd,MATCH(AP1780,sheath_mark,0),0)*AK1780,0)</f>
        <v>0</v>
      </c>
      <c r="AM1780" cm="1">
        <f t="array" ref="AM1780">IFERROR(INDEX(sheath_wcap_asd,MATCH(AP1780,sheath_mark,0),0)*AK1780,0)</f>
        <v>0</v>
      </c>
      <c r="AN1780" cm="1">
        <f t="array" ref="AN1780">IFERROR(INDEX(hd_cap,MATCH(AQ1780,hd_mark,0),0),0)</f>
        <v>0</v>
      </c>
      <c r="AP1780" s="19"/>
      <c r="AQ1780" s="19"/>
      <c r="AR1780" s="100"/>
      <c r="AS1780" s="93"/>
      <c r="AT1780" s="109"/>
      <c r="AU1780" t="str">
        <f>$Q$1686</f>
        <v>L3</v>
      </c>
      <c r="AV1780">
        <f>$E$22</f>
        <v>21.375</v>
      </c>
      <c r="AW1780" cm="1">
        <f t="array" ref="AW1780">IFERROR(IF(AV1780=0,0,(INDEX($C$33:$C$38,MATCH($AZ$1705,$B$33:$B$38,0),0)*(AV1783+$BA$1705)+$AW$1705*COUNTIF(AV1780:AV1782,"&gt;0")*$C$32+$AY$1705*$C$31)*$AU$1705),0)</f>
        <v>0</v>
      </c>
      <c r="AX1780">
        <f>IF(AV1780=0,0,-(COUNTIF(AV1780:AV1782,"&gt;0")*$AW$1705*$C$32+$AY$1705*$C$31)*$H$27*$AU$1705)</f>
        <v>0</v>
      </c>
      <c r="AY1780">
        <f>IF(AV1780=0,0,$AY$1705*$H$26*$AU$1705)</f>
        <v>0</v>
      </c>
      <c r="AZ1780">
        <f>(0.6*AW1780+0.7*AX1780)*$AU$1705/2</f>
        <v>0</v>
      </c>
      <c r="BA1780">
        <f>AW1780*$AU$1705/2</f>
        <v>0</v>
      </c>
      <c r="BC1780">
        <f>IF(AV1780=0,0,$BG$1705*$AP$1686)</f>
        <v>0</v>
      </c>
      <c r="BD1780">
        <f>IFERROR(BC1780/$AU$1705,0)</f>
        <v>0</v>
      </c>
      <c r="BE1780">
        <f>BC1780*($F$22+IF($F$22=0,0,($C$14+$C$15+IF($C$13="single",1.5,3)+3)/12))</f>
        <v>0</v>
      </c>
      <c r="BF1780">
        <f>BE1780-AZ1780</f>
        <v>0</v>
      </c>
      <c r="BG1780" cm="1">
        <f t="array" ref="BG1780">IFERROR(IF(BF1780&lt;0,0,BF1780/($AU$1705-INDEX(hd_off,MATCH(BT1780,hd_mark,0),0)/12)),0)</f>
        <v>0</v>
      </c>
      <c r="BH1780">
        <f>IF(AV1780=0,0,$BG$1705*$AM$1686)</f>
        <v>0</v>
      </c>
      <c r="BI1780">
        <f>IFERROR(BH1780/$AU$1705,0)</f>
        <v>0</v>
      </c>
      <c r="BJ1780">
        <f>BH1780*($F$22+IF($F$22=0,0,($C$14+$C$15+IF($C$13="single",1.5,3)+3)/12))</f>
        <v>0</v>
      </c>
      <c r="BK1780">
        <f>BJ1780-BA1780</f>
        <v>0</v>
      </c>
      <c r="BL1780" cm="1">
        <f t="array" ref="BL1780">IFERROR(IF(BK1780&lt;0,0,BK1780/($AU$1705-INDEX(hd_off,MATCH(BT1780,hd_mark,0),0)/12)),0)</f>
        <v>0</v>
      </c>
      <c r="BM1780">
        <f>MAX($F$22,$BC$1705)/$Q$1716</f>
        <v>0.30172413793103448</v>
      </c>
      <c r="BN1780">
        <f t="shared" ref="BN1780:BN1783" si="1096">IF(BM1780=0,0,IF(BM1780&gt;2,1.25-0.125*BM1780,1))</f>
        <v>1</v>
      </c>
      <c r="BO1780" cm="1">
        <f t="array" ref="BO1780">IFERROR(INDEX(sheath_ecap_asd,MATCH(BS1780,sheath_mark,0),0)*BN1780,0)</f>
        <v>0</v>
      </c>
      <c r="BP1780" cm="1">
        <f t="array" ref="BP1780">IFERROR(INDEX(sheath_wcap_asd,MATCH(BS1780,sheath_mark,0),0)*BN1780,0)</f>
        <v>0</v>
      </c>
      <c r="BQ1780" cm="1">
        <f t="array" ref="BQ1780">IFERROR(INDEX(hd_cap,MATCH(BT1780,hd_mark,0),0),0)</f>
        <v>0</v>
      </c>
      <c r="BS1780" s="19"/>
      <c r="BT1780" s="19"/>
      <c r="BU1780" s="100"/>
    </row>
    <row r="1781" x14ac:dyDescent="0.25">
      <c r="P1781" s="93"/>
      <c r="Q1781" s="109" t="s">
        <v>491</v>
      </c>
      <c r="R1781" t="str">
        <f>$Q$1687</f>
        <v>L4</v>
      </c>
      <c r="S1781">
        <f>$E$23</f>
        <v>0</v>
      </c>
      <c r="T1781" cm="1">
        <f t="array" ref="T1781">IFERROR(IF(S1781=0,0,(INDEX($C$33:$C$38,MATCH($W$1705,$B$33:$B$38,0),0)*(S1783+$X$1705)+$T$1705*COUNTIF(S1781:S1782,"&gt;0")*$C$32+$V$1705*$C$31)*$R$1705),0)</f>
        <v>0</v>
      </c>
      <c r="U1781">
        <f>IF(S1781=0,0,-(COUNTIF(S1781:S1782,"&gt;0")*$T$1705*$C$32+$V$1705*$C$31)*$H$27*$R$1705)</f>
        <v>0</v>
      </c>
      <c r="V1781">
        <f>IF(S1781=0,0,$V$1705*$H$26*$R$1705)</f>
        <v>0</v>
      </c>
      <c r="W1781">
        <f>(0.6*T1781+0.7*U1781)*$R$1705/2</f>
        <v>0</v>
      </c>
      <c r="X1781">
        <f>T1781*$R$1705/2</f>
        <v>0</v>
      </c>
      <c r="Z1781">
        <f>IF(S1781=0,0,$AD$1705*$AP$1687)</f>
        <v>0</v>
      </c>
      <c r="AA1781">
        <f>IFERROR(Z1781/$R$1705,0)</f>
        <v>0</v>
      </c>
      <c r="AB1781">
        <f>Z1781*($F$23+IF($F$23=0,0,($C$14+$C$15+IF($C$13="single",1.5,3)+3)/12))</f>
        <v>0</v>
      </c>
      <c r="AC1781">
        <f>AB1781-W1781</f>
        <v>0</v>
      </c>
      <c r="AD1781" cm="1">
        <f t="array" ref="AD1781">IFERROR(IF(AC1781&lt;0,0,AC1781/($R$1705-INDEX(hd_off,MATCH(AQ1781,hd_mark,0),0)/12)),0)</f>
        <v>0</v>
      </c>
      <c r="AE1781">
        <f>IF(S1781=0,0,$AD$1705*$AM$1687)</f>
        <v>0</v>
      </c>
      <c r="AF1781">
        <f>IFERROR(AE1781/$R$1705,0)</f>
        <v>0</v>
      </c>
      <c r="AG1781">
        <f>AE1781*($F$23+IF($F$23=0,0,($C$14+$C$15+IF($C$13="single",1.5,3)+3)/12))</f>
        <v>0</v>
      </c>
      <c r="AH1781">
        <f>AG1781-X1781</f>
        <v>0</v>
      </c>
      <c r="AI1781" cm="1">
        <f t="array" ref="AI1781">IFERROR(IF(AH1781&lt;0,0,AH1781/($R$1705-INDEX(hd_off,MATCH(AQ1781,hd_mark,0),0)/12)),0)</f>
        <v>0</v>
      </c>
      <c r="AJ1781">
        <f>MAX($F$23,$AA$1705)/$Q$1716</f>
        <v>0</v>
      </c>
      <c r="AK1781">
        <f t="shared" si="1095"/>
        <v>0</v>
      </c>
      <c r="AL1781" cm="1">
        <f t="array" ref="AL1781">IFERROR(INDEX(sheath_ecap_asd,MATCH(AP1781,sheath_mark,0),0)*AK1781,0)</f>
        <v>0</v>
      </c>
      <c r="AM1781" cm="1">
        <f t="array" ref="AM1781">IFERROR(INDEX(sheath_wcap_asd,MATCH(AP1781,sheath_mark,0),0)*AK1781,0)</f>
        <v>0</v>
      </c>
      <c r="AN1781" cm="1">
        <f t="array" ref="AN1781">IFERROR(INDEX(hd_cap,MATCH(AQ1781,hd_mark,0),0),0)</f>
        <v>0</v>
      </c>
      <c r="AP1781" s="19"/>
      <c r="AQ1781" s="19"/>
      <c r="AR1781" s="100"/>
      <c r="AS1781" s="93"/>
      <c r="AT1781" s="109" t="s">
        <v>491</v>
      </c>
      <c r="AU1781" t="str">
        <f>$Q$1687</f>
        <v>L4</v>
      </c>
      <c r="AV1781">
        <f>$E$23</f>
        <v>0</v>
      </c>
      <c r="AW1781" cm="1">
        <f t="array" ref="AW1781">IFERROR(IF(AV1781=0,0,(INDEX($C$33:$C$38,MATCH($AZ$1705,$B$33:$B$38,0),0)*(AV1783+$BA$1705)+$AW$1705*COUNTIF(AV1781:AV1782,"&gt;0")*$C$32+$AY$1705*$C$31)*$AU$1705),0)</f>
        <v>0</v>
      </c>
      <c r="AX1781">
        <f>IF(AV1781=0,0,-(COUNTIF(AV1781:AV1782,"&gt;0")*$AW$1705*$C$32+$AY$1705*$C$31)*$H$27*$AU$1705)</f>
        <v>0</v>
      </c>
      <c r="AY1781">
        <f>IF(AV1781=0,0,$AY$1705*$H$26*$AU$1705)</f>
        <v>0</v>
      </c>
      <c r="AZ1781">
        <f>(0.6*AW1781+0.7*AX1781)*$AU$1705/2</f>
        <v>0</v>
      </c>
      <c r="BA1781">
        <f>AW1781*$AU$1705/2</f>
        <v>0</v>
      </c>
      <c r="BC1781">
        <f>IF(AV1781=0,0,$BG$1705*$AP$1687)</f>
        <v>0</v>
      </c>
      <c r="BD1781">
        <f>IFERROR(BC1781/$AU$1705,0)</f>
        <v>0</v>
      </c>
      <c r="BE1781">
        <f>BC1781*($F$23+IF($F$23=0,0,($C$14+$C$15+IF($C$13="single",1.5,3)+3)/12))</f>
        <v>0</v>
      </c>
      <c r="BF1781">
        <f>BE1781-AZ1781</f>
        <v>0</v>
      </c>
      <c r="BG1781" cm="1">
        <f t="array" ref="BG1781">IFERROR(IF(BF1781&lt;0,0,BF1781/($AU$1705-INDEX(hd_off,MATCH(BT1781,hd_mark,0),0)/12)),0)</f>
        <v>0</v>
      </c>
      <c r="BH1781">
        <f>IF(AV1781=0,0,$BG$1705*$AM$1687)</f>
        <v>0</v>
      </c>
      <c r="BI1781">
        <f>IFERROR(BH1781/$AU$1705,0)</f>
        <v>0</v>
      </c>
      <c r="BJ1781">
        <f>BH1781*($F$23+IF($F$23=0,0,($C$14+$C$15+IF($C$13="single",1.5,3)+3)/12))</f>
        <v>0</v>
      </c>
      <c r="BK1781">
        <f>BJ1781-BA1781</f>
        <v>0</v>
      </c>
      <c r="BL1781" cm="1">
        <f t="array" ref="BL1781">IFERROR(IF(BK1781&lt;0,0,BK1781/($AU$1705-INDEX(hd_off,MATCH(BT1781,hd_mark,0),0)/12)),0)</f>
        <v>0</v>
      </c>
      <c r="BM1781">
        <f>MAX($F$23,$BD$1705)/$Q$1716</f>
        <v>0</v>
      </c>
      <c r="BN1781">
        <f t="shared" si="1096"/>
        <v>0</v>
      </c>
      <c r="BO1781" cm="1">
        <f t="array" ref="BO1781">IFERROR(INDEX(sheath_ecap_asd,MATCH(BS1781,sheath_mark,0),0)*BN1781,0)</f>
        <v>0</v>
      </c>
      <c r="BP1781" cm="1">
        <f t="array" ref="BP1781">IFERROR(INDEX(sheath_wcap_asd,MATCH(BS1781,sheath_mark,0),0)*BN1781,0)</f>
        <v>0</v>
      </c>
      <c r="BQ1781" cm="1">
        <f t="array" ref="BQ1781">IFERROR(INDEX(hd_cap,MATCH(BT1781,hd_mark,0),0),0)</f>
        <v>0</v>
      </c>
      <c r="BS1781" s="19"/>
      <c r="BT1781" s="19"/>
      <c r="BU1781" s="100"/>
    </row>
    <row r="1782" x14ac:dyDescent="0.25">
      <c r="P1782" s="93"/>
      <c r="Q1782" s="111">
        <f>$R$1705</f>
        <v>0</v>
      </c>
      <c r="R1782" t="str">
        <f>$Q$1688</f>
        <v>L5</v>
      </c>
      <c r="S1782">
        <f>$E$24</f>
        <v>0</v>
      </c>
      <c r="T1782" cm="1">
        <f t="array" ref="T1782">IFERROR(IF(S1782=0,0,(INDEX($C$33:$C$38,MATCH($W$1705,$B$33:$B$38,0),0)*(S1783+$X$1705)+$T$1705*COUNTIF(S1782:S1782,"&gt;0")*$C$32+$V$1705*$C$31)*$R$1705),0)</f>
        <v>0</v>
      </c>
      <c r="U1782">
        <f>IF(S1782=0,0,-(COUNTIF(S1782:S1782,"&gt;0")*$T$1705*$C$32+$V$1705*$C$31)*$H$27*$R$1705)</f>
        <v>0</v>
      </c>
      <c r="V1782">
        <f>IF(S1782=0,0,$V$1705*$H$26*$R$1705)</f>
        <v>0</v>
      </c>
      <c r="W1782">
        <f>(0.6*T1782+0.7*U1782)*$R$1705/2</f>
        <v>0</v>
      </c>
      <c r="X1782">
        <f>T1782*$R$1705/2</f>
        <v>0</v>
      </c>
      <c r="Z1782">
        <f>IF(S1782=0,0,$AD$1705*$AP$1688)</f>
        <v>0</v>
      </c>
      <c r="AA1782">
        <f>IFERROR(Z1782/$R$1705,0)</f>
        <v>0</v>
      </c>
      <c r="AB1782">
        <f>Z1782*($F$24+IF($F$24=0,0,($C$14+$C$15+IF($C$13="single",1.5,3)+3)/12))</f>
        <v>0</v>
      </c>
      <c r="AC1782">
        <f>AB1782-W1782</f>
        <v>0</v>
      </c>
      <c r="AD1782" cm="1">
        <f t="array" ref="AD1782">IFERROR(IF(AC1782&lt;0,0,AC1782/($R$1705-INDEX(hd_off,MATCH(AQ1782,hd_mark,0),0)/12)),0)</f>
        <v>0</v>
      </c>
      <c r="AE1782">
        <f>IF(S1782=0,0,$AD$1705*$AM$1688)</f>
        <v>0</v>
      </c>
      <c r="AF1782">
        <f>IFERROR(AE1782/$R$1705,0)</f>
        <v>0</v>
      </c>
      <c r="AG1782">
        <f>AE1782*($F$24+IF($F$24=0,0,($C$14+$C$15+IF($C$13="single",1.5,3)+3)/12))</f>
        <v>0</v>
      </c>
      <c r="AH1782">
        <f>AG1782-X1782</f>
        <v>0</v>
      </c>
      <c r="AI1782" cm="1">
        <f t="array" ref="AI1782">IFERROR(IF(AH1782&lt;0,0,AH1782/($R$1705-INDEX(hd_off,MATCH(AQ1782,hd_mark,0),0)/12)),0)</f>
        <v>0</v>
      </c>
      <c r="AJ1782">
        <f>MAX($F$24,$AB$1705)/$Q$1716</f>
        <v>0</v>
      </c>
      <c r="AK1782">
        <f t="shared" si="1095"/>
        <v>0</v>
      </c>
      <c r="AL1782" cm="1">
        <f t="array" ref="AL1782">IFERROR(INDEX(sheath_ecap_asd,MATCH(AP1782,sheath_mark,0),0)*AK1782,0)</f>
        <v>0</v>
      </c>
      <c r="AM1782" cm="1">
        <f t="array" ref="AM1782">IFERROR(INDEX(sheath_wcap_asd,MATCH(AP1782,sheath_mark,0),0)*AK1782,0)</f>
        <v>0</v>
      </c>
      <c r="AN1782" cm="1">
        <f t="array" ref="AN1782">IFERROR(INDEX(hd_cap,MATCH(AQ1782,hd_mark,0),0),0)</f>
        <v>0</v>
      </c>
      <c r="AP1782" s="19"/>
      <c r="AQ1782" s="19"/>
      <c r="AR1782" s="100"/>
      <c r="AS1782" s="93"/>
      <c r="AT1782" s="111">
        <f>$R$1705</f>
        <v>0</v>
      </c>
      <c r="AU1782" t="str">
        <f>$Q$1688</f>
        <v>L5</v>
      </c>
      <c r="AV1782">
        <f>$E$24</f>
        <v>0</v>
      </c>
      <c r="AW1782" cm="1">
        <f t="array" ref="AW1782">IFERROR(IF(AV1782=0,0,(INDEX($C$33:$C$38,MATCH($AZ$1705,$B$33:$B$38,0),0)*(AV1783+$BA$1705)+$AW$1705*COUNTIF(AV1782:AV1782,"&gt;0")*$C$32+$AY$1705*$C$31)*$AU$1705),0)</f>
        <v>0</v>
      </c>
      <c r="AX1782">
        <f>IF(AV1782=0,0,-(COUNTIF(AV1782:AV1782,"&gt;0")*$AW$1705*$C$32+$AY$1705*$C$31)*$H$27*$AU$1705)</f>
        <v>0</v>
      </c>
      <c r="AY1782">
        <f>IF(AV1782=0,0,$AY$1705*$H$26*$AU$1705)</f>
        <v>0</v>
      </c>
      <c r="AZ1782">
        <f>(0.6*AW1782+0.7*AX1782)*$AU$1705/2</f>
        <v>0</v>
      </c>
      <c r="BA1782">
        <f>AW1782*$AU$1705/2</f>
        <v>0</v>
      </c>
      <c r="BC1782">
        <f>IF(AV1782=0,0,$BG$1705*$AP$1688)</f>
        <v>0</v>
      </c>
      <c r="BD1782">
        <f>IFERROR(BC1782/$AU$1705,0)</f>
        <v>0</v>
      </c>
      <c r="BE1782">
        <f>BC1782*($F$24+IF($F$24=0,0,($C$14+$C$15+IF($C$13="single",1.5,3)+3)/12))</f>
        <v>0</v>
      </c>
      <c r="BF1782">
        <f>BE1782-AZ1782</f>
        <v>0</v>
      </c>
      <c r="BG1782" cm="1">
        <f t="array" ref="BG1782">IFERROR(IF(BF1782&lt;0,0,BF1782/($AU$1705-INDEX(hd_off,MATCH(BT1782,hd_mark,0),0)/12)),0)</f>
        <v>0</v>
      </c>
      <c r="BH1782">
        <f>IF(AV1782=0,0,$BG$1705*$AM$1688)</f>
        <v>0</v>
      </c>
      <c r="BI1782">
        <f>IFERROR(BH1782/$AU$1705,0)</f>
        <v>0</v>
      </c>
      <c r="BJ1782">
        <f>BH1782*($F$24+IF($F$24=0,0,($C$14+$C$15+IF($C$13="single",1.5,3)+3)/12))</f>
        <v>0</v>
      </c>
      <c r="BK1782">
        <f>BJ1782-BA1782</f>
        <v>0</v>
      </c>
      <c r="BL1782" cm="1">
        <f t="array" ref="BL1782">IFERROR(IF(BK1782&lt;0,0,BK1782/($AU$1705-INDEX(hd_off,MATCH(BT1782,hd_mark,0),0)/12)),0)</f>
        <v>0</v>
      </c>
      <c r="BM1782">
        <f>MAX($F$24,$BE$1705)/$Q$1716</f>
        <v>0</v>
      </c>
      <c r="BN1782">
        <f t="shared" si="1096"/>
        <v>0</v>
      </c>
      <c r="BO1782" cm="1">
        <f t="array" ref="BO1782">IFERROR(INDEX(sheath_ecap_asd,MATCH(BS1782,sheath_mark,0),0)*BN1782,0)</f>
        <v>0</v>
      </c>
      <c r="BP1782" cm="1">
        <f t="array" ref="BP1782">IFERROR(INDEX(sheath_wcap_asd,MATCH(BS1782,sheath_mark,0),0)*BN1782,0)</f>
        <v>0</v>
      </c>
      <c r="BQ1782" cm="1">
        <f t="array" ref="BQ1782">IFERROR(INDEX(hd_cap,MATCH(BT1782,hd_mark,0),0),0)</f>
        <v>0</v>
      </c>
      <c r="BS1782" s="19"/>
      <c r="BT1782" s="19"/>
      <c r="BU1782" s="100"/>
    </row>
    <row r="1783" x14ac:dyDescent="0.25">
      <c r="P1783" s="93"/>
      <c r="Q1783" s="109"/>
      <c r="R1783" t="str">
        <f>$Q$1689</f>
        <v>Roof</v>
      </c>
      <c r="S1783">
        <f>$E$25</f>
        <v>33.171875</v>
      </c>
      <c r="T1783" cm="1">
        <f t="array" ref="T1783">IFERROR(IF(S1783=0,0,(INDEX($C$33:$C$38,MATCH($W$1705,$B$33:$B$38,0),0)*(S1783+$X$1705)+$V$1705*$C$31)*$R$1705),0)</f>
        <v>0</v>
      </c>
      <c r="U1783">
        <f>IF(S1783=0,0,-$V$1705*$C$31*$H$27*$R$1705)</f>
        <v>0</v>
      </c>
      <c r="V1783">
        <f>IF(S1783=0,0,$V$1705*$H$26*$R$1705)</f>
        <v>0</v>
      </c>
      <c r="W1783">
        <f>(0.6*T1783+0.7*U1783)*$R$1705/2</f>
        <v>0</v>
      </c>
      <c r="X1783">
        <f>T1783*$R$1705/2</f>
        <v>0</v>
      </c>
      <c r="Z1783">
        <f>IF(S1783=0,0,$AD$1705*$AP$1689)</f>
        <v>0</v>
      </c>
      <c r="AA1783">
        <f>IFERROR(Z1783/$R$1705,0)</f>
        <v>0</v>
      </c>
      <c r="AB1783">
        <f>Z1783*($F$25+($C$16+$C$17+IF($C$13="single",1.5,3)+3)/12)</f>
        <v>0</v>
      </c>
      <c r="AC1783">
        <f>AB1783-W1783</f>
        <v>0</v>
      </c>
      <c r="AD1783" cm="1">
        <f t="array" ref="AD1783">IFERROR(IF(AC1783&lt;0,0,AC1783/($R$1705-INDEX(hd_off,MATCH(AQ1783,hd_mark,0),0)/12)),0)</f>
        <v>0</v>
      </c>
      <c r="AE1783">
        <f>IF(S1783=0,0,$AD$1705*$AM$1689)</f>
        <v>0</v>
      </c>
      <c r="AF1783">
        <f>IFERROR(AE1783/$R$1705,0)</f>
        <v>0</v>
      </c>
      <c r="AG1783">
        <f>AE1783*($F$25+($C$16+$C$17+IF($C$13="single",1.5,3)+3)/12)</f>
        <v>0</v>
      </c>
      <c r="AH1783">
        <f>AG1783-X1783</f>
        <v>0</v>
      </c>
      <c r="AI1783" cm="1">
        <f t="array" ref="AI1783">IFERROR(IF(AH1783&lt;0,0,AH1783/($R$1705-INDEX(hd_off,MATCH(AQ1783,hd_mark,0),0)/12)),0)</f>
        <v>0</v>
      </c>
      <c r="AJ1783">
        <f>MAX($F$25,$AC$1705)/$Q$1716</f>
        <v>0.29920977011494249</v>
      </c>
      <c r="AK1783">
        <f t="shared" si="1095"/>
        <v>1</v>
      </c>
      <c r="AL1783" cm="1">
        <f t="array" ref="AL1783">IFERROR(INDEX(sheath_ecap_asd,MATCH(AP1783,sheath_mark,0),0)*AK1783,0)</f>
        <v>0</v>
      </c>
      <c r="AM1783" cm="1">
        <f t="array" ref="AM1783">IFERROR(INDEX(sheath_wcap_asd,MATCH(AP1783,sheath_mark,0),0)*AK1783,0)</f>
        <v>0</v>
      </c>
      <c r="AN1783" cm="1">
        <f t="array" ref="AN1783">IFERROR(INDEX(hd_cap,MATCH(AQ1783,hd_mark,0),0),0)</f>
        <v>0</v>
      </c>
      <c r="AP1783" s="19"/>
      <c r="AQ1783" s="19"/>
      <c r="AR1783" s="100"/>
      <c r="AS1783" s="93"/>
      <c r="AT1783" s="109"/>
      <c r="AU1783" t="str">
        <f>$Q$1689</f>
        <v>Roof</v>
      </c>
      <c r="AV1783">
        <f>$E$25</f>
        <v>33.171875</v>
      </c>
      <c r="AW1783" cm="1">
        <f t="array" ref="AW1783">IFERROR(IF(AV1783=0,0,(INDEX($C$33:$C$38,MATCH($AZ$1705,$B$33:$B$38,0),0)*(AV1783+$BA$1705)+$AY$1705*$C$31)*$AU$1705),0)</f>
        <v>0</v>
      </c>
      <c r="AX1783">
        <f>IF(AV1783=0,0,-$AY$1705*$C$31*$H$27*$AU$1705)</f>
        <v>0</v>
      </c>
      <c r="AY1783">
        <f>IF(AV1783=0,0,$AY$1705*$H$26*$AU$1705)</f>
        <v>0</v>
      </c>
      <c r="AZ1783">
        <f>(0.6*AW1783+0.7*AX1783)*$AU$1705/2</f>
        <v>0</v>
      </c>
      <c r="BA1783">
        <f>AW1783*$AU$1705/2</f>
        <v>0</v>
      </c>
      <c r="BC1783">
        <f>IF(AV1783=0,0,$BG$1705*$AP$1689)</f>
        <v>0</v>
      </c>
      <c r="BD1783">
        <f>IFERROR(BC1783/$AU$1705,0)</f>
        <v>0</v>
      </c>
      <c r="BE1783">
        <f>BC1783*($F$25+($C$16+$C$17+IF($C$13="single",1.5,3)+3)/12)</f>
        <v>0</v>
      </c>
      <c r="BF1783">
        <f>BE1783-AZ1783</f>
        <v>0</v>
      </c>
      <c r="BG1783" cm="1">
        <f t="array" ref="BG1783">IFERROR(IF(BF1783&lt;0,0,BF1783/($AU$1705-INDEX(hd_off,MATCH(BT1783,hd_mark,0),0)/12)),0)</f>
        <v>0</v>
      </c>
      <c r="BH1783">
        <f>IF(AV1783=0,0,$BG$1705*$AM$1689)</f>
        <v>0</v>
      </c>
      <c r="BI1783">
        <f>IFERROR(BH1783/$AU$1705,0)</f>
        <v>0</v>
      </c>
      <c r="BJ1783">
        <f>BH1783*($F$25+($C$16+$C$17+IF($C$13="single",1.5,3)+3)/12)</f>
        <v>0</v>
      </c>
      <c r="BK1783">
        <f>BJ1783-BA1783</f>
        <v>0</v>
      </c>
      <c r="BL1783" cm="1">
        <f t="array" ref="BL1783">IFERROR(IF(BK1783&lt;0,0,BK1783/($AU$1705-INDEX(hd_off,MATCH(BT1783,hd_mark,0),0)/12)),0)</f>
        <v>0</v>
      </c>
      <c r="BM1783">
        <f>MAX($F$25,$BF$1705)/$Q$1716</f>
        <v>0.29920977011494249</v>
      </c>
      <c r="BN1783">
        <f t="shared" si="1096"/>
        <v>1</v>
      </c>
      <c r="BO1783" cm="1">
        <f t="array" ref="BO1783">IFERROR(INDEX(sheath_ecap_asd,MATCH(BS1783,sheath_mark,0),0)*BN1783,0)</f>
        <v>0</v>
      </c>
      <c r="BP1783" cm="1">
        <f t="array" ref="BP1783">IFERROR(INDEX(sheath_wcap_asd,MATCH(BS1783,sheath_mark,0),0)*BN1783,0)</f>
        <v>0</v>
      </c>
      <c r="BQ1783" cm="1">
        <f t="array" ref="BQ1783">IFERROR(INDEX(hd_cap,MATCH(BT1783,hd_mark,0),0),0)</f>
        <v>0</v>
      </c>
      <c r="BS1783" s="19"/>
      <c r="BT1783" s="19"/>
      <c r="BU1783" s="100"/>
    </row>
    <row r="1784" x14ac:dyDescent="0.25">
      <c r="P1784" s="93"/>
      <c r="AR1784" s="100"/>
      <c r="AS1784" s="93"/>
      <c r="BU1784" s="100"/>
    </row>
    <row r="1785" x14ac:dyDescent="0.25">
      <c r="P1785" s="93"/>
      <c r="Q1785" s="110" t="str">
        <f>$Q$1706</f>
        <v>A.13</v>
      </c>
      <c r="R1785" t="str">
        <f>$Q$1685</f>
        <v>L2</v>
      </c>
      <c r="S1785">
        <f>$E$21</f>
        <v>10.6875</v>
      </c>
      <c r="T1785" cm="1">
        <f t="array" ref="T1785">IFERROR(IF(S1785=0,0,(INDEX($C$33:$C$38,MATCH($W$1706,$B$33:$B$38,0),0)*(S1789+$X$1706)+$T$1706*COUNTIF(S1785:S1788,"&gt;0")*$C$32+$V$1706*$C$31)*$R$1706),0)</f>
        <v>0</v>
      </c>
      <c r="U1785">
        <f>IF(S1785=0,0,-(COUNTIF(S1785:S1788,"&gt;0")*$T$1706*$C$32+$V$1706*$C$31)*$H$27*$R$1706)</f>
        <v>0</v>
      </c>
      <c r="V1785">
        <f>IF(S1785=0,0,$V$1706*$H$26*$R$1706)</f>
        <v>0</v>
      </c>
      <c r="W1785">
        <f>(0.6*T1785+0.7*U1785)*$R$1706/2</f>
        <v>0</v>
      </c>
      <c r="X1785">
        <f>(0.6*T1785+0.6*V1785)*$R$1706/2</f>
        <v>0</v>
      </c>
      <c r="Z1785">
        <f>IF(S1785=0,0,$AD$1706*$AP$1685)</f>
        <v>0</v>
      </c>
      <c r="AA1785">
        <f>IFERROR(Z1785/$R$1706,0)</f>
        <v>0</v>
      </c>
      <c r="AB1785">
        <f>Z1785*($F$21+IF($F$21=0,0,($C$14+$C$15+IF($C$13="single",1.5,3)+3)/12))</f>
        <v>0</v>
      </c>
      <c r="AC1785">
        <f>AB1785-W1785</f>
        <v>0</v>
      </c>
      <c r="AD1785" cm="1">
        <f t="array" ref="AD1785">IFERROR(IF(AC1785&lt;0,0,AC1785/($R$1706-INDEX(hd_off,MATCH(AQ1785,hd_mark,0),0)/12)),0)</f>
        <v>0</v>
      </c>
      <c r="AE1785">
        <f>IF(S1785=0,0,$AD$1706*$AM$1685)</f>
        <v>0</v>
      </c>
      <c r="AF1785">
        <f>IFERROR(AE1785/$R$1706,0)</f>
        <v>0</v>
      </c>
      <c r="AG1785">
        <f>AE1785*($F$21+IF($F$21=0,0,($C$14+$C$15+IF($C$13="single",1.5,3)+3)/12))</f>
        <v>0</v>
      </c>
      <c r="AH1785">
        <f>AG1785-X1785</f>
        <v>0</v>
      </c>
      <c r="AI1785" cm="1">
        <f t="array" ref="AI1785">IFERROR(IF(AH1785&lt;0,0,AH1785/($R$1706-INDEX(hd_off,MATCH(AQ1785,hd_mark,0),0)/12)),0)</f>
        <v>0</v>
      </c>
      <c r="AJ1785">
        <f>MAX($F$21,$Y$1706)/$Q$1716</f>
        <v>0.30172413793103448</v>
      </c>
      <c r="AK1785">
        <f>IF(AJ1785=0,0,IF(AJ1785&gt;2,1.25-0.125*AJ1785,1))</f>
        <v>1</v>
      </c>
      <c r="AL1785" cm="1">
        <f t="array" ref="AL1785">IFERROR(INDEX(sheath_ecap_asd,MATCH(AP1785,sheath_mark,0),0)*AK1785,0)</f>
        <v>0</v>
      </c>
      <c r="AM1785" cm="1">
        <f t="array" ref="AM1785">IFERROR(INDEX(sheath_wcap_asd,MATCH(AP1785,sheath_mark,0),0)*AK1785,0)</f>
        <v>0</v>
      </c>
      <c r="AN1785" cm="1">
        <f t="array" ref="AN1785">IFERROR(INDEX(hd_cap,MATCH(AQ1785,hd_mark,0),0),0)</f>
        <v>0</v>
      </c>
      <c r="AP1785" s="19"/>
      <c r="AQ1785" s="19"/>
      <c r="AR1785" s="100"/>
      <c r="AS1785" s="93"/>
      <c r="AT1785" s="110" t="str">
        <f>$AT$1706</f>
        <v>1.13</v>
      </c>
      <c r="AU1785" t="str">
        <f>$Q$1685</f>
        <v>L2</v>
      </c>
      <c r="AV1785">
        <f>$E$21</f>
        <v>10.6875</v>
      </c>
      <c r="AW1785" cm="1">
        <f t="array" ref="AW1785">IFERROR(IF(AV1785=0,0,(INDEX($C$33:$C$38,MATCH($AZ$1706,$B$33:$B$38,0),0)*(AV1789+$BA$1706)+$AW$1706*COUNTIF(AV1785:AV1788,"&gt;0")*$C$32+$AY$1706*$C$31)*$AU$1706),0)</f>
        <v>0</v>
      </c>
      <c r="AX1785">
        <f>IF(AV1785=0,0,-(COUNTIF(AV1785:AV1788,"&gt;0")*$AW$1706*$C$32+$AY$1706*$C$31)*$H$27*$AU$1706)</f>
        <v>0</v>
      </c>
      <c r="AY1785">
        <f>IF(AV1785=0,0,$AY$1706*$H$26*$AU$1706)</f>
        <v>0</v>
      </c>
      <c r="AZ1785">
        <f>(0.6*AW1785+0.7*AX1785)*$AU$1706/2</f>
        <v>0</v>
      </c>
      <c r="BA1785">
        <f>(0.6*AW1785+0.6*AY1785)*$AU$1706/2</f>
        <v>0</v>
      </c>
      <c r="BC1785">
        <f>IF(AV1785=0,0,$BG$1706*$AP$1685)</f>
        <v>0</v>
      </c>
      <c r="BD1785">
        <f>IFERROR(BC1785/$AU$1706,0)</f>
        <v>0</v>
      </c>
      <c r="BE1785">
        <f>BC1785*($F$21+IF($F$21=0,0,($C$14+$C$15+IF($C$13="single",1.5,3)+3)/12))</f>
        <v>0</v>
      </c>
      <c r="BF1785">
        <f>BE1785-AZ1785</f>
        <v>0</v>
      </c>
      <c r="BG1785" cm="1">
        <f t="array" ref="BG1785">IFERROR(IF(BF1785&lt;0,0,BF1785/($AU$1706-INDEX(hd_off,MATCH(BT1785,hd_mark,0),0)/12)),0)</f>
        <v>0</v>
      </c>
      <c r="BH1785">
        <f>IF(AV1785=0,0,$BG$1706*$AM$1685)</f>
        <v>0</v>
      </c>
      <c r="BI1785">
        <f>IFERROR(BH1785/$AU$1706,0)</f>
        <v>0</v>
      </c>
      <c r="BJ1785">
        <f>BH1785*($F$21+IF($F$21=0,0,($C$14+$C$15+IF($C$13="single",1.5,3)+3)/12))</f>
        <v>0</v>
      </c>
      <c r="BK1785">
        <f>BJ1785-BA1785</f>
        <v>0</v>
      </c>
      <c r="BL1785" cm="1">
        <f t="array" ref="BL1785">IFERROR(IF(BK1785&lt;0,0,BK1785/($AU$1706-INDEX(hd_off,MATCH(BT1785,hd_mark,0),0)/12)),0)</f>
        <v>0</v>
      </c>
      <c r="BM1785">
        <f>MAX($F$21,$BB$1706)/$Q$1716</f>
        <v>0.30172413793103448</v>
      </c>
      <c r="BN1785">
        <f>IF(BM1785=0,0,IF(BM1785&gt;2,1.25-0.125*BM1785,1))</f>
        <v>1</v>
      </c>
      <c r="BO1785" cm="1">
        <f t="array" ref="BO1785">IFERROR(INDEX(sheath_ecap_asd,MATCH(BS1785,sheath_mark,0),0)*BN1785,0)</f>
        <v>0</v>
      </c>
      <c r="BP1785" cm="1">
        <f t="array" ref="BP1785">IFERROR(INDEX(sheath_wcap_asd,MATCH(BS1785,sheath_mark,0),0)*BN1785,0)</f>
        <v>0</v>
      </c>
      <c r="BQ1785" cm="1">
        <f t="array" ref="BQ1785">IFERROR(INDEX(hd_cap,MATCH(BT1785,hd_mark,0),0),0)</f>
        <v>0</v>
      </c>
      <c r="BS1785" s="19"/>
      <c r="BT1785" s="19"/>
      <c r="BU1785" s="100"/>
    </row>
    <row r="1786" x14ac:dyDescent="0.25">
      <c r="P1786" s="93"/>
      <c r="Q1786" s="109"/>
      <c r="R1786" t="str">
        <f>$Q$1686</f>
        <v>L3</v>
      </c>
      <c r="S1786">
        <f>$E$22</f>
        <v>21.375</v>
      </c>
      <c r="T1786" cm="1">
        <f t="array" ref="T1786">IFERROR(IF(S1786=0,0,(INDEX($C$33:$C$38,MATCH($W$1706,$B$33:$B$38,0),0)*(S1789+$X$1706)+$T$1706*COUNTIF(S1786:S1788,"&gt;0")*$C$32+$V$1706*$C$31)*$R$1706),0)</f>
        <v>0</v>
      </c>
      <c r="U1786">
        <f>IF(S1786=0,0,-(COUNTIF(S1786:S1788,"&gt;0")*$T$1706*$C$32+$V$1706*$C$31)*$H$27*$R$1706)</f>
        <v>0</v>
      </c>
      <c r="V1786">
        <f>IF(S1786=0,0,$V$1706*$H$26*$R$1706)</f>
        <v>0</v>
      </c>
      <c r="W1786">
        <f>(0.6*T1786+0.7*U1786)*$R$1706/2</f>
        <v>0</v>
      </c>
      <c r="X1786">
        <f>T1786*$R$1706/2</f>
        <v>0</v>
      </c>
      <c r="Z1786">
        <f>IF(S1786=0,0,$AD$1706*$AP$1686)</f>
        <v>0</v>
      </c>
      <c r="AA1786">
        <f>IFERROR(Z1786/$R$1706,0)</f>
        <v>0</v>
      </c>
      <c r="AB1786">
        <f>Z1786*($F$22+IF($F$22=0,0,($C$14+$C$15+IF($C$13="single",1.5,3)+3)/12))</f>
        <v>0</v>
      </c>
      <c r="AC1786">
        <f>AB1786-W1786</f>
        <v>0</v>
      </c>
      <c r="AD1786" cm="1">
        <f t="array" ref="AD1786">IFERROR(IF(AC1786&lt;0,0,AC1786/($R$1706-INDEX(hd_off,MATCH(AQ1786,hd_mark,0),0)/12)),0)</f>
        <v>0</v>
      </c>
      <c r="AE1786">
        <f>IF(S1786=0,0,$AD$1706*$AM$1686)</f>
        <v>0</v>
      </c>
      <c r="AF1786">
        <f>IFERROR(AE1786/$R$1706,0)</f>
        <v>0</v>
      </c>
      <c r="AG1786">
        <f>AE1786*($F$22+IF($F$22=0,0,($C$14+$C$15+IF($C$13="single",1.5,3)+3)/12))</f>
        <v>0</v>
      </c>
      <c r="AH1786">
        <f>AG1786-X1786</f>
        <v>0</v>
      </c>
      <c r="AI1786" cm="1">
        <f t="array" ref="AI1786">IFERROR(IF(AH1786&lt;0,0,AH1786/($R$1706-INDEX(hd_off,MATCH(AQ1786,hd_mark,0),0)/12)),0)</f>
        <v>0</v>
      </c>
      <c r="AJ1786">
        <f>MAX($F$22,$Z$1706)/$Q$1716</f>
        <v>0.30172413793103448</v>
      </c>
      <c r="AK1786">
        <f t="shared" ref="AK1786:AK1789" si="1097">IF(AJ1786=0,0,IF(AJ1786&gt;2,1.25-0.125*AJ1786,1))</f>
        <v>1</v>
      </c>
      <c r="AL1786" cm="1">
        <f t="array" ref="AL1786">IFERROR(INDEX(sheath_ecap_asd,MATCH(AP1786,sheath_mark,0),0)*AK1786,0)</f>
        <v>0</v>
      </c>
      <c r="AM1786" cm="1">
        <f t="array" ref="AM1786">IFERROR(INDEX(sheath_wcap_asd,MATCH(AP1786,sheath_mark,0),0)*AK1786,0)</f>
        <v>0</v>
      </c>
      <c r="AN1786" cm="1">
        <f t="array" ref="AN1786">IFERROR(INDEX(hd_cap,MATCH(AQ1786,hd_mark,0),0),0)</f>
        <v>0</v>
      </c>
      <c r="AP1786" s="19"/>
      <c r="AQ1786" s="19"/>
      <c r="AR1786" s="100"/>
      <c r="AS1786" s="93"/>
      <c r="AT1786" s="109"/>
      <c r="AU1786" t="str">
        <f>$Q$1686</f>
        <v>L3</v>
      </c>
      <c r="AV1786">
        <f>$E$22</f>
        <v>21.375</v>
      </c>
      <c r="AW1786" cm="1">
        <f t="array" ref="AW1786">IFERROR(IF(AV1786=0,0,(INDEX($C$33:$C$38,MATCH($AZ$1706,$B$33:$B$38,0),0)*(AV1789+$BA$1706)+$AW$1706*COUNTIF(AV1786:AV1788,"&gt;0")*$C$32+$AY$1706*$C$31)*$AU$1706),0)</f>
        <v>0</v>
      </c>
      <c r="AX1786">
        <f>IF(AV1786=0,0,-(COUNTIF(AV1786:AV1788,"&gt;0")*$AW$1706*$C$32+$AY$1706*$C$31)*$H$27*$AU$1706)</f>
        <v>0</v>
      </c>
      <c r="AY1786">
        <f>IF(AV1786=0,0,$AY$1706*$H$26*$AU$1706)</f>
        <v>0</v>
      </c>
      <c r="AZ1786">
        <f>(0.6*AW1786+0.7*AX1786)*$AU$1706/2</f>
        <v>0</v>
      </c>
      <c r="BA1786">
        <f>AW1786*$AU$1706/2</f>
        <v>0</v>
      </c>
      <c r="BC1786">
        <f>IF(AV1786=0,0,$BG$1706*$AP$1686)</f>
        <v>0</v>
      </c>
      <c r="BD1786">
        <f>IFERROR(BC1786/$AU$1706,0)</f>
        <v>0</v>
      </c>
      <c r="BE1786">
        <f>BC1786*($F$22+IF($F$22=0,0,($C$14+$C$15+IF($C$13="single",1.5,3)+3)/12))</f>
        <v>0</v>
      </c>
      <c r="BF1786">
        <f>BE1786-AZ1786</f>
        <v>0</v>
      </c>
      <c r="BG1786" cm="1">
        <f t="array" ref="BG1786">IFERROR(IF(BF1786&lt;0,0,BF1786/($AU$1706-INDEX(hd_off,MATCH(BT1786,hd_mark,0),0)/12)),0)</f>
        <v>0</v>
      </c>
      <c r="BH1786">
        <f>IF(AV1786=0,0,$BG$1706*$AM$1686)</f>
        <v>0</v>
      </c>
      <c r="BI1786">
        <f>IFERROR(BH1786/$AU$1706,0)</f>
        <v>0</v>
      </c>
      <c r="BJ1786">
        <f>BH1786*($F$22+IF($F$22=0,0,($C$14+$C$15+IF($C$13="single",1.5,3)+3)/12))</f>
        <v>0</v>
      </c>
      <c r="BK1786">
        <f>BJ1786-BA1786</f>
        <v>0</v>
      </c>
      <c r="BL1786" cm="1">
        <f t="array" ref="BL1786">IFERROR(IF(BK1786&lt;0,0,BK1786/($AU$1706-INDEX(hd_off,MATCH(BT1786,hd_mark,0),0)/12)),0)</f>
        <v>0</v>
      </c>
      <c r="BM1786">
        <f>MAX($F$22,$BC$1706)/$Q$1716</f>
        <v>0.30172413793103448</v>
      </c>
      <c r="BN1786">
        <f t="shared" ref="BN1786:BN1789" si="1098">IF(BM1786=0,0,IF(BM1786&gt;2,1.25-0.125*BM1786,1))</f>
        <v>1</v>
      </c>
      <c r="BO1786" cm="1">
        <f t="array" ref="BO1786">IFERROR(INDEX(sheath_ecap_asd,MATCH(BS1786,sheath_mark,0),0)*BN1786,0)</f>
        <v>0</v>
      </c>
      <c r="BP1786" cm="1">
        <f t="array" ref="BP1786">IFERROR(INDEX(sheath_wcap_asd,MATCH(BS1786,sheath_mark,0),0)*BN1786,0)</f>
        <v>0</v>
      </c>
      <c r="BQ1786" cm="1">
        <f t="array" ref="BQ1786">IFERROR(INDEX(hd_cap,MATCH(BT1786,hd_mark,0),0),0)</f>
        <v>0</v>
      </c>
      <c r="BS1786" s="19"/>
      <c r="BT1786" s="19"/>
      <c r="BU1786" s="100"/>
    </row>
    <row r="1787" x14ac:dyDescent="0.25">
      <c r="P1787" s="93"/>
      <c r="Q1787" s="109" t="s">
        <v>491</v>
      </c>
      <c r="R1787" t="str">
        <f>$Q$1687</f>
        <v>L4</v>
      </c>
      <c r="S1787">
        <f>$E$23</f>
        <v>0</v>
      </c>
      <c r="T1787" cm="1">
        <f t="array" ref="T1787">IFERROR(IF(S1787=0,0,(INDEX($C$33:$C$38,MATCH($W$1706,$B$33:$B$38,0),0)*(S1789+$X$1706)+$T$1706*COUNTIF(S1787:S1788,"&gt;0")*$C$32+$V$1706*$C$31)*$R$1706),0)</f>
        <v>0</v>
      </c>
      <c r="U1787">
        <f>IF(S1787=0,0,-(COUNTIF(S1787:S1788,"&gt;0")*$T$1706*$C$32+$V$1706*$C$31)*$H$27*$R$1706)</f>
        <v>0</v>
      </c>
      <c r="V1787">
        <f>IF(S1787=0,0,$V$1706*$H$26*$R$1706)</f>
        <v>0</v>
      </c>
      <c r="W1787">
        <f>(0.6*T1787+0.7*U1787)*$R$1706/2</f>
        <v>0</v>
      </c>
      <c r="X1787">
        <f>T1787*$R$1706/2</f>
        <v>0</v>
      </c>
      <c r="Z1787">
        <f>IF(S1787=0,0,$AD$1706*$AP$1687)</f>
        <v>0</v>
      </c>
      <c r="AA1787">
        <f>IFERROR(Z1787/$R$1706,0)</f>
        <v>0</v>
      </c>
      <c r="AB1787">
        <f>Z1787*($F$23+IF($F$23=0,0,($C$14+$C$15+IF($C$13="single",1.5,3)+3)/12))</f>
        <v>0</v>
      </c>
      <c r="AC1787">
        <f>AB1787-W1787</f>
        <v>0</v>
      </c>
      <c r="AD1787" cm="1">
        <f t="array" ref="AD1787">IFERROR(IF(AC1787&lt;0,0,AC1787/($R$1706-INDEX(hd_off,MATCH(AQ1787,hd_mark,0),0)/12)),0)</f>
        <v>0</v>
      </c>
      <c r="AE1787">
        <f>IF(S1787=0,0,$AD$1706*$AM$1687)</f>
        <v>0</v>
      </c>
      <c r="AF1787">
        <f>IFERROR(AE1787/$R$1706,0)</f>
        <v>0</v>
      </c>
      <c r="AG1787">
        <f>AE1787*($F$23+IF($F$23=0,0,($C$14+$C$15+IF($C$13="single",1.5,3)+3)/12))</f>
        <v>0</v>
      </c>
      <c r="AH1787">
        <f>AG1787-X1787</f>
        <v>0</v>
      </c>
      <c r="AI1787" cm="1">
        <f t="array" ref="AI1787">IFERROR(IF(AH1787&lt;0,0,AH1787/($R$1706-INDEX(hd_off,MATCH(AQ1787,hd_mark,0),0)/12)),0)</f>
        <v>0</v>
      </c>
      <c r="AJ1787">
        <f>MAX($F$23,$AA$1706)/$Q$1716</f>
        <v>0</v>
      </c>
      <c r="AK1787">
        <f t="shared" si="1097"/>
        <v>0</v>
      </c>
      <c r="AL1787" cm="1">
        <f t="array" ref="AL1787">IFERROR(INDEX(sheath_ecap_asd,MATCH(AP1787,sheath_mark,0),0)*AK1787,0)</f>
        <v>0</v>
      </c>
      <c r="AM1787" cm="1">
        <f t="array" ref="AM1787">IFERROR(INDEX(sheath_wcap_asd,MATCH(AP1787,sheath_mark,0),0)*AK1787,0)</f>
        <v>0</v>
      </c>
      <c r="AN1787" cm="1">
        <f t="array" ref="AN1787">IFERROR(INDEX(hd_cap,MATCH(AQ1787,hd_mark,0),0),0)</f>
        <v>0</v>
      </c>
      <c r="AP1787" s="19"/>
      <c r="AQ1787" s="19"/>
      <c r="AR1787" s="100"/>
      <c r="AS1787" s="93"/>
      <c r="AT1787" s="109" t="s">
        <v>491</v>
      </c>
      <c r="AU1787" t="str">
        <f>$Q$1687</f>
        <v>L4</v>
      </c>
      <c r="AV1787">
        <f>$E$23</f>
        <v>0</v>
      </c>
      <c r="AW1787" cm="1">
        <f t="array" ref="AW1787">IFERROR(IF(AV1787=0,0,(INDEX($C$33:$C$38,MATCH($AZ$1706,$B$33:$B$38,0),0)*(AV1789+$BA$1706)+$AW$1706*COUNTIF(AV1787:AV1788,"&gt;0")*$C$32+$AY$1706*$C$31)*$AU$1706),0)</f>
        <v>0</v>
      </c>
      <c r="AX1787">
        <f>IF(AV1787=0,0,-(COUNTIF(AV1787:AV1788,"&gt;0")*$AW$1706*$C$32+$AY$1706*$C$31)*$H$27*$AU$1706)</f>
        <v>0</v>
      </c>
      <c r="AY1787">
        <f>IF(AV1787=0,0,$AY$1706*$H$26*$AU$1706)</f>
        <v>0</v>
      </c>
      <c r="AZ1787">
        <f>(0.6*AW1787+0.7*AX1787)*$AU$1706/2</f>
        <v>0</v>
      </c>
      <c r="BA1787">
        <f>AW1787*$AU$1706/2</f>
        <v>0</v>
      </c>
      <c r="BC1787">
        <f>IF(AV1787=0,0,$BG$1706*$AP$1687)</f>
        <v>0</v>
      </c>
      <c r="BD1787">
        <f>IFERROR(BC1787/$AU$1706,0)</f>
        <v>0</v>
      </c>
      <c r="BE1787">
        <f>BC1787*($F$23+IF($F$23=0,0,($C$14+$C$15+IF($C$13="single",1.5,3)+3)/12))</f>
        <v>0</v>
      </c>
      <c r="BF1787">
        <f>BE1787-AZ1787</f>
        <v>0</v>
      </c>
      <c r="BG1787" cm="1">
        <f t="array" ref="BG1787">IFERROR(IF(BF1787&lt;0,0,BF1787/($AU$1706-INDEX(hd_off,MATCH(BT1787,hd_mark,0),0)/12)),0)</f>
        <v>0</v>
      </c>
      <c r="BH1787">
        <f>IF(AV1787=0,0,$BG$1706*$AM$1687)</f>
        <v>0</v>
      </c>
      <c r="BI1787">
        <f>IFERROR(BH1787/$AU$1706,0)</f>
        <v>0</v>
      </c>
      <c r="BJ1787">
        <f>BH1787*($F$23+IF($F$23=0,0,($C$14+$C$15+IF($C$13="single",1.5,3)+3)/12))</f>
        <v>0</v>
      </c>
      <c r="BK1787">
        <f>BJ1787-BA1787</f>
        <v>0</v>
      </c>
      <c r="BL1787" cm="1">
        <f t="array" ref="BL1787">IFERROR(IF(BK1787&lt;0,0,BK1787/($AU$1706-INDEX(hd_off,MATCH(BT1787,hd_mark,0),0)/12)),0)</f>
        <v>0</v>
      </c>
      <c r="BM1787">
        <f>MAX($F$23,$BD$1706)/$Q$1716</f>
        <v>0</v>
      </c>
      <c r="BN1787">
        <f t="shared" si="1098"/>
        <v>0</v>
      </c>
      <c r="BO1787" cm="1">
        <f t="array" ref="BO1787">IFERROR(INDEX(sheath_ecap_asd,MATCH(BS1787,sheath_mark,0),0)*BN1787,0)</f>
        <v>0</v>
      </c>
      <c r="BP1787" cm="1">
        <f t="array" ref="BP1787">IFERROR(INDEX(sheath_wcap_asd,MATCH(BS1787,sheath_mark,0),0)*BN1787,0)</f>
        <v>0</v>
      </c>
      <c r="BQ1787" cm="1">
        <f t="array" ref="BQ1787">IFERROR(INDEX(hd_cap,MATCH(BT1787,hd_mark,0),0),0)</f>
        <v>0</v>
      </c>
      <c r="BS1787" s="19"/>
      <c r="BT1787" s="19"/>
      <c r="BU1787" s="100"/>
    </row>
    <row r="1788" x14ac:dyDescent="0.25">
      <c r="P1788" s="93"/>
      <c r="Q1788" s="111">
        <f>$R$1706</f>
        <v>0</v>
      </c>
      <c r="R1788" t="str">
        <f>$Q$1688</f>
        <v>L5</v>
      </c>
      <c r="S1788">
        <f>$E$24</f>
        <v>0</v>
      </c>
      <c r="T1788" cm="1">
        <f t="array" ref="T1788">IFERROR(IF(S1788=0,0,(INDEX($C$33:$C$38,MATCH($W$1706,$B$33:$B$38,0),0)*(S1789+$X$1706)+$T$1706*COUNTIF(S1788:S1788,"&gt;0")*$C$32+$V$1706*$C$31)*$R$1706),0)</f>
        <v>0</v>
      </c>
      <c r="U1788">
        <f>IF(S1788=0,0,-(COUNTIF(S1788:S1788,"&gt;0")*$T$1706*$C$32+$V$1706*$C$31)*$H$27*$R$1706)</f>
        <v>0</v>
      </c>
      <c r="V1788">
        <f>IF(S1788=0,0,$V$1706*$H$26*$R$1706)</f>
        <v>0</v>
      </c>
      <c r="W1788">
        <f>(0.6*T1788+0.7*U1788)*$R$1706/2</f>
        <v>0</v>
      </c>
      <c r="X1788">
        <f>T1788*$R$1706/2</f>
        <v>0</v>
      </c>
      <c r="Z1788">
        <f>IF(S1788=0,0,$AD$1706*$AP$1688)</f>
        <v>0</v>
      </c>
      <c r="AA1788">
        <f>IFERROR(Z1788/$R$1706,0)</f>
        <v>0</v>
      </c>
      <c r="AB1788">
        <f>Z1788*($F$24+IF($F$24=0,0,($C$14+$C$15+IF($C$13="single",1.5,3)+3)/12))</f>
        <v>0</v>
      </c>
      <c r="AC1788">
        <f>AB1788-W1788</f>
        <v>0</v>
      </c>
      <c r="AD1788" cm="1">
        <f t="array" ref="AD1788">IFERROR(IF(AC1788&lt;0,0,AC1788/($R$1706-INDEX(hd_off,MATCH(AQ1788,hd_mark,0),0)/12)),0)</f>
        <v>0</v>
      </c>
      <c r="AE1788">
        <f>IF(S1788=0,0,$AD$1706*$AM$1688)</f>
        <v>0</v>
      </c>
      <c r="AF1788">
        <f>IFERROR(AE1788/$R$1706,0)</f>
        <v>0</v>
      </c>
      <c r="AG1788">
        <f>AE1788*($F$24+IF($F$24=0,0,($C$14+$C$15+IF($C$13="single",1.5,3)+3)/12))</f>
        <v>0</v>
      </c>
      <c r="AH1788">
        <f>AG1788-X1788</f>
        <v>0</v>
      </c>
      <c r="AI1788" cm="1">
        <f t="array" ref="AI1788">IFERROR(IF(AH1788&lt;0,0,AH1788/($R$1706-INDEX(hd_off,MATCH(AQ1788,hd_mark,0),0)/12)),0)</f>
        <v>0</v>
      </c>
      <c r="AJ1788">
        <f>MAX($F$24,$AB$1706)/$Q$1716</f>
        <v>0</v>
      </c>
      <c r="AK1788">
        <f t="shared" si="1097"/>
        <v>0</v>
      </c>
      <c r="AL1788" cm="1">
        <f t="array" ref="AL1788">IFERROR(INDEX(sheath_ecap_asd,MATCH(AP1788,sheath_mark,0),0)*AK1788,0)</f>
        <v>0</v>
      </c>
      <c r="AM1788" cm="1">
        <f t="array" ref="AM1788">IFERROR(INDEX(sheath_wcap_asd,MATCH(AP1788,sheath_mark,0),0)*AK1788,0)</f>
        <v>0</v>
      </c>
      <c r="AN1788" cm="1">
        <f t="array" ref="AN1788">IFERROR(INDEX(hd_cap,MATCH(AQ1788,hd_mark,0),0),0)</f>
        <v>0</v>
      </c>
      <c r="AP1788" s="19"/>
      <c r="AQ1788" s="19"/>
      <c r="AR1788" s="100"/>
      <c r="AS1788" s="93"/>
      <c r="AT1788" s="111">
        <f>$R$1706</f>
        <v>0</v>
      </c>
      <c r="AU1788" t="str">
        <f>$Q$1688</f>
        <v>L5</v>
      </c>
      <c r="AV1788">
        <f>$E$24</f>
        <v>0</v>
      </c>
      <c r="AW1788" cm="1">
        <f t="array" ref="AW1788">IFERROR(IF(AV1788=0,0,(INDEX($C$33:$C$38,MATCH($AZ$1706,$B$33:$B$38,0),0)*(AV1789+$BA$1706)+$AW$1706*COUNTIF(AV1788:AV1788,"&gt;0")*$C$32+$AY$1706*$C$31)*$AU$1706),0)</f>
        <v>0</v>
      </c>
      <c r="AX1788">
        <f>IF(AV1788=0,0,-(COUNTIF(AV1788:AV1788,"&gt;0")*$AW$1706*$C$32+$AY$1706*$C$31)*$H$27*$AU$1706)</f>
        <v>0</v>
      </c>
      <c r="AY1788">
        <f>IF(AV1788=0,0,$AY$1706*$H$26*$AU$1706)</f>
        <v>0</v>
      </c>
      <c r="AZ1788">
        <f>(0.6*AW1788+0.7*AX1788)*$AU$1706/2</f>
        <v>0</v>
      </c>
      <c r="BA1788">
        <f>AW1788*$AU$1706/2</f>
        <v>0</v>
      </c>
      <c r="BC1788">
        <f>IF(AV1788=0,0,$BG$1706*$AP$1688)</f>
        <v>0</v>
      </c>
      <c r="BD1788">
        <f>IFERROR(BC1788/$AU$1706,0)</f>
        <v>0</v>
      </c>
      <c r="BE1788">
        <f>BC1788*($F$24+IF($F$24=0,0,($C$14+$C$15+IF($C$13="single",1.5,3)+3)/12))</f>
        <v>0</v>
      </c>
      <c r="BF1788">
        <f>BE1788-AZ1788</f>
        <v>0</v>
      </c>
      <c r="BG1788" cm="1">
        <f t="array" ref="BG1788">IFERROR(IF(BF1788&lt;0,0,BF1788/($AU$1706-INDEX(hd_off,MATCH(BT1788,hd_mark,0),0)/12)),0)</f>
        <v>0</v>
      </c>
      <c r="BH1788">
        <f>IF(AV1788=0,0,$BG$1706*$AM$1688)</f>
        <v>0</v>
      </c>
      <c r="BI1788">
        <f>IFERROR(BH1788/$AU$1706,0)</f>
        <v>0</v>
      </c>
      <c r="BJ1788">
        <f>BH1788*($F$24+IF($F$24=0,0,($C$14+$C$15+IF($C$13="single",1.5,3)+3)/12))</f>
        <v>0</v>
      </c>
      <c r="BK1788">
        <f>BJ1788-BA1788</f>
        <v>0</v>
      </c>
      <c r="BL1788" cm="1">
        <f t="array" ref="BL1788">IFERROR(IF(BK1788&lt;0,0,BK1788/($AU$1706-INDEX(hd_off,MATCH(BT1788,hd_mark,0),0)/12)),0)</f>
        <v>0</v>
      </c>
      <c r="BM1788">
        <f>MAX($F$24,$BE$1706)/$Q$1716</f>
        <v>0</v>
      </c>
      <c r="BN1788">
        <f t="shared" si="1098"/>
        <v>0</v>
      </c>
      <c r="BO1788" cm="1">
        <f t="array" ref="BO1788">IFERROR(INDEX(sheath_ecap_asd,MATCH(BS1788,sheath_mark,0),0)*BN1788,0)</f>
        <v>0</v>
      </c>
      <c r="BP1788" cm="1">
        <f t="array" ref="BP1788">IFERROR(INDEX(sheath_wcap_asd,MATCH(BS1788,sheath_mark,0),0)*BN1788,0)</f>
        <v>0</v>
      </c>
      <c r="BQ1788" cm="1">
        <f t="array" ref="BQ1788">IFERROR(INDEX(hd_cap,MATCH(BT1788,hd_mark,0),0),0)</f>
        <v>0</v>
      </c>
      <c r="BS1788" s="19"/>
      <c r="BT1788" s="19"/>
      <c r="BU1788" s="100"/>
    </row>
    <row r="1789" x14ac:dyDescent="0.25">
      <c r="P1789" s="93"/>
      <c r="Q1789" s="109"/>
      <c r="R1789" t="str">
        <f>$Q$1689</f>
        <v>Roof</v>
      </c>
      <c r="S1789">
        <f>$E$25</f>
        <v>33.171875</v>
      </c>
      <c r="T1789" cm="1">
        <f t="array" ref="T1789">IFERROR(IF(S1789=0,0,(INDEX($C$33:$C$38,MATCH($W$1706,$B$33:$B$38,0),0)*(S1789+$X$1706)+$V$1706*$C$31)*$R$1706),0)</f>
        <v>0</v>
      </c>
      <c r="U1789">
        <f>IF(S1789=0,0,-$V$1706*$C$31*$H$27*$R$1706)</f>
        <v>0</v>
      </c>
      <c r="V1789">
        <f>IF(S1789=0,0,$V$1706*$H$26*$R$1706)</f>
        <v>0</v>
      </c>
      <c r="W1789">
        <f>(0.6*T1789+0.7*U1789)*$R$1706/2</f>
        <v>0</v>
      </c>
      <c r="X1789">
        <f>T1789*$R$1706/2</f>
        <v>0</v>
      </c>
      <c r="Z1789">
        <f>IF(S1789=0,0,$AD$1706*$AP$1689)</f>
        <v>0</v>
      </c>
      <c r="AA1789">
        <f>IFERROR(Z1789/$R$1706,0)</f>
        <v>0</v>
      </c>
      <c r="AB1789">
        <f>Z1789*($F$25+($C$16+$C$17+IF($C$13="single",1.5,3)+3)/12)</f>
        <v>0</v>
      </c>
      <c r="AC1789">
        <f>AB1789-W1789</f>
        <v>0</v>
      </c>
      <c r="AD1789" cm="1">
        <f t="array" ref="AD1789">IFERROR(IF(AC1789&lt;0,0,AC1789/($R$1706-INDEX(hd_off,MATCH(AQ1789,hd_mark,0),0)/12)),0)</f>
        <v>0</v>
      </c>
      <c r="AE1789">
        <f>IF(S1789=0,0,$AD$1706*$AM$1689)</f>
        <v>0</v>
      </c>
      <c r="AF1789">
        <f>IFERROR(AE1789/$R$1706,0)</f>
        <v>0</v>
      </c>
      <c r="AG1789">
        <f>AE1789*($F$25+($C$16+$C$17+IF($C$13="single",1.5,3)+3)/12)</f>
        <v>0</v>
      </c>
      <c r="AH1789">
        <f>AG1789-X1789</f>
        <v>0</v>
      </c>
      <c r="AI1789" cm="1">
        <f t="array" ref="AI1789">IFERROR(IF(AH1789&lt;0,0,AH1789/($R$1706-INDEX(hd_off,MATCH(AQ1789,hd_mark,0),0)/12)),0)</f>
        <v>0</v>
      </c>
      <c r="AJ1789">
        <f>MAX($F$25,$AC$1706)/$Q$1716</f>
        <v>0.29920977011494249</v>
      </c>
      <c r="AK1789">
        <f t="shared" si="1097"/>
        <v>1</v>
      </c>
      <c r="AL1789" cm="1">
        <f t="array" ref="AL1789">IFERROR(INDEX(sheath_ecap_asd,MATCH(AP1789,sheath_mark,0),0)*AK1789,0)</f>
        <v>0</v>
      </c>
      <c r="AM1789" cm="1">
        <f t="array" ref="AM1789">IFERROR(INDEX(sheath_wcap_asd,MATCH(AP1789,sheath_mark,0),0)*AK1789,0)</f>
        <v>0</v>
      </c>
      <c r="AN1789" cm="1">
        <f t="array" ref="AN1789">IFERROR(INDEX(hd_cap,MATCH(AQ1789,hd_mark,0),0),0)</f>
        <v>0</v>
      </c>
      <c r="AP1789" s="19"/>
      <c r="AQ1789" s="19"/>
      <c r="AR1789" s="100"/>
      <c r="AS1789" s="93"/>
      <c r="AT1789" s="109"/>
      <c r="AU1789" t="str">
        <f>$Q$1689</f>
        <v>Roof</v>
      </c>
      <c r="AV1789">
        <f>$E$25</f>
        <v>33.171875</v>
      </c>
      <c r="AW1789" cm="1">
        <f t="array" ref="AW1789">IFERROR(IF(AV1789=0,0,(INDEX($C$33:$C$38,MATCH($AZ$1706,$B$33:$B$38,0),0)*(AV1789+$BA$1706)+$AY$1706*$C$31)*$AU$1706),0)</f>
        <v>0</v>
      </c>
      <c r="AX1789">
        <f>IF(AV1789=0,0,-$AY$1706*$C$31*$H$27*$AU$1706)</f>
        <v>0</v>
      </c>
      <c r="AY1789">
        <f>IF(AV1789=0,0,$AY$1706*$H$26*$AU$1706)</f>
        <v>0</v>
      </c>
      <c r="AZ1789">
        <f>(0.6*AW1789+0.7*AX1789)*$AU$1706/2</f>
        <v>0</v>
      </c>
      <c r="BA1789">
        <f>AW1789*$AU$1706/2</f>
        <v>0</v>
      </c>
      <c r="BC1789">
        <f>IF(AV1789=0,0,$BG$1706*$AP$1689)</f>
        <v>0</v>
      </c>
      <c r="BD1789">
        <f>IFERROR(BC1789/$AU$1706,0)</f>
        <v>0</v>
      </c>
      <c r="BE1789">
        <f>BC1789*($F$25+($C$16+$C$17+IF($C$13="single",1.5,3)+3)/12)</f>
        <v>0</v>
      </c>
      <c r="BF1789">
        <f>BE1789-AZ1789</f>
        <v>0</v>
      </c>
      <c r="BG1789" cm="1">
        <f t="array" ref="BG1789">IFERROR(IF(BF1789&lt;0,0,BF1789/($AU$1706-INDEX(hd_off,MATCH(BT1789,hd_mark,0),0)/12)),0)</f>
        <v>0</v>
      </c>
      <c r="BH1789">
        <f>IF(AV1789=0,0,$BG$1706*$AM$1689)</f>
        <v>0</v>
      </c>
      <c r="BI1789">
        <f>IFERROR(BH1789/$AU$1706,0)</f>
        <v>0</v>
      </c>
      <c r="BJ1789">
        <f>BH1789*($F$25+($C$16+$C$17+IF($C$13="single",1.5,3)+3)/12)</f>
        <v>0</v>
      </c>
      <c r="BK1789">
        <f>BJ1789-BA1789</f>
        <v>0</v>
      </c>
      <c r="BL1789" cm="1">
        <f t="array" ref="BL1789">IFERROR(IF(BK1789&lt;0,0,BK1789/($AU$1706-INDEX(hd_off,MATCH(BT1789,hd_mark,0),0)/12)),0)</f>
        <v>0</v>
      </c>
      <c r="BM1789">
        <f>MAX($F$25,$BF$1706)/$Q$1716</f>
        <v>0.29920977011494249</v>
      </c>
      <c r="BN1789">
        <f t="shared" si="1098"/>
        <v>1</v>
      </c>
      <c r="BO1789" cm="1">
        <f t="array" ref="BO1789">IFERROR(INDEX(sheath_ecap_asd,MATCH(BS1789,sheath_mark,0),0)*BN1789,0)</f>
        <v>0</v>
      </c>
      <c r="BP1789" cm="1">
        <f t="array" ref="BP1789">IFERROR(INDEX(sheath_wcap_asd,MATCH(BS1789,sheath_mark,0),0)*BN1789,0)</f>
        <v>0</v>
      </c>
      <c r="BQ1789" cm="1">
        <f t="array" ref="BQ1789">IFERROR(INDEX(hd_cap,MATCH(BT1789,hd_mark,0),0),0)</f>
        <v>0</v>
      </c>
      <c r="BS1789" s="19"/>
      <c r="BT1789" s="19"/>
      <c r="BU1789" s="100"/>
    </row>
    <row r="1790" x14ac:dyDescent="0.25">
      <c r="P1790" s="93"/>
      <c r="AR1790" s="100"/>
      <c r="AS1790" s="93"/>
      <c r="BU1790" s="100"/>
    </row>
    <row r="1791" x14ac:dyDescent="0.25">
      <c r="P1791" s="93"/>
      <c r="Q1791" s="110" t="str">
        <f>$Q$1707</f>
        <v>A.14</v>
      </c>
      <c r="R1791" t="str">
        <f>$Q$1685</f>
        <v>L2</v>
      </c>
      <c r="S1791">
        <f>$E$21</f>
        <v>10.6875</v>
      </c>
      <c r="T1791" cm="1">
        <f t="array" ref="T1791">IFERROR(IF(S1791=0,0,(INDEX($C$33:$C$38,MATCH($W$1707,$B$33:$B$38,0),0)*(S1795+$X$1707)+$T$1707*COUNTIF(S1791:S1807,"&gt;0")*$C$32+$V$1707*$C$31)*$R$1707),0)</f>
        <v>0</v>
      </c>
      <c r="U1791">
        <f>IF(S1791=0,0,-(COUNTIF(S1791:S1807,"&gt;0")*$T$1707*$C$32+$V$1707*$C$31)*$H$27*$R$1707)</f>
        <v>0</v>
      </c>
      <c r="V1791">
        <f>IF(S1791=0,0,$V$1707*$H$26*$R$1707)</f>
        <v>0</v>
      </c>
      <c r="W1791">
        <f>(0.6*T1791+0.7*U1791)*$R$1707/2</f>
        <v>0</v>
      </c>
      <c r="X1791">
        <f>(0.6*T1791+0.6*V1791)*$R$1707/2</f>
        <v>0</v>
      </c>
      <c r="Z1791">
        <f>IF(S1791=0,0,$AD$1707*$AP$1685)</f>
        <v>0</v>
      </c>
      <c r="AA1791">
        <f>IFERROR(Z1791/$R$1707,0)</f>
        <v>0</v>
      </c>
      <c r="AB1791">
        <f>Z1791*($F$21+IF($F$21=0,0,($C$14+$C$15+IF($C$13="single",1.5,3)+3)/12))</f>
        <v>0</v>
      </c>
      <c r="AC1791">
        <f>AB1791-W1791</f>
        <v>0</v>
      </c>
      <c r="AD1791" cm="1">
        <f t="array" ref="AD1791">IFERROR(IF(AC1791&lt;0,0,AC1791/($R$1707-INDEX(hd_off,MATCH(AQ1791,hd_mark,0),0)/12)),0)</f>
        <v>0</v>
      </c>
      <c r="AE1791">
        <f>IF(S1791=0,0,$AD$1707*$AM$1685)</f>
        <v>0</v>
      </c>
      <c r="AF1791">
        <f>IFERROR(AE1791/$R$1707,0)</f>
        <v>0</v>
      </c>
      <c r="AG1791">
        <f>AE1791*($F$21+IF($F$21=0,0,($C$14+$C$15+IF($C$13="single",1.5,3)+3)/12))</f>
        <v>0</v>
      </c>
      <c r="AH1791">
        <f>AG1791-X1791</f>
        <v>0</v>
      </c>
      <c r="AI1791" cm="1">
        <f t="array" ref="AI1791">IFERROR(IF(AH1791&lt;0,0,AH1791/($R$1707-INDEX(hd_off,MATCH(AQ1791,hd_mark,0),0)/12)),0)</f>
        <v>0</v>
      </c>
      <c r="AJ1791">
        <f>MAX($F$21,$Y$1707)/$Q$1716</f>
        <v>0.30172413793103448</v>
      </c>
      <c r="AK1791">
        <f>IF(AJ1791=0,0,IF(AJ1791&gt;2,1.25-0.125*AJ1791,1))</f>
        <v>1</v>
      </c>
      <c r="AL1791" cm="1">
        <f t="array" ref="AL1791">IFERROR(INDEX(sheath_ecap_asd,MATCH(AP1791,sheath_mark,0),0)*AK1791,0)</f>
        <v>0</v>
      </c>
      <c r="AM1791" cm="1">
        <f t="array" ref="AM1791">IFERROR(INDEX(sheath_wcap_asd,MATCH(AP1791,sheath_mark,0),0)*AK1791,0)</f>
        <v>0</v>
      </c>
      <c r="AN1791" cm="1">
        <f t="array" ref="AN1791">IFERROR(INDEX(hd_cap,MATCH(AQ1791,hd_mark,0),0),0)</f>
        <v>0</v>
      </c>
      <c r="AP1791" s="19"/>
      <c r="AQ1791" s="19"/>
      <c r="AR1791" s="100"/>
      <c r="AS1791" s="93"/>
      <c r="AT1791" s="110" t="str">
        <f>$AT$1707</f>
        <v>1.14</v>
      </c>
      <c r="AU1791" t="str">
        <f>$Q$1685</f>
        <v>L2</v>
      </c>
      <c r="AV1791">
        <f>$E$21</f>
        <v>10.6875</v>
      </c>
      <c r="AW1791" cm="1">
        <f t="array" ref="AW1791">IFERROR(IF(AV1791=0,0,(INDEX($C$33:$C$38,MATCH($AZ$1707,$B$33:$B$38,0),0)*(AV1795+$BA$1707)+$AW$1707*COUNTIF(AV1791:AV1807,"&gt;0")*$C$32+$AY$1707*$C$31)*$AU$1707),0)</f>
        <v>0</v>
      </c>
      <c r="AX1791">
        <f>IF(AV1791=0,0,-(COUNTIF(AV1791:AV1807,"&gt;0")*$AW$1707*$C$32+$AY$1707*$C$31)*$H$27*$AU$1707)</f>
        <v>0</v>
      </c>
      <c r="AY1791">
        <f>IF(AV1791=0,0,$AY$1707*$H$26*$AU$1707)</f>
        <v>0</v>
      </c>
      <c r="AZ1791">
        <f>(0.6*AW1791+0.7*AX1791)*$AU$1707/2</f>
        <v>0</v>
      </c>
      <c r="BA1791">
        <f>(0.6*AW1791+0.6*AY1791)*$AU$1707/2</f>
        <v>0</v>
      </c>
      <c r="BC1791">
        <f>IF(AV1791=0,0,$BG$1707*$AP$1685)</f>
        <v>0</v>
      </c>
      <c r="BD1791">
        <f>IFERROR(BC1791/$AU$1707,0)</f>
        <v>0</v>
      </c>
      <c r="BE1791">
        <f>BC1791*($F$21+IF($F$21=0,0,($C$14+$C$15+IF($C$13="single",1.5,3)+3)/12))</f>
        <v>0</v>
      </c>
      <c r="BF1791">
        <f>BE1791-AZ1791</f>
        <v>0</v>
      </c>
      <c r="BG1791" cm="1">
        <f t="array" ref="BG1791">IFERROR(IF(BF1791&lt;0,0,BF1791/($AU$1707-INDEX(hd_off,MATCH(BT1791,hd_mark,0),0)/12)),0)</f>
        <v>0</v>
      </c>
      <c r="BH1791">
        <f>IF(AV1791=0,0,$BG$1707*$AM$1685)</f>
        <v>0</v>
      </c>
      <c r="BI1791">
        <f>IFERROR(BH1791/$AU$1707,0)</f>
        <v>0</v>
      </c>
      <c r="BJ1791">
        <f>BH1791*($F$21+IF($F$21=0,0,($C$14+$C$15+IF($C$13="single",1.5,3)+3)/12))</f>
        <v>0</v>
      </c>
      <c r="BK1791">
        <f>BJ1791-BA1791</f>
        <v>0</v>
      </c>
      <c r="BL1791" cm="1">
        <f t="array" ref="BL1791">IFERROR(IF(BK1791&lt;0,0,BK1791/($AU$1707-INDEX(hd_off,MATCH(BT1791,hd_mark,0),0)/12)),0)</f>
        <v>0</v>
      </c>
      <c r="BM1791">
        <f>MAX($F$21,$BB$1707)/$Q$1716</f>
        <v>0.30172413793103448</v>
      </c>
      <c r="BN1791">
        <f>IF(BM1791=0,0,IF(BM1791&gt;2,1.25-0.125*BM1791,1))</f>
        <v>1</v>
      </c>
      <c r="BO1791" cm="1">
        <f t="array" ref="BO1791">IFERROR(INDEX(sheath_ecap_asd,MATCH(BS1791,sheath_mark,0),0)*BN1791,0)</f>
        <v>0</v>
      </c>
      <c r="BP1791" cm="1">
        <f t="array" ref="BP1791">IFERROR(INDEX(sheath_wcap_asd,MATCH(BS1791,sheath_mark,0),0)*BN1791,0)</f>
        <v>0</v>
      </c>
      <c r="BQ1791" cm="1">
        <f t="array" ref="BQ1791">IFERROR(INDEX(hd_cap,MATCH(BT1791,hd_mark,0),0),0)</f>
        <v>0</v>
      </c>
      <c r="BS1791" s="19"/>
      <c r="BT1791" s="19"/>
      <c r="BU1791" s="100"/>
    </row>
    <row r="1792" x14ac:dyDescent="0.25">
      <c r="P1792" s="93"/>
      <c r="Q1792" s="109"/>
      <c r="R1792" t="str">
        <f>$Q$1686</f>
        <v>L3</v>
      </c>
      <c r="S1792">
        <f>$E$22</f>
        <v>21.375</v>
      </c>
      <c r="T1792" cm="1">
        <f t="array" ref="T1792">IFERROR(IF(S1792=0,0,(INDEX($C$33:$C$38,MATCH($W$1707,$B$33:$B$38,0),0)*(S1795+$X$1707)+$T$1707*COUNTIF(S1792:S1807,"&gt;0")*$C$32+$V$1707*$C$31)*$R$1707),0)</f>
        <v>0</v>
      </c>
      <c r="U1792">
        <f>IF(S1792=0,0,-(COUNTIF(S1792:S1807,"&gt;0")*$T$1707*$C$32+$V$1707*$C$31)*$H$27*$R$1707)</f>
        <v>0</v>
      </c>
      <c r="V1792">
        <f>IF(S1792=0,0,$V$1707*$H$26*$R$1707)</f>
        <v>0</v>
      </c>
      <c r="W1792">
        <f>(0.6*T1792+0.7*U1792)*$R$1707/2</f>
        <v>0</v>
      </c>
      <c r="X1792">
        <f>T1792*$R$1707/2</f>
        <v>0</v>
      </c>
      <c r="Z1792">
        <f>IF(S1792=0,0,$AD$1707*$AP$1686)</f>
        <v>0</v>
      </c>
      <c r="AA1792">
        <f>IFERROR(Z1792/$R$1707,0)</f>
        <v>0</v>
      </c>
      <c r="AB1792">
        <f>Z1792*($F$22+IF($F$22=0,0,($C$14+$C$15+IF($C$13="single",1.5,3)+3)/12))</f>
        <v>0</v>
      </c>
      <c r="AC1792">
        <f>AB1792-W1792</f>
        <v>0</v>
      </c>
      <c r="AD1792" cm="1">
        <f t="array" ref="AD1792">IFERROR(IF(AC1792&lt;0,0,AC1792/($R$1707-INDEX(hd_off,MATCH(AQ1792,hd_mark,0),0)/12)),0)</f>
        <v>0</v>
      </c>
      <c r="AE1792">
        <f>IF(S1792=0,0,$AD$1707*$AM$1686)</f>
        <v>0</v>
      </c>
      <c r="AF1792">
        <f>IFERROR(AE1792/$R$1707,0)</f>
        <v>0</v>
      </c>
      <c r="AG1792">
        <f>AE1792*($F$22+IF($F$22=0,0,($C$14+$C$15+IF($C$13="single",1.5,3)+3)/12))</f>
        <v>0</v>
      </c>
      <c r="AH1792">
        <f>AG1792-X1792</f>
        <v>0</v>
      </c>
      <c r="AI1792" cm="1">
        <f t="array" ref="AI1792">IFERROR(IF(AH1792&lt;0,0,AH1792/($R$1707-INDEX(hd_off,MATCH(AQ1792,hd_mark,0),0)/12)),0)</f>
        <v>0</v>
      </c>
      <c r="AJ1792">
        <f>MAX($F$22,$Z$1707)/$Q$1716</f>
        <v>0.30172413793103448</v>
      </c>
      <c r="AK1792">
        <f t="shared" ref="AK1792:AK1795" si="1099">IF(AJ1792=0,0,IF(AJ1792&gt;2,1.25-0.125*AJ1792,1))</f>
        <v>1</v>
      </c>
      <c r="AL1792" cm="1">
        <f t="array" ref="AL1792">IFERROR(INDEX(sheath_ecap_asd,MATCH(AP1792,sheath_mark,0),0)*AK1792,0)</f>
        <v>0</v>
      </c>
      <c r="AM1792" cm="1">
        <f t="array" ref="AM1792">IFERROR(INDEX(sheath_wcap_asd,MATCH(AP1792,sheath_mark,0),0)*AK1792,0)</f>
        <v>0</v>
      </c>
      <c r="AN1792" cm="1">
        <f t="array" ref="AN1792">IFERROR(INDEX(hd_cap,MATCH(AQ1792,hd_mark,0),0),0)</f>
        <v>0</v>
      </c>
      <c r="AP1792" s="19"/>
      <c r="AQ1792" s="19"/>
      <c r="AR1792" s="100"/>
      <c r="AS1792" s="93"/>
      <c r="AT1792" s="109"/>
      <c r="AU1792" t="str">
        <f>$Q$1686</f>
        <v>L3</v>
      </c>
      <c r="AV1792">
        <f>$E$22</f>
        <v>21.375</v>
      </c>
      <c r="AW1792" cm="1">
        <f t="array" ref="AW1792">IFERROR(IF(AV1792=0,0,(INDEX($C$33:$C$38,MATCH($AZ$1707,$B$33:$B$38,0),0)*(AV1795+$BA$1707)+$AW$1707*COUNTIF(AV1792:AV1807,"&gt;0")*$C$32+$AY$1707*$C$31)*$AU$1707),0)</f>
        <v>0</v>
      </c>
      <c r="AX1792">
        <f>IF(AV1792=0,0,-(COUNTIF(AV1792:AV1807,"&gt;0")*$AW$1707*$C$32+$AY$1707*$C$31)*$H$27*$AU$1707)</f>
        <v>0</v>
      </c>
      <c r="AY1792">
        <f>IF(AV1792=0,0,$AY$1707*$H$26*$AU$1707)</f>
        <v>0</v>
      </c>
      <c r="AZ1792">
        <f>(0.6*AW1792+0.7*AX1792)*$AU$1707/2</f>
        <v>0</v>
      </c>
      <c r="BA1792">
        <f>AW1792*$AU$1707/2</f>
        <v>0</v>
      </c>
      <c r="BC1792">
        <f>IF(AV1792=0,0,$BG$1707*$AP$1686)</f>
        <v>0</v>
      </c>
      <c r="BD1792">
        <f>IFERROR(BC1792/$AU$1707,0)</f>
        <v>0</v>
      </c>
      <c r="BE1792">
        <f>BC1792*($F$22+IF($F$22=0,0,($C$14+$C$15+IF($C$13="single",1.5,3)+3)/12))</f>
        <v>0</v>
      </c>
      <c r="BF1792">
        <f>BE1792-AZ1792</f>
        <v>0</v>
      </c>
      <c r="BG1792" cm="1">
        <f t="array" ref="BG1792">IFERROR(IF(BF1792&lt;0,0,BF1792/($AU$1707-INDEX(hd_off,MATCH(BT1792,hd_mark,0),0)/12)),0)</f>
        <v>0</v>
      </c>
      <c r="BH1792">
        <f>IF(AV1792=0,0,$BG$1707*$AM$1686)</f>
        <v>0</v>
      </c>
      <c r="BI1792">
        <f>IFERROR(BH1792/$AU$1707,0)</f>
        <v>0</v>
      </c>
      <c r="BJ1792">
        <f>BH1792*($F$22+IF($F$22=0,0,($C$14+$C$15+IF($C$13="single",1.5,3)+3)/12))</f>
        <v>0</v>
      </c>
      <c r="BK1792">
        <f>BJ1792-BA1792</f>
        <v>0</v>
      </c>
      <c r="BL1792" cm="1">
        <f t="array" ref="BL1792">IFERROR(IF(BK1792&lt;0,0,BK1792/($AU$1707-INDEX(hd_off,MATCH(BT1792,hd_mark,0),0)/12)),0)</f>
        <v>0</v>
      </c>
      <c r="BM1792">
        <f>MAX($F$22,$BC$1707)/$Q$1716</f>
        <v>0.30172413793103448</v>
      </c>
      <c r="BN1792">
        <f t="shared" ref="BN1792:BN1793" si="1100">IF(BM1792=0,0,IF(BM1792&gt;2,1.25-0.125*BM1792,1))</f>
        <v>1</v>
      </c>
      <c r="BO1792" cm="1">
        <f t="array" ref="BO1792">IFERROR(INDEX(sheath_ecap_asd,MATCH(BS1792,sheath_mark,0),0)*BN1792,0)</f>
        <v>0</v>
      </c>
      <c r="BP1792" cm="1">
        <f t="array" ref="BP1792">IFERROR(INDEX(sheath_wcap_asd,MATCH(BS1792,sheath_mark,0),0)*BN1792,0)</f>
        <v>0</v>
      </c>
      <c r="BQ1792" cm="1">
        <f t="array" ref="BQ1792">IFERROR(INDEX(hd_cap,MATCH(BT1792,hd_mark,0),0),0)</f>
        <v>0</v>
      </c>
      <c r="BS1792" s="19"/>
      <c r="BT1792" s="19"/>
      <c r="BU1792" s="100"/>
    </row>
    <row r="1793" x14ac:dyDescent="0.25">
      <c r="P1793" s="93"/>
      <c r="Q1793" s="109" t="s">
        <v>491</v>
      </c>
      <c r="R1793" t="str">
        <f>$Q$1687</f>
        <v>L4</v>
      </c>
      <c r="S1793">
        <f>$E$23</f>
        <v>0</v>
      </c>
      <c r="T1793" cm="1">
        <f t="array" ref="T1793">IFERROR(IF(S1793=0,0,(INDEX($C$33:$C$38,MATCH($W$1707,$B$33:$B$38,0),0)*(S1795+$X$1707)+$T$1707*COUNTIF(S1793:S1807,"&gt;0")*$C$32+$V$1707*$C$31)*$R$1707),0)</f>
        <v>0</v>
      </c>
      <c r="U1793">
        <f>IF(S1793=0,0,-(COUNTIF(S1793:S1807,"&gt;0")*$T$1707*$C$32+$V$1707*$C$31)*$H$27*$R$1707)</f>
        <v>0</v>
      </c>
      <c r="V1793">
        <f>IF(S1793=0,0,$V$1707*$H$26*$R$1707)</f>
        <v>0</v>
      </c>
      <c r="W1793">
        <f>(0.6*T1793+0.7*U1793)*$R$1707/2</f>
        <v>0</v>
      </c>
      <c r="X1793">
        <f>T1793*$R$1707/2</f>
        <v>0</v>
      </c>
      <c r="Z1793">
        <f>IF(S1793=0,0,$AD$1707*$AP$1687)</f>
        <v>0</v>
      </c>
      <c r="AA1793">
        <f>IFERROR(Z1793/$R$1707,0)</f>
        <v>0</v>
      </c>
      <c r="AB1793">
        <f>Z1793*($F$23+IF($F$23=0,0,($C$14+$C$15+IF($C$13="single",1.5,3)+3)/12))</f>
        <v>0</v>
      </c>
      <c r="AC1793">
        <f>AB1793-W1793</f>
        <v>0</v>
      </c>
      <c r="AD1793" cm="1">
        <f t="array" ref="AD1793">IFERROR(IF(AC1793&lt;0,0,AC1793/($R$1707-INDEX(hd_off,MATCH(AQ1793,hd_mark,0),0)/12)),0)</f>
        <v>0</v>
      </c>
      <c r="AE1793">
        <f>IF(S1793=0,0,$AD$1707*$AM$1687)</f>
        <v>0</v>
      </c>
      <c r="AF1793">
        <f>IFERROR(AE1793/$R$1707,0)</f>
        <v>0</v>
      </c>
      <c r="AG1793">
        <f>AE1793*($F$23+IF($F$23=0,0,($C$14+$C$15+IF($C$13="single",1.5,3)+3)/12))</f>
        <v>0</v>
      </c>
      <c r="AH1793">
        <f>AG1793-X1793</f>
        <v>0</v>
      </c>
      <c r="AI1793" cm="1">
        <f t="array" ref="AI1793">IFERROR(IF(AH1793&lt;0,0,AH1793/($R$1707-INDEX(hd_off,MATCH(AQ1793,hd_mark,0),0)/12)),0)</f>
        <v>0</v>
      </c>
      <c r="AJ1793">
        <f>MAX($F$23,$AA$1707)/$Q$1716</f>
        <v>0</v>
      </c>
      <c r="AK1793">
        <f t="shared" si="1099"/>
        <v>0</v>
      </c>
      <c r="AL1793" cm="1">
        <f t="array" ref="AL1793">IFERROR(INDEX(sheath_ecap_asd,MATCH(AP1793,sheath_mark,0),0)*AK1793,0)</f>
        <v>0</v>
      </c>
      <c r="AM1793" cm="1">
        <f t="array" ref="AM1793">IFERROR(INDEX(sheath_wcap_asd,MATCH(AP1793,sheath_mark,0),0)*AK1793,0)</f>
        <v>0</v>
      </c>
      <c r="AN1793" cm="1">
        <f t="array" ref="AN1793">IFERROR(INDEX(hd_cap,MATCH(AQ1793,hd_mark,0),0),0)</f>
        <v>0</v>
      </c>
      <c r="AP1793" s="19"/>
      <c r="AQ1793" s="19"/>
      <c r="AR1793" s="100"/>
      <c r="AS1793" s="93"/>
      <c r="AT1793" s="109" t="s">
        <v>491</v>
      </c>
      <c r="AU1793" t="str">
        <f>$Q$1687</f>
        <v>L4</v>
      </c>
      <c r="AV1793">
        <f>$E$23</f>
        <v>0</v>
      </c>
      <c r="AW1793" cm="1">
        <f t="array" ref="AW1793">IFERROR(IF(AV1793=0,0,(INDEX($C$33:$C$38,MATCH($AZ$1707,$B$33:$B$38,0),0)*(AV1795+$BA$1707)+$AW$1707*COUNTIF(AV1793:AV1807,"&gt;0")*$C$32+$AY$1707*$C$31)*$AU$1707),0)</f>
        <v>0</v>
      </c>
      <c r="AX1793">
        <f>IF(AV1793=0,0,-(COUNTIF(AV1793:AV1807,"&gt;0")*$AW$1707*$C$32+$AY$1707*$C$31)*$H$27*$AU$1707)</f>
        <v>0</v>
      </c>
      <c r="AY1793">
        <f>IF(AV1793=0,0,$AY$1707*$H$26*$AU$1707)</f>
        <v>0</v>
      </c>
      <c r="AZ1793">
        <f>(0.6*AW1793+0.7*AX1793)*$AU$1707/2</f>
        <v>0</v>
      </c>
      <c r="BA1793">
        <f>AW1793*$AU$1707/2</f>
        <v>0</v>
      </c>
      <c r="BC1793">
        <f>IF(AV1793=0,0,$BG$1707*$AP$1687)</f>
        <v>0</v>
      </c>
      <c r="BD1793">
        <f>IFERROR(BC1793/$AU$1707,0)</f>
        <v>0</v>
      </c>
      <c r="BE1793">
        <f>BC1793*($F$23+IF($F$23=0,0,($C$14+$C$15+IF($C$13="single",1.5,3)+3)/12))</f>
        <v>0</v>
      </c>
      <c r="BF1793">
        <f>BE1793-AZ1793</f>
        <v>0</v>
      </c>
      <c r="BG1793" cm="1">
        <f t="array" ref="BG1793">IFERROR(IF(BF1793&lt;0,0,BF1793/($AU$1707-INDEX(hd_off,MATCH(BT1793,hd_mark,0),0)/12)),0)</f>
        <v>0</v>
      </c>
      <c r="BH1793">
        <f>IF(AV1793=0,0,$BG$1707*$AM$1687)</f>
        <v>0</v>
      </c>
      <c r="BI1793">
        <f>IFERROR(BH1793/$AU$1707,0)</f>
        <v>0</v>
      </c>
      <c r="BJ1793">
        <f>BH1793*($F$23+IF($F$23=0,0,($C$14+$C$15+IF($C$13="single",1.5,3)+3)/12))</f>
        <v>0</v>
      </c>
      <c r="BK1793">
        <f>BJ1793-BA1793</f>
        <v>0</v>
      </c>
      <c r="BL1793" cm="1">
        <f t="array" ref="BL1793">IFERROR(IF(BK1793&lt;0,0,BK1793/($AU$1707-INDEX(hd_off,MATCH(BT1793,hd_mark,0),0)/12)),0)</f>
        <v>0</v>
      </c>
      <c r="BM1793">
        <f>MAX($F$23,$BD$1707)/$Q$1716</f>
        <v>0</v>
      </c>
      <c r="BN1793">
        <f t="shared" si="1100"/>
        <v>0</v>
      </c>
      <c r="BO1793" cm="1">
        <f t="array" ref="BO1793">IFERROR(INDEX(sheath_ecap_asd,MATCH(BS1793,sheath_mark,0),0)*BN1793,0)</f>
        <v>0</v>
      </c>
      <c r="BP1793" cm="1">
        <f t="array" ref="BP1793">IFERROR(INDEX(sheath_wcap_asd,MATCH(BS1793,sheath_mark,0),0)*BN1793,0)</f>
        <v>0</v>
      </c>
      <c r="BQ1793" cm="1">
        <f t="array" ref="BQ1793">IFERROR(INDEX(hd_cap,MATCH(BT1793,hd_mark,0),0),0)</f>
        <v>0</v>
      </c>
      <c r="BS1793" s="19"/>
      <c r="BT1793" s="19"/>
      <c r="BU1793" s="100"/>
    </row>
    <row r="1794" x14ac:dyDescent="0.25">
      <c r="P1794" s="93"/>
      <c r="Q1794" s="111">
        <f>$R$1707</f>
        <v>0</v>
      </c>
      <c r="R1794" t="str">
        <f>$Q$1688</f>
        <v>L5</v>
      </c>
      <c r="S1794">
        <f>$E$24</f>
        <v>0</v>
      </c>
      <c r="T1794" cm="1">
        <f t="array" ref="T1794">IFERROR(IF(S1807=0,0,(INDEX($C$33:$C$38,MATCH($W$1707,$B$33:$B$38,0),0)*(S1795+$X$1707)+$T$1707*COUNTIF(S1807:S1807,"&gt;0")*$C$32+$V$1707*$C$31)*$R$1707),0)</f>
        <v>0</v>
      </c>
      <c r="U1794">
        <f>IF(S1807=0,0,-(COUNTIF(S1807:S1807,"&gt;0")*$T$1707*$C$32+$V$1707*$C$31)*$H$27*$R$1707)</f>
        <v>0</v>
      </c>
      <c r="V1794">
        <f>IF(S1807=0,0,$V$1707*$H$26*$R$1707)</f>
        <v>0</v>
      </c>
      <c r="W1794">
        <f>(0.6*T1807+0.7*U1807)*$R$1707/2</f>
        <v>0</v>
      </c>
      <c r="X1794">
        <f>T1807*$R$1707/2</f>
        <v>0</v>
      </c>
      <c r="Z1794">
        <f>IF(S1807=0,0,$AD$1707*$AP$1688)</f>
        <v>0</v>
      </c>
      <c r="AA1794">
        <f>IFERROR(Z1807/$R$1707,0)</f>
        <v>0</v>
      </c>
      <c r="AB1794">
        <f>Z1807*($F$24+IF($F$24=0,0,($C$14+$C$15+IF($C$13="single",1.5,3)+3)/12))</f>
        <v>0</v>
      </c>
      <c r="AC1794">
        <f>AB1807-W1807</f>
        <v>0</v>
      </c>
      <c r="AD1794" cm="1">
        <f t="array" ref="AD1794">IFERROR(IF(AC1807&lt;0,0,AC1807/($R$1707-INDEX(hd_off,MATCH(AQ1807,hd_mark,0),0)/12)),0)</f>
        <v>0</v>
      </c>
      <c r="AE1794">
        <f>IF(S1807=0,0,$AD$1707*$AM$1688)</f>
        <v>0</v>
      </c>
      <c r="AF1794">
        <f>IFERROR(AE1807/$R$1707,0)</f>
        <v>0</v>
      </c>
      <c r="AG1794">
        <f>AE1807*($F$24+IF($F$24=0,0,($C$14+$C$15+IF($C$13="single",1.5,3)+3)/12))</f>
        <v>0</v>
      </c>
      <c r="AH1794">
        <f>AG1807-X1807</f>
        <v>0</v>
      </c>
      <c r="AI1794" cm="1">
        <f t="array" ref="AI1794">IFERROR(IF(AH1807&lt;0,0,AH1807/($R$1707-INDEX(hd_off,MATCH(AQ1807,hd_mark,0),0)/12)),0)</f>
        <v>0</v>
      </c>
      <c r="AJ1794">
        <f>MAX($F$24,$AB$1707)/$Q$1716</f>
        <v>0</v>
      </c>
      <c r="AK1794">
        <f>IF(AJ1807=0,0,IF(AJ1807&gt;2,1.25-0.125*AJ1807,1))</f>
        <v>1</v>
      </c>
      <c r="AL1794" cm="1">
        <f t="array" ref="AL1794">IFERROR(INDEX(sheath_ecap_asd,MATCH(AP1807,sheath_mark,0),0)*AK1807,0)</f>
        <v>0</v>
      </c>
      <c r="AM1794" cm="1">
        <f t="array" ref="AM1794">IFERROR(INDEX(sheath_wcap_asd,MATCH(AP1807,sheath_mark,0),0)*AK1807,0)</f>
        <v>0</v>
      </c>
      <c r="AN1794" cm="1">
        <f t="array" ref="AN1794">IFERROR(INDEX(hd_cap,MATCH(AQ1807,hd_mark,0),0),0)</f>
        <v>0</v>
      </c>
      <c r="AP1794" s="19"/>
      <c r="AQ1794" s="19"/>
      <c r="AR1794" s="100"/>
      <c r="AS1794" s="93"/>
      <c r="AT1794" s="111">
        <f>$R$1707</f>
        <v>0</v>
      </c>
      <c r="AU1794" t="str">
        <f>$Q$1688</f>
        <v>L5</v>
      </c>
      <c r="AV1794">
        <f>$E$24</f>
        <v>0</v>
      </c>
      <c r="AW1794" cm="1">
        <f t="array" ref="AW1794">IFERROR(IF(AV1807=0,0,(INDEX($C$33:$C$38,MATCH($AZ$1707,$B$33:$B$38,0),0)*(AV1795+$BA$1707)+$AW$1707*COUNTIF(AV1807:AV1807,"&gt;0")*$C$32+$AY$1707*$C$31)*$AU$1707),0)</f>
        <v>0</v>
      </c>
      <c r="AX1794">
        <f>IF(AV1807=0,0,-(COUNTIF(AV1807:AV1807,"&gt;0")*$AW$1707*$C$32+$AY$1707*$C$31)*$H$27*$AU$1707)</f>
        <v>0</v>
      </c>
      <c r="AY1794">
        <f>IF(AV1807=0,0,$AY$1707*$H$26*$AU$1707)</f>
        <v>0</v>
      </c>
      <c r="AZ1794">
        <f>(0.6*AW1807+0.7*AX1807)*$AU$1707/2</f>
        <v>0</v>
      </c>
      <c r="BA1794">
        <f>AW1807*$AU$1707/2</f>
        <v>0</v>
      </c>
      <c r="BC1794">
        <f>IF(AV1807=0,0,$BG$1707*$AP$1688)</f>
        <v>0</v>
      </c>
      <c r="BD1794">
        <f>IFERROR(BC1807/$AU$1707,0)</f>
        <v>0</v>
      </c>
      <c r="BE1794">
        <f>BC1807*($F$24+IF($F$24=0,0,($C$14+$C$15+IF($C$13="single",1.5,3)+3)/12))</f>
        <v>0</v>
      </c>
      <c r="BF1794">
        <f>BE1807-AZ1807</f>
        <v>0</v>
      </c>
      <c r="BG1794" cm="1">
        <f t="array" ref="BG1794">IFERROR(IF(BF1807&lt;0,0,BF1807/($AU$1707-INDEX(hd_off,MATCH(BT1807,hd_mark,0),0)/12)),0)</f>
        <v>0</v>
      </c>
      <c r="BH1794">
        <f>IF(AV1807=0,0,$BG$1707*$AM$1688)</f>
        <v>0</v>
      </c>
      <c r="BI1794">
        <f>IFERROR(BH1807/$AU$1707,0)</f>
        <v>0</v>
      </c>
      <c r="BJ1794">
        <f>BH1807*($F$24+IF($F$24=0,0,($C$14+$C$15+IF($C$13="single",1.5,3)+3)/12))</f>
        <v>0</v>
      </c>
      <c r="BK1794">
        <f>BJ1807-BA1807</f>
        <v>0</v>
      </c>
      <c r="BL1794" cm="1">
        <f t="array" ref="BL1794">IFERROR(IF(BK1807&lt;0,0,BK1807/($AU$1707-INDEX(hd_off,MATCH(BT1807,hd_mark,0),0)/12)),0)</f>
        <v>0</v>
      </c>
      <c r="BM1794">
        <f>MAX($F$24,$BE$1707)/$Q$1716</f>
        <v>0</v>
      </c>
      <c r="BN1794">
        <f>IF(BM1807=0,0,IF(BM1807&gt;2,1.25-0.125*BM1807,1))</f>
        <v>0</v>
      </c>
      <c r="BO1794" cm="1">
        <f t="array" ref="BO1794">IFERROR(INDEX(sheath_ecap_asd,MATCH(BS1807,sheath_mark,0),0)*BN1807,0)</f>
        <v>0</v>
      </c>
      <c r="BP1794" cm="1">
        <f t="array" ref="BP1794">IFERROR(INDEX(sheath_wcap_asd,MATCH(BS1807,sheath_mark,0),0)*BN1807,0)</f>
        <v>0</v>
      </c>
      <c r="BQ1794" cm="1">
        <f t="array" ref="BQ1794">IFERROR(INDEX(hd_cap,MATCH(BT1807,hd_mark,0),0),0)</f>
        <v>0</v>
      </c>
      <c r="BS1794" s="19"/>
      <c r="BT1794" s="19"/>
      <c r="BU1794" s="100"/>
    </row>
    <row r="1795" x14ac:dyDescent="0.25">
      <c r="P1795" s="93"/>
      <c r="Q1795" s="109"/>
      <c r="R1795" t="str">
        <f>$Q$1689</f>
        <v>Roof</v>
      </c>
      <c r="S1795">
        <f>$E$25</f>
        <v>33.171875</v>
      </c>
      <c r="T1795" cm="1">
        <f t="array" ref="T1795">IFERROR(IF(S1795=0,0,(INDEX($C$33:$C$38,MATCH($W$1707,$B$33:$B$38,0),0)*(S1795+$X$1707)+$V$1707*$C$31)*$R$1707),0)</f>
        <v>0</v>
      </c>
      <c r="U1795">
        <f>IF(S1795=0,0,-$V$1707*$C$31*$H$27*$R$1707)</f>
        <v>0</v>
      </c>
      <c r="V1795">
        <f>IF(S1795=0,0,$V$1707*$H$26*$R$1707)</f>
        <v>0</v>
      </c>
      <c r="W1795">
        <f>(0.6*T1795+0.7*U1795)*$R$1707/2</f>
        <v>0</v>
      </c>
      <c r="X1795">
        <f>T1795*$R$1707/2</f>
        <v>0</v>
      </c>
      <c r="Z1795">
        <f>IF(S1795=0,0,$AD$1707*$AP$1689)</f>
        <v>0</v>
      </c>
      <c r="AA1795">
        <f>IFERROR(Z1795/$R$1707,0)</f>
        <v>0</v>
      </c>
      <c r="AB1795">
        <f>Z1795*($F$25+($C$16+$C$17+IF($C$13="single",1.5,3)+3)/12)</f>
        <v>0</v>
      </c>
      <c r="AC1795">
        <f>AB1795-W1795</f>
        <v>0</v>
      </c>
      <c r="AD1795" cm="1">
        <f t="array" ref="AD1795">IFERROR(IF(AC1795&lt;0,0,AC1795/($R$1707-INDEX(hd_off,MATCH(AQ1795,hd_mark,0),0)/12)),0)</f>
        <v>0</v>
      </c>
      <c r="AE1795">
        <f>IF(S1795=0,0,$AD$1707*$AM$1689)</f>
        <v>0</v>
      </c>
      <c r="AF1795">
        <f>IFERROR(AE1795/$R$1707,0)</f>
        <v>0</v>
      </c>
      <c r="AG1795">
        <f>AE1795*($F$25+($C$16+$C$17+IF($C$13="single",1.5,3)+3)/12)</f>
        <v>0</v>
      </c>
      <c r="AH1795">
        <f>AG1795-X1795</f>
        <v>0</v>
      </c>
      <c r="AI1795" cm="1">
        <f t="array" ref="AI1795">IFERROR(IF(AH1795&lt;0,0,AH1795/($R$1707-INDEX(hd_off,MATCH(AQ1795,hd_mark,0),0)/12)),0)</f>
        <v>0</v>
      </c>
      <c r="AJ1795">
        <f>MAX($F$25,$AC$1707)/$Q$1716</f>
        <v>0.29920977011494249</v>
      </c>
      <c r="AK1795">
        <f t="shared" si="1099"/>
        <v>1</v>
      </c>
      <c r="AL1795" cm="1">
        <f t="array" ref="AL1795">IFERROR(INDEX(sheath_ecap_asd,MATCH(AP1795,sheath_mark,0),0)*AK1795,0)</f>
        <v>0</v>
      </c>
      <c r="AM1795" cm="1">
        <f t="array" ref="AM1795">IFERROR(INDEX(sheath_wcap_asd,MATCH(AP1795,sheath_mark,0),0)*AK1795,0)</f>
        <v>0</v>
      </c>
      <c r="AN1795" cm="1">
        <f t="array" ref="AN1795">IFERROR(INDEX(hd_cap,MATCH(AQ1795,hd_mark,0),0),0)</f>
        <v>0</v>
      </c>
      <c r="AP1795" s="19"/>
      <c r="AQ1795" s="19"/>
      <c r="AR1795" s="100"/>
      <c r="AS1795" s="93"/>
      <c r="AT1795" s="109"/>
      <c r="AU1795" t="str">
        <f>$Q$1689</f>
        <v>Roof</v>
      </c>
      <c r="AV1795">
        <f>$E$25</f>
        <v>33.171875</v>
      </c>
      <c r="AW1795" cm="1">
        <f t="array" ref="AW1795">IFERROR(IF(AV1795=0,0,(INDEX($C$33:$C$38,MATCH($AZ$1707,$B$33:$B$38,0),0)*(AV1795+$BA$1707)+$AY$1707*$C$31)*$AU$1707),0)</f>
        <v>0</v>
      </c>
      <c r="AX1795">
        <f>IF(AV1795=0,0,-$AY$1707*$C$31*$H$27*$AU$1707)</f>
        <v>0</v>
      </c>
      <c r="AY1795">
        <f>IF(AV1795=0,0,$AY$1707*$H$26*$AU$1707)</f>
        <v>0</v>
      </c>
      <c r="AZ1795">
        <f>(0.6*AW1795+0.7*AX1795)*$AU$1707/2</f>
        <v>0</v>
      </c>
      <c r="BA1795">
        <f>AW1795*$AU$1707/2</f>
        <v>0</v>
      </c>
      <c r="BC1795">
        <f>IF(AV1795=0,0,$BG$1707*$AP$1689)</f>
        <v>0</v>
      </c>
      <c r="BD1795">
        <f>IFERROR(BC1795/$AU$1707,0)</f>
        <v>0</v>
      </c>
      <c r="BE1795">
        <f>BC1795*($F$25+($C$16+$C$17+IF($C$13="single",1.5,3)+3)/12)</f>
        <v>0</v>
      </c>
      <c r="BF1795">
        <f>BE1795-AZ1795</f>
        <v>0</v>
      </c>
      <c r="BG1795" cm="1">
        <f t="array" ref="BG1795">IFERROR(IF(BF1795&lt;0,0,BF1795/($AU$1707-INDEX(hd_off,MATCH(BT1795,hd_mark,0),0)/12)),0)</f>
        <v>0</v>
      </c>
      <c r="BH1795">
        <f>IF(AV1795=0,0,$BG$1707*$AM$1689)</f>
        <v>0</v>
      </c>
      <c r="BI1795">
        <f>IFERROR(BH1795/$AU$1707,0)</f>
        <v>0</v>
      </c>
      <c r="BJ1795">
        <f>BH1795*($F$25+($C$16+$C$17+IF($C$13="single",1.5,3)+3)/12)</f>
        <v>0</v>
      </c>
      <c r="BK1795">
        <f>BJ1795-BA1795</f>
        <v>0</v>
      </c>
      <c r="BL1795" cm="1">
        <f t="array" ref="BL1795">IFERROR(IF(BK1795&lt;0,0,BK1795/($AU$1707-INDEX(hd_off,MATCH(BT1795,hd_mark,0),0)/12)),0)</f>
        <v>0</v>
      </c>
      <c r="BM1795">
        <f>MAX($F$25,$BF$1707)/$Q$1716</f>
        <v>0.29920977011494249</v>
      </c>
      <c r="BN1795">
        <f t="shared" ref="BN1795" si="1101">IF(BM1795=0,0,IF(BM1795&gt;2,1.25-0.125*BM1795,1))</f>
        <v>1</v>
      </c>
      <c r="BO1795" cm="1">
        <f t="array" ref="BO1795">IFERROR(INDEX(sheath_ecap_asd,MATCH(BS1795,sheath_mark,0),0)*BN1795,0)</f>
        <v>0</v>
      </c>
      <c r="BP1795" cm="1">
        <f t="array" ref="BP1795">IFERROR(INDEX(sheath_wcap_asd,MATCH(BS1795,sheath_mark,0),0)*BN1795,0)</f>
        <v>0</v>
      </c>
      <c r="BQ1795" cm="1">
        <f t="array" ref="BQ1795">IFERROR(INDEX(hd_cap,MATCH(BT1795,hd_mark,0),0),0)</f>
        <v>0</v>
      </c>
      <c r="BS1795" s="19"/>
      <c r="BT1795" s="19"/>
      <c r="BU1795" s="100"/>
    </row>
    <row r="1796" x14ac:dyDescent="0.25">
      <c r="P1796" s="93"/>
      <c r="AR1796" s="100"/>
      <c r="AS1796" s="93"/>
      <c r="BU1796" s="100"/>
    </row>
    <row r="1797" x14ac:dyDescent="0.25">
      <c r="P1797" s="93"/>
      <c r="Q1797" s="110" t="str">
        <f>$Q$1708</f>
        <v>A.15</v>
      </c>
      <c r="R1797" t="str">
        <f>$Q$1685</f>
        <v>L2</v>
      </c>
      <c r="S1797">
        <f>$E$21</f>
        <v>10.6875</v>
      </c>
      <c r="T1797" cm="1">
        <f t="array" ref="T1797">IFERROR(IF(S1797=0,0,(INDEX($C$33:$C$38,MATCH($W$1708,$B$33:$B$38,0),0)*(S1801+$X$1708)+$T$1708*COUNTIF(S1797:S1800,"&gt;0")*$C$32+$V$1708*$C$31)*$R$1708),0)</f>
        <v>0</v>
      </c>
      <c r="U1797">
        <f>IF(S1797=0,0,-(COUNTIF(S1797:S1800,"&gt;0")*$T$1708*$C$32+$V$1708*$C$31)*$H$27*$R$1708)</f>
        <v>0</v>
      </c>
      <c r="V1797">
        <f>IF(S1797=0,0,$V$1708*$H$26*$R$1708)</f>
        <v>0</v>
      </c>
      <c r="W1797">
        <f>(0.6*T1797+0.7*U1797)*$R$1708/2</f>
        <v>0</v>
      </c>
      <c r="X1797">
        <f>(0.6*T1797+0.6*V1797)*$R$1708/2</f>
        <v>0</v>
      </c>
      <c r="Z1797">
        <f>IF(S1797=0,0,$AD$1708*$AP$1685)</f>
        <v>0</v>
      </c>
      <c r="AA1797">
        <f>IFERROR(Z1797/$R$1708,0)</f>
        <v>0</v>
      </c>
      <c r="AB1797">
        <f>Z1797*($F$21+IF($F$21=0,0,($C$14+$C$15+IF($C$13="single",1.5,3)+3)/12))</f>
        <v>0</v>
      </c>
      <c r="AC1797">
        <f>AB1797-W1797</f>
        <v>0</v>
      </c>
      <c r="AD1797" cm="1">
        <f t="array" ref="AD1797">IFERROR(IF(AC1797&lt;0,0,AC1797/($R$1708-INDEX(hd_off,MATCH(AQ1797,hd_mark,0),0)/12)),0)</f>
        <v>0</v>
      </c>
      <c r="AE1797">
        <f>IF(S1797=0,0,$AD$1708*$AM$1685)</f>
        <v>0</v>
      </c>
      <c r="AF1797">
        <f>IFERROR(AE1797/$R$1708,0)</f>
        <v>0</v>
      </c>
      <c r="AG1797">
        <f>AE1797*($F$21+IF($F$21=0,0,($C$14+$C$15+IF($C$13="single",1.5,3)+3)/12))</f>
        <v>0</v>
      </c>
      <c r="AH1797">
        <f>AG1797-X1797</f>
        <v>0</v>
      </c>
      <c r="AI1797" cm="1">
        <f t="array" ref="AI1797">IFERROR(IF(AH1797&lt;0,0,AH1797/($R$1708-INDEX(hd_off,MATCH(AQ1797,hd_mark,0),0)/12)),0)</f>
        <v>0</v>
      </c>
      <c r="AJ1797">
        <f>MAX($F$21,$Y$1708)/$Q$1716</f>
        <v>0.30172413793103448</v>
      </c>
      <c r="AK1797">
        <f>IF(AJ1797=0,0,IF(AJ1797&gt;2,1.25-0.125*AJ1797,1))</f>
        <v>1</v>
      </c>
      <c r="AL1797" cm="1">
        <f t="array" ref="AL1797">IFERROR(INDEX(sheath_ecap_asd,MATCH(AP1797,sheath_mark,0),0)*AK1797,0)</f>
        <v>0</v>
      </c>
      <c r="AM1797" cm="1">
        <f t="array" ref="AM1797">IFERROR(INDEX(sheath_wcap_asd,MATCH(AP1797,sheath_mark,0),0)*AK1797,0)</f>
        <v>0</v>
      </c>
      <c r="AN1797" cm="1">
        <f t="array" ref="AN1797">IFERROR(INDEX(hd_cap,MATCH(AQ1797,hd_mark,0),0),0)</f>
        <v>0</v>
      </c>
      <c r="AP1797" s="19"/>
      <c r="AQ1797" s="19"/>
      <c r="AR1797" s="100"/>
      <c r="AS1797" s="93"/>
      <c r="AT1797" s="110" t="str">
        <f>$AT$1708</f>
        <v>1.15</v>
      </c>
      <c r="AU1797" t="str">
        <f>$Q$1685</f>
        <v>L2</v>
      </c>
      <c r="AV1797">
        <f>$E$21</f>
        <v>10.6875</v>
      </c>
      <c r="AW1797" cm="1">
        <f t="array" ref="AW1797">IFERROR(IF(AV1797=0,0,(INDEX($C$33:$C$38,MATCH($AZ$1708,$B$33:$B$38,0),0)*(AV1801+$BA$1708)+$AW$1708*COUNTIF(AV1797:AV1800,"&gt;0")*$C$32+$AY$1708*$C$31)*$AU$1708),0)</f>
        <v>0</v>
      </c>
      <c r="AX1797">
        <f>IF(AV1797=0,0,-(COUNTIF(AV1797:AV1800,"&gt;0")*$AW$1708*$C$32+$AY$1708*$C$31)*$H$27*$AU$1708)</f>
        <v>0</v>
      </c>
      <c r="AY1797">
        <f>IF(AV1797=0,0,$AY$1708*$H$26*$AU$1708)</f>
        <v>0</v>
      </c>
      <c r="AZ1797">
        <f>(0.6*AW1797+0.7*AX1797)*$AU$1708/2</f>
        <v>0</v>
      </c>
      <c r="BA1797">
        <f>(0.6*AW1797+0.6*AY1797)*$AU$1708/2</f>
        <v>0</v>
      </c>
      <c r="BC1797">
        <f>IF(AV1797=0,0,$BG$1708*$AP$1685)</f>
        <v>0</v>
      </c>
      <c r="BD1797">
        <f>IFERROR(BC1797/$AU$1708,0)</f>
        <v>0</v>
      </c>
      <c r="BE1797">
        <f>BC1797*($F$21+IF($F$21=0,0,($C$14+$C$15+IF($C$13="single",1.5,3)+3)/12))</f>
        <v>0</v>
      </c>
      <c r="BF1797">
        <f>BE1797-AZ1797</f>
        <v>0</v>
      </c>
      <c r="BG1797" cm="1">
        <f t="array" ref="BG1797">IFERROR(IF(BF1797&lt;0,0,BF1797/($AU$1708-INDEX(hd_off,MATCH(BT1797,hd_mark,0),0)/12)),0)</f>
        <v>0</v>
      </c>
      <c r="BH1797">
        <f>IF(AV1797=0,0,$BG$1708*$AM$1685)</f>
        <v>0</v>
      </c>
      <c r="BI1797">
        <f>IFERROR(BH1797/$AU$1708,0)</f>
        <v>0</v>
      </c>
      <c r="BJ1797">
        <f>BH1797*($F$21+IF($F$21=0,0,($C$14+$C$15+IF($C$13="single",1.5,3)+3)/12))</f>
        <v>0</v>
      </c>
      <c r="BK1797">
        <f>BJ1797-BA1797</f>
        <v>0</v>
      </c>
      <c r="BL1797" cm="1">
        <f t="array" ref="BL1797">IFERROR(IF(BK1797&lt;0,0,BK1797/($AU$1708-INDEX(hd_off,MATCH(BT1797,hd_mark,0),0)/12)),0)</f>
        <v>0</v>
      </c>
      <c r="BM1797">
        <f>MAX($F$21,$BB$1708)/$Q$1716</f>
        <v>0.30172413793103448</v>
      </c>
      <c r="BN1797">
        <f>IF(BM1797=0,0,IF(BM1797&gt;2,1.25-0.125*BM1797,1))</f>
        <v>1</v>
      </c>
      <c r="BO1797" cm="1">
        <f t="array" ref="BO1797">IFERROR(INDEX(sheath_ecap_asd,MATCH(BS1797,sheath_mark,0),0)*BN1797,0)</f>
        <v>0</v>
      </c>
      <c r="BP1797" cm="1">
        <f t="array" ref="BP1797">IFERROR(INDEX(sheath_wcap_asd,MATCH(BS1797,sheath_mark,0),0)*BN1797,0)</f>
        <v>0</v>
      </c>
      <c r="BQ1797" cm="1">
        <f t="array" ref="BQ1797">IFERROR(INDEX(hd_cap,MATCH(BT1797,hd_mark,0),0),0)</f>
        <v>0</v>
      </c>
      <c r="BS1797" s="19"/>
      <c r="BT1797" s="19"/>
      <c r="BU1797" s="100"/>
    </row>
    <row r="1798" x14ac:dyDescent="0.25">
      <c r="P1798" s="93"/>
      <c r="Q1798" s="109"/>
      <c r="R1798" t="str">
        <f>$Q$1686</f>
        <v>L3</v>
      </c>
      <c r="S1798">
        <f>$E$22</f>
        <v>21.375</v>
      </c>
      <c r="T1798" cm="1">
        <f t="array" ref="T1798">IFERROR(IF(S1798=0,0,(INDEX($C$33:$C$38,MATCH($W$1708,$B$33:$B$38,0),0)*(S1801+$X$1708)+$T$1708*COUNTIF(S1798:S1800,"&gt;0")*$C$32+$V$1708*$C$31)*$R$1708),0)</f>
        <v>0</v>
      </c>
      <c r="U1798">
        <f>IF(S1798=0,0,-(COUNTIF(S1798:S1800,"&gt;0")*$T$1708*$C$32+$V$1708*$C$31)*$H$27*$R$1708)</f>
        <v>0</v>
      </c>
      <c r="V1798">
        <f>IF(S1798=0,0,$V$1708*$H$26*$R$1708)</f>
        <v>0</v>
      </c>
      <c r="W1798">
        <f>(0.6*T1798+0.7*U1798)*$R$1708/2</f>
        <v>0</v>
      </c>
      <c r="X1798">
        <f>T1798*$R$1708/2</f>
        <v>0</v>
      </c>
      <c r="Z1798">
        <f>IF(S1798=0,0,$AD$1708*$AP$1686)</f>
        <v>0</v>
      </c>
      <c r="AA1798">
        <f>IFERROR(Z1798/$R$1708,0)</f>
        <v>0</v>
      </c>
      <c r="AB1798">
        <f>Z1798*($F$22+IF($F$22=0,0,($C$14+$C$15+IF($C$13="single",1.5,3)+3)/12))</f>
        <v>0</v>
      </c>
      <c r="AC1798">
        <f>AB1798-W1798</f>
        <v>0</v>
      </c>
      <c r="AD1798" cm="1">
        <f t="array" ref="AD1798">IFERROR(IF(AC1798&lt;0,0,AC1798/($R$1708-INDEX(hd_off,MATCH(AQ1798,hd_mark,0),0)/12)),0)</f>
        <v>0</v>
      </c>
      <c r="AE1798">
        <f>IF(S1798=0,0,$AD$1708*$AM$1686)</f>
        <v>0</v>
      </c>
      <c r="AF1798">
        <f>IFERROR(AE1798/$R$1708,0)</f>
        <v>0</v>
      </c>
      <c r="AG1798">
        <f>AE1798*($F$22+IF($F$22=0,0,($C$14+$C$15+IF($C$13="single",1.5,3)+3)/12))</f>
        <v>0</v>
      </c>
      <c r="AH1798">
        <f>AG1798-X1798</f>
        <v>0</v>
      </c>
      <c r="AI1798" cm="1">
        <f t="array" ref="AI1798">IFERROR(IF(AH1798&lt;0,0,AH1798/($R$1708-INDEX(hd_off,MATCH(AQ1798,hd_mark,0),0)/12)),0)</f>
        <v>0</v>
      </c>
      <c r="AJ1798">
        <f>MAX($F$22,$Z$1708)/$Q$1716</f>
        <v>0.30172413793103448</v>
      </c>
      <c r="AK1798">
        <f t="shared" ref="AK1798:AK1801" si="1102">IF(AJ1798=0,0,IF(AJ1798&gt;2,1.25-0.125*AJ1798,1))</f>
        <v>1</v>
      </c>
      <c r="AL1798" cm="1">
        <f t="array" ref="AL1798">IFERROR(INDEX(sheath_ecap_asd,MATCH(AP1798,sheath_mark,0),0)*AK1798,0)</f>
        <v>0</v>
      </c>
      <c r="AM1798" cm="1">
        <f t="array" ref="AM1798">IFERROR(INDEX(sheath_wcap_asd,MATCH(AP1798,sheath_mark,0),0)*AK1798,0)</f>
        <v>0</v>
      </c>
      <c r="AN1798" cm="1">
        <f t="array" ref="AN1798">IFERROR(INDEX(hd_cap,MATCH(AQ1798,hd_mark,0),0),0)</f>
        <v>0</v>
      </c>
      <c r="AP1798" s="19"/>
      <c r="AQ1798" s="19"/>
      <c r="AR1798" s="100"/>
      <c r="AS1798" s="93"/>
      <c r="AT1798" s="109"/>
      <c r="AU1798" t="str">
        <f>$Q$1686</f>
        <v>L3</v>
      </c>
      <c r="AV1798">
        <f>$E$22</f>
        <v>21.375</v>
      </c>
      <c r="AW1798" cm="1">
        <f t="array" ref="AW1798">IFERROR(IF(AV1798=0,0,(INDEX($C$33:$C$38,MATCH($AZ$1708,$B$33:$B$38,0),0)*(AV1801+$BA$1708)+$AW$1708*COUNTIF(AV1798:AV1800,"&gt;0")*$C$32+$AY$1708*$C$31)*$AU$1708),0)</f>
        <v>0</v>
      </c>
      <c r="AX1798">
        <f>IF(AV1798=0,0,-(COUNTIF(AV1798:AV1800,"&gt;0")*$AW$1708*$C$32+$AY$1708*$C$31)*$H$27*$AU$1708)</f>
        <v>0</v>
      </c>
      <c r="AY1798">
        <f>IF(AV1798=0,0,$AY$1708*$H$26*$AU$1708)</f>
        <v>0</v>
      </c>
      <c r="AZ1798">
        <f>(0.6*AW1798+0.7*AX1798)*$AU$1708/2</f>
        <v>0</v>
      </c>
      <c r="BA1798">
        <f>AW1798*$AU$1708/2</f>
        <v>0</v>
      </c>
      <c r="BC1798">
        <f>IF(AV1798=0,0,$BG$1708*$AP$1686)</f>
        <v>0</v>
      </c>
      <c r="BD1798">
        <f>IFERROR(BC1798/$AU$1708,0)</f>
        <v>0</v>
      </c>
      <c r="BE1798">
        <f>BC1798*($F$22+IF($F$22=0,0,($C$14+$C$15+IF($C$13="single",1.5,3)+3)/12))</f>
        <v>0</v>
      </c>
      <c r="BF1798">
        <f>BE1798-AZ1798</f>
        <v>0</v>
      </c>
      <c r="BG1798" cm="1">
        <f t="array" ref="BG1798">IFERROR(IF(BF1798&lt;0,0,BF1798/($AU$1708-INDEX(hd_off,MATCH(BT1798,hd_mark,0),0)/12)),0)</f>
        <v>0</v>
      </c>
      <c r="BH1798">
        <f>IF(AV1798=0,0,$BG$1708*$AM$1686)</f>
        <v>0</v>
      </c>
      <c r="BI1798">
        <f>IFERROR(BH1798/$AU$1708,0)</f>
        <v>0</v>
      </c>
      <c r="BJ1798">
        <f>BH1798*($F$22+IF($F$22=0,0,($C$14+$C$15+IF($C$13="single",1.5,3)+3)/12))</f>
        <v>0</v>
      </c>
      <c r="BK1798">
        <f>BJ1798-BA1798</f>
        <v>0</v>
      </c>
      <c r="BL1798" cm="1">
        <f t="array" ref="BL1798">IFERROR(IF(BK1798&lt;0,0,BK1798/($AU$1708-INDEX(hd_off,MATCH(BT1798,hd_mark,0),0)/12)),0)</f>
        <v>0</v>
      </c>
      <c r="BM1798">
        <f>MAX($F$22,$BC$1708)/$Q$1716</f>
        <v>0.30172413793103448</v>
      </c>
      <c r="BN1798">
        <f t="shared" ref="BN1798:BN1801" si="1103">IF(BM1798=0,0,IF(BM1798&gt;2,1.25-0.125*BM1798,1))</f>
        <v>1</v>
      </c>
      <c r="BO1798" cm="1">
        <f t="array" ref="BO1798">IFERROR(INDEX(sheath_ecap_asd,MATCH(BS1798,sheath_mark,0),0)*BN1798,0)</f>
        <v>0</v>
      </c>
      <c r="BP1798" cm="1">
        <f t="array" ref="BP1798">IFERROR(INDEX(sheath_wcap_asd,MATCH(BS1798,sheath_mark,0),0)*BN1798,0)</f>
        <v>0</v>
      </c>
      <c r="BQ1798" cm="1">
        <f t="array" ref="BQ1798">IFERROR(INDEX(hd_cap,MATCH(BT1798,hd_mark,0),0),0)</f>
        <v>0</v>
      </c>
      <c r="BS1798" s="19"/>
      <c r="BT1798" s="19"/>
      <c r="BU1798" s="100"/>
    </row>
    <row r="1799" x14ac:dyDescent="0.25">
      <c r="P1799" s="93"/>
      <c r="Q1799" s="109" t="s">
        <v>491</v>
      </c>
      <c r="R1799" t="str">
        <f>$Q$1687</f>
        <v>L4</v>
      </c>
      <c r="S1799">
        <f>$E$23</f>
        <v>0</v>
      </c>
      <c r="T1799" cm="1">
        <f t="array" ref="T1799">IFERROR(IF(S1799=0,0,(INDEX($C$33:$C$38,MATCH($W$1708,$B$33:$B$38,0),0)*(S1801+$X$1708)+$T$1708*COUNTIF(S1799:S1800,"&gt;0")*$C$32+$V$1708*$C$31)*$R$1708),0)</f>
        <v>0</v>
      </c>
      <c r="U1799">
        <f>IF(S1799=0,0,-(COUNTIF(S1799:S1800,"&gt;0")*$T$1708*$C$32+$V$1708*$C$31)*$H$27*$R$1708)</f>
        <v>0</v>
      </c>
      <c r="V1799">
        <f>IF(S1799=0,0,$V$1708*$H$26*$R$1708)</f>
        <v>0</v>
      </c>
      <c r="W1799">
        <f>(0.6*T1799+0.7*U1799)*$R$1708/2</f>
        <v>0</v>
      </c>
      <c r="X1799">
        <f>T1799*$R$1708/2</f>
        <v>0</v>
      </c>
      <c r="Z1799">
        <f>IF(S1799=0,0,$AD$1708*$AP$1687)</f>
        <v>0</v>
      </c>
      <c r="AA1799">
        <f>IFERROR(Z1799/$R$1708,0)</f>
        <v>0</v>
      </c>
      <c r="AB1799">
        <f>Z1799*($F$23+IF($F$23=0,0,($C$14+$C$15+IF($C$13="single",1.5,3)+3)/12))</f>
        <v>0</v>
      </c>
      <c r="AC1799">
        <f>AB1799-W1799</f>
        <v>0</v>
      </c>
      <c r="AD1799" cm="1">
        <f t="array" ref="AD1799">IFERROR(IF(AC1799&lt;0,0,AC1799/($R$1708-INDEX(hd_off,MATCH(AQ1799,hd_mark,0),0)/12)),0)</f>
        <v>0</v>
      </c>
      <c r="AE1799">
        <f>IF(S1799=0,0,$AD$1708*$AM$1687)</f>
        <v>0</v>
      </c>
      <c r="AF1799">
        <f>IFERROR(AE1799/$R$1708,0)</f>
        <v>0</v>
      </c>
      <c r="AG1799">
        <f>AE1799*($F$23+IF($F$23=0,0,($C$14+$C$15+IF($C$13="single",1.5,3)+3)/12))</f>
        <v>0</v>
      </c>
      <c r="AH1799">
        <f>AG1799-X1799</f>
        <v>0</v>
      </c>
      <c r="AI1799" cm="1">
        <f t="array" ref="AI1799">IFERROR(IF(AH1799&lt;0,0,AH1799/($R$1708-INDEX(hd_off,MATCH(AQ1799,hd_mark,0),0)/12)),0)</f>
        <v>0</v>
      </c>
      <c r="AJ1799">
        <f>MAX($F$23,$AA$1708)/$Q$1716</f>
        <v>0</v>
      </c>
      <c r="AK1799">
        <f t="shared" si="1102"/>
        <v>0</v>
      </c>
      <c r="AL1799" cm="1">
        <f t="array" ref="AL1799">IFERROR(INDEX(sheath_ecap_asd,MATCH(AP1799,sheath_mark,0),0)*AK1799,0)</f>
        <v>0</v>
      </c>
      <c r="AM1799" cm="1">
        <f t="array" ref="AM1799">IFERROR(INDEX(sheath_wcap_asd,MATCH(AP1799,sheath_mark,0),0)*AK1799,0)</f>
        <v>0</v>
      </c>
      <c r="AN1799" cm="1">
        <f t="array" ref="AN1799">IFERROR(INDEX(hd_cap,MATCH(AQ1799,hd_mark,0),0),0)</f>
        <v>0</v>
      </c>
      <c r="AP1799" s="19"/>
      <c r="AQ1799" s="19"/>
      <c r="AR1799" s="100"/>
      <c r="AS1799" s="93"/>
      <c r="AT1799" s="109" t="s">
        <v>491</v>
      </c>
      <c r="AU1799" t="str">
        <f>$Q$1687</f>
        <v>L4</v>
      </c>
      <c r="AV1799">
        <f>$E$23</f>
        <v>0</v>
      </c>
      <c r="AW1799" cm="1">
        <f t="array" ref="AW1799">IFERROR(IF(AV1799=0,0,(INDEX($C$33:$C$38,MATCH($AZ$1708,$B$33:$B$38,0),0)*(AV1801+$BA$1708)+$AW$1708*COUNTIF(AV1799:AV1800,"&gt;0")*$C$32+$AY$1708*$C$31)*$AU$1708),0)</f>
        <v>0</v>
      </c>
      <c r="AX1799">
        <f>IF(AV1799=0,0,-(COUNTIF(AV1799:AV1800,"&gt;0")*$AW$1708*$C$32+$AY$1708*$C$31)*$H$27*$AU$1708)</f>
        <v>0</v>
      </c>
      <c r="AY1799">
        <f>IF(AV1799=0,0,$AY$1708*$H$26*$AU$1708)</f>
        <v>0</v>
      </c>
      <c r="AZ1799">
        <f>(0.6*AW1799+0.7*AX1799)*$AU$1708/2</f>
        <v>0</v>
      </c>
      <c r="BA1799">
        <f>AW1799*$AU$1708/2</f>
        <v>0</v>
      </c>
      <c r="BC1799">
        <f>IF(AV1799=0,0,$BG$1708*$AP$1687)</f>
        <v>0</v>
      </c>
      <c r="BD1799">
        <f>IFERROR(BC1799/$AU$1708,0)</f>
        <v>0</v>
      </c>
      <c r="BE1799">
        <f>BC1799*($F$23+IF($F$23=0,0,($C$14+$C$15+IF($C$13="single",1.5,3)+3)/12))</f>
        <v>0</v>
      </c>
      <c r="BF1799">
        <f>BE1799-AZ1799</f>
        <v>0</v>
      </c>
      <c r="BG1799" cm="1">
        <f t="array" ref="BG1799">IFERROR(IF(BF1799&lt;0,0,BF1799/($AU$1708-INDEX(hd_off,MATCH(BT1799,hd_mark,0),0)/12)),0)</f>
        <v>0</v>
      </c>
      <c r="BH1799">
        <f>IF(AV1799=0,0,$BG$1708*$AM$1687)</f>
        <v>0</v>
      </c>
      <c r="BI1799">
        <f>IFERROR(BH1799/$AU$1708,0)</f>
        <v>0</v>
      </c>
      <c r="BJ1799">
        <f>BH1799*($F$23+IF($F$23=0,0,($C$14+$C$15+IF($C$13="single",1.5,3)+3)/12))</f>
        <v>0</v>
      </c>
      <c r="BK1799">
        <f>BJ1799-BA1799</f>
        <v>0</v>
      </c>
      <c r="BL1799" cm="1">
        <f t="array" ref="BL1799">IFERROR(IF(BK1799&lt;0,0,BK1799/($AU$1708-INDEX(hd_off,MATCH(BT1799,hd_mark,0),0)/12)),0)</f>
        <v>0</v>
      </c>
      <c r="BM1799">
        <f>MAX($F$23,$BD$1708)/$Q$1716</f>
        <v>0</v>
      </c>
      <c r="BN1799">
        <f t="shared" si="1103"/>
        <v>0</v>
      </c>
      <c r="BO1799" cm="1">
        <f t="array" ref="BO1799">IFERROR(INDEX(sheath_ecap_asd,MATCH(BS1799,sheath_mark,0),0)*BN1799,0)</f>
        <v>0</v>
      </c>
      <c r="BP1799" cm="1">
        <f t="array" ref="BP1799">IFERROR(INDEX(sheath_wcap_asd,MATCH(BS1799,sheath_mark,0),0)*BN1799,0)</f>
        <v>0</v>
      </c>
      <c r="BQ1799" cm="1">
        <f t="array" ref="BQ1799">IFERROR(INDEX(hd_cap,MATCH(BT1799,hd_mark,0),0),0)</f>
        <v>0</v>
      </c>
      <c r="BS1799" s="19"/>
      <c r="BT1799" s="19"/>
      <c r="BU1799" s="100"/>
    </row>
    <row r="1800" x14ac:dyDescent="0.25">
      <c r="P1800" s="93"/>
      <c r="Q1800" s="111">
        <f>$R$1708</f>
        <v>0</v>
      </c>
      <c r="R1800" t="str">
        <f>$Q$1688</f>
        <v>L5</v>
      </c>
      <c r="S1800">
        <f>$E$24</f>
        <v>0</v>
      </c>
      <c r="T1800" cm="1">
        <f t="array" ref="T1800">IFERROR(IF(S1800=0,0,(INDEX($C$33:$C$38,MATCH($W$1708,$B$33:$B$38,0),0)*(S1801+$X$1708)+$T$1708*COUNTIF(S1800:S1800,"&gt;0")*$C$32+$V$1708*$C$31)*$R$1708),0)</f>
        <v>0</v>
      </c>
      <c r="U1800">
        <f>IF(S1800=0,0,-(COUNTIF(S1800:S1800,"&gt;0")*$T$1708*$C$32+$V$1708*$C$31)*$H$27*$R$1708)</f>
        <v>0</v>
      </c>
      <c r="V1800">
        <f>IF(S1800=0,0,$V$1708*$H$26*$R$1708)</f>
        <v>0</v>
      </c>
      <c r="W1800">
        <f>(0.6*T1800+0.7*U1800)*$R$1708/2</f>
        <v>0</v>
      </c>
      <c r="X1800">
        <f>T1800*$R$1708/2</f>
        <v>0</v>
      </c>
      <c r="Z1800">
        <f>IF(S1800=0,0,$AD$1708*$AP$1688)</f>
        <v>0</v>
      </c>
      <c r="AA1800">
        <f>IFERROR(Z1800/$R$1708,0)</f>
        <v>0</v>
      </c>
      <c r="AB1800">
        <f>Z1800*($F$24+IF($F$24=0,0,($C$14+$C$15+IF($C$13="single",1.5,3)+3)/12))</f>
        <v>0</v>
      </c>
      <c r="AC1800">
        <f>AB1800-W1800</f>
        <v>0</v>
      </c>
      <c r="AD1800" cm="1">
        <f t="array" ref="AD1800">IFERROR(IF(AC1800&lt;0,0,AC1800/($R$1708-INDEX(hd_off,MATCH(AQ1800,hd_mark,0),0)/12)),0)</f>
        <v>0</v>
      </c>
      <c r="AE1800">
        <f>IF(S1800=0,0,$AD$1708*$AM$1688)</f>
        <v>0</v>
      </c>
      <c r="AF1800">
        <f>IFERROR(AE1800/$R$1708,0)</f>
        <v>0</v>
      </c>
      <c r="AG1800">
        <f>AE1800*($F$24+IF($F$24=0,0,($C$14+$C$15+IF($C$13="single",1.5,3)+3)/12))</f>
        <v>0</v>
      </c>
      <c r="AH1800">
        <f>AG1800-X1800</f>
        <v>0</v>
      </c>
      <c r="AI1800" cm="1">
        <f t="array" ref="AI1800">IFERROR(IF(AH1800&lt;0,0,AH1800/($R$1708-INDEX(hd_off,MATCH(AQ1800,hd_mark,0),0)/12)),0)</f>
        <v>0</v>
      </c>
      <c r="AJ1800">
        <f>MAX($F$24,$AB$1708)/$Q$1716</f>
        <v>0</v>
      </c>
      <c r="AK1800">
        <f t="shared" si="1102"/>
        <v>0</v>
      </c>
      <c r="AL1800" cm="1">
        <f t="array" ref="AL1800">IFERROR(INDEX(sheath_ecap_asd,MATCH(AP1800,sheath_mark,0),0)*AK1800,0)</f>
        <v>0</v>
      </c>
      <c r="AM1800" cm="1">
        <f t="array" ref="AM1800">IFERROR(INDEX(sheath_wcap_asd,MATCH(AP1800,sheath_mark,0),0)*AK1800,0)</f>
        <v>0</v>
      </c>
      <c r="AN1800" cm="1">
        <f t="array" ref="AN1800">IFERROR(INDEX(hd_cap,MATCH(AQ1800,hd_mark,0),0),0)</f>
        <v>0</v>
      </c>
      <c r="AP1800" s="19"/>
      <c r="AQ1800" s="19"/>
      <c r="AR1800" s="100"/>
      <c r="AS1800" s="93"/>
      <c r="AT1800" s="111">
        <f>$R$1708</f>
        <v>0</v>
      </c>
      <c r="AU1800" t="str">
        <f>$Q$1688</f>
        <v>L5</v>
      </c>
      <c r="AV1800">
        <f>$E$24</f>
        <v>0</v>
      </c>
      <c r="AW1800" cm="1">
        <f t="array" ref="AW1800">IFERROR(IF(AV1800=0,0,(INDEX($C$33:$C$38,MATCH($AZ$1708,$B$33:$B$38,0),0)*(AV1801+$BA$1708)+$AW$1708*COUNTIF(AV1800:AV1800,"&gt;0")*$C$32+$AY$1708*$C$31)*$AU$1708),0)</f>
        <v>0</v>
      </c>
      <c r="AX1800">
        <f>IF(AV1800=0,0,-(COUNTIF(AV1800:AV1800,"&gt;0")*$AW$1708*$C$32+$AY$1708*$C$31)*$H$27*$AU$1708)</f>
        <v>0</v>
      </c>
      <c r="AY1800">
        <f>IF(AV1800=0,0,$AY$1708*$H$26*$AU$1708)</f>
        <v>0</v>
      </c>
      <c r="AZ1800">
        <f>(0.6*AW1800+0.7*AX1800)*$AU$1708/2</f>
        <v>0</v>
      </c>
      <c r="BA1800">
        <f>AW1800*$AU$1708/2</f>
        <v>0</v>
      </c>
      <c r="BC1800">
        <f>IF(AV1800=0,0,$BG$1708*$AP$1688)</f>
        <v>0</v>
      </c>
      <c r="BD1800">
        <f>IFERROR(BC1800/$AU$1708,0)</f>
        <v>0</v>
      </c>
      <c r="BE1800">
        <f>BC1800*($F$24+IF($F$24=0,0,($C$14+$C$15+IF($C$13="single",1.5,3)+3)/12))</f>
        <v>0</v>
      </c>
      <c r="BF1800">
        <f>BE1800-AZ1800</f>
        <v>0</v>
      </c>
      <c r="BG1800" cm="1">
        <f t="array" ref="BG1800">IFERROR(IF(BF1800&lt;0,0,BF1800/($AU$1708-INDEX(hd_off,MATCH(BT1800,hd_mark,0),0)/12)),0)</f>
        <v>0</v>
      </c>
      <c r="BH1800">
        <f>IF(AV1800=0,0,$BG$1708*$AM$1688)</f>
        <v>0</v>
      </c>
      <c r="BI1800">
        <f>IFERROR(BH1800/$AU$1708,0)</f>
        <v>0</v>
      </c>
      <c r="BJ1800">
        <f>BH1800*($F$24+IF($F$24=0,0,($C$14+$C$15+IF($C$13="single",1.5,3)+3)/12))</f>
        <v>0</v>
      </c>
      <c r="BK1800">
        <f>BJ1800-BA1800</f>
        <v>0</v>
      </c>
      <c r="BL1800" cm="1">
        <f t="array" ref="BL1800">IFERROR(IF(BK1800&lt;0,0,BK1800/($AU$1708-INDEX(hd_off,MATCH(BT1800,hd_mark,0),0)/12)),0)</f>
        <v>0</v>
      </c>
      <c r="BM1800">
        <f>MAX($F$24,$BE$1708)/$Q$1716</f>
        <v>0</v>
      </c>
      <c r="BN1800">
        <f t="shared" si="1103"/>
        <v>0</v>
      </c>
      <c r="BO1800" cm="1">
        <f t="array" ref="BO1800">IFERROR(INDEX(sheath_ecap_asd,MATCH(BS1800,sheath_mark,0),0)*BN1800,0)</f>
        <v>0</v>
      </c>
      <c r="BP1800" cm="1">
        <f t="array" ref="BP1800">IFERROR(INDEX(sheath_wcap_asd,MATCH(BS1800,sheath_mark,0),0)*BN1800,0)</f>
        <v>0</v>
      </c>
      <c r="BQ1800" cm="1">
        <f t="array" ref="BQ1800">IFERROR(INDEX(hd_cap,MATCH(BT1800,hd_mark,0),0),0)</f>
        <v>0</v>
      </c>
      <c r="BS1800" s="19"/>
      <c r="BT1800" s="19"/>
      <c r="BU1800" s="100"/>
    </row>
    <row r="1801" x14ac:dyDescent="0.25">
      <c r="P1801" s="93"/>
      <c r="Q1801" s="109"/>
      <c r="R1801" t="str">
        <f>$Q$1689</f>
        <v>Roof</v>
      </c>
      <c r="S1801">
        <f>$E$25</f>
        <v>33.171875</v>
      </c>
      <c r="T1801" cm="1">
        <f t="array" ref="T1801">IFERROR(IF(S1801=0,0,(INDEX($C$33:$C$38,MATCH($W$1708,$B$33:$B$38,0),0)*(S1801+$X$1708)+$V$1708*$C$31)*$R$1708),0)</f>
        <v>0</v>
      </c>
      <c r="U1801">
        <f>IF(S1801=0,0,-$V$1708*$C$31*$H$27*$R$1708)</f>
        <v>0</v>
      </c>
      <c r="V1801">
        <f>IF(S1801=0,0,$V$1708*$H$26*$R$1708)</f>
        <v>0</v>
      </c>
      <c r="W1801">
        <f>(0.6*T1801+0.7*U1801)*$R$1708/2</f>
        <v>0</v>
      </c>
      <c r="X1801">
        <f>T1801*$R$1708/2</f>
        <v>0</v>
      </c>
      <c r="Z1801">
        <f>IF(S1801=0,0,$AD$1708*$AP$1689)</f>
        <v>0</v>
      </c>
      <c r="AA1801">
        <f>IFERROR(Z1801/$R$1708,0)</f>
        <v>0</v>
      </c>
      <c r="AB1801">
        <f>Z1801*($F$25+($C$16+$C$17+IF($C$13="single",1.5,3)+3)/12)</f>
        <v>0</v>
      </c>
      <c r="AC1801">
        <f>AB1801-W1801</f>
        <v>0</v>
      </c>
      <c r="AD1801" cm="1">
        <f t="array" ref="AD1801">IFERROR(IF(AC1801&lt;0,0,AC1801/($R$1708-INDEX(hd_off,MATCH(AQ1801,hd_mark,0),0)/12)),0)</f>
        <v>0</v>
      </c>
      <c r="AE1801">
        <f>IF(S1801=0,0,$AD$1708*$AM$1689)</f>
        <v>0</v>
      </c>
      <c r="AF1801">
        <f>IFERROR(AE1801/$R$1708,0)</f>
        <v>0</v>
      </c>
      <c r="AG1801">
        <f>AE1801*($F$25+($C$16+$C$17+IF($C$13="single",1.5,3)+3)/12)</f>
        <v>0</v>
      </c>
      <c r="AH1801">
        <f>AG1801-X1801</f>
        <v>0</v>
      </c>
      <c r="AI1801" cm="1">
        <f t="array" ref="AI1801">IFERROR(IF(AH1801&lt;0,0,AH1801/($R$1708-INDEX(hd_off,MATCH(AQ1801,hd_mark,0),0)/12)),0)</f>
        <v>0</v>
      </c>
      <c r="AJ1801">
        <f>MAX($F$25,$AC$1708)/$Q$1716</f>
        <v>0.29920977011494249</v>
      </c>
      <c r="AK1801">
        <f t="shared" si="1102"/>
        <v>1</v>
      </c>
      <c r="AL1801" cm="1">
        <f t="array" ref="AL1801">IFERROR(INDEX(sheath_ecap_asd,MATCH(AP1801,sheath_mark,0),0)*AK1801,0)</f>
        <v>0</v>
      </c>
      <c r="AM1801" cm="1">
        <f t="array" ref="AM1801">IFERROR(INDEX(sheath_wcap_asd,MATCH(AP1801,sheath_mark,0),0)*AK1801,0)</f>
        <v>0</v>
      </c>
      <c r="AN1801" cm="1">
        <f t="array" ref="AN1801">IFERROR(INDEX(hd_cap,MATCH(AQ1801,hd_mark,0),0),0)</f>
        <v>0</v>
      </c>
      <c r="AP1801" s="19"/>
      <c r="AQ1801" s="19"/>
      <c r="AR1801" s="100"/>
      <c r="AS1801" s="93"/>
      <c r="AT1801" s="109"/>
      <c r="AU1801" t="str">
        <f>$Q$1689</f>
        <v>Roof</v>
      </c>
      <c r="AV1801">
        <f>$E$25</f>
        <v>33.171875</v>
      </c>
      <c r="AW1801" cm="1">
        <f t="array" ref="AW1801">IFERROR(IF(AV1801=0,0,(INDEX($C$33:$C$38,MATCH($AZ$1708,$B$33:$B$38,0),0)*(AV1801+$BA$1708)+$AY$1708*$C$31)*$AU$1708),0)</f>
        <v>0</v>
      </c>
      <c r="AX1801">
        <f>IF(AV1801=0,0,-$AY$1708*$C$31*$H$27*$AU$1708)</f>
        <v>0</v>
      </c>
      <c r="AY1801">
        <f>IF(AV1801=0,0,$AY$1708*$H$26*$AU$1708)</f>
        <v>0</v>
      </c>
      <c r="AZ1801">
        <f>(0.6*AW1801+0.7*AX1801)*$AU$1708/2</f>
        <v>0</v>
      </c>
      <c r="BA1801">
        <f>AW1801*$AU$1708/2</f>
        <v>0</v>
      </c>
      <c r="BC1801">
        <f>IF(AV1801=0,0,$BG$1708*$AP$1689)</f>
        <v>0</v>
      </c>
      <c r="BD1801">
        <f>IFERROR(BC1801/$AU$1708,0)</f>
        <v>0</v>
      </c>
      <c r="BE1801">
        <f>BC1801*($F$25+($C$16+$C$17+IF($C$13="single",1.5,3)+3)/12)</f>
        <v>0</v>
      </c>
      <c r="BF1801">
        <f>BE1801-AZ1801</f>
        <v>0</v>
      </c>
      <c r="BG1801" cm="1">
        <f t="array" ref="BG1801">IFERROR(IF(BF1801&lt;0,0,BF1801/($AU$1708-INDEX(hd_off,MATCH(BT1801,hd_mark,0),0)/12)),0)</f>
        <v>0</v>
      </c>
      <c r="BH1801">
        <f>IF(AV1801=0,0,$BG$1708*$AM$1689)</f>
        <v>0</v>
      </c>
      <c r="BI1801">
        <f>IFERROR(BH1801/$AU$1708,0)</f>
        <v>0</v>
      </c>
      <c r="BJ1801">
        <f>BH1801*($F$25+($C$16+$C$17+IF($C$13="single",1.5,3)+3)/12)</f>
        <v>0</v>
      </c>
      <c r="BK1801">
        <f>BJ1801-BA1801</f>
        <v>0</v>
      </c>
      <c r="BL1801" cm="1">
        <f t="array" ref="BL1801">IFERROR(IF(BK1801&lt;0,0,BK1801/($AU$1708-INDEX(hd_off,MATCH(BT1801,hd_mark,0),0)/12)),0)</f>
        <v>0</v>
      </c>
      <c r="BM1801">
        <f>MAX($F$25,$BF$1708)/$Q$1716</f>
        <v>0.29920977011494249</v>
      </c>
      <c r="BN1801">
        <f t="shared" si="1103"/>
        <v>1</v>
      </c>
      <c r="BO1801" cm="1">
        <f t="array" ref="BO1801">IFERROR(INDEX(sheath_ecap_asd,MATCH(BS1801,sheath_mark,0),0)*BN1801,0)</f>
        <v>0</v>
      </c>
      <c r="BP1801" cm="1">
        <f t="array" ref="BP1801">IFERROR(INDEX(sheath_wcap_asd,MATCH(BS1801,sheath_mark,0),0)*BN1801,0)</f>
        <v>0</v>
      </c>
      <c r="BQ1801" cm="1">
        <f t="array" ref="BQ1801">IFERROR(INDEX(hd_cap,MATCH(BT1801,hd_mark,0),0),0)</f>
        <v>0</v>
      </c>
      <c r="BS1801" s="19"/>
      <c r="BT1801" s="19"/>
      <c r="BU1801" s="100"/>
    </row>
    <row r="1802" x14ac:dyDescent="0.25">
      <c r="P1802" s="93"/>
      <c r="AR1802" s="100"/>
      <c r="AS1802" s="93"/>
      <c r="BU1802" s="100"/>
    </row>
    <row r="1803" x14ac:dyDescent="0.25">
      <c r="P1803" s="93"/>
      <c r="Q1803" s="110" t="str">
        <f>$Q$1709</f>
        <v>A.16</v>
      </c>
      <c r="R1803" t="str">
        <f>$Q$1685</f>
        <v>L2</v>
      </c>
      <c r="S1803">
        <f>$E$21</f>
        <v>10.6875</v>
      </c>
      <c r="T1803" cm="1">
        <f t="array" ref="T1803">IFERROR(IF(S1803=0,0,(INDEX($C$33:$C$38,MATCH($W$1709,$B$33:$B$38,0),0)*(S1807+$X$1709)+$T$1709*COUNTIF(S1803:S1806,"&gt;0")*$C$32+$V$1709*$C$31)*$R$1709),0)</f>
        <v>0</v>
      </c>
      <c r="U1803">
        <f>IF(S1803=0,0,-(COUNTIF(S1803:S1806,"&gt;0")*$T$1709*$C$32+$V$1709*$C$31)*$H$27*$R$1709)</f>
        <v>0</v>
      </c>
      <c r="V1803">
        <f>IF(S1803=0,0,$V$1709*$H$26*$R$1709)</f>
        <v>0</v>
      </c>
      <c r="W1803">
        <f>(0.6*T1803+0.7*U1803)*$R$1709/2</f>
        <v>0</v>
      </c>
      <c r="X1803">
        <f>(0.6*T1803+0.6*V1803)*$R$1709/2</f>
        <v>0</v>
      </c>
      <c r="Z1803">
        <f>IF(S1803=0,0,$AD$1709*$AP$1685)</f>
        <v>0</v>
      </c>
      <c r="AA1803">
        <f>IFERROR(Z1803/$R$1709,0)</f>
        <v>0</v>
      </c>
      <c r="AB1803">
        <f>Z1803*($F$21+IF($F$21=0,0,($C$14+$C$15+IF($C$13="single",1.5,3)+3)/12))</f>
        <v>0</v>
      </c>
      <c r="AC1803">
        <f>AB1803-W1803</f>
        <v>0</v>
      </c>
      <c r="AD1803" cm="1">
        <f t="array" ref="AD1803">IFERROR(IF(AC1803&lt;0,0,AC1803/($R$1709-INDEX(hd_off,MATCH(AQ1803,hd_mark,0),0)/12)),0)</f>
        <v>0</v>
      </c>
      <c r="AE1803">
        <f>IF(S1803=0,0,$AD$1709*$AM$1685)</f>
        <v>0</v>
      </c>
      <c r="AF1803">
        <f>IFERROR(AE1803/$R$1709,0)</f>
        <v>0</v>
      </c>
      <c r="AG1803">
        <f>AE1803*($F$21+IF($F$21=0,0,($C$14+$C$15+IF($C$13="single",1.5,3)+3)/12))</f>
        <v>0</v>
      </c>
      <c r="AH1803">
        <f>AG1803-X1803</f>
        <v>0</v>
      </c>
      <c r="AI1803" cm="1">
        <f t="array" ref="AI1803">IFERROR(IF(AH1803&lt;0,0,AH1803/($R$1709-INDEX(hd_off,MATCH(AQ1803,hd_mark,0),0)/12)),0)</f>
        <v>0</v>
      </c>
      <c r="AJ1803">
        <f>MAX($F$21,$Y$1709)/$Q$1716</f>
        <v>0.30172413793103448</v>
      </c>
      <c r="AK1803">
        <f>IF(AJ1803=0,0,IF(AJ1803&gt;2,1.25-0.125*AJ1803,1))</f>
        <v>1</v>
      </c>
      <c r="AL1803" cm="1">
        <f t="array" ref="AL1803">IFERROR(INDEX(sheath_ecap_asd,MATCH(AP1803,sheath_mark,0),0)*AK1803,0)</f>
        <v>0</v>
      </c>
      <c r="AM1803" cm="1">
        <f t="array" ref="AM1803">IFERROR(INDEX(sheath_wcap_asd,MATCH(AP1803,sheath_mark,0),0)*AK1803,0)</f>
        <v>0</v>
      </c>
      <c r="AN1803" cm="1">
        <f t="array" ref="AN1803">IFERROR(INDEX(hd_cap,MATCH(AQ1803,hd_mark,0),0),0)</f>
        <v>0</v>
      </c>
      <c r="AP1803" s="19"/>
      <c r="AQ1803" s="19"/>
      <c r="AR1803" s="100"/>
      <c r="AS1803" s="93"/>
      <c r="AT1803" s="110" t="str">
        <f>$AT$1709</f>
        <v>1.16</v>
      </c>
      <c r="AU1803" t="str">
        <f>$Q$1685</f>
        <v>L2</v>
      </c>
      <c r="AV1803">
        <f>$E$21</f>
        <v>10.6875</v>
      </c>
      <c r="AW1803" cm="1">
        <f t="array" ref="AW1803">IFERROR(IF(AV1803=0,0,(INDEX($C$33:$C$38,MATCH($AZ$1709,$B$33:$B$38,0),0)*(AV1807+$BA$1709)+$AW$1709*COUNTIF(AV1803:AV1806,"&gt;0")*$C$32+$AY$1709*$C$31)*$AU$1709),0)</f>
        <v>0</v>
      </c>
      <c r="AX1803">
        <f>IF(AV1803=0,0,-(COUNTIF(AV1803:AV1806,"&gt;0")*$AW$1709*$C$32+$AY$1709*$C$31)*$H$27*$AU$1709)</f>
        <v>0</v>
      </c>
      <c r="AY1803">
        <f>IF(AV1803=0,0,$AY$1709*$H$26*$AU$1709)</f>
        <v>0</v>
      </c>
      <c r="AZ1803">
        <f>(0.6*AW1803+0.7*AX1803)*$AU$1709/2</f>
        <v>0</v>
      </c>
      <c r="BA1803">
        <f>(0.6*AW1803+0.6*AY1803)*$AU$1709/2</f>
        <v>0</v>
      </c>
      <c r="BC1803">
        <f>IF(AV1803=0,0,$BG$1709*$AP$1685)</f>
        <v>0</v>
      </c>
      <c r="BD1803">
        <f>IFERROR(BC1803/$AU$1709,0)</f>
        <v>0</v>
      </c>
      <c r="BE1803">
        <f>BC1803*($F$21+IF($F$21=0,0,($C$14+$C$15+IF($C$13="single",1.5,3)+3)/12))</f>
        <v>0</v>
      </c>
      <c r="BF1803">
        <f>BE1803-AZ1803</f>
        <v>0</v>
      </c>
      <c r="BG1803" cm="1">
        <f t="array" ref="BG1803">IFERROR(IF(BF1803&lt;0,0,BF1803/($AU$1709-INDEX(hd_off,MATCH(BT1803,hd_mark,0),0)/12)),0)</f>
        <v>0</v>
      </c>
      <c r="BH1803">
        <f>IF(AV1803=0,0,$BG$1709*$AM$1685)</f>
        <v>0</v>
      </c>
      <c r="BI1803">
        <f>IFERROR(BH1803/$AU$1709,0)</f>
        <v>0</v>
      </c>
      <c r="BJ1803">
        <f>BH1803*($F$21+IF($F$21=0,0,($C$14+$C$15+IF($C$13="single",1.5,3)+3)/12))</f>
        <v>0</v>
      </c>
      <c r="BK1803">
        <f>BJ1803-BA1803</f>
        <v>0</v>
      </c>
      <c r="BL1803" cm="1">
        <f t="array" ref="BL1803">IFERROR(IF(BK1803&lt;0,0,BK1803/($AU$1709-INDEX(hd_off,MATCH(BT1803,hd_mark,0),0)/12)),0)</f>
        <v>0</v>
      </c>
      <c r="BM1803">
        <f>MAX($F$21,$BB$1709)/$Q$1716</f>
        <v>0.30172413793103448</v>
      </c>
      <c r="BN1803">
        <f>IF(BM1803=0,0,IF(BM1803&gt;2,1.25-0.125*BM1803,1))</f>
        <v>1</v>
      </c>
      <c r="BO1803" cm="1">
        <f t="array" ref="BO1803">IFERROR(INDEX(sheath_ecap_asd,MATCH(BS1803,sheath_mark,0),0)*BN1803,0)</f>
        <v>0</v>
      </c>
      <c r="BP1803" cm="1">
        <f t="array" ref="BP1803">IFERROR(INDEX(sheath_wcap_asd,MATCH(BS1803,sheath_mark,0),0)*BN1803,0)</f>
        <v>0</v>
      </c>
      <c r="BQ1803" cm="1">
        <f t="array" ref="BQ1803">IFERROR(INDEX(hd_cap,MATCH(BT1803,hd_mark,0),0),0)</f>
        <v>0</v>
      </c>
      <c r="BS1803" s="19"/>
      <c r="BT1803" s="19"/>
      <c r="BU1803" s="100"/>
    </row>
    <row r="1804" x14ac:dyDescent="0.25">
      <c r="P1804" s="93"/>
      <c r="Q1804" s="109"/>
      <c r="R1804" t="str">
        <f>$Q$1686</f>
        <v>L3</v>
      </c>
      <c r="S1804">
        <f>$E$22</f>
        <v>21.375</v>
      </c>
      <c r="T1804" cm="1">
        <f t="array" ref="T1804">IFERROR(IF(S1804=0,0,(INDEX($C$33:$C$38,MATCH($W$1709,$B$33:$B$38,0),0)*(S1807+$X$1709)+$T$1709*COUNTIF(S1804:S1806,"&gt;0")*$C$32+$V$1709*$C$31)*$R$1709),0)</f>
        <v>0</v>
      </c>
      <c r="U1804">
        <f>IF(S1804=0,0,-(COUNTIF(S1804:S1806,"&gt;0")*$T$1709*$C$32+$V$1709*$C$31)*$H$27*$R$1709)</f>
        <v>0</v>
      </c>
      <c r="V1804">
        <f>IF(S1804=0,0,$V$1709*$H$26*$R$1709)</f>
        <v>0</v>
      </c>
      <c r="W1804">
        <f>(0.6*T1804+0.7*U1804)*$R$1709/2</f>
        <v>0</v>
      </c>
      <c r="X1804">
        <f>T1804*$R$1709/2</f>
        <v>0</v>
      </c>
      <c r="Z1804">
        <f>IF(S1804=0,0,$AD$1709*$AP$1686)</f>
        <v>0</v>
      </c>
      <c r="AA1804">
        <f>IFERROR(Z1804/$R$1709,0)</f>
        <v>0</v>
      </c>
      <c r="AB1804">
        <f>Z1804*($F$22+IF($F$22=0,0,($C$14+$C$15+IF($C$13="single",1.5,3)+3)/12))</f>
        <v>0</v>
      </c>
      <c r="AC1804">
        <f>AB1804-W1804</f>
        <v>0</v>
      </c>
      <c r="AD1804" cm="1">
        <f t="array" ref="AD1804">IFERROR(IF(AC1804&lt;0,0,AC1804/($R$1709-INDEX(hd_off,MATCH(AQ1804,hd_mark,0),0)/12)),0)</f>
        <v>0</v>
      </c>
      <c r="AE1804">
        <f>IF(S1804=0,0,$AD$1709*$AM$1686)</f>
        <v>0</v>
      </c>
      <c r="AF1804">
        <f>IFERROR(AE1804/$R$1709,0)</f>
        <v>0</v>
      </c>
      <c r="AG1804">
        <f>AE1804*($F$22+IF($F$22=0,0,($C$14+$C$15+IF($C$13="single",1.5,3)+3)/12))</f>
        <v>0</v>
      </c>
      <c r="AH1804">
        <f>AG1804-X1804</f>
        <v>0</v>
      </c>
      <c r="AI1804" cm="1">
        <f t="array" ref="AI1804">IFERROR(IF(AH1804&lt;0,0,AH1804/($R$1709-INDEX(hd_off,MATCH(AQ1804,hd_mark,0),0)/12)),0)</f>
        <v>0</v>
      </c>
      <c r="AJ1804">
        <f>MAX($F$22,$Z$1709)/$Q$1716</f>
        <v>0.30172413793103448</v>
      </c>
      <c r="AK1804">
        <f t="shared" ref="AK1804:AK1807" si="1104">IF(AJ1804=0,0,IF(AJ1804&gt;2,1.25-0.125*AJ1804,1))</f>
        <v>1</v>
      </c>
      <c r="AL1804" cm="1">
        <f t="array" ref="AL1804">IFERROR(INDEX(sheath_ecap_asd,MATCH(AP1804,sheath_mark,0),0)*AK1804,0)</f>
        <v>0</v>
      </c>
      <c r="AM1804" cm="1">
        <f t="array" ref="AM1804">IFERROR(INDEX(sheath_wcap_asd,MATCH(AP1804,sheath_mark,0),0)*AK1804,0)</f>
        <v>0</v>
      </c>
      <c r="AN1804" cm="1">
        <f t="array" ref="AN1804">IFERROR(INDEX(hd_cap,MATCH(AQ1804,hd_mark,0),0),0)</f>
        <v>0</v>
      </c>
      <c r="AP1804" s="19"/>
      <c r="AQ1804" s="19"/>
      <c r="AR1804" s="100"/>
      <c r="AS1804" s="93"/>
      <c r="AT1804" s="109"/>
      <c r="AU1804" t="str">
        <f>$Q$1686</f>
        <v>L3</v>
      </c>
      <c r="AV1804">
        <f>$E$22</f>
        <v>21.375</v>
      </c>
      <c r="AW1804" cm="1">
        <f t="array" ref="AW1804">IFERROR(IF(AV1804=0,0,(INDEX($C$33:$C$38,MATCH($AZ$1709,$B$33:$B$38,0),0)*(AV1807+$BA$1709)+$AW$1709*COUNTIF(AV1804:AV1806,"&gt;0")*$C$32+$AY$1709*$C$31)*$AU$1709),0)</f>
        <v>0</v>
      </c>
      <c r="AX1804">
        <f>IF(AV1804=0,0,-(COUNTIF(AV1804:AV1806,"&gt;0")*$AW$1709*$C$32+$AY$1709*$C$31)*$H$27*$AU$1709)</f>
        <v>0</v>
      </c>
      <c r="AY1804">
        <f>IF(AV1804=0,0,$AY$1709*$H$26*$AU$1709)</f>
        <v>0</v>
      </c>
      <c r="AZ1804">
        <f>(0.6*AW1804+0.7*AX1804)*$AU$1709/2</f>
        <v>0</v>
      </c>
      <c r="BA1804">
        <f>AW1804*$AU$1709/2</f>
        <v>0</v>
      </c>
      <c r="BC1804">
        <f>IF(AV1804=0,0,$BG$1709*$AP$1686)</f>
        <v>0</v>
      </c>
      <c r="BD1804">
        <f>IFERROR(BC1804/$AU$1709,0)</f>
        <v>0</v>
      </c>
      <c r="BE1804">
        <f>BC1804*($F$22+IF($F$22=0,0,($C$14+$C$15+IF($C$13="single",1.5,3)+3)/12))</f>
        <v>0</v>
      </c>
      <c r="BF1804">
        <f>BE1804-AZ1804</f>
        <v>0</v>
      </c>
      <c r="BG1804" cm="1">
        <f t="array" ref="BG1804">IFERROR(IF(BF1804&lt;0,0,BF1804/($AU$1709-INDEX(hd_off,MATCH(BT1804,hd_mark,0),0)/12)),0)</f>
        <v>0</v>
      </c>
      <c r="BH1804">
        <f>IF(AV1804=0,0,$BG$1709*$AM$1686)</f>
        <v>0</v>
      </c>
      <c r="BI1804">
        <f>IFERROR(BH1804/$AU$1709,0)</f>
        <v>0</v>
      </c>
      <c r="BJ1804">
        <f>BH1804*($F$22+IF($F$22=0,0,($C$14+$C$15+IF($C$13="single",1.5,3)+3)/12))</f>
        <v>0</v>
      </c>
      <c r="BK1804">
        <f>BJ1804-BA1804</f>
        <v>0</v>
      </c>
      <c r="BL1804" cm="1">
        <f t="array" ref="BL1804">IFERROR(IF(BK1804&lt;0,0,BK1804/($AU$1709-INDEX(hd_off,MATCH(BT1804,hd_mark,0),0)/12)),0)</f>
        <v>0</v>
      </c>
      <c r="BM1804">
        <f>MAX($F$22,$BC$1709)/$Q$1716</f>
        <v>0.30172413793103448</v>
      </c>
      <c r="BN1804">
        <f t="shared" ref="BN1804:BN1806" si="1105">IF(BM1804=0,0,IF(BM1804&gt;2,1.25-0.125*BM1804,1))</f>
        <v>1</v>
      </c>
      <c r="BO1804" cm="1">
        <f t="array" ref="BO1804">IFERROR(INDEX(sheath_ecap_asd,MATCH(BS1804,sheath_mark,0),0)*BN1804,0)</f>
        <v>0</v>
      </c>
      <c r="BP1804" cm="1">
        <f t="array" ref="BP1804">IFERROR(INDEX(sheath_wcap_asd,MATCH(BS1804,sheath_mark,0),0)*BN1804,0)</f>
        <v>0</v>
      </c>
      <c r="BQ1804" cm="1">
        <f t="array" ref="BQ1804">IFERROR(INDEX(hd_cap,MATCH(BT1804,hd_mark,0),0),0)</f>
        <v>0</v>
      </c>
      <c r="BS1804" s="19"/>
      <c r="BT1804" s="19"/>
      <c r="BU1804" s="100"/>
    </row>
    <row r="1805" x14ac:dyDescent="0.25">
      <c r="P1805" s="93"/>
      <c r="Q1805" s="109" t="s">
        <v>491</v>
      </c>
      <c r="R1805" t="str">
        <f>$Q$1687</f>
        <v>L4</v>
      </c>
      <c r="S1805">
        <f>$E$23</f>
        <v>0</v>
      </c>
      <c r="T1805" cm="1">
        <f t="array" ref="T1805">IFERROR(IF(S1805=0,0,(INDEX($C$33:$C$38,MATCH($W$1709,$B$33:$B$38,0),0)*(S1807+$X$1709)+$T$1709*COUNTIF(S1805:S1806,"&gt;0")*$C$32+$V$1709*$C$31)*$R$1709),0)</f>
        <v>0</v>
      </c>
      <c r="U1805">
        <f>IF(S1805=0,0,-(COUNTIF(S1805:S1806,"&gt;0")*$T$1709*$C$32+$V$1709*$C$31)*$H$27*$R$1709)</f>
        <v>0</v>
      </c>
      <c r="V1805">
        <f>IF(S1805=0,0,$V$1709*$H$26*$R$1709)</f>
        <v>0</v>
      </c>
      <c r="W1805">
        <f>(0.6*T1805+0.7*U1805)*$R$1709/2</f>
        <v>0</v>
      </c>
      <c r="X1805">
        <f>T1805*$R$1709/2</f>
        <v>0</v>
      </c>
      <c r="Z1805">
        <f>IF(S1805=0,0,$AD$1709*$AP$1687)</f>
        <v>0</v>
      </c>
      <c r="AA1805">
        <f>IFERROR(Z1805/$R$1709,0)</f>
        <v>0</v>
      </c>
      <c r="AB1805">
        <f>Z1805*($F$23+IF($F$23=0,0,($C$14+$C$15+IF($C$13="single",1.5,3)+3)/12))</f>
        <v>0</v>
      </c>
      <c r="AC1805">
        <f>AB1805-W1805</f>
        <v>0</v>
      </c>
      <c r="AD1805" cm="1">
        <f t="array" ref="AD1805">IFERROR(IF(AC1805&lt;0,0,AC1805/($R$1709-INDEX(hd_off,MATCH(AQ1805,hd_mark,0),0)/12)),0)</f>
        <v>0</v>
      </c>
      <c r="AE1805">
        <f>IF(S1805=0,0,$AD$1709*$AM$1687)</f>
        <v>0</v>
      </c>
      <c r="AF1805">
        <f>IFERROR(AE1805/$R$1709,0)</f>
        <v>0</v>
      </c>
      <c r="AG1805">
        <f>AE1805*($F$23+IF($F$23=0,0,($C$14+$C$15+IF($C$13="single",1.5,3)+3)/12))</f>
        <v>0</v>
      </c>
      <c r="AH1805">
        <f>AG1805-X1805</f>
        <v>0</v>
      </c>
      <c r="AI1805" cm="1">
        <f t="array" ref="AI1805">IFERROR(IF(AH1805&lt;0,0,AH1805/($R$1709-INDEX(hd_off,MATCH(AQ1805,hd_mark,0),0)/12)),0)</f>
        <v>0</v>
      </c>
      <c r="AJ1805">
        <f>MAX($F$23,$AA$1709)/$Q$1716</f>
        <v>0</v>
      </c>
      <c r="AK1805">
        <f t="shared" si="1104"/>
        <v>0</v>
      </c>
      <c r="AL1805" cm="1">
        <f t="array" ref="AL1805">IFERROR(INDEX(sheath_ecap_asd,MATCH(AP1805,sheath_mark,0),0)*AK1805,0)</f>
        <v>0</v>
      </c>
      <c r="AM1805" cm="1">
        <f t="array" ref="AM1805">IFERROR(INDEX(sheath_wcap_asd,MATCH(AP1805,sheath_mark,0),0)*AK1805,0)</f>
        <v>0</v>
      </c>
      <c r="AN1805" cm="1">
        <f t="array" ref="AN1805">IFERROR(INDEX(hd_cap,MATCH(AQ1805,hd_mark,0),0),0)</f>
        <v>0</v>
      </c>
      <c r="AP1805" s="19"/>
      <c r="AQ1805" s="19"/>
      <c r="AR1805" s="100"/>
      <c r="AS1805" s="93"/>
      <c r="AT1805" s="109" t="s">
        <v>491</v>
      </c>
      <c r="AU1805" t="str">
        <f>$Q$1687</f>
        <v>L4</v>
      </c>
      <c r="AV1805">
        <f>$E$23</f>
        <v>0</v>
      </c>
      <c r="AW1805" cm="1">
        <f t="array" ref="AW1805">IFERROR(IF(AV1805=0,0,(INDEX($C$33:$C$38,MATCH($AZ$1709,$B$33:$B$38,0),0)*(AV1807+$BA$1709)+$AW$1709*COUNTIF(AV1805:AV1806,"&gt;0")*$C$32+$AY$1709*$C$31)*$AU$1709),0)</f>
        <v>0</v>
      </c>
      <c r="AX1805">
        <f>IF(AV1805=0,0,-(COUNTIF(AV1805:AV1806,"&gt;0")*$AW$1709*$C$32+$AY$1709*$C$31)*$H$27*$AU$1709)</f>
        <v>0</v>
      </c>
      <c r="AY1805">
        <f>IF(AV1805=0,0,$AY$1709*$H$26*$AU$1709)</f>
        <v>0</v>
      </c>
      <c r="AZ1805">
        <f>(0.6*AW1805+0.7*AX1805)*$AU$1709/2</f>
        <v>0</v>
      </c>
      <c r="BA1805">
        <f>AW1805*$AU$1709/2</f>
        <v>0</v>
      </c>
      <c r="BC1805">
        <f>IF(AV1805=0,0,$BG$1709*$AP$1687)</f>
        <v>0</v>
      </c>
      <c r="BD1805">
        <f>IFERROR(BC1805/$AU$1709,0)</f>
        <v>0</v>
      </c>
      <c r="BE1805">
        <f>BC1805*($F$23+IF($F$23=0,0,($C$14+$C$15+IF($C$13="single",1.5,3)+3)/12))</f>
        <v>0</v>
      </c>
      <c r="BF1805">
        <f>BE1805-AZ1805</f>
        <v>0</v>
      </c>
      <c r="BG1805" cm="1">
        <f t="array" ref="BG1805">IFERROR(IF(BF1805&lt;0,0,BF1805/($AU$1709-INDEX(hd_off,MATCH(BT1805,hd_mark,0),0)/12)),0)</f>
        <v>0</v>
      </c>
      <c r="BH1805">
        <f>IF(AV1805=0,0,$BG$1709*$AM$1687)</f>
        <v>0</v>
      </c>
      <c r="BI1805">
        <f>IFERROR(BH1805/$AU$1709,0)</f>
        <v>0</v>
      </c>
      <c r="BJ1805">
        <f>BH1805*($F$23+IF($F$23=0,0,($C$14+$C$15+IF($C$13="single",1.5,3)+3)/12))</f>
        <v>0</v>
      </c>
      <c r="BK1805">
        <f>BJ1805-BA1805</f>
        <v>0</v>
      </c>
      <c r="BL1805" cm="1">
        <f t="array" ref="BL1805">IFERROR(IF(BK1805&lt;0,0,BK1805/($AU$1709-INDEX(hd_off,MATCH(BT1805,hd_mark,0),0)/12)),0)</f>
        <v>0</v>
      </c>
      <c r="BM1805">
        <f>MAX($F$23,$BD$1709)/$Q$1716</f>
        <v>0</v>
      </c>
      <c r="BN1805">
        <f t="shared" si="1105"/>
        <v>0</v>
      </c>
      <c r="BO1805" cm="1">
        <f t="array" ref="BO1805">IFERROR(INDEX(sheath_ecap_asd,MATCH(BS1805,sheath_mark,0),0)*BN1805,0)</f>
        <v>0</v>
      </c>
      <c r="BP1805" cm="1">
        <f t="array" ref="BP1805">IFERROR(INDEX(sheath_wcap_asd,MATCH(BS1805,sheath_mark,0),0)*BN1805,0)</f>
        <v>0</v>
      </c>
      <c r="BQ1805" cm="1">
        <f t="array" ref="BQ1805">IFERROR(INDEX(hd_cap,MATCH(BT1805,hd_mark,0),0),0)</f>
        <v>0</v>
      </c>
      <c r="BS1805" s="19"/>
      <c r="BT1805" s="19"/>
      <c r="BU1805" s="100"/>
    </row>
    <row r="1806" x14ac:dyDescent="0.25">
      <c r="P1806" s="93"/>
      <c r="Q1806" s="111">
        <f>$R$1709</f>
        <v>0</v>
      </c>
      <c r="R1806" t="str">
        <f>$Q$1688</f>
        <v>L5</v>
      </c>
      <c r="S1806">
        <f>$E$24</f>
        <v>0</v>
      </c>
      <c r="T1806" cm="1">
        <f t="array" ref="T1806">IFERROR(IF(S1806=0,0,(INDEX($C$33:$C$38,MATCH($W$1709,$B$33:$B$38,0),0)*(S1807+$X$1709)+$T$1709*COUNTIF(S1806:S1806,"&gt;0")*$C$32+$V$1709*$C$31)*$R$1709),0)</f>
        <v>0</v>
      </c>
      <c r="U1806">
        <f>IF(S1806=0,0,-(COUNTIF(S1806:S1806,"&gt;0")*$T$1709*$C$32+$V$1709*$C$31)*$H$27*$R$1709)</f>
        <v>0</v>
      </c>
      <c r="V1806">
        <f>IF(S1806=0,0,$V$1709*$H$26*$R$1709)</f>
        <v>0</v>
      </c>
      <c r="W1806">
        <f>(0.6*T1806+0.7*U1806)*$R$1709/2</f>
        <v>0</v>
      </c>
      <c r="X1806">
        <f>T1806*$R$1709/2</f>
        <v>0</v>
      </c>
      <c r="Z1806">
        <f>IF(S1806=0,0,$AD$1709*$AP$1688)</f>
        <v>0</v>
      </c>
      <c r="AA1806">
        <f>IFERROR(Z1806/$R$1709,0)</f>
        <v>0</v>
      </c>
      <c r="AB1806">
        <f>Z1806*($F$24+IF($F$24=0,0,($C$14+$C$15+IF($C$13="single",1.5,3)+3)/12))</f>
        <v>0</v>
      </c>
      <c r="AC1806">
        <f>AB1806-W1806</f>
        <v>0</v>
      </c>
      <c r="AD1806" cm="1">
        <f t="array" ref="AD1806">IFERROR(IF(AC1806&lt;0,0,AC1806/($R$1709-INDEX(hd_off,MATCH(AQ1806,hd_mark,0),0)/12)),0)</f>
        <v>0</v>
      </c>
      <c r="AE1806">
        <f>IF(S1806=0,0,$AD$1709*$AM$1688)</f>
        <v>0</v>
      </c>
      <c r="AF1806">
        <f>IFERROR(AE1806/$R$1709,0)</f>
        <v>0</v>
      </c>
      <c r="AG1806">
        <f>AE1806*($F$24+IF($F$24=0,0,($C$14+$C$15+IF($C$13="single",1.5,3)+3)/12))</f>
        <v>0</v>
      </c>
      <c r="AH1806">
        <f>AG1806-X1806</f>
        <v>0</v>
      </c>
      <c r="AI1806" cm="1">
        <f t="array" ref="AI1806">IFERROR(IF(AH1806&lt;0,0,AH1806/($R$1709-INDEX(hd_off,MATCH(AQ1806,hd_mark,0),0)/12)),0)</f>
        <v>0</v>
      </c>
      <c r="AJ1806">
        <f>MAX($F$24,$AB$1709)/$Q$1716</f>
        <v>0</v>
      </c>
      <c r="AK1806">
        <f t="shared" si="1104"/>
        <v>0</v>
      </c>
      <c r="AL1806" cm="1">
        <f t="array" ref="AL1806">IFERROR(INDEX(sheath_ecap_asd,MATCH(AP1806,sheath_mark,0),0)*AK1806,0)</f>
        <v>0</v>
      </c>
      <c r="AM1806" cm="1">
        <f t="array" ref="AM1806">IFERROR(INDEX(sheath_wcap_asd,MATCH(AP1806,sheath_mark,0),0)*AK1806,0)</f>
        <v>0</v>
      </c>
      <c r="AN1806" cm="1">
        <f t="array" ref="AN1806">IFERROR(INDEX(hd_cap,MATCH(AQ1806,hd_mark,0),0),0)</f>
        <v>0</v>
      </c>
      <c r="AP1806" s="19"/>
      <c r="AQ1806" s="19"/>
      <c r="AR1806" s="100"/>
      <c r="AS1806" s="93"/>
      <c r="AT1806" s="111">
        <f>$R$1709</f>
        <v>0</v>
      </c>
      <c r="AU1806" t="str">
        <f>$Q$1688</f>
        <v>L5</v>
      </c>
      <c r="AV1806">
        <f>$E$24</f>
        <v>0</v>
      </c>
      <c r="AW1806" cm="1">
        <f t="array" ref="AW1806">IFERROR(IF(AV1806=0,0,(INDEX($C$33:$C$38,MATCH($AZ$1709,$B$33:$B$38,0),0)*(AV1807+$BA$1709)+$AW$1709*COUNTIF(AV1806:AV1806,"&gt;0")*$C$32+$AY$1709*$C$31)*$AU$1709),0)</f>
        <v>0</v>
      </c>
      <c r="AX1806">
        <f>IF(AV1806=0,0,-(COUNTIF(AV1806:AV1806,"&gt;0")*$AW$1709*$C$32+$AY$1709*$C$31)*$H$27*$AU$1709)</f>
        <v>0</v>
      </c>
      <c r="AY1806">
        <f>IF(AV1806=0,0,$AY$1709*$H$26*$AU$1709)</f>
        <v>0</v>
      </c>
      <c r="AZ1806">
        <f>(0.6*AW1806+0.7*AX1806)*$AU$1709/2</f>
        <v>0</v>
      </c>
      <c r="BA1806">
        <f>AW1806*$AU$1709/2</f>
        <v>0</v>
      </c>
      <c r="BC1806">
        <f>IF(AV1806=0,0,$BG$1709*$AP$1688)</f>
        <v>0</v>
      </c>
      <c r="BD1806">
        <f>IFERROR(BC1806/$AU$1709,0)</f>
        <v>0</v>
      </c>
      <c r="BE1806">
        <f>BC1806*($F$24+IF($F$24=0,0,($C$14+$C$15+IF($C$13="single",1.5,3)+3)/12))</f>
        <v>0</v>
      </c>
      <c r="BF1806">
        <f>BE1806-AZ1806</f>
        <v>0</v>
      </c>
      <c r="BG1806" cm="1">
        <f t="array" ref="BG1806">IFERROR(IF(BF1806&lt;0,0,BF1806/($AU$1709-INDEX(hd_off,MATCH(BT1806,hd_mark,0),0)/12)),0)</f>
        <v>0</v>
      </c>
      <c r="BH1806">
        <f>IF(AV1806=0,0,$BG$1709*$AM$1688)</f>
        <v>0</v>
      </c>
      <c r="BI1806">
        <f>IFERROR(BH1806/$AU$1709,0)</f>
        <v>0</v>
      </c>
      <c r="BJ1806">
        <f>BH1806*($F$24+IF($F$24=0,0,($C$14+$C$15+IF($C$13="single",1.5,3)+3)/12))</f>
        <v>0</v>
      </c>
      <c r="BK1806">
        <f>BJ1806-BA1806</f>
        <v>0</v>
      </c>
      <c r="BL1806" cm="1">
        <f t="array" ref="BL1806">IFERROR(IF(BK1806&lt;0,0,BK1806/($AU$1709-INDEX(hd_off,MATCH(BT1806,hd_mark,0),0)/12)),0)</f>
        <v>0</v>
      </c>
      <c r="BM1806">
        <f>MAX($F$24,$BE$1709)/$Q$1716</f>
        <v>0</v>
      </c>
      <c r="BN1806">
        <f t="shared" si="1105"/>
        <v>0</v>
      </c>
      <c r="BO1806" cm="1">
        <f t="array" ref="BO1806">IFERROR(INDEX(sheath_ecap_asd,MATCH(BS1806,sheath_mark,0),0)*BN1806,0)</f>
        <v>0</v>
      </c>
      <c r="BP1806" cm="1">
        <f t="array" ref="BP1806">IFERROR(INDEX(sheath_wcap_asd,MATCH(BS1806,sheath_mark,0),0)*BN1806,0)</f>
        <v>0</v>
      </c>
      <c r="BQ1806" cm="1">
        <f t="array" ref="BQ1806">IFERROR(INDEX(hd_cap,MATCH(BT1806,hd_mark,0),0),0)</f>
        <v>0</v>
      </c>
      <c r="BS1806" s="19"/>
      <c r="BT1806" s="19"/>
      <c r="BU1806" s="100"/>
    </row>
    <row r="1807" x14ac:dyDescent="0.25">
      <c r="P1807" s="93"/>
      <c r="Q1807" s="109"/>
      <c r="R1807" t="str">
        <f>$Q$1689</f>
        <v>Roof</v>
      </c>
      <c r="S1807">
        <f>$E$25</f>
        <v>33.171875</v>
      </c>
      <c r="T1807" cm="1">
        <f t="array" ref="T1807">IFERROR(IF(S1807=0,0,(INDEX($C$33:$C$38,MATCH($W$1709,$B$33:$B$38,0),0)*(S1807+$X$1709)+$V$1709*$C$31)*$R$1709),0)</f>
        <v>0</v>
      </c>
      <c r="U1807">
        <f>IF(S1807=0,0,-$V$1709*$C$31*$H$27*$R$1709)</f>
        <v>0</v>
      </c>
      <c r="V1807">
        <f>IF(S1807=0,0,$V$1709*$H$26*$R$1709)</f>
        <v>0</v>
      </c>
      <c r="W1807">
        <f>(0.6*T1807+0.7*U1807)*$R$1709/2</f>
        <v>0</v>
      </c>
      <c r="X1807">
        <f>T1807*$R$1709/2</f>
        <v>0</v>
      </c>
      <c r="Z1807">
        <f>IF(S1807=0,0,$AD$1709*$AP$1689)</f>
        <v>0</v>
      </c>
      <c r="AA1807">
        <f>IFERROR(Z1807/$R$1709,0)</f>
        <v>0</v>
      </c>
      <c r="AB1807">
        <f>Z1807*($F$25+($C$16+$C$17+IF($C$13="single",1.5,3)+3)/12)</f>
        <v>0</v>
      </c>
      <c r="AC1807">
        <f>AB1807-W1807</f>
        <v>0</v>
      </c>
      <c r="AD1807" cm="1">
        <f t="array" ref="AD1807">IFERROR(IF(AC1807&lt;0,0,AC1807/($R$1709-INDEX(hd_off,MATCH(AQ1807,hd_mark,0),0)/12)),0)</f>
        <v>0</v>
      </c>
      <c r="AE1807">
        <f>IF(S1807=0,0,$AD$1709*$AM$1689)</f>
        <v>0</v>
      </c>
      <c r="AF1807">
        <f>IFERROR(AE1807/$R$1709,0)</f>
        <v>0</v>
      </c>
      <c r="AG1807">
        <f>AE1807*($F$25+($C$16+$C$17+IF($C$13="single",1.5,3)+3)/12)</f>
        <v>0</v>
      </c>
      <c r="AH1807">
        <f>AG1807-X1807</f>
        <v>0</v>
      </c>
      <c r="AI1807" cm="1">
        <f t="array" ref="AI1807">IFERROR(IF(AH1807&lt;0,0,AH1807/($R$1709-INDEX(hd_off,MATCH(AQ1807,hd_mark,0),0)/12)),0)</f>
        <v>0</v>
      </c>
      <c r="AJ1807">
        <f>MAX($F$25,$AC$1709)/$Q$1716</f>
        <v>0.29920977011494249</v>
      </c>
      <c r="AK1807">
        <f t="shared" si="1104"/>
        <v>1</v>
      </c>
      <c r="AL1807" cm="1">
        <f t="array" ref="AL1807">IFERROR(INDEX(sheath_ecap_asd,MATCH(AP1807,sheath_mark,0),0)*AK1807,0)</f>
        <v>0</v>
      </c>
      <c r="AM1807" cm="1">
        <f t="array" ref="AM1807">IFERROR(INDEX(sheath_wcap_asd,MATCH(AP1807,sheath_mark,0),0)*AK1807,0)</f>
        <v>0</v>
      </c>
      <c r="AN1807" cm="1">
        <f t="array" ref="AN1807">IFERROR(INDEX(hd_cap,MATCH(AQ1807,hd_mark,0),0),0)</f>
        <v>0</v>
      </c>
      <c r="AP1807" s="19"/>
      <c r="AQ1807" s="19"/>
      <c r="AR1807" s="100"/>
      <c r="AS1807" s="93"/>
      <c r="BU1807" s="100"/>
    </row>
    <row r="1808" x14ac:dyDescent="0.25">
      <c r="B1808" s="1" t="s">
        <v>569</v>
      </c>
      <c r="C1808">
        <f>E16+H16*12</f>
        <v>32.4375</v>
      </c>
      <c r="E1808" s="19">
        <v>24</v>
      </c>
      <c r="F1808" s="19">
        <f>32+5.625/12</f>
        <v>32.46875</v>
      </c>
      <c r="G1808" s="19">
        <f>33+10.5/12</f>
        <v>33.875</v>
      </c>
      <c r="H1808">
        <f>(G16-F16)/2</f>
        <v>0.703125</v>
      </c>
      <c r="P1808" s="93"/>
      <c r="Q1808" t="s">
        <v>524</v>
      </c>
      <c r="R1808" s="2" t="str">
        <f>$B$56</f>
        <v>A</v>
      </c>
      <c r="AR1808" s="100"/>
      <c r="AS1808" s="93"/>
      <c r="AT1808" t="s">
        <v>524</v>
      </c>
      <c r="AU1808" s="2">
        <f>H56</f>
        <v>1</v>
      </c>
      <c r="BU1808" s="100"/>
    </row>
    <row r="1809" x14ac:dyDescent="0.25">
      <c r="B1809" s="1" t="s">
        <v>500</v>
      </c>
      <c r="C1809" s="19">
        <v>0.5</v>
      </c>
      <c r="P1809" s="93"/>
      <c r="AR1809" s="100"/>
      <c r="AS1809" s="93"/>
      <c r="BU1809" s="100"/>
    </row>
    <row r="1810" x14ac:dyDescent="0.25">
      <c r="P1810" s="93"/>
      <c r="R1810" t="s">
        <v>482</v>
      </c>
      <c r="Z1810" t="s">
        <v>483</v>
      </c>
      <c r="AH1810" t="s">
        <v>502</v>
      </c>
      <c r="AJ1810" t="s">
        <v>454</v>
      </c>
      <c r="AR1810" s="100"/>
      <c r="AS1810" s="93"/>
      <c r="AU1810" t="s">
        <v>482</v>
      </c>
      <c r="BC1810" t="s">
        <v>483</v>
      </c>
      <c r="BK1810" t="s">
        <v>502</v>
      </c>
      <c r="BM1810" t="s">
        <v>454</v>
      </c>
      <c r="BU1810" s="100"/>
    </row>
    <row r="1811" x14ac:dyDescent="0.25">
      <c r="B1811" t="s">
        <v>448</v>
      </c>
      <c r="C1811" t="s">
        <v>272</v>
      </c>
      <c r="D1811" t="s">
        <v>193</v>
      </c>
      <c r="E1811" s="70" t="s">
        <v>454</v>
      </c>
      <c r="F1811" s="71" t="s">
        <v>501</v>
      </c>
      <c r="H1811" t="s">
        <v>475</v>
      </c>
      <c r="J1811" t="s">
        <v>476</v>
      </c>
      <c r="P1811" s="93"/>
      <c r="R1811" t="s">
        <v>480</v>
      </c>
      <c r="S1811" t="s">
        <v>481</v>
      </c>
      <c r="T1811" t="s">
        <v>486</v>
      </c>
      <c r="U1811" t="s">
        <v>487</v>
      </c>
      <c r="V1811" t="s">
        <v>484</v>
      </c>
      <c r="W1811" t="s">
        <v>485</v>
      </c>
      <c r="X1811" t="s">
        <v>488</v>
      </c>
      <c r="Y1811" t="s">
        <v>489</v>
      </c>
      <c r="Z1811" t="s">
        <v>480</v>
      </c>
      <c r="AA1811" t="s">
        <v>481</v>
      </c>
      <c r="AB1811" t="s">
        <v>486</v>
      </c>
      <c r="AC1811" t="s">
        <v>487</v>
      </c>
      <c r="AD1811" t="s">
        <v>484</v>
      </c>
      <c r="AE1811" t="s">
        <v>485</v>
      </c>
      <c r="AF1811" t="s">
        <v>488</v>
      </c>
      <c r="AG1811" t="s">
        <v>489</v>
      </c>
      <c r="AH1811" t="s">
        <v>312</v>
      </c>
      <c r="AI1811" t="s">
        <v>258</v>
      </c>
      <c r="AJ1811" t="s">
        <v>486</v>
      </c>
      <c r="AK1811" t="s">
        <v>490</v>
      </c>
      <c r="AL1811" t="s">
        <v>487</v>
      </c>
      <c r="AM1811" t="s">
        <v>490</v>
      </c>
      <c r="AN1811" t="s">
        <v>488</v>
      </c>
      <c r="AO1811" t="s">
        <v>490</v>
      </c>
      <c r="AP1811" t="s">
        <v>489</v>
      </c>
      <c r="AQ1811" t="s">
        <v>490</v>
      </c>
      <c r="AR1811" s="100"/>
      <c r="AS1811" s="93"/>
      <c r="AU1811" t="s">
        <v>480</v>
      </c>
      <c r="AV1811" t="s">
        <v>481</v>
      </c>
      <c r="AW1811" t="s">
        <v>486</v>
      </c>
      <c r="AX1811" t="s">
        <v>487</v>
      </c>
      <c r="AY1811" t="s">
        <v>484</v>
      </c>
      <c r="AZ1811" t="s">
        <v>485</v>
      </c>
      <c r="BA1811" t="s">
        <v>488</v>
      </c>
      <c r="BB1811" t="s">
        <v>489</v>
      </c>
      <c r="BC1811" t="s">
        <v>480</v>
      </c>
      <c r="BD1811" t="s">
        <v>481</v>
      </c>
      <c r="BE1811" t="s">
        <v>486</v>
      </c>
      <c r="BF1811" t="s">
        <v>487</v>
      </c>
      <c r="BG1811" t="s">
        <v>484</v>
      </c>
      <c r="BH1811" t="s">
        <v>485</v>
      </c>
      <c r="BI1811" t="s">
        <v>488</v>
      </c>
      <c r="BJ1811" t="s">
        <v>489</v>
      </c>
      <c r="BK1811" t="s">
        <v>312</v>
      </c>
      <c r="BL1811" t="s">
        <v>258</v>
      </c>
      <c r="BM1811" t="s">
        <v>486</v>
      </c>
      <c r="BN1811" t="s">
        <v>490</v>
      </c>
      <c r="BO1811" t="s">
        <v>487</v>
      </c>
      <c r="BP1811" t="s">
        <v>490</v>
      </c>
      <c r="BQ1811" t="s">
        <v>488</v>
      </c>
      <c r="BR1811" t="s">
        <v>490</v>
      </c>
      <c r="BS1811" t="s">
        <v>489</v>
      </c>
      <c r="BT1811" t="s">
        <v>490</v>
      </c>
      <c r="BU1811" s="100"/>
    </row>
    <row r="1812" x14ac:dyDescent="0.25">
      <c r="B1812" t="s">
        <v>449</v>
      </c>
      <c r="C1812" s="19">
        <v>0</v>
      </c>
      <c r="D1812" s="19">
        <v>0</v>
      </c>
      <c r="E1812" s="66">
        <f>C20+D20/12</f>
        <v>0</v>
      </c>
      <c r="F1812" s="67">
        <v>0</v>
      </c>
      <c r="H1812" s="19">
        <v>0</v>
      </c>
      <c r="I1812" s="64" t="s">
        <v>196</v>
      </c>
      <c r="J1812" s="19">
        <v>0</v>
      </c>
      <c r="K1812" s="19">
        <v>0</v>
      </c>
      <c r="L1812" s="19">
        <v>0</v>
      </c>
      <c r="M1812" s="19">
        <v>0</v>
      </c>
      <c r="P1812" s="93"/>
      <c r="Q1812" t="s">
        <v>449</v>
      </c>
      <c r="R1812" s="19">
        <f>$H$20</f>
        <v>0</v>
      </c>
      <c r="S1812">
        <f>R1812*0.6</f>
        <v>0</v>
      </c>
      <c r="T1812">
        <f>$C$56/2*R1812</f>
        <v>0</v>
      </c>
      <c r="U1812">
        <f>T1812*0.6</f>
        <v>0</v>
      </c>
      <c r="V1812" s="19">
        <v>0</v>
      </c>
      <c r="W1812">
        <f>V1812*0.7</f>
        <v>0</v>
      </c>
      <c r="X1812">
        <f>$C$56/2*V1812</f>
        <v>0</v>
      </c>
      <c r="Y1812">
        <f>X1812*0.7</f>
        <v>0</v>
      </c>
      <c r="Z1812" s="19">
        <f>$H$20</f>
        <v>0</v>
      </c>
      <c r="AA1812">
        <f>Z1812*0.6</f>
        <v>0</v>
      </c>
      <c r="AB1812">
        <f>$D$56/2*Z1812</f>
        <v>0</v>
      </c>
      <c r="AC1812">
        <f t="shared" ref="AC1812:AC1818" si="1106">0.6*AB1812</f>
        <v>0</v>
      </c>
      <c r="AD1812" s="19">
        <v>0</v>
      </c>
      <c r="AE1812">
        <f>AD1812*0.7</f>
        <v>0</v>
      </c>
      <c r="AF1812">
        <f>$D$56/2*AD1812</f>
        <v>0</v>
      </c>
      <c r="AG1812">
        <f>AF1812*0.7</f>
        <v>0</v>
      </c>
      <c r="AH1812" s="19">
        <v>0</v>
      </c>
      <c r="AI1812" s="19">
        <v>0</v>
      </c>
      <c r="AJ1812" s="17">
        <f>T1812+AB1812+AH1812</f>
        <v>0</v>
      </c>
      <c r="AK1812" s="17">
        <f>AK1813+AJ1812</f>
        <v>13166</v>
      </c>
      <c r="AL1812" s="17">
        <f>AJ1812*0.6</f>
        <v>0</v>
      </c>
      <c r="AM1812" s="17">
        <f>AM1813+AL1812</f>
        <v>7899.5999999999995</v>
      </c>
      <c r="AN1812" s="17">
        <f>X1812+AF1812+AI1812</f>
        <v>0</v>
      </c>
      <c r="AO1812" s="17">
        <f t="shared" ref="AO1812:AQ1815" si="1107">AN1812+AO1813</f>
        <v>1302.0999999999999</v>
      </c>
      <c r="AP1812" s="17">
        <f>AN1812*0.7</f>
        <v>0</v>
      </c>
      <c r="AQ1812" s="17">
        <f>AP1812+AQ1813</f>
        <v>911.46999999999991</v>
      </c>
      <c r="AR1812" s="100"/>
      <c r="AS1812" s="93"/>
      <c r="AT1812" t="s">
        <v>449</v>
      </c>
      <c r="AU1812" s="19">
        <f>$H$20</f>
        <v>0</v>
      </c>
      <c r="AV1812">
        <f>AU1812*0.6</f>
        <v>0</v>
      </c>
      <c r="AW1812">
        <f t="shared" ref="AW1812:AW1818" si="1108">$I$56/2*AU1812</f>
        <v>0</v>
      </c>
      <c r="AX1812">
        <f>AW1812*0.6</f>
        <v>0</v>
      </c>
      <c r="AY1812" s="19">
        <v>0</v>
      </c>
      <c r="AZ1812">
        <f>AY1812*0.7</f>
        <v>0</v>
      </c>
      <c r="BA1812">
        <f t="shared" ref="BA1812:BA1817" si="1109">$I$56/2*AY1812</f>
        <v>0</v>
      </c>
      <c r="BB1812">
        <f>BA1812*0.7</f>
        <v>0</v>
      </c>
      <c r="BC1812" s="19">
        <f>$H$20</f>
        <v>0</v>
      </c>
      <c r="BD1812">
        <f>BC1812*0.6</f>
        <v>0</v>
      </c>
      <c r="BE1812">
        <f t="shared" ref="BE1812:BE1818" si="1110">$J$56/2*BC1812</f>
        <v>0</v>
      </c>
      <c r="BF1812">
        <f t="shared" ref="BF1812:BF1818" si="1111">0.6*BE1812</f>
        <v>0</v>
      </c>
      <c r="BG1812" s="19">
        <v>0</v>
      </c>
      <c r="BH1812">
        <f>BG1812*0.7</f>
        <v>0</v>
      </c>
      <c r="BI1812">
        <f t="shared" ref="BI1812:BI1817" si="1112">$J$56/2*BG1812</f>
        <v>0</v>
      </c>
      <c r="BJ1812">
        <f>BI1812*0.7</f>
        <v>0</v>
      </c>
      <c r="BK1812" s="19">
        <v>0</v>
      </c>
      <c r="BL1812" s="19">
        <v>0</v>
      </c>
      <c r="BM1812" s="17">
        <f>AW1812+BE1812+BK1812</f>
        <v>0</v>
      </c>
      <c r="BN1812" s="17">
        <f>BN1813+BM1812</f>
        <v>12258</v>
      </c>
      <c r="BO1812" s="17">
        <f>BM1812*0.6</f>
        <v>0</v>
      </c>
      <c r="BP1812" s="17">
        <f>BP1813+BO1812</f>
        <v>7354.7999999999993</v>
      </c>
      <c r="BQ1812" s="17">
        <f>BA1812+BI1812+BL1812</f>
        <v>0</v>
      </c>
      <c r="BR1812" s="17">
        <f t="shared" ref="BR1812:BR1815" si="1113">BQ1812+BR1813</f>
        <v>1212.3</v>
      </c>
      <c r="BS1812" s="17">
        <f>BQ1812*0.7</f>
        <v>0</v>
      </c>
      <c r="BT1812" s="17">
        <f>BS1812+BT1813</f>
        <v>848.6099999999999</v>
      </c>
      <c r="BU1812" s="100"/>
    </row>
    <row r="1813" x14ac:dyDescent="0.25">
      <c r="B1813" t="s">
        <v>450</v>
      </c>
      <c r="C1813" s="19">
        <v>10</v>
      </c>
      <c r="D1813" s="19">
        <v>8.25</v>
      </c>
      <c r="E1813" s="66">
        <f>C21+D21/12</f>
        <v>10.6875</v>
      </c>
      <c r="F1813" s="67">
        <f>IF(E21&gt;0,E21-(C15+C14+2*1.5+IF(C13="single",1.5,3))/12-_xlfn.XLOOKUP(E21,E20,E20,,-1),0)</f>
        <v>8.75</v>
      </c>
      <c r="H1813" s="19">
        <v>236</v>
      </c>
      <c r="I1813" s="64" t="s">
        <v>196</v>
      </c>
      <c r="J1813" s="19">
        <v>33.799999999999997</v>
      </c>
      <c r="K1813" s="19">
        <v>65.599999999999994</v>
      </c>
      <c r="L1813" s="19">
        <v>19.3</v>
      </c>
      <c r="M1813" s="19">
        <v>119.6</v>
      </c>
      <c r="P1813" s="93"/>
      <c r="Q1813" t="s">
        <v>450</v>
      </c>
      <c r="R1813" s="19">
        <f>$H$21</f>
        <v>236</v>
      </c>
      <c r="S1813">
        <f t="shared" ref="S1813:S1818" si="1114">R1813*0.6</f>
        <v>141.6</v>
      </c>
      <c r="T1813">
        <f t="shared" ref="T1813:T1817" si="1115">$C$56/2*R1813</f>
        <v>0</v>
      </c>
      <c r="U1813">
        <f>T1813*0.6</f>
        <v>0</v>
      </c>
      <c r="V1813" s="19">
        <v>33.799999999999997</v>
      </c>
      <c r="W1813">
        <f t="shared" ref="W1813:W1817" si="1116">V1813*0.7</f>
        <v>23.659999999999997</v>
      </c>
      <c r="X1813">
        <f t="shared" ref="X1813:X1817" si="1117">$C$56/2*V1813</f>
        <v>0</v>
      </c>
      <c r="Y1813">
        <f t="shared" ref="Y1813:Y1817" si="1118">X1813*0.7</f>
        <v>0</v>
      </c>
      <c r="Z1813" s="19">
        <f>$H$21</f>
        <v>236</v>
      </c>
      <c r="AA1813">
        <f t="shared" ref="AA1813:AA1817" si="1119">Z1813*0.6</f>
        <v>141.6</v>
      </c>
      <c r="AB1813">
        <f t="shared" ref="AB1813:AB1817" si="1120">$D$56/2*Z1813</f>
        <v>3422</v>
      </c>
      <c r="AC1813">
        <f t="shared" si="1106"/>
        <v>2053.1999999999998</v>
      </c>
      <c r="AD1813" s="19">
        <v>33.799999999999997</v>
      </c>
      <c r="AE1813">
        <f t="shared" ref="AE1813:AE1817" si="1121">AD1813*0.7</f>
        <v>23.659999999999997</v>
      </c>
      <c r="AF1813">
        <f t="shared" ref="AF1813:AF1817" si="1122">$D$56/2*AD1813</f>
        <v>490.09999999999997</v>
      </c>
      <c r="AG1813">
        <f t="shared" ref="AG1813:AG1817" si="1123">AF1813*0.7</f>
        <v>343.06999999999994</v>
      </c>
      <c r="AH1813" s="19">
        <v>0</v>
      </c>
      <c r="AI1813" s="19">
        <v>0</v>
      </c>
      <c r="AJ1813" s="17">
        <f>T1813+AB1813+AH1813</f>
        <v>3422</v>
      </c>
      <c r="AK1813" s="17">
        <f>AK1814+AJ1813</f>
        <v>13166</v>
      </c>
      <c r="AL1813" s="17">
        <f t="shared" ref="AL1813:AL1817" si="1124">AJ1813*0.6</f>
        <v>2053.1999999999998</v>
      </c>
      <c r="AM1813" s="17">
        <f t="shared" ref="AM1813:AM1815" si="1125">AM1814+AL1813</f>
        <v>7899.5999999999995</v>
      </c>
      <c r="AN1813" s="17">
        <f t="shared" ref="AN1813:AN1816" si="1126">X1813+AF1813+AI1813</f>
        <v>490.09999999999997</v>
      </c>
      <c r="AO1813" s="17">
        <f t="shared" si="1107"/>
        <v>1302.0999999999999</v>
      </c>
      <c r="AP1813" s="17">
        <f t="shared" ref="AP1813:AP1816" si="1127">AN1813*0.7</f>
        <v>343.06999999999994</v>
      </c>
      <c r="AQ1813" s="17">
        <f t="shared" si="1107"/>
        <v>911.46999999999991</v>
      </c>
      <c r="AR1813" s="100"/>
      <c r="AS1813" s="93"/>
      <c r="AT1813" t="s">
        <v>450</v>
      </c>
      <c r="AU1813" s="19">
        <f>$H$21</f>
        <v>236</v>
      </c>
      <c r="AV1813">
        <f t="shared" ref="AV1813:AV1818" si="1128">AU1813*0.6</f>
        <v>141.6</v>
      </c>
      <c r="AW1813">
        <f t="shared" si="1108"/>
        <v>0</v>
      </c>
      <c r="AX1813">
        <f>AW1813*0.6</f>
        <v>0</v>
      </c>
      <c r="AY1813" s="19">
        <v>33.799999999999997</v>
      </c>
      <c r="AZ1813">
        <f t="shared" ref="AZ1813:AZ1817" si="1129">AY1813*0.7</f>
        <v>23.659999999999997</v>
      </c>
      <c r="BA1813">
        <f t="shared" si="1109"/>
        <v>0</v>
      </c>
      <c r="BB1813">
        <f t="shared" ref="BB1813:BB1817" si="1130">BA1813*0.7</f>
        <v>0</v>
      </c>
      <c r="BC1813" s="19">
        <f>$H$21</f>
        <v>236</v>
      </c>
      <c r="BD1813">
        <f t="shared" ref="BD1813:BD1817" si="1131">BC1813*0.6</f>
        <v>141.6</v>
      </c>
      <c r="BE1813">
        <f t="shared" si="1110"/>
        <v>3186</v>
      </c>
      <c r="BF1813">
        <f t="shared" si="1111"/>
        <v>1911.6</v>
      </c>
      <c r="BG1813" s="19">
        <v>33.799999999999997</v>
      </c>
      <c r="BH1813">
        <f t="shared" ref="BH1813:BH1817" si="1132">BG1813*0.7</f>
        <v>23.659999999999997</v>
      </c>
      <c r="BI1813">
        <f t="shared" si="1112"/>
        <v>456.29999999999995</v>
      </c>
      <c r="BJ1813">
        <f t="shared" ref="BJ1813:BJ1817" si="1133">BI1813*0.7</f>
        <v>319.40999999999997</v>
      </c>
      <c r="BK1813" s="19">
        <v>0</v>
      </c>
      <c r="BL1813" s="19">
        <v>0</v>
      </c>
      <c r="BM1813" s="17">
        <f>AW1813+BE1813+BK1813</f>
        <v>3186</v>
      </c>
      <c r="BN1813" s="17">
        <f>BN1814+BM1813</f>
        <v>12258</v>
      </c>
      <c r="BO1813" s="17">
        <f t="shared" ref="BO1813" si="1134">BM1813*0.6</f>
        <v>1911.6</v>
      </c>
      <c r="BP1813" s="17">
        <f t="shared" ref="BP1813:BP1815" si="1135">BP1814+BO1813</f>
        <v>7354.7999999999993</v>
      </c>
      <c r="BQ1813" s="17">
        <f t="shared" ref="BQ1813:BQ1816" si="1136">BA1813+BI1813+BL1813</f>
        <v>456.29999999999995</v>
      </c>
      <c r="BR1813" s="17">
        <f t="shared" si="1113"/>
        <v>1212.3</v>
      </c>
      <c r="BS1813" s="17">
        <f t="shared" ref="BS1813:BS1816" si="1137">BQ1813*0.7</f>
        <v>319.40999999999997</v>
      </c>
      <c r="BT1813" s="17">
        <f t="shared" ref="BT1813:BT1815" si="1138">BS1813+BT1814</f>
        <v>848.6099999999999</v>
      </c>
      <c r="BU1813" s="100"/>
    </row>
    <row r="1814" x14ac:dyDescent="0.25">
      <c r="B1814" t="s">
        <v>451</v>
      </c>
      <c r="C1814" s="19">
        <v>21</v>
      </c>
      <c r="D1814" s="19">
        <v>4.5</v>
      </c>
      <c r="E1814" s="66">
        <f t="shared" ref="E22:E25" si="1139">C22+D22/12</f>
        <v>21.375</v>
      </c>
      <c r="F1814" s="67">
        <f>IF(E22&gt;0,E22-(C15+C14+2*1.5+IF(C13="single",1.5,3))/12-_xlfn.XLOOKUP(E22,E20:E21,E20:E21,,-1),0)</f>
        <v>8.75</v>
      </c>
      <c r="H1814" s="19">
        <v>229</v>
      </c>
      <c r="I1814" s="64" t="s">
        <v>196</v>
      </c>
      <c r="J1814" s="19">
        <v>37.1</v>
      </c>
      <c r="K1814" s="19">
        <v>71.8</v>
      </c>
      <c r="L1814" s="19">
        <v>21.1</v>
      </c>
      <c r="M1814" s="19">
        <v>131.1</v>
      </c>
      <c r="P1814" s="93"/>
      <c r="Q1814" t="s">
        <v>451</v>
      </c>
      <c r="R1814" s="19">
        <f>$H$22</f>
        <v>229</v>
      </c>
      <c r="S1814">
        <f t="shared" si="1114"/>
        <v>137.4</v>
      </c>
      <c r="T1814">
        <f t="shared" si="1115"/>
        <v>0</v>
      </c>
      <c r="U1814">
        <f t="shared" ref="U1814:U1818" si="1140">T1814*0.6</f>
        <v>0</v>
      </c>
      <c r="V1814" s="19">
        <v>37.1</v>
      </c>
      <c r="W1814">
        <f t="shared" si="1116"/>
        <v>25.97</v>
      </c>
      <c r="X1814">
        <f>$C$56/2*V1814</f>
        <v>0</v>
      </c>
      <c r="Y1814">
        <f t="shared" si="1118"/>
        <v>0</v>
      </c>
      <c r="Z1814" s="19">
        <f>$H$22</f>
        <v>229</v>
      </c>
      <c r="AA1814">
        <f t="shared" si="1119"/>
        <v>137.4</v>
      </c>
      <c r="AB1814">
        <f t="shared" si="1120"/>
        <v>3320.5</v>
      </c>
      <c r="AC1814">
        <f t="shared" si="1106"/>
        <v>1992.3</v>
      </c>
      <c r="AD1814" s="19">
        <v>37.1</v>
      </c>
      <c r="AE1814">
        <f t="shared" si="1121"/>
        <v>25.97</v>
      </c>
      <c r="AF1814">
        <f t="shared" si="1122"/>
        <v>537.95000000000005</v>
      </c>
      <c r="AG1814">
        <f t="shared" si="1123"/>
        <v>376.565</v>
      </c>
      <c r="AH1814" s="19">
        <v>0</v>
      </c>
      <c r="AI1814" s="19">
        <v>0</v>
      </c>
      <c r="AJ1814" s="17">
        <f t="shared" ref="AJ1814:AJ1816" si="1141">T1814+AB1814+AH1814</f>
        <v>3320.5</v>
      </c>
      <c r="AK1814" s="17">
        <f>AK1815+AJ1814</f>
        <v>9744</v>
      </c>
      <c r="AL1814" s="17">
        <f>AJ1814*0.6</f>
        <v>1992.3</v>
      </c>
      <c r="AM1814" s="17">
        <f t="shared" si="1125"/>
        <v>5846.4</v>
      </c>
      <c r="AN1814" s="17">
        <f t="shared" si="1126"/>
        <v>537.95000000000005</v>
      </c>
      <c r="AO1814" s="17">
        <f t="shared" si="1107"/>
        <v>812</v>
      </c>
      <c r="AP1814" s="17">
        <f t="shared" si="1127"/>
        <v>376.565</v>
      </c>
      <c r="AQ1814" s="17">
        <f t="shared" si="1107"/>
        <v>568.4</v>
      </c>
      <c r="AR1814" s="100"/>
      <c r="AS1814" s="93"/>
      <c r="AT1814" t="s">
        <v>451</v>
      </c>
      <c r="AU1814" s="19">
        <f>$H$22</f>
        <v>229</v>
      </c>
      <c r="AV1814">
        <f t="shared" si="1128"/>
        <v>137.4</v>
      </c>
      <c r="AW1814">
        <f t="shared" si="1108"/>
        <v>0</v>
      </c>
      <c r="AX1814">
        <f t="shared" ref="AX1814:AX1818" si="1142">AW1814*0.6</f>
        <v>0</v>
      </c>
      <c r="AY1814" s="19">
        <v>37.1</v>
      </c>
      <c r="AZ1814">
        <f t="shared" si="1129"/>
        <v>25.97</v>
      </c>
      <c r="BA1814">
        <f t="shared" si="1109"/>
        <v>0</v>
      </c>
      <c r="BB1814">
        <f t="shared" si="1130"/>
        <v>0</v>
      </c>
      <c r="BC1814" s="19">
        <f>$H$22</f>
        <v>229</v>
      </c>
      <c r="BD1814">
        <f t="shared" si="1131"/>
        <v>137.4</v>
      </c>
      <c r="BE1814">
        <f t="shared" si="1110"/>
        <v>3091.5</v>
      </c>
      <c r="BF1814">
        <f t="shared" si="1111"/>
        <v>1854.8999999999999</v>
      </c>
      <c r="BG1814" s="19">
        <v>37.1</v>
      </c>
      <c r="BH1814">
        <f t="shared" si="1132"/>
        <v>25.97</v>
      </c>
      <c r="BI1814">
        <f t="shared" si="1112"/>
        <v>500.85</v>
      </c>
      <c r="BJ1814">
        <f t="shared" si="1133"/>
        <v>350.59499999999997</v>
      </c>
      <c r="BK1814" s="19">
        <v>0</v>
      </c>
      <c r="BL1814" s="19">
        <v>0</v>
      </c>
      <c r="BM1814" s="17">
        <f t="shared" ref="BM1814:BM1816" si="1143">AW1814+BE1814+BK1814</f>
        <v>3091.5</v>
      </c>
      <c r="BN1814" s="17">
        <f>BN1815+BM1814</f>
        <v>9072</v>
      </c>
      <c r="BO1814" s="17">
        <f>BM1814*0.6</f>
        <v>1854.8999999999999</v>
      </c>
      <c r="BP1814" s="17">
        <f t="shared" si="1135"/>
        <v>5443.2</v>
      </c>
      <c r="BQ1814" s="17">
        <f t="shared" si="1136"/>
        <v>500.85</v>
      </c>
      <c r="BR1814" s="17">
        <f t="shared" si="1113"/>
        <v>756</v>
      </c>
      <c r="BS1814" s="17">
        <f t="shared" si="1137"/>
        <v>350.59499999999997</v>
      </c>
      <c r="BT1814" s="17">
        <f t="shared" si="1138"/>
        <v>529.19999999999993</v>
      </c>
      <c r="BU1814" s="100"/>
    </row>
    <row r="1815" x14ac:dyDescent="0.25">
      <c r="B1815" t="s">
        <v>452</v>
      </c>
      <c r="C1815" s="19">
        <v>0</v>
      </c>
      <c r="D1815" s="19">
        <v>0</v>
      </c>
      <c r="E1815" s="66">
        <f t="shared" si="1139"/>
        <v>0</v>
      </c>
      <c r="F1815" s="67">
        <f>IF(E23&gt;0,E23-(C15+C14+2*1.5+IF(C13="single",1.5,3))/12-_xlfn.XLOOKUP(E23,E20:E22,E20:E22,,-1),0)</f>
        <v>0</v>
      </c>
      <c r="H1815" s="19">
        <v>0</v>
      </c>
      <c r="I1815" s="64" t="s">
        <v>196</v>
      </c>
      <c r="J1815" s="19">
        <v>0</v>
      </c>
      <c r="K1815" s="19">
        <v>0</v>
      </c>
      <c r="L1815" s="19">
        <v>0</v>
      </c>
      <c r="M1815" s="19">
        <v>0</v>
      </c>
      <c r="P1815" s="93"/>
      <c r="Q1815" t="s">
        <v>452</v>
      </c>
      <c r="R1815" s="19">
        <f>$H$23</f>
        <v>0</v>
      </c>
      <c r="S1815">
        <f t="shared" si="1114"/>
        <v>0</v>
      </c>
      <c r="T1815">
        <f t="shared" si="1115"/>
        <v>0</v>
      </c>
      <c r="U1815">
        <f t="shared" si="1140"/>
        <v>0</v>
      </c>
      <c r="V1815" s="19">
        <v>0</v>
      </c>
      <c r="W1815">
        <f t="shared" si="1116"/>
        <v>0</v>
      </c>
      <c r="X1815">
        <f t="shared" si="1117"/>
        <v>0</v>
      </c>
      <c r="Y1815">
        <f t="shared" si="1118"/>
        <v>0</v>
      </c>
      <c r="Z1815" s="19">
        <f>$H$23</f>
        <v>0</v>
      </c>
      <c r="AA1815">
        <f t="shared" si="1119"/>
        <v>0</v>
      </c>
      <c r="AB1815">
        <f t="shared" si="1120"/>
        <v>0</v>
      </c>
      <c r="AC1815">
        <f t="shared" si="1106"/>
        <v>0</v>
      </c>
      <c r="AD1815" s="19">
        <v>0</v>
      </c>
      <c r="AE1815">
        <f t="shared" si="1121"/>
        <v>0</v>
      </c>
      <c r="AF1815">
        <f t="shared" si="1122"/>
        <v>0</v>
      </c>
      <c r="AG1815">
        <f t="shared" si="1123"/>
        <v>0</v>
      </c>
      <c r="AH1815" s="19">
        <v>0</v>
      </c>
      <c r="AI1815" s="19">
        <v>0</v>
      </c>
      <c r="AJ1815" s="17">
        <f t="shared" si="1141"/>
        <v>0</v>
      </c>
      <c r="AK1815" s="17">
        <f>AK1816+AJ1815</f>
        <v>6423.5</v>
      </c>
      <c r="AL1815" s="17">
        <f>AJ1815*0.6</f>
        <v>0</v>
      </c>
      <c r="AM1815" s="17">
        <f t="shared" si="1125"/>
        <v>3854.1</v>
      </c>
      <c r="AN1815" s="17">
        <f t="shared" si="1126"/>
        <v>0</v>
      </c>
      <c r="AO1815" s="17">
        <f t="shared" si="1107"/>
        <v>274.04999999999995</v>
      </c>
      <c r="AP1815" s="17">
        <f t="shared" si="1127"/>
        <v>0</v>
      </c>
      <c r="AQ1815" s="17">
        <f t="shared" si="1107"/>
        <v>191.83499999999995</v>
      </c>
      <c r="AR1815" s="100"/>
      <c r="AS1815" s="93"/>
      <c r="AT1815" t="s">
        <v>452</v>
      </c>
      <c r="AU1815" s="19">
        <f>$H$23</f>
        <v>0</v>
      </c>
      <c r="AV1815">
        <f t="shared" si="1128"/>
        <v>0</v>
      </c>
      <c r="AW1815">
        <f t="shared" si="1108"/>
        <v>0</v>
      </c>
      <c r="AX1815">
        <f t="shared" si="1142"/>
        <v>0</v>
      </c>
      <c r="AY1815" s="19">
        <v>0</v>
      </c>
      <c r="AZ1815">
        <f t="shared" si="1129"/>
        <v>0</v>
      </c>
      <c r="BA1815">
        <f t="shared" si="1109"/>
        <v>0</v>
      </c>
      <c r="BB1815">
        <f t="shared" si="1130"/>
        <v>0</v>
      </c>
      <c r="BC1815" s="19">
        <f>$H$23</f>
        <v>0</v>
      </c>
      <c r="BD1815">
        <f t="shared" si="1131"/>
        <v>0</v>
      </c>
      <c r="BE1815">
        <f t="shared" si="1110"/>
        <v>0</v>
      </c>
      <c r="BF1815">
        <f t="shared" si="1111"/>
        <v>0</v>
      </c>
      <c r="BG1815" s="19">
        <v>0</v>
      </c>
      <c r="BH1815">
        <f t="shared" si="1132"/>
        <v>0</v>
      </c>
      <c r="BI1815">
        <f t="shared" si="1112"/>
        <v>0</v>
      </c>
      <c r="BJ1815">
        <f t="shared" si="1133"/>
        <v>0</v>
      </c>
      <c r="BK1815" s="19">
        <v>0</v>
      </c>
      <c r="BL1815" s="19">
        <v>0</v>
      </c>
      <c r="BM1815" s="17">
        <f t="shared" si="1143"/>
        <v>0</v>
      </c>
      <c r="BN1815" s="17">
        <f>BN1816+BM1815</f>
        <v>5980.5</v>
      </c>
      <c r="BO1815" s="17">
        <f>BM1815*0.6</f>
        <v>0</v>
      </c>
      <c r="BP1815" s="17">
        <f t="shared" si="1135"/>
        <v>3588.2999999999997</v>
      </c>
      <c r="BQ1815" s="17">
        <f t="shared" si="1136"/>
        <v>0</v>
      </c>
      <c r="BR1815" s="17">
        <f t="shared" si="1113"/>
        <v>255.14999999999998</v>
      </c>
      <c r="BS1815" s="17">
        <f t="shared" si="1137"/>
        <v>0</v>
      </c>
      <c r="BT1815" s="17">
        <f t="shared" si="1138"/>
        <v>178.60499999999996</v>
      </c>
      <c r="BU1815" s="100"/>
    </row>
    <row r="1816" x14ac:dyDescent="0.25">
      <c r="B1816" t="s">
        <v>453</v>
      </c>
      <c r="C1816" s="19">
        <v>0</v>
      </c>
      <c r="D1816" s="19">
        <v>0</v>
      </c>
      <c r="E1816" s="66">
        <f t="shared" si="1139"/>
        <v>0</v>
      </c>
      <c r="F1816" s="67">
        <f>IF(E24&gt;0,E24-(C15+C14+2*1.5+IF(C13="single",1.5,3))/12-_xlfn.XLOOKUP(E24,E20:E23,E20:E23,,-1),0)</f>
        <v>0</v>
      </c>
      <c r="H1816" s="19">
        <v>0</v>
      </c>
      <c r="I1816" s="64" t="s">
        <v>196</v>
      </c>
      <c r="J1816" s="19">
        <v>0</v>
      </c>
      <c r="K1816" s="19">
        <v>0</v>
      </c>
      <c r="L1816" s="19">
        <v>0</v>
      </c>
      <c r="M1816" s="19">
        <v>0</v>
      </c>
      <c r="P1816" s="93"/>
      <c r="Q1816" t="s">
        <v>453</v>
      </c>
      <c r="R1816" s="19">
        <f>$H$24</f>
        <v>0</v>
      </c>
      <c r="S1816">
        <f t="shared" si="1114"/>
        <v>0</v>
      </c>
      <c r="T1816">
        <f t="shared" si="1115"/>
        <v>0</v>
      </c>
      <c r="U1816">
        <f t="shared" si="1140"/>
        <v>0</v>
      </c>
      <c r="V1816" s="19">
        <v>0</v>
      </c>
      <c r="W1816">
        <f t="shared" si="1116"/>
        <v>0</v>
      </c>
      <c r="X1816">
        <f t="shared" si="1117"/>
        <v>0</v>
      </c>
      <c r="Y1816">
        <f t="shared" si="1118"/>
        <v>0</v>
      </c>
      <c r="Z1816" s="19">
        <f>$H$24</f>
        <v>0</v>
      </c>
      <c r="AA1816">
        <f t="shared" si="1119"/>
        <v>0</v>
      </c>
      <c r="AB1816">
        <f t="shared" si="1120"/>
        <v>0</v>
      </c>
      <c r="AC1816">
        <f t="shared" si="1106"/>
        <v>0</v>
      </c>
      <c r="AD1816" s="19">
        <v>0</v>
      </c>
      <c r="AE1816">
        <f t="shared" si="1121"/>
        <v>0</v>
      </c>
      <c r="AF1816">
        <f t="shared" si="1122"/>
        <v>0</v>
      </c>
      <c r="AG1816">
        <f t="shared" si="1123"/>
        <v>0</v>
      </c>
      <c r="AH1816" s="19">
        <v>0</v>
      </c>
      <c r="AI1816" s="19">
        <v>0</v>
      </c>
      <c r="AJ1816" s="17">
        <f t="shared" si="1141"/>
        <v>0</v>
      </c>
      <c r="AK1816" s="17">
        <f>AK1817+IF(AJ1816=0,0,AJ1816)</f>
        <v>6423.5</v>
      </c>
      <c r="AL1816" s="17">
        <f t="shared" si="1124"/>
        <v>0</v>
      </c>
      <c r="AM1816" s="17">
        <f>AM1817+AL1816</f>
        <v>3854.1</v>
      </c>
      <c r="AN1816" s="17">
        <f t="shared" si="1126"/>
        <v>0</v>
      </c>
      <c r="AO1816" s="17">
        <f>AN1816+AO1817</f>
        <v>274.04999999999995</v>
      </c>
      <c r="AP1816" s="17">
        <f t="shared" si="1127"/>
        <v>0</v>
      </c>
      <c r="AQ1816" s="17">
        <f>AP1816+AQ1817</f>
        <v>191.83499999999995</v>
      </c>
      <c r="AR1816" s="100"/>
      <c r="AS1816" s="93"/>
      <c r="AT1816" t="s">
        <v>453</v>
      </c>
      <c r="AU1816" s="19">
        <f>$H$24</f>
        <v>0</v>
      </c>
      <c r="AV1816">
        <f t="shared" si="1128"/>
        <v>0</v>
      </c>
      <c r="AW1816">
        <f t="shared" si="1108"/>
        <v>0</v>
      </c>
      <c r="AX1816">
        <f t="shared" si="1142"/>
        <v>0</v>
      </c>
      <c r="AY1816" s="19">
        <v>0</v>
      </c>
      <c r="AZ1816">
        <f t="shared" si="1129"/>
        <v>0</v>
      </c>
      <c r="BA1816">
        <f t="shared" si="1109"/>
        <v>0</v>
      </c>
      <c r="BB1816">
        <f t="shared" si="1130"/>
        <v>0</v>
      </c>
      <c r="BC1816" s="19">
        <f>$H$24</f>
        <v>0</v>
      </c>
      <c r="BD1816">
        <f t="shared" si="1131"/>
        <v>0</v>
      </c>
      <c r="BE1816">
        <f t="shared" si="1110"/>
        <v>0</v>
      </c>
      <c r="BF1816">
        <f t="shared" si="1111"/>
        <v>0</v>
      </c>
      <c r="BG1816" s="19">
        <v>0</v>
      </c>
      <c r="BH1816">
        <f t="shared" si="1132"/>
        <v>0</v>
      </c>
      <c r="BI1816">
        <f t="shared" si="1112"/>
        <v>0</v>
      </c>
      <c r="BJ1816">
        <f t="shared" si="1133"/>
        <v>0</v>
      </c>
      <c r="BK1816" s="19">
        <v>0</v>
      </c>
      <c r="BL1816" s="19">
        <v>0</v>
      </c>
      <c r="BM1816" s="17">
        <f t="shared" si="1143"/>
        <v>0</v>
      </c>
      <c r="BN1816" s="17">
        <f>BN1817+IF(BM1816=0,0,BM1816)</f>
        <v>5980.5</v>
      </c>
      <c r="BO1816" s="17">
        <f t="shared" ref="BO1816:BO1817" si="1144">BM1816*0.6</f>
        <v>0</v>
      </c>
      <c r="BP1816" s="17">
        <f>BP1817+BO1816</f>
        <v>3588.2999999999997</v>
      </c>
      <c r="BQ1816" s="17">
        <f t="shared" si="1136"/>
        <v>0</v>
      </c>
      <c r="BR1816" s="17">
        <f>BQ1816+BR1817</f>
        <v>255.14999999999998</v>
      </c>
      <c r="BS1816" s="17">
        <f t="shared" si="1137"/>
        <v>0</v>
      </c>
      <c r="BT1816" s="17">
        <f>BS1816+BT1817</f>
        <v>178.60499999999996</v>
      </c>
      <c r="BU1816" s="100"/>
    </row>
    <row r="1817" x14ac:dyDescent="0.25">
      <c r="B1817" t="s">
        <v>275</v>
      </c>
      <c r="C1817" s="19">
        <f>(33+32)/2</f>
        <v>32.5</v>
      </c>
      <c r="D1817" s="19">
        <f>(10.5+5.625)/2</f>
        <v>8.0625</v>
      </c>
      <c r="E1817" s="68">
        <f t="shared" si="1139"/>
        <v>33.171875</v>
      </c>
      <c r="F1817" s="69">
        <f>E25-(C17+C16+2*1.5+IF(C13="single",1.5,3))/12-_xlfn.XLOOKUP(E25,E20:E24,E20:E24,,-1)</f>
        <v>8.6770833333333321</v>
      </c>
      <c r="H1817" s="19">
        <v>443</v>
      </c>
      <c r="I1817" s="64" t="s">
        <v>196</v>
      </c>
      <c r="J1817" s="19">
        <v>18.899999999999999</v>
      </c>
      <c r="K1817" s="19">
        <v>36.6</v>
      </c>
      <c r="L1817" s="19">
        <v>10.8</v>
      </c>
      <c r="M1817" s="19">
        <v>66.7</v>
      </c>
      <c r="P1817" s="93"/>
      <c r="Q1817" t="s">
        <v>275</v>
      </c>
      <c r="R1817" s="19">
        <f>$H$25</f>
        <v>443</v>
      </c>
      <c r="S1817">
        <f t="shared" si="1114"/>
        <v>265.8</v>
      </c>
      <c r="T1817">
        <f t="shared" si="1115"/>
        <v>0</v>
      </c>
      <c r="U1817">
        <f t="shared" si="1140"/>
        <v>0</v>
      </c>
      <c r="V1817" s="19">
        <v>18.899999999999999</v>
      </c>
      <c r="W1817">
        <f t="shared" si="1116"/>
        <v>13.229999999999999</v>
      </c>
      <c r="X1817">
        <f t="shared" si="1117"/>
        <v>0</v>
      </c>
      <c r="Y1817">
        <f t="shared" si="1118"/>
        <v>0</v>
      </c>
      <c r="Z1817" s="19">
        <f>$H$25</f>
        <v>443</v>
      </c>
      <c r="AA1817">
        <f t="shared" si="1119"/>
        <v>265.8</v>
      </c>
      <c r="AB1817">
        <f t="shared" si="1120"/>
        <v>6423.5</v>
      </c>
      <c r="AC1817">
        <f t="shared" si="1106"/>
        <v>3854.1</v>
      </c>
      <c r="AD1817" s="19">
        <v>18.899999999999999</v>
      </c>
      <c r="AE1817">
        <f t="shared" si="1121"/>
        <v>13.229999999999999</v>
      </c>
      <c r="AF1817">
        <f t="shared" si="1122"/>
        <v>274.04999999999995</v>
      </c>
      <c r="AG1817">
        <f t="shared" si="1123"/>
        <v>191.83499999999995</v>
      </c>
      <c r="AH1817" s="19">
        <v>0</v>
      </c>
      <c r="AI1817" s="19">
        <v>0</v>
      </c>
      <c r="AJ1817" s="17">
        <f>T1817+AB1817+AH1817</f>
        <v>6423.5</v>
      </c>
      <c r="AK1817" s="17">
        <f>AJ1817</f>
        <v>6423.5</v>
      </c>
      <c r="AL1817" s="17">
        <f t="shared" si="1124"/>
        <v>3854.1</v>
      </c>
      <c r="AM1817" s="17">
        <f>AL1817</f>
        <v>3854.1</v>
      </c>
      <c r="AN1817" s="17">
        <f>X1817+AF1817+AI1817</f>
        <v>274.04999999999995</v>
      </c>
      <c r="AO1817" s="17">
        <f>AN1817</f>
        <v>274.04999999999995</v>
      </c>
      <c r="AP1817" s="17">
        <f>AN1817*0.7</f>
        <v>191.83499999999995</v>
      </c>
      <c r="AQ1817" s="17">
        <f>AP1817</f>
        <v>191.83499999999995</v>
      </c>
      <c r="AR1817" s="100"/>
      <c r="AS1817" s="93"/>
      <c r="AT1817" t="s">
        <v>275</v>
      </c>
      <c r="AU1817" s="19">
        <f>$H$25</f>
        <v>443</v>
      </c>
      <c r="AV1817">
        <f t="shared" si="1128"/>
        <v>265.8</v>
      </c>
      <c r="AW1817">
        <f t="shared" si="1108"/>
        <v>0</v>
      </c>
      <c r="AX1817">
        <f t="shared" si="1142"/>
        <v>0</v>
      </c>
      <c r="AY1817" s="19">
        <v>18.899999999999999</v>
      </c>
      <c r="AZ1817">
        <f t="shared" si="1129"/>
        <v>13.229999999999999</v>
      </c>
      <c r="BA1817">
        <f t="shared" si="1109"/>
        <v>0</v>
      </c>
      <c r="BB1817">
        <f t="shared" si="1130"/>
        <v>0</v>
      </c>
      <c r="BC1817" s="19">
        <f>$H$25</f>
        <v>443</v>
      </c>
      <c r="BD1817">
        <f t="shared" si="1131"/>
        <v>265.8</v>
      </c>
      <c r="BE1817">
        <f t="shared" si="1110"/>
        <v>5980.5</v>
      </c>
      <c r="BF1817">
        <f t="shared" si="1111"/>
        <v>3588.2999999999997</v>
      </c>
      <c r="BG1817" s="19">
        <v>18.899999999999999</v>
      </c>
      <c r="BH1817">
        <f t="shared" si="1132"/>
        <v>13.229999999999999</v>
      </c>
      <c r="BI1817">
        <f t="shared" si="1112"/>
        <v>255.14999999999998</v>
      </c>
      <c r="BJ1817">
        <f t="shared" si="1133"/>
        <v>178.60499999999996</v>
      </c>
      <c r="BK1817" s="19">
        <v>0</v>
      </c>
      <c r="BL1817" s="19">
        <v>0</v>
      </c>
      <c r="BM1817" s="17">
        <f>AW1817+BE1817+BK1817</f>
        <v>5980.5</v>
      </c>
      <c r="BN1817" s="17">
        <f>BM1817</f>
        <v>5980.5</v>
      </c>
      <c r="BO1817" s="17">
        <f t="shared" si="1144"/>
        <v>3588.2999999999997</v>
      </c>
      <c r="BP1817" s="17">
        <f>BO1817</f>
        <v>3588.2999999999997</v>
      </c>
      <c r="BQ1817" s="17">
        <f>BA1817+BI1817+BL1817</f>
        <v>255.14999999999998</v>
      </c>
      <c r="BR1817" s="17">
        <f>BQ1817</f>
        <v>255.14999999999998</v>
      </c>
      <c r="BS1817" s="17">
        <f>BQ1817*0.7</f>
        <v>178.60499999999996</v>
      </c>
      <c r="BT1817" s="17">
        <f>BS1817</f>
        <v>178.60499999999996</v>
      </c>
      <c r="BU1817" s="100"/>
    </row>
    <row r="1818" x14ac:dyDescent="0.25">
      <c r="B1818" t="s">
        <v>530</v>
      </c>
      <c r="E1818" s="73"/>
      <c r="F1818" s="73"/>
      <c r="H1818" s="19">
        <v>-22.9</v>
      </c>
      <c r="I1818" s="64" t="s">
        <v>270</v>
      </c>
      <c r="P1818" s="93"/>
      <c r="R1818" s="19">
        <f>$H$26</f>
        <v>-22.9</v>
      </c>
      <c r="S1818">
        <f t="shared" si="1114"/>
        <v>-13.739999999999998</v>
      </c>
      <c r="T1818">
        <f>$I$56/2*R1818</f>
        <v>0</v>
      </c>
      <c r="U1818">
        <f t="shared" si="1140"/>
        <v>0</v>
      </c>
      <c r="Z1818" s="19">
        <f>$H$26</f>
        <v>-22.9</v>
      </c>
      <c r="AA1818">
        <f>Z1818*0.6</f>
        <v>-13.739999999999998</v>
      </c>
      <c r="AB1818">
        <f>$J$56/2*Z1818</f>
        <v>-309.14999999999998</v>
      </c>
      <c r="AC1818">
        <f t="shared" si="1106"/>
        <v>-185.48999999999998</v>
      </c>
      <c r="AR1818" s="100"/>
      <c r="AS1818" s="93"/>
      <c r="AU1818" s="19">
        <f>$H$26</f>
        <v>-22.9</v>
      </c>
      <c r="AV1818">
        <f t="shared" si="1128"/>
        <v>-13.739999999999998</v>
      </c>
      <c r="AW1818">
        <f t="shared" si="1108"/>
        <v>0</v>
      </c>
      <c r="AX1818">
        <f t="shared" si="1142"/>
        <v>0</v>
      </c>
      <c r="BC1818" s="19">
        <f>$H$26</f>
        <v>-22.9</v>
      </c>
      <c r="BD1818">
        <f>BC1818*0.6</f>
        <v>-13.739999999999998</v>
      </c>
      <c r="BE1818">
        <f t="shared" si="1110"/>
        <v>-309.14999999999998</v>
      </c>
      <c r="BF1818">
        <f t="shared" si="1111"/>
        <v>-185.48999999999998</v>
      </c>
      <c r="BU1818" s="100"/>
    </row>
    <row r="1819" x14ac:dyDescent="0.25">
      <c r="B1819" t="s">
        <v>531</v>
      </c>
      <c r="C1819" s="1" t="s">
        <v>533</v>
      </c>
      <c r="D1819" s="19">
        <v>0.18</v>
      </c>
      <c r="E1819" s="73"/>
      <c r="F1819" s="73"/>
      <c r="H1819">
        <f>0.2*D27</f>
        <v>3.5999999999999997E-2</v>
      </c>
      <c r="I1819" s="64" t="s">
        <v>534</v>
      </c>
      <c r="P1819" s="93"/>
      <c r="Q1819" s="1"/>
      <c r="AR1819" s="100"/>
      <c r="AS1819" s="93"/>
      <c r="AT1819" s="1"/>
      <c r="BU1819" s="100"/>
    </row>
    <row r="1820" x14ac:dyDescent="0.25">
      <c r="P1820" s="93"/>
      <c r="Y1820" s="112" t="s">
        <v>752</v>
      </c>
      <c r="Z1820" s="112"/>
      <c r="AA1820" s="112"/>
      <c r="AB1820" s="112"/>
      <c r="AC1820" s="112"/>
      <c r="AR1820" s="100"/>
      <c r="AS1820" s="93"/>
      <c r="BB1820" s="112" t="s">
        <v>752</v>
      </c>
      <c r="BC1820" s="112"/>
      <c r="BD1820" s="112"/>
      <c r="BE1820" s="112"/>
      <c r="BF1820" s="112"/>
      <c r="BU1820" s="100"/>
    </row>
    <row r="1821" x14ac:dyDescent="0.25">
      <c r="B1821" t="s">
        <v>513</v>
      </c>
      <c r="P1821" s="93"/>
      <c r="Q1821" t="s">
        <v>479</v>
      </c>
      <c r="R1821" t="s">
        <v>491</v>
      </c>
      <c r="S1821" t="s">
        <v>508</v>
      </c>
      <c r="T1821" t="s">
        <v>507</v>
      </c>
      <c r="U1821" t="s">
        <v>535</v>
      </c>
      <c r="V1821" t="s">
        <v>536</v>
      </c>
      <c r="W1821" t="s">
        <v>479</v>
      </c>
      <c r="X1821" t="s">
        <v>537</v>
      </c>
      <c r="Y1821" t="s">
        <v>450</v>
      </c>
      <c r="Z1821" t="s">
        <v>451</v>
      </c>
      <c r="AA1821" t="s">
        <v>452</v>
      </c>
      <c r="AB1821" t="s">
        <v>453</v>
      </c>
      <c r="AC1821" t="s">
        <v>753</v>
      </c>
      <c r="AD1821" t="s">
        <v>519</v>
      </c>
      <c r="AR1821" s="100"/>
      <c r="AS1821" s="93"/>
      <c r="AT1821" t="s">
        <v>479</v>
      </c>
      <c r="AU1821" t="s">
        <v>491</v>
      </c>
      <c r="AV1821" t="s">
        <v>508</v>
      </c>
      <c r="AW1821" t="s">
        <v>507</v>
      </c>
      <c r="AX1821" t="s">
        <v>535</v>
      </c>
      <c r="AY1821" t="s">
        <v>536</v>
      </c>
      <c r="AZ1821" t="s">
        <v>479</v>
      </c>
      <c r="BA1821" t="s">
        <v>537</v>
      </c>
      <c r="BB1821" t="s">
        <v>450</v>
      </c>
      <c r="BC1821" t="s">
        <v>451</v>
      </c>
      <c r="BD1821" t="s">
        <v>452</v>
      </c>
      <c r="BE1821" t="s">
        <v>453</v>
      </c>
      <c r="BF1821" t="s">
        <v>753</v>
      </c>
      <c r="BG1821" t="s">
        <v>519</v>
      </c>
      <c r="BU1821" s="100"/>
    </row>
    <row r="1822" x14ac:dyDescent="0.25">
      <c r="B1822" s="1" t="s">
        <v>275</v>
      </c>
      <c r="C1822" s="19">
        <v>20</v>
      </c>
      <c r="D1822" t="s">
        <v>567</v>
      </c>
      <c r="P1822" s="93"/>
      <c r="Q1822" s="109" t="str">
        <f>R1808&amp;".01"</f>
        <v>A.01</v>
      </c>
      <c r="R1822" s="19">
        <v>29</v>
      </c>
      <c r="S1822" s="19">
        <v>12</v>
      </c>
      <c r="T1822">
        <f>S1822/2</f>
        <v>6</v>
      </c>
      <c r="U1822" s="19">
        <v>4</v>
      </c>
      <c r="V1822">
        <f>U1822/2</f>
        <v>2</v>
      </c>
      <c r="W1822" s="19" t="s">
        <v>515</v>
      </c>
      <c r="X1822" s="19">
        <v>6</v>
      </c>
      <c r="Y1822" s="19"/>
      <c r="Z1822" s="19"/>
      <c r="AA1822" s="19"/>
      <c r="AB1822" s="19"/>
      <c r="AC1822" s="19"/>
      <c r="AD1822" s="108">
        <f>R1822/R1838</f>
        <v>1</v>
      </c>
      <c r="AR1822" s="100"/>
      <c r="AS1822" s="93"/>
      <c r="AT1822" s="109" t="str">
        <f>AU$1808&amp;".01"</f>
        <v>1.01</v>
      </c>
      <c r="AU1822" s="19">
        <v>29</v>
      </c>
      <c r="AV1822" s="19">
        <v>12</v>
      </c>
      <c r="AW1822">
        <f>AV1822/2</f>
        <v>6</v>
      </c>
      <c r="AX1822" s="19">
        <v>4</v>
      </c>
      <c r="AY1822">
        <f>AX1822/2</f>
        <v>2</v>
      </c>
      <c r="AZ1822" s="19" t="s">
        <v>515</v>
      </c>
      <c r="BA1822" s="19">
        <v>6</v>
      </c>
      <c r="BB1822" s="19"/>
      <c r="BC1822" s="19"/>
      <c r="BD1822" s="19"/>
      <c r="BE1822" s="19"/>
      <c r="BF1822" s="19"/>
      <c r="BG1822" s="108">
        <f>AU1822/AU1838</f>
        <v>1</v>
      </c>
      <c r="BU1822" s="100"/>
    </row>
    <row r="1823" x14ac:dyDescent="0.25">
      <c r="B1823" s="1"/>
      <c r="C1823">
        <f>0.9*C30</f>
        <v>18</v>
      </c>
      <c r="D1823" t="s">
        <v>532</v>
      </c>
      <c r="P1823" s="93"/>
      <c r="Q1823" s="109" t="str">
        <f>R1808&amp;".02"</f>
        <v>A.02</v>
      </c>
      <c r="R1823" s="19"/>
      <c r="S1823" s="19"/>
      <c r="T1823">
        <f t="shared" ref="T1823:T1837" si="1145">S1823/2</f>
        <v>0</v>
      </c>
      <c r="U1823" s="19"/>
      <c r="V1823">
        <f t="shared" ref="V1823:V1837" si="1146">U1823/2</f>
        <v>0</v>
      </c>
      <c r="W1823" s="19"/>
      <c r="X1823" s="19"/>
      <c r="Y1823" s="19"/>
      <c r="Z1823" s="19"/>
      <c r="AA1823" s="19"/>
      <c r="AB1823" s="19"/>
      <c r="AC1823" s="19"/>
      <c r="AR1823" s="100"/>
      <c r="AS1823" s="93"/>
      <c r="AT1823" s="109" t="str">
        <f>AU$1808&amp;".02"</f>
        <v>1.02</v>
      </c>
      <c r="AU1823" s="19"/>
      <c r="AV1823" s="19"/>
      <c r="AW1823">
        <f t="shared" ref="AW1823:AW1837" si="1147">AV1823/2</f>
        <v>0</v>
      </c>
      <c r="AX1823" s="19"/>
      <c r="AY1823">
        <f t="shared" ref="AY1823:AY1837" si="1148">AX1823/2</f>
        <v>0</v>
      </c>
      <c r="AZ1823" s="19"/>
      <c r="BA1823" s="19"/>
      <c r="BB1823" s="19"/>
      <c r="BC1823" s="19"/>
      <c r="BD1823" s="19"/>
      <c r="BE1823" s="19"/>
      <c r="BF1823" s="19"/>
      <c r="BU1823" s="100"/>
    </row>
    <row r="1824" x14ac:dyDescent="0.25">
      <c r="B1824" s="1" t="s">
        <v>514</v>
      </c>
      <c r="C1824" s="19">
        <v>26</v>
      </c>
      <c r="D1824" t="s">
        <v>512</v>
      </c>
      <c r="P1824" s="93"/>
      <c r="Q1824" s="109" t="str">
        <f>R1808&amp;".03"</f>
        <v>A.03</v>
      </c>
      <c r="R1824" s="19"/>
      <c r="S1824" s="19"/>
      <c r="T1824">
        <f t="shared" si="1145"/>
        <v>0</v>
      </c>
      <c r="U1824" s="19"/>
      <c r="V1824">
        <f t="shared" si="1146"/>
        <v>0</v>
      </c>
      <c r="W1824" s="19"/>
      <c r="X1824" s="19"/>
      <c r="Y1824" s="19"/>
      <c r="Z1824" s="19"/>
      <c r="AA1824" s="19"/>
      <c r="AB1824" s="19"/>
      <c r="AC1824" s="19"/>
      <c r="AR1824" s="100"/>
      <c r="AS1824" s="93"/>
      <c r="AT1824" s="109" t="str">
        <f>AU$1808&amp;".03"</f>
        <v>1.03</v>
      </c>
      <c r="AU1824" s="19"/>
      <c r="AV1824" s="19"/>
      <c r="AW1824">
        <f t="shared" si="1147"/>
        <v>0</v>
      </c>
      <c r="AX1824" s="19"/>
      <c r="AY1824">
        <f t="shared" si="1148"/>
        <v>0</v>
      </c>
      <c r="AZ1824" s="19"/>
      <c r="BA1824" s="19"/>
      <c r="BB1824" s="19"/>
      <c r="BC1824" s="19"/>
      <c r="BD1824" s="19"/>
      <c r="BE1824" s="19"/>
      <c r="BF1824" s="19"/>
      <c r="BU1824" s="100"/>
    </row>
    <row r="1825" x14ac:dyDescent="0.25">
      <c r="B1825" s="1" t="s">
        <v>477</v>
      </c>
      <c r="C1825" s="19">
        <v>11</v>
      </c>
      <c r="D1825" t="s">
        <v>509</v>
      </c>
      <c r="P1825" s="93"/>
      <c r="Q1825" s="109" t="str">
        <f>R1808&amp;".04"</f>
        <v>A.04</v>
      </c>
      <c r="R1825" s="19"/>
      <c r="S1825" s="19"/>
      <c r="T1825">
        <f t="shared" si="1145"/>
        <v>0</v>
      </c>
      <c r="U1825" s="19"/>
      <c r="V1825">
        <f t="shared" si="1146"/>
        <v>0</v>
      </c>
      <c r="W1825" s="19"/>
      <c r="X1825" s="19"/>
      <c r="Y1825" s="19"/>
      <c r="Z1825" s="19"/>
      <c r="AA1825" s="19"/>
      <c r="AB1825" s="19"/>
      <c r="AC1825" s="19"/>
      <c r="AR1825" s="100"/>
      <c r="AS1825" s="93"/>
      <c r="AT1825" s="109" t="str">
        <f>AU$1808&amp;".04"</f>
        <v>1.04</v>
      </c>
      <c r="AU1825" s="19"/>
      <c r="AV1825" s="19"/>
      <c r="AW1825">
        <f t="shared" si="1147"/>
        <v>0</v>
      </c>
      <c r="AX1825" s="19"/>
      <c r="AY1825">
        <f t="shared" si="1148"/>
        <v>0</v>
      </c>
      <c r="AZ1825" s="19"/>
      <c r="BA1825" s="19"/>
      <c r="BB1825" s="19"/>
      <c r="BC1825" s="19"/>
      <c r="BD1825" s="19"/>
      <c r="BE1825" s="19"/>
      <c r="BF1825" s="19"/>
      <c r="BU1825" s="100"/>
    </row>
    <row r="1826" x14ac:dyDescent="0.25">
      <c r="B1826" s="1" t="s">
        <v>478</v>
      </c>
      <c r="C1826" s="19">
        <v>13</v>
      </c>
      <c r="D1826" t="s">
        <v>510</v>
      </c>
      <c r="P1826" s="93"/>
      <c r="Q1826" s="109" t="str">
        <f>R1808&amp;".05"</f>
        <v>A.05</v>
      </c>
      <c r="R1826" s="19"/>
      <c r="S1826" s="19"/>
      <c r="T1826">
        <f t="shared" si="1145"/>
        <v>0</v>
      </c>
      <c r="U1826" s="19"/>
      <c r="V1826">
        <f t="shared" si="1146"/>
        <v>0</v>
      </c>
      <c r="W1826" s="19"/>
      <c r="X1826" s="19"/>
      <c r="Y1826" s="19"/>
      <c r="Z1826" s="19"/>
      <c r="AA1826" s="19"/>
      <c r="AB1826" s="19"/>
      <c r="AC1826" s="19"/>
      <c r="AR1826" s="100"/>
      <c r="AS1826" s="93"/>
      <c r="AT1826" s="109" t="str">
        <f>AU$1808&amp;".05"</f>
        <v>1.05</v>
      </c>
      <c r="AU1826" s="19"/>
      <c r="AV1826" s="19"/>
      <c r="AW1826">
        <f t="shared" si="1147"/>
        <v>0</v>
      </c>
      <c r="AX1826" s="19"/>
      <c r="AY1826">
        <f t="shared" si="1148"/>
        <v>0</v>
      </c>
      <c r="AZ1826" s="19"/>
      <c r="BA1826" s="19"/>
      <c r="BB1826" s="19"/>
      <c r="BC1826" s="19"/>
      <c r="BD1826" s="19"/>
      <c r="BE1826" s="19"/>
      <c r="BF1826" s="19"/>
      <c r="BU1826" s="100"/>
    </row>
    <row r="1827" x14ac:dyDescent="0.25">
      <c r="B1827" s="1" t="s">
        <v>515</v>
      </c>
      <c r="C1827" s="19">
        <v>18</v>
      </c>
      <c r="D1827" t="s">
        <v>511</v>
      </c>
      <c r="P1827" s="93"/>
      <c r="Q1827" s="109" t="str">
        <f>R1808&amp;".06"</f>
        <v>A.06</v>
      </c>
      <c r="R1827" s="19"/>
      <c r="S1827" s="19"/>
      <c r="T1827">
        <f t="shared" si="1145"/>
        <v>0</v>
      </c>
      <c r="U1827" s="19"/>
      <c r="V1827">
        <f t="shared" si="1146"/>
        <v>0</v>
      </c>
      <c r="W1827" s="19"/>
      <c r="X1827" s="19"/>
      <c r="Y1827" s="19"/>
      <c r="Z1827" s="19"/>
      <c r="AA1827" s="19"/>
      <c r="AB1827" s="19"/>
      <c r="AC1827" s="19"/>
      <c r="AR1827" s="100"/>
      <c r="AS1827" s="93"/>
      <c r="AT1827" s="109" t="str">
        <f>AU$1808&amp;".06"</f>
        <v>1.06</v>
      </c>
      <c r="AU1827" s="19"/>
      <c r="AV1827" s="19"/>
      <c r="AW1827">
        <f t="shared" si="1147"/>
        <v>0</v>
      </c>
      <c r="AX1827" s="19"/>
      <c r="AY1827">
        <f t="shared" si="1148"/>
        <v>0</v>
      </c>
      <c r="AZ1827" s="19"/>
      <c r="BA1827" s="19"/>
      <c r="BB1827" s="19"/>
      <c r="BC1827" s="19"/>
      <c r="BD1827" s="19"/>
      <c r="BE1827" s="19"/>
      <c r="BF1827" s="19"/>
      <c r="BU1827" s="100"/>
    </row>
    <row r="1828" x14ac:dyDescent="0.25">
      <c r="B1828" s="1" t="s">
        <v>516</v>
      </c>
      <c r="P1828" s="93"/>
      <c r="Q1828" s="109" t="str">
        <f>R1808&amp;".07"</f>
        <v>A.07</v>
      </c>
      <c r="R1828" s="19"/>
      <c r="S1828" s="19"/>
      <c r="T1828">
        <f t="shared" si="1145"/>
        <v>0</v>
      </c>
      <c r="U1828" s="19"/>
      <c r="V1828">
        <f t="shared" si="1146"/>
        <v>0</v>
      </c>
      <c r="W1828" s="19"/>
      <c r="X1828" s="19"/>
      <c r="Y1828" s="19"/>
      <c r="Z1828" s="19"/>
      <c r="AA1828" s="19"/>
      <c r="AB1828" s="19"/>
      <c r="AC1828" s="19"/>
      <c r="AF1828" s="109"/>
      <c r="AR1828" s="100"/>
      <c r="AS1828" s="93"/>
      <c r="AT1828" s="109" t="str">
        <f>AU$1808&amp;".07"</f>
        <v>1.07</v>
      </c>
      <c r="AU1828" s="19"/>
      <c r="AV1828" s="19"/>
      <c r="AW1828">
        <f t="shared" si="1147"/>
        <v>0</v>
      </c>
      <c r="AX1828" s="19"/>
      <c r="AY1828">
        <f t="shared" si="1148"/>
        <v>0</v>
      </c>
      <c r="AZ1828" s="19"/>
      <c r="BA1828" s="19"/>
      <c r="BB1828" s="19"/>
      <c r="BC1828" s="19"/>
      <c r="BD1828" s="19"/>
      <c r="BE1828" s="19"/>
      <c r="BF1828" s="19"/>
      <c r="BI1828" s="109"/>
      <c r="BU1828" s="100"/>
    </row>
    <row r="1829" x14ac:dyDescent="0.25">
      <c r="B1829" s="1" t="s">
        <v>517</v>
      </c>
      <c r="P1829" s="93"/>
      <c r="Q1829" s="109" t="str">
        <f>R1808&amp;".08"</f>
        <v>A.08</v>
      </c>
      <c r="R1829" s="19"/>
      <c r="S1829" s="19"/>
      <c r="T1829">
        <f t="shared" si="1145"/>
        <v>0</v>
      </c>
      <c r="U1829" s="19"/>
      <c r="V1829">
        <f t="shared" si="1146"/>
        <v>0</v>
      </c>
      <c r="W1829" s="19"/>
      <c r="X1829" s="19"/>
      <c r="Y1829" s="19"/>
      <c r="Z1829" s="19"/>
      <c r="AA1829" s="19"/>
      <c r="AB1829" s="19"/>
      <c r="AC1829" s="19"/>
      <c r="AF1829" s="109"/>
      <c r="AR1829" s="100"/>
      <c r="AS1829" s="93"/>
      <c r="AT1829" s="109" t="str">
        <f>AU$1808&amp;".08"</f>
        <v>1.08</v>
      </c>
      <c r="AU1829" s="19"/>
      <c r="AV1829" s="19"/>
      <c r="AW1829">
        <f t="shared" si="1147"/>
        <v>0</v>
      </c>
      <c r="AX1829" s="19"/>
      <c r="AY1829">
        <f t="shared" si="1148"/>
        <v>0</v>
      </c>
      <c r="AZ1829" s="19"/>
      <c r="BA1829" s="19"/>
      <c r="BB1829" s="19"/>
      <c r="BC1829" s="19"/>
      <c r="BD1829" s="19"/>
      <c r="BE1829" s="19"/>
      <c r="BF1829" s="19"/>
      <c r="BI1829" s="109"/>
      <c r="BU1829" s="100"/>
    </row>
    <row r="1830" x14ac:dyDescent="0.25">
      <c r="B1830" s="1" t="s">
        <v>518</v>
      </c>
      <c r="P1830" s="93"/>
      <c r="Q1830" s="109" t="str">
        <f>R1808&amp;".09"</f>
        <v>A.09</v>
      </c>
      <c r="R1830" s="19"/>
      <c r="S1830" s="19"/>
      <c r="T1830">
        <f t="shared" si="1145"/>
        <v>0</v>
      </c>
      <c r="U1830" s="19"/>
      <c r="V1830">
        <f t="shared" si="1146"/>
        <v>0</v>
      </c>
      <c r="W1830" s="19"/>
      <c r="X1830" s="19"/>
      <c r="Y1830" s="19"/>
      <c r="Z1830" s="19"/>
      <c r="AA1830" s="19"/>
      <c r="AB1830" s="19"/>
      <c r="AC1830" s="19"/>
      <c r="AF1830" s="109"/>
      <c r="AR1830" s="100"/>
      <c r="AS1830" s="93"/>
      <c r="AT1830" s="109" t="str">
        <f>AU$1808&amp;".09"</f>
        <v>1.09</v>
      </c>
      <c r="AU1830" s="19"/>
      <c r="AV1830" s="19"/>
      <c r="AW1830">
        <f t="shared" si="1147"/>
        <v>0</v>
      </c>
      <c r="AX1830" s="19"/>
      <c r="AY1830">
        <f t="shared" si="1148"/>
        <v>0</v>
      </c>
      <c r="AZ1830" s="19"/>
      <c r="BA1830" s="19"/>
      <c r="BB1830" s="19"/>
      <c r="BC1830" s="19"/>
      <c r="BD1830" s="19"/>
      <c r="BE1830" s="19"/>
      <c r="BF1830" s="19"/>
      <c r="BI1830" s="109"/>
      <c r="BU1830" s="100"/>
    </row>
    <row r="1831" x14ac:dyDescent="0.25">
      <c r="P1831" s="93"/>
      <c r="Q1831" s="109" t="str">
        <f>R1808&amp;".10"</f>
        <v>A.10</v>
      </c>
      <c r="R1831" s="19"/>
      <c r="S1831" s="19"/>
      <c r="T1831">
        <f t="shared" si="1145"/>
        <v>0</v>
      </c>
      <c r="U1831" s="19"/>
      <c r="V1831">
        <f t="shared" si="1146"/>
        <v>0</v>
      </c>
      <c r="W1831" s="19"/>
      <c r="X1831" s="19"/>
      <c r="Y1831" s="19"/>
      <c r="Z1831" s="19"/>
      <c r="AA1831" s="19"/>
      <c r="AB1831" s="19"/>
      <c r="AC1831" s="19"/>
      <c r="AF1831" s="109"/>
      <c r="AR1831" s="100"/>
      <c r="AS1831" s="93"/>
      <c r="AT1831" s="109" t="str">
        <f>AU$1808&amp;".10"</f>
        <v>1.10</v>
      </c>
      <c r="AU1831" s="19"/>
      <c r="AV1831" s="19"/>
      <c r="AW1831">
        <f t="shared" si="1147"/>
        <v>0</v>
      </c>
      <c r="AX1831" s="19"/>
      <c r="AY1831">
        <f t="shared" si="1148"/>
        <v>0</v>
      </c>
      <c r="AZ1831" s="19"/>
      <c r="BA1831" s="19"/>
      <c r="BB1831" s="19"/>
      <c r="BC1831" s="19"/>
      <c r="BD1831" s="19"/>
      <c r="BE1831" s="19"/>
      <c r="BF1831" s="19"/>
      <c r="BI1831" s="109"/>
      <c r="BU1831" s="100"/>
    </row>
    <row r="1832" x14ac:dyDescent="0.25">
      <c r="C1832" s="112" t="s">
        <v>495</v>
      </c>
      <c r="D1832" s="112"/>
      <c r="E1832" s="112"/>
      <c r="I1832" s="112" t="s">
        <v>495</v>
      </c>
      <c r="J1832" s="112"/>
      <c r="K1832" s="112"/>
      <c r="P1832" s="93"/>
      <c r="Q1832" s="109" t="str">
        <f>R1808&amp;".11"</f>
        <v>A.11</v>
      </c>
      <c r="R1832" s="19"/>
      <c r="S1832" s="19"/>
      <c r="T1832">
        <f t="shared" si="1145"/>
        <v>0</v>
      </c>
      <c r="U1832" s="19"/>
      <c r="V1832">
        <f t="shared" si="1146"/>
        <v>0</v>
      </c>
      <c r="W1832" s="19"/>
      <c r="X1832" s="19"/>
      <c r="Y1832" s="19"/>
      <c r="Z1832" s="19"/>
      <c r="AA1832" s="19"/>
      <c r="AB1832" s="19"/>
      <c r="AC1832" s="19"/>
      <c r="AF1832" s="109"/>
      <c r="AR1832" s="100"/>
      <c r="AS1832" s="93"/>
      <c r="AT1832" s="109" t="str">
        <f>AU$1808&amp;".11"</f>
        <v>1.11</v>
      </c>
      <c r="AU1832" s="19"/>
      <c r="AV1832" s="19"/>
      <c r="AW1832">
        <f t="shared" si="1147"/>
        <v>0</v>
      </c>
      <c r="AX1832" s="19"/>
      <c r="AY1832">
        <f t="shared" si="1148"/>
        <v>0</v>
      </c>
      <c r="AZ1832" s="19"/>
      <c r="BA1832" s="19"/>
      <c r="BB1832" s="19"/>
      <c r="BC1832" s="19"/>
      <c r="BD1832" s="19"/>
      <c r="BE1832" s="19"/>
      <c r="BF1832" s="19"/>
      <c r="BI1832" s="109"/>
      <c r="BU1832" s="100"/>
    </row>
    <row r="1833" x14ac:dyDescent="0.25">
      <c r="B1833" t="s">
        <v>474</v>
      </c>
      <c r="C1833" t="s">
        <v>492</v>
      </c>
      <c r="D1833" t="s">
        <v>493</v>
      </c>
      <c r="E1833" t="s">
        <v>494</v>
      </c>
      <c r="H1833" t="s">
        <v>455</v>
      </c>
      <c r="I1833" t="s">
        <v>492</v>
      </c>
      <c r="J1833" t="s">
        <v>493</v>
      </c>
      <c r="K1833" t="s">
        <v>494</v>
      </c>
      <c r="P1833" s="93"/>
      <c r="Q1833" s="109" t="str">
        <f>R1808&amp;".12"</f>
        <v>A.12</v>
      </c>
      <c r="R1833" s="19"/>
      <c r="S1833" s="19"/>
      <c r="T1833">
        <f t="shared" si="1145"/>
        <v>0</v>
      </c>
      <c r="U1833" s="19"/>
      <c r="V1833">
        <f t="shared" si="1146"/>
        <v>0</v>
      </c>
      <c r="W1833" s="19"/>
      <c r="X1833" s="19"/>
      <c r="Y1833" s="19"/>
      <c r="Z1833" s="19"/>
      <c r="AA1833" s="19"/>
      <c r="AB1833" s="19"/>
      <c r="AC1833" s="19"/>
      <c r="AF1833" s="109"/>
      <c r="AR1833" s="100"/>
      <c r="AS1833" s="93"/>
      <c r="AT1833" s="109" t="str">
        <f>AU$1808&amp;".12"</f>
        <v>1.12</v>
      </c>
      <c r="AU1833" s="19"/>
      <c r="AV1833" s="19"/>
      <c r="AW1833">
        <f t="shared" si="1147"/>
        <v>0</v>
      </c>
      <c r="AX1833" s="19"/>
      <c r="AY1833">
        <f t="shared" si="1148"/>
        <v>0</v>
      </c>
      <c r="AZ1833" s="19"/>
      <c r="BA1833" s="19"/>
      <c r="BB1833" s="19"/>
      <c r="BC1833" s="19"/>
      <c r="BD1833" s="19"/>
      <c r="BE1833" s="19"/>
      <c r="BF1833" s="19"/>
      <c r="BI1833" s="109"/>
      <c r="BU1833" s="100"/>
    </row>
    <row r="1834" x14ac:dyDescent="0.25">
      <c r="B1834" t="s">
        <v>274</v>
      </c>
      <c r="C1834" s="19">
        <v>0</v>
      </c>
      <c r="D1834" s="19">
        <v>29</v>
      </c>
      <c r="E1834">
        <f>C56+D56</f>
        <v>29</v>
      </c>
      <c r="H1834">
        <v>1</v>
      </c>
      <c r="I1834" s="19">
        <v>0</v>
      </c>
      <c r="J1834" s="19">
        <v>27</v>
      </c>
      <c r="K1834">
        <f>I56+J56</f>
        <v>27</v>
      </c>
      <c r="P1834" s="93"/>
      <c r="Q1834" s="109" t="str">
        <f>R1808&amp;".13"</f>
        <v>A.13</v>
      </c>
      <c r="R1834" s="19"/>
      <c r="S1834" s="19"/>
      <c r="T1834">
        <f t="shared" si="1145"/>
        <v>0</v>
      </c>
      <c r="U1834" s="19"/>
      <c r="V1834">
        <f t="shared" si="1146"/>
        <v>0</v>
      </c>
      <c r="W1834" s="19"/>
      <c r="X1834" s="19"/>
      <c r="Y1834" s="19"/>
      <c r="Z1834" s="19"/>
      <c r="AA1834" s="19"/>
      <c r="AB1834" s="19"/>
      <c r="AC1834" s="19"/>
      <c r="AF1834" s="109"/>
      <c r="AR1834" s="100"/>
      <c r="AS1834" s="93"/>
      <c r="AT1834" s="109" t="str">
        <f>AU$1808&amp;".13"</f>
        <v>1.13</v>
      </c>
      <c r="AU1834" s="19"/>
      <c r="AV1834" s="19"/>
      <c r="AW1834">
        <f t="shared" si="1147"/>
        <v>0</v>
      </c>
      <c r="AX1834" s="19"/>
      <c r="AY1834">
        <f t="shared" si="1148"/>
        <v>0</v>
      </c>
      <c r="AZ1834" s="19"/>
      <c r="BA1834" s="19"/>
      <c r="BB1834" s="19"/>
      <c r="BC1834" s="19"/>
      <c r="BD1834" s="19"/>
      <c r="BE1834" s="19"/>
      <c r="BF1834" s="19"/>
      <c r="BI1834" s="109"/>
      <c r="BU1834" s="100"/>
    </row>
    <row r="1835" x14ac:dyDescent="0.25">
      <c r="B1835" t="s">
        <v>279</v>
      </c>
      <c r="C1835" s="19">
        <v>29</v>
      </c>
      <c r="D1835" s="19">
        <v>6</v>
      </c>
      <c r="E1835">
        <f t="shared" ref="E43:E67" si="1149">C43+D43</f>
        <v>35</v>
      </c>
      <c r="H1835">
        <v>2</v>
      </c>
      <c r="I1835" s="19">
        <v>27</v>
      </c>
      <c r="J1835" s="19">
        <v>14</v>
      </c>
      <c r="K1835">
        <f t="shared" ref="K43:K67" si="1150">I43+J43</f>
        <v>41</v>
      </c>
      <c r="P1835" s="93"/>
      <c r="Q1835" s="109" t="str">
        <f>R1808&amp;".14"</f>
        <v>A.14</v>
      </c>
      <c r="R1835" s="19"/>
      <c r="S1835" s="19"/>
      <c r="T1835">
        <f t="shared" si="1145"/>
        <v>0</v>
      </c>
      <c r="U1835" s="19"/>
      <c r="V1835">
        <f t="shared" si="1146"/>
        <v>0</v>
      </c>
      <c r="W1835" s="19"/>
      <c r="X1835" s="19"/>
      <c r="Y1835" s="19"/>
      <c r="Z1835" s="19"/>
      <c r="AA1835" s="19"/>
      <c r="AB1835" s="19"/>
      <c r="AC1835" s="19"/>
      <c r="AF1835" s="109"/>
      <c r="AR1835" s="100"/>
      <c r="AS1835" s="93"/>
      <c r="AT1835" s="109" t="str">
        <f>AU$1808&amp;".14"</f>
        <v>1.14</v>
      </c>
      <c r="AU1835" s="19"/>
      <c r="AV1835" s="19"/>
      <c r="AW1835">
        <f t="shared" si="1147"/>
        <v>0</v>
      </c>
      <c r="AX1835" s="19"/>
      <c r="AY1835">
        <f t="shared" si="1148"/>
        <v>0</v>
      </c>
      <c r="AZ1835" s="19"/>
      <c r="BA1835" s="19"/>
      <c r="BB1835" s="19"/>
      <c r="BC1835" s="19"/>
      <c r="BD1835" s="19"/>
      <c r="BE1835" s="19"/>
      <c r="BF1835" s="19"/>
      <c r="BI1835" s="109"/>
      <c r="BU1835" s="100"/>
    </row>
    <row r="1836" x14ac:dyDescent="0.25">
      <c r="B1836" t="s">
        <v>283</v>
      </c>
      <c r="C1836" s="19">
        <v>6</v>
      </c>
      <c r="D1836" s="19">
        <v>29</v>
      </c>
      <c r="E1836">
        <f t="shared" si="1149"/>
        <v>35</v>
      </c>
      <c r="H1836">
        <v>3</v>
      </c>
      <c r="I1836" s="19">
        <v>14</v>
      </c>
      <c r="J1836" s="19">
        <v>13</v>
      </c>
      <c r="K1836">
        <f t="shared" si="1150"/>
        <v>27</v>
      </c>
      <c r="P1836" s="93"/>
      <c r="Q1836" s="109" t="str">
        <f>R1808&amp;".15"</f>
        <v>A.15</v>
      </c>
      <c r="R1836" s="19"/>
      <c r="S1836" s="19"/>
      <c r="T1836">
        <f t="shared" si="1145"/>
        <v>0</v>
      </c>
      <c r="U1836" s="19"/>
      <c r="V1836">
        <f t="shared" si="1146"/>
        <v>0</v>
      </c>
      <c r="W1836" s="19"/>
      <c r="X1836" s="19"/>
      <c r="Y1836" s="19"/>
      <c r="Z1836" s="19"/>
      <c r="AA1836" s="19"/>
      <c r="AB1836" s="19"/>
      <c r="AC1836" s="19"/>
      <c r="AF1836" s="109"/>
      <c r="AR1836" s="100"/>
      <c r="AS1836" s="93"/>
      <c r="AT1836" s="109" t="str">
        <f>AU$1808&amp;".15"</f>
        <v>1.15</v>
      </c>
      <c r="AU1836" s="19"/>
      <c r="AV1836" s="19"/>
      <c r="AW1836">
        <f t="shared" si="1147"/>
        <v>0</v>
      </c>
      <c r="AX1836" s="19"/>
      <c r="AY1836">
        <f t="shared" si="1148"/>
        <v>0</v>
      </c>
      <c r="AZ1836" s="19"/>
      <c r="BA1836" s="19"/>
      <c r="BB1836" s="19"/>
      <c r="BC1836" s="19"/>
      <c r="BD1836" s="19"/>
      <c r="BE1836" s="19"/>
      <c r="BF1836" s="19"/>
      <c r="BI1836" s="109"/>
      <c r="BU1836" s="100"/>
    </row>
    <row r="1837" x14ac:dyDescent="0.25">
      <c r="B1837" t="s">
        <v>287</v>
      </c>
      <c r="C1837" s="19">
        <v>26</v>
      </c>
      <c r="D1837" s="19">
        <v>26</v>
      </c>
      <c r="E1837">
        <f t="shared" si="1149"/>
        <v>52</v>
      </c>
      <c r="F1837" t="s">
        <v>506</v>
      </c>
      <c r="H1837">
        <v>4</v>
      </c>
      <c r="I1837" s="19">
        <v>13</v>
      </c>
      <c r="J1837" s="19">
        <v>27</v>
      </c>
      <c r="K1837">
        <f t="shared" si="1150"/>
        <v>40</v>
      </c>
      <c r="P1837" s="93"/>
      <c r="Q1837" s="109" t="str">
        <f>R1808&amp;".16"</f>
        <v>A.16</v>
      </c>
      <c r="R1837" s="19"/>
      <c r="S1837" s="19"/>
      <c r="T1837">
        <f t="shared" si="1145"/>
        <v>0</v>
      </c>
      <c r="U1837" s="19"/>
      <c r="V1837">
        <f t="shared" si="1146"/>
        <v>0</v>
      </c>
      <c r="W1837" s="19"/>
      <c r="X1837" s="19"/>
      <c r="Y1837" s="19"/>
      <c r="Z1837" s="19"/>
      <c r="AA1837" s="19"/>
      <c r="AB1837" s="19"/>
      <c r="AC1837" s="19"/>
      <c r="AF1837" s="109"/>
      <c r="AR1837" s="100"/>
      <c r="AS1837" s="93"/>
      <c r="AT1837" s="109" t="str">
        <f>AU$1808&amp;".16"</f>
        <v>1.16</v>
      </c>
      <c r="AU1837" s="19"/>
      <c r="AV1837" s="19"/>
      <c r="AW1837">
        <f t="shared" si="1147"/>
        <v>0</v>
      </c>
      <c r="AX1837" s="19"/>
      <c r="AY1837">
        <f t="shared" si="1148"/>
        <v>0</v>
      </c>
      <c r="AZ1837" s="19"/>
      <c r="BA1837" s="19"/>
      <c r="BB1837" s="19"/>
      <c r="BC1837" s="19"/>
      <c r="BD1837" s="19"/>
      <c r="BE1837" s="19"/>
      <c r="BF1837" s="19"/>
      <c r="BI1837" s="109"/>
      <c r="BU1837" s="100"/>
    </row>
    <row r="1838" x14ac:dyDescent="0.25">
      <c r="B1838" t="s">
        <v>288</v>
      </c>
      <c r="C1838" s="19">
        <v>29</v>
      </c>
      <c r="D1838" s="19">
        <v>0</v>
      </c>
      <c r="E1838">
        <f t="shared" si="1149"/>
        <v>29</v>
      </c>
      <c r="H1838">
        <v>5</v>
      </c>
      <c r="I1838" s="19">
        <v>27</v>
      </c>
      <c r="J1838" s="19">
        <v>11</v>
      </c>
      <c r="K1838">
        <f t="shared" si="1150"/>
        <v>38</v>
      </c>
      <c r="P1838" s="93"/>
      <c r="R1838">
        <f>SUM(R1822:R1837)</f>
        <v>29</v>
      </c>
      <c r="AR1838" s="100"/>
      <c r="AS1838" s="93"/>
      <c r="AU1838">
        <f>SUM(AU1822:AU1837)</f>
        <v>29</v>
      </c>
      <c r="BU1838" s="100"/>
    </row>
    <row r="1839" x14ac:dyDescent="0.25">
      <c r="B1839" t="s">
        <v>293</v>
      </c>
      <c r="C1839" s="19">
        <v>17</v>
      </c>
      <c r="D1839" s="19">
        <v>27</v>
      </c>
      <c r="E1839">
        <f t="shared" si="1149"/>
        <v>44</v>
      </c>
      <c r="H1839">
        <v>6</v>
      </c>
      <c r="I1839" s="19">
        <v>11</v>
      </c>
      <c r="J1839" s="19">
        <v>6</v>
      </c>
      <c r="K1839">
        <f t="shared" si="1150"/>
        <v>17</v>
      </c>
      <c r="P1839" s="93"/>
      <c r="AP1839" t="s">
        <v>746</v>
      </c>
      <c r="AR1839" s="100"/>
      <c r="AS1839" s="93"/>
      <c r="BS1839" t="s">
        <v>746</v>
      </c>
      <c r="BU1839" s="100"/>
    </row>
    <row r="1840" x14ac:dyDescent="0.25">
      <c r="B1840" t="s">
        <v>456</v>
      </c>
      <c r="C1840" s="19">
        <v>27</v>
      </c>
      <c r="D1840" s="19">
        <v>27</v>
      </c>
      <c r="E1840">
        <f t="shared" si="1149"/>
        <v>54</v>
      </c>
      <c r="H1840">
        <v>7</v>
      </c>
      <c r="I1840" s="19">
        <v>6</v>
      </c>
      <c r="J1840" s="19">
        <v>11</v>
      </c>
      <c r="K1840">
        <f t="shared" si="1150"/>
        <v>17</v>
      </c>
      <c r="P1840" s="93"/>
      <c r="Q1840" t="s">
        <v>525</v>
      </c>
      <c r="R1840" t="s">
        <v>263</v>
      </c>
      <c r="S1840" t="s">
        <v>526</v>
      </c>
      <c r="T1840" t="s">
        <v>570</v>
      </c>
      <c r="U1840" t="s">
        <v>571</v>
      </c>
      <c r="V1840" t="s">
        <v>572</v>
      </c>
      <c r="W1840" t="s">
        <v>539</v>
      </c>
      <c r="X1840" t="s">
        <v>538</v>
      </c>
      <c r="Z1840" t="s">
        <v>522</v>
      </c>
      <c r="AA1840" t="s">
        <v>523</v>
      </c>
      <c r="AB1840" t="s">
        <v>541</v>
      </c>
      <c r="AC1840" t="s">
        <v>540</v>
      </c>
      <c r="AD1840" t="s">
        <v>542</v>
      </c>
      <c r="AE1840" t="s">
        <v>520</v>
      </c>
      <c r="AF1840" t="s">
        <v>521</v>
      </c>
      <c r="AG1840" t="s">
        <v>527</v>
      </c>
      <c r="AH1840" t="s">
        <v>528</v>
      </c>
      <c r="AI1840" t="s">
        <v>543</v>
      </c>
      <c r="AJ1840" t="s">
        <v>744</v>
      </c>
      <c r="AK1840" t="s">
        <v>745</v>
      </c>
      <c r="AL1840" t="s">
        <v>749</v>
      </c>
      <c r="AM1840" t="s">
        <v>750</v>
      </c>
      <c r="AN1840" t="s">
        <v>751</v>
      </c>
      <c r="AP1840" t="s">
        <v>747</v>
      </c>
      <c r="AQ1840" t="s">
        <v>748</v>
      </c>
      <c r="AR1840" s="100"/>
      <c r="AS1840" s="93"/>
      <c r="AT1840" t="s">
        <v>525</v>
      </c>
      <c r="AU1840" t="s">
        <v>263</v>
      </c>
      <c r="AV1840" t="s">
        <v>526</v>
      </c>
      <c r="AW1840" t="s">
        <v>570</v>
      </c>
      <c r="AX1840" t="s">
        <v>571</v>
      </c>
      <c r="AY1840" t="s">
        <v>572</v>
      </c>
      <c r="AZ1840" t="s">
        <v>539</v>
      </c>
      <c r="BA1840" t="s">
        <v>538</v>
      </c>
      <c r="BC1840" t="s">
        <v>522</v>
      </c>
      <c r="BD1840" t="s">
        <v>523</v>
      </c>
      <c r="BE1840" t="s">
        <v>541</v>
      </c>
      <c r="BF1840" t="s">
        <v>540</v>
      </c>
      <c r="BG1840" t="s">
        <v>542</v>
      </c>
      <c r="BH1840" t="s">
        <v>520</v>
      </c>
      <c r="BI1840" t="s">
        <v>521</v>
      </c>
      <c r="BJ1840" t="s">
        <v>527</v>
      </c>
      <c r="BK1840" t="s">
        <v>528</v>
      </c>
      <c r="BL1840" t="s">
        <v>543</v>
      </c>
      <c r="BM1840" t="s">
        <v>744</v>
      </c>
      <c r="BN1840" t="s">
        <v>745</v>
      </c>
      <c r="BO1840" t="s">
        <v>749</v>
      </c>
      <c r="BP1840" t="s">
        <v>750</v>
      </c>
      <c r="BQ1840" t="s">
        <v>751</v>
      </c>
      <c r="BS1840" t="s">
        <v>747</v>
      </c>
      <c r="BT1840" t="s">
        <v>748</v>
      </c>
      <c r="BU1840" s="100"/>
    </row>
    <row r="1841" x14ac:dyDescent="0.25">
      <c r="B1841" t="s">
        <v>457</v>
      </c>
      <c r="C1841" s="19">
        <v>27</v>
      </c>
      <c r="D1841" s="19">
        <v>27</v>
      </c>
      <c r="E1841">
        <f t="shared" si="1149"/>
        <v>54</v>
      </c>
      <c r="H1841">
        <v>8</v>
      </c>
      <c r="I1841" s="19">
        <v>20</v>
      </c>
      <c r="J1841" s="19">
        <v>0</v>
      </c>
      <c r="K1841">
        <f t="shared" si="1150"/>
        <v>20</v>
      </c>
      <c r="L1841" t="s">
        <v>506</v>
      </c>
      <c r="P1841" s="93"/>
      <c r="Q1841" s="110" t="str">
        <f>$Q$1822</f>
        <v>A.01</v>
      </c>
      <c r="R1841" t="str">
        <f>$Q$1813</f>
        <v>L2</v>
      </c>
      <c r="S1841">
        <f>$E$21</f>
        <v>10.6875</v>
      </c>
      <c r="T1841" cm="1">
        <f t="array" ref="T1841">IFERROR(IF(S1841=0,0,(INDEX($C$33:$C$38,MATCH($W$1822,$B$33:$B$38,0),0)*(S1845+$X$1822)+$T$1822*COUNTIF(S1841:S1844,"&gt;0")*$C$32+$V$1822*$C$31)*$R$1822),0)</f>
        <v>30539.71875</v>
      </c>
      <c r="U1841">
        <f>IF(S1841=0,0,-(COUNTIF(S1841:S1844,"&gt;0")*$T$1822*$C$32+$V$1822*$C$31)*$H$27*$R$1822)</f>
        <v>-363.31199999999995</v>
      </c>
      <c r="V1841">
        <f>IF(S1841=0,0,$V$1822*$H$26*$R$1822)</f>
        <v>-1328.1999999999998</v>
      </c>
      <c r="W1841">
        <f>(0.6*T1841+0.7*U1841)*$R$1822/2</f>
        <v>262007.93632499999</v>
      </c>
      <c r="X1841">
        <f>(0.6*T1841+0.6*V1841)*$R$1822/2</f>
        <v>254140.21312500001</v>
      </c>
      <c r="Z1841">
        <f>IF(S1841=0,0,$AD$1822*$AP$1813)</f>
        <v>343.06999999999994</v>
      </c>
      <c r="AA1841">
        <f>IFERROR(Z1841/$R$1822,0)</f>
        <v>11.829999999999998</v>
      </c>
      <c r="AB1841">
        <f>Z1841*($F$21+IF($F$21=0,0,($C$14+$C$15+IF($C$13="single",1.5,3)+3)/12))</f>
        <v>3666.5606249999992</v>
      </c>
      <c r="AC1841">
        <f>AB1841-W1841</f>
        <v>-258341.37569999998</v>
      </c>
      <c r="AD1841" cm="1">
        <f t="array" ref="AD1841">IFERROR(IF(AC1841&lt;0,0,AC1841/($R$1822-INDEX(hd_off,MATCH(AQ1841,hd_mark,0),0)/12)),0)</f>
        <v>0</v>
      </c>
      <c r="AE1841">
        <f>IF(S1841=0,0,$AD$1822*$AM$1813)</f>
        <v>7899.5999999999995</v>
      </c>
      <c r="AF1841">
        <f>IFERROR(AE1841/$R$1822,0)</f>
        <v>272.39999999999998</v>
      </c>
      <c r="AG1841">
        <f>AE1841*($F$21+IF($F$21=0,0,($C$14+$C$15+IF($C$13="single",1.5,3)+3)/12))</f>
        <v>84426.974999999991</v>
      </c>
      <c r="AH1841">
        <f>AG1841-X1841</f>
        <v>-169713.23812500003</v>
      </c>
      <c r="AI1841" cm="1">
        <f t="array" ref="AI1841">IFERROR(IF(AH1841&lt;0,0,AH1841/($R$1822-INDEX(hd_off,MATCH(AQ1841,hd_mark,0),0)/12)),0)</f>
        <v>0</v>
      </c>
      <c r="AJ1841">
        <f>MAX($F$21,$Y$1822)/$Q$1844</f>
        <v>0.30172413793103448</v>
      </c>
      <c r="AK1841">
        <f>IF(AJ1841=0,0,IF(AJ1841&gt;2,1.25-0.125*AJ1841,1))</f>
        <v>1</v>
      </c>
      <c r="AL1841" cm="1">
        <f t="array" ref="AL1841">IFERROR(INDEX(sheath_ecap_asd,MATCH(AP1841,sheath_mark,0),0)*AK1841,0)</f>
        <v>239.85714285714286</v>
      </c>
      <c r="AM1841" cm="1">
        <f t="array" ref="AM1841">IFERROR(INDEX(sheath_wcap_asd,MATCH(AP1841,sheath_mark,0),0)*AK1841,0)</f>
        <v>335.8</v>
      </c>
      <c r="AN1841" cm="1">
        <f t="array" ref="AN1841">IFERROR(INDEX(hd_cap,MATCH(AQ1841,hd_mark,0),0),0)</f>
        <v>0</v>
      </c>
      <c r="AP1841" s="19">
        <v>21</v>
      </c>
      <c r="AQ1841" s="19"/>
      <c r="AR1841" s="100"/>
      <c r="AS1841" s="93"/>
      <c r="AT1841" s="110" t="str">
        <f>$AT$1822</f>
        <v>1.01</v>
      </c>
      <c r="AU1841" t="str">
        <f>$Q$1813</f>
        <v>L2</v>
      </c>
      <c r="AV1841">
        <f>$E$21</f>
        <v>10.6875</v>
      </c>
      <c r="AW1841" cm="1">
        <f t="array" ref="AW1841">IFERROR(IF(AV1841=0,0,(INDEX($C$33:$C$38,MATCH($AZ$1822,$B$33:$B$38,0),0)*(AV1845+$BA$1822)+$AW$1822*COUNTIF(AV1841:AV1844,"&gt;0")*$C$32+$AY$1822*$C$31)*$AU$1822),0)</f>
        <v>30539.71875</v>
      </c>
      <c r="AX1841">
        <f>IF(AV1841=0,0,-(COUNTIF(AV1841:AV1844,"&gt;0")*$AW$1822*$C$32+$AY$1822*$C$31)*$H$27*$AU$1822)</f>
        <v>-363.31199999999995</v>
      </c>
      <c r="AY1841">
        <f>IF(AV1841=0,0,$AY$1822*$H$26*$AU$1822)</f>
        <v>-1328.1999999999998</v>
      </c>
      <c r="AZ1841">
        <f>(0.6*AW1841+0.7*AX1841)*$AU$1822/2</f>
        <v>262007.93632499999</v>
      </c>
      <c r="BA1841">
        <f>(0.6*AW1841+0.6*AY1841)*$AU$1822/2</f>
        <v>254140.21312500001</v>
      </c>
      <c r="BC1841">
        <f>IF(AV1841=0,0,$BG$1822*$AP$1813)</f>
        <v>343.06999999999994</v>
      </c>
      <c r="BD1841">
        <f>IFERROR(BC1841/$AU$1822,0)</f>
        <v>11.829999999999998</v>
      </c>
      <c r="BE1841">
        <f>BC1841*($F$21+IF($F$21=0,0,($C$14+$C$15+IF($C$13="single",1.5,3)+3)/12))</f>
        <v>3666.5606249999992</v>
      </c>
      <c r="BF1841">
        <f>BE1841-AZ1841</f>
        <v>-258341.37569999998</v>
      </c>
      <c r="BG1841" cm="1">
        <f t="array" ref="BG1841">IFERROR(IF(BF1841&lt;0,0,BF1841/($AU$1822-INDEX(hd_off,MATCH(BT1841,hd_mark,0),0)/12)),0)</f>
        <v>0</v>
      </c>
      <c r="BH1841">
        <f>IF(AV1841=0,0,$BG$1822*$AM$1813)</f>
        <v>7899.5999999999995</v>
      </c>
      <c r="BI1841">
        <f>IFERROR(BH1841/$AU$1822,0)</f>
        <v>272.39999999999998</v>
      </c>
      <c r="BJ1841">
        <f>BH1841*($F$21+IF($F$21=0,0,($C$14+$C$15+IF($C$13="single",1.5,3)+3)/12))</f>
        <v>84426.974999999991</v>
      </c>
      <c r="BK1841">
        <f>BJ1841-BA1841</f>
        <v>-169713.23812500003</v>
      </c>
      <c r="BL1841" cm="1">
        <f t="array" ref="BL1841">IFERROR(IF(BK1841&lt;0,0,BK1841/($AU$1822-INDEX(hd_off,MATCH(BT1841,hd_mark,0),0)/12)),0)</f>
        <v>0</v>
      </c>
      <c r="BM1841">
        <f>MAX($F$21,$BB$1822)/$Q$1844</f>
        <v>0.30172413793103448</v>
      </c>
      <c r="BN1841">
        <f>IF(BM1841=0,0,IF(BM1841&gt;2,1.25-0.125*BM1841,1))</f>
        <v>1</v>
      </c>
      <c r="BO1841" cm="1">
        <f t="array" ref="BO1841">IFERROR(INDEX(sheath_ecap_asd,MATCH(BS1841,sheath_mark,0),0)*BN1841,0)</f>
        <v>239.85714285714286</v>
      </c>
      <c r="BP1841" cm="1">
        <f t="array" ref="BP1841">IFERROR(INDEX(sheath_wcap_asd,MATCH(BS1841,sheath_mark,0),0)*BN1841,0)</f>
        <v>335.8</v>
      </c>
      <c r="BQ1841" cm="1">
        <f t="array" ref="BQ1841">IFERROR(INDEX(hd_cap,MATCH(BT1841,hd_mark,0),0),0)</f>
        <v>0</v>
      </c>
      <c r="BS1841" s="19">
        <v>21</v>
      </c>
      <c r="BT1841" s="19"/>
      <c r="BU1841" s="100"/>
    </row>
    <row r="1842" x14ac:dyDescent="0.25">
      <c r="B1842" t="s">
        <v>458</v>
      </c>
      <c r="C1842" s="19">
        <v>27</v>
      </c>
      <c r="D1842" s="19">
        <v>27</v>
      </c>
      <c r="E1842">
        <f t="shared" si="1149"/>
        <v>54</v>
      </c>
      <c r="H1842">
        <v>9</v>
      </c>
      <c r="I1842" s="19">
        <v>30</v>
      </c>
      <c r="J1842" s="19">
        <v>0</v>
      </c>
      <c r="K1842">
        <f t="shared" si="1150"/>
        <v>30</v>
      </c>
      <c r="P1842" s="93"/>
      <c r="Q1842" s="109"/>
      <c r="R1842" t="str">
        <f>$Q$1814</f>
        <v>L3</v>
      </c>
      <c r="S1842">
        <f>$E$22</f>
        <v>21.375</v>
      </c>
      <c r="T1842" cm="1">
        <f t="array" ref="T1842">IFERROR(IF(S1842=0,0,(INDEX($C$33:$C$38,MATCH($W$1822,$B$33:$B$38,0),0)*(S1845+$X$1822)+$T$1822*COUNTIF(S1842:S1844,"&gt;0")*$C$32+$V$1822*$C$31)*$R$1822),0)</f>
        <v>26015.71875</v>
      </c>
      <c r="U1842">
        <f>IF(S1842=0,0,-(COUNTIF(S1842:S1844,"&gt;0")*$T$1822*$C$32+$V$1822*$C$31)*$H$27*$R$1822)</f>
        <v>-200.44799999999998</v>
      </c>
      <c r="V1842">
        <f>IF(S1842=0,0,$V$1822*$H$26*$R$1822)</f>
        <v>-1328.1999999999998</v>
      </c>
      <c r="W1842">
        <f t="shared" ref="W1842:W1844" si="1151">(0.6*T1842+0.7*U1842)*$R$1822/2</f>
        <v>224302.20592500002</v>
      </c>
      <c r="X1842">
        <f>T1842*$R$1822/2</f>
        <v>377227.921875</v>
      </c>
      <c r="Z1842">
        <f>IF(S1842=0,0,$AD$1822*$AP$1814)</f>
        <v>376.565</v>
      </c>
      <c r="AA1842">
        <f>IFERROR(Z1842/$R$1822,0)</f>
        <v>12.984999999999999</v>
      </c>
      <c r="AB1842">
        <f>Z1842*($F$22+IF($F$22=0,0,($C$14+$C$15+IF($C$13="single",1.5,3)+3)/12))</f>
        <v>4024.5384374999999</v>
      </c>
      <c r="AC1842">
        <f>AB1842-W1842</f>
        <v>-220277.6674875</v>
      </c>
      <c r="AD1842" cm="1">
        <f t="array" ref="AD1842">IFERROR(IF(AC1842&lt;0,0,AC1842/($R$1822-INDEX(hd_off,MATCH(AQ1842,hd_mark,0),0)/12)),0)</f>
        <v>0</v>
      </c>
      <c r="AE1842">
        <f>IF(S1842=0,0,$AD$1822*$AM$1814)</f>
        <v>5846.4</v>
      </c>
      <c r="AF1842">
        <f>IFERROR(AE1842/$R$1822,0)</f>
        <v>201.6</v>
      </c>
      <c r="AG1842">
        <f>AE1842*($F$22+IF($F$22=0,0,($C$14+$C$15+IF($C$13="single",1.5,3)+3)/12))</f>
        <v>62483.399999999994</v>
      </c>
      <c r="AH1842">
        <f>AG1842-X1842</f>
        <v>-314744.52187499998</v>
      </c>
      <c r="AI1842" cm="1">
        <f t="array" ref="AI1842">IFERROR(IF(AH1842&lt;0,0,AH1842/($R$1822-INDEX(hd_off,MATCH(AQ1842,hd_mark,0),0)/12)),0)</f>
        <v>0</v>
      </c>
      <c r="AJ1842">
        <f>MAX($F$22,$Z$1822)/$Q$1844</f>
        <v>0.30172413793103448</v>
      </c>
      <c r="AK1842">
        <f t="shared" ref="AK1842:AK1845" si="1152">IF(AJ1842=0,0,IF(AJ1842&gt;2,1.25-0.125*AJ1842,1))</f>
        <v>1</v>
      </c>
      <c r="AL1842" cm="1">
        <f t="array" ref="AL1842">IFERROR(INDEX(sheath_ecap_asd,MATCH(AP1842,sheath_mark,0),0)*AK1842,0)</f>
        <v>239.85714285714286</v>
      </c>
      <c r="AM1842" cm="1">
        <f t="array" ref="AM1842">IFERROR(INDEX(sheath_wcap_asd,MATCH(AP1842,sheath_mark,0),0)*AK1842,0)</f>
        <v>335.8</v>
      </c>
      <c r="AN1842" cm="1">
        <f t="array" ref="AN1842">IFERROR(INDEX(hd_cap,MATCH(AQ1842,hd_mark,0),0),0)</f>
        <v>0</v>
      </c>
      <c r="AP1842" s="19">
        <v>21</v>
      </c>
      <c r="AQ1842" s="19"/>
      <c r="AR1842" s="100"/>
      <c r="AS1842" s="93"/>
      <c r="AT1842" s="109"/>
      <c r="AU1842" t="str">
        <f>$Q$1814</f>
        <v>L3</v>
      </c>
      <c r="AV1842">
        <f>$E$22</f>
        <v>21.375</v>
      </c>
      <c r="AW1842" cm="1">
        <f t="array" ref="AW1842">IFERROR(IF(AV1842=0,0,(INDEX($C$33:$C$38,MATCH($AZ$1822,$B$33:$B$38,0),0)*(AV1845+$BA$1822)+$AW$1822*COUNTIF(AV1842:AV1844,"&gt;0")*$C$32+$AY$1822*$C$31)*$AU$1822),0)</f>
        <v>26015.71875</v>
      </c>
      <c r="AX1842">
        <f>IF(AV1842=0,0,-(COUNTIF(AV1842:AV1844,"&gt;0")*$AW$1822*$C$32+$AY$1822*$C$31)*$H$27*$AU$1822)</f>
        <v>-200.44799999999998</v>
      </c>
      <c r="AY1842">
        <f>IF(AV1842=0,0,$AY$1822*$H$26*$AU$1822)</f>
        <v>-1328.1999999999998</v>
      </c>
      <c r="AZ1842">
        <f>(0.6*AW1842+0.7*AX1842)*$AU$1822/2</f>
        <v>224302.20592500002</v>
      </c>
      <c r="BA1842">
        <f>AW1842*$AU$1822/2</f>
        <v>377227.921875</v>
      </c>
      <c r="BC1842">
        <f>IF(AV1842=0,0,$BG$1822*$AP$1814)</f>
        <v>376.565</v>
      </c>
      <c r="BD1842">
        <f>IFERROR(BC1842/$AU$1822,0)</f>
        <v>12.984999999999999</v>
      </c>
      <c r="BE1842">
        <f>BC1842*($F$22+IF($F$22=0,0,($C$14+$C$15+IF($C$13="single",1.5,3)+3)/12))</f>
        <v>4024.5384374999999</v>
      </c>
      <c r="BF1842">
        <f>BE1842-AZ1842</f>
        <v>-220277.6674875</v>
      </c>
      <c r="BG1842" cm="1">
        <f t="array" ref="BG1842">IFERROR(IF(BF1842&lt;0,0,BF1842/($AU$1822-INDEX(hd_off,MATCH(BT1842,hd_mark,0),0)/12)),0)</f>
        <v>0</v>
      </c>
      <c r="BH1842">
        <f>IF(AV1842=0,0,$BG$1822*$AM$1814)</f>
        <v>5846.4</v>
      </c>
      <c r="BI1842">
        <f>IFERROR(BH1842/$AU$1822,0)</f>
        <v>201.6</v>
      </c>
      <c r="BJ1842">
        <f>BH1842*($F$22+IF($F$22=0,0,($C$14+$C$15+IF($C$13="single",1.5,3)+3)/12))</f>
        <v>62483.399999999994</v>
      </c>
      <c r="BK1842">
        <f>BJ1842-BA1842</f>
        <v>-314744.52187499998</v>
      </c>
      <c r="BL1842" cm="1">
        <f t="array" ref="BL1842">IFERROR(IF(BK1842&lt;0,0,BK1842/($AU$1822-INDEX(hd_off,MATCH(BT1842,hd_mark,0),0)/12)),0)</f>
        <v>0</v>
      </c>
      <c r="BM1842">
        <f>MAX($F$22,$BC$1822)/$Q$1844</f>
        <v>0.30172413793103448</v>
      </c>
      <c r="BN1842">
        <f t="shared" ref="BN1842:BN1845" si="1153">IF(BM1842=0,0,IF(BM1842&gt;2,1.25-0.125*BM1842,1))</f>
        <v>1</v>
      </c>
      <c r="BO1842" cm="1">
        <f t="array" ref="BO1842">IFERROR(INDEX(sheath_ecap_asd,MATCH(BS1842,sheath_mark,0),0)*BN1842,0)</f>
        <v>239.85714285714286</v>
      </c>
      <c r="BP1842" cm="1">
        <f t="array" ref="BP1842">IFERROR(INDEX(sheath_wcap_asd,MATCH(BS1842,sheath_mark,0),0)*BN1842,0)</f>
        <v>335.8</v>
      </c>
      <c r="BQ1842" cm="1">
        <f t="array" ref="BQ1842">IFERROR(INDEX(hd_cap,MATCH(BT1842,hd_mark,0),0),0)</f>
        <v>0</v>
      </c>
      <c r="BS1842" s="19">
        <v>21</v>
      </c>
      <c r="BT1842" s="19"/>
      <c r="BU1842" s="100"/>
    </row>
    <row r="1843" x14ac:dyDescent="0.25">
      <c r="B1843" t="s">
        <v>459</v>
      </c>
      <c r="C1843" s="19">
        <v>27</v>
      </c>
      <c r="D1843" s="19">
        <v>41</v>
      </c>
      <c r="E1843">
        <f t="shared" si="1149"/>
        <v>68</v>
      </c>
      <c r="F1843" t="s">
        <v>506</v>
      </c>
      <c r="H1843">
        <v>10</v>
      </c>
      <c r="I1843" s="19">
        <v>30</v>
      </c>
      <c r="J1843" s="19">
        <v>0</v>
      </c>
      <c r="K1843">
        <f t="shared" si="1150"/>
        <v>30</v>
      </c>
      <c r="P1843" s="93"/>
      <c r="Q1843" s="109" t="s">
        <v>491</v>
      </c>
      <c r="R1843" t="str">
        <f>$Q$1815</f>
        <v>L4</v>
      </c>
      <c r="S1843">
        <f>$E$23</f>
        <v>0</v>
      </c>
      <c r="T1843" cm="1">
        <f t="array" ref="T1843">IFERROR(IF(S1843=0,0,(INDEX($C$33:$C$38,MATCH($W$1822,$B$33:$B$38,0),0)*(S1845+$X$1822)+$T$1822*COUNTIF(S1843:S1844,"&gt;0")*$C$32+$V$1822*$C$31)*$R$1822),0)</f>
        <v>0</v>
      </c>
      <c r="U1843">
        <f>IF(S1843=0,0,-(COUNTIF(S1843:S1844,"&gt;0")*$T$1822*$C$32+$V$1822*$C$31)*$H$27*$R$1822)</f>
        <v>0</v>
      </c>
      <c r="V1843">
        <f>IF(S1843=0,0,$V$1822*$H$26*$R$1822)</f>
        <v>0</v>
      </c>
      <c r="W1843">
        <f t="shared" si="1151"/>
        <v>0</v>
      </c>
      <c r="X1843">
        <f>T1843*$R$1822/2</f>
        <v>0</v>
      </c>
      <c r="Z1843">
        <f>IF(S1843=0,0,$AD$1822*$AP$1815)</f>
        <v>0</v>
      </c>
      <c r="AA1843">
        <f>IFERROR(Z1843/$R$1822,0)</f>
        <v>0</v>
      </c>
      <c r="AB1843">
        <f>Z1843*($F$23+IF($F$23=0,0,($C$14+$C$15+IF($C$13="single",1.5,3)+3)/12))</f>
        <v>0</v>
      </c>
      <c r="AC1843">
        <f>AB1843-W1843</f>
        <v>0</v>
      </c>
      <c r="AD1843" cm="1">
        <f t="array" ref="AD1843">IFERROR(IF(AC1843&lt;0,0,AC1843/($R$1822-INDEX(hd_off,MATCH(AQ1843,hd_mark,0),0)/12)),0)</f>
        <v>0</v>
      </c>
      <c r="AE1843">
        <f>IF(S1843=0,0,$AD$1822*$AM$1815)</f>
        <v>0</v>
      </c>
      <c r="AF1843">
        <f>IFERROR(AE1843/$R$1822,0)</f>
        <v>0</v>
      </c>
      <c r="AG1843">
        <f>AE1843*($F$23+IF($F$23=0,0,($C$14+$C$15+IF($C$13="single",1.5,3)+3)/12))</f>
        <v>0</v>
      </c>
      <c r="AH1843">
        <f>AG1843-X1843</f>
        <v>0</v>
      </c>
      <c r="AI1843" cm="1">
        <f t="array" ref="AI1843">IFERROR(IF(AH1843&lt;0,0,AH1843/($R$1822-INDEX(hd_off,MATCH(AQ1843,hd_mark,0),0)/12)),0)</f>
        <v>0</v>
      </c>
      <c r="AJ1843">
        <f>MAX($F$23,$AA$1822)/$Q$1844</f>
        <v>0</v>
      </c>
      <c r="AK1843">
        <f t="shared" si="1152"/>
        <v>0</v>
      </c>
      <c r="AL1843" cm="1">
        <f t="array" ref="AL1843">IFERROR(INDEX(sheath_ecap_asd,MATCH(AP1843,sheath_mark,0),0)*AK1843,0)</f>
        <v>0</v>
      </c>
      <c r="AM1843" cm="1">
        <f t="array" ref="AM1843">IFERROR(INDEX(sheath_wcap_asd,MATCH(AP1843,sheath_mark,0),0)*AK1843,0)</f>
        <v>0</v>
      </c>
      <c r="AN1843" cm="1">
        <f t="array" ref="AN1843">IFERROR(INDEX(hd_cap,MATCH(AQ1843,hd_mark,0),0),0)</f>
        <v>0</v>
      </c>
      <c r="AP1843" s="19"/>
      <c r="AQ1843" s="19"/>
      <c r="AR1843" s="100"/>
      <c r="AS1843" s="93"/>
      <c r="AT1843" s="109" t="s">
        <v>491</v>
      </c>
      <c r="AU1843" t="str">
        <f>$Q$1815</f>
        <v>L4</v>
      </c>
      <c r="AV1843">
        <f>$E$23</f>
        <v>0</v>
      </c>
      <c r="AW1843" cm="1">
        <f t="array" ref="AW1843">IFERROR(IF(AV1843=0,0,(INDEX($C$33:$C$38,MATCH($AZ$1822,$B$33:$B$38,0),0)*(AV1845+$BA$1822)+$AW$1822*COUNTIF(AV1843:AV1844,"&gt;0")*$C$32+$AY$1822*$C$31)*$AU$1822),0)</f>
        <v>0</v>
      </c>
      <c r="AX1843">
        <f>IF(AV1843=0,0,-(COUNTIF(AV1843:AV1844,"&gt;0")*$AW$1822*$C$32+$AY$1822*$C$31)*$H$27*$AU$1822)</f>
        <v>0</v>
      </c>
      <c r="AY1843">
        <f>IF(AV1843=0,0,$AY$1822*$H$26*$AU$1822)</f>
        <v>0</v>
      </c>
      <c r="AZ1843">
        <f>(0.6*AW1843+0.7*AX1843)*$AU$1822/2</f>
        <v>0</v>
      </c>
      <c r="BA1843">
        <f>AW1843*$AU$1822/2</f>
        <v>0</v>
      </c>
      <c r="BC1843">
        <f>IF(AV1843=0,0,$BG$1822*$AP$1815)</f>
        <v>0</v>
      </c>
      <c r="BD1843">
        <f>IFERROR(BC1843/$AU$1822,0)</f>
        <v>0</v>
      </c>
      <c r="BE1843">
        <f>BC1843*($F$23+IF($F$23=0,0,($C$14+$C$15+IF($C$13="single",1.5,3)+3)/12))</f>
        <v>0</v>
      </c>
      <c r="BF1843">
        <f>BE1843-AZ1843</f>
        <v>0</v>
      </c>
      <c r="BG1843" cm="1">
        <f t="array" ref="BG1843">IFERROR(IF(BF1843&lt;0,0,BF1843/($AU$1822-INDEX(hd_off,MATCH(BT1843,hd_mark,0),0)/12)),0)</f>
        <v>0</v>
      </c>
      <c r="BH1843">
        <f>IF(AV1843=0,0,$BG$1822*$AM$1815)</f>
        <v>0</v>
      </c>
      <c r="BI1843">
        <f>IFERROR(BH1843/$AU$1822,0)</f>
        <v>0</v>
      </c>
      <c r="BJ1843">
        <f>BH1843*($F$23+IF($F$23=0,0,($C$14+$C$15+IF($C$13="single",1.5,3)+3)/12))</f>
        <v>0</v>
      </c>
      <c r="BK1843">
        <f>BJ1843-BA1843</f>
        <v>0</v>
      </c>
      <c r="BL1843" cm="1">
        <f t="array" ref="BL1843">IFERROR(IF(BK1843&lt;0,0,BK1843/($AU$1822-INDEX(hd_off,MATCH(BT1843,hd_mark,0),0)/12)),0)</f>
        <v>0</v>
      </c>
      <c r="BM1843">
        <f>MAX($F$23,$BD$1822)/$Q$1844</f>
        <v>0</v>
      </c>
      <c r="BN1843">
        <f t="shared" si="1153"/>
        <v>0</v>
      </c>
      <c r="BO1843" cm="1">
        <f t="array" ref="BO1843">IFERROR(INDEX(sheath_ecap_asd,MATCH(BS1843,sheath_mark,0),0)*BN1843,0)</f>
        <v>0</v>
      </c>
      <c r="BP1843" cm="1">
        <f t="array" ref="BP1843">IFERROR(INDEX(sheath_wcap_asd,MATCH(BS1843,sheath_mark,0),0)*BN1843,0)</f>
        <v>0</v>
      </c>
      <c r="BQ1843" cm="1">
        <f t="array" ref="BQ1843">IFERROR(INDEX(hd_cap,MATCH(BT1843,hd_mark,0),0),0)</f>
        <v>0</v>
      </c>
      <c r="BS1843" s="19"/>
      <c r="BT1843" s="19"/>
      <c r="BU1843" s="100"/>
    </row>
    <row r="1844" x14ac:dyDescent="0.25">
      <c r="B1844" t="s">
        <v>171</v>
      </c>
      <c r="C1844" s="19">
        <v>0</v>
      </c>
      <c r="D1844" s="19">
        <v>29</v>
      </c>
      <c r="E1844">
        <f t="shared" si="1149"/>
        <v>29</v>
      </c>
      <c r="H1844">
        <v>11</v>
      </c>
      <c r="I1844" s="19">
        <v>0</v>
      </c>
      <c r="J1844" s="19">
        <v>27</v>
      </c>
      <c r="K1844">
        <f t="shared" si="1150"/>
        <v>27</v>
      </c>
      <c r="P1844" s="93"/>
      <c r="Q1844" s="111">
        <f>$R$1822</f>
        <v>29</v>
      </c>
      <c r="R1844" t="str">
        <f>$Q$1816</f>
        <v>L5</v>
      </c>
      <c r="S1844">
        <f>$E$24</f>
        <v>0</v>
      </c>
      <c r="T1844" cm="1">
        <f t="array" ref="T1844">IFERROR(IF(S1844=0,0,(INDEX($C$33:$C$38,MATCH($W$1822,$B$33:$B$38,0),0)*(S1845+$X$1822)+$T$1822*COUNTIF(S1844:S1844,"&gt;0")*$C$32+$V$1822*$C$31)*$R$1822),0)</f>
        <v>0</v>
      </c>
      <c r="U1844">
        <f>IF(S1844=0,0,-(COUNTIF(S1844:S1844,"&gt;0")*$T$1822*$C$32+$V$1822*$C$31)*$H$27*$R$1822)</f>
        <v>0</v>
      </c>
      <c r="V1844">
        <f>IF(S1844=0,0,$V$1822*$H$26*$R$1822)</f>
        <v>0</v>
      </c>
      <c r="W1844">
        <f t="shared" si="1151"/>
        <v>0</v>
      </c>
      <c r="X1844">
        <f>T1844*$R$1822/2</f>
        <v>0</v>
      </c>
      <c r="Z1844">
        <f>IF(S1844=0,0,$AD$1822*$AP$1816)</f>
        <v>0</v>
      </c>
      <c r="AA1844">
        <f>IFERROR(Z1844/$R$1822,0)</f>
        <v>0</v>
      </c>
      <c r="AB1844">
        <f>Z1844*($F$24+IF($F$24=0,0,($C$14+$C$15+IF($C$13="single",1.5,3)+3)/12))</f>
        <v>0</v>
      </c>
      <c r="AC1844">
        <f>AB1844-W1844</f>
        <v>0</v>
      </c>
      <c r="AD1844" cm="1">
        <f t="array" ref="AD1844">IFERROR(IF(AC1844&lt;0,0,AC1844/($R$1822-INDEX(hd_off,MATCH(AQ1844,hd_mark,0),0)/12)),0)</f>
        <v>0</v>
      </c>
      <c r="AE1844">
        <f>IF(S1844=0,0,$AD$1822*$AM$1816)</f>
        <v>0</v>
      </c>
      <c r="AF1844">
        <f>IFERROR(AE1844/$R$1822,0)</f>
        <v>0</v>
      </c>
      <c r="AG1844">
        <f>AE1844*($F$24+IF($F$24=0,0,($C$14+$C$15+IF($C$13="single",1.5,3)+3)/12))</f>
        <v>0</v>
      </c>
      <c r="AH1844">
        <f>AG1844-X1844</f>
        <v>0</v>
      </c>
      <c r="AI1844" cm="1">
        <f t="array" ref="AI1844">IFERROR(IF(AH1844&lt;0,0,AH1844/($R$1822-INDEX(hd_off,MATCH(AQ1844,hd_mark,0),0)/12)),0)</f>
        <v>0</v>
      </c>
      <c r="AJ1844">
        <f>MAX($F$24,$AB$1822)/$Q$1844</f>
        <v>0</v>
      </c>
      <c r="AK1844">
        <f t="shared" si="1152"/>
        <v>0</v>
      </c>
      <c r="AL1844" cm="1">
        <f t="array" ref="AL1844">IFERROR(INDEX(sheath_ecap_asd,MATCH(AP1844,sheath_mark,0),0)*AK1844,0)</f>
        <v>0</v>
      </c>
      <c r="AM1844" cm="1">
        <f t="array" ref="AM1844">IFERROR(INDEX(sheath_wcap_asd,MATCH(AP1844,sheath_mark,0),0)*AK1844,0)</f>
        <v>0</v>
      </c>
      <c r="AN1844" cm="1">
        <f t="array" ref="AN1844">IFERROR(INDEX(hd_cap,MATCH(AQ1844,hd_mark,0),0),0)</f>
        <v>0</v>
      </c>
      <c r="AP1844" s="19"/>
      <c r="AQ1844" s="19"/>
      <c r="AR1844" s="100"/>
      <c r="AS1844" s="93"/>
      <c r="AT1844" s="111">
        <f>$R$1822</f>
        <v>29</v>
      </c>
      <c r="AU1844" t="str">
        <f>$Q$1816</f>
        <v>L5</v>
      </c>
      <c r="AV1844">
        <f>$E$24</f>
        <v>0</v>
      </c>
      <c r="AW1844" cm="1">
        <f t="array" ref="AW1844">IFERROR(IF(AV1844=0,0,(INDEX($C$33:$C$38,MATCH($AZ$1822,$B$33:$B$38,0),0)*(AV1845+$BA$1822)+$AW$1822*COUNTIF(AV1844:AV1844,"&gt;0")*$C$32+$AY$1822*$C$31)*$AU$1822),0)</f>
        <v>0</v>
      </c>
      <c r="AX1844">
        <f>IF(AV1844=0,0,-(COUNTIF(AV1844:AV1844,"&gt;0")*$AW$1822*$C$32+$AY$1822*$C$31)*$H$27*$AU$1822)</f>
        <v>0</v>
      </c>
      <c r="AY1844">
        <f>IF(AV1844=0,0,$AY$1822*$H$26*$AU$1822)</f>
        <v>0</v>
      </c>
      <c r="AZ1844">
        <f>(0.6*AW1844+0.7*AX1844)*$AU$1822/2</f>
        <v>0</v>
      </c>
      <c r="BA1844">
        <f>AW1844*$AU$1822/2</f>
        <v>0</v>
      </c>
      <c r="BC1844">
        <f>IF(AV1844=0,0,$BG$1822*$AP$1816)</f>
        <v>0</v>
      </c>
      <c r="BD1844">
        <f>IFERROR(BC1844/$AU$1822,0)</f>
        <v>0</v>
      </c>
      <c r="BE1844">
        <f>BC1844*($F$24+IF($F$24=0,0,($C$14+$C$15+IF($C$13="single",1.5,3)+3)/12))</f>
        <v>0</v>
      </c>
      <c r="BF1844">
        <f>BE1844-AZ1844</f>
        <v>0</v>
      </c>
      <c r="BG1844" cm="1">
        <f t="array" ref="BG1844">IFERROR(IF(BF1844&lt;0,0,BF1844/($AU$1822-INDEX(hd_off,MATCH(BT1844,hd_mark,0),0)/12)),0)</f>
        <v>0</v>
      </c>
      <c r="BH1844">
        <f>IF(AV1844=0,0,$BG$1822*$AM$1816)</f>
        <v>0</v>
      </c>
      <c r="BI1844">
        <f>IFERROR(BH1844/$AU$1822,0)</f>
        <v>0</v>
      </c>
      <c r="BJ1844">
        <f>BH1844*($F$24+IF($F$24=0,0,($C$14+$C$15+IF($C$13="single",1.5,3)+3)/12))</f>
        <v>0</v>
      </c>
      <c r="BK1844">
        <f>BJ1844-BA1844</f>
        <v>0</v>
      </c>
      <c r="BL1844" cm="1">
        <f t="array" ref="BL1844">IFERROR(IF(BK1844&lt;0,0,BK1844/($AU$1822-INDEX(hd_off,MATCH(BT1844,hd_mark,0),0)/12)),0)</f>
        <v>0</v>
      </c>
      <c r="BM1844">
        <f>MAX($F$24,$BE$1822)/$Q$1844</f>
        <v>0</v>
      </c>
      <c r="BN1844">
        <f t="shared" si="1153"/>
        <v>0</v>
      </c>
      <c r="BO1844" cm="1">
        <f t="array" ref="BO1844">IFERROR(INDEX(sheath_ecap_asd,MATCH(BS1844,sheath_mark,0),0)*BN1844,0)</f>
        <v>0</v>
      </c>
      <c r="BP1844" cm="1">
        <f t="array" ref="BP1844">IFERROR(INDEX(sheath_wcap_asd,MATCH(BS1844,sheath_mark,0),0)*BN1844,0)</f>
        <v>0</v>
      </c>
      <c r="BQ1844" cm="1">
        <f t="array" ref="BQ1844">IFERROR(INDEX(hd_cap,MATCH(BT1844,hd_mark,0),0),0)</f>
        <v>0</v>
      </c>
      <c r="BS1844" s="19"/>
      <c r="BT1844" s="19"/>
      <c r="BU1844" s="100"/>
    </row>
    <row r="1845" x14ac:dyDescent="0.25">
      <c r="B1845" t="s">
        <v>460</v>
      </c>
      <c r="C1845" s="19">
        <v>29</v>
      </c>
      <c r="D1845" s="19">
        <v>6</v>
      </c>
      <c r="E1845">
        <f t="shared" si="1149"/>
        <v>35</v>
      </c>
      <c r="H1845">
        <v>12</v>
      </c>
      <c r="I1845" s="19">
        <v>27</v>
      </c>
      <c r="J1845" s="19">
        <v>14</v>
      </c>
      <c r="K1845">
        <f t="shared" si="1150"/>
        <v>41</v>
      </c>
      <c r="P1845" s="93"/>
      <c r="Q1845" s="109"/>
      <c r="R1845" t="str">
        <f>$Q$1817</f>
        <v>Roof</v>
      </c>
      <c r="S1845">
        <f>$E$25</f>
        <v>33.171875</v>
      </c>
      <c r="T1845" cm="1">
        <f t="array" ref="T1845">IFERROR(IF(S1845=0,0,(INDEX($C$33:$C$38,MATCH($W$1822,$B$33:$B$38,0),0)*(S1845+$X$1822)+$V$1822*$C$31)*$R$1822),0)</f>
        <v>21491.71875</v>
      </c>
      <c r="U1845">
        <f>IF(S1845=0,0,-$V$1822*$C$31*$H$27*$R$1822)</f>
        <v>-37.583999999999996</v>
      </c>
      <c r="V1845">
        <f>IF(S1845=0,0,$V$1822*$H$26*$R$1822)</f>
        <v>-1328.1999999999998</v>
      </c>
      <c r="W1845">
        <f>(0.6*T1845+0.7*U1845)*$R$1822/2</f>
        <v>186596.47552499999</v>
      </c>
      <c r="X1845">
        <f>T1845*$R$1822/2</f>
        <v>311629.921875</v>
      </c>
      <c r="Z1845">
        <f>IF(S1845=0,0,$AD$1822*$AP$1817)</f>
        <v>191.83499999999995</v>
      </c>
      <c r="AA1845">
        <f>IFERROR(Z1845/$R$1822,0)</f>
        <v>6.6149999999999984</v>
      </c>
      <c r="AB1845">
        <f>Z1845*($F$25+($C$16+$C$17+IF($C$13="single",1.5,3)+3)/12)</f>
        <v>2263.0535156249989</v>
      </c>
      <c r="AC1845">
        <f>AB1845-W1845</f>
        <v>-184333.42200937498</v>
      </c>
      <c r="AD1845" cm="1">
        <f t="array" ref="AD1845">IFERROR(IF(AC1845&lt;0,0,AC1845/($R$1822-INDEX(hd_off,MATCH(AQ1845,hd_mark,0),0)/12)),0)</f>
        <v>0</v>
      </c>
      <c r="AE1845">
        <f>IF(S1845=0,0,$AD$1822*$AM$1817)</f>
        <v>3854.1</v>
      </c>
      <c r="AF1845">
        <f>IFERROR(AE1845/$R$1822,0)</f>
        <v>132.9</v>
      </c>
      <c r="AG1845">
        <f>AE1845*($F$25+($C$16+$C$17+IF($C$13="single",1.5,3)+3)/12)</f>
        <v>45466.335937499993</v>
      </c>
      <c r="AH1845">
        <f>AG1845-X1845</f>
        <v>-266163.5859375</v>
      </c>
      <c r="AI1845" cm="1">
        <f t="array" ref="AI1845">IFERROR(IF(AH1845&lt;0,0,AH1845/($R$1822-INDEX(hd_off,MATCH(AQ1845,hd_mark,0),0)/12)),0)</f>
        <v>0</v>
      </c>
      <c r="AJ1845">
        <f>MAX($F$25,$AC$1822)/$Q$1844</f>
        <v>0.29920977011494249</v>
      </c>
      <c r="AK1845">
        <f t="shared" si="1152"/>
        <v>1</v>
      </c>
      <c r="AL1845" cm="1">
        <f t="array" ref="AL1845">IFERROR(INDEX(sheath_ecap_asd,MATCH(AP1845,sheath_mark,0),0)*AK1845,0)</f>
        <v>95.285714285714306</v>
      </c>
      <c r="AM1845" cm="1">
        <f t="array" ref="AM1845">IFERROR(INDEX(sheath_wcap_asd,MATCH(AP1845,sheath_mark,0),0)*AK1845,0)</f>
        <v>133.4</v>
      </c>
      <c r="AN1845" cm="1">
        <f t="array" ref="AN1845">IFERROR(INDEX(hd_cap,MATCH(AQ1845,hd_mark,0),0),0)</f>
        <v>0</v>
      </c>
      <c r="AP1845" s="19">
        <v>11</v>
      </c>
      <c r="AQ1845" s="19"/>
      <c r="AR1845" s="100"/>
      <c r="AS1845" s="93"/>
      <c r="AT1845" s="109"/>
      <c r="AU1845" t="str">
        <f>$Q$1817</f>
        <v>Roof</v>
      </c>
      <c r="AV1845">
        <f>$E$25</f>
        <v>33.171875</v>
      </c>
      <c r="AW1845" cm="1">
        <f t="array" ref="AW1845">IFERROR(IF(AV1845=0,0,(INDEX($C$33:$C$38,MATCH($AZ$1822,$B$33:$B$38,0),0)*(AV1845+$BA$1822)+$AY$1822*$C$31)*$AU$1822),0)</f>
        <v>21491.71875</v>
      </c>
      <c r="AX1845">
        <f>IF(AV1845=0,0,-$AY$1822*$C$31*$H$27*$AU$1822)</f>
        <v>-37.583999999999996</v>
      </c>
      <c r="AY1845">
        <f>IF(AV1845=0,0,$AY$1822*$H$26*$AU$1822)</f>
        <v>-1328.1999999999998</v>
      </c>
      <c r="AZ1845">
        <f>(0.6*AW1845+0.7*AX1845)*$AU$1822/2</f>
        <v>186596.47552499999</v>
      </c>
      <c r="BA1845">
        <f>AW1845*$AU$1822/2</f>
        <v>311629.921875</v>
      </c>
      <c r="BC1845">
        <f>IF(AV1845=0,0,$BG$1822*$AP$1817)</f>
        <v>191.83499999999995</v>
      </c>
      <c r="BD1845">
        <f>IFERROR(BC1845/$AU$1822,0)</f>
        <v>6.6149999999999984</v>
      </c>
      <c r="BE1845">
        <f>BC1845*($F$25+($C$16+$C$17+IF($C$13="single",1.5,3)+3)/12)</f>
        <v>2263.0535156249989</v>
      </c>
      <c r="BF1845">
        <f>BE1845-AZ1845</f>
        <v>-184333.42200937498</v>
      </c>
      <c r="BG1845" cm="1">
        <f t="array" ref="BG1845">IFERROR(IF(BF1845&lt;0,0,BF1845/($AU$1822-INDEX(hd_off,MATCH(BT1845,hd_mark,0),0)/12)),0)</f>
        <v>0</v>
      </c>
      <c r="BH1845">
        <f>IF(AV1845=0,0,$BG$1822*$AM$1817)</f>
        <v>3854.1</v>
      </c>
      <c r="BI1845">
        <f>IFERROR(BH1845/$AU$1822,0)</f>
        <v>132.9</v>
      </c>
      <c r="BJ1845">
        <f>BH1845*($F$25+($C$16+$C$17+IF($C$13="single",1.5,3)+3)/12)</f>
        <v>45466.335937499993</v>
      </c>
      <c r="BK1845">
        <f>BJ1845-BA1845</f>
        <v>-266163.5859375</v>
      </c>
      <c r="BL1845" cm="1">
        <f t="array" ref="BL1845">IFERROR(IF(BK1845&lt;0,0,BK1845/($AU$1822-INDEX(hd_off,MATCH(BT1845,hd_mark,0),0)/12)),0)</f>
        <v>0</v>
      </c>
      <c r="BM1845">
        <f>MAX($F$25,$BF$1822)/$Q$1844</f>
        <v>0.29920977011494249</v>
      </c>
      <c r="BN1845">
        <f t="shared" si="1153"/>
        <v>1</v>
      </c>
      <c r="BO1845" cm="1">
        <f t="array" ref="BO1845">IFERROR(INDEX(sheath_ecap_asd,MATCH(BS1845,sheath_mark,0),0)*BN1845,0)</f>
        <v>95.285714285714306</v>
      </c>
      <c r="BP1845" cm="1">
        <f t="array" ref="BP1845">IFERROR(INDEX(sheath_wcap_asd,MATCH(BS1845,sheath_mark,0),0)*BN1845,0)</f>
        <v>133.4</v>
      </c>
      <c r="BQ1845" cm="1">
        <f t="array" ref="BQ1845">IFERROR(INDEX(hd_cap,MATCH(BT1845,hd_mark,0),0),0)</f>
        <v>0</v>
      </c>
      <c r="BS1845" s="19">
        <v>11</v>
      </c>
      <c r="BT1845" s="19"/>
      <c r="BU1845" s="100"/>
    </row>
    <row r="1846" x14ac:dyDescent="0.25">
      <c r="B1846" t="s">
        <v>461</v>
      </c>
      <c r="C1846" s="19">
        <v>6</v>
      </c>
      <c r="D1846" s="19">
        <v>29</v>
      </c>
      <c r="E1846">
        <f t="shared" si="1149"/>
        <v>35</v>
      </c>
      <c r="H1846">
        <v>13</v>
      </c>
      <c r="I1846" s="19">
        <v>14</v>
      </c>
      <c r="J1846" s="19">
        <v>12</v>
      </c>
      <c r="K1846">
        <f t="shared" si="1150"/>
        <v>26</v>
      </c>
      <c r="P1846" s="93"/>
      <c r="Q1846" s="109"/>
      <c r="AR1846" s="100"/>
      <c r="AS1846" s="93"/>
      <c r="AT1846" s="109"/>
      <c r="BU1846" s="100"/>
    </row>
    <row r="1847" x14ac:dyDescent="0.25">
      <c r="B1847" t="s">
        <v>462</v>
      </c>
      <c r="C1847" s="19">
        <v>29</v>
      </c>
      <c r="D1847" s="19">
        <v>0</v>
      </c>
      <c r="E1847">
        <f t="shared" si="1149"/>
        <v>29</v>
      </c>
      <c r="H1847">
        <v>14</v>
      </c>
      <c r="I1847" s="19">
        <v>12</v>
      </c>
      <c r="J1847" s="19">
        <v>27</v>
      </c>
      <c r="K1847">
        <f t="shared" si="1150"/>
        <v>39</v>
      </c>
      <c r="P1847" s="93"/>
      <c r="Q1847" s="110" t="str">
        <f>$Q$1823</f>
        <v>A.02</v>
      </c>
      <c r="R1847" t="str">
        <f>$Q$1813</f>
        <v>L2</v>
      </c>
      <c r="S1847">
        <f>$E$21</f>
        <v>10.6875</v>
      </c>
      <c r="T1847" cm="1">
        <f t="array" ref="T1847">IFERROR(IF(S1847=0,0,(INDEX($C$33:$C$38,MATCH($W$1823,$B$33:$B$38,0),0)*(S1851+$X$1823)+$T$1823*COUNTIF(S1847:S1850,"&gt;0")*$C$32+$V$1823*$C$31)*$R$1823),0)</f>
        <v>0</v>
      </c>
      <c r="U1847">
        <f>IF(S1847=0,0,-(COUNTIF(S1847:S1850,"&gt;0")*$T$1823*$C$32+$V$1823*$C$31)*$H$27*$R$1823)</f>
        <v>0</v>
      </c>
      <c r="V1847">
        <f>IF(S1847=0,0,$V$1823*$H$26*$R$1823)</f>
        <v>0</v>
      </c>
      <c r="W1847">
        <f>(0.6*T1847+0.7*U1847)*$R$1823/2</f>
        <v>0</v>
      </c>
      <c r="X1847">
        <f>(0.6*T1847+0.6*V1847)*$R$1823/2</f>
        <v>0</v>
      </c>
      <c r="Z1847">
        <f>IF(S1847=0,0,$AD$1823*$AP$1813)</f>
        <v>0</v>
      </c>
      <c r="AA1847">
        <f>IFERROR(Z1847/$R$1823,0)</f>
        <v>0</v>
      </c>
      <c r="AB1847">
        <f>Z1847*($F$21+IF($F$21=0,0,($C$14+$C$15+IF($C$13="single",1.5,3)+3)/12))</f>
        <v>0</v>
      </c>
      <c r="AC1847">
        <f>AB1847-W1847</f>
        <v>0</v>
      </c>
      <c r="AD1847" cm="1">
        <f t="array" ref="AD1847">IFERROR(IF(AC1847&lt;0,0,AC1847/($R$1823-INDEX(hd_off,MATCH(AQ1847,hd_mark,0),0)/12)),0)</f>
        <v>0</v>
      </c>
      <c r="AE1847">
        <f>IF(S1847=0,0,$AD$1823*$AM$1813)</f>
        <v>0</v>
      </c>
      <c r="AF1847">
        <f>IFERROR(AE1847/$R$1823,0)</f>
        <v>0</v>
      </c>
      <c r="AG1847">
        <f>AE1847*($F$21+IF($F$21=0,0,($C$14+$C$15+IF($C$13="single",1.5,3)+3)/12))</f>
        <v>0</v>
      </c>
      <c r="AH1847">
        <f>AG1847-X1847</f>
        <v>0</v>
      </c>
      <c r="AI1847" cm="1">
        <f t="array" ref="AI1847">IFERROR(IF(AH1847&lt;0,0,AH1847/($R$1823-INDEX(hd_off,MATCH(AQ1847,hd_mark,0),0)/12)),0)</f>
        <v>0</v>
      </c>
      <c r="AJ1847">
        <f>MAX($F$21,$Y$1823)/$Q$1844</f>
        <v>0.30172413793103448</v>
      </c>
      <c r="AK1847">
        <f>IF(AJ1847=0,0,IF(AJ1847&gt;2,1.25-0.125*AJ1847,1))</f>
        <v>1</v>
      </c>
      <c r="AL1847" cm="1">
        <f t="array" ref="AL1847">IFERROR(INDEX(sheath_ecap_asd,MATCH(AP1847,sheath_mark,0),0)*AK1847,0)</f>
        <v>0</v>
      </c>
      <c r="AM1847" cm="1">
        <f t="array" ref="AM1847">IFERROR(INDEX(sheath_wcap_asd,MATCH(AP1847,sheath_mark,0),0)*AK1847,0)</f>
        <v>0</v>
      </c>
      <c r="AN1847" cm="1">
        <f t="array" ref="AN1847">IFERROR(INDEX(hd_cap,MATCH(AQ1847,hd_mark,0),0),0)</f>
        <v>0</v>
      </c>
      <c r="AP1847" s="19"/>
      <c r="AQ1847" s="19"/>
      <c r="AR1847" s="100"/>
      <c r="AS1847" s="93"/>
      <c r="AT1847" s="110" t="str">
        <f>$AT$1823</f>
        <v>1.02</v>
      </c>
      <c r="AU1847" t="str">
        <f>$Q$1813</f>
        <v>L2</v>
      </c>
      <c r="AV1847">
        <f>$E$21</f>
        <v>10.6875</v>
      </c>
      <c r="AW1847" cm="1">
        <f t="array" ref="AW1847">IFERROR(IF(AV1847=0,0,(INDEX($C$33:$C$38,MATCH($AZ$1823,$B$33:$B$38,0),0)*(AV1851+$BA$1823)+$AW$1823*COUNTIF(AV1847:AV1850,"&gt;0")*$C$32+$AY$1823*$C$31)*$AU$1823),0)</f>
        <v>0</v>
      </c>
      <c r="AX1847">
        <f>IF(AV1847=0,0,-(COUNTIF(AV1847:AV1850,"&gt;0")*$AW$1823*$C$32+$AY$1823*$C$31)*$H$27*$AU$1823)</f>
        <v>0</v>
      </c>
      <c r="AY1847">
        <f>IF(AV1847=0,0,$AY$1823*$H$26*$AU$1823)</f>
        <v>0</v>
      </c>
      <c r="AZ1847">
        <f>(0.6*AW1847+0.7*AX1847)*$AU$1823/2</f>
        <v>0</v>
      </c>
      <c r="BA1847">
        <f>(0.6*AW1847+0.6*AY1847)*$AU$1823/2</f>
        <v>0</v>
      </c>
      <c r="BC1847">
        <f>IF(AV1847=0,0,$BG$1823*$AP$1813)</f>
        <v>0</v>
      </c>
      <c r="BD1847">
        <f>IFERROR(BC1847/$AU$1823,0)</f>
        <v>0</v>
      </c>
      <c r="BE1847">
        <f>BC1847*($F$21+IF($F$21=0,0,($C$14+$C$15+IF($C$13="single",1.5,3)+3)/12))</f>
        <v>0</v>
      </c>
      <c r="BF1847">
        <f>BE1847-AZ1847</f>
        <v>0</v>
      </c>
      <c r="BG1847" cm="1">
        <f t="array" ref="BG1847">IFERROR(IF(BF1847&lt;0,0,BF1847/($AU$1823-INDEX(hd_off,MATCH(BT1847,hd_mark,0),0)/12)),0)</f>
        <v>0</v>
      </c>
      <c r="BH1847">
        <f>IF(AV1847=0,0,$BG$1823*$AM$1813)</f>
        <v>0</v>
      </c>
      <c r="BI1847">
        <f>IFERROR(BH1847/$AU$1823,0)</f>
        <v>0</v>
      </c>
      <c r="BJ1847">
        <f>BH1847*($F$21+IF($F$21=0,0,($C$14+$C$15+IF($C$13="single",1.5,3)+3)/12))</f>
        <v>0</v>
      </c>
      <c r="BK1847">
        <f>BJ1847-BA1847</f>
        <v>0</v>
      </c>
      <c r="BL1847" cm="1">
        <f t="array" ref="BL1847">IFERROR(IF(BK1847&lt;0,0,BK1847/($AU$1823-INDEX(hd_off,MATCH(BT1847,hd_mark,0),0)/12)),0)</f>
        <v>0</v>
      </c>
      <c r="BM1847">
        <f>MAX($F$21,$BB$1823)/$Q$1844</f>
        <v>0.30172413793103448</v>
      </c>
      <c r="BN1847">
        <f>IF(BM1847=0,0,IF(BM1847&gt;2,1.25-0.125*BM1847,1))</f>
        <v>1</v>
      </c>
      <c r="BO1847" cm="1">
        <f t="array" ref="BO1847">IFERROR(INDEX(sheath_ecap_asd,MATCH(BS1847,sheath_mark,0),0)*BN1847,0)</f>
        <v>0</v>
      </c>
      <c r="BP1847" cm="1">
        <f t="array" ref="BP1847">IFERROR(INDEX(sheath_wcap_asd,MATCH(BS1847,sheath_mark,0),0)*BN1847,0)</f>
        <v>0</v>
      </c>
      <c r="BQ1847" cm="1">
        <f t="array" ref="BQ1847">IFERROR(INDEX(hd_cap,MATCH(BT1847,hd_mark,0),0),0)</f>
        <v>0</v>
      </c>
      <c r="BS1847" s="19"/>
      <c r="BT1847" s="19"/>
      <c r="BU1847" s="100"/>
    </row>
    <row r="1848" x14ac:dyDescent="0.25">
      <c r="B1848" t="s">
        <v>463</v>
      </c>
      <c r="C1848" s="19"/>
      <c r="D1848" s="19"/>
      <c r="E1848">
        <f t="shared" si="1149"/>
        <v>0</v>
      </c>
      <c r="H1848">
        <v>15</v>
      </c>
      <c r="I1848" s="19">
        <v>27</v>
      </c>
      <c r="J1848" s="19">
        <v>18</v>
      </c>
      <c r="K1848">
        <f t="shared" si="1150"/>
        <v>45</v>
      </c>
      <c r="P1848" s="93"/>
      <c r="Q1848" s="109"/>
      <c r="R1848" t="str">
        <f>$Q$1814</f>
        <v>L3</v>
      </c>
      <c r="S1848">
        <f>$E$22</f>
        <v>21.375</v>
      </c>
      <c r="T1848" cm="1">
        <f t="array" ref="T1848">IFERROR(IF(S1848=0,0,(INDEX($C$33:$C$38,MATCH($W$1823,$B$33:$B$38,0),0)*(S1851+$X$1823)+$T$1823*COUNTIF(S1848:S1850,"&gt;0")*$C$32+$V$1823*$C$31)*$R$1823),0)</f>
        <v>0</v>
      </c>
      <c r="U1848">
        <f>IF(S1848=0,0,-(COUNTIF(S1848:S1850,"&gt;0")*$T$1823*$C$32+$V$1823*$C$31)*$H$27*$R$1823)</f>
        <v>0</v>
      </c>
      <c r="V1848">
        <f>IF(S1848=0,0,$V$1823*$H$26*$R$1823)</f>
        <v>0</v>
      </c>
      <c r="W1848">
        <f>(0.6*T1848+0.7*U1848)*$R$1823/2</f>
        <v>0</v>
      </c>
      <c r="X1848">
        <f>T1848*$R$1823/2</f>
        <v>0</v>
      </c>
      <c r="Z1848">
        <f>IF(S1848=0,0,$AD$1823*$AP$1814)</f>
        <v>0</v>
      </c>
      <c r="AA1848">
        <f>IFERROR(Z1848/$R$1823,0)</f>
        <v>0</v>
      </c>
      <c r="AB1848">
        <f>Z1848*($F$22+IF($F$22=0,0,($C$14+$C$15+IF($C$13="single",1.5,3)+3)/12))</f>
        <v>0</v>
      </c>
      <c r="AC1848">
        <f>AB1848-W1848</f>
        <v>0</v>
      </c>
      <c r="AD1848" cm="1">
        <f t="array" ref="AD1848">IFERROR(IF(AC1848&lt;0,0,AC1848/($R$1823-INDEX(hd_off,MATCH(AQ1848,hd_mark,0),0)/12)),0)</f>
        <v>0</v>
      </c>
      <c r="AE1848">
        <f>IF(S1848=0,0,$AD$1823*$AM$1814)</f>
        <v>0</v>
      </c>
      <c r="AF1848">
        <f>IFERROR(AE1848/$R$1823,0)</f>
        <v>0</v>
      </c>
      <c r="AG1848">
        <f>AE1848*($F$22+IF($F$22=0,0,($C$14+$C$15+IF($C$13="single",1.5,3)+3)/12))</f>
        <v>0</v>
      </c>
      <c r="AH1848">
        <f>AG1848-X1848</f>
        <v>0</v>
      </c>
      <c r="AI1848" cm="1">
        <f t="array" ref="AI1848">IFERROR(IF(AH1848&lt;0,0,AH1848/($R$1823-INDEX(hd_off,MATCH(AQ1848,hd_mark,0),0)/12)),0)</f>
        <v>0</v>
      </c>
      <c r="AJ1848">
        <f>MAX($F$22,$Z$1823)/$Q$1844</f>
        <v>0.30172413793103448</v>
      </c>
      <c r="AK1848">
        <f t="shared" ref="AK1848:AK1851" si="1154">IF(AJ1848=0,0,IF(AJ1848&gt;2,1.25-0.125*AJ1848,1))</f>
        <v>1</v>
      </c>
      <c r="AL1848" cm="1">
        <f t="array" ref="AL1848">IFERROR(INDEX(sheath_ecap_asd,MATCH(AP1848,sheath_mark,0),0)*AK1848,0)</f>
        <v>0</v>
      </c>
      <c r="AM1848" cm="1">
        <f t="array" ref="AM1848">IFERROR(INDEX(sheath_wcap_asd,MATCH(AP1848,sheath_mark,0),0)*AK1848,0)</f>
        <v>0</v>
      </c>
      <c r="AN1848" cm="1">
        <f t="array" ref="AN1848">IFERROR(INDEX(hd_cap,MATCH(AQ1848,hd_mark,0),0),0)</f>
        <v>0</v>
      </c>
      <c r="AP1848" s="19"/>
      <c r="AQ1848" s="19"/>
      <c r="AR1848" s="100"/>
      <c r="AS1848" s="93"/>
      <c r="AT1848" s="109"/>
      <c r="AU1848" t="str">
        <f>$Q$1814</f>
        <v>L3</v>
      </c>
      <c r="AV1848">
        <f>$E$22</f>
        <v>21.375</v>
      </c>
      <c r="AW1848" cm="1">
        <f t="array" ref="AW1848">IFERROR(IF(AV1848=0,0,(INDEX($C$33:$C$38,MATCH($AZ$1823,$B$33:$B$38,0),0)*(AV1851+$BA$1823)+$AW$1823*COUNTIF(AV1848:AV1850,"&gt;0")*$C$32+$AY$1823*$C$31)*$AU$1823),0)</f>
        <v>0</v>
      </c>
      <c r="AX1848">
        <f>IF(AV1848=0,0,-(COUNTIF(AV1848:AV1850,"&gt;0")*$AW$1823*$C$32+$AY$1823*$C$31)*$H$27*$AU$1823)</f>
        <v>0</v>
      </c>
      <c r="AY1848">
        <f>IF(AV1848=0,0,$AY$1823*$H$26*$AU$1823)</f>
        <v>0</v>
      </c>
      <c r="AZ1848">
        <f>(0.6*AW1848+0.7*AX1848)*$AU$1823/2</f>
        <v>0</v>
      </c>
      <c r="BA1848">
        <f>AW1848*$AU$1823/2</f>
        <v>0</v>
      </c>
      <c r="BC1848">
        <f>IF(AV1848=0,0,$BG$1823*$AP$1814)</f>
        <v>0</v>
      </c>
      <c r="BD1848">
        <f>IFERROR(BC1848/$AU$1823,0)</f>
        <v>0</v>
      </c>
      <c r="BE1848">
        <f>BC1848*($F$22+IF($F$22=0,0,($C$14+$C$15+IF($C$13="single",1.5,3)+3)/12))</f>
        <v>0</v>
      </c>
      <c r="BF1848">
        <f>BE1848-AZ1848</f>
        <v>0</v>
      </c>
      <c r="BG1848" cm="1">
        <f t="array" ref="BG1848">IFERROR(IF(BF1848&lt;0,0,BF1848/($AU$1823-INDEX(hd_off,MATCH(BT1848,hd_mark,0),0)/12)),0)</f>
        <v>0</v>
      </c>
      <c r="BH1848">
        <f>IF(AV1848=0,0,$BG$1823*$AM$1814)</f>
        <v>0</v>
      </c>
      <c r="BI1848">
        <f>IFERROR(BH1848/$AU$1823,0)</f>
        <v>0</v>
      </c>
      <c r="BJ1848">
        <f>BH1848*($F$22+IF($F$22=0,0,($C$14+$C$15+IF($C$13="single",1.5,3)+3)/12))</f>
        <v>0</v>
      </c>
      <c r="BK1848">
        <f>BJ1848-BA1848</f>
        <v>0</v>
      </c>
      <c r="BL1848" cm="1">
        <f t="array" ref="BL1848">IFERROR(IF(BK1848&lt;0,0,BK1848/($AU$1823-INDEX(hd_off,MATCH(BT1848,hd_mark,0),0)/12)),0)</f>
        <v>0</v>
      </c>
      <c r="BM1848">
        <f>MAX($F$22,$BC$1823)/$Q$1844</f>
        <v>0.30172413793103448</v>
      </c>
      <c r="BN1848">
        <f t="shared" ref="BN1848:BN1851" si="1155">IF(BM1848=0,0,IF(BM1848&gt;2,1.25-0.125*BM1848,1))</f>
        <v>1</v>
      </c>
      <c r="BO1848" cm="1">
        <f t="array" ref="BO1848">IFERROR(INDEX(sheath_ecap_asd,MATCH(BS1848,sheath_mark,0),0)*BN1848,0)</f>
        <v>0</v>
      </c>
      <c r="BP1848" cm="1">
        <f t="array" ref="BP1848">IFERROR(INDEX(sheath_wcap_asd,MATCH(BS1848,sheath_mark,0),0)*BN1848,0)</f>
        <v>0</v>
      </c>
      <c r="BQ1848" cm="1">
        <f t="array" ref="BQ1848">IFERROR(INDEX(hd_cap,MATCH(BT1848,hd_mark,0),0),0)</f>
        <v>0</v>
      </c>
      <c r="BS1848" s="19"/>
      <c r="BT1848" s="19"/>
      <c r="BU1848" s="100"/>
    </row>
    <row r="1849" x14ac:dyDescent="0.25">
      <c r="B1849" t="s">
        <v>464</v>
      </c>
      <c r="C1849" s="19"/>
      <c r="D1849" s="19"/>
      <c r="E1849">
        <f t="shared" si="1149"/>
        <v>0</v>
      </c>
      <c r="H1849">
        <v>16</v>
      </c>
      <c r="I1849" s="19"/>
      <c r="J1849" s="19"/>
      <c r="K1849">
        <f t="shared" si="1150"/>
        <v>0</v>
      </c>
      <c r="P1849" s="93"/>
      <c r="Q1849" s="109" t="s">
        <v>491</v>
      </c>
      <c r="R1849" t="str">
        <f>$Q$1815</f>
        <v>L4</v>
      </c>
      <c r="S1849">
        <f>$E$23</f>
        <v>0</v>
      </c>
      <c r="T1849" cm="1">
        <f t="array" ref="T1849">IFERROR(IF(S1849=0,0,(INDEX($C$33:$C$38,MATCH($W$1823,$B$33:$B$38,0),0)*(S1851+$X$1823)+$T$1823*COUNTIF(S1849:S1850,"&gt;0")*$C$32+$V$1823*$C$31)*$R$1823),0)</f>
        <v>0</v>
      </c>
      <c r="U1849">
        <f>IF(S1849=0,0,-(COUNTIF(S1849:S1850,"&gt;0")*$T$1823*$C$32+$V$1823*$C$31)*$H$27*$R$1823)</f>
        <v>0</v>
      </c>
      <c r="V1849">
        <f>IF(S1849=0,0,$V$1823*$H$26*$R$1823)</f>
        <v>0</v>
      </c>
      <c r="W1849">
        <f>(0.6*T1849+0.7*U1849)*$R$1823/2</f>
        <v>0</v>
      </c>
      <c r="X1849">
        <f>T1849*$R$1823/2</f>
        <v>0</v>
      </c>
      <c r="Z1849">
        <f>IF(S1849=0,0,$AD$1823*$AP$1815)</f>
        <v>0</v>
      </c>
      <c r="AA1849">
        <f>IFERROR(Z1849/$R$1823,0)</f>
        <v>0</v>
      </c>
      <c r="AB1849">
        <f>Z1849*($F$23+IF($F$23=0,0,($C$14+$C$15+IF($C$13="single",1.5,3)+3)/12))</f>
        <v>0</v>
      </c>
      <c r="AC1849">
        <f>AB1849-W1849</f>
        <v>0</v>
      </c>
      <c r="AD1849" cm="1">
        <f t="array" ref="AD1849">IFERROR(IF(AC1849&lt;0,0,AC1849/($R$1823-INDEX(hd_off,MATCH(AQ1849,hd_mark,0),0)/12)),0)</f>
        <v>0</v>
      </c>
      <c r="AE1849">
        <f>IF(S1849=0,0,$AD$1823*$AM$1815)</f>
        <v>0</v>
      </c>
      <c r="AF1849">
        <f>IFERROR(AE1849/$R$1823,0)</f>
        <v>0</v>
      </c>
      <c r="AG1849">
        <f>AE1849*($F$23+IF($F$23=0,0,($C$14+$C$15+IF($C$13="single",1.5,3)+3)/12))</f>
        <v>0</v>
      </c>
      <c r="AH1849">
        <f>AG1849-X1849</f>
        <v>0</v>
      </c>
      <c r="AI1849" cm="1">
        <f t="array" ref="AI1849">IFERROR(IF(AH1849&lt;0,0,AH1849/($R$1823-INDEX(hd_off,MATCH(AQ1849,hd_mark,0),0)/12)),0)</f>
        <v>0</v>
      </c>
      <c r="AJ1849">
        <f>MAX($F$23,$AA$1823)/$Q$1844</f>
        <v>0</v>
      </c>
      <c r="AK1849">
        <f t="shared" si="1154"/>
        <v>0</v>
      </c>
      <c r="AL1849" cm="1">
        <f t="array" ref="AL1849">IFERROR(INDEX(sheath_ecap_asd,MATCH(AP1849,sheath_mark,0),0)*AK1849,0)</f>
        <v>0</v>
      </c>
      <c r="AM1849" cm="1">
        <f t="array" ref="AM1849">IFERROR(INDEX(sheath_wcap_asd,MATCH(AP1849,sheath_mark,0),0)*AK1849,0)</f>
        <v>0</v>
      </c>
      <c r="AN1849" cm="1">
        <f t="array" ref="AN1849">IFERROR(INDEX(hd_cap,MATCH(AQ1849,hd_mark,0),0),0)</f>
        <v>0</v>
      </c>
      <c r="AP1849" s="19"/>
      <c r="AQ1849" s="19"/>
      <c r="AR1849" s="100"/>
      <c r="AS1849" s="93"/>
      <c r="AT1849" s="109" t="s">
        <v>491</v>
      </c>
      <c r="AU1849" t="str">
        <f>$Q$1815</f>
        <v>L4</v>
      </c>
      <c r="AV1849">
        <f>$E$23</f>
        <v>0</v>
      </c>
      <c r="AW1849" cm="1">
        <f t="array" ref="AW1849">IFERROR(IF(AV1849=0,0,(INDEX($C$33:$C$38,MATCH($AZ$1823,$B$33:$B$38,0),0)*(AV1851+$BA$1823)+$AW$1823*COUNTIF(AV1849:AV1850,"&gt;0")*$C$32+$AY$1823*$C$31)*$AU$1823),0)</f>
        <v>0</v>
      </c>
      <c r="AX1849">
        <f>IF(AV1849=0,0,-(COUNTIF(AV1849:AV1850,"&gt;0")*$AW$1823*$C$32+$AY$1823*$C$31)*$H$27*$AU$1823)</f>
        <v>0</v>
      </c>
      <c r="AY1849">
        <f>IF(AV1849=0,0,$AY$1823*$H$26*$AU$1823)</f>
        <v>0</v>
      </c>
      <c r="AZ1849">
        <f>(0.6*AW1849+0.7*AX1849)*$AU$1823/2</f>
        <v>0</v>
      </c>
      <c r="BA1849">
        <f>AW1849*$AU$1823/2</f>
        <v>0</v>
      </c>
      <c r="BC1849">
        <f>IF(AV1849=0,0,$BG$1823*$AP$1815)</f>
        <v>0</v>
      </c>
      <c r="BD1849">
        <f>IFERROR(BC1849/$AU$1823,0)</f>
        <v>0</v>
      </c>
      <c r="BE1849">
        <f>BC1849*($F$23+IF($F$23=0,0,($C$14+$C$15+IF($C$13="single",1.5,3)+3)/12))</f>
        <v>0</v>
      </c>
      <c r="BF1849">
        <f>BE1849-AZ1849</f>
        <v>0</v>
      </c>
      <c r="BG1849" cm="1">
        <f t="array" ref="BG1849">IFERROR(IF(BF1849&lt;0,0,BF1849/($AU$1823-INDEX(hd_off,MATCH(BT1849,hd_mark,0),0)/12)),0)</f>
        <v>0</v>
      </c>
      <c r="BH1849">
        <f>IF(AV1849=0,0,$BG$1823*$AM$1815)</f>
        <v>0</v>
      </c>
      <c r="BI1849">
        <f>IFERROR(BH1849/$AU$1823,0)</f>
        <v>0</v>
      </c>
      <c r="BJ1849">
        <f>BH1849*($F$23+IF($F$23=0,0,($C$14+$C$15+IF($C$13="single",1.5,3)+3)/12))</f>
        <v>0</v>
      </c>
      <c r="BK1849">
        <f>BJ1849-BA1849</f>
        <v>0</v>
      </c>
      <c r="BL1849" cm="1">
        <f t="array" ref="BL1849">IFERROR(IF(BK1849&lt;0,0,BK1849/($AU$1823-INDEX(hd_off,MATCH(BT1849,hd_mark,0),0)/12)),0)</f>
        <v>0</v>
      </c>
      <c r="BM1849">
        <f>MAX($F$23,$BD$1823)/$Q$1844</f>
        <v>0</v>
      </c>
      <c r="BN1849">
        <f t="shared" si="1155"/>
        <v>0</v>
      </c>
      <c r="BO1849" cm="1">
        <f t="array" ref="BO1849">IFERROR(INDEX(sheath_ecap_asd,MATCH(BS1849,sheath_mark,0),0)*BN1849,0)</f>
        <v>0</v>
      </c>
      <c r="BP1849" cm="1">
        <f t="array" ref="BP1849">IFERROR(INDEX(sheath_wcap_asd,MATCH(BS1849,sheath_mark,0),0)*BN1849,0)</f>
        <v>0</v>
      </c>
      <c r="BQ1849" cm="1">
        <f t="array" ref="BQ1849">IFERROR(INDEX(hd_cap,MATCH(BT1849,hd_mark,0),0),0)</f>
        <v>0</v>
      </c>
      <c r="BS1849" s="19"/>
      <c r="BT1849" s="19"/>
      <c r="BU1849" s="100"/>
    </row>
    <row r="1850" x14ac:dyDescent="0.25">
      <c r="B1850" t="s">
        <v>465</v>
      </c>
      <c r="C1850" s="19"/>
      <c r="D1850" s="19"/>
      <c r="E1850">
        <f t="shared" si="1149"/>
        <v>0</v>
      </c>
      <c r="H1850">
        <v>17</v>
      </c>
      <c r="I1850" s="19"/>
      <c r="J1850" s="19"/>
      <c r="K1850">
        <f t="shared" si="1150"/>
        <v>0</v>
      </c>
      <c r="P1850" s="93"/>
      <c r="Q1850" s="111">
        <f>$R$1823</f>
        <v>0</v>
      </c>
      <c r="R1850" t="str">
        <f>$Q$1816</f>
        <v>L5</v>
      </c>
      <c r="S1850">
        <f>$E$24</f>
        <v>0</v>
      </c>
      <c r="T1850" cm="1">
        <f t="array" ref="T1850">IFERROR(IF(S1850=0,0,(INDEX($C$33:$C$38,MATCH($W$1823,$B$33:$B$38,0),0)*(S1851+$X$1823)+$T$1823*COUNTIF(S1850:S1850,"&gt;0")*$C$32+$V$1823*$C$31)*$R$1823),0)</f>
        <v>0</v>
      </c>
      <c r="U1850">
        <f>IF(S1850=0,0,-(COUNTIF(S1850:S1850,"&gt;0")*$T$1823*$C$32+$V$1823*$C$31)*$H$27*$R$1823)</f>
        <v>0</v>
      </c>
      <c r="V1850">
        <f>IF(S1850=0,0,$V$1823*$H$26*$R$1823)</f>
        <v>0</v>
      </c>
      <c r="W1850">
        <f>(0.6*T1850+0.7*U1850)*$R$1823/2</f>
        <v>0</v>
      </c>
      <c r="X1850">
        <f>T1850*$R$1823/2</f>
        <v>0</v>
      </c>
      <c r="Z1850">
        <f>IF(S1850=0,0,$AD$1823*$AP$1816)</f>
        <v>0</v>
      </c>
      <c r="AA1850">
        <f>IFERROR(Z1850/$R$1823,0)</f>
        <v>0</v>
      </c>
      <c r="AB1850">
        <f>Z1850*($F$24+IF($F$24=0,0,($C$14+$C$15+IF($C$13="single",1.5,3)+3)/12))</f>
        <v>0</v>
      </c>
      <c r="AC1850">
        <f>AB1850-W1850</f>
        <v>0</v>
      </c>
      <c r="AD1850" cm="1">
        <f t="array" ref="AD1850">IFERROR(IF(AC1850&lt;0,0,AC1850/($R$1823-INDEX(hd_off,MATCH(AQ1850,hd_mark,0),0)/12)),0)</f>
        <v>0</v>
      </c>
      <c r="AE1850">
        <f>IF(S1850=0,0,$AD$1823*$AM$1816)</f>
        <v>0</v>
      </c>
      <c r="AF1850">
        <f>IFERROR(AE1850/$R$1823,0)</f>
        <v>0</v>
      </c>
      <c r="AG1850">
        <f>AE1850*($F$24+IF($F$24=0,0,($C$14+$C$15+IF($C$13="single",1.5,3)+3)/12))</f>
        <v>0</v>
      </c>
      <c r="AH1850">
        <f>AG1850-X1850</f>
        <v>0</v>
      </c>
      <c r="AI1850" cm="1">
        <f t="array" ref="AI1850">IFERROR(IF(AH1850&lt;0,0,AH1850/($R$1823-INDEX(hd_off,MATCH(AQ1850,hd_mark,0),0)/12)),0)</f>
        <v>0</v>
      </c>
      <c r="AJ1850">
        <f>MAX($F$24,$AB$1823)/$Q$1844</f>
        <v>0</v>
      </c>
      <c r="AK1850">
        <f t="shared" si="1154"/>
        <v>0</v>
      </c>
      <c r="AL1850" cm="1">
        <f t="array" ref="AL1850">IFERROR(INDEX(sheath_ecap_asd,MATCH(AP1850,sheath_mark,0),0)*AK1850,0)</f>
        <v>0</v>
      </c>
      <c r="AM1850" cm="1">
        <f t="array" ref="AM1850">IFERROR(INDEX(sheath_wcap_asd,MATCH(AP1850,sheath_mark,0),0)*AK1850,0)</f>
        <v>0</v>
      </c>
      <c r="AN1850" cm="1">
        <f t="array" ref="AN1850">IFERROR(INDEX(hd_cap,MATCH(AQ1850,hd_mark,0),0),0)</f>
        <v>0</v>
      </c>
      <c r="AP1850" s="19"/>
      <c r="AQ1850" s="19"/>
      <c r="AR1850" s="100"/>
      <c r="AS1850" s="93"/>
      <c r="AT1850" s="111">
        <f>$R$1823</f>
        <v>0</v>
      </c>
      <c r="AU1850" t="str">
        <f>$Q$1816</f>
        <v>L5</v>
      </c>
      <c r="AV1850">
        <f>$E$24</f>
        <v>0</v>
      </c>
      <c r="AW1850" cm="1">
        <f t="array" ref="AW1850">IFERROR(IF(AV1850=0,0,(INDEX($C$33:$C$38,MATCH($AZ$1823,$B$33:$B$38,0),0)*(AV1851+$BA$1823)+$AW$1823*COUNTIF(AV1850:AV1850,"&gt;0")*$C$32+$AY$1823*$C$31)*$AU$1823),0)</f>
        <v>0</v>
      </c>
      <c r="AX1850">
        <f>IF(AV1850=0,0,-(COUNTIF(AV1850:AV1850,"&gt;0")*$AW$1823*$C$32+$AY$1823*$C$31)*$H$27*$AU$1823)</f>
        <v>0</v>
      </c>
      <c r="AY1850">
        <f>IF(AV1850=0,0,$AY$1823*$H$26*$AU$1823)</f>
        <v>0</v>
      </c>
      <c r="AZ1850">
        <f>(0.6*AW1850+0.7*AX1850)*$AU$1823/2</f>
        <v>0</v>
      </c>
      <c r="BA1850">
        <f>AW1850*$AU$1823/2</f>
        <v>0</v>
      </c>
      <c r="BC1850">
        <f>IF(AV1850=0,0,$BG$1823*$AP$1816)</f>
        <v>0</v>
      </c>
      <c r="BD1850">
        <f>IFERROR(BC1850/$AU$1823,0)</f>
        <v>0</v>
      </c>
      <c r="BE1850">
        <f>BC1850*($F$24+IF($F$24=0,0,($C$14+$C$15+IF($C$13="single",1.5,3)+3)/12))</f>
        <v>0</v>
      </c>
      <c r="BF1850">
        <f>BE1850-AZ1850</f>
        <v>0</v>
      </c>
      <c r="BG1850" cm="1">
        <f t="array" ref="BG1850">IFERROR(IF(BF1850&lt;0,0,BF1850/($AU$1823-INDEX(hd_off,MATCH(BT1850,hd_mark,0),0)/12)),0)</f>
        <v>0</v>
      </c>
      <c r="BH1850">
        <f>IF(AV1850=0,0,$BG$1823*$AM$1816)</f>
        <v>0</v>
      </c>
      <c r="BI1850">
        <f>IFERROR(BH1850/$AU$1823,0)</f>
        <v>0</v>
      </c>
      <c r="BJ1850">
        <f>BH1850*($F$24+IF($F$24=0,0,($C$14+$C$15+IF($C$13="single",1.5,3)+3)/12))</f>
        <v>0</v>
      </c>
      <c r="BK1850">
        <f>BJ1850-BA1850</f>
        <v>0</v>
      </c>
      <c r="BL1850" cm="1">
        <f t="array" ref="BL1850">IFERROR(IF(BK1850&lt;0,0,BK1850/($AU$1823-INDEX(hd_off,MATCH(BT1850,hd_mark,0),0)/12)),0)</f>
        <v>0</v>
      </c>
      <c r="BM1850">
        <f>MAX($F$24,$BE$1823)/$Q$1844</f>
        <v>0</v>
      </c>
      <c r="BN1850">
        <f t="shared" si="1155"/>
        <v>0</v>
      </c>
      <c r="BO1850" cm="1">
        <f t="array" ref="BO1850">IFERROR(INDEX(sheath_ecap_asd,MATCH(BS1850,sheath_mark,0),0)*BN1850,0)</f>
        <v>0</v>
      </c>
      <c r="BP1850" cm="1">
        <f t="array" ref="BP1850">IFERROR(INDEX(sheath_wcap_asd,MATCH(BS1850,sheath_mark,0),0)*BN1850,0)</f>
        <v>0</v>
      </c>
      <c r="BQ1850" cm="1">
        <f t="array" ref="BQ1850">IFERROR(INDEX(hd_cap,MATCH(BT1850,hd_mark,0),0),0)</f>
        <v>0</v>
      </c>
      <c r="BS1850" s="19"/>
      <c r="BT1850" s="19"/>
      <c r="BU1850" s="100"/>
    </row>
    <row r="1851" x14ac:dyDescent="0.25">
      <c r="B1851" t="s">
        <v>466</v>
      </c>
      <c r="C1851" s="19"/>
      <c r="D1851" s="19"/>
      <c r="E1851">
        <f t="shared" si="1149"/>
        <v>0</v>
      </c>
      <c r="H1851">
        <v>18</v>
      </c>
      <c r="I1851" s="19"/>
      <c r="J1851" s="19"/>
      <c r="K1851">
        <f t="shared" si="1150"/>
        <v>0</v>
      </c>
      <c r="P1851" s="93"/>
      <c r="Q1851" s="109"/>
      <c r="R1851" t="str">
        <f>$Q$1817</f>
        <v>Roof</v>
      </c>
      <c r="S1851">
        <f>$E$25</f>
        <v>33.171875</v>
      </c>
      <c r="T1851" cm="1">
        <f t="array" ref="T1851">IFERROR(IF(S1851=0,0,(INDEX($C$33:$C$38,MATCH($W$1823,$B$33:$B$38,0),0)*(S1851+$X$1823)+$V$1823*$C$31)*$R$1823),0)</f>
        <v>0</v>
      </c>
      <c r="U1851">
        <f>IF(S1851=0,0,-$V$1823*$C$31*$H$27*$R$1823)</f>
        <v>0</v>
      </c>
      <c r="V1851">
        <f>IF(S1851=0,0,$V$1823*$H$26*$R$1823)</f>
        <v>0</v>
      </c>
      <c r="W1851">
        <f>(0.6*T1851+0.7*U1851)*$R$1823/2</f>
        <v>0</v>
      </c>
      <c r="X1851">
        <f>T1851*$R$1823/2</f>
        <v>0</v>
      </c>
      <c r="Z1851">
        <f>IF(S1851=0,0,$AD$1823*$AP$1817)</f>
        <v>0</v>
      </c>
      <c r="AA1851">
        <f>IFERROR(Z1851/$R$1823,0)</f>
        <v>0</v>
      </c>
      <c r="AB1851">
        <f>Z1851*($F$25+($C$16+$C$17+IF($C$13="single",1.5,3)+3)/12)</f>
        <v>0</v>
      </c>
      <c r="AC1851">
        <f>AB1851-W1851</f>
        <v>0</v>
      </c>
      <c r="AD1851" cm="1">
        <f t="array" ref="AD1851">IFERROR(IF(AC1851&lt;0,0,AC1851/($R$1823-INDEX(hd_off,MATCH(AQ1851,hd_mark,0),0)/12)),0)</f>
        <v>0</v>
      </c>
      <c r="AE1851">
        <f>IF(S1851=0,0,$AD$1823*$AM$1817)</f>
        <v>0</v>
      </c>
      <c r="AF1851">
        <f>IFERROR(AE1851/$R$1823,0)</f>
        <v>0</v>
      </c>
      <c r="AG1851">
        <f>AE1851*($F$25+($C$16+$C$17+IF($C$13="single",1.5,3)+3)/12)</f>
        <v>0</v>
      </c>
      <c r="AH1851">
        <f>AG1851-X1851</f>
        <v>0</v>
      </c>
      <c r="AI1851" cm="1">
        <f t="array" ref="AI1851">IFERROR(IF(AH1851&lt;0,0,AH1851/($R$1823-INDEX(hd_off,MATCH(AQ1851,hd_mark,0),0)/12)),0)</f>
        <v>0</v>
      </c>
      <c r="AJ1851">
        <f>MAX($F$25,$AC$1823)/$Q$1844</f>
        <v>0.29920977011494249</v>
      </c>
      <c r="AK1851">
        <f t="shared" si="1154"/>
        <v>1</v>
      </c>
      <c r="AL1851" cm="1">
        <f t="array" ref="AL1851">IFERROR(INDEX(sheath_ecap_asd,MATCH(AP1851,sheath_mark,0),0)*AK1851,0)</f>
        <v>0</v>
      </c>
      <c r="AM1851" cm="1">
        <f t="array" ref="AM1851">IFERROR(INDEX(sheath_wcap_asd,MATCH(AP1851,sheath_mark,0),0)*AK1851,0)</f>
        <v>0</v>
      </c>
      <c r="AN1851" cm="1">
        <f t="array" ref="AN1851">IFERROR(INDEX(hd_cap,MATCH(AQ1851,hd_mark,0),0),0)</f>
        <v>0</v>
      </c>
      <c r="AP1851" s="19"/>
      <c r="AQ1851" s="19"/>
      <c r="AR1851" s="100"/>
      <c r="AS1851" s="93"/>
      <c r="AT1851" s="109"/>
      <c r="AU1851" t="str">
        <f>$Q$1817</f>
        <v>Roof</v>
      </c>
      <c r="AV1851">
        <f>$E$25</f>
        <v>33.171875</v>
      </c>
      <c r="AW1851" cm="1">
        <f t="array" ref="AW1851">IFERROR(IF(AV1851=0,0,(INDEX($C$33:$C$38,MATCH($AZ$1823,$B$33:$B$38,0),0)*(AV1851+$BA$1823)+$AY$1823*$C$31)*$AU$1823),0)</f>
        <v>0</v>
      </c>
      <c r="AX1851">
        <f>IF(AV1851=0,0,-$AY$1823*$C$31*$H$27*$AU$1823)</f>
        <v>0</v>
      </c>
      <c r="AY1851">
        <f>IF(AV1851=0,0,$AY$1823*$H$26*$AU$1823)</f>
        <v>0</v>
      </c>
      <c r="AZ1851">
        <f>(0.6*AW1851+0.7*AX1851)*$AU$1823/2</f>
        <v>0</v>
      </c>
      <c r="BA1851">
        <f>AW1851*$AU$1823/2</f>
        <v>0</v>
      </c>
      <c r="BC1851">
        <f>IF(AV1851=0,0,$BG$1823*$AP$1817)</f>
        <v>0</v>
      </c>
      <c r="BD1851">
        <f>IFERROR(BC1851/$AU$1823,0)</f>
        <v>0</v>
      </c>
      <c r="BE1851">
        <f>BC1851*($F$25+($C$16+$C$17+IF($C$13="single",1.5,3)+3)/12)</f>
        <v>0</v>
      </c>
      <c r="BF1851">
        <f>BE1851-AZ1851</f>
        <v>0</v>
      </c>
      <c r="BG1851" cm="1">
        <f t="array" ref="BG1851">IFERROR(IF(BF1851&lt;0,0,BF1851/($AU$1823-INDEX(hd_off,MATCH(BT1851,hd_mark,0),0)/12)),0)</f>
        <v>0</v>
      </c>
      <c r="BH1851">
        <f>IF(AV1851=0,0,$BG$1823*$AM$1817)</f>
        <v>0</v>
      </c>
      <c r="BI1851">
        <f>IFERROR(BH1851/$AU$1823,0)</f>
        <v>0</v>
      </c>
      <c r="BJ1851">
        <f>BH1851*($F$25+($C$16+$C$17+IF($C$13="single",1.5,3)+3)/12)</f>
        <v>0</v>
      </c>
      <c r="BK1851">
        <f>BJ1851-BA1851</f>
        <v>0</v>
      </c>
      <c r="BL1851" cm="1">
        <f t="array" ref="BL1851">IFERROR(IF(BK1851&lt;0,0,BK1851/($AU$1823-INDEX(hd_off,MATCH(BT1851,hd_mark,0),0)/12)),0)</f>
        <v>0</v>
      </c>
      <c r="BM1851">
        <f>MAX($F$25,$BF$1823)/$Q$1844</f>
        <v>0.29920977011494249</v>
      </c>
      <c r="BN1851">
        <f t="shared" si="1155"/>
        <v>1</v>
      </c>
      <c r="BO1851" cm="1">
        <f t="array" ref="BO1851">IFERROR(INDEX(sheath_ecap_asd,MATCH(BS1851,sheath_mark,0),0)*BN1851,0)</f>
        <v>0</v>
      </c>
      <c r="BP1851" cm="1">
        <f t="array" ref="BP1851">IFERROR(INDEX(sheath_wcap_asd,MATCH(BS1851,sheath_mark,0),0)*BN1851,0)</f>
        <v>0</v>
      </c>
      <c r="BQ1851" cm="1">
        <f t="array" ref="BQ1851">IFERROR(INDEX(hd_cap,MATCH(BT1851,hd_mark,0),0),0)</f>
        <v>0</v>
      </c>
      <c r="BS1851" s="19"/>
      <c r="BT1851" s="19"/>
      <c r="BU1851" s="100"/>
    </row>
    <row r="1852" x14ac:dyDescent="0.25">
      <c r="B1852" t="s">
        <v>467</v>
      </c>
      <c r="C1852" s="19"/>
      <c r="D1852" s="19"/>
      <c r="E1852">
        <f t="shared" si="1149"/>
        <v>0</v>
      </c>
      <c r="H1852">
        <v>19</v>
      </c>
      <c r="I1852" s="19"/>
      <c r="J1852" s="19"/>
      <c r="K1852">
        <f t="shared" si="1150"/>
        <v>0</v>
      </c>
      <c r="P1852" s="93"/>
      <c r="AR1852" s="100"/>
      <c r="AS1852" s="93"/>
      <c r="BU1852" s="100"/>
    </row>
    <row r="1853" x14ac:dyDescent="0.25">
      <c r="B1853" t="s">
        <v>468</v>
      </c>
      <c r="C1853" s="19"/>
      <c r="D1853" s="19"/>
      <c r="E1853">
        <f t="shared" si="1149"/>
        <v>0</v>
      </c>
      <c r="H1853">
        <v>20</v>
      </c>
      <c r="I1853" s="19"/>
      <c r="J1853" s="19"/>
      <c r="K1853">
        <f t="shared" si="1150"/>
        <v>0</v>
      </c>
      <c r="P1853" s="93"/>
      <c r="Q1853" s="110" t="str">
        <f>$Q$1824</f>
        <v>A.03</v>
      </c>
      <c r="R1853" t="str">
        <f>$Q$1813</f>
        <v>L2</v>
      </c>
      <c r="S1853">
        <f>$E$21</f>
        <v>10.6875</v>
      </c>
      <c r="T1853" cm="1">
        <f t="array" ref="T1853">IFERROR(IF(S1853=0,0,(INDEX($C$33:$C$38,MATCH($W$1824,$B$33:$B$38,0),0)*(S1857+$X$1824)+$T$1824*COUNTIF(S1853:S1856,"&gt;0")*$C$32+$V$1824*$C$31)*$R$1824),0)</f>
        <v>0</v>
      </c>
      <c r="U1853">
        <f>IF(S1853=0,0,-(COUNTIF(S1853:S1856,"&gt;0")*$T$1824*$C$32+$V$1824*$C$31)*$H$27*$R$1824)</f>
        <v>0</v>
      </c>
      <c r="V1853">
        <f>IF(S1853=0,0,$V$1824*$H$26*$R$1824)</f>
        <v>0</v>
      </c>
      <c r="W1853">
        <f>(0.6*T1853+0.7*U1853)*$R$1824/2</f>
        <v>0</v>
      </c>
      <c r="X1853">
        <f>(0.6*T1853+0.6*V1853)*$R$1824/2</f>
        <v>0</v>
      </c>
      <c r="Z1853">
        <f>IF(S1853=0,0,$AD$1824*$AP$1813)</f>
        <v>0</v>
      </c>
      <c r="AA1853">
        <f>IFERROR(Z1853/$R$1824,0)</f>
        <v>0</v>
      </c>
      <c r="AB1853">
        <f>Z1853*($F$21+IF($F$21=0,0,($C$14+$C$15+IF($C$13="single",1.5,3)+3)/12))</f>
        <v>0</v>
      </c>
      <c r="AC1853">
        <f>AB1853-W1853</f>
        <v>0</v>
      </c>
      <c r="AD1853" cm="1">
        <f t="array" ref="AD1853">IFERROR(IF(AC1853&lt;0,0,AC1853/($R$1824-INDEX(hd_off,MATCH(AQ1853,hd_mark,0),0)/12)),0)</f>
        <v>0</v>
      </c>
      <c r="AE1853">
        <f>IF(S1853=0,0,$AD$1824*$AM$1813)</f>
        <v>0</v>
      </c>
      <c r="AF1853">
        <f>IFERROR(AE1853/$R$1824,0)</f>
        <v>0</v>
      </c>
      <c r="AG1853">
        <f>AE1853*($F$21+IF($F$21=0,0,($C$14+$C$15+IF($C$13="single",1.5,3)+3)/12))</f>
        <v>0</v>
      </c>
      <c r="AH1853">
        <f>AG1853-X1853</f>
        <v>0</v>
      </c>
      <c r="AI1853" cm="1">
        <f t="array" ref="AI1853">IFERROR(IF(AH1853&lt;0,0,AH1853/($R$1824-INDEX(hd_off,MATCH(AQ1853,hd_mark,0),0)/12)),0)</f>
        <v>0</v>
      </c>
      <c r="AJ1853">
        <f>MAX($F$21,$Y$1824)/$Q$1844</f>
        <v>0.30172413793103448</v>
      </c>
      <c r="AK1853">
        <f>IF(AJ1853=0,0,IF(AJ1853&gt;2,1.25-0.125*AJ1853,1))</f>
        <v>1</v>
      </c>
      <c r="AL1853" cm="1">
        <f t="array" ref="AL1853">IFERROR(INDEX(sheath_ecap_asd,MATCH(AP1853,sheath_mark,0),0)*AK1853,0)</f>
        <v>0</v>
      </c>
      <c r="AM1853" cm="1">
        <f t="array" ref="AM1853">IFERROR(INDEX(sheath_wcap_asd,MATCH(AP1853,sheath_mark,0),0)*AK1853,0)</f>
        <v>0</v>
      </c>
      <c r="AN1853" cm="1">
        <f t="array" ref="AN1853">IFERROR(INDEX(hd_cap,MATCH(AQ1853,hd_mark,0),0),0)</f>
        <v>0</v>
      </c>
      <c r="AP1853" s="19"/>
      <c r="AQ1853" s="19"/>
      <c r="AR1853" s="100"/>
      <c r="AS1853" s="93"/>
      <c r="AT1853" s="110" t="str">
        <f>$AT$1824</f>
        <v>1.03</v>
      </c>
      <c r="AU1853" t="str">
        <f>$Q$1813</f>
        <v>L2</v>
      </c>
      <c r="AV1853">
        <f>$E$21</f>
        <v>10.6875</v>
      </c>
      <c r="AW1853" cm="1">
        <f t="array" ref="AW1853">IFERROR(IF(AV1853=0,0,(INDEX($C$33:$C$38,MATCH($AZ$1824,$B$33:$B$38,0),0)*(AV1857+$BA$1824)+$AW$1824*COUNTIF(AV1853:AV1856,"&gt;0")*$C$32+$AY$1824*$C$31)*$AU$1824),0)</f>
        <v>0</v>
      </c>
      <c r="AX1853">
        <f>IF(AV1853=0,0,-(COUNTIF(AV1853:AV1856,"&gt;0")*$AW$1824*$C$32+$AY$1824*$C$31)*$H$27*$AU$1824)</f>
        <v>0</v>
      </c>
      <c r="AY1853">
        <f>IF(AV1853=0,0,$AY$1824*$H$26*$AU$1824)</f>
        <v>0</v>
      </c>
      <c r="AZ1853">
        <f>(0.6*AW1853+0.7*AX1853)*$AU$1824/2</f>
        <v>0</v>
      </c>
      <c r="BA1853">
        <f>(0.6*AW1853+0.6*AY1853)*$AU$1824/2</f>
        <v>0</v>
      </c>
      <c r="BC1853">
        <f>IF(AV1853=0,0,$BG$1824*$AP$1813)</f>
        <v>0</v>
      </c>
      <c r="BD1853">
        <f>IFERROR(BC1853/$AU$1824,0)</f>
        <v>0</v>
      </c>
      <c r="BE1853">
        <f>BC1853*($F$21+IF($F$21=0,0,($C$14+$C$15+IF($C$13="single",1.5,3)+3)/12))</f>
        <v>0</v>
      </c>
      <c r="BF1853">
        <f>BE1853-AZ1853</f>
        <v>0</v>
      </c>
      <c r="BG1853" cm="1">
        <f t="array" ref="BG1853">IFERROR(IF(BF1853&lt;0,0,BF1853/($AU$1824-INDEX(hd_off,MATCH(BT1853,hd_mark,0),0)/12)),0)</f>
        <v>0</v>
      </c>
      <c r="BH1853">
        <f>IF(AV1853=0,0,$BG$1824*$AM$1813)</f>
        <v>0</v>
      </c>
      <c r="BI1853">
        <f>IFERROR(BH1853/$AU$1824,0)</f>
        <v>0</v>
      </c>
      <c r="BJ1853">
        <f>BH1853*($F$21+IF($F$21=0,0,($C$14+$C$15+IF($C$13="single",1.5,3)+3)/12))</f>
        <v>0</v>
      </c>
      <c r="BK1853">
        <f>BJ1853-BA1853</f>
        <v>0</v>
      </c>
      <c r="BL1853" cm="1">
        <f t="array" ref="BL1853">IFERROR(IF(BK1853&lt;0,0,BK1853/($AU$1824-INDEX(hd_off,MATCH(BT1853,hd_mark,0),0)/12)),0)</f>
        <v>0</v>
      </c>
      <c r="BM1853">
        <f>MAX($F$21,$BB$1824)/$Q$1844</f>
        <v>0.30172413793103448</v>
      </c>
      <c r="BN1853">
        <f>IF(BM1853=0,0,IF(BM1853&gt;2,1.25-0.125*BM1853,1))</f>
        <v>1</v>
      </c>
      <c r="BO1853" cm="1">
        <f t="array" ref="BO1853">IFERROR(INDEX(sheath_ecap_asd,MATCH(BS1853,sheath_mark,0),0)*BN1853,0)</f>
        <v>0</v>
      </c>
      <c r="BP1853" cm="1">
        <f t="array" ref="BP1853">IFERROR(INDEX(sheath_wcap_asd,MATCH(BS1853,sheath_mark,0),0)*BN1853,0)</f>
        <v>0</v>
      </c>
      <c r="BQ1853" cm="1">
        <f t="array" ref="BQ1853">IFERROR(INDEX(hd_cap,MATCH(BT1853,hd_mark,0),0),0)</f>
        <v>0</v>
      </c>
      <c r="BS1853" s="19"/>
      <c r="BT1853" s="19"/>
      <c r="BU1853" s="100"/>
    </row>
    <row r="1854" x14ac:dyDescent="0.25">
      <c r="B1854" t="s">
        <v>469</v>
      </c>
      <c r="C1854" s="19"/>
      <c r="D1854" s="19"/>
      <c r="E1854">
        <f t="shared" si="1149"/>
        <v>0</v>
      </c>
      <c r="H1854">
        <v>21</v>
      </c>
      <c r="I1854" s="19"/>
      <c r="J1854" s="19"/>
      <c r="K1854">
        <f t="shared" si="1150"/>
        <v>0</v>
      </c>
      <c r="P1854" s="93"/>
      <c r="Q1854" s="109"/>
      <c r="R1854" t="str">
        <f>$Q$1814</f>
        <v>L3</v>
      </c>
      <c r="S1854">
        <f>$E$22</f>
        <v>21.375</v>
      </c>
      <c r="T1854" cm="1">
        <f t="array" ref="T1854">IFERROR(IF(S1854=0,0,(INDEX($C$33:$C$38,MATCH($W$1824,$B$33:$B$38,0),0)*(S1857+$X$1824)+$T$1824*COUNTIF(S1854:S1856,"&gt;0")*$C$32+$V$1824*$C$31)*$R$1824),0)</f>
        <v>0</v>
      </c>
      <c r="U1854">
        <f>IF(S1854=0,0,-(COUNTIF(S1854:S1856,"&gt;0")*$T$1824*$C$32+$V$1824*$C$31)*$H$27*$R$1824)</f>
        <v>0</v>
      </c>
      <c r="V1854">
        <f>IF(S1854=0,0,$V$1824*$H$26*$R$1824)</f>
        <v>0</v>
      </c>
      <c r="W1854">
        <f>(0.6*T1854+0.7*U1854)*$R$1824/2</f>
        <v>0</v>
      </c>
      <c r="X1854">
        <f>T1854*$R$1824/2</f>
        <v>0</v>
      </c>
      <c r="Z1854">
        <f>IF(S1854=0,0,$AD$1824*$AP$1814)</f>
        <v>0</v>
      </c>
      <c r="AA1854">
        <f>IFERROR(Z1854/$R$1824,0)</f>
        <v>0</v>
      </c>
      <c r="AB1854">
        <f>Z1854*($F$22+IF($F$22=0,0,($C$14+$C$15+IF($C$13="single",1.5,3)+3)/12))</f>
        <v>0</v>
      </c>
      <c r="AC1854">
        <f>AB1854-W1854</f>
        <v>0</v>
      </c>
      <c r="AD1854" cm="1">
        <f t="array" ref="AD1854">IFERROR(IF(AC1854&lt;0,0,AC1854/($R$1824-INDEX(hd_off,MATCH(AQ1854,hd_mark,0),0)/12)),0)</f>
        <v>0</v>
      </c>
      <c r="AE1854">
        <f>IF(S1854=0,0,$AD$1824*$AM$1814)</f>
        <v>0</v>
      </c>
      <c r="AF1854">
        <f>IFERROR(AE1854/$R$1824,0)</f>
        <v>0</v>
      </c>
      <c r="AG1854">
        <f>AE1854*($F$22+IF($F$22=0,0,($C$14+$C$15+IF($C$13="single",1.5,3)+3)/12))</f>
        <v>0</v>
      </c>
      <c r="AH1854">
        <f>AG1854-X1854</f>
        <v>0</v>
      </c>
      <c r="AI1854" cm="1">
        <f t="array" ref="AI1854">IFERROR(IF(AH1854&lt;0,0,AH1854/($R$1824-INDEX(hd_off,MATCH(AQ1854,hd_mark,0),0)/12)),0)</f>
        <v>0</v>
      </c>
      <c r="AJ1854">
        <f>MAX($F$22,$Z$1824)/$Q$1844</f>
        <v>0.30172413793103448</v>
      </c>
      <c r="AK1854">
        <f t="shared" ref="AK1854:AK1857" si="1156">IF(AJ1854=0,0,IF(AJ1854&gt;2,1.25-0.125*AJ1854,1))</f>
        <v>1</v>
      </c>
      <c r="AL1854" cm="1">
        <f t="array" ref="AL1854">IFERROR(INDEX(sheath_ecap_asd,MATCH(AP1854,sheath_mark,0),0)*AK1854,0)</f>
        <v>0</v>
      </c>
      <c r="AM1854" cm="1">
        <f t="array" ref="AM1854">IFERROR(INDEX(sheath_wcap_asd,MATCH(AP1854,sheath_mark,0),0)*AK1854,0)</f>
        <v>0</v>
      </c>
      <c r="AN1854" cm="1">
        <f t="array" ref="AN1854">IFERROR(INDEX(hd_cap,MATCH(AQ1854,hd_mark,0),0),0)</f>
        <v>0</v>
      </c>
      <c r="AP1854" s="19"/>
      <c r="AQ1854" s="19"/>
      <c r="AR1854" s="100"/>
      <c r="AS1854" s="93"/>
      <c r="AT1854" s="109"/>
      <c r="AU1854" t="str">
        <f>$Q$1814</f>
        <v>L3</v>
      </c>
      <c r="AV1854">
        <f>$E$22</f>
        <v>21.375</v>
      </c>
      <c r="AW1854" cm="1">
        <f t="array" ref="AW1854">IFERROR(IF(AV1854=0,0,(INDEX($C$33:$C$38,MATCH($AZ$1824,$B$33:$B$38,0),0)*(AV1857+$BA$1824)+$AW$1824*COUNTIF(AV1854:AV1856,"&gt;0")*$C$32+$AY$1824*$C$31)*$AU$1824),0)</f>
        <v>0</v>
      </c>
      <c r="AX1854">
        <f>IF(AV1854=0,0,-(COUNTIF(AV1854:AV1856,"&gt;0")*$AW$1824*$C$32+$AY$1824*$C$31)*$H$27*$AU$1824)</f>
        <v>0</v>
      </c>
      <c r="AY1854">
        <f>IF(AV1854=0,0,$AY$1824*$H$26*$AU$1824)</f>
        <v>0</v>
      </c>
      <c r="AZ1854">
        <f>(0.6*AW1854+0.7*AX1854)*$AU$1824/2</f>
        <v>0</v>
      </c>
      <c r="BA1854">
        <f>AW1854*$AU$1824/2</f>
        <v>0</v>
      </c>
      <c r="BC1854">
        <f>IF(AV1854=0,0,$BG$1824*$AP$1814)</f>
        <v>0</v>
      </c>
      <c r="BD1854">
        <f>IFERROR(BC1854/$AU$1824,0)</f>
        <v>0</v>
      </c>
      <c r="BE1854">
        <f>BC1854*($F$22+IF($F$22=0,0,($C$14+$C$15+IF($C$13="single",1.5,3)+3)/12))</f>
        <v>0</v>
      </c>
      <c r="BF1854">
        <f>BE1854-AZ1854</f>
        <v>0</v>
      </c>
      <c r="BG1854" cm="1">
        <f t="array" ref="BG1854">IFERROR(IF(BF1854&lt;0,0,BF1854/($AU$1824-INDEX(hd_off,MATCH(BT1854,hd_mark,0),0)/12)),0)</f>
        <v>0</v>
      </c>
      <c r="BH1854">
        <f>IF(AV1854=0,0,$BG$1824*$AM$1814)</f>
        <v>0</v>
      </c>
      <c r="BI1854">
        <f>IFERROR(BH1854/$AU$1824,0)</f>
        <v>0</v>
      </c>
      <c r="BJ1854">
        <f>BH1854*($F$22+IF($F$22=0,0,($C$14+$C$15+IF($C$13="single",1.5,3)+3)/12))</f>
        <v>0</v>
      </c>
      <c r="BK1854">
        <f>BJ1854-BA1854</f>
        <v>0</v>
      </c>
      <c r="BL1854" cm="1">
        <f t="array" ref="BL1854">IFERROR(IF(BK1854&lt;0,0,BK1854/($AU$1824-INDEX(hd_off,MATCH(BT1854,hd_mark,0),0)/12)),0)</f>
        <v>0</v>
      </c>
      <c r="BM1854">
        <f>MAX($F$22,$BC$1824)/$Q$1844</f>
        <v>0.30172413793103448</v>
      </c>
      <c r="BN1854">
        <f t="shared" ref="BN1854:BN1857" si="1157">IF(BM1854=0,0,IF(BM1854&gt;2,1.25-0.125*BM1854,1))</f>
        <v>1</v>
      </c>
      <c r="BO1854" cm="1">
        <f t="array" ref="BO1854">IFERROR(INDEX(sheath_ecap_asd,MATCH(BS1854,sheath_mark,0),0)*BN1854,0)</f>
        <v>0</v>
      </c>
      <c r="BP1854" cm="1">
        <f t="array" ref="BP1854">IFERROR(INDEX(sheath_wcap_asd,MATCH(BS1854,sheath_mark,0),0)*BN1854,0)</f>
        <v>0</v>
      </c>
      <c r="BQ1854" cm="1">
        <f t="array" ref="BQ1854">IFERROR(INDEX(hd_cap,MATCH(BT1854,hd_mark,0),0),0)</f>
        <v>0</v>
      </c>
      <c r="BS1854" s="19"/>
      <c r="BT1854" s="19"/>
      <c r="BU1854" s="100"/>
    </row>
    <row r="1855" x14ac:dyDescent="0.25">
      <c r="B1855" t="s">
        <v>285</v>
      </c>
      <c r="C1855" s="19"/>
      <c r="D1855" s="19"/>
      <c r="E1855">
        <f t="shared" si="1149"/>
        <v>0</v>
      </c>
      <c r="H1855">
        <v>22</v>
      </c>
      <c r="I1855" s="19"/>
      <c r="J1855" s="19"/>
      <c r="K1855">
        <f t="shared" si="1150"/>
        <v>0</v>
      </c>
      <c r="P1855" s="93"/>
      <c r="Q1855" s="109" t="s">
        <v>491</v>
      </c>
      <c r="R1855" t="str">
        <f>$Q$1815</f>
        <v>L4</v>
      </c>
      <c r="S1855">
        <f>$E$23</f>
        <v>0</v>
      </c>
      <c r="T1855" cm="1">
        <f t="array" ref="T1855">IFERROR(IF(S1855=0,0,(INDEX($C$33:$C$38,MATCH($W$1824,$B$33:$B$38,0),0)*(S1857+$X$1824)+$T$1824*COUNTIF(S1855:S1856,"&gt;0")*$C$32+$V$1824*$C$31)*$R$1824),0)</f>
        <v>0</v>
      </c>
      <c r="U1855">
        <f>IF(S1855=0,0,-(COUNTIF(S1855:S1856,"&gt;0")*$T$1824*$C$32+$V$1824*$C$31)*$H$27*$R$1824)</f>
        <v>0</v>
      </c>
      <c r="V1855">
        <f>IF(S1855=0,0,$V$1824*$H$26*$R$1824)</f>
        <v>0</v>
      </c>
      <c r="W1855">
        <f>(0.6*T1855+0.7*U1855)*$R$1824/2</f>
        <v>0</v>
      </c>
      <c r="X1855">
        <f>T1855*$R$1824/2</f>
        <v>0</v>
      </c>
      <c r="Z1855">
        <f>IF(S1855=0,0,$AD$1824*$AP$1815)</f>
        <v>0</v>
      </c>
      <c r="AA1855">
        <f>IFERROR(Z1855/$R$1824,0)</f>
        <v>0</v>
      </c>
      <c r="AB1855">
        <f>Z1855*($F$23+IF($F$23=0,0,($C$14+$C$15+IF($C$13="single",1.5,3)+3)/12))</f>
        <v>0</v>
      </c>
      <c r="AC1855">
        <f>AB1855-W1855</f>
        <v>0</v>
      </c>
      <c r="AD1855" cm="1">
        <f t="array" ref="AD1855">IFERROR(IF(AC1855&lt;0,0,AC1855/($R$1824-INDEX(hd_off,MATCH(AQ1855,hd_mark,0),0)/12)),0)</f>
        <v>0</v>
      </c>
      <c r="AE1855">
        <f>IF(S1855=0,0,$AD$1824*$AM$1815)</f>
        <v>0</v>
      </c>
      <c r="AF1855">
        <f>IFERROR(AE1855/$R$1824,0)</f>
        <v>0</v>
      </c>
      <c r="AG1855">
        <f>AE1855*($F$23+IF($F$23=0,0,($C$14+$C$15+IF($C$13="single",1.5,3)+3)/12))</f>
        <v>0</v>
      </c>
      <c r="AH1855">
        <f>AG1855-X1855</f>
        <v>0</v>
      </c>
      <c r="AI1855" cm="1">
        <f t="array" ref="AI1855">IFERROR(IF(AH1855&lt;0,0,AH1855/($R$1824-INDEX(hd_off,MATCH(AQ1855,hd_mark,0),0)/12)),0)</f>
        <v>0</v>
      </c>
      <c r="AJ1855">
        <f>MAX($F$23,$AA$1824)/$Q$1844</f>
        <v>0</v>
      </c>
      <c r="AK1855">
        <f t="shared" si="1156"/>
        <v>0</v>
      </c>
      <c r="AL1855" cm="1">
        <f t="array" ref="AL1855">IFERROR(INDEX(sheath_ecap_asd,MATCH(AP1855,sheath_mark,0),0)*AK1855,0)</f>
        <v>0</v>
      </c>
      <c r="AM1855" cm="1">
        <f t="array" ref="AM1855">IFERROR(INDEX(sheath_wcap_asd,MATCH(AP1855,sheath_mark,0),0)*AK1855,0)</f>
        <v>0</v>
      </c>
      <c r="AN1855" cm="1">
        <f t="array" ref="AN1855">IFERROR(INDEX(hd_cap,MATCH(AQ1855,hd_mark,0),0),0)</f>
        <v>0</v>
      </c>
      <c r="AP1855" s="19"/>
      <c r="AQ1855" s="19"/>
      <c r="AR1855" s="100"/>
      <c r="AS1855" s="93"/>
      <c r="AT1855" s="109" t="s">
        <v>491</v>
      </c>
      <c r="AU1855" t="str">
        <f>$Q$1815</f>
        <v>L4</v>
      </c>
      <c r="AV1855">
        <f>$E$23</f>
        <v>0</v>
      </c>
      <c r="AW1855" cm="1">
        <f t="array" ref="AW1855">IFERROR(IF(AV1855=0,0,(INDEX($C$33:$C$38,MATCH($AZ$1824,$B$33:$B$38,0),0)*(AV1857+$BA$1824)+$AW$1824*COUNTIF(AV1855:AV1856,"&gt;0")*$C$32+$AY$1824*$C$31)*$AU$1824),0)</f>
        <v>0</v>
      </c>
      <c r="AX1855">
        <f>IF(AV1855=0,0,-(COUNTIF(AV1855:AV1856,"&gt;0")*$AW$1824*$C$32+$AY$1824*$C$31)*$H$27*$AU$1824)</f>
        <v>0</v>
      </c>
      <c r="AY1855">
        <f>IF(AV1855=0,0,$AY$1824*$H$26*$AU$1824)</f>
        <v>0</v>
      </c>
      <c r="AZ1855">
        <f>(0.6*AW1855+0.7*AX1855)*$AU$1824/2</f>
        <v>0</v>
      </c>
      <c r="BA1855">
        <f>AW1855*$AU$1824/2</f>
        <v>0</v>
      </c>
      <c r="BC1855">
        <f>IF(AV1855=0,0,$BG$1824*$AP$1815)</f>
        <v>0</v>
      </c>
      <c r="BD1855">
        <f>IFERROR(BC1855/$AU$1824,0)</f>
        <v>0</v>
      </c>
      <c r="BE1855">
        <f>BC1855*($F$23+IF($F$23=0,0,($C$14+$C$15+IF($C$13="single",1.5,3)+3)/12))</f>
        <v>0</v>
      </c>
      <c r="BF1855">
        <f>BE1855-AZ1855</f>
        <v>0</v>
      </c>
      <c r="BG1855" cm="1">
        <f t="array" ref="BG1855">IFERROR(IF(BF1855&lt;0,0,BF1855/($AU$1824-INDEX(hd_off,MATCH(BT1855,hd_mark,0),0)/12)),0)</f>
        <v>0</v>
      </c>
      <c r="BH1855">
        <f>IF(AV1855=0,0,$BG$1824*$AM$1815)</f>
        <v>0</v>
      </c>
      <c r="BI1855">
        <f>IFERROR(BH1855/$AU$1824,0)</f>
        <v>0</v>
      </c>
      <c r="BJ1855">
        <f>BH1855*($F$23+IF($F$23=0,0,($C$14+$C$15+IF($C$13="single",1.5,3)+3)/12))</f>
        <v>0</v>
      </c>
      <c r="BK1855">
        <f>BJ1855-BA1855</f>
        <v>0</v>
      </c>
      <c r="BL1855" cm="1">
        <f t="array" ref="BL1855">IFERROR(IF(BK1855&lt;0,0,BK1855/($AU$1824-INDEX(hd_off,MATCH(BT1855,hd_mark,0),0)/12)),0)</f>
        <v>0</v>
      </c>
      <c r="BM1855">
        <f>MAX($F$23,$BD$1824)/$Q$1844</f>
        <v>0</v>
      </c>
      <c r="BN1855">
        <f t="shared" si="1157"/>
        <v>0</v>
      </c>
      <c r="BO1855" cm="1">
        <f t="array" ref="BO1855">IFERROR(INDEX(sheath_ecap_asd,MATCH(BS1855,sheath_mark,0),0)*BN1855,0)</f>
        <v>0</v>
      </c>
      <c r="BP1855" cm="1">
        <f t="array" ref="BP1855">IFERROR(INDEX(sheath_wcap_asd,MATCH(BS1855,sheath_mark,0),0)*BN1855,0)</f>
        <v>0</v>
      </c>
      <c r="BQ1855" cm="1">
        <f t="array" ref="BQ1855">IFERROR(INDEX(hd_cap,MATCH(BT1855,hd_mark,0),0),0)</f>
        <v>0</v>
      </c>
      <c r="BS1855" s="19"/>
      <c r="BT1855" s="19"/>
      <c r="BU1855" s="100"/>
    </row>
    <row r="1856" x14ac:dyDescent="0.25">
      <c r="B1856" t="s">
        <v>470</v>
      </c>
      <c r="C1856" s="19"/>
      <c r="D1856" s="19"/>
      <c r="E1856">
        <f t="shared" si="1149"/>
        <v>0</v>
      </c>
      <c r="H1856">
        <v>23</v>
      </c>
      <c r="I1856" s="19"/>
      <c r="J1856" s="19"/>
      <c r="K1856">
        <f t="shared" si="1150"/>
        <v>0</v>
      </c>
      <c r="P1856" s="93"/>
      <c r="Q1856" s="111">
        <f>$R$1824</f>
        <v>0</v>
      </c>
      <c r="R1856" t="str">
        <f>$Q$1816</f>
        <v>L5</v>
      </c>
      <c r="S1856">
        <f>$E$24</f>
        <v>0</v>
      </c>
      <c r="T1856" cm="1">
        <f t="array" ref="T1856">IFERROR(IF(S1856=0,0,(INDEX($C$33:$C$38,MATCH($W$1824,$B$33:$B$38,0),0)*(S1857+$X$1824)+$T$1824*COUNTIF(S1856:S1856,"&gt;0")*$C$32+$V$1824*$C$31)*$R$1824),0)</f>
        <v>0</v>
      </c>
      <c r="U1856">
        <f>IF(S1856=0,0,-(COUNTIF(S1856:S1856,"&gt;0")*$T$1824*$C$32+$V$1824*$C$31)*$H$27*$R$1824)</f>
        <v>0</v>
      </c>
      <c r="V1856">
        <f>IF(S1856=0,0,$V$1824*$H$26*$R$1824)</f>
        <v>0</v>
      </c>
      <c r="W1856">
        <f>(0.6*T1856+0.7*U1856)*$R$1824/2</f>
        <v>0</v>
      </c>
      <c r="X1856">
        <f>T1856*$R$1824/2</f>
        <v>0</v>
      </c>
      <c r="Z1856">
        <f>IF(S1856=0,0,$AD$1824*$AP$1816)</f>
        <v>0</v>
      </c>
      <c r="AA1856">
        <f>IFERROR(Z1856/$R$1824,0)</f>
        <v>0</v>
      </c>
      <c r="AB1856">
        <f>Z1856*($F$24+IF($F$24=0,0,($C$14+$C$15+IF($C$13="single",1.5,3)+3)/12))</f>
        <v>0</v>
      </c>
      <c r="AC1856">
        <f>AB1856-W1856</f>
        <v>0</v>
      </c>
      <c r="AD1856" cm="1">
        <f t="array" ref="AD1856">IFERROR(IF(AC1856&lt;0,0,AC1856/($R$1824-INDEX(hd_off,MATCH(AQ1856,hd_mark,0),0)/12)),0)</f>
        <v>0</v>
      </c>
      <c r="AE1856">
        <f>IF(S1856=0,0,$AD$1824*$AM$1816)</f>
        <v>0</v>
      </c>
      <c r="AF1856">
        <f>IFERROR(AE1856/$R$1824,0)</f>
        <v>0</v>
      </c>
      <c r="AG1856">
        <f>AE1856*($F$24+IF($F$24=0,0,($C$14+$C$15+IF($C$13="single",1.5,3)+3)/12))</f>
        <v>0</v>
      </c>
      <c r="AH1856">
        <f>AG1856-X1856</f>
        <v>0</v>
      </c>
      <c r="AI1856" cm="1">
        <f t="array" ref="AI1856">IFERROR(IF(AH1856&lt;0,0,AH1856/($R$1824-INDEX(hd_off,MATCH(AQ1856,hd_mark,0),0)/12)),0)</f>
        <v>0</v>
      </c>
      <c r="AJ1856">
        <f>MAX($F$24,$AB$1824)/$Q$1844</f>
        <v>0</v>
      </c>
      <c r="AK1856">
        <f t="shared" si="1156"/>
        <v>0</v>
      </c>
      <c r="AL1856" cm="1">
        <f t="array" ref="AL1856">IFERROR(INDEX(sheath_ecap_asd,MATCH(AP1856,sheath_mark,0),0)*AK1856,0)</f>
        <v>0</v>
      </c>
      <c r="AM1856" cm="1">
        <f t="array" ref="AM1856">IFERROR(INDEX(sheath_wcap_asd,MATCH(AP1856,sheath_mark,0),0)*AK1856,0)</f>
        <v>0</v>
      </c>
      <c r="AN1856" cm="1">
        <f t="array" ref="AN1856">IFERROR(INDEX(hd_cap,MATCH(AQ1856,hd_mark,0),0),0)</f>
        <v>0</v>
      </c>
      <c r="AP1856" s="19"/>
      <c r="AQ1856" s="19"/>
      <c r="AR1856" s="100"/>
      <c r="AS1856" s="93"/>
      <c r="AT1856" s="111">
        <f>$R$1824</f>
        <v>0</v>
      </c>
      <c r="AU1856" t="str">
        <f>$Q$1816</f>
        <v>L5</v>
      </c>
      <c r="AV1856">
        <f>$E$24</f>
        <v>0</v>
      </c>
      <c r="AW1856" cm="1">
        <f t="array" ref="AW1856">IFERROR(IF(AV1856=0,0,(INDEX($C$33:$C$38,MATCH($AZ$1824,$B$33:$B$38,0),0)*(AV1857+$BA$1824)+$AW$1824*COUNTIF(AV1856:AV1856,"&gt;0")*$C$32+$AY$1824*$C$31)*$AU$1824),0)</f>
        <v>0</v>
      </c>
      <c r="AX1856">
        <f>IF(AV1856=0,0,-(COUNTIF(AV1856:AV1856,"&gt;0")*$AW$1824*$C$32+$AY$1824*$C$31)*$H$27*$AU$1824)</f>
        <v>0</v>
      </c>
      <c r="AY1856">
        <f>IF(AV1856=0,0,$AY$1824*$H$26*$AU$1824)</f>
        <v>0</v>
      </c>
      <c r="AZ1856">
        <f>(0.6*AW1856+0.7*AX1856)*$AU$1824/2</f>
        <v>0</v>
      </c>
      <c r="BA1856">
        <f>AW1856*$AU$1824/2</f>
        <v>0</v>
      </c>
      <c r="BC1856">
        <f>IF(AV1856=0,0,$BG$1824*$AP$1816)</f>
        <v>0</v>
      </c>
      <c r="BD1856">
        <f>IFERROR(BC1856/$AU$1824,0)</f>
        <v>0</v>
      </c>
      <c r="BE1856">
        <f>BC1856*($F$24+IF($F$24=0,0,($C$14+$C$15+IF($C$13="single",1.5,3)+3)/12))</f>
        <v>0</v>
      </c>
      <c r="BF1856">
        <f>BE1856-AZ1856</f>
        <v>0</v>
      </c>
      <c r="BG1856" cm="1">
        <f t="array" ref="BG1856">IFERROR(IF(BF1856&lt;0,0,BF1856/($AU$1824-INDEX(hd_off,MATCH(BT1856,hd_mark,0),0)/12)),0)</f>
        <v>0</v>
      </c>
      <c r="BH1856">
        <f>IF(AV1856=0,0,$BG$1824*$AM$1816)</f>
        <v>0</v>
      </c>
      <c r="BI1856">
        <f>IFERROR(BH1856/$AU$1824,0)</f>
        <v>0</v>
      </c>
      <c r="BJ1856">
        <f>BH1856*($F$24+IF($F$24=0,0,($C$14+$C$15+IF($C$13="single",1.5,3)+3)/12))</f>
        <v>0</v>
      </c>
      <c r="BK1856">
        <f>BJ1856-BA1856</f>
        <v>0</v>
      </c>
      <c r="BL1856" cm="1">
        <f t="array" ref="BL1856">IFERROR(IF(BK1856&lt;0,0,BK1856/($AU$1824-INDEX(hd_off,MATCH(BT1856,hd_mark,0),0)/12)),0)</f>
        <v>0</v>
      </c>
      <c r="BM1856">
        <f>MAX($F$24,$BE$1824)/$Q$1844</f>
        <v>0</v>
      </c>
      <c r="BN1856">
        <f t="shared" si="1157"/>
        <v>0</v>
      </c>
      <c r="BO1856" cm="1">
        <f t="array" ref="BO1856">IFERROR(INDEX(sheath_ecap_asd,MATCH(BS1856,sheath_mark,0),0)*BN1856,0)</f>
        <v>0</v>
      </c>
      <c r="BP1856" cm="1">
        <f t="array" ref="BP1856">IFERROR(INDEX(sheath_wcap_asd,MATCH(BS1856,sheath_mark,0),0)*BN1856,0)</f>
        <v>0</v>
      </c>
      <c r="BQ1856" cm="1">
        <f t="array" ref="BQ1856">IFERROR(INDEX(hd_cap,MATCH(BT1856,hd_mark,0),0),0)</f>
        <v>0</v>
      </c>
      <c r="BS1856" s="19"/>
      <c r="BT1856" s="19"/>
      <c r="BU1856" s="100"/>
    </row>
    <row r="1857" x14ac:dyDescent="0.25">
      <c r="B1857" t="s">
        <v>471</v>
      </c>
      <c r="C1857" s="19"/>
      <c r="D1857" s="19"/>
      <c r="E1857">
        <f t="shared" si="1149"/>
        <v>0</v>
      </c>
      <c r="H1857">
        <v>24</v>
      </c>
      <c r="I1857" s="19"/>
      <c r="J1857" s="19"/>
      <c r="K1857">
        <f t="shared" si="1150"/>
        <v>0</v>
      </c>
      <c r="P1857" s="93"/>
      <c r="Q1857" s="109"/>
      <c r="R1857" t="str">
        <f>$Q$1817</f>
        <v>Roof</v>
      </c>
      <c r="S1857">
        <f>$E$25</f>
        <v>33.171875</v>
      </c>
      <c r="T1857" cm="1">
        <f t="array" ref="T1857">IFERROR(IF(S1857=0,0,(INDEX($C$33:$C$38,MATCH($W$1824,$B$33:$B$38,0),0)*(S1857+$X$1824)+$V$1824*$C$31)*$R$1824),0)</f>
        <v>0</v>
      </c>
      <c r="U1857">
        <f>IF(S1857=0,0,-$V$1824*$C$31*$H$27*$R$1824)</f>
        <v>0</v>
      </c>
      <c r="V1857">
        <f>IF(S1857=0,0,$V$1824*$H$26*$R$1824)</f>
        <v>0</v>
      </c>
      <c r="W1857">
        <f>(0.6*T1857+0.7*U1857)*$R$1824/2</f>
        <v>0</v>
      </c>
      <c r="X1857">
        <f>T1857*$R$1824/2</f>
        <v>0</v>
      </c>
      <c r="Z1857">
        <f>IF(S1857=0,0,$AD$1824*$AP$1817)</f>
        <v>0</v>
      </c>
      <c r="AA1857">
        <f>IFERROR(Z1857/$R$1824,0)</f>
        <v>0</v>
      </c>
      <c r="AB1857">
        <f>Z1857*($F$25+($C$16+$C$17+IF($C$13="single",1.5,3)+3)/12)</f>
        <v>0</v>
      </c>
      <c r="AC1857">
        <f>AB1857-W1857</f>
        <v>0</v>
      </c>
      <c r="AD1857" cm="1">
        <f t="array" ref="AD1857">IFERROR(IF(AC1857&lt;0,0,AC1857/($R$1824-INDEX(hd_off,MATCH(AQ1857,hd_mark,0),0)/12)),0)</f>
        <v>0</v>
      </c>
      <c r="AE1857">
        <f>IF(S1857=0,0,$AD$1824*$AM$1817)</f>
        <v>0</v>
      </c>
      <c r="AF1857">
        <f>IFERROR(AE1857/$R$1824,0)</f>
        <v>0</v>
      </c>
      <c r="AG1857">
        <f>AE1857*($F$25+($C$16+$C$17+IF($C$13="single",1.5,3)+3)/12)</f>
        <v>0</v>
      </c>
      <c r="AH1857">
        <f>AG1857-X1857</f>
        <v>0</v>
      </c>
      <c r="AI1857" cm="1">
        <f t="array" ref="AI1857">IFERROR(IF(AH1857&lt;0,0,AH1857/($R$1824-INDEX(hd_off,MATCH(AQ1857,hd_mark,0),0)/12)),0)</f>
        <v>0</v>
      </c>
      <c r="AJ1857">
        <f>MAX($F$25,$AC$1824)/$Q$1844</f>
        <v>0.29920977011494249</v>
      </c>
      <c r="AK1857">
        <f t="shared" si="1156"/>
        <v>1</v>
      </c>
      <c r="AL1857" cm="1">
        <f t="array" ref="AL1857">IFERROR(INDEX(sheath_ecap_asd,MATCH(AP1857,sheath_mark,0),0)*AK1857,0)</f>
        <v>0</v>
      </c>
      <c r="AM1857" cm="1">
        <f t="array" ref="AM1857">IFERROR(INDEX(sheath_wcap_asd,MATCH(AP1857,sheath_mark,0),0)*AK1857,0)</f>
        <v>0</v>
      </c>
      <c r="AN1857" cm="1">
        <f t="array" ref="AN1857">IFERROR(INDEX(hd_cap,MATCH(AQ1857,hd_mark,0),0),0)</f>
        <v>0</v>
      </c>
      <c r="AP1857" s="19"/>
      <c r="AQ1857" s="19"/>
      <c r="AR1857" s="100"/>
      <c r="AS1857" s="93"/>
      <c r="AT1857" s="109"/>
      <c r="AU1857" t="str">
        <f>$Q$1817</f>
        <v>Roof</v>
      </c>
      <c r="AV1857">
        <f>$E$25</f>
        <v>33.171875</v>
      </c>
      <c r="AW1857" cm="1">
        <f t="array" ref="AW1857">IFERROR(IF(AV1857=0,0,(INDEX($C$33:$C$38,MATCH($AZ$1824,$B$33:$B$38,0),0)*(AV1857+$BA$1824)+$AY$1824*$C$31)*$AU$1824),0)</f>
        <v>0</v>
      </c>
      <c r="AX1857">
        <f>IF(AV1857=0,0,-$AY$1824*$C$31*$H$27*$AU$1824)</f>
        <v>0</v>
      </c>
      <c r="AY1857">
        <f>IF(AV1857=0,0,$AY$1824*$H$26*$AU$1824)</f>
        <v>0</v>
      </c>
      <c r="AZ1857">
        <f>(0.6*AW1857+0.7*AX1857)*$AU$1824/2</f>
        <v>0</v>
      </c>
      <c r="BA1857">
        <f>AW1857*$AU$1824/2</f>
        <v>0</v>
      </c>
      <c r="BC1857">
        <f>IF(AV1857=0,0,$BG$1824*$AP$1817)</f>
        <v>0</v>
      </c>
      <c r="BD1857">
        <f>IFERROR(BC1857/$AU$1824,0)</f>
        <v>0</v>
      </c>
      <c r="BE1857">
        <f>BC1857*($F$25+($C$16+$C$17+IF($C$13="single",1.5,3)+3)/12)</f>
        <v>0</v>
      </c>
      <c r="BF1857">
        <f>BE1857-AZ1857</f>
        <v>0</v>
      </c>
      <c r="BG1857" cm="1">
        <f t="array" ref="BG1857">IFERROR(IF(BF1857&lt;0,0,BF1857/($AU$1824-INDEX(hd_off,MATCH(BT1857,hd_mark,0),0)/12)),0)</f>
        <v>0</v>
      </c>
      <c r="BH1857">
        <f>IF(AV1857=0,0,$BG$1824*$AM$1817)</f>
        <v>0</v>
      </c>
      <c r="BI1857">
        <f>IFERROR(BH1857/$AU$1824,0)</f>
        <v>0</v>
      </c>
      <c r="BJ1857">
        <f>BH1857*($F$25+($C$16+$C$17+IF($C$13="single",1.5,3)+3)/12)</f>
        <v>0</v>
      </c>
      <c r="BK1857">
        <f>BJ1857-BA1857</f>
        <v>0</v>
      </c>
      <c r="BL1857" cm="1">
        <f t="array" ref="BL1857">IFERROR(IF(BK1857&lt;0,0,BK1857/($AU$1824-INDEX(hd_off,MATCH(BT1857,hd_mark,0),0)/12)),0)</f>
        <v>0</v>
      </c>
      <c r="BM1857">
        <f>MAX($F$25,$BF$1824)/$Q$1844</f>
        <v>0.29920977011494249</v>
      </c>
      <c r="BN1857">
        <f t="shared" si="1157"/>
        <v>1</v>
      </c>
      <c r="BO1857" cm="1">
        <f t="array" ref="BO1857">IFERROR(INDEX(sheath_ecap_asd,MATCH(BS1857,sheath_mark,0),0)*BN1857,0)</f>
        <v>0</v>
      </c>
      <c r="BP1857" cm="1">
        <f t="array" ref="BP1857">IFERROR(INDEX(sheath_wcap_asd,MATCH(BS1857,sheath_mark,0),0)*BN1857,0)</f>
        <v>0</v>
      </c>
      <c r="BQ1857" cm="1">
        <f t="array" ref="BQ1857">IFERROR(INDEX(hd_cap,MATCH(BT1857,hd_mark,0),0),0)</f>
        <v>0</v>
      </c>
      <c r="BS1857" s="19"/>
      <c r="BT1857" s="19"/>
      <c r="BU1857" s="100"/>
    </row>
    <row r="1858" x14ac:dyDescent="0.25">
      <c r="B1858" t="s">
        <v>472</v>
      </c>
      <c r="C1858" s="19"/>
      <c r="D1858" s="19"/>
      <c r="E1858">
        <f t="shared" si="1149"/>
        <v>0</v>
      </c>
      <c r="H1858">
        <v>25</v>
      </c>
      <c r="I1858" s="19"/>
      <c r="J1858" s="19"/>
      <c r="K1858">
        <f t="shared" si="1150"/>
        <v>0</v>
      </c>
      <c r="P1858" s="93"/>
      <c r="AR1858" s="100"/>
      <c r="AS1858" s="93"/>
      <c r="BU1858" s="100"/>
    </row>
    <row r="1859" x14ac:dyDescent="0.25">
      <c r="B1859" t="s">
        <v>473</v>
      </c>
      <c r="C1859" s="19"/>
      <c r="D1859" s="19"/>
      <c r="E1859">
        <f t="shared" si="1149"/>
        <v>0</v>
      </c>
      <c r="H1859">
        <v>26</v>
      </c>
      <c r="I1859" s="19"/>
      <c r="J1859" s="19"/>
      <c r="K1859">
        <f t="shared" si="1150"/>
        <v>0</v>
      </c>
      <c r="P1859" s="93"/>
      <c r="Q1859" s="110" t="str">
        <f>$Q$1825</f>
        <v>A.04</v>
      </c>
      <c r="R1859" t="str">
        <f>$Q$1813</f>
        <v>L2</v>
      </c>
      <c r="S1859">
        <f>$E$21</f>
        <v>10.6875</v>
      </c>
      <c r="T1859" cm="1">
        <f t="array" ref="T1859">IFERROR(IF(S1859=0,0,(INDEX($C$33:$C$38,MATCH($W$1825,$B$33:$B$38,0),0)*(S1863+$X$1825)+$T$1825*COUNTIF(S1859:S1862,"&gt;0")*$C$32+$V$1825*$C$31)*$R$1825),0)</f>
        <v>0</v>
      </c>
      <c r="U1859">
        <f>IF(S1859=0,0,-(COUNTIF(S1859:S1862,"&gt;0")*$T$1825*$C$32+$V$1825*$C$31)*$H$27*$R$1825)</f>
        <v>0</v>
      </c>
      <c r="V1859">
        <f>IF(S1859=0,0,$V$1825*$H$26*$R$1825)</f>
        <v>0</v>
      </c>
      <c r="W1859">
        <f>(0.6*T1859+0.7*U1859)*$R$1825/2</f>
        <v>0</v>
      </c>
      <c r="X1859">
        <f>(0.6*T1859+0.6*V1859)*$R$1825/2</f>
        <v>0</v>
      </c>
      <c r="Z1859">
        <f>IF(S1859=0,0,$AD$1825*$AP$1813)</f>
        <v>0</v>
      </c>
      <c r="AA1859">
        <f>IFERROR(Z1859/$R$1825,0)</f>
        <v>0</v>
      </c>
      <c r="AB1859">
        <f>Z1859*($F$21+IF($F$21=0,0,($C$14+$C$15+IF($C$13="single",1.5,3)+3)/12))</f>
        <v>0</v>
      </c>
      <c r="AC1859">
        <f>AB1859-W1859</f>
        <v>0</v>
      </c>
      <c r="AD1859" cm="1">
        <f t="array" ref="AD1859">IFERROR(IF(AC1859&lt;0,0,AC1859/($R$1825-INDEX(hd_off,MATCH(AQ1859,hd_mark,0),0)/12)),0)</f>
        <v>0</v>
      </c>
      <c r="AE1859">
        <f>IF(S1859=0,0,$AD$1825*$AM$1813)</f>
        <v>0</v>
      </c>
      <c r="AF1859">
        <f>IFERROR(AE1859/$R$1825,0)</f>
        <v>0</v>
      </c>
      <c r="AG1859">
        <f>AE1859*($F$21+IF($F$21=0,0,($C$14+$C$15+IF($C$13="single",1.5,3)+3)/12))</f>
        <v>0</v>
      </c>
      <c r="AH1859">
        <f>AG1859-X1859</f>
        <v>0</v>
      </c>
      <c r="AI1859" cm="1">
        <f t="array" ref="AI1859">IFERROR(IF(AH1859&lt;0,0,AH1859/($R$1825-INDEX(hd_off,MATCH(AQ1859,hd_mark,0),0)/12)),0)</f>
        <v>0</v>
      </c>
      <c r="AJ1859">
        <f>MAX($F$21,$Y$1825)/$Q$1844</f>
        <v>0.30172413793103448</v>
      </c>
      <c r="AK1859">
        <f>IF(AJ1859=0,0,IF(AJ1859&gt;2,1.25-0.125*AJ1859,1))</f>
        <v>1</v>
      </c>
      <c r="AL1859" cm="1">
        <f t="array" ref="AL1859">IFERROR(INDEX(sheath_ecap_asd,MATCH(AP1859,sheath_mark,0),0)*AK1859,0)</f>
        <v>0</v>
      </c>
      <c r="AM1859" cm="1">
        <f t="array" ref="AM1859">IFERROR(INDEX(sheath_wcap_asd,MATCH(AP1859,sheath_mark,0),0)*AK1859,0)</f>
        <v>0</v>
      </c>
      <c r="AN1859" cm="1">
        <f t="array" ref="AN1859">IFERROR(INDEX(hd_cap,MATCH(AQ1859,hd_mark,0),0),0)</f>
        <v>0</v>
      </c>
      <c r="AP1859" s="19"/>
      <c r="AQ1859" s="19"/>
      <c r="AR1859" s="100"/>
      <c r="AS1859" s="93"/>
      <c r="AT1859" s="110" t="str">
        <f>$AT$1825</f>
        <v>1.04</v>
      </c>
      <c r="AU1859" t="str">
        <f>$Q$1813</f>
        <v>L2</v>
      </c>
      <c r="AV1859">
        <f>$E$21</f>
        <v>10.6875</v>
      </c>
      <c r="AW1859" cm="1">
        <f t="array" ref="AW1859">IFERROR(IF(AV1859=0,0,(INDEX($C$33:$C$38,MATCH($AZ$1825,$B$33:$B$38,0),0)*(AV1863+$BA$1825)+$AW$1825*COUNTIF(AV1859:AV1862,"&gt;0")*$C$32+$AY$1825*$C$31)*$AU$1825),0)</f>
        <v>0</v>
      </c>
      <c r="AX1859">
        <f>IF(AV1859=0,0,-(COUNTIF(AV1859:AV1862,"&gt;0")*$AW$1825*$C$32+$AY$1825*$C$31)*$H$27*$AU$1825)</f>
        <v>0</v>
      </c>
      <c r="AY1859">
        <f>IF(AV1859=0,0,$AY$1825*$H$26*$AU$1825)</f>
        <v>0</v>
      </c>
      <c r="AZ1859">
        <f>(0.6*AW1859+0.7*AX1859)*$AU$1825/2</f>
        <v>0</v>
      </c>
      <c r="BA1859">
        <f>(0.6*AW1859+0.6*AY1859)*$AU$1825/2</f>
        <v>0</v>
      </c>
      <c r="BC1859">
        <f>IF(AV1859=0,0,$BG$1825*$AP$1813)</f>
        <v>0</v>
      </c>
      <c r="BD1859">
        <f>IFERROR(BC1859/$AU$1825,0)</f>
        <v>0</v>
      </c>
      <c r="BE1859">
        <f>BC1859*($F$21+IF($F$21=0,0,($C$14+$C$15+IF($C$13="single",1.5,3)+3)/12))</f>
        <v>0</v>
      </c>
      <c r="BF1859">
        <f>BE1859-AZ1859</f>
        <v>0</v>
      </c>
      <c r="BG1859" cm="1">
        <f t="array" ref="BG1859">IFERROR(IF(BF1859&lt;0,0,BF1859/($AU$1825-INDEX(hd_off,MATCH(BT1859,hd_mark,0),0)/12)),0)</f>
        <v>0</v>
      </c>
      <c r="BH1859">
        <f>IF(AV1859=0,0,$BG$1825*$AM$1813)</f>
        <v>0</v>
      </c>
      <c r="BI1859">
        <f>IFERROR(BH1859/$AU$1825,0)</f>
        <v>0</v>
      </c>
      <c r="BJ1859">
        <f>BH1859*($F$21+IF($F$21=0,0,($C$14+$C$15+IF($C$13="single",1.5,3)+3)/12))</f>
        <v>0</v>
      </c>
      <c r="BK1859">
        <f>BJ1859-BA1859</f>
        <v>0</v>
      </c>
      <c r="BL1859" cm="1">
        <f t="array" ref="BL1859">IFERROR(IF(BK1859&lt;0,0,BK1859/($AU$1825-INDEX(hd_off,MATCH(BT1859,hd_mark,0),0)/12)),0)</f>
        <v>0</v>
      </c>
      <c r="BM1859">
        <f>MAX($F$21,$BB$1825)/$Q$1844</f>
        <v>0.30172413793103448</v>
      </c>
      <c r="BN1859">
        <f>IF(BM1859=0,0,IF(BM1859&gt;2,1.25-0.125*BM1859,1))</f>
        <v>1</v>
      </c>
      <c r="BO1859" cm="1">
        <f t="array" ref="BO1859">IFERROR(INDEX(sheath_ecap_asd,MATCH(BS1859,sheath_mark,0),0)*BN1859,0)</f>
        <v>0</v>
      </c>
      <c r="BP1859" cm="1">
        <f t="array" ref="BP1859">IFERROR(INDEX(sheath_wcap_asd,MATCH(BS1859,sheath_mark,0),0)*BN1859,0)</f>
        <v>0</v>
      </c>
      <c r="BQ1859" cm="1">
        <f t="array" ref="BQ1859">IFERROR(INDEX(hd_cap,MATCH(BT1859,hd_mark,0),0),0)</f>
        <v>0</v>
      </c>
      <c r="BS1859" s="19"/>
      <c r="BT1859" s="19"/>
      <c r="BU1859" s="100"/>
    </row>
    <row r="1860" x14ac:dyDescent="0.25">
      <c r="P1860" s="93"/>
      <c r="Q1860" s="109"/>
      <c r="R1860" t="str">
        <f>$Q$1814</f>
        <v>L3</v>
      </c>
      <c r="S1860">
        <f>$E$22</f>
        <v>21.375</v>
      </c>
      <c r="T1860" cm="1">
        <f t="array" ref="T1860">IFERROR(IF(S1860=0,0,(INDEX($C$33:$C$38,MATCH($W$1825,$B$33:$B$38,0),0)*(S1863+$X$1825)+$T$1825*COUNTIF(S1860:S1862,"&gt;0")*$C$32+$V$1825*$C$31)*$R$1825),0)</f>
        <v>0</v>
      </c>
      <c r="U1860">
        <f>IF(S1860=0,0,-(COUNTIF(S1860:S1862,"&gt;0")*$T$1825*$C$32+$V$1825*$C$31)*$H$27*$R$1825)</f>
        <v>0</v>
      </c>
      <c r="V1860">
        <f>IF(S1860=0,0,$V$1825*$H$26*$R$1825)</f>
        <v>0</v>
      </c>
      <c r="W1860">
        <f>(0.6*T1860+0.7*U1860)*$R$1825/2</f>
        <v>0</v>
      </c>
      <c r="X1860">
        <f>T1860*$R$1825/2</f>
        <v>0</v>
      </c>
      <c r="Z1860">
        <f>IF(S1860=0,0,$AD$1825*$AP$1814)</f>
        <v>0</v>
      </c>
      <c r="AA1860">
        <f>IFERROR(Z1860/$R$1825,0)</f>
        <v>0</v>
      </c>
      <c r="AB1860">
        <f>Z1860*($F$22+IF($F$22=0,0,($C$14+$C$15+IF($C$13="single",1.5,3)+3)/12))</f>
        <v>0</v>
      </c>
      <c r="AC1860">
        <f>AB1860-W1860</f>
        <v>0</v>
      </c>
      <c r="AD1860" cm="1">
        <f t="array" ref="AD1860">IFERROR(IF(AC1860&lt;0,0,AC1860/($R$1825-INDEX(hd_off,MATCH(AQ1860,hd_mark,0),0)/12)),0)</f>
        <v>0</v>
      </c>
      <c r="AE1860">
        <f>IF(S1860=0,0,$AD$1825*$AM$1814)</f>
        <v>0</v>
      </c>
      <c r="AF1860">
        <f>IFERROR(AE1860/$R$1825,0)</f>
        <v>0</v>
      </c>
      <c r="AG1860">
        <f>AE1860*($F$22+IF($F$22=0,0,($C$14+$C$15+IF($C$13="single",1.5,3)+3)/12))</f>
        <v>0</v>
      </c>
      <c r="AH1860">
        <f>AG1860-X1860</f>
        <v>0</v>
      </c>
      <c r="AI1860" cm="1">
        <f t="array" ref="AI1860">IFERROR(IF(AH1860&lt;0,0,AH1860/($R$1825-INDEX(hd_off,MATCH(AQ1860,hd_mark,0),0)/12)),0)</f>
        <v>0</v>
      </c>
      <c r="AJ1860">
        <f>MAX($F$22,$Z$1825)/$Q$1844</f>
        <v>0.30172413793103448</v>
      </c>
      <c r="AK1860">
        <f t="shared" ref="AK1860:AK1863" si="1158">IF(AJ1860=0,0,IF(AJ1860&gt;2,1.25-0.125*AJ1860,1))</f>
        <v>1</v>
      </c>
      <c r="AL1860" cm="1">
        <f t="array" ref="AL1860">IFERROR(INDEX(sheath_ecap_asd,MATCH(AP1860,sheath_mark,0),0)*AK1860,0)</f>
        <v>0</v>
      </c>
      <c r="AM1860" cm="1">
        <f t="array" ref="AM1860">IFERROR(INDEX(sheath_wcap_asd,MATCH(AP1860,sheath_mark,0),0)*AK1860,0)</f>
        <v>0</v>
      </c>
      <c r="AN1860" cm="1">
        <f t="array" ref="AN1860">IFERROR(INDEX(hd_cap,MATCH(AQ1860,hd_mark,0),0),0)</f>
        <v>0</v>
      </c>
      <c r="AP1860" s="19"/>
      <c r="AQ1860" s="19"/>
      <c r="AR1860" s="100"/>
      <c r="AS1860" s="93"/>
      <c r="AT1860" s="109"/>
      <c r="AU1860" t="str">
        <f>$Q$1814</f>
        <v>L3</v>
      </c>
      <c r="AV1860">
        <f>$E$22</f>
        <v>21.375</v>
      </c>
      <c r="AW1860" cm="1">
        <f t="array" ref="AW1860">IFERROR(IF(AV1860=0,0,(INDEX($C$33:$C$38,MATCH($AZ$1825,$B$33:$B$38,0),0)*(AV1863+$BA$1825)+$AW$1825*COUNTIF(AV1860:AV1862,"&gt;0")*$C$32+$AY$1825*$C$31)*$AU$1825),0)</f>
        <v>0</v>
      </c>
      <c r="AX1860">
        <f>IF(AV1860=0,0,-(COUNTIF(AV1860:AV1862,"&gt;0")*$AW$1825*$C$32+$AY$1825*$C$31)*$H$27*$AU$1825)</f>
        <v>0</v>
      </c>
      <c r="AY1860">
        <f>IF(AV1860=0,0,$AY$1825*$H$26*$AU$1825)</f>
        <v>0</v>
      </c>
      <c r="AZ1860">
        <f>(0.6*AW1860+0.7*AX1860)*$AU$1825/2</f>
        <v>0</v>
      </c>
      <c r="BA1860">
        <f>AW1860*$AU$1825/2</f>
        <v>0</v>
      </c>
      <c r="BC1860">
        <f>IF(AV1860=0,0,$BG$1825*$AP$1814)</f>
        <v>0</v>
      </c>
      <c r="BD1860">
        <f>IFERROR(BC1860/$AU$1825,0)</f>
        <v>0</v>
      </c>
      <c r="BE1860">
        <f>BC1860*($F$22+IF($F$22=0,0,($C$14+$C$15+IF($C$13="single",1.5,3)+3)/12))</f>
        <v>0</v>
      </c>
      <c r="BF1860">
        <f>BE1860-AZ1860</f>
        <v>0</v>
      </c>
      <c r="BG1860" cm="1">
        <f t="array" ref="BG1860">IFERROR(IF(BF1860&lt;0,0,BF1860/($AU$1825-INDEX(hd_off,MATCH(BT1860,hd_mark,0),0)/12)),0)</f>
        <v>0</v>
      </c>
      <c r="BH1860">
        <f>IF(AV1860=0,0,$BG$1825*$AM$1814)</f>
        <v>0</v>
      </c>
      <c r="BI1860">
        <f>IFERROR(BH1860/$AU$1825,0)</f>
        <v>0</v>
      </c>
      <c r="BJ1860">
        <f>BH1860*($F$22+IF($F$22=0,0,($C$14+$C$15+IF($C$13="single",1.5,3)+3)/12))</f>
        <v>0</v>
      </c>
      <c r="BK1860">
        <f>BJ1860-BA1860</f>
        <v>0</v>
      </c>
      <c r="BL1860" cm="1">
        <f t="array" ref="BL1860">IFERROR(IF(BK1860&lt;0,0,BK1860/($AU$1825-INDEX(hd_off,MATCH(BT1860,hd_mark,0),0)/12)),0)</f>
        <v>0</v>
      </c>
      <c r="BM1860">
        <f>MAX($F$22,$BC$1825)/$Q$1844</f>
        <v>0.30172413793103448</v>
      </c>
      <c r="BN1860">
        <f t="shared" ref="BN1860:BN1863" si="1159">IF(BM1860=0,0,IF(BM1860&gt;2,1.25-0.125*BM1860,1))</f>
        <v>1</v>
      </c>
      <c r="BO1860" cm="1">
        <f t="array" ref="BO1860">IFERROR(INDEX(sheath_ecap_asd,MATCH(BS1860,sheath_mark,0),0)*BN1860,0)</f>
        <v>0</v>
      </c>
      <c r="BP1860" cm="1">
        <f t="array" ref="BP1860">IFERROR(INDEX(sheath_wcap_asd,MATCH(BS1860,sheath_mark,0),0)*BN1860,0)</f>
        <v>0</v>
      </c>
      <c r="BQ1860" cm="1">
        <f t="array" ref="BQ1860">IFERROR(INDEX(hd_cap,MATCH(BT1860,hd_mark,0),0),0)</f>
        <v>0</v>
      </c>
      <c r="BS1860" s="19"/>
      <c r="BT1860" s="19"/>
      <c r="BU1860" s="100"/>
    </row>
    <row r="1861" x14ac:dyDescent="0.25">
      <c r="B1861" s="1"/>
      <c r="P1861" s="93"/>
      <c r="Q1861" s="109" t="s">
        <v>491</v>
      </c>
      <c r="R1861" t="str">
        <f>$Q$1815</f>
        <v>L4</v>
      </c>
      <c r="S1861">
        <f>$E$23</f>
        <v>0</v>
      </c>
      <c r="T1861" cm="1">
        <f t="array" ref="T1861">IFERROR(IF(S1861=0,0,(INDEX($C$33:$C$38,MATCH($W$1825,$B$33:$B$38,0),0)*(S1863+$X$1825)+$T$1825*COUNTIF(S1861:S1862,"&gt;0")*$C$32+$V$1825*$C$31)*$R$1825),0)</f>
        <v>0</v>
      </c>
      <c r="U1861">
        <f>IF(S1861=0,0,-(COUNTIF(S1861:S1862,"&gt;0")*$T$1825*$C$32+$V$1825*$C$31)*$H$27*$R$1825)</f>
        <v>0</v>
      </c>
      <c r="V1861">
        <f>IF(S1861=0,0,$V$1825*$H$26*$R$1825)</f>
        <v>0</v>
      </c>
      <c r="W1861">
        <f>(0.6*T1861+0.7*U1861)*$R$1825/2</f>
        <v>0</v>
      </c>
      <c r="X1861">
        <f>T1861*$R$1825/2</f>
        <v>0</v>
      </c>
      <c r="Z1861">
        <f>IF(S1861=0,0,$AD$1825*$AP$1815)</f>
        <v>0</v>
      </c>
      <c r="AA1861">
        <f>IFERROR(Z1861/$R$1825,0)</f>
        <v>0</v>
      </c>
      <c r="AB1861">
        <f>Z1861*($F$23+IF($F$23=0,0,($C$14+$C$15+IF($C$13="single",1.5,3)+3)/12))</f>
        <v>0</v>
      </c>
      <c r="AC1861">
        <f>AB1861-W1861</f>
        <v>0</v>
      </c>
      <c r="AD1861" cm="1">
        <f t="array" ref="AD1861">IFERROR(IF(AC1861&lt;0,0,AC1861/($R$1825-INDEX(hd_off,MATCH(AQ1861,hd_mark,0),0)/12)),0)</f>
        <v>0</v>
      </c>
      <c r="AE1861">
        <f>IF(S1861=0,0,$AD$1825*$AM$1815)</f>
        <v>0</v>
      </c>
      <c r="AF1861">
        <f>IFERROR(AE1861/$R$1825,0)</f>
        <v>0</v>
      </c>
      <c r="AG1861">
        <f>AE1861*($F$23+IF($F$23=0,0,($C$14+$C$15+IF($C$13="single",1.5,3)+3)/12))</f>
        <v>0</v>
      </c>
      <c r="AH1861">
        <f>AG1861-X1861</f>
        <v>0</v>
      </c>
      <c r="AI1861" cm="1">
        <f t="array" ref="AI1861">IFERROR(IF(AH1861&lt;0,0,AH1861/($R$1825-INDEX(hd_off,MATCH(AQ1861,hd_mark,0),0)/12)),0)</f>
        <v>0</v>
      </c>
      <c r="AJ1861">
        <f>MAX($F$23,$AA$1825)/$Q$1844</f>
        <v>0</v>
      </c>
      <c r="AK1861">
        <f t="shared" si="1158"/>
        <v>0</v>
      </c>
      <c r="AL1861" cm="1">
        <f t="array" ref="AL1861">IFERROR(INDEX(sheath_ecap_asd,MATCH(AP1861,sheath_mark,0),0)*AK1861,0)</f>
        <v>0</v>
      </c>
      <c r="AM1861" cm="1">
        <f t="array" ref="AM1861">IFERROR(INDEX(sheath_wcap_asd,MATCH(AP1861,sheath_mark,0),0)*AK1861,0)</f>
        <v>0</v>
      </c>
      <c r="AN1861" cm="1">
        <f t="array" ref="AN1861">IFERROR(INDEX(hd_cap,MATCH(AQ1861,hd_mark,0),0),0)</f>
        <v>0</v>
      </c>
      <c r="AP1861" s="19"/>
      <c r="AQ1861" s="19"/>
      <c r="AR1861" s="100"/>
      <c r="AS1861" s="93"/>
      <c r="AT1861" s="109" t="s">
        <v>491</v>
      </c>
      <c r="AU1861" t="str">
        <f>$Q$1815</f>
        <v>L4</v>
      </c>
      <c r="AV1861">
        <f>$E$23</f>
        <v>0</v>
      </c>
      <c r="AW1861" cm="1">
        <f t="array" ref="AW1861">IFERROR(IF(AV1861=0,0,(INDEX($C$33:$C$38,MATCH($AZ$1825,$B$33:$B$38,0),0)*(AV1863+$BA$1825)+$AW$1825*COUNTIF(AV1861:AV1862,"&gt;0")*$C$32+$AY$1825*$C$31)*$AU$1825),0)</f>
        <v>0</v>
      </c>
      <c r="AX1861">
        <f>IF(AV1861=0,0,-(COUNTIF(AV1861:AV1862,"&gt;0")*$AW$1825*$C$32+$AY$1825*$C$31)*$H$27*$AU$1825)</f>
        <v>0</v>
      </c>
      <c r="AY1861">
        <f>IF(AV1861=0,0,$AY$1825*$H$26*$AU$1825)</f>
        <v>0</v>
      </c>
      <c r="AZ1861">
        <f>(0.6*AW1861+0.7*AX1861)*$AU$1825/2</f>
        <v>0</v>
      </c>
      <c r="BA1861">
        <f>AW1861*$AU$1825/2</f>
        <v>0</v>
      </c>
      <c r="BC1861">
        <f>IF(AV1861=0,0,$BG$1825*$AP$1815)</f>
        <v>0</v>
      </c>
      <c r="BD1861">
        <f>IFERROR(BC1861/$AU$1825,0)</f>
        <v>0</v>
      </c>
      <c r="BE1861">
        <f>BC1861*($F$23+IF($F$23=0,0,($C$14+$C$15+IF($C$13="single",1.5,3)+3)/12))</f>
        <v>0</v>
      </c>
      <c r="BF1861">
        <f>BE1861-AZ1861</f>
        <v>0</v>
      </c>
      <c r="BG1861" cm="1">
        <f t="array" ref="BG1861">IFERROR(IF(BF1861&lt;0,0,BF1861/($AU$1825-INDEX(hd_off,MATCH(BT1861,hd_mark,0),0)/12)),0)</f>
        <v>0</v>
      </c>
      <c r="BH1861">
        <f>IF(AV1861=0,0,$BG$1825*$AM$1815)</f>
        <v>0</v>
      </c>
      <c r="BI1861">
        <f>IFERROR(BH1861/$AU$1825,0)</f>
        <v>0</v>
      </c>
      <c r="BJ1861">
        <f>BH1861*($F$23+IF($F$23=0,0,($C$14+$C$15+IF($C$13="single",1.5,3)+3)/12))</f>
        <v>0</v>
      </c>
      <c r="BK1861">
        <f>BJ1861-BA1861</f>
        <v>0</v>
      </c>
      <c r="BL1861" cm="1">
        <f t="array" ref="BL1861">IFERROR(IF(BK1861&lt;0,0,BK1861/($AU$1825-INDEX(hd_off,MATCH(BT1861,hd_mark,0),0)/12)),0)</f>
        <v>0</v>
      </c>
      <c r="BM1861">
        <f>MAX($F$23,$BD$1825)/$Q$1844</f>
        <v>0</v>
      </c>
      <c r="BN1861">
        <f t="shared" si="1159"/>
        <v>0</v>
      </c>
      <c r="BO1861" cm="1">
        <f t="array" ref="BO1861">IFERROR(INDEX(sheath_ecap_asd,MATCH(BS1861,sheath_mark,0),0)*BN1861,0)</f>
        <v>0</v>
      </c>
      <c r="BP1861" cm="1">
        <f t="array" ref="BP1861">IFERROR(INDEX(sheath_wcap_asd,MATCH(BS1861,sheath_mark,0),0)*BN1861,0)</f>
        <v>0</v>
      </c>
      <c r="BQ1861" cm="1">
        <f t="array" ref="BQ1861">IFERROR(INDEX(hd_cap,MATCH(BT1861,hd_mark,0),0),0)</f>
        <v>0</v>
      </c>
      <c r="BS1861" s="19"/>
      <c r="BT1861" s="19"/>
      <c r="BU1861" s="100"/>
    </row>
    <row r="1862" x14ac:dyDescent="0.25">
      <c r="P1862" s="93"/>
      <c r="Q1862" s="111">
        <f>$R$1825</f>
        <v>0</v>
      </c>
      <c r="R1862" t="str">
        <f>$Q$1816</f>
        <v>L5</v>
      </c>
      <c r="S1862">
        <f>$E$24</f>
        <v>0</v>
      </c>
      <c r="T1862" cm="1">
        <f t="array" ref="T1862">IFERROR(IF(S1862=0,0,(INDEX($C$33:$C$38,MATCH($W$1825,$B$33:$B$38,0),0)*(S1863+$X$1825)+$T$1825*COUNTIF(S1862:S1862,"&gt;0")*$C$32+$V$1825*$C$31)*$R$1825),0)</f>
        <v>0</v>
      </c>
      <c r="U1862">
        <f>IF(S1862=0,0,-(COUNTIF(S1862:S1862,"&gt;0")*$T$1825*$C$32+$V$1825*$C$31)*$H$27*$R$1825)</f>
        <v>0</v>
      </c>
      <c r="V1862">
        <f>IF(S1862=0,0,$V$1825*$H$26*$R$1825)</f>
        <v>0</v>
      </c>
      <c r="W1862">
        <f>(0.6*T1862+0.7*U1862)*$R$1825/2</f>
        <v>0</v>
      </c>
      <c r="X1862">
        <f>T1862*$R$1825/2</f>
        <v>0</v>
      </c>
      <c r="Z1862">
        <f>IF(S1862=0,0,$AD$1825*$AP$1816)</f>
        <v>0</v>
      </c>
      <c r="AA1862">
        <f>IFERROR(Z1862/$R$1825,0)</f>
        <v>0</v>
      </c>
      <c r="AB1862">
        <f>Z1862*($F$24+IF($F$24=0,0,($C$14+$C$15+IF($C$13="single",1.5,3)+3)/12))</f>
        <v>0</v>
      </c>
      <c r="AC1862">
        <f>AB1862-W1862</f>
        <v>0</v>
      </c>
      <c r="AD1862" cm="1">
        <f t="array" ref="AD1862">IFERROR(IF(AC1862&lt;0,0,AC1862/($R$1825-INDEX(hd_off,MATCH(AQ1862,hd_mark,0),0)/12)),0)</f>
        <v>0</v>
      </c>
      <c r="AE1862">
        <f>IF(S1862=0,0,$AD$1825*$AM$1816)</f>
        <v>0</v>
      </c>
      <c r="AF1862">
        <f>IFERROR(AE1862/$R$1825,0)</f>
        <v>0</v>
      </c>
      <c r="AG1862">
        <f>AE1862*($F$24+IF($F$24=0,0,($C$14+$C$15+IF($C$13="single",1.5,3)+3)/12))</f>
        <v>0</v>
      </c>
      <c r="AH1862">
        <f>AG1862-X1862</f>
        <v>0</v>
      </c>
      <c r="AI1862" cm="1">
        <f t="array" ref="AI1862">IFERROR(IF(AH1862&lt;0,0,AH1862/($R$1825-INDEX(hd_off,MATCH(AQ1862,hd_mark,0),0)/12)),0)</f>
        <v>0</v>
      </c>
      <c r="AJ1862">
        <f>MAX($F$24,$AB$1825)/$Q$1844</f>
        <v>0</v>
      </c>
      <c r="AK1862">
        <f t="shared" si="1158"/>
        <v>0</v>
      </c>
      <c r="AL1862" cm="1">
        <f t="array" ref="AL1862">IFERROR(INDEX(sheath_ecap_asd,MATCH(AP1862,sheath_mark,0),0)*AK1862,0)</f>
        <v>0</v>
      </c>
      <c r="AM1862" cm="1">
        <f t="array" ref="AM1862">IFERROR(INDEX(sheath_wcap_asd,MATCH(AP1862,sheath_mark,0),0)*AK1862,0)</f>
        <v>0</v>
      </c>
      <c r="AN1862" cm="1">
        <f t="array" ref="AN1862">IFERROR(INDEX(hd_cap,MATCH(AQ1862,hd_mark,0),0),0)</f>
        <v>0</v>
      </c>
      <c r="AP1862" s="19"/>
      <c r="AQ1862" s="19"/>
      <c r="AR1862" s="100"/>
      <c r="AS1862" s="93"/>
      <c r="AT1862" s="111">
        <f>$R$1825</f>
        <v>0</v>
      </c>
      <c r="AU1862" t="str">
        <f>$Q$1816</f>
        <v>L5</v>
      </c>
      <c r="AV1862">
        <f>$E$24</f>
        <v>0</v>
      </c>
      <c r="AW1862" cm="1">
        <f t="array" ref="AW1862">IFERROR(IF(AV1862=0,0,(INDEX($C$33:$C$38,MATCH($AZ$1825,$B$33:$B$38,0),0)*(AV1863+$BA$1825)+$AW$1825*COUNTIF(AV1862:AV1862,"&gt;0")*$C$32+$AY$1825*$C$31)*$AU$1825),0)</f>
        <v>0</v>
      </c>
      <c r="AX1862">
        <f>IF(AV1862=0,0,-(COUNTIF(AV1862:AV1862,"&gt;0")*$AW$1825*$C$32+$AY$1825*$C$31)*$H$27*$AU$1825)</f>
        <v>0</v>
      </c>
      <c r="AY1862">
        <f>IF(AV1862=0,0,$AY$1825*$H$26*$AU$1825)</f>
        <v>0</v>
      </c>
      <c r="AZ1862">
        <f>(0.6*AW1862+0.7*AX1862)*$AU$1825/2</f>
        <v>0</v>
      </c>
      <c r="BA1862">
        <f>AW1862*$AU$1825/2</f>
        <v>0</v>
      </c>
      <c r="BC1862">
        <f>IF(AV1862=0,0,$BG$1825*$AP$1816)</f>
        <v>0</v>
      </c>
      <c r="BD1862">
        <f>IFERROR(BC1862/$AU$1825,0)</f>
        <v>0</v>
      </c>
      <c r="BE1862">
        <f>BC1862*($F$24+IF($F$24=0,0,($C$14+$C$15+IF($C$13="single",1.5,3)+3)/12))</f>
        <v>0</v>
      </c>
      <c r="BF1862">
        <f>BE1862-AZ1862</f>
        <v>0</v>
      </c>
      <c r="BG1862" cm="1">
        <f t="array" ref="BG1862">IFERROR(IF(BF1862&lt;0,0,BF1862/($AU$1825-INDEX(hd_off,MATCH(BT1862,hd_mark,0),0)/12)),0)</f>
        <v>0</v>
      </c>
      <c r="BH1862">
        <f>IF(AV1862=0,0,$BG$1825*$AM$1816)</f>
        <v>0</v>
      </c>
      <c r="BI1862">
        <f>IFERROR(BH1862/$AU$1825,0)</f>
        <v>0</v>
      </c>
      <c r="BJ1862">
        <f>BH1862*($F$24+IF($F$24=0,0,($C$14+$C$15+IF($C$13="single",1.5,3)+3)/12))</f>
        <v>0</v>
      </c>
      <c r="BK1862">
        <f>BJ1862-BA1862</f>
        <v>0</v>
      </c>
      <c r="BL1862" cm="1">
        <f t="array" ref="BL1862">IFERROR(IF(BK1862&lt;0,0,BK1862/($AU$1825-INDEX(hd_off,MATCH(BT1862,hd_mark,0),0)/12)),0)</f>
        <v>0</v>
      </c>
      <c r="BM1862">
        <f>MAX($F$24,$BE$1825)/$Q$1844</f>
        <v>0</v>
      </c>
      <c r="BN1862">
        <f t="shared" si="1159"/>
        <v>0</v>
      </c>
      <c r="BO1862" cm="1">
        <f t="array" ref="BO1862">IFERROR(INDEX(sheath_ecap_asd,MATCH(BS1862,sheath_mark,0),0)*BN1862,0)</f>
        <v>0</v>
      </c>
      <c r="BP1862" cm="1">
        <f t="array" ref="BP1862">IFERROR(INDEX(sheath_wcap_asd,MATCH(BS1862,sheath_mark,0),0)*BN1862,0)</f>
        <v>0</v>
      </c>
      <c r="BQ1862" cm="1">
        <f t="array" ref="BQ1862">IFERROR(INDEX(hd_cap,MATCH(BT1862,hd_mark,0),0),0)</f>
        <v>0</v>
      </c>
      <c r="BS1862" s="19"/>
      <c r="BT1862" s="19"/>
      <c r="BU1862" s="100"/>
    </row>
    <row r="1863" x14ac:dyDescent="0.25">
      <c r="P1863" s="93"/>
      <c r="Q1863" s="109"/>
      <c r="R1863" t="str">
        <f>$Q$1817</f>
        <v>Roof</v>
      </c>
      <c r="S1863">
        <f>$E$25</f>
        <v>33.171875</v>
      </c>
      <c r="T1863" cm="1">
        <f t="array" ref="T1863">IFERROR(IF(S1863=0,0,(INDEX($C$33:$C$38,MATCH($W$1825,$B$33:$B$38,0),0)*(S1863+$X$1825)+$V$1825*$C$31)*$R$1825),0)</f>
        <v>0</v>
      </c>
      <c r="U1863">
        <f>IF(S1863=0,0,-$V$1825*$C$31*$H$27*$R$1825)</f>
        <v>0</v>
      </c>
      <c r="V1863">
        <f>IF(S1863=0,0,$V$1825*$H$26*$R$1825)</f>
        <v>0</v>
      </c>
      <c r="W1863">
        <f>(0.6*T1863+0.7*U1863)*$R$1825/2</f>
        <v>0</v>
      </c>
      <c r="X1863">
        <f>T1863*$R$1825/2</f>
        <v>0</v>
      </c>
      <c r="Z1863">
        <f>IF(S1863=0,0,$AD$1825*$AP$1817)</f>
        <v>0</v>
      </c>
      <c r="AA1863">
        <f>IFERROR(Z1863/$R$1825,0)</f>
        <v>0</v>
      </c>
      <c r="AB1863">
        <f>Z1863*($F$25+($C$16+$C$17+IF($C$13="single",1.5,3)+3)/12)</f>
        <v>0</v>
      </c>
      <c r="AC1863">
        <f>AB1863-W1863</f>
        <v>0</v>
      </c>
      <c r="AD1863" cm="1">
        <f t="array" ref="AD1863">IFERROR(IF(AC1863&lt;0,0,AC1863/($R$1825-INDEX(hd_off,MATCH(AQ1863,hd_mark,0),0)/12)),0)</f>
        <v>0</v>
      </c>
      <c r="AE1863">
        <f>IF(S1863=0,0,$AD$1825*$AM$1817)</f>
        <v>0</v>
      </c>
      <c r="AF1863">
        <f>IFERROR(AE1863/$R$1825,0)</f>
        <v>0</v>
      </c>
      <c r="AG1863">
        <f>AE1863*($F$25+($C$16+$C$17+IF($C$13="single",1.5,3)+3)/12)</f>
        <v>0</v>
      </c>
      <c r="AH1863">
        <f>AG1863-X1863</f>
        <v>0</v>
      </c>
      <c r="AI1863" cm="1">
        <f t="array" ref="AI1863">IFERROR(IF(AH1863&lt;0,0,AH1863/($R$1825-INDEX(hd_off,MATCH(AQ1863,hd_mark,0),0)/12)),0)</f>
        <v>0</v>
      </c>
      <c r="AJ1863">
        <f>MAX($F$25,$AC$1825)/$Q$1844</f>
        <v>0.29920977011494249</v>
      </c>
      <c r="AK1863">
        <f t="shared" si="1158"/>
        <v>1</v>
      </c>
      <c r="AL1863" cm="1">
        <f t="array" ref="AL1863">IFERROR(INDEX(sheath_ecap_asd,MATCH(AP1863,sheath_mark,0),0)*AK1863,0)</f>
        <v>0</v>
      </c>
      <c r="AM1863" cm="1">
        <f t="array" ref="AM1863">IFERROR(INDEX(sheath_wcap_asd,MATCH(AP1863,sheath_mark,0),0)*AK1863,0)</f>
        <v>0</v>
      </c>
      <c r="AN1863" cm="1">
        <f t="array" ref="AN1863">IFERROR(INDEX(hd_cap,MATCH(AQ1863,hd_mark,0),0),0)</f>
        <v>0</v>
      </c>
      <c r="AP1863" s="19"/>
      <c r="AQ1863" s="19"/>
      <c r="AR1863" s="100"/>
      <c r="AS1863" s="93"/>
      <c r="AT1863" s="109"/>
      <c r="AU1863" t="str">
        <f>$Q$1817</f>
        <v>Roof</v>
      </c>
      <c r="AV1863">
        <f>$E$25</f>
        <v>33.171875</v>
      </c>
      <c r="AW1863" cm="1">
        <f t="array" ref="AW1863">IFERROR(IF(AV1863=0,0,(INDEX($C$33:$C$38,MATCH($AZ$1825,$B$33:$B$38,0),0)*(AV1863+$BA$1825)+$AY$1825*$C$31)*$AU$1825),0)</f>
        <v>0</v>
      </c>
      <c r="AX1863">
        <f>IF(AV1863=0,0,-$AY$1825*$C$31*$H$27*$AU$1825)</f>
        <v>0</v>
      </c>
      <c r="AY1863">
        <f>IF(AV1863=0,0,$AY$1825*$H$26*$AU$1825)</f>
        <v>0</v>
      </c>
      <c r="AZ1863">
        <f>(0.6*AW1863+0.7*AX1863)*$AU$1825/2</f>
        <v>0</v>
      </c>
      <c r="BA1863">
        <f>AW1863*$AU$1825/2</f>
        <v>0</v>
      </c>
      <c r="BC1863">
        <f>IF(AV1863=0,0,$BG$1825*$AP$1817)</f>
        <v>0</v>
      </c>
      <c r="BD1863">
        <f>IFERROR(BC1863/$AU$1825,0)</f>
        <v>0</v>
      </c>
      <c r="BE1863">
        <f>BC1863*($F$25+($C$16+$C$17+IF($C$13="single",1.5,3)+3)/12)</f>
        <v>0</v>
      </c>
      <c r="BF1863">
        <f>BE1863-AZ1863</f>
        <v>0</v>
      </c>
      <c r="BG1863" cm="1">
        <f t="array" ref="BG1863">IFERROR(IF(BF1863&lt;0,0,BF1863/($AU$1825-INDEX(hd_off,MATCH(BT1863,hd_mark,0),0)/12)),0)</f>
        <v>0</v>
      </c>
      <c r="BH1863">
        <f>IF(AV1863=0,0,$BG$1825*$AM$1817)</f>
        <v>0</v>
      </c>
      <c r="BI1863">
        <f>IFERROR(BH1863/$AU$1825,0)</f>
        <v>0</v>
      </c>
      <c r="BJ1863">
        <f>BH1863*($F$25+($C$16+$C$17+IF($C$13="single",1.5,3)+3)/12)</f>
        <v>0</v>
      </c>
      <c r="BK1863">
        <f>BJ1863-BA1863</f>
        <v>0</v>
      </c>
      <c r="BL1863" cm="1">
        <f t="array" ref="BL1863">IFERROR(IF(BK1863&lt;0,0,BK1863/($AU$1825-INDEX(hd_off,MATCH(BT1863,hd_mark,0),0)/12)),0)</f>
        <v>0</v>
      </c>
      <c r="BM1863">
        <f>MAX($F$25,$BF$1825)/$Q$1844</f>
        <v>0.29920977011494249</v>
      </c>
      <c r="BN1863">
        <f t="shared" si="1159"/>
        <v>1</v>
      </c>
      <c r="BO1863" cm="1">
        <f t="array" ref="BO1863">IFERROR(INDEX(sheath_ecap_asd,MATCH(BS1863,sheath_mark,0),0)*BN1863,0)</f>
        <v>0</v>
      </c>
      <c r="BP1863" cm="1">
        <f t="array" ref="BP1863">IFERROR(INDEX(sheath_wcap_asd,MATCH(BS1863,sheath_mark,0),0)*BN1863,0)</f>
        <v>0</v>
      </c>
      <c r="BQ1863" cm="1">
        <f t="array" ref="BQ1863">IFERROR(INDEX(hd_cap,MATCH(BT1863,hd_mark,0),0),0)</f>
        <v>0</v>
      </c>
      <c r="BS1863" s="19"/>
      <c r="BT1863" s="19"/>
      <c r="BU1863" s="100"/>
    </row>
    <row r="1864" x14ac:dyDescent="0.25">
      <c r="P1864" s="93"/>
      <c r="AR1864" s="100"/>
      <c r="AS1864" s="93"/>
      <c r="BU1864" s="100"/>
    </row>
    <row r="1865" x14ac:dyDescent="0.25">
      <c r="P1865" s="93"/>
      <c r="Q1865" s="110" t="str">
        <f>$Q$1826</f>
        <v>A.05</v>
      </c>
      <c r="R1865" t="str">
        <f>$Q$1813</f>
        <v>L2</v>
      </c>
      <c r="S1865">
        <f>$E$21</f>
        <v>10.6875</v>
      </c>
      <c r="T1865" cm="1">
        <f t="array" ref="T1865">IFERROR(IF(S1865=0,0,(INDEX($C$33:$C$38,MATCH($W$1826,$B$33:$B$38,0),0)*(S1869+$X$1826)+$T$1826*COUNTIF(S1865:S1868,"&gt;0")*$C$32+$V$1826*$C$31)*$R$1826),0)</f>
        <v>0</v>
      </c>
      <c r="U1865">
        <f>IF(S1865=0,0,-(COUNTIF(S1865:S1868,"&gt;0")*$T$1826*$C$32+$V$1826*$C$31)*$H$27*$R$1826)</f>
        <v>0</v>
      </c>
      <c r="V1865">
        <f>IF(S1865=0,0,$V$1826*$H$26*$R$1826)</f>
        <v>0</v>
      </c>
      <c r="W1865">
        <f>(0.6*T1865+0.7*U1865)*$R$1826/2</f>
        <v>0</v>
      </c>
      <c r="X1865">
        <f>(0.6*T1865+0.6*V1865)*$R$1826/2</f>
        <v>0</v>
      </c>
      <c r="Z1865">
        <f>IF(S1865=0,0,$AD$1826*$AP$1813)</f>
        <v>0</v>
      </c>
      <c r="AA1865">
        <f>IFERROR(Z1865/$R$1826,0)</f>
        <v>0</v>
      </c>
      <c r="AB1865">
        <f>Z1865*($F$21+IF($F$21=0,0,($C$14+$C$15+IF($C$13="single",1.5,3)+3)/12))</f>
        <v>0</v>
      </c>
      <c r="AC1865">
        <f>AB1865-W1865</f>
        <v>0</v>
      </c>
      <c r="AD1865" cm="1">
        <f t="array" ref="AD1865">IFERROR(IF(AC1865&lt;0,0,AC1865/($R$1826-INDEX(hd_off,MATCH(AQ1865,hd_mark,0),0)/12)),0)</f>
        <v>0</v>
      </c>
      <c r="AE1865">
        <f>IF(S1865=0,0,$AD$1826*$AM$1813)</f>
        <v>0</v>
      </c>
      <c r="AF1865">
        <f>IFERROR(AE1865/$R$1826,0)</f>
        <v>0</v>
      </c>
      <c r="AG1865">
        <f>AE1865*($F$21+IF($F$21=0,0,($C$14+$C$15+IF($C$13="single",1.5,3)+3)/12))</f>
        <v>0</v>
      </c>
      <c r="AH1865">
        <f>AG1865-X1865</f>
        <v>0</v>
      </c>
      <c r="AI1865" cm="1">
        <f t="array" ref="AI1865">IFERROR(IF(AH1865&lt;0,0,AH1865/($R$1826-INDEX(hd_off,MATCH(AQ1865,hd_mark,0),0)/12)),0)</f>
        <v>0</v>
      </c>
      <c r="AJ1865">
        <f>MAX($F$21,$Y$1826)/$Q$1844</f>
        <v>0.30172413793103448</v>
      </c>
      <c r="AK1865">
        <f>IF(AJ1865=0,0,IF(AJ1865&gt;2,1.25-0.125*AJ1865,1))</f>
        <v>1</v>
      </c>
      <c r="AL1865" cm="1">
        <f t="array" ref="AL1865">IFERROR(INDEX(sheath_ecap_asd,MATCH(AP1865,sheath_mark,0),0)*AK1865,0)</f>
        <v>0</v>
      </c>
      <c r="AM1865" cm="1">
        <f t="array" ref="AM1865">IFERROR(INDEX(sheath_wcap_asd,MATCH(AP1865,sheath_mark,0),0)*AK1865,0)</f>
        <v>0</v>
      </c>
      <c r="AN1865" cm="1">
        <f t="array" ref="AN1865">IFERROR(INDEX(hd_cap,MATCH(AQ1865,hd_mark,0),0),0)</f>
        <v>0</v>
      </c>
      <c r="AP1865" s="19"/>
      <c r="AQ1865" s="19"/>
      <c r="AR1865" s="100"/>
      <c r="AS1865" s="93"/>
      <c r="AT1865" s="110" t="str">
        <f>$AT$1826</f>
        <v>1.05</v>
      </c>
      <c r="AU1865" t="str">
        <f>$Q$1813</f>
        <v>L2</v>
      </c>
      <c r="AV1865">
        <f>$E$21</f>
        <v>10.6875</v>
      </c>
      <c r="AW1865" cm="1">
        <f t="array" ref="AW1865">IFERROR(IF(AV1865=0,0,(INDEX($C$33:$C$38,MATCH($AZ$1826,$B$33:$B$38,0),0)*(AV1869+$BA$1826)+$AW$1826*COUNTIF(AV1865:AV1868,"&gt;0")*$C$32+$AY$1826*$C$31)*$AU$1826),0)</f>
        <v>0</v>
      </c>
      <c r="AX1865">
        <f>IF(AV1865=0,0,-(COUNTIF(AV1865:AV1868,"&gt;0")*$AW$1826*$C$32+$AY$1826*$C$31)*$H$27*$AU$1826)</f>
        <v>0</v>
      </c>
      <c r="AY1865">
        <f>IF(AV1865=0,0,$AY$1826*$H$26*$AU$1826)</f>
        <v>0</v>
      </c>
      <c r="AZ1865">
        <f>(0.6*AW1865+0.7*AX1865)*$AU$1826/2</f>
        <v>0</v>
      </c>
      <c r="BA1865">
        <f>(0.6*AW1865+0.6*AY1865)*$AU$1826/2</f>
        <v>0</v>
      </c>
      <c r="BC1865">
        <f>IF(AV1865=0,0,$BG$1826*$AP$1813)</f>
        <v>0</v>
      </c>
      <c r="BD1865">
        <f>IFERROR(BC1865/$AU$1826,0)</f>
        <v>0</v>
      </c>
      <c r="BE1865">
        <f>BC1865*($F$21+IF($F$21=0,0,($C$14+$C$15+IF($C$13="single",1.5,3)+3)/12))</f>
        <v>0</v>
      </c>
      <c r="BF1865">
        <f>BE1865-AZ1865</f>
        <v>0</v>
      </c>
      <c r="BG1865" cm="1">
        <f t="array" ref="BG1865">IFERROR(IF(BF1865&lt;0,0,BF1865/($AU$1826-INDEX(hd_off,MATCH(BT1865,hd_mark,0),0)/12)),0)</f>
        <v>0</v>
      </c>
      <c r="BH1865">
        <f>IF(AV1865=0,0,$BG$1826*$AM$1813)</f>
        <v>0</v>
      </c>
      <c r="BI1865">
        <f>IFERROR(BH1865/$AU$1826,0)</f>
        <v>0</v>
      </c>
      <c r="BJ1865">
        <f>BH1865*($F$21+IF($F$21=0,0,($C$14+$C$15+IF($C$13="single",1.5,3)+3)/12))</f>
        <v>0</v>
      </c>
      <c r="BK1865">
        <f>BJ1865-BA1865</f>
        <v>0</v>
      </c>
      <c r="BL1865" cm="1">
        <f t="array" ref="BL1865">IFERROR(IF(BK1865&lt;0,0,BK1865/($AU$1826-INDEX(hd_off,MATCH(BT1865,hd_mark,0),0)/12)),0)</f>
        <v>0</v>
      </c>
      <c r="BM1865">
        <f>MAX($F$21,$BB$1826)/$Q$1844</f>
        <v>0.30172413793103448</v>
      </c>
      <c r="BN1865">
        <f>IF(BM1865=0,0,IF(BM1865&gt;2,1.25-0.125*BM1865,1))</f>
        <v>1</v>
      </c>
      <c r="BO1865" cm="1">
        <f t="array" ref="BO1865">IFERROR(INDEX(sheath_ecap_asd,MATCH(BS1865,sheath_mark,0),0)*BN1865,0)</f>
        <v>0</v>
      </c>
      <c r="BP1865" cm="1">
        <f t="array" ref="BP1865">IFERROR(INDEX(sheath_wcap_asd,MATCH(BS1865,sheath_mark,0),0)*BN1865,0)</f>
        <v>0</v>
      </c>
      <c r="BQ1865" cm="1">
        <f t="array" ref="BQ1865">IFERROR(INDEX(hd_cap,MATCH(BT1865,hd_mark,0),0),0)</f>
        <v>0</v>
      </c>
      <c r="BS1865" s="19"/>
      <c r="BT1865" s="19"/>
      <c r="BU1865" s="100"/>
    </row>
    <row r="1866" x14ac:dyDescent="0.25">
      <c r="B1866" s="1"/>
      <c r="P1866" s="93"/>
      <c r="Q1866" s="109"/>
      <c r="R1866" t="str">
        <f>$Q$1814</f>
        <v>L3</v>
      </c>
      <c r="S1866">
        <f>$E$22</f>
        <v>21.375</v>
      </c>
      <c r="T1866" cm="1">
        <f t="array" ref="T1866">IFERROR(IF(S1866=0,0,(INDEX($C$33:$C$38,MATCH($W$1826,$B$33:$B$38,0),0)*(S1869+$X$1826)+$T$1826*COUNTIF(S1866:S1868,"&gt;0")*$C$32+$V$1826*$C$31)*$R$1826),0)</f>
        <v>0</v>
      </c>
      <c r="U1866">
        <f>IF(S1866=0,0,-(COUNTIF(S1866:S1868,"&gt;0")*$T$1826*$C$32+$V$1826*$C$31)*$H$27*$R$1826)</f>
        <v>0</v>
      </c>
      <c r="V1866">
        <f>IF(S1866=0,0,$V$1826*$H$26*$R$1826)</f>
        <v>0</v>
      </c>
      <c r="W1866">
        <f>(0.6*T1866+0.7*U1866)*$R$1826/2</f>
        <v>0</v>
      </c>
      <c r="X1866">
        <f>T1866*$R$1826/2</f>
        <v>0</v>
      </c>
      <c r="Z1866">
        <f>IF(S1866=0,0,$AD$1826*$AP$1814)</f>
        <v>0</v>
      </c>
      <c r="AA1866">
        <f>IFERROR(Z1866/$R$1826,0)</f>
        <v>0</v>
      </c>
      <c r="AB1866">
        <f>Z1866*($F$22+IF($F$22=0,0,($C$14+$C$15+IF($C$13="single",1.5,3)+3)/12))</f>
        <v>0</v>
      </c>
      <c r="AC1866">
        <f>AB1866-W1866</f>
        <v>0</v>
      </c>
      <c r="AD1866" cm="1">
        <f t="array" ref="AD1866">IFERROR(IF(AC1866&lt;0,0,AC1866/($R$1826-INDEX(hd_off,MATCH(AQ1866,hd_mark,0),0)/12)),0)</f>
        <v>0</v>
      </c>
      <c r="AE1866">
        <f>IF(S1866=0,0,$AD$1826*$AM$1814)</f>
        <v>0</v>
      </c>
      <c r="AF1866">
        <f>IFERROR(AE1866/$R$1826,0)</f>
        <v>0</v>
      </c>
      <c r="AG1866">
        <f>AE1866*($F$22+IF($F$22=0,0,($C$14+$C$15+IF($C$13="single",1.5,3)+3)/12))</f>
        <v>0</v>
      </c>
      <c r="AH1866">
        <f>AG1866-X1866</f>
        <v>0</v>
      </c>
      <c r="AI1866" cm="1">
        <f t="array" ref="AI1866">IFERROR(IF(AH1866&lt;0,0,AH1866/($R$1826-INDEX(hd_off,MATCH(AQ1866,hd_mark,0),0)/12)),0)</f>
        <v>0</v>
      </c>
      <c r="AJ1866">
        <f>MAX($F$22,$Z$1826)/$Q$1844</f>
        <v>0.30172413793103448</v>
      </c>
      <c r="AK1866">
        <f t="shared" ref="AK1866:AK1869" si="1160">IF(AJ1866=0,0,IF(AJ1866&gt;2,1.25-0.125*AJ1866,1))</f>
        <v>1</v>
      </c>
      <c r="AL1866" cm="1">
        <f t="array" ref="AL1866">IFERROR(INDEX(sheath_ecap_asd,MATCH(AP1866,sheath_mark,0),0)*AK1866,0)</f>
        <v>0</v>
      </c>
      <c r="AM1866" cm="1">
        <f t="array" ref="AM1866">IFERROR(INDEX(sheath_wcap_asd,MATCH(AP1866,sheath_mark,0),0)*AK1866,0)</f>
        <v>0</v>
      </c>
      <c r="AN1866" cm="1">
        <f t="array" ref="AN1866">IFERROR(INDEX(hd_cap,MATCH(AQ1866,hd_mark,0),0),0)</f>
        <v>0</v>
      </c>
      <c r="AP1866" s="19"/>
      <c r="AQ1866" s="19"/>
      <c r="AR1866" s="100"/>
      <c r="AS1866" s="93"/>
      <c r="AT1866" s="109"/>
      <c r="AU1866" t="str">
        <f>$Q$1814</f>
        <v>L3</v>
      </c>
      <c r="AV1866">
        <f>$E$22</f>
        <v>21.375</v>
      </c>
      <c r="AW1866" cm="1">
        <f t="array" ref="AW1866">IFERROR(IF(AV1866=0,0,(INDEX($C$33:$C$38,MATCH($AZ$1826,$B$33:$B$38,0),0)*(AV1869+$BA$1826)+$AW$1826*COUNTIF(AV1866:AV1868,"&gt;0")*$C$32+$AY$1826*$C$31)*$AU$1826),0)</f>
        <v>0</v>
      </c>
      <c r="AX1866">
        <f>IF(AV1866=0,0,-(COUNTIF(AV1866:AV1868,"&gt;0")*$AW$1826*$C$32+$AY$1826*$C$31)*$H$27*$AU$1826)</f>
        <v>0</v>
      </c>
      <c r="AY1866">
        <f>IF(AV1866=0,0,$AY$1826*$H$26*$AU$1826)</f>
        <v>0</v>
      </c>
      <c r="AZ1866">
        <f>(0.6*AW1866+0.7*AX1866)*$AU$1826/2</f>
        <v>0</v>
      </c>
      <c r="BA1866">
        <f>AW1866*$AU$1826/2</f>
        <v>0</v>
      </c>
      <c r="BC1866">
        <f>IF(AV1866=0,0,$BG$1826*$AP$1814)</f>
        <v>0</v>
      </c>
      <c r="BD1866">
        <f>IFERROR(BC1866/$AU$1826,0)</f>
        <v>0</v>
      </c>
      <c r="BE1866">
        <f>BC1866*($F$22+IF($F$22=0,0,($C$14+$C$15+IF($C$13="single",1.5,3)+3)/12))</f>
        <v>0</v>
      </c>
      <c r="BF1866">
        <f>BE1866-AZ1866</f>
        <v>0</v>
      </c>
      <c r="BG1866" cm="1">
        <f t="array" ref="BG1866">IFERROR(IF(BF1866&lt;0,0,BF1866/($AU$1826-INDEX(hd_off,MATCH(BT1866,hd_mark,0),0)/12)),0)</f>
        <v>0</v>
      </c>
      <c r="BH1866">
        <f>IF(AV1866=0,0,$BG$1826*$AM$1814)</f>
        <v>0</v>
      </c>
      <c r="BI1866">
        <f>IFERROR(BH1866/$AU$1826,0)</f>
        <v>0</v>
      </c>
      <c r="BJ1866">
        <f>BH1866*($F$22+IF($F$22=0,0,($C$14+$C$15+IF($C$13="single",1.5,3)+3)/12))</f>
        <v>0</v>
      </c>
      <c r="BK1866">
        <f>BJ1866-BA1866</f>
        <v>0</v>
      </c>
      <c r="BL1866" cm="1">
        <f t="array" ref="BL1866">IFERROR(IF(BK1866&lt;0,0,BK1866/($AU$1826-INDEX(hd_off,MATCH(BT1866,hd_mark,0),0)/12)),0)</f>
        <v>0</v>
      </c>
      <c r="BM1866">
        <f>MAX($F$22,$BC$1826)/$Q$1844</f>
        <v>0.30172413793103448</v>
      </c>
      <c r="BN1866">
        <f t="shared" ref="BN1866:BN1869" si="1161">IF(BM1866=0,0,IF(BM1866&gt;2,1.25-0.125*BM1866,1))</f>
        <v>1</v>
      </c>
      <c r="BO1866" cm="1">
        <f t="array" ref="BO1866">IFERROR(INDEX(sheath_ecap_asd,MATCH(BS1866,sheath_mark,0),0)*BN1866,0)</f>
        <v>0</v>
      </c>
      <c r="BP1866" cm="1">
        <f t="array" ref="BP1866">IFERROR(INDEX(sheath_wcap_asd,MATCH(BS1866,sheath_mark,0),0)*BN1866,0)</f>
        <v>0</v>
      </c>
      <c r="BQ1866" cm="1">
        <f t="array" ref="BQ1866">IFERROR(INDEX(hd_cap,MATCH(BT1866,hd_mark,0),0),0)</f>
        <v>0</v>
      </c>
      <c r="BS1866" s="19"/>
      <c r="BT1866" s="19"/>
      <c r="BU1866" s="100"/>
    </row>
    <row r="1867" x14ac:dyDescent="0.25">
      <c r="P1867" s="93"/>
      <c r="Q1867" s="109" t="s">
        <v>491</v>
      </c>
      <c r="R1867" t="str">
        <f>$Q$1815</f>
        <v>L4</v>
      </c>
      <c r="S1867">
        <f>$E$23</f>
        <v>0</v>
      </c>
      <c r="T1867" cm="1">
        <f t="array" ref="T1867">IFERROR(IF(S1867=0,0,(INDEX($C$33:$C$38,MATCH($W$1826,$B$33:$B$38,0),0)*(S1869+$X$1826)+$T$1826*COUNTIF(S1867:S1868,"&gt;0")*$C$32+$V$1826*$C$31)*$R$1826),0)</f>
        <v>0</v>
      </c>
      <c r="U1867">
        <f>IF(S1867=0,0,-(COUNTIF(S1867:S1868,"&gt;0")*$T$1826*$C$32+$V$1826*$C$31)*$H$27*$R$1826)</f>
        <v>0</v>
      </c>
      <c r="V1867">
        <f>IF(S1867=0,0,$V$1826*$H$26*$R$1826)</f>
        <v>0</v>
      </c>
      <c r="W1867">
        <f>(0.6*T1867+0.7*U1867)*$R$1826/2</f>
        <v>0</v>
      </c>
      <c r="X1867">
        <f>T1867*$R$1826/2</f>
        <v>0</v>
      </c>
      <c r="Z1867">
        <f>IF(S1867=0,0,$AD$1826*$AP$1815)</f>
        <v>0</v>
      </c>
      <c r="AA1867">
        <f>IFERROR(Z1867/$R$1826,0)</f>
        <v>0</v>
      </c>
      <c r="AB1867">
        <f>Z1867*($F$23+IF($F$23=0,0,($C$14+$C$15+IF($C$13="single",1.5,3)+3)/12))</f>
        <v>0</v>
      </c>
      <c r="AC1867">
        <f>AB1867-W1867</f>
        <v>0</v>
      </c>
      <c r="AD1867" cm="1">
        <f t="array" ref="AD1867">IFERROR(IF(AC1867&lt;0,0,AC1867/($R$1826-INDEX(hd_off,MATCH(AQ1867,hd_mark,0),0)/12)),0)</f>
        <v>0</v>
      </c>
      <c r="AE1867">
        <f>IF(S1867=0,0,$AD$1826*$AM$1815)</f>
        <v>0</v>
      </c>
      <c r="AF1867">
        <f>IFERROR(AE1867/$R$1826,0)</f>
        <v>0</v>
      </c>
      <c r="AG1867">
        <f>AE1867*($F$23+IF($F$23=0,0,($C$14+$C$15+IF($C$13="single",1.5,3)+3)/12))</f>
        <v>0</v>
      </c>
      <c r="AH1867">
        <f>AG1867-X1867</f>
        <v>0</v>
      </c>
      <c r="AI1867" cm="1">
        <f t="array" ref="AI1867">IFERROR(IF(AH1867&lt;0,0,AH1867/($R$1826-INDEX(hd_off,MATCH(AQ1867,hd_mark,0),0)/12)),0)</f>
        <v>0</v>
      </c>
      <c r="AJ1867">
        <f>MAX($F$23,$AA$1826)/$Q$1844</f>
        <v>0</v>
      </c>
      <c r="AK1867">
        <f t="shared" si="1160"/>
        <v>0</v>
      </c>
      <c r="AL1867" cm="1">
        <f t="array" ref="AL1867">IFERROR(INDEX(sheath_ecap_asd,MATCH(AP1867,sheath_mark,0),0)*AK1867,0)</f>
        <v>0</v>
      </c>
      <c r="AM1867" cm="1">
        <f t="array" ref="AM1867">IFERROR(INDEX(sheath_wcap_asd,MATCH(AP1867,sheath_mark,0),0)*AK1867,0)</f>
        <v>0</v>
      </c>
      <c r="AN1867" cm="1">
        <f t="array" ref="AN1867">IFERROR(INDEX(hd_cap,MATCH(AQ1867,hd_mark,0),0),0)</f>
        <v>0</v>
      </c>
      <c r="AP1867" s="19"/>
      <c r="AQ1867" s="19"/>
      <c r="AR1867" s="100"/>
      <c r="AS1867" s="93"/>
      <c r="AT1867" s="109" t="s">
        <v>491</v>
      </c>
      <c r="AU1867" t="str">
        <f>$Q$1815</f>
        <v>L4</v>
      </c>
      <c r="AV1867">
        <f>$E$23</f>
        <v>0</v>
      </c>
      <c r="AW1867" cm="1">
        <f t="array" ref="AW1867">IFERROR(IF(AV1867=0,0,(INDEX($C$33:$C$38,MATCH($AZ$1826,$B$33:$B$38,0),0)*(AV1869+$BA$1826)+$AW$1826*COUNTIF(AV1867:AV1868,"&gt;0")*$C$32+$AY$1826*$C$31)*$AU$1826),0)</f>
        <v>0</v>
      </c>
      <c r="AX1867">
        <f>IF(AV1867=0,0,-(COUNTIF(AV1867:AV1868,"&gt;0")*$AW$1826*$C$32+$AY$1826*$C$31)*$H$27*$AU$1826)</f>
        <v>0</v>
      </c>
      <c r="AY1867">
        <f>IF(AV1867=0,0,$AY$1826*$H$26*$AU$1826)</f>
        <v>0</v>
      </c>
      <c r="AZ1867">
        <f>(0.6*AW1867+0.7*AX1867)*$AU$1826/2</f>
        <v>0</v>
      </c>
      <c r="BA1867">
        <f>AW1867*$AU$1826/2</f>
        <v>0</v>
      </c>
      <c r="BC1867">
        <f>IF(AV1867=0,0,$BG$1826*$AP$1815)</f>
        <v>0</v>
      </c>
      <c r="BD1867">
        <f>IFERROR(BC1867/$AU$1826,0)</f>
        <v>0</v>
      </c>
      <c r="BE1867">
        <f>BC1867*($F$23+IF($F$23=0,0,($C$14+$C$15+IF($C$13="single",1.5,3)+3)/12))</f>
        <v>0</v>
      </c>
      <c r="BF1867">
        <f>BE1867-AZ1867</f>
        <v>0</v>
      </c>
      <c r="BG1867" cm="1">
        <f t="array" ref="BG1867">IFERROR(IF(BF1867&lt;0,0,BF1867/($AU$1826-INDEX(hd_off,MATCH(BT1867,hd_mark,0),0)/12)),0)</f>
        <v>0</v>
      </c>
      <c r="BH1867">
        <f>IF(AV1867=0,0,$BG$1826*$AM$1815)</f>
        <v>0</v>
      </c>
      <c r="BI1867">
        <f>IFERROR(BH1867/$AU$1826,0)</f>
        <v>0</v>
      </c>
      <c r="BJ1867">
        <f>BH1867*($F$23+IF($F$23=0,0,($C$14+$C$15+IF($C$13="single",1.5,3)+3)/12))</f>
        <v>0</v>
      </c>
      <c r="BK1867">
        <f>BJ1867-BA1867</f>
        <v>0</v>
      </c>
      <c r="BL1867" cm="1">
        <f t="array" ref="BL1867">IFERROR(IF(BK1867&lt;0,0,BK1867/($AU$1826-INDEX(hd_off,MATCH(BT1867,hd_mark,0),0)/12)),0)</f>
        <v>0</v>
      </c>
      <c r="BM1867">
        <f>MAX($F$23,$BD$1826)/$Q$1844</f>
        <v>0</v>
      </c>
      <c r="BN1867">
        <f t="shared" si="1161"/>
        <v>0</v>
      </c>
      <c r="BO1867" cm="1">
        <f t="array" ref="BO1867">IFERROR(INDEX(sheath_ecap_asd,MATCH(BS1867,sheath_mark,0),0)*BN1867,0)</f>
        <v>0</v>
      </c>
      <c r="BP1867" cm="1">
        <f t="array" ref="BP1867">IFERROR(INDEX(sheath_wcap_asd,MATCH(BS1867,sheath_mark,0),0)*BN1867,0)</f>
        <v>0</v>
      </c>
      <c r="BQ1867" cm="1">
        <f t="array" ref="BQ1867">IFERROR(INDEX(hd_cap,MATCH(BT1867,hd_mark,0),0),0)</f>
        <v>0</v>
      </c>
      <c r="BS1867" s="19"/>
      <c r="BT1867" s="19"/>
      <c r="BU1867" s="100"/>
    </row>
    <row r="1868" x14ac:dyDescent="0.25">
      <c r="P1868" s="93"/>
      <c r="Q1868" s="111">
        <f>$R$1826</f>
        <v>0</v>
      </c>
      <c r="R1868" t="str">
        <f>$Q$1816</f>
        <v>L5</v>
      </c>
      <c r="S1868">
        <f>$E$24</f>
        <v>0</v>
      </c>
      <c r="T1868" cm="1">
        <f t="array" ref="T1868">IFERROR(IF(S1868=0,0,(INDEX($C$33:$C$38,MATCH($W$1826,$B$33:$B$38,0),0)*(S1869+$X$1826)+$T$1826*COUNTIF(S1868:S1868,"&gt;0")*$C$32+$V$1826*$C$31)*$R$1826),0)</f>
        <v>0</v>
      </c>
      <c r="U1868">
        <f>IF(S1868=0,0,-(COUNTIF(S1868:S1868,"&gt;0")*$T$1826*$C$32+$V$1826*$C$31)*$H$27*$R$1826)</f>
        <v>0</v>
      </c>
      <c r="V1868">
        <f>IF(S1868=0,0,$V$1826*$H$26*$R$1826)</f>
        <v>0</v>
      </c>
      <c r="W1868">
        <f>(0.6*T1868+0.7*U1868)*$R$1826/2</f>
        <v>0</v>
      </c>
      <c r="X1868">
        <f>T1868*$R$1826/2</f>
        <v>0</v>
      </c>
      <c r="Z1868">
        <f>IF(S1868=0,0,$AD$1826*$AP$1816)</f>
        <v>0</v>
      </c>
      <c r="AA1868">
        <f>IFERROR(Z1868/$R$1826,0)</f>
        <v>0</v>
      </c>
      <c r="AB1868">
        <f>Z1868*($F$24+IF($F$24=0,0,($C$14+$C$15+IF($C$13="single",1.5,3)+3)/12))</f>
        <v>0</v>
      </c>
      <c r="AC1868">
        <f>AB1868-W1868</f>
        <v>0</v>
      </c>
      <c r="AD1868" cm="1">
        <f t="array" ref="AD1868">IFERROR(IF(AC1868&lt;0,0,AC1868/($R$1826-INDEX(hd_off,MATCH(AQ1868,hd_mark,0),0)/12)),0)</f>
        <v>0</v>
      </c>
      <c r="AE1868">
        <f>IF(S1868=0,0,$AD$1826*$AM$1816)</f>
        <v>0</v>
      </c>
      <c r="AF1868">
        <f>IFERROR(AE1868/$R$1826,0)</f>
        <v>0</v>
      </c>
      <c r="AG1868">
        <f>AE1868*($F$24+IF($F$24=0,0,($C$14+$C$15+IF($C$13="single",1.5,3)+3)/12))</f>
        <v>0</v>
      </c>
      <c r="AH1868">
        <f>AG1868-X1868</f>
        <v>0</v>
      </c>
      <c r="AI1868" cm="1">
        <f t="array" ref="AI1868">IFERROR(IF(AH1868&lt;0,0,AH1868/($R$1826-INDEX(hd_off,MATCH(AQ1868,hd_mark,0),0)/12)),0)</f>
        <v>0</v>
      </c>
      <c r="AJ1868">
        <f>MAX($F$24,$AB$1826)/$Q$1844</f>
        <v>0</v>
      </c>
      <c r="AK1868">
        <f t="shared" si="1160"/>
        <v>0</v>
      </c>
      <c r="AL1868" cm="1">
        <f t="array" ref="AL1868">IFERROR(INDEX(sheath_ecap_asd,MATCH(AP1868,sheath_mark,0),0)*AK1868,0)</f>
        <v>0</v>
      </c>
      <c r="AM1868" cm="1">
        <f t="array" ref="AM1868">IFERROR(INDEX(sheath_wcap_asd,MATCH(AP1868,sheath_mark,0),0)*AK1868,0)</f>
        <v>0</v>
      </c>
      <c r="AN1868" cm="1">
        <f t="array" ref="AN1868">IFERROR(INDEX(hd_cap,MATCH(AQ1868,hd_mark,0),0),0)</f>
        <v>0</v>
      </c>
      <c r="AP1868" s="19"/>
      <c r="AQ1868" s="19"/>
      <c r="AR1868" s="100"/>
      <c r="AS1868" s="93"/>
      <c r="AT1868" s="111">
        <f>$R$1826</f>
        <v>0</v>
      </c>
      <c r="AU1868" t="str">
        <f>$Q$1816</f>
        <v>L5</v>
      </c>
      <c r="AV1868">
        <f>$E$24</f>
        <v>0</v>
      </c>
      <c r="AW1868" cm="1">
        <f t="array" ref="AW1868">IFERROR(IF(AV1868=0,0,(INDEX($C$33:$C$38,MATCH($AZ$1826,$B$33:$B$38,0),0)*(AV1869+$BA$1826)+$AW$1826*COUNTIF(AV1868:AV1868,"&gt;0")*$C$32+$AY$1826*$C$31)*$AU$1826),0)</f>
        <v>0</v>
      </c>
      <c r="AX1868">
        <f>IF(AV1868=0,0,-(COUNTIF(AV1868:AV1868,"&gt;0")*$AW$1826*$C$32+$AY$1826*$C$31)*$H$27*$AU$1826)</f>
        <v>0</v>
      </c>
      <c r="AY1868">
        <f>IF(AV1868=0,0,$AY$1826*$H$26*$AU$1826)</f>
        <v>0</v>
      </c>
      <c r="AZ1868">
        <f>(0.6*AW1868+0.7*AX1868)*$AU$1826/2</f>
        <v>0</v>
      </c>
      <c r="BA1868">
        <f>AW1868*$AU$1826/2</f>
        <v>0</v>
      </c>
      <c r="BC1868">
        <f>IF(AV1868=0,0,$BG$1826*$AP$1816)</f>
        <v>0</v>
      </c>
      <c r="BD1868">
        <f>IFERROR(BC1868/$AU$1826,0)</f>
        <v>0</v>
      </c>
      <c r="BE1868">
        <f>BC1868*($F$24+IF($F$24=0,0,($C$14+$C$15+IF($C$13="single",1.5,3)+3)/12))</f>
        <v>0</v>
      </c>
      <c r="BF1868">
        <f>BE1868-AZ1868</f>
        <v>0</v>
      </c>
      <c r="BG1868" cm="1">
        <f t="array" ref="BG1868">IFERROR(IF(BF1868&lt;0,0,BF1868/($AU$1826-INDEX(hd_off,MATCH(BT1868,hd_mark,0),0)/12)),0)</f>
        <v>0</v>
      </c>
      <c r="BH1868">
        <f>IF(AV1868=0,0,$BG$1826*$AM$1816)</f>
        <v>0</v>
      </c>
      <c r="BI1868">
        <f>IFERROR(BH1868/$AU$1826,0)</f>
        <v>0</v>
      </c>
      <c r="BJ1868">
        <f>BH1868*($F$24+IF($F$24=0,0,($C$14+$C$15+IF($C$13="single",1.5,3)+3)/12))</f>
        <v>0</v>
      </c>
      <c r="BK1868">
        <f>BJ1868-BA1868</f>
        <v>0</v>
      </c>
      <c r="BL1868" cm="1">
        <f t="array" ref="BL1868">IFERROR(IF(BK1868&lt;0,0,BK1868/($AU$1826-INDEX(hd_off,MATCH(BT1868,hd_mark,0),0)/12)),0)</f>
        <v>0</v>
      </c>
      <c r="BM1868">
        <f>MAX($F$24,$BE$1826)/$Q$1844</f>
        <v>0</v>
      </c>
      <c r="BN1868">
        <f t="shared" si="1161"/>
        <v>0</v>
      </c>
      <c r="BO1868" cm="1">
        <f t="array" ref="BO1868">IFERROR(INDEX(sheath_ecap_asd,MATCH(BS1868,sheath_mark,0),0)*BN1868,0)</f>
        <v>0</v>
      </c>
      <c r="BP1868" cm="1">
        <f t="array" ref="BP1868">IFERROR(INDEX(sheath_wcap_asd,MATCH(BS1868,sheath_mark,0),0)*BN1868,0)</f>
        <v>0</v>
      </c>
      <c r="BQ1868" cm="1">
        <f t="array" ref="BQ1868">IFERROR(INDEX(hd_cap,MATCH(BT1868,hd_mark,0),0),0)</f>
        <v>0</v>
      </c>
      <c r="BS1868" s="19"/>
      <c r="BT1868" s="19"/>
      <c r="BU1868" s="100"/>
    </row>
    <row r="1869" x14ac:dyDescent="0.25">
      <c r="P1869" s="93"/>
      <c r="Q1869" s="109"/>
      <c r="R1869" t="str">
        <f>$Q$1817</f>
        <v>Roof</v>
      </c>
      <c r="S1869">
        <f>$E$25</f>
        <v>33.171875</v>
      </c>
      <c r="T1869" cm="1">
        <f t="array" ref="T1869">IFERROR(IF(S1869=0,0,(INDEX($C$33:$C$38,MATCH($W$1826,$B$33:$B$38,0),0)*(S1869+$X$1826)+$V$1826*$C$31)*$R$1826),0)</f>
        <v>0</v>
      </c>
      <c r="U1869">
        <f>IF(S1869=0,0,-$V$1826*$C$31*$H$27*$R$1826)</f>
        <v>0</v>
      </c>
      <c r="V1869">
        <f>IF(S1869=0,0,$V$1826*$H$26*$R$1826)</f>
        <v>0</v>
      </c>
      <c r="W1869">
        <f>(0.6*T1869+0.7*U1869)*$R$1826/2</f>
        <v>0</v>
      </c>
      <c r="X1869">
        <f>T1869*$R$1826/2</f>
        <v>0</v>
      </c>
      <c r="Z1869">
        <f>IF(S1869=0,0,$AD$1826*$AP$1817)</f>
        <v>0</v>
      </c>
      <c r="AA1869">
        <f>IFERROR(Z1869/$R$1826,0)</f>
        <v>0</v>
      </c>
      <c r="AB1869">
        <f>Z1869*($F$25+($C$16+$C$17+IF($C$13="single",1.5,3)+3)/12)</f>
        <v>0</v>
      </c>
      <c r="AC1869">
        <f>AB1869-W1869</f>
        <v>0</v>
      </c>
      <c r="AD1869" cm="1">
        <f t="array" ref="AD1869">IFERROR(IF(AC1869&lt;0,0,AC1869/($R$1826-INDEX(hd_off,MATCH(AQ1869,hd_mark,0),0)/12)),0)</f>
        <v>0</v>
      </c>
      <c r="AE1869">
        <f>IF(S1869=0,0,$AD$1826*$AM$1817)</f>
        <v>0</v>
      </c>
      <c r="AF1869">
        <f>IFERROR(AE1869/$R$1826,0)</f>
        <v>0</v>
      </c>
      <c r="AG1869">
        <f>AE1869*($F$25+($C$16+$C$17+IF($C$13="single",1.5,3)+3)/12)</f>
        <v>0</v>
      </c>
      <c r="AH1869">
        <f>AG1869-X1869</f>
        <v>0</v>
      </c>
      <c r="AI1869" cm="1">
        <f t="array" ref="AI1869">IFERROR(IF(AH1869&lt;0,0,AH1869/($R$1826-INDEX(hd_off,MATCH(AQ1869,hd_mark,0),0)/12)),0)</f>
        <v>0</v>
      </c>
      <c r="AJ1869">
        <f>MAX($F$25,$AC$1826)/$Q$1844</f>
        <v>0.29920977011494249</v>
      </c>
      <c r="AK1869">
        <f t="shared" si="1160"/>
        <v>1</v>
      </c>
      <c r="AL1869" cm="1">
        <f t="array" ref="AL1869">IFERROR(INDEX(sheath_ecap_asd,MATCH(AP1869,sheath_mark,0),0)*AK1869,0)</f>
        <v>0</v>
      </c>
      <c r="AM1869" cm="1">
        <f t="array" ref="AM1869">IFERROR(INDEX(sheath_wcap_asd,MATCH(AP1869,sheath_mark,0),0)*AK1869,0)</f>
        <v>0</v>
      </c>
      <c r="AN1869" cm="1">
        <f t="array" ref="AN1869">IFERROR(INDEX(hd_cap,MATCH(AQ1869,hd_mark,0),0),0)</f>
        <v>0</v>
      </c>
      <c r="AP1869" s="19"/>
      <c r="AQ1869" s="19"/>
      <c r="AR1869" s="100"/>
      <c r="AS1869" s="93"/>
      <c r="AT1869" s="109"/>
      <c r="AU1869" t="str">
        <f>$Q$1817</f>
        <v>Roof</v>
      </c>
      <c r="AV1869">
        <f>$E$25</f>
        <v>33.171875</v>
      </c>
      <c r="AW1869" cm="1">
        <f t="array" ref="AW1869">IFERROR(IF(AV1869=0,0,(INDEX($C$33:$C$38,MATCH($AZ$1826,$B$33:$B$38,0),0)*(AV1869+$BA$1826)+$AY$1826*$C$31)*$AU$1826),0)</f>
        <v>0</v>
      </c>
      <c r="AX1869">
        <f>IF(AV1869=0,0,-$AY$1826*$C$31*$H$27*$AU$1826)</f>
        <v>0</v>
      </c>
      <c r="AY1869">
        <f>IF(AV1869=0,0,$AY$1826*$H$26*$AU$1826)</f>
        <v>0</v>
      </c>
      <c r="AZ1869">
        <f>(0.6*AW1869+0.7*AX1869)*$AU$1826/2</f>
        <v>0</v>
      </c>
      <c r="BA1869">
        <f>AW1869*$AU$1826/2</f>
        <v>0</v>
      </c>
      <c r="BC1869">
        <f>IF(AV1869=0,0,$BG$1826*$AP$1817)</f>
        <v>0</v>
      </c>
      <c r="BD1869">
        <f>IFERROR(BC1869/$AU$1826,0)</f>
        <v>0</v>
      </c>
      <c r="BE1869">
        <f>BC1869*($F$25+($C$16+$C$17+IF($C$13="single",1.5,3)+3)/12)</f>
        <v>0</v>
      </c>
      <c r="BF1869">
        <f>BE1869-AZ1869</f>
        <v>0</v>
      </c>
      <c r="BG1869" cm="1">
        <f t="array" ref="BG1869">IFERROR(IF(BF1869&lt;0,0,BF1869/($AU$1826-INDEX(hd_off,MATCH(BT1869,hd_mark,0),0)/12)),0)</f>
        <v>0</v>
      </c>
      <c r="BH1869">
        <f>IF(AV1869=0,0,$BG$1826*$AM$1817)</f>
        <v>0</v>
      </c>
      <c r="BI1869">
        <f>IFERROR(BH1869/$AU$1826,0)</f>
        <v>0</v>
      </c>
      <c r="BJ1869">
        <f>BH1869*($F$25+($C$16+$C$17+IF($C$13="single",1.5,3)+3)/12)</f>
        <v>0</v>
      </c>
      <c r="BK1869">
        <f>BJ1869-BA1869</f>
        <v>0</v>
      </c>
      <c r="BL1869" cm="1">
        <f t="array" ref="BL1869">IFERROR(IF(BK1869&lt;0,0,BK1869/($AU$1826-INDEX(hd_off,MATCH(BT1869,hd_mark,0),0)/12)),0)</f>
        <v>0</v>
      </c>
      <c r="BM1869">
        <f>MAX($F$25,$BF$1826)/$Q$1844</f>
        <v>0.29920977011494249</v>
      </c>
      <c r="BN1869">
        <f t="shared" si="1161"/>
        <v>1</v>
      </c>
      <c r="BO1869" cm="1">
        <f t="array" ref="BO1869">IFERROR(INDEX(sheath_ecap_asd,MATCH(BS1869,sheath_mark,0),0)*BN1869,0)</f>
        <v>0</v>
      </c>
      <c r="BP1869" cm="1">
        <f t="array" ref="BP1869">IFERROR(INDEX(sheath_wcap_asd,MATCH(BS1869,sheath_mark,0),0)*BN1869,0)</f>
        <v>0</v>
      </c>
      <c r="BQ1869" cm="1">
        <f t="array" ref="BQ1869">IFERROR(INDEX(hd_cap,MATCH(BT1869,hd_mark,0),0),0)</f>
        <v>0</v>
      </c>
      <c r="BS1869" s="19"/>
      <c r="BT1869" s="19"/>
      <c r="BU1869" s="100"/>
    </row>
    <row r="1870" x14ac:dyDescent="0.25">
      <c r="P1870" s="93"/>
      <c r="AR1870" s="100"/>
      <c r="AS1870" s="93"/>
      <c r="BU1870" s="100"/>
    </row>
    <row r="1871" x14ac:dyDescent="0.25">
      <c r="P1871" s="93"/>
      <c r="Q1871" s="110" t="str">
        <f>$Q$1827</f>
        <v>A.06</v>
      </c>
      <c r="R1871" t="str">
        <f>$Q$1813</f>
        <v>L2</v>
      </c>
      <c r="S1871">
        <f>$E$21</f>
        <v>10.6875</v>
      </c>
      <c r="T1871" cm="1">
        <f t="array" ref="T1871">IFERROR(IF(S1871=0,0,(INDEX($C$33:$C$38,MATCH($W$1827,$B$33:$B$38,0),0)*(S1875+$X$1827)+$T$1827*COUNTIF(S1871:S1874,"&gt;0")*$C$32+$V$1827*$C$31)*$R$1827),0)</f>
        <v>0</v>
      </c>
      <c r="U1871">
        <f>IF(S1871=0,0,-(COUNTIF(S1871:S1874,"&gt;0")*$T$1827*$C$32+$V$1827*$C$31)*$H$27*$R$1827)</f>
        <v>0</v>
      </c>
      <c r="V1871">
        <f>IF(S1871=0,0,$V$1827*$H$26*$R$1827)</f>
        <v>0</v>
      </c>
      <c r="W1871">
        <f>(0.6*T1871+0.7*U1871)*$R$1827/2</f>
        <v>0</v>
      </c>
      <c r="X1871">
        <f>(0.6*T1871+0.6*V1871)*$R$1827/2</f>
        <v>0</v>
      </c>
      <c r="Z1871">
        <f>IF(S1871=0,0,$AD$1827*$AP$1813)</f>
        <v>0</v>
      </c>
      <c r="AA1871">
        <f>IFERROR(Z1871/$R$1827,0)</f>
        <v>0</v>
      </c>
      <c r="AB1871">
        <f>Z1871*($F$21+IF($F$21=0,0,($C$14+$C$15+IF($C$13="single",1.5,3)+3)/12))</f>
        <v>0</v>
      </c>
      <c r="AC1871">
        <f>AB1871-W1871</f>
        <v>0</v>
      </c>
      <c r="AD1871" cm="1">
        <f t="array" ref="AD1871">IFERROR(IF(AC1871&lt;0,0,AC1871/($R$1827-INDEX(hd_off,MATCH(AQ1871,hd_mark,0),0)/12)),0)</f>
        <v>0</v>
      </c>
      <c r="AE1871">
        <f>IF(S1871=0,0,$AD$1827*$AM$1813)</f>
        <v>0</v>
      </c>
      <c r="AF1871">
        <f>IFERROR(AE1871/$R$1827,0)</f>
        <v>0</v>
      </c>
      <c r="AG1871">
        <f>AE1871*($F$21+IF($F$21=0,0,($C$14+$C$15+IF($C$13="single",1.5,3)+3)/12))</f>
        <v>0</v>
      </c>
      <c r="AH1871">
        <f>AG1871-X1871</f>
        <v>0</v>
      </c>
      <c r="AI1871" cm="1">
        <f t="array" ref="AI1871">IFERROR(IF(AH1871&lt;0,0,AH1871/($R$1827-INDEX(hd_off,MATCH(AQ1871,hd_mark,0),0)/12)),0)</f>
        <v>0</v>
      </c>
      <c r="AJ1871">
        <f>MAX($F$21,$Y$1827)/$Q$1844</f>
        <v>0.30172413793103448</v>
      </c>
      <c r="AK1871">
        <f>IF(AJ1871=0,0,IF(AJ1871&gt;2,1.25-0.125*AJ1871,1))</f>
        <v>1</v>
      </c>
      <c r="AL1871" cm="1">
        <f t="array" ref="AL1871">IFERROR(INDEX(sheath_ecap_asd,MATCH(AP1871,sheath_mark,0),0)*AK1871,0)</f>
        <v>0</v>
      </c>
      <c r="AM1871" cm="1">
        <f t="array" ref="AM1871">IFERROR(INDEX(sheath_wcap_asd,MATCH(AP1871,sheath_mark,0),0)*AK1871,0)</f>
        <v>0</v>
      </c>
      <c r="AN1871" cm="1">
        <f t="array" ref="AN1871">IFERROR(INDEX(hd_cap,MATCH(AQ1871,hd_mark,0),0),0)</f>
        <v>0</v>
      </c>
      <c r="AP1871" s="19"/>
      <c r="AQ1871" s="19"/>
      <c r="AR1871" s="100"/>
      <c r="AS1871" s="93"/>
      <c r="AT1871" s="110" t="str">
        <f>$AT$1827</f>
        <v>1.06</v>
      </c>
      <c r="AU1871" t="str">
        <f>$Q$1813</f>
        <v>L2</v>
      </c>
      <c r="AV1871">
        <f>$E$21</f>
        <v>10.6875</v>
      </c>
      <c r="AW1871" cm="1">
        <f t="array" ref="AW1871">IFERROR(IF(AV1871=0,0,(INDEX($C$33:$C$38,MATCH($AZ$1827,$B$33:$B$38,0),0)*(AV1875+$BA$1827)+$AW$1827*COUNTIF(AV1871:AV1874,"&gt;0")*$C$32+$AY$1827*$C$31)*$AU$1827),0)</f>
        <v>0</v>
      </c>
      <c r="AX1871">
        <f>IF(AV1871=0,0,-(COUNTIF(AV1871:AV1874,"&gt;0")*$AW$1827*$C$32+$AY$1827*$C$31)*$H$27*$AU$1827)</f>
        <v>0</v>
      </c>
      <c r="AY1871">
        <f>IF(AV1871=0,0,$AY$1827*$H$26*$AU$1827)</f>
        <v>0</v>
      </c>
      <c r="AZ1871">
        <f>(0.6*AW1871+0.7*AX1871)*$AU$1827/2</f>
        <v>0</v>
      </c>
      <c r="BA1871">
        <f>(0.6*AW1871+0.6*AY1871)*$AU$1827/2</f>
        <v>0</v>
      </c>
      <c r="BC1871">
        <f>IF(AV1871=0,0,$BG$1827*$AP$1813)</f>
        <v>0</v>
      </c>
      <c r="BD1871">
        <f>IFERROR(BC1871/$AU$1827,0)</f>
        <v>0</v>
      </c>
      <c r="BE1871">
        <f>BC1871*($F$21+IF($F$21=0,0,($C$14+$C$15+IF($C$13="single",1.5,3)+3)/12))</f>
        <v>0</v>
      </c>
      <c r="BF1871">
        <f>BE1871-AZ1871</f>
        <v>0</v>
      </c>
      <c r="BG1871" cm="1">
        <f t="array" ref="BG1871">IFERROR(IF(BF1871&lt;0,0,BF1871/($AU$1827-INDEX(hd_off,MATCH(BT1871,hd_mark,0),0)/12)),0)</f>
        <v>0</v>
      </c>
      <c r="BH1871">
        <f>IF(AV1871=0,0,$BG$1827*$AM$1813)</f>
        <v>0</v>
      </c>
      <c r="BI1871">
        <f>IFERROR(BH1871/$AU$1827,0)</f>
        <v>0</v>
      </c>
      <c r="BJ1871">
        <f>BH1871*($F$21+IF($F$21=0,0,($C$14+$C$15+IF($C$13="single",1.5,3)+3)/12))</f>
        <v>0</v>
      </c>
      <c r="BK1871">
        <f>BJ1871-BA1871</f>
        <v>0</v>
      </c>
      <c r="BL1871" cm="1">
        <f t="array" ref="BL1871">IFERROR(IF(BK1871&lt;0,0,BK1871/($AU$1827-INDEX(hd_off,MATCH(BT1871,hd_mark,0),0)/12)),0)</f>
        <v>0</v>
      </c>
      <c r="BM1871">
        <f>MAX($F$21,$BB$1827)/$Q$1844</f>
        <v>0.30172413793103448</v>
      </c>
      <c r="BN1871">
        <f>IF(BM1871=0,0,IF(BM1871&gt;2,1.25-0.125*BM1871,1))</f>
        <v>1</v>
      </c>
      <c r="BO1871" cm="1">
        <f t="array" ref="BO1871">IFERROR(INDEX(sheath_ecap_asd,MATCH(BS1871,sheath_mark,0),0)*BN1871,0)</f>
        <v>0</v>
      </c>
      <c r="BP1871" cm="1">
        <f t="array" ref="BP1871">IFERROR(INDEX(sheath_wcap_asd,MATCH(BS1871,sheath_mark,0),0)*BN1871,0)</f>
        <v>0</v>
      </c>
      <c r="BQ1871" cm="1">
        <f t="array" ref="BQ1871">IFERROR(INDEX(hd_cap,MATCH(BT1871,hd_mark,0),0),0)</f>
        <v>0</v>
      </c>
      <c r="BS1871" s="19"/>
      <c r="BT1871" s="19"/>
      <c r="BU1871" s="100"/>
    </row>
    <row r="1872" x14ac:dyDescent="0.25">
      <c r="P1872" s="93"/>
      <c r="Q1872" s="109"/>
      <c r="R1872" t="str">
        <f>$Q$1814</f>
        <v>L3</v>
      </c>
      <c r="S1872">
        <f>$E$22</f>
        <v>21.375</v>
      </c>
      <c r="T1872" cm="1">
        <f t="array" ref="T1872">IFERROR(IF(S1872=0,0,(INDEX($C$33:$C$38,MATCH($W$1827,$B$33:$B$38,0),0)*(S1875+$X$1827)+$T$1827*COUNTIF(S1872:S1874,"&gt;0")*$C$32+$V$1827*$C$31)*$R$1827),0)</f>
        <v>0</v>
      </c>
      <c r="U1872">
        <f>IF(S1872=0,0,-(COUNTIF(S1872:S1874,"&gt;0")*$T$1827*$C$32+$V$1827*$C$31)*$H$27*$R$1827)</f>
        <v>0</v>
      </c>
      <c r="V1872">
        <f>IF(S1872=0,0,$V$1827*$H$26*$R$1827)</f>
        <v>0</v>
      </c>
      <c r="W1872">
        <f>(0.6*T1872+0.7*U1872)*$R$1827/2</f>
        <v>0</v>
      </c>
      <c r="X1872">
        <f>T1872*$R$1827/2</f>
        <v>0</v>
      </c>
      <c r="Z1872">
        <f>IF(S1872=0,0,$AD$1827*$AP$1814)</f>
        <v>0</v>
      </c>
      <c r="AA1872">
        <f>IFERROR(Z1872/$R$1827,0)</f>
        <v>0</v>
      </c>
      <c r="AB1872">
        <f>Z1872*($F$22+IF($F$22=0,0,($C$14+$C$15+IF($C$13="single",1.5,3)+3)/12))</f>
        <v>0</v>
      </c>
      <c r="AC1872">
        <f>AB1872-W1872</f>
        <v>0</v>
      </c>
      <c r="AD1872" cm="1">
        <f t="array" ref="AD1872">IFERROR(IF(AC1872&lt;0,0,AC1872/($R$1827-INDEX(hd_off,MATCH(AQ1872,hd_mark,0),0)/12)),0)</f>
        <v>0</v>
      </c>
      <c r="AE1872">
        <f>IF(S1872=0,0,$AD$1827*$AM$1814)</f>
        <v>0</v>
      </c>
      <c r="AF1872">
        <f>IFERROR(AE1872/$R$1827,0)</f>
        <v>0</v>
      </c>
      <c r="AG1872">
        <f>AE1872*($F$22+IF($F$22=0,0,($C$14+$C$15+IF($C$13="single",1.5,3)+3)/12))</f>
        <v>0</v>
      </c>
      <c r="AH1872">
        <f>AG1872-X1872</f>
        <v>0</v>
      </c>
      <c r="AI1872" cm="1">
        <f t="array" ref="AI1872">IFERROR(IF(AH1872&lt;0,0,AH1872/($R$1827-INDEX(hd_off,MATCH(AQ1872,hd_mark,0),0)/12)),0)</f>
        <v>0</v>
      </c>
      <c r="AJ1872">
        <f>MAX($F$22,$Z$1827)/$Q$1844</f>
        <v>0.30172413793103448</v>
      </c>
      <c r="AK1872">
        <f t="shared" ref="AK1872:AK1875" si="1162">IF(AJ1872=0,0,IF(AJ1872&gt;2,1.25-0.125*AJ1872,1))</f>
        <v>1</v>
      </c>
      <c r="AL1872" cm="1">
        <f t="array" ref="AL1872">IFERROR(INDEX(sheath_ecap_asd,MATCH(AP1872,sheath_mark,0),0)*AK1872,0)</f>
        <v>0</v>
      </c>
      <c r="AM1872" cm="1">
        <f t="array" ref="AM1872">IFERROR(INDEX(sheath_wcap_asd,MATCH(AP1872,sheath_mark,0),0)*AK1872,0)</f>
        <v>0</v>
      </c>
      <c r="AN1872" cm="1">
        <f t="array" ref="AN1872">IFERROR(INDEX(hd_cap,MATCH(AQ1872,hd_mark,0),0),0)</f>
        <v>0</v>
      </c>
      <c r="AP1872" s="19"/>
      <c r="AQ1872" s="19"/>
      <c r="AR1872" s="100"/>
      <c r="AS1872" s="93"/>
      <c r="AT1872" s="109"/>
      <c r="AU1872" t="str">
        <f>$Q$1814</f>
        <v>L3</v>
      </c>
      <c r="AV1872">
        <f>$E$22</f>
        <v>21.375</v>
      </c>
      <c r="AW1872" cm="1">
        <f t="array" ref="AW1872">IFERROR(IF(AV1872=0,0,(INDEX($C$33:$C$38,MATCH($AZ$1827,$B$33:$B$38,0),0)*(AV1875+$BA$1827)+$AW$1827*COUNTIF(AV1872:AV1874,"&gt;0")*$C$32+$AY$1827*$C$31)*$AU$1827),0)</f>
        <v>0</v>
      </c>
      <c r="AX1872">
        <f>IF(AV1872=0,0,-(COUNTIF(AV1872:AV1874,"&gt;0")*$AW$1827*$C$32+$AY$1827*$C$31)*$H$27*$AU$1827)</f>
        <v>0</v>
      </c>
      <c r="AY1872">
        <f>IF(AV1872=0,0,$AY$1827*$H$26*$AU$1827)</f>
        <v>0</v>
      </c>
      <c r="AZ1872">
        <f>(0.6*AW1872+0.7*AX1872)*$AU$1827/2</f>
        <v>0</v>
      </c>
      <c r="BA1872">
        <f>AW1872*$AU$1827/2</f>
        <v>0</v>
      </c>
      <c r="BC1872">
        <f>IF(AV1872=0,0,$BG$1827*$AP$1814)</f>
        <v>0</v>
      </c>
      <c r="BD1872">
        <f>IFERROR(BC1872/$AU$1827,0)</f>
        <v>0</v>
      </c>
      <c r="BE1872">
        <f>BC1872*($F$22+IF($F$22=0,0,($C$14+$C$15+IF($C$13="single",1.5,3)+3)/12))</f>
        <v>0</v>
      </c>
      <c r="BF1872">
        <f>BE1872-AZ1872</f>
        <v>0</v>
      </c>
      <c r="BG1872" cm="1">
        <f t="array" ref="BG1872">IFERROR(IF(BF1872&lt;0,0,BF1872/($AU$1827-INDEX(hd_off,MATCH(BT1872,hd_mark,0),0)/12)),0)</f>
        <v>0</v>
      </c>
      <c r="BH1872">
        <f>IF(AV1872=0,0,$BG$1827*$AM$1814)</f>
        <v>0</v>
      </c>
      <c r="BI1872">
        <f>IFERROR(BH1872/$AU$1827,0)</f>
        <v>0</v>
      </c>
      <c r="BJ1872">
        <f>BH1872*($F$22+IF($F$22=0,0,($C$14+$C$15+IF($C$13="single",1.5,3)+3)/12))</f>
        <v>0</v>
      </c>
      <c r="BK1872">
        <f>BJ1872-BA1872</f>
        <v>0</v>
      </c>
      <c r="BL1872" cm="1">
        <f t="array" ref="BL1872">IFERROR(IF(BK1872&lt;0,0,BK1872/($AU$1827-INDEX(hd_off,MATCH(BT1872,hd_mark,0),0)/12)),0)</f>
        <v>0</v>
      </c>
      <c r="BM1872">
        <f>MAX($F$22,$BC$1827)/$Q$1844</f>
        <v>0.30172413793103448</v>
      </c>
      <c r="BN1872">
        <f t="shared" ref="BN1872:BN1875" si="1163">IF(BM1872=0,0,IF(BM1872&gt;2,1.25-0.125*BM1872,1))</f>
        <v>1</v>
      </c>
      <c r="BO1872" cm="1">
        <f t="array" ref="BO1872">IFERROR(INDEX(sheath_ecap_asd,MATCH(BS1872,sheath_mark,0),0)*BN1872,0)</f>
        <v>0</v>
      </c>
      <c r="BP1872" cm="1">
        <f t="array" ref="BP1872">IFERROR(INDEX(sheath_wcap_asd,MATCH(BS1872,sheath_mark,0),0)*BN1872,0)</f>
        <v>0</v>
      </c>
      <c r="BQ1872" cm="1">
        <f t="array" ref="BQ1872">IFERROR(INDEX(hd_cap,MATCH(BT1872,hd_mark,0),0),0)</f>
        <v>0</v>
      </c>
      <c r="BS1872" s="19"/>
      <c r="BT1872" s="19"/>
      <c r="BU1872" s="100"/>
    </row>
    <row r="1873" x14ac:dyDescent="0.25">
      <c r="P1873" s="93"/>
      <c r="Q1873" s="109" t="s">
        <v>491</v>
      </c>
      <c r="R1873" t="str">
        <f>$Q$1815</f>
        <v>L4</v>
      </c>
      <c r="S1873">
        <f>$E$23</f>
        <v>0</v>
      </c>
      <c r="T1873" cm="1">
        <f t="array" ref="T1873">IFERROR(IF(S1873=0,0,(INDEX($C$33:$C$38,MATCH($W$1827,$B$33:$B$38,0),0)*(S1875+$X$1827)+$T$1827*COUNTIF(S1873:S1874,"&gt;0")*$C$32+$V$1827*$C$31)*$R$1827),0)</f>
        <v>0</v>
      </c>
      <c r="U1873">
        <f>IF(S1873=0,0,-(COUNTIF(S1873:S1874,"&gt;0")*$T$1827*$C$32+$V$1827*$C$31)*$H$27*$R$1827)</f>
        <v>0</v>
      </c>
      <c r="V1873">
        <f>IF(S1873=0,0,$V$1827*$H$26*$R$1827)</f>
        <v>0</v>
      </c>
      <c r="W1873">
        <f>(0.6*T1873+0.7*U1873)*$R$1827/2</f>
        <v>0</v>
      </c>
      <c r="X1873">
        <f>T1873*$R$1827/2</f>
        <v>0</v>
      </c>
      <c r="Z1873">
        <f>IF(S1873=0,0,$AD$1827*$AP$1815)</f>
        <v>0</v>
      </c>
      <c r="AA1873">
        <f>IFERROR(Z1873/$R$1827,0)</f>
        <v>0</v>
      </c>
      <c r="AB1873">
        <f>Z1873*($F$23+IF($F$23=0,0,($C$14+$C$15+IF($C$13="single",1.5,3)+3)/12))</f>
        <v>0</v>
      </c>
      <c r="AC1873">
        <f>AB1873-W1873</f>
        <v>0</v>
      </c>
      <c r="AD1873" cm="1">
        <f t="array" ref="AD1873">IFERROR(IF(AC1873&lt;0,0,AC1873/($R$1827-INDEX(hd_off,MATCH(AQ1873,hd_mark,0),0)/12)),0)</f>
        <v>0</v>
      </c>
      <c r="AE1873">
        <f>IF(S1873=0,0,$AD$1827*$AM$1815)</f>
        <v>0</v>
      </c>
      <c r="AF1873">
        <f>IFERROR(AE1873/$R$1827,0)</f>
        <v>0</v>
      </c>
      <c r="AG1873">
        <f>AE1873*($F$23+IF($F$23=0,0,($C$14+$C$15+IF($C$13="single",1.5,3)+3)/12))</f>
        <v>0</v>
      </c>
      <c r="AH1873">
        <f>AG1873-X1873</f>
        <v>0</v>
      </c>
      <c r="AI1873" cm="1">
        <f t="array" ref="AI1873">IFERROR(IF(AH1873&lt;0,0,AH1873/($R$1827-INDEX(hd_off,MATCH(AQ1873,hd_mark,0),0)/12)),0)</f>
        <v>0</v>
      </c>
      <c r="AJ1873">
        <f>MAX($F$23,$AA$1827)/$Q$1844</f>
        <v>0</v>
      </c>
      <c r="AK1873">
        <f t="shared" si="1162"/>
        <v>0</v>
      </c>
      <c r="AL1873" cm="1">
        <f t="array" ref="AL1873">IFERROR(INDEX(sheath_ecap_asd,MATCH(AP1873,sheath_mark,0),0)*AK1873,0)</f>
        <v>0</v>
      </c>
      <c r="AM1873" cm="1">
        <f t="array" ref="AM1873">IFERROR(INDEX(sheath_wcap_asd,MATCH(AP1873,sheath_mark,0),0)*AK1873,0)</f>
        <v>0</v>
      </c>
      <c r="AN1873" cm="1">
        <f t="array" ref="AN1873">IFERROR(INDEX(hd_cap,MATCH(AQ1873,hd_mark,0),0),0)</f>
        <v>0</v>
      </c>
      <c r="AP1873" s="19"/>
      <c r="AQ1873" s="19"/>
      <c r="AR1873" s="100"/>
      <c r="AS1873" s="93"/>
      <c r="AT1873" s="109" t="s">
        <v>491</v>
      </c>
      <c r="AU1873" t="str">
        <f>$Q$1815</f>
        <v>L4</v>
      </c>
      <c r="AV1873">
        <f>$E$23</f>
        <v>0</v>
      </c>
      <c r="AW1873" cm="1">
        <f t="array" ref="AW1873">IFERROR(IF(AV1873=0,0,(INDEX($C$33:$C$38,MATCH($AZ$1827,$B$33:$B$38,0),0)*(AV1875+$BA$1827)+$AW$1827*COUNTIF(AV1873:AV1874,"&gt;0")*$C$32+$AY$1827*$C$31)*$AU$1827),0)</f>
        <v>0</v>
      </c>
      <c r="AX1873">
        <f>IF(AV1873=0,0,-(COUNTIF(AV1873:AV1874,"&gt;0")*$AW$1827*$C$32+$AY$1827*$C$31)*$H$27*$AU$1827)</f>
        <v>0</v>
      </c>
      <c r="AY1873">
        <f>IF(AV1873=0,0,$AY$1827*$H$26*$AU$1827)</f>
        <v>0</v>
      </c>
      <c r="AZ1873">
        <f>(0.6*AW1873+0.7*AX1873)*$AU$1827/2</f>
        <v>0</v>
      </c>
      <c r="BA1873">
        <f>AW1873*$AU$1827/2</f>
        <v>0</v>
      </c>
      <c r="BC1873">
        <f>IF(AV1873=0,0,$BG$1827*$AP$1815)</f>
        <v>0</v>
      </c>
      <c r="BD1873">
        <f>IFERROR(BC1873/$AU$1827,0)</f>
        <v>0</v>
      </c>
      <c r="BE1873">
        <f>BC1873*($F$23+IF($F$23=0,0,($C$14+$C$15+IF($C$13="single",1.5,3)+3)/12))</f>
        <v>0</v>
      </c>
      <c r="BF1873">
        <f>BE1873-AZ1873</f>
        <v>0</v>
      </c>
      <c r="BG1873" cm="1">
        <f t="array" ref="BG1873">IFERROR(IF(BF1873&lt;0,0,BF1873/($AU$1827-INDEX(hd_off,MATCH(BT1873,hd_mark,0),0)/12)),0)</f>
        <v>0</v>
      </c>
      <c r="BH1873">
        <f>IF(AV1873=0,0,$BG$1827*$AM$1815)</f>
        <v>0</v>
      </c>
      <c r="BI1873">
        <f>IFERROR(BH1873/$AU$1827,0)</f>
        <v>0</v>
      </c>
      <c r="BJ1873">
        <f>BH1873*($F$23+IF($F$23=0,0,($C$14+$C$15+IF($C$13="single",1.5,3)+3)/12))</f>
        <v>0</v>
      </c>
      <c r="BK1873">
        <f>BJ1873-BA1873</f>
        <v>0</v>
      </c>
      <c r="BL1873" cm="1">
        <f t="array" ref="BL1873">IFERROR(IF(BK1873&lt;0,0,BK1873/($AU$1827-INDEX(hd_off,MATCH(BT1873,hd_mark,0),0)/12)),0)</f>
        <v>0</v>
      </c>
      <c r="BM1873">
        <f>MAX($F$23,$BD$1827)/$Q$1844</f>
        <v>0</v>
      </c>
      <c r="BN1873">
        <f t="shared" si="1163"/>
        <v>0</v>
      </c>
      <c r="BO1873" cm="1">
        <f t="array" ref="BO1873">IFERROR(INDEX(sheath_ecap_asd,MATCH(BS1873,sheath_mark,0),0)*BN1873,0)</f>
        <v>0</v>
      </c>
      <c r="BP1873" cm="1">
        <f t="array" ref="BP1873">IFERROR(INDEX(sheath_wcap_asd,MATCH(BS1873,sheath_mark,0),0)*BN1873,0)</f>
        <v>0</v>
      </c>
      <c r="BQ1873" cm="1">
        <f t="array" ref="BQ1873">IFERROR(INDEX(hd_cap,MATCH(BT1873,hd_mark,0),0),0)</f>
        <v>0</v>
      </c>
      <c r="BS1873" s="19"/>
      <c r="BT1873" s="19"/>
      <c r="BU1873" s="100"/>
    </row>
    <row r="1874" x14ac:dyDescent="0.25">
      <c r="P1874" s="93"/>
      <c r="Q1874" s="111">
        <f>$R$1827</f>
        <v>0</v>
      </c>
      <c r="R1874" t="str">
        <f>$Q$1816</f>
        <v>L5</v>
      </c>
      <c r="S1874">
        <f>$E$24</f>
        <v>0</v>
      </c>
      <c r="T1874" cm="1">
        <f t="array" ref="T1874">IFERROR(IF(S1874=0,0,(INDEX($C$33:$C$38,MATCH($W$1827,$B$33:$B$38,0),0)*(S1875+$X$1827)+$T$1827*COUNTIF(S1874:S1874,"&gt;0")*$C$32+$V$1827*$C$31)*$R$1827),0)</f>
        <v>0</v>
      </c>
      <c r="U1874">
        <f>IF(S1874=0,0,-(COUNTIF(S1874:S1874,"&gt;0")*$T$1827*$C$32+$V$1827*$C$31)*$H$27*$R$1827)</f>
        <v>0</v>
      </c>
      <c r="V1874">
        <f>IF(S1874=0,0,$V$1827*$H$26*$R$1827)</f>
        <v>0</v>
      </c>
      <c r="W1874">
        <f>(0.6*T1874+0.7*U1874)*$R$1827/2</f>
        <v>0</v>
      </c>
      <c r="X1874">
        <f>T1874*$R$1827/2</f>
        <v>0</v>
      </c>
      <c r="Z1874">
        <f>IF(S1874=0,0,$AD$1827*$AP$1816)</f>
        <v>0</v>
      </c>
      <c r="AA1874">
        <f>IFERROR(Z1874/$R$1827,0)</f>
        <v>0</v>
      </c>
      <c r="AB1874">
        <f>Z1874*($F$24+IF($F$24=0,0,($C$14+$C$15+IF($C$13="single",1.5,3)+3)/12))</f>
        <v>0</v>
      </c>
      <c r="AC1874">
        <f>AB1874-W1874</f>
        <v>0</v>
      </c>
      <c r="AD1874" cm="1">
        <f t="array" ref="AD1874">IFERROR(IF(AC1874&lt;0,0,AC1874/($R$1827-INDEX(hd_off,MATCH(AQ1874,hd_mark,0),0)/12)),0)</f>
        <v>0</v>
      </c>
      <c r="AE1874">
        <f>IF(S1874=0,0,$AD$1827*$AM$1816)</f>
        <v>0</v>
      </c>
      <c r="AF1874">
        <f>IFERROR(AE1874/$R$1827,0)</f>
        <v>0</v>
      </c>
      <c r="AG1874">
        <f>AE1874*($F$24+IF($F$24=0,0,($C$14+$C$15+IF($C$13="single",1.5,3)+3)/12))</f>
        <v>0</v>
      </c>
      <c r="AH1874">
        <f>AG1874-X1874</f>
        <v>0</v>
      </c>
      <c r="AI1874" cm="1">
        <f t="array" ref="AI1874">IFERROR(IF(AH1874&lt;0,0,AH1874/($R$1827-INDEX(hd_off,MATCH(AQ1874,hd_mark,0),0)/12)),0)</f>
        <v>0</v>
      </c>
      <c r="AJ1874">
        <f>MAX($F$24,$AB$1827)/$Q$1844</f>
        <v>0</v>
      </c>
      <c r="AK1874">
        <f t="shared" si="1162"/>
        <v>0</v>
      </c>
      <c r="AL1874" cm="1">
        <f t="array" ref="AL1874">IFERROR(INDEX(sheath_ecap_asd,MATCH(AP1874,sheath_mark,0),0)*AK1874,0)</f>
        <v>0</v>
      </c>
      <c r="AM1874" cm="1">
        <f t="array" ref="AM1874">IFERROR(INDEX(sheath_wcap_asd,MATCH(AP1874,sheath_mark,0),0)*AK1874,0)</f>
        <v>0</v>
      </c>
      <c r="AN1874" cm="1">
        <f t="array" ref="AN1874">IFERROR(INDEX(hd_cap,MATCH(AQ1874,hd_mark,0),0),0)</f>
        <v>0</v>
      </c>
      <c r="AP1874" s="19"/>
      <c r="AQ1874" s="19"/>
      <c r="AR1874" s="100"/>
      <c r="AS1874" s="93"/>
      <c r="AT1874" s="111">
        <f>$R$1827</f>
        <v>0</v>
      </c>
      <c r="AU1874" t="str">
        <f>$Q$1816</f>
        <v>L5</v>
      </c>
      <c r="AV1874">
        <f>$E$24</f>
        <v>0</v>
      </c>
      <c r="AW1874" cm="1">
        <f t="array" ref="AW1874">IFERROR(IF(AV1874=0,0,(INDEX($C$33:$C$38,MATCH($AZ$1827,$B$33:$B$38,0),0)*(AV1875+$BA$1827)+$AW$1827*COUNTIF(AV1874:AV1874,"&gt;0")*$C$32+$AY$1827*$C$31)*$AU$1827),0)</f>
        <v>0</v>
      </c>
      <c r="AX1874">
        <f>IF(AV1874=0,0,-(COUNTIF(AV1874:AV1874,"&gt;0")*$AW$1827*$C$32+$AY$1827*$C$31)*$H$27*$AU$1827)</f>
        <v>0</v>
      </c>
      <c r="AY1874">
        <f>IF(AV1874=0,0,$AY$1827*$H$26*$AU$1827)</f>
        <v>0</v>
      </c>
      <c r="AZ1874">
        <f>(0.6*AW1874+0.7*AX1874)*$AU$1827/2</f>
        <v>0</v>
      </c>
      <c r="BA1874">
        <f>AW1874*$AU$1827/2</f>
        <v>0</v>
      </c>
      <c r="BC1874">
        <f>IF(AV1874=0,0,$BG$1827*$AP$1816)</f>
        <v>0</v>
      </c>
      <c r="BD1874">
        <f>IFERROR(BC1874/$AU$1827,0)</f>
        <v>0</v>
      </c>
      <c r="BE1874">
        <f>BC1874*($F$24+IF($F$24=0,0,($C$14+$C$15+IF($C$13="single",1.5,3)+3)/12))</f>
        <v>0</v>
      </c>
      <c r="BF1874">
        <f>BE1874-AZ1874</f>
        <v>0</v>
      </c>
      <c r="BG1874" cm="1">
        <f t="array" ref="BG1874">IFERROR(IF(BF1874&lt;0,0,BF1874/($AU$1827-INDEX(hd_off,MATCH(BT1874,hd_mark,0),0)/12)),0)</f>
        <v>0</v>
      </c>
      <c r="BH1874">
        <f>IF(AV1874=0,0,$BG$1827*$AM$1816)</f>
        <v>0</v>
      </c>
      <c r="BI1874">
        <f>IFERROR(BH1874/$AU$1827,0)</f>
        <v>0</v>
      </c>
      <c r="BJ1874">
        <f>BH1874*($F$24+IF($F$24=0,0,($C$14+$C$15+IF($C$13="single",1.5,3)+3)/12))</f>
        <v>0</v>
      </c>
      <c r="BK1874">
        <f>BJ1874-BA1874</f>
        <v>0</v>
      </c>
      <c r="BL1874" cm="1">
        <f t="array" ref="BL1874">IFERROR(IF(BK1874&lt;0,0,BK1874/($AU$1827-INDEX(hd_off,MATCH(BT1874,hd_mark,0),0)/12)),0)</f>
        <v>0</v>
      </c>
      <c r="BM1874">
        <f>MAX($F$24,$BE$1827)/$Q$1844</f>
        <v>0</v>
      </c>
      <c r="BN1874">
        <f t="shared" si="1163"/>
        <v>0</v>
      </c>
      <c r="BO1874" cm="1">
        <f t="array" ref="BO1874">IFERROR(INDEX(sheath_ecap_asd,MATCH(BS1874,sheath_mark,0),0)*BN1874,0)</f>
        <v>0</v>
      </c>
      <c r="BP1874" cm="1">
        <f t="array" ref="BP1874">IFERROR(INDEX(sheath_wcap_asd,MATCH(BS1874,sheath_mark,0),0)*BN1874,0)</f>
        <v>0</v>
      </c>
      <c r="BQ1874" cm="1">
        <f t="array" ref="BQ1874">IFERROR(INDEX(hd_cap,MATCH(BT1874,hd_mark,0),0),0)</f>
        <v>0</v>
      </c>
      <c r="BS1874" s="19"/>
      <c r="BT1874" s="19"/>
      <c r="BU1874" s="100"/>
    </row>
    <row r="1875" x14ac:dyDescent="0.25">
      <c r="P1875" s="93"/>
      <c r="Q1875" s="109"/>
      <c r="R1875" t="str">
        <f>$Q$1817</f>
        <v>Roof</v>
      </c>
      <c r="S1875">
        <f>$E$25</f>
        <v>33.171875</v>
      </c>
      <c r="T1875" cm="1">
        <f t="array" ref="T1875">IFERROR(IF(S1875=0,0,(INDEX($C$33:$C$38,MATCH($W$1827,$B$33:$B$38,0),0)*(S1875+$X$1827)+$V$1827*$C$31)*$R$1827),0)</f>
        <v>0</v>
      </c>
      <c r="U1875">
        <f>IF(S1875=0,0,-$V$1827*$C$31*$H$27*$R$1827)</f>
        <v>0</v>
      </c>
      <c r="V1875">
        <f>IF(S1875=0,0,$V$1827*$H$26*$R$1827)</f>
        <v>0</v>
      </c>
      <c r="W1875">
        <f>(0.6*T1875+0.7*U1875)*$R$1827/2</f>
        <v>0</v>
      </c>
      <c r="X1875">
        <f>T1875*$R$1827/2</f>
        <v>0</v>
      </c>
      <c r="Z1875">
        <f>IF(S1875=0,0,$AD$1827*$AP$1817)</f>
        <v>0</v>
      </c>
      <c r="AA1875">
        <f>IFERROR(Z1875/$R$1827,0)</f>
        <v>0</v>
      </c>
      <c r="AB1875">
        <f>Z1875*($F$25+($C$16+$C$17+IF($C$13="single",1.5,3)+3)/12)</f>
        <v>0</v>
      </c>
      <c r="AC1875">
        <f>AB1875-W1875</f>
        <v>0</v>
      </c>
      <c r="AD1875" cm="1">
        <f t="array" ref="AD1875">IFERROR(IF(AC1875&lt;0,0,AC1875/($R$1827-INDEX(hd_off,MATCH(AQ1875,hd_mark,0),0)/12)),0)</f>
        <v>0</v>
      </c>
      <c r="AE1875">
        <f>IF(S1875=0,0,$AD$1827*$AM$1817)</f>
        <v>0</v>
      </c>
      <c r="AF1875">
        <f>IFERROR(AE1875/$R$1827,0)</f>
        <v>0</v>
      </c>
      <c r="AG1875">
        <f>AE1875*($F$25+($C$16+$C$17+IF($C$13="single",1.5,3)+3)/12)</f>
        <v>0</v>
      </c>
      <c r="AH1875">
        <f>AG1875-X1875</f>
        <v>0</v>
      </c>
      <c r="AI1875" cm="1">
        <f t="array" ref="AI1875">IFERROR(IF(AH1875&lt;0,0,AH1875/($R$1827-INDEX(hd_off,MATCH(AQ1875,hd_mark,0),0)/12)),0)</f>
        <v>0</v>
      </c>
      <c r="AJ1875">
        <f>MAX($F$25,$AC$1827)/$Q$1844</f>
        <v>0.29920977011494249</v>
      </c>
      <c r="AK1875">
        <f t="shared" si="1162"/>
        <v>1</v>
      </c>
      <c r="AL1875" cm="1">
        <f t="array" ref="AL1875">IFERROR(INDEX(sheath_ecap_asd,MATCH(AP1875,sheath_mark,0),0)*AK1875,0)</f>
        <v>0</v>
      </c>
      <c r="AM1875" cm="1">
        <f t="array" ref="AM1875">IFERROR(INDEX(sheath_wcap_asd,MATCH(AP1875,sheath_mark,0),0)*AK1875,0)</f>
        <v>0</v>
      </c>
      <c r="AN1875" cm="1">
        <f t="array" ref="AN1875">IFERROR(INDEX(hd_cap,MATCH(AQ1875,hd_mark,0),0),0)</f>
        <v>0</v>
      </c>
      <c r="AP1875" s="19"/>
      <c r="AQ1875" s="19"/>
      <c r="AR1875" s="100"/>
      <c r="AS1875" s="93"/>
      <c r="AT1875" s="109"/>
      <c r="AU1875" t="str">
        <f>$Q$1817</f>
        <v>Roof</v>
      </c>
      <c r="AV1875">
        <f>$E$25</f>
        <v>33.171875</v>
      </c>
      <c r="AW1875" cm="1">
        <f t="array" ref="AW1875">IFERROR(IF(AV1875=0,0,(INDEX($C$33:$C$38,MATCH($AZ$1827,$B$33:$B$38,0),0)*(AV1875+$BA$1827)+$AY$1827*$C$31)*$AU$1827),0)</f>
        <v>0</v>
      </c>
      <c r="AX1875">
        <f>IF(AV1875=0,0,-$AY$1827*$C$31*$H$27*$AU$1827)</f>
        <v>0</v>
      </c>
      <c r="AY1875">
        <f>IF(AV1875=0,0,$AY$1827*$H$26*$AU$1827)</f>
        <v>0</v>
      </c>
      <c r="AZ1875">
        <f>(0.6*AW1875+0.7*AX1875)*$AU$1827/2</f>
        <v>0</v>
      </c>
      <c r="BA1875">
        <f>AW1875*$AU$1827/2</f>
        <v>0</v>
      </c>
      <c r="BC1875">
        <f>IF(AV1875=0,0,$BG$1827*$AP$1817)</f>
        <v>0</v>
      </c>
      <c r="BD1875">
        <f>IFERROR(BC1875/$AU$1827,0)</f>
        <v>0</v>
      </c>
      <c r="BE1875">
        <f>BC1875*($F$25+($C$16+$C$17+IF($C$13="single",1.5,3)+3)/12)</f>
        <v>0</v>
      </c>
      <c r="BF1875">
        <f>BE1875-AZ1875</f>
        <v>0</v>
      </c>
      <c r="BG1875" cm="1">
        <f t="array" ref="BG1875">IFERROR(IF(BF1875&lt;0,0,BF1875/($AU$1827-INDEX(hd_off,MATCH(BT1875,hd_mark,0),0)/12)),0)</f>
        <v>0</v>
      </c>
      <c r="BH1875">
        <f>IF(AV1875=0,0,$BG$1827*$AM$1817)</f>
        <v>0</v>
      </c>
      <c r="BI1875">
        <f>IFERROR(BH1875/$AU$1827,0)</f>
        <v>0</v>
      </c>
      <c r="BJ1875">
        <f>BH1875*($F$25+($C$16+$C$17+IF($C$13="single",1.5,3)+3)/12)</f>
        <v>0</v>
      </c>
      <c r="BK1875">
        <f>BJ1875-BA1875</f>
        <v>0</v>
      </c>
      <c r="BL1875" cm="1">
        <f t="array" ref="BL1875">IFERROR(IF(BK1875&lt;0,0,BK1875/($AU$1827-INDEX(hd_off,MATCH(BT1875,hd_mark,0),0)/12)),0)</f>
        <v>0</v>
      </c>
      <c r="BM1875">
        <f>MAX($F$25,$BF$1827)/$Q$1844</f>
        <v>0.29920977011494249</v>
      </c>
      <c r="BN1875">
        <f t="shared" si="1163"/>
        <v>1</v>
      </c>
      <c r="BO1875" cm="1">
        <f t="array" ref="BO1875">IFERROR(INDEX(sheath_ecap_asd,MATCH(BS1875,sheath_mark,0),0)*BN1875,0)</f>
        <v>0</v>
      </c>
      <c r="BP1875" cm="1">
        <f t="array" ref="BP1875">IFERROR(INDEX(sheath_wcap_asd,MATCH(BS1875,sheath_mark,0),0)*BN1875,0)</f>
        <v>0</v>
      </c>
      <c r="BQ1875" cm="1">
        <f t="array" ref="BQ1875">IFERROR(INDEX(hd_cap,MATCH(BT1875,hd_mark,0),0),0)</f>
        <v>0</v>
      </c>
      <c r="BS1875" s="19"/>
      <c r="BT1875" s="19"/>
      <c r="BU1875" s="100"/>
    </row>
    <row r="1876" x14ac:dyDescent="0.25">
      <c r="P1876" s="93"/>
      <c r="AR1876" s="100"/>
      <c r="AS1876" s="93"/>
      <c r="BU1876" s="100"/>
    </row>
    <row r="1877" x14ac:dyDescent="0.25">
      <c r="P1877" s="93"/>
      <c r="Q1877" s="110" t="str">
        <f>$Q$1828</f>
        <v>A.07</v>
      </c>
      <c r="R1877" t="str">
        <f>$Q$1813</f>
        <v>L2</v>
      </c>
      <c r="S1877">
        <f>$E$21</f>
        <v>10.6875</v>
      </c>
      <c r="T1877" cm="1">
        <f t="array" ref="T1877">IFERROR(IF(S1877=0,0,(INDEX($C$33:$C$38,MATCH($W$1828,$B$33:$B$38,0),0)*(S1881+$X$1828)+$T$1828*COUNTIF(S1877:S1880,"&gt;0")*$C$32+$V$1828*$C$31)*$R$1828),0)</f>
        <v>0</v>
      </c>
      <c r="U1877">
        <f>IF(S1877=0,0,-(COUNTIF(S1877:S1880,"&gt;0")*$T$1828*$C$32+$V$1828*$C$31)*$H$27*$R$1828)</f>
        <v>0</v>
      </c>
      <c r="V1877">
        <f>IF(S1877=0,0,$V$1828*$H$26*$R$1828)</f>
        <v>0</v>
      </c>
      <c r="W1877">
        <f>(0.6*T1877+0.7*U1877)*$R$1828/2</f>
        <v>0</v>
      </c>
      <c r="X1877">
        <f>(0.6*T1877+0.6*V1877)*$R$1828/2</f>
        <v>0</v>
      </c>
      <c r="Z1877">
        <f>IF(S1877=0,0,$AD$1828*$AP$1813)</f>
        <v>0</v>
      </c>
      <c r="AA1877">
        <f>IFERROR(Z1877/$R$1828,0)</f>
        <v>0</v>
      </c>
      <c r="AB1877">
        <f>Z1877*($F$21+IF($F$21=0,0,($C$14+$C$15+IF($C$13="single",1.5,3)+3)/12))</f>
        <v>0</v>
      </c>
      <c r="AC1877">
        <f>AB1877-W1877</f>
        <v>0</v>
      </c>
      <c r="AD1877" cm="1">
        <f t="array" ref="AD1877">IFERROR(IF(AC1877&lt;0,0,AC1877/($R$1828-INDEX(hd_off,MATCH(AQ1877,hd_mark,0),0)/12)),0)</f>
        <v>0</v>
      </c>
      <c r="AE1877">
        <f>IF(S1877=0,0,$AD$1828*$AM$1813)</f>
        <v>0</v>
      </c>
      <c r="AF1877">
        <f>IFERROR(AE1877/$R$1828,0)</f>
        <v>0</v>
      </c>
      <c r="AG1877">
        <f>AE1877*($F$21+IF($F$21=0,0,($C$14+$C$15+IF($C$13="single",1.5,3)+3)/12))</f>
        <v>0</v>
      </c>
      <c r="AH1877">
        <f>AG1877-X1877</f>
        <v>0</v>
      </c>
      <c r="AI1877" cm="1">
        <f t="array" ref="AI1877">IFERROR(IF(AH1877&lt;0,0,AH1877/($R$1828-INDEX(hd_off,MATCH(AQ1877,hd_mark,0),0)/12)),0)</f>
        <v>0</v>
      </c>
      <c r="AJ1877">
        <f>MAX($F$21,$Y$1828)/$Q$1844</f>
        <v>0.30172413793103448</v>
      </c>
      <c r="AK1877">
        <f>IF(AJ1877=0,0,IF(AJ1877&gt;2,1.25-0.125*AJ1877,1))</f>
        <v>1</v>
      </c>
      <c r="AL1877" cm="1">
        <f t="array" ref="AL1877">IFERROR(INDEX(sheath_ecap_asd,MATCH(AP1877,sheath_mark,0),0)*AK1877,0)</f>
        <v>0</v>
      </c>
      <c r="AM1877" cm="1">
        <f t="array" ref="AM1877">IFERROR(INDEX(sheath_wcap_asd,MATCH(AP1877,sheath_mark,0),0)*AK1877,0)</f>
        <v>0</v>
      </c>
      <c r="AN1877" cm="1">
        <f t="array" ref="AN1877">IFERROR(INDEX(hd_cap,MATCH(AQ1877,hd_mark,0),0),0)</f>
        <v>0</v>
      </c>
      <c r="AP1877" s="19"/>
      <c r="AQ1877" s="19"/>
      <c r="AR1877" s="100"/>
      <c r="AS1877" s="93"/>
      <c r="AT1877" s="110" t="str">
        <f>$AT$1828</f>
        <v>1.07</v>
      </c>
      <c r="AU1877" t="str">
        <f>$Q$1813</f>
        <v>L2</v>
      </c>
      <c r="AV1877">
        <f>$E$21</f>
        <v>10.6875</v>
      </c>
      <c r="AW1877" cm="1">
        <f t="array" ref="AW1877">IFERROR(IF(AV1877=0,0,(INDEX($C$33:$C$38,MATCH($AZ$1828,$B$33:$B$38,0),0)*(AV1881+$BA$1828)+$AW$1828*COUNTIF(AV1877:AV1880,"&gt;0")*$C$32+$AY$1828*$C$31)*$AU$1828),0)</f>
        <v>0</v>
      </c>
      <c r="AX1877">
        <f>IF(AV1877=0,0,-(COUNTIF(AV1877:AV1880,"&gt;0")*$AW$1828*$C$32+$AY$1828*$C$31)*$H$27*$AU$1828)</f>
        <v>0</v>
      </c>
      <c r="AY1877">
        <f>IF(AV1877=0,0,$AY$1828*$H$26*$AU$1828)</f>
        <v>0</v>
      </c>
      <c r="AZ1877">
        <f>(0.6*AW1877+0.7*AX1877)*$AU$1828/2</f>
        <v>0</v>
      </c>
      <c r="BA1877">
        <f>(0.6*AW1877+0.6*AY1877)*$AU$1828/2</f>
        <v>0</v>
      </c>
      <c r="BC1877">
        <f>IF(AV1877=0,0,$BG$1828*$AP$1813)</f>
        <v>0</v>
      </c>
      <c r="BD1877">
        <f>IFERROR(BC1877/$AU$1828,0)</f>
        <v>0</v>
      </c>
      <c r="BE1877">
        <f>BC1877*($F$21+IF($F$21=0,0,($C$14+$C$15+IF($C$13="single",1.5,3)+3)/12))</f>
        <v>0</v>
      </c>
      <c r="BF1877">
        <f>BE1877-AZ1877</f>
        <v>0</v>
      </c>
      <c r="BG1877" cm="1">
        <f t="array" ref="BG1877">IFERROR(IF(BF1877&lt;0,0,BF1877/($AU$1828-INDEX(hd_off,MATCH(BT1877,hd_mark,0),0)/12)),0)</f>
        <v>0</v>
      </c>
      <c r="BH1877">
        <f>IF(AV1877=0,0,$BG$1828*$AM$1813)</f>
        <v>0</v>
      </c>
      <c r="BI1877">
        <f>IFERROR(BH1877/$AU$1828,0)</f>
        <v>0</v>
      </c>
      <c r="BJ1877">
        <f>BH1877*($F$21+IF($F$21=0,0,($C$14+$C$15+IF($C$13="single",1.5,3)+3)/12))</f>
        <v>0</v>
      </c>
      <c r="BK1877">
        <f>BJ1877-BA1877</f>
        <v>0</v>
      </c>
      <c r="BL1877" cm="1">
        <f t="array" ref="BL1877">IFERROR(IF(BK1877&lt;0,0,BK1877/($AU$1828-INDEX(hd_off,MATCH(BT1877,hd_mark,0),0)/12)),0)</f>
        <v>0</v>
      </c>
      <c r="BM1877">
        <f>MAX($F$21,$BB$1828)/$Q$1844</f>
        <v>0.30172413793103448</v>
      </c>
      <c r="BN1877">
        <f>IF(BM1877=0,0,IF(BM1877&gt;2,1.25-0.125*BM1877,1))</f>
        <v>1</v>
      </c>
      <c r="BO1877" cm="1">
        <f t="array" ref="BO1877">IFERROR(INDEX(sheath_ecap_asd,MATCH(BS1877,sheath_mark,0),0)*BN1877,0)</f>
        <v>0</v>
      </c>
      <c r="BP1877" cm="1">
        <f t="array" ref="BP1877">IFERROR(INDEX(sheath_wcap_asd,MATCH(BS1877,sheath_mark,0),0)*BN1877,0)</f>
        <v>0</v>
      </c>
      <c r="BQ1877" cm="1">
        <f t="array" ref="BQ1877">IFERROR(INDEX(hd_cap,MATCH(BT1877,hd_mark,0),0),0)</f>
        <v>0</v>
      </c>
      <c r="BS1877" s="19"/>
      <c r="BT1877" s="19"/>
      <c r="BU1877" s="100"/>
    </row>
    <row r="1878" x14ac:dyDescent="0.25">
      <c r="P1878" s="93"/>
      <c r="Q1878" s="109"/>
      <c r="R1878" t="str">
        <f>$Q$1814</f>
        <v>L3</v>
      </c>
      <c r="S1878">
        <f>$E$22</f>
        <v>21.375</v>
      </c>
      <c r="T1878" cm="1">
        <f t="array" ref="T1878">IFERROR(IF(S1878=0,0,(INDEX($C$33:$C$38,MATCH($W$1828,$B$33:$B$38,0),0)*(S1881+$X$1828)+$T$1828*COUNTIF(S1878:S1880,"&gt;0")*$C$32+$V$1828*$C$31)*$R$1828),0)</f>
        <v>0</v>
      </c>
      <c r="U1878">
        <f>IF(S1878=0,0,-(COUNTIF(S1878:S1880,"&gt;0")*$T$1828*$C$32+$V$1828*$C$31)*$H$27*$R$1828)</f>
        <v>0</v>
      </c>
      <c r="V1878">
        <f>IF(S1878=0,0,$V$1828*$H$26*$R$1828)</f>
        <v>0</v>
      </c>
      <c r="W1878">
        <f>(0.6*T1878+0.7*U1878)*$R$1828/2</f>
        <v>0</v>
      </c>
      <c r="X1878">
        <f>T1878*$R$1828/2</f>
        <v>0</v>
      </c>
      <c r="Z1878">
        <f>IF(S1878=0,0,$AD$1828*$AP$1814)</f>
        <v>0</v>
      </c>
      <c r="AA1878">
        <f>IFERROR(Z1878/$R$1828,0)</f>
        <v>0</v>
      </c>
      <c r="AB1878">
        <f>Z1878*($F$22+IF($F$22=0,0,($C$14+$C$15+IF($C$13="single",1.5,3)+3)/12))</f>
        <v>0</v>
      </c>
      <c r="AC1878">
        <f>AB1878-W1878</f>
        <v>0</v>
      </c>
      <c r="AD1878" cm="1">
        <f t="array" ref="AD1878">IFERROR(IF(AC1878&lt;0,0,AC1878/($R$1828-INDEX(hd_off,MATCH(AQ1878,hd_mark,0),0)/12)),0)</f>
        <v>0</v>
      </c>
      <c r="AE1878">
        <f>IF(S1878=0,0,$AD$1828*$AM$1814)</f>
        <v>0</v>
      </c>
      <c r="AF1878">
        <f>IFERROR(AE1878/$R$1828,0)</f>
        <v>0</v>
      </c>
      <c r="AG1878">
        <f>AE1878*($F$22+IF($F$22=0,0,($C$14+$C$15+IF($C$13="single",1.5,3)+3)/12))</f>
        <v>0</v>
      </c>
      <c r="AH1878">
        <f>AG1878-X1878</f>
        <v>0</v>
      </c>
      <c r="AI1878" cm="1">
        <f t="array" ref="AI1878">IFERROR(IF(AH1878&lt;0,0,AH1878/($R$1828-INDEX(hd_off,MATCH(AQ1878,hd_mark,0),0)/12)),0)</f>
        <v>0</v>
      </c>
      <c r="AJ1878">
        <f>MAX($F$22,$Z$1828)/$Q$1844</f>
        <v>0.30172413793103448</v>
      </c>
      <c r="AK1878">
        <f t="shared" ref="AK1878:AK1881" si="1164">IF(AJ1878=0,0,IF(AJ1878&gt;2,1.25-0.125*AJ1878,1))</f>
        <v>1</v>
      </c>
      <c r="AL1878" cm="1">
        <f t="array" ref="AL1878">IFERROR(INDEX(sheath_ecap_asd,MATCH(AP1878,sheath_mark,0),0)*AK1878,0)</f>
        <v>0</v>
      </c>
      <c r="AM1878" cm="1">
        <f t="array" ref="AM1878">IFERROR(INDEX(sheath_wcap_asd,MATCH(AP1878,sheath_mark,0),0)*AK1878,0)</f>
        <v>0</v>
      </c>
      <c r="AN1878" cm="1">
        <f t="array" ref="AN1878">IFERROR(INDEX(hd_cap,MATCH(AQ1878,hd_mark,0),0),0)</f>
        <v>0</v>
      </c>
      <c r="AP1878" s="19"/>
      <c r="AQ1878" s="19"/>
      <c r="AR1878" s="100"/>
      <c r="AS1878" s="93"/>
      <c r="AT1878" s="109"/>
      <c r="AU1878" t="str">
        <f>$Q$1814</f>
        <v>L3</v>
      </c>
      <c r="AV1878">
        <f>$E$22</f>
        <v>21.375</v>
      </c>
      <c r="AW1878" cm="1">
        <f t="array" ref="AW1878">IFERROR(IF(AV1878=0,0,(INDEX($C$33:$C$38,MATCH($AZ$1828,$B$33:$B$38,0),0)*(AV1881+$BA$1828)+$AW$1828*COUNTIF(AV1878:AV1880,"&gt;0")*$C$32+$AY$1828*$C$31)*$AU$1828),0)</f>
        <v>0</v>
      </c>
      <c r="AX1878">
        <f>IF(AV1878=0,0,-(COUNTIF(AV1878:AV1880,"&gt;0")*$AW$1828*$C$32+$AY$1828*$C$31)*$H$27*$AU$1828)</f>
        <v>0</v>
      </c>
      <c r="AY1878">
        <f>IF(AV1878=0,0,$AY$1828*$H$26*$AU$1828)</f>
        <v>0</v>
      </c>
      <c r="AZ1878">
        <f>(0.6*AW1878+0.7*AX1878)*$AU$1828/2</f>
        <v>0</v>
      </c>
      <c r="BA1878">
        <f>AW1878*$AU$1828/2</f>
        <v>0</v>
      </c>
      <c r="BC1878">
        <f>IF(AV1878=0,0,$BG$1828*$AP$1814)</f>
        <v>0</v>
      </c>
      <c r="BD1878">
        <f>IFERROR(BC1878/$AU$1828,0)</f>
        <v>0</v>
      </c>
      <c r="BE1878">
        <f>BC1878*($F$22+IF($F$22=0,0,($C$14+$C$15+IF($C$13="single",1.5,3)+3)/12))</f>
        <v>0</v>
      </c>
      <c r="BF1878">
        <f>BE1878-AZ1878</f>
        <v>0</v>
      </c>
      <c r="BG1878" cm="1">
        <f t="array" ref="BG1878">IFERROR(IF(BF1878&lt;0,0,BF1878/($AU$1828-INDEX(hd_off,MATCH(BT1878,hd_mark,0),0)/12)),0)</f>
        <v>0</v>
      </c>
      <c r="BH1878">
        <f>IF(AV1878=0,0,$BG$1828*$AM$1814)</f>
        <v>0</v>
      </c>
      <c r="BI1878">
        <f>IFERROR(BH1878/$AU$1828,0)</f>
        <v>0</v>
      </c>
      <c r="BJ1878">
        <f>BH1878*($F$22+IF($F$22=0,0,($C$14+$C$15+IF($C$13="single",1.5,3)+3)/12))</f>
        <v>0</v>
      </c>
      <c r="BK1878">
        <f>BJ1878-BA1878</f>
        <v>0</v>
      </c>
      <c r="BL1878" cm="1">
        <f t="array" ref="BL1878">IFERROR(IF(BK1878&lt;0,0,BK1878/($AU$1828-INDEX(hd_off,MATCH(BT1878,hd_mark,0),0)/12)),0)</f>
        <v>0</v>
      </c>
      <c r="BM1878">
        <f>MAX($F$22,$BC$1828)/$Q$1844</f>
        <v>0.30172413793103448</v>
      </c>
      <c r="BN1878">
        <f t="shared" ref="BN1878:BN1881" si="1165">IF(BM1878=0,0,IF(BM1878&gt;2,1.25-0.125*BM1878,1))</f>
        <v>1</v>
      </c>
      <c r="BO1878" cm="1">
        <f t="array" ref="BO1878">IFERROR(INDEX(sheath_ecap_asd,MATCH(BS1878,sheath_mark,0),0)*BN1878,0)</f>
        <v>0</v>
      </c>
      <c r="BP1878" cm="1">
        <f t="array" ref="BP1878">IFERROR(INDEX(sheath_wcap_asd,MATCH(BS1878,sheath_mark,0),0)*BN1878,0)</f>
        <v>0</v>
      </c>
      <c r="BQ1878" cm="1">
        <f t="array" ref="BQ1878">IFERROR(INDEX(hd_cap,MATCH(BT1878,hd_mark,0),0),0)</f>
        <v>0</v>
      </c>
      <c r="BS1878" s="19"/>
      <c r="BT1878" s="19"/>
      <c r="BU1878" s="100"/>
    </row>
    <row r="1879" x14ac:dyDescent="0.25">
      <c r="P1879" s="93"/>
      <c r="Q1879" s="109" t="s">
        <v>491</v>
      </c>
      <c r="R1879" t="str">
        <f>$Q$1815</f>
        <v>L4</v>
      </c>
      <c r="S1879">
        <f>$E$23</f>
        <v>0</v>
      </c>
      <c r="T1879" cm="1">
        <f t="array" ref="T1879">IFERROR(IF(S1879=0,0,(INDEX($C$33:$C$38,MATCH($W$1828,$B$33:$B$38,0),0)*(S1881+$X$1828)+$T$1828*COUNTIF(S1879:S1880,"&gt;0")*$C$32+$V$1828*$C$31)*$R$1828),0)</f>
        <v>0</v>
      </c>
      <c r="U1879">
        <f>IF(S1879=0,0,-(COUNTIF(S1879:S1880,"&gt;0")*$T$1828*$C$32+$V$1828*$C$31)*$H$27*$R$1828)</f>
        <v>0</v>
      </c>
      <c r="V1879">
        <f>IF(S1879=0,0,$V$1828*$H$26*$R$1828)</f>
        <v>0</v>
      </c>
      <c r="W1879">
        <f>(0.6*T1879+0.7*U1879)*$R$1828/2</f>
        <v>0</v>
      </c>
      <c r="X1879">
        <f>T1879*$R$1828/2</f>
        <v>0</v>
      </c>
      <c r="Z1879">
        <f>IF(S1879=0,0,$AD$1828*$AP$1815)</f>
        <v>0</v>
      </c>
      <c r="AA1879">
        <f>IFERROR(Z1879/$R$1828,0)</f>
        <v>0</v>
      </c>
      <c r="AB1879">
        <f>Z1879*($F$23+IF($F$23=0,0,($C$14+$C$15+IF($C$13="single",1.5,3)+3)/12))</f>
        <v>0</v>
      </c>
      <c r="AC1879">
        <f>AB1879-W1879</f>
        <v>0</v>
      </c>
      <c r="AD1879" cm="1">
        <f t="array" ref="AD1879">IFERROR(IF(AC1879&lt;0,0,AC1879/($R$1828-INDEX(hd_off,MATCH(AQ1879,hd_mark,0),0)/12)),0)</f>
        <v>0</v>
      </c>
      <c r="AE1879">
        <f>IF(S1879=0,0,$AD$1828*$AM$1815)</f>
        <v>0</v>
      </c>
      <c r="AF1879">
        <f>IFERROR(AE1879/$R$1828,0)</f>
        <v>0</v>
      </c>
      <c r="AG1879">
        <f>AE1879*($F$23+IF($F$23=0,0,($C$14+$C$15+IF($C$13="single",1.5,3)+3)/12))</f>
        <v>0</v>
      </c>
      <c r="AH1879">
        <f>AG1879-X1879</f>
        <v>0</v>
      </c>
      <c r="AI1879" cm="1">
        <f t="array" ref="AI1879">IFERROR(IF(AH1879&lt;0,0,AH1879/($R$1828-INDEX(hd_off,MATCH(AQ1879,hd_mark,0),0)/12)),0)</f>
        <v>0</v>
      </c>
      <c r="AJ1879">
        <f>MAX($F$23,$AA$1828)/$Q$1844</f>
        <v>0</v>
      </c>
      <c r="AK1879">
        <f t="shared" si="1164"/>
        <v>0</v>
      </c>
      <c r="AL1879" cm="1">
        <f t="array" ref="AL1879">IFERROR(INDEX(sheath_ecap_asd,MATCH(AP1879,sheath_mark,0),0)*AK1879,0)</f>
        <v>0</v>
      </c>
      <c r="AM1879" cm="1">
        <f t="array" ref="AM1879">IFERROR(INDEX(sheath_wcap_asd,MATCH(AP1879,sheath_mark,0),0)*AK1879,0)</f>
        <v>0</v>
      </c>
      <c r="AN1879" cm="1">
        <f t="array" ref="AN1879">IFERROR(INDEX(hd_cap,MATCH(AQ1879,hd_mark,0),0),0)</f>
        <v>0</v>
      </c>
      <c r="AP1879" s="19"/>
      <c r="AQ1879" s="19"/>
      <c r="AR1879" s="100"/>
      <c r="AS1879" s="93"/>
      <c r="AT1879" s="109" t="s">
        <v>491</v>
      </c>
      <c r="AU1879" t="str">
        <f>$Q$1815</f>
        <v>L4</v>
      </c>
      <c r="AV1879">
        <f>$E$23</f>
        <v>0</v>
      </c>
      <c r="AW1879" cm="1">
        <f t="array" ref="AW1879">IFERROR(IF(AV1879=0,0,(INDEX($C$33:$C$38,MATCH($AZ$1828,$B$33:$B$38,0),0)*(AV1881+$BA$1828)+$AW$1828*COUNTIF(AV1879:AV1880,"&gt;0")*$C$32+$AY$1828*$C$31)*$AU$1828),0)</f>
        <v>0</v>
      </c>
      <c r="AX1879">
        <f>IF(AV1879=0,0,-(COUNTIF(AV1879:AV1880,"&gt;0")*$AW$1828*$C$32+$AY$1828*$C$31)*$H$27*$AU$1828)</f>
        <v>0</v>
      </c>
      <c r="AY1879">
        <f>IF(AV1879=0,0,$AY$1828*$H$26*$AU$1828)</f>
        <v>0</v>
      </c>
      <c r="AZ1879">
        <f>(0.6*AW1879+0.7*AX1879)*$AU$1828/2</f>
        <v>0</v>
      </c>
      <c r="BA1879">
        <f>AW1879*$AU$1828/2</f>
        <v>0</v>
      </c>
      <c r="BC1879">
        <f>IF(AV1879=0,0,$BG$1828*$AP$1815)</f>
        <v>0</v>
      </c>
      <c r="BD1879">
        <f>IFERROR(BC1879/$AU$1828,0)</f>
        <v>0</v>
      </c>
      <c r="BE1879">
        <f>BC1879*($F$23+IF($F$23=0,0,($C$14+$C$15+IF($C$13="single",1.5,3)+3)/12))</f>
        <v>0</v>
      </c>
      <c r="BF1879">
        <f>BE1879-AZ1879</f>
        <v>0</v>
      </c>
      <c r="BG1879" cm="1">
        <f t="array" ref="BG1879">IFERROR(IF(BF1879&lt;0,0,BF1879/($AU$1828-INDEX(hd_off,MATCH(BT1879,hd_mark,0),0)/12)),0)</f>
        <v>0</v>
      </c>
      <c r="BH1879">
        <f>IF(AV1879=0,0,$BG$1828*$AM$1815)</f>
        <v>0</v>
      </c>
      <c r="BI1879">
        <f>IFERROR(BH1879/$AU$1828,0)</f>
        <v>0</v>
      </c>
      <c r="BJ1879">
        <f>BH1879*($F$23+IF($F$23=0,0,($C$14+$C$15+IF($C$13="single",1.5,3)+3)/12))</f>
        <v>0</v>
      </c>
      <c r="BK1879">
        <f>BJ1879-BA1879</f>
        <v>0</v>
      </c>
      <c r="BL1879" cm="1">
        <f t="array" ref="BL1879">IFERROR(IF(BK1879&lt;0,0,BK1879/($AU$1828-INDEX(hd_off,MATCH(BT1879,hd_mark,0),0)/12)),0)</f>
        <v>0</v>
      </c>
      <c r="BM1879">
        <f>MAX($F$23,$BD$1828)/$Q$1844</f>
        <v>0</v>
      </c>
      <c r="BN1879">
        <f t="shared" si="1165"/>
        <v>0</v>
      </c>
      <c r="BO1879" cm="1">
        <f t="array" ref="BO1879">IFERROR(INDEX(sheath_ecap_asd,MATCH(BS1879,sheath_mark,0),0)*BN1879,0)</f>
        <v>0</v>
      </c>
      <c r="BP1879" cm="1">
        <f t="array" ref="BP1879">IFERROR(INDEX(sheath_wcap_asd,MATCH(BS1879,sheath_mark,0),0)*BN1879,0)</f>
        <v>0</v>
      </c>
      <c r="BQ1879" cm="1">
        <f t="array" ref="BQ1879">IFERROR(INDEX(hd_cap,MATCH(BT1879,hd_mark,0),0),0)</f>
        <v>0</v>
      </c>
      <c r="BS1879" s="19"/>
      <c r="BT1879" s="19"/>
      <c r="BU1879" s="100"/>
    </row>
    <row r="1880" x14ac:dyDescent="0.25">
      <c r="P1880" s="93"/>
      <c r="Q1880" s="111">
        <f>$R$1828</f>
        <v>0</v>
      </c>
      <c r="R1880" t="str">
        <f>$Q$1816</f>
        <v>L5</v>
      </c>
      <c r="S1880">
        <f>$E$24</f>
        <v>0</v>
      </c>
      <c r="T1880" cm="1">
        <f t="array" ref="T1880">IFERROR(IF(S1880=0,0,(INDEX($C$33:$C$38,MATCH($W$1828,$B$33:$B$38,0),0)*(S1881+$X$1828)+$T$1828*COUNTIF(S1880:S1880,"&gt;0")*$C$32+$V$1828*$C$31)*$R$1828),0)</f>
        <v>0</v>
      </c>
      <c r="U1880">
        <f>IF(S1880=0,0,-(COUNTIF(S1880:S1880,"&gt;0")*$T$1828*$C$32+$V$1828*$C$31)*$H$27*$R$1828)</f>
        <v>0</v>
      </c>
      <c r="V1880">
        <f>IF(S1880=0,0,$V$1828*$H$26*$R$1828)</f>
        <v>0</v>
      </c>
      <c r="W1880">
        <f>(0.6*T1880+0.7*U1880)*$R$1828/2</f>
        <v>0</v>
      </c>
      <c r="X1880">
        <f>T1880*$R$1828/2</f>
        <v>0</v>
      </c>
      <c r="Z1880">
        <f>IF(S1880=0,0,$AD$1828*$AP$1816)</f>
        <v>0</v>
      </c>
      <c r="AA1880">
        <f>IFERROR(Z1880/$R$1828,0)</f>
        <v>0</v>
      </c>
      <c r="AB1880">
        <f>Z1880*($F$24+IF($F$24=0,0,($C$14+$C$15+IF($C$13="single",1.5,3)+3)/12))</f>
        <v>0</v>
      </c>
      <c r="AC1880">
        <f>AB1880-W1880</f>
        <v>0</v>
      </c>
      <c r="AD1880" cm="1">
        <f t="array" ref="AD1880">IFERROR(IF(AC1880&lt;0,0,AC1880/($R$1828-INDEX(hd_off,MATCH(AQ1880,hd_mark,0),0)/12)),0)</f>
        <v>0</v>
      </c>
      <c r="AE1880">
        <f>IF(S1880=0,0,$AD$1828*$AM$1816)</f>
        <v>0</v>
      </c>
      <c r="AF1880">
        <f>IFERROR(AE1880/$R$1828,0)</f>
        <v>0</v>
      </c>
      <c r="AG1880">
        <f>AE1880*($F$24+IF($F$24=0,0,($C$14+$C$15+IF($C$13="single",1.5,3)+3)/12))</f>
        <v>0</v>
      </c>
      <c r="AH1880">
        <f>AG1880-X1880</f>
        <v>0</v>
      </c>
      <c r="AI1880" cm="1">
        <f t="array" ref="AI1880">IFERROR(IF(AH1880&lt;0,0,AH1880/($R$1828-INDEX(hd_off,MATCH(AQ1880,hd_mark,0),0)/12)),0)</f>
        <v>0</v>
      </c>
      <c r="AJ1880">
        <f>MAX($F$24,$AB$1828)/$Q$1844</f>
        <v>0</v>
      </c>
      <c r="AK1880">
        <f t="shared" si="1164"/>
        <v>0</v>
      </c>
      <c r="AL1880" cm="1">
        <f t="array" ref="AL1880">IFERROR(INDEX(sheath_ecap_asd,MATCH(AP1880,sheath_mark,0),0)*AK1880,0)</f>
        <v>0</v>
      </c>
      <c r="AM1880" cm="1">
        <f t="array" ref="AM1880">IFERROR(INDEX(sheath_wcap_asd,MATCH(AP1880,sheath_mark,0),0)*AK1880,0)</f>
        <v>0</v>
      </c>
      <c r="AN1880" cm="1">
        <f t="array" ref="AN1880">IFERROR(INDEX(hd_cap,MATCH(AQ1880,hd_mark,0),0),0)</f>
        <v>0</v>
      </c>
      <c r="AP1880" s="19"/>
      <c r="AQ1880" s="19"/>
      <c r="AR1880" s="100"/>
      <c r="AS1880" s="93"/>
      <c r="AT1880" s="111">
        <f>$R$1828</f>
        <v>0</v>
      </c>
      <c r="AU1880" t="str">
        <f>$Q$1816</f>
        <v>L5</v>
      </c>
      <c r="AV1880">
        <f>$E$24</f>
        <v>0</v>
      </c>
      <c r="AW1880" cm="1">
        <f t="array" ref="AW1880">IFERROR(IF(AV1880=0,0,(INDEX($C$33:$C$38,MATCH($AZ$1828,$B$33:$B$38,0),0)*(AV1881+$BA$1828)+$AW$1828*COUNTIF(AV1880:AV1880,"&gt;0")*$C$32+$AY$1828*$C$31)*$AU$1828),0)</f>
        <v>0</v>
      </c>
      <c r="AX1880">
        <f>IF(AV1880=0,0,-(COUNTIF(AV1880:AV1880,"&gt;0")*$AW$1828*$C$32+$AY$1828*$C$31)*$H$27*$AU$1828)</f>
        <v>0</v>
      </c>
      <c r="AY1880">
        <f>IF(AV1880=0,0,$AY$1828*$H$26*$AU$1828)</f>
        <v>0</v>
      </c>
      <c r="AZ1880">
        <f>(0.6*AW1880+0.7*AX1880)*$AU$1828/2</f>
        <v>0</v>
      </c>
      <c r="BA1880">
        <f>AW1880*$AU$1828/2</f>
        <v>0</v>
      </c>
      <c r="BC1880">
        <f>IF(AV1880=0,0,$BG$1828*$AP$1816)</f>
        <v>0</v>
      </c>
      <c r="BD1880">
        <f>IFERROR(BC1880/$AU$1828,0)</f>
        <v>0</v>
      </c>
      <c r="BE1880">
        <f>BC1880*($F$24+IF($F$24=0,0,($C$14+$C$15+IF($C$13="single",1.5,3)+3)/12))</f>
        <v>0</v>
      </c>
      <c r="BF1880">
        <f>BE1880-AZ1880</f>
        <v>0</v>
      </c>
      <c r="BG1880" cm="1">
        <f t="array" ref="BG1880">IFERROR(IF(BF1880&lt;0,0,BF1880/($AU$1828-INDEX(hd_off,MATCH(BT1880,hd_mark,0),0)/12)),0)</f>
        <v>0</v>
      </c>
      <c r="BH1880">
        <f>IF(AV1880=0,0,$BG$1828*$AM$1816)</f>
        <v>0</v>
      </c>
      <c r="BI1880">
        <f>IFERROR(BH1880/$AU$1828,0)</f>
        <v>0</v>
      </c>
      <c r="BJ1880">
        <f>BH1880*($F$24+IF($F$24=0,0,($C$14+$C$15+IF($C$13="single",1.5,3)+3)/12))</f>
        <v>0</v>
      </c>
      <c r="BK1880">
        <f>BJ1880-BA1880</f>
        <v>0</v>
      </c>
      <c r="BL1880" cm="1">
        <f t="array" ref="BL1880">IFERROR(IF(BK1880&lt;0,0,BK1880/($AU$1828-INDEX(hd_off,MATCH(BT1880,hd_mark,0),0)/12)),0)</f>
        <v>0</v>
      </c>
      <c r="BM1880">
        <f>MAX($F$24,$BE$1828)/$Q$1844</f>
        <v>0</v>
      </c>
      <c r="BN1880">
        <f t="shared" si="1165"/>
        <v>0</v>
      </c>
      <c r="BO1880" cm="1">
        <f t="array" ref="BO1880">IFERROR(INDEX(sheath_ecap_asd,MATCH(BS1880,sheath_mark,0),0)*BN1880,0)</f>
        <v>0</v>
      </c>
      <c r="BP1880" cm="1">
        <f t="array" ref="BP1880">IFERROR(INDEX(sheath_wcap_asd,MATCH(BS1880,sheath_mark,0),0)*BN1880,0)</f>
        <v>0</v>
      </c>
      <c r="BQ1880" cm="1">
        <f t="array" ref="BQ1880">IFERROR(INDEX(hd_cap,MATCH(BT1880,hd_mark,0),0),0)</f>
        <v>0</v>
      </c>
      <c r="BS1880" s="19"/>
      <c r="BT1880" s="19"/>
      <c r="BU1880" s="100"/>
    </row>
    <row r="1881" x14ac:dyDescent="0.25">
      <c r="P1881" s="93"/>
      <c r="Q1881" s="109"/>
      <c r="R1881" t="str">
        <f>$Q$1817</f>
        <v>Roof</v>
      </c>
      <c r="S1881">
        <f>$E$25</f>
        <v>33.171875</v>
      </c>
      <c r="T1881" cm="1">
        <f t="array" ref="T1881">IFERROR(IF(S1881=0,0,(INDEX($C$33:$C$38,MATCH($W$1828,$B$33:$B$38,0),0)*(S1881+$X$1828)+$V$1828*$C$31)*$R$1828),0)</f>
        <v>0</v>
      </c>
      <c r="U1881">
        <f>IF(S1881=0,0,-$V$1828*$C$31*$H$27*$R$1828)</f>
        <v>0</v>
      </c>
      <c r="V1881">
        <f>IF(S1881=0,0,$V$1828*$H$26*$R$1828)</f>
        <v>0</v>
      </c>
      <c r="W1881">
        <f>(0.6*T1881+0.7*U1881)*$R$1828/2</f>
        <v>0</v>
      </c>
      <c r="X1881">
        <f>T1881*$R$1828/2</f>
        <v>0</v>
      </c>
      <c r="Z1881">
        <f>IF(S1881=0,0,$AD$1828*$AP$1817)</f>
        <v>0</v>
      </c>
      <c r="AA1881">
        <f>IFERROR(Z1881/$R$1828,0)</f>
        <v>0</v>
      </c>
      <c r="AB1881">
        <f>Z1881*($F$25+($C$16+$C$17+IF($C$13="single",1.5,3)+3)/12)</f>
        <v>0</v>
      </c>
      <c r="AC1881">
        <f>AB1881-W1881</f>
        <v>0</v>
      </c>
      <c r="AD1881" cm="1">
        <f t="array" ref="AD1881">IFERROR(IF(AC1881&lt;0,0,AC1881/($R$1828-INDEX(hd_off,MATCH(AQ1881,hd_mark,0),0)/12)),0)</f>
        <v>0</v>
      </c>
      <c r="AE1881">
        <f>IF(S1881=0,0,$AD$1828*$AM$1817)</f>
        <v>0</v>
      </c>
      <c r="AF1881">
        <f>IFERROR(AE1881/$R$1828,0)</f>
        <v>0</v>
      </c>
      <c r="AG1881">
        <f>AE1881*($F$25+($C$16+$C$17+IF($C$13="single",1.5,3)+3)/12)</f>
        <v>0</v>
      </c>
      <c r="AH1881">
        <f>AG1881-X1881</f>
        <v>0</v>
      </c>
      <c r="AI1881" cm="1">
        <f t="array" ref="AI1881">IFERROR(IF(AH1881&lt;0,0,AH1881/($R$1828-INDEX(hd_off,MATCH(AQ1881,hd_mark,0),0)/12)),0)</f>
        <v>0</v>
      </c>
      <c r="AJ1881">
        <f>MAX($F$25,$AC$1828)/$Q$1844</f>
        <v>0.29920977011494249</v>
      </c>
      <c r="AK1881">
        <f t="shared" si="1164"/>
        <v>1</v>
      </c>
      <c r="AL1881" cm="1">
        <f t="array" ref="AL1881">IFERROR(INDEX(sheath_ecap_asd,MATCH(AP1881,sheath_mark,0),0)*AK1881,0)</f>
        <v>0</v>
      </c>
      <c r="AM1881" cm="1">
        <f t="array" ref="AM1881">IFERROR(INDEX(sheath_wcap_asd,MATCH(AP1881,sheath_mark,0),0)*AK1881,0)</f>
        <v>0</v>
      </c>
      <c r="AN1881" cm="1">
        <f t="array" ref="AN1881">IFERROR(INDEX(hd_cap,MATCH(AQ1881,hd_mark,0),0),0)</f>
        <v>0</v>
      </c>
      <c r="AP1881" s="19"/>
      <c r="AQ1881" s="19"/>
      <c r="AR1881" s="100"/>
      <c r="AS1881" s="93"/>
      <c r="AT1881" s="109"/>
      <c r="AU1881" t="str">
        <f>$Q$1817</f>
        <v>Roof</v>
      </c>
      <c r="AV1881">
        <f>$E$25</f>
        <v>33.171875</v>
      </c>
      <c r="AW1881" cm="1">
        <f t="array" ref="AW1881">IFERROR(IF(AV1881=0,0,(INDEX($C$33:$C$38,MATCH($AZ$1828,$B$33:$B$38,0),0)*(AV1881+$BA$1828)+$AY$1828*$C$31)*$AU$1828),0)</f>
        <v>0</v>
      </c>
      <c r="AX1881">
        <f>IF(AV1881=0,0,-$AY$1828*$C$31*$H$27*$AU$1828)</f>
        <v>0</v>
      </c>
      <c r="AY1881">
        <f>IF(AV1881=0,0,$AY$1828*$H$26*$AU$1828)</f>
        <v>0</v>
      </c>
      <c r="AZ1881">
        <f>(0.6*AW1881+0.7*AX1881)*$AU$1828/2</f>
        <v>0</v>
      </c>
      <c r="BA1881">
        <f>AW1881*$AU$1828/2</f>
        <v>0</v>
      </c>
      <c r="BC1881">
        <f>IF(AV1881=0,0,$BG$1828*$AP$1817)</f>
        <v>0</v>
      </c>
      <c r="BD1881">
        <f>IFERROR(BC1881/$AU$1828,0)</f>
        <v>0</v>
      </c>
      <c r="BE1881">
        <f>BC1881*($F$25+($C$16+$C$17+IF($C$13="single",1.5,3)+3)/12)</f>
        <v>0</v>
      </c>
      <c r="BF1881">
        <f>BE1881-AZ1881</f>
        <v>0</v>
      </c>
      <c r="BG1881" cm="1">
        <f t="array" ref="BG1881">IFERROR(IF(BF1881&lt;0,0,BF1881/($AU$1828-INDEX(hd_off,MATCH(BT1881,hd_mark,0),0)/12)),0)</f>
        <v>0</v>
      </c>
      <c r="BH1881">
        <f>IF(AV1881=0,0,$BG$1828*$AM$1817)</f>
        <v>0</v>
      </c>
      <c r="BI1881">
        <f>IFERROR(BH1881/$AU$1828,0)</f>
        <v>0</v>
      </c>
      <c r="BJ1881">
        <f>BH1881*($F$25+($C$16+$C$17+IF($C$13="single",1.5,3)+3)/12)</f>
        <v>0</v>
      </c>
      <c r="BK1881">
        <f>BJ1881-BA1881</f>
        <v>0</v>
      </c>
      <c r="BL1881" cm="1">
        <f t="array" ref="BL1881">IFERROR(IF(BK1881&lt;0,0,BK1881/($AU$1828-INDEX(hd_off,MATCH(BT1881,hd_mark,0),0)/12)),0)</f>
        <v>0</v>
      </c>
      <c r="BM1881">
        <f>MAX($F$25,$BF$1828)/$Q$1844</f>
        <v>0.29920977011494249</v>
      </c>
      <c r="BN1881">
        <f t="shared" si="1165"/>
        <v>1</v>
      </c>
      <c r="BO1881" cm="1">
        <f t="array" ref="BO1881">IFERROR(INDEX(sheath_ecap_asd,MATCH(BS1881,sheath_mark,0),0)*BN1881,0)</f>
        <v>0</v>
      </c>
      <c r="BP1881" cm="1">
        <f t="array" ref="BP1881">IFERROR(INDEX(sheath_wcap_asd,MATCH(BS1881,sheath_mark,0),0)*BN1881,0)</f>
        <v>0</v>
      </c>
      <c r="BQ1881" cm="1">
        <f t="array" ref="BQ1881">IFERROR(INDEX(hd_cap,MATCH(BT1881,hd_mark,0),0),0)</f>
        <v>0</v>
      </c>
      <c r="BS1881" s="19"/>
      <c r="BT1881" s="19"/>
      <c r="BU1881" s="100"/>
    </row>
    <row r="1882" x14ac:dyDescent="0.25">
      <c r="P1882" s="93"/>
      <c r="AR1882" s="100"/>
      <c r="AS1882" s="93"/>
      <c r="BU1882" s="100"/>
    </row>
    <row r="1883" x14ac:dyDescent="0.25">
      <c r="P1883" s="93"/>
      <c r="Q1883" s="110" t="str">
        <f>$Q$1829</f>
        <v>A.08</v>
      </c>
      <c r="R1883" t="str">
        <f>$Q$1813</f>
        <v>L2</v>
      </c>
      <c r="S1883">
        <f>$E$21</f>
        <v>10.6875</v>
      </c>
      <c r="T1883" cm="1">
        <f t="array" ref="T1883">IFERROR(IF(S1883=0,0,(INDEX($C$33:$C$38,MATCH($W$1829,$B$33:$B$38,0),0)*(S1887+$X$1829)+$T$1829*COUNTIF(S1883:S1886,"&gt;0")*$C$32+$V$1829*$C$31)*$R$1829),0)</f>
        <v>0</v>
      </c>
      <c r="U1883">
        <f>IF(S1883=0,0,-(COUNTIF(S1883:S1886,"&gt;0")*$T$1829*$C$32+$V$1829*$C$31)*$H$27*$R$1829)</f>
        <v>0</v>
      </c>
      <c r="V1883">
        <f>IF(S1883=0,0,$V$1829*$H$26*$R$1829)</f>
        <v>0</v>
      </c>
      <c r="W1883">
        <f>(0.6*T1883+0.7*U1883)*$R$1829/2</f>
        <v>0</v>
      </c>
      <c r="X1883">
        <f>(0.6*T1883+0.6*V1883)*$R$1829/2</f>
        <v>0</v>
      </c>
      <c r="Z1883">
        <f>IF(S1883=0,0,$AD$1829*$AP$1813)</f>
        <v>0</v>
      </c>
      <c r="AA1883">
        <f>IFERROR(Z1883/$R$1829,0)</f>
        <v>0</v>
      </c>
      <c r="AB1883">
        <f>Z1883*($F$21+IF($F$21=0,0,($C$14+$C$15+IF($C$13="single",1.5,3)+3)/12))</f>
        <v>0</v>
      </c>
      <c r="AC1883">
        <f>AB1883-W1883</f>
        <v>0</v>
      </c>
      <c r="AD1883" cm="1">
        <f t="array" ref="AD1883">IFERROR(IF(AC1883&lt;0,0,AC1883/($R$1829-INDEX(hd_off,MATCH(AQ1883,hd_mark,0),0)/12)),0)</f>
        <v>0</v>
      </c>
      <c r="AE1883">
        <f>IF(S1883=0,0,$AD$1829*$AM$1813)</f>
        <v>0</v>
      </c>
      <c r="AF1883">
        <f>IFERROR(AE1883/$R$1829,0)</f>
        <v>0</v>
      </c>
      <c r="AG1883">
        <f>AE1883*($F$21+IF($F$21=0,0,($C$14+$C$15+IF($C$13="single",1.5,3)+3)/12))</f>
        <v>0</v>
      </c>
      <c r="AH1883">
        <f>AG1883-X1883</f>
        <v>0</v>
      </c>
      <c r="AI1883" cm="1">
        <f t="array" ref="AI1883">IFERROR(IF(AH1883&lt;0,0,AH1883/($R$1829-INDEX(hd_off,MATCH(AQ1883,hd_mark,0),0)/12)),0)</f>
        <v>0</v>
      </c>
      <c r="AJ1883">
        <f>MAX($F$21,$Y$1829)/$Q$1844</f>
        <v>0.30172413793103448</v>
      </c>
      <c r="AK1883">
        <f>IF(AJ1883=0,0,IF(AJ1883&gt;2,1.25-0.125*AJ1883,1))</f>
        <v>1</v>
      </c>
      <c r="AL1883" cm="1">
        <f t="array" ref="AL1883">IFERROR(INDEX(sheath_ecap_asd,MATCH(AP1883,sheath_mark,0),0)*AK1883,0)</f>
        <v>0</v>
      </c>
      <c r="AM1883" cm="1">
        <f t="array" ref="AM1883">IFERROR(INDEX(sheath_wcap_asd,MATCH(AP1883,sheath_mark,0),0)*AK1883,0)</f>
        <v>0</v>
      </c>
      <c r="AN1883" cm="1">
        <f t="array" ref="AN1883">IFERROR(INDEX(hd_cap,MATCH(AQ1883,hd_mark,0),0),0)</f>
        <v>0</v>
      </c>
      <c r="AP1883" s="19"/>
      <c r="AQ1883" s="19"/>
      <c r="AR1883" s="100"/>
      <c r="AS1883" s="93"/>
      <c r="AT1883" s="110" t="str">
        <f>$AT$1829</f>
        <v>1.08</v>
      </c>
      <c r="AU1883" t="str">
        <f>$Q$1813</f>
        <v>L2</v>
      </c>
      <c r="AV1883">
        <f>$E$21</f>
        <v>10.6875</v>
      </c>
      <c r="AW1883" cm="1">
        <f t="array" ref="AW1883">IFERROR(IF(AV1883=0,0,(INDEX($C$33:$C$38,MATCH($AZ$1829,$B$33:$B$38,0),0)*(AV1887+$BA$1829)+$AW$1829*COUNTIF(AV1883:AV1886,"&gt;0")*$C$32+$AY$1829*$C$31)*$AU$1829),0)</f>
        <v>0</v>
      </c>
      <c r="AX1883">
        <f>IF(AV1883=0,0,-(COUNTIF(AV1883:AV1886,"&gt;0")*$AW$1829*$C$32+$AY$1829*$C$31)*$H$27*$AU$1829)</f>
        <v>0</v>
      </c>
      <c r="AY1883">
        <f>IF(AV1883=0,0,$AY$1829*$H$26*$AU$1829)</f>
        <v>0</v>
      </c>
      <c r="AZ1883">
        <f>(0.6*AW1883+0.7*AX1883)*$AU$1829/2</f>
        <v>0</v>
      </c>
      <c r="BA1883">
        <f>(0.6*AW1883+0.6*AY1883)*$AU$1829/2</f>
        <v>0</v>
      </c>
      <c r="BC1883">
        <f>IF(AV1883=0,0,$BG$1829*$AP$1813)</f>
        <v>0</v>
      </c>
      <c r="BD1883">
        <f>IFERROR(BC1883/$AU$1829,0)</f>
        <v>0</v>
      </c>
      <c r="BE1883">
        <f>BC1883*($F$21+IF($F$21=0,0,($C$14+$C$15+IF($C$13="single",1.5,3)+3)/12))</f>
        <v>0</v>
      </c>
      <c r="BF1883">
        <f>BE1883-AZ1883</f>
        <v>0</v>
      </c>
      <c r="BG1883" cm="1">
        <f t="array" ref="BG1883">IFERROR(IF(BF1883&lt;0,0,BF1883/($AU$1829-INDEX(hd_off,MATCH(BT1883,hd_mark,0),0)/12)),0)</f>
        <v>0</v>
      </c>
      <c r="BH1883">
        <f>IF(AV1883=0,0,$BG$1829*$AM$1813)</f>
        <v>0</v>
      </c>
      <c r="BI1883">
        <f>IFERROR(BH1883/$AU$1829,0)</f>
        <v>0</v>
      </c>
      <c r="BJ1883">
        <f>BH1883*($F$21+IF($F$21=0,0,($C$14+$C$15+IF($C$13="single",1.5,3)+3)/12))</f>
        <v>0</v>
      </c>
      <c r="BK1883">
        <f>BJ1883-BA1883</f>
        <v>0</v>
      </c>
      <c r="BL1883" cm="1">
        <f t="array" ref="BL1883">IFERROR(IF(BK1883&lt;0,0,BK1883/($AU$1829-INDEX(hd_off,MATCH(BT1883,hd_mark,0),0)/12)),0)</f>
        <v>0</v>
      </c>
      <c r="BM1883">
        <f>MAX($F$21,$BB$1829)/$Q$1844</f>
        <v>0.30172413793103448</v>
      </c>
      <c r="BN1883">
        <f>IF(BM1883=0,0,IF(BM1883&gt;2,1.25-0.125*BM1883,1))</f>
        <v>1</v>
      </c>
      <c r="BO1883" cm="1">
        <f t="array" ref="BO1883">IFERROR(INDEX(sheath_ecap_asd,MATCH(BS1883,sheath_mark,0),0)*BN1883,0)</f>
        <v>0</v>
      </c>
      <c r="BP1883" cm="1">
        <f t="array" ref="BP1883">IFERROR(INDEX(sheath_wcap_asd,MATCH(BS1883,sheath_mark,0),0)*BN1883,0)</f>
        <v>0</v>
      </c>
      <c r="BQ1883" cm="1">
        <f t="array" ref="BQ1883">IFERROR(INDEX(hd_cap,MATCH(BT1883,hd_mark,0),0),0)</f>
        <v>0</v>
      </c>
      <c r="BS1883" s="19"/>
      <c r="BT1883" s="19"/>
      <c r="BU1883" s="100"/>
    </row>
    <row r="1884" x14ac:dyDescent="0.25">
      <c r="P1884" s="93"/>
      <c r="Q1884" s="109"/>
      <c r="R1884" t="str">
        <f>$Q$1814</f>
        <v>L3</v>
      </c>
      <c r="S1884">
        <f>$E$22</f>
        <v>21.375</v>
      </c>
      <c r="T1884" cm="1">
        <f t="array" ref="T1884">IFERROR(IF(S1884=0,0,(INDEX($C$33:$C$38,MATCH($W$1829,$B$33:$B$38,0),0)*(S1887+$X$1829)+$T$1829*COUNTIF(S1884:S1886,"&gt;0")*$C$32+$V$1829*$C$31)*$R$1829),0)</f>
        <v>0</v>
      </c>
      <c r="U1884">
        <f>IF(S1884=0,0,-(COUNTIF(S1884:S1886,"&gt;0")*$T$1829*$C$32+$V$1829*$C$31)*$H$27*$R$1829)</f>
        <v>0</v>
      </c>
      <c r="V1884">
        <f>IF(S1884=0,0,$V$1829*$H$26*$R$1829)</f>
        <v>0</v>
      </c>
      <c r="W1884">
        <f>(0.6*T1884+0.7*U1884)*$R$1829/2</f>
        <v>0</v>
      </c>
      <c r="X1884">
        <f>T1884*$R$1829/2</f>
        <v>0</v>
      </c>
      <c r="Z1884">
        <f>IF(S1884=0,0,$AD$1829*$AP$1814)</f>
        <v>0</v>
      </c>
      <c r="AA1884">
        <f>IFERROR(Z1884/$R$1829,0)</f>
        <v>0</v>
      </c>
      <c r="AB1884">
        <f>Z1884*($F$22+IF($F$22=0,0,($C$14+$C$15+IF($C$13="single",1.5,3)+3)/12))</f>
        <v>0</v>
      </c>
      <c r="AC1884">
        <f>AB1884-W1884</f>
        <v>0</v>
      </c>
      <c r="AD1884" cm="1">
        <f t="array" ref="AD1884">IFERROR(IF(AC1884&lt;0,0,AC1884/($R$1829-INDEX(hd_off,MATCH(AQ1884,hd_mark,0),0)/12)),0)</f>
        <v>0</v>
      </c>
      <c r="AE1884">
        <f>IF(S1884=0,0,$AD$1829*$AM$1814)</f>
        <v>0</v>
      </c>
      <c r="AF1884">
        <f>IFERROR(AE1884/$R$1829,0)</f>
        <v>0</v>
      </c>
      <c r="AG1884">
        <f>AE1884*($F$22+IF($F$22=0,0,($C$14+$C$15+IF($C$13="single",1.5,3)+3)/12))</f>
        <v>0</v>
      </c>
      <c r="AH1884">
        <f>AG1884-X1884</f>
        <v>0</v>
      </c>
      <c r="AI1884" cm="1">
        <f t="array" ref="AI1884">IFERROR(IF(AH1884&lt;0,0,AH1884/($R$1829-INDEX(hd_off,MATCH(AQ1884,hd_mark,0),0)/12)),0)</f>
        <v>0</v>
      </c>
      <c r="AJ1884">
        <f>MAX($F$22,$Z$1829)/$Q$1844</f>
        <v>0.30172413793103448</v>
      </c>
      <c r="AK1884">
        <f t="shared" ref="AK1884:AK1887" si="1166">IF(AJ1884=0,0,IF(AJ1884&gt;2,1.25-0.125*AJ1884,1))</f>
        <v>1</v>
      </c>
      <c r="AL1884" cm="1">
        <f t="array" ref="AL1884">IFERROR(INDEX(sheath_ecap_asd,MATCH(AP1884,sheath_mark,0),0)*AK1884,0)</f>
        <v>0</v>
      </c>
      <c r="AM1884" cm="1">
        <f t="array" ref="AM1884">IFERROR(INDEX(sheath_wcap_asd,MATCH(AP1884,sheath_mark,0),0)*AK1884,0)</f>
        <v>0</v>
      </c>
      <c r="AN1884" cm="1">
        <f t="array" ref="AN1884">IFERROR(INDEX(hd_cap,MATCH(AQ1884,hd_mark,0),0),0)</f>
        <v>0</v>
      </c>
      <c r="AP1884" s="19"/>
      <c r="AQ1884" s="19"/>
      <c r="AR1884" s="100"/>
      <c r="AS1884" s="93"/>
      <c r="AT1884" s="109"/>
      <c r="AU1884" t="str">
        <f>$Q$1814</f>
        <v>L3</v>
      </c>
      <c r="AV1884">
        <f>$E$22</f>
        <v>21.375</v>
      </c>
      <c r="AW1884" cm="1">
        <f t="array" ref="AW1884">IFERROR(IF(AV1884=0,0,(INDEX($C$33:$C$38,MATCH($AZ$1829,$B$33:$B$38,0),0)*(AV1887+$BA$1829)+$AW$1829*COUNTIF(AV1884:AV1886,"&gt;0")*$C$32+$AY$1829*$C$31)*$AU$1829),0)</f>
        <v>0</v>
      </c>
      <c r="AX1884">
        <f>IF(AV1884=0,0,-(COUNTIF(AV1884:AV1886,"&gt;0")*$AW$1829*$C$32+$AY$1829*$C$31)*$H$27*$AU$1829)</f>
        <v>0</v>
      </c>
      <c r="AY1884">
        <f>IF(AV1884=0,0,$AY$1829*$H$26*$AU$1829)</f>
        <v>0</v>
      </c>
      <c r="AZ1884">
        <f>(0.6*AW1884+0.7*AX1884)*$AU$1829/2</f>
        <v>0</v>
      </c>
      <c r="BA1884">
        <f>AW1884*$AU$1829/2</f>
        <v>0</v>
      </c>
      <c r="BC1884">
        <f>IF(AV1884=0,0,$BG$1829*$AP$1814)</f>
        <v>0</v>
      </c>
      <c r="BD1884">
        <f>IFERROR(BC1884/$AU$1829,0)</f>
        <v>0</v>
      </c>
      <c r="BE1884">
        <f>BC1884*($F$22+IF($F$22=0,0,($C$14+$C$15+IF($C$13="single",1.5,3)+3)/12))</f>
        <v>0</v>
      </c>
      <c r="BF1884">
        <f>BE1884-AZ1884</f>
        <v>0</v>
      </c>
      <c r="BG1884" cm="1">
        <f t="array" ref="BG1884">IFERROR(IF(BF1884&lt;0,0,BF1884/($AU$1829-INDEX(hd_off,MATCH(BT1884,hd_mark,0),0)/12)),0)</f>
        <v>0</v>
      </c>
      <c r="BH1884">
        <f>IF(AV1884=0,0,$BG$1829*$AM$1814)</f>
        <v>0</v>
      </c>
      <c r="BI1884">
        <f>IFERROR(BH1884/$AU$1829,0)</f>
        <v>0</v>
      </c>
      <c r="BJ1884">
        <f>BH1884*($F$22+IF($F$22=0,0,($C$14+$C$15+IF($C$13="single",1.5,3)+3)/12))</f>
        <v>0</v>
      </c>
      <c r="BK1884">
        <f>BJ1884-BA1884</f>
        <v>0</v>
      </c>
      <c r="BL1884" cm="1">
        <f t="array" ref="BL1884">IFERROR(IF(BK1884&lt;0,0,BK1884/($AU$1829-INDEX(hd_off,MATCH(BT1884,hd_mark,0),0)/12)),0)</f>
        <v>0</v>
      </c>
      <c r="BM1884">
        <f>MAX($F$22,$BC$1829)/$Q$1844</f>
        <v>0.30172413793103448</v>
      </c>
      <c r="BN1884">
        <f t="shared" ref="BN1884:BN1887" si="1167">IF(BM1884=0,0,IF(BM1884&gt;2,1.25-0.125*BM1884,1))</f>
        <v>1</v>
      </c>
      <c r="BO1884" cm="1">
        <f t="array" ref="BO1884">IFERROR(INDEX(sheath_ecap_asd,MATCH(BS1884,sheath_mark,0),0)*BN1884,0)</f>
        <v>0</v>
      </c>
      <c r="BP1884" cm="1">
        <f t="array" ref="BP1884">IFERROR(INDEX(sheath_wcap_asd,MATCH(BS1884,sheath_mark,0),0)*BN1884,0)</f>
        <v>0</v>
      </c>
      <c r="BQ1884" cm="1">
        <f t="array" ref="BQ1884">IFERROR(INDEX(hd_cap,MATCH(BT1884,hd_mark,0),0),0)</f>
        <v>0</v>
      </c>
      <c r="BS1884" s="19"/>
      <c r="BT1884" s="19"/>
      <c r="BU1884" s="100"/>
    </row>
    <row r="1885" x14ac:dyDescent="0.25">
      <c r="P1885" s="93"/>
      <c r="Q1885" s="109" t="s">
        <v>491</v>
      </c>
      <c r="R1885" t="str">
        <f>$Q$1815</f>
        <v>L4</v>
      </c>
      <c r="S1885">
        <f>$E$23</f>
        <v>0</v>
      </c>
      <c r="T1885" cm="1">
        <f t="array" ref="T1885">IFERROR(IF(S1885=0,0,(INDEX($C$33:$C$38,MATCH($W$1829,$B$33:$B$38,0),0)*(S1887+$X$1829)+$T$1829*COUNTIF(S1885:S1886,"&gt;0")*$C$32+$V$1829*$C$31)*$R$1829),0)</f>
        <v>0</v>
      </c>
      <c r="U1885">
        <f>IF(S1885=0,0,-(COUNTIF(S1885:S1886,"&gt;0")*$T$1829*$C$32+$V$1829*$C$31)*$H$27*$R$1829)</f>
        <v>0</v>
      </c>
      <c r="V1885">
        <f>IF(S1885=0,0,$V$1829*$H$26*$R$1829)</f>
        <v>0</v>
      </c>
      <c r="W1885">
        <f>(0.6*T1885+0.7*U1885)*$R$1829/2</f>
        <v>0</v>
      </c>
      <c r="X1885">
        <f>T1885*$R$1829/2</f>
        <v>0</v>
      </c>
      <c r="Z1885">
        <f>IF(S1885=0,0,$AD$1829*$AP$1815)</f>
        <v>0</v>
      </c>
      <c r="AA1885">
        <f>IFERROR(Z1885/$R$1829,0)</f>
        <v>0</v>
      </c>
      <c r="AB1885">
        <f>Z1885*($F$23+IF($F$23=0,0,($C$14+$C$15+IF($C$13="single",1.5,3)+3)/12))</f>
        <v>0</v>
      </c>
      <c r="AC1885">
        <f>AB1885-W1885</f>
        <v>0</v>
      </c>
      <c r="AD1885" cm="1">
        <f t="array" ref="AD1885">IFERROR(IF(AC1885&lt;0,0,AC1885/($R$1829-INDEX(hd_off,MATCH(AQ1885,hd_mark,0),0)/12)),0)</f>
        <v>0</v>
      </c>
      <c r="AE1885">
        <f>IF(S1885=0,0,$AD$1829*$AM$1815)</f>
        <v>0</v>
      </c>
      <c r="AF1885">
        <f>IFERROR(AE1885/$R$1829,0)</f>
        <v>0</v>
      </c>
      <c r="AG1885">
        <f>AE1885*($F$23+IF($F$23=0,0,($C$14+$C$15+IF($C$13="single",1.5,3)+3)/12))</f>
        <v>0</v>
      </c>
      <c r="AH1885">
        <f>AG1885-X1885</f>
        <v>0</v>
      </c>
      <c r="AI1885" cm="1">
        <f t="array" ref="AI1885">IFERROR(IF(AH1885&lt;0,0,AH1885/($R$1829-INDEX(hd_off,MATCH(AQ1885,hd_mark,0),0)/12)),0)</f>
        <v>0</v>
      </c>
      <c r="AJ1885">
        <f>MAX($F$23,$AA$1829)/$Q$1844</f>
        <v>0</v>
      </c>
      <c r="AK1885">
        <f t="shared" si="1166"/>
        <v>0</v>
      </c>
      <c r="AL1885" cm="1">
        <f t="array" ref="AL1885">IFERROR(INDEX(sheath_ecap_asd,MATCH(AP1885,sheath_mark,0),0)*AK1885,0)</f>
        <v>0</v>
      </c>
      <c r="AM1885" cm="1">
        <f t="array" ref="AM1885">IFERROR(INDEX(sheath_wcap_asd,MATCH(AP1885,sheath_mark,0),0)*AK1885,0)</f>
        <v>0</v>
      </c>
      <c r="AN1885" cm="1">
        <f t="array" ref="AN1885">IFERROR(INDEX(hd_cap,MATCH(AQ1885,hd_mark,0),0),0)</f>
        <v>0</v>
      </c>
      <c r="AP1885" s="19"/>
      <c r="AQ1885" s="19"/>
      <c r="AR1885" s="100"/>
      <c r="AS1885" s="93"/>
      <c r="AT1885" s="109" t="s">
        <v>491</v>
      </c>
      <c r="AU1885" t="str">
        <f>$Q$1815</f>
        <v>L4</v>
      </c>
      <c r="AV1885">
        <f>$E$23</f>
        <v>0</v>
      </c>
      <c r="AW1885" cm="1">
        <f t="array" ref="AW1885">IFERROR(IF(AV1885=0,0,(INDEX($C$33:$C$38,MATCH($AZ$1829,$B$33:$B$38,0),0)*(AV1887+$BA$1829)+$AW$1829*COUNTIF(AV1885:AV1886,"&gt;0")*$C$32+$AY$1829*$C$31)*$AU$1829),0)</f>
        <v>0</v>
      </c>
      <c r="AX1885">
        <f>IF(AV1885=0,0,-(COUNTIF(AV1885:AV1886,"&gt;0")*$AW$1829*$C$32+$AY$1829*$C$31)*$H$27*$AU$1829)</f>
        <v>0</v>
      </c>
      <c r="AY1885">
        <f>IF(AV1885=0,0,$AY$1829*$H$26*$AU$1829)</f>
        <v>0</v>
      </c>
      <c r="AZ1885">
        <f>(0.6*AW1885+0.7*AX1885)*$AU$1829/2</f>
        <v>0</v>
      </c>
      <c r="BA1885">
        <f>AW1885*$AU$1829/2</f>
        <v>0</v>
      </c>
      <c r="BC1885">
        <f>IF(AV1885=0,0,$BG$1829*$AP$1815)</f>
        <v>0</v>
      </c>
      <c r="BD1885">
        <f>IFERROR(BC1885/$AU$1829,0)</f>
        <v>0</v>
      </c>
      <c r="BE1885">
        <f>BC1885*($F$23+IF($F$23=0,0,($C$14+$C$15+IF($C$13="single",1.5,3)+3)/12))</f>
        <v>0</v>
      </c>
      <c r="BF1885">
        <f>BE1885-AZ1885</f>
        <v>0</v>
      </c>
      <c r="BG1885" cm="1">
        <f t="array" ref="BG1885">IFERROR(IF(BF1885&lt;0,0,BF1885/($AU$1829-INDEX(hd_off,MATCH(BT1885,hd_mark,0),0)/12)),0)</f>
        <v>0</v>
      </c>
      <c r="BH1885">
        <f>IF(AV1885=0,0,$BG$1829*$AM$1815)</f>
        <v>0</v>
      </c>
      <c r="BI1885">
        <f>IFERROR(BH1885/$AU$1829,0)</f>
        <v>0</v>
      </c>
      <c r="BJ1885">
        <f>BH1885*($F$23+IF($F$23=0,0,($C$14+$C$15+IF($C$13="single",1.5,3)+3)/12))</f>
        <v>0</v>
      </c>
      <c r="BK1885">
        <f>BJ1885-BA1885</f>
        <v>0</v>
      </c>
      <c r="BL1885" cm="1">
        <f t="array" ref="BL1885">IFERROR(IF(BK1885&lt;0,0,BK1885/($AU$1829-INDEX(hd_off,MATCH(BT1885,hd_mark,0),0)/12)),0)</f>
        <v>0</v>
      </c>
      <c r="BM1885">
        <f>MAX($F$23,$BD$1829)/$Q$1844</f>
        <v>0</v>
      </c>
      <c r="BN1885">
        <f t="shared" si="1167"/>
        <v>0</v>
      </c>
      <c r="BO1885" cm="1">
        <f t="array" ref="BO1885">IFERROR(INDEX(sheath_ecap_asd,MATCH(BS1885,sheath_mark,0),0)*BN1885,0)</f>
        <v>0</v>
      </c>
      <c r="BP1885" cm="1">
        <f t="array" ref="BP1885">IFERROR(INDEX(sheath_wcap_asd,MATCH(BS1885,sheath_mark,0),0)*BN1885,0)</f>
        <v>0</v>
      </c>
      <c r="BQ1885" cm="1">
        <f t="array" ref="BQ1885">IFERROR(INDEX(hd_cap,MATCH(BT1885,hd_mark,0),0),0)</f>
        <v>0</v>
      </c>
      <c r="BS1885" s="19"/>
      <c r="BT1885" s="19"/>
      <c r="BU1885" s="100"/>
    </row>
    <row r="1886" x14ac:dyDescent="0.25">
      <c r="P1886" s="93"/>
      <c r="Q1886" s="111">
        <f>$R$1829</f>
        <v>0</v>
      </c>
      <c r="R1886" t="str">
        <f>$Q$1816</f>
        <v>L5</v>
      </c>
      <c r="S1886">
        <f>$E$24</f>
        <v>0</v>
      </c>
      <c r="T1886" cm="1">
        <f t="array" ref="T1886">IFERROR(IF(S1886=0,0,(INDEX($C$33:$C$38,MATCH($W$1829,$B$33:$B$38,0),0)*(S1887+$X$1829)+$T$1829*COUNTIF(S1886:S1886,"&gt;0")*$C$32+$V$1829*$C$31)*$R$1829),0)</f>
        <v>0</v>
      </c>
      <c r="U1886">
        <f>IF(S1886=0,0,-(COUNTIF(S1886:S1886,"&gt;0")*$T$1829*$C$32+$V$1829*$C$31)*$H$27*$R$1829)</f>
        <v>0</v>
      </c>
      <c r="V1886">
        <f>IF(S1886=0,0,$V$1829*$H$26*$R$1829)</f>
        <v>0</v>
      </c>
      <c r="W1886">
        <f>(0.6*T1886+0.7*U1886)*$R$1829/2</f>
        <v>0</v>
      </c>
      <c r="X1886">
        <f>T1886*$R$1829/2</f>
        <v>0</v>
      </c>
      <c r="Z1886">
        <f>IF(S1886=0,0,$AD$1829*$AP$1816)</f>
        <v>0</v>
      </c>
      <c r="AA1886">
        <f>IFERROR(Z1886/$R$1829,0)</f>
        <v>0</v>
      </c>
      <c r="AB1886">
        <f>Z1886*($F$24+IF($F$24=0,0,($C$14+$C$15+IF($C$13="single",1.5,3)+3)/12))</f>
        <v>0</v>
      </c>
      <c r="AC1886">
        <f>AB1886-W1886</f>
        <v>0</v>
      </c>
      <c r="AD1886" cm="1">
        <f t="array" ref="AD1886">IFERROR(IF(AC1886&lt;0,0,AC1886/($R$1829-INDEX(hd_off,MATCH(AQ1886,hd_mark,0),0)/12)),0)</f>
        <v>0</v>
      </c>
      <c r="AE1886">
        <f>IF(S1886=0,0,$AD$1829*$AM$1816)</f>
        <v>0</v>
      </c>
      <c r="AF1886">
        <f>IFERROR(AE1886/$R$1829,0)</f>
        <v>0</v>
      </c>
      <c r="AG1886">
        <f>AE1886*($F$24+IF($F$24=0,0,($C$14+$C$15+IF($C$13="single",1.5,3)+3)/12))</f>
        <v>0</v>
      </c>
      <c r="AH1886">
        <f>AG1886-X1886</f>
        <v>0</v>
      </c>
      <c r="AI1886" cm="1">
        <f t="array" ref="AI1886">IFERROR(IF(AH1886&lt;0,0,AH1886/($R$1829-INDEX(hd_off,MATCH(AQ1886,hd_mark,0),0)/12)),0)</f>
        <v>0</v>
      </c>
      <c r="AJ1886">
        <f>MAX($F$24,$AB$1829)/$Q$1844</f>
        <v>0</v>
      </c>
      <c r="AK1886">
        <f t="shared" si="1166"/>
        <v>0</v>
      </c>
      <c r="AL1886" cm="1">
        <f t="array" ref="AL1886">IFERROR(INDEX(sheath_ecap_asd,MATCH(AP1886,sheath_mark,0),0)*AK1886,0)</f>
        <v>0</v>
      </c>
      <c r="AM1886" cm="1">
        <f t="array" ref="AM1886">IFERROR(INDEX(sheath_wcap_asd,MATCH(AP1886,sheath_mark,0),0)*AK1886,0)</f>
        <v>0</v>
      </c>
      <c r="AN1886" cm="1">
        <f t="array" ref="AN1886">IFERROR(INDEX(hd_cap,MATCH(AQ1886,hd_mark,0),0),0)</f>
        <v>0</v>
      </c>
      <c r="AP1886" s="19"/>
      <c r="AQ1886" s="19"/>
      <c r="AR1886" s="100"/>
      <c r="AS1886" s="93"/>
      <c r="AT1886" s="111">
        <f>$R$1829</f>
        <v>0</v>
      </c>
      <c r="AU1886" t="str">
        <f>$Q$1816</f>
        <v>L5</v>
      </c>
      <c r="AV1886">
        <f>$E$24</f>
        <v>0</v>
      </c>
      <c r="AW1886" cm="1">
        <f t="array" ref="AW1886">IFERROR(IF(AV1886=0,0,(INDEX($C$33:$C$38,MATCH($AZ$1829,$B$33:$B$38,0),0)*(AV1887+$BA$1829)+$AW$1829*COUNTIF(AV1886:AV1886,"&gt;0")*$C$32+$AY$1829*$C$31)*$AU$1829),0)</f>
        <v>0</v>
      </c>
      <c r="AX1886">
        <f>IF(AV1886=0,0,-(COUNTIF(AV1886:AV1886,"&gt;0")*$AW$1829*$C$32+$AY$1829*$C$31)*$H$27*$AU$1829)</f>
        <v>0</v>
      </c>
      <c r="AY1886">
        <f>IF(AV1886=0,0,$AY$1829*$H$26*$AU$1829)</f>
        <v>0</v>
      </c>
      <c r="AZ1886">
        <f>(0.6*AW1886+0.7*AX1886)*$AU$1829/2</f>
        <v>0</v>
      </c>
      <c r="BA1886">
        <f>AW1886*$AU$1829/2</f>
        <v>0</v>
      </c>
      <c r="BC1886">
        <f>IF(AV1886=0,0,$BG$1829*$AP$1816)</f>
        <v>0</v>
      </c>
      <c r="BD1886">
        <f>IFERROR(BC1886/$AU$1829,0)</f>
        <v>0</v>
      </c>
      <c r="BE1886">
        <f>BC1886*($F$24+IF($F$24=0,0,($C$14+$C$15+IF($C$13="single",1.5,3)+3)/12))</f>
        <v>0</v>
      </c>
      <c r="BF1886">
        <f>BE1886-AZ1886</f>
        <v>0</v>
      </c>
      <c r="BG1886" cm="1">
        <f t="array" ref="BG1886">IFERROR(IF(BF1886&lt;0,0,BF1886/($AU$1829-INDEX(hd_off,MATCH(BT1886,hd_mark,0),0)/12)),0)</f>
        <v>0</v>
      </c>
      <c r="BH1886">
        <f>IF(AV1886=0,0,$BG$1829*$AM$1816)</f>
        <v>0</v>
      </c>
      <c r="BI1886">
        <f>IFERROR(BH1886/$AU$1829,0)</f>
        <v>0</v>
      </c>
      <c r="BJ1886">
        <f>BH1886*($F$24+IF($F$24=0,0,($C$14+$C$15+IF($C$13="single",1.5,3)+3)/12))</f>
        <v>0</v>
      </c>
      <c r="BK1886">
        <f>BJ1886-BA1886</f>
        <v>0</v>
      </c>
      <c r="BL1886" cm="1">
        <f t="array" ref="BL1886">IFERROR(IF(BK1886&lt;0,0,BK1886/($AU$1829-INDEX(hd_off,MATCH(BT1886,hd_mark,0),0)/12)),0)</f>
        <v>0</v>
      </c>
      <c r="BM1886">
        <f>MAX($F$24,$BE$1829)/$Q$1844</f>
        <v>0</v>
      </c>
      <c r="BN1886">
        <f t="shared" si="1167"/>
        <v>0</v>
      </c>
      <c r="BO1886" cm="1">
        <f t="array" ref="BO1886">IFERROR(INDEX(sheath_ecap_asd,MATCH(BS1886,sheath_mark,0),0)*BN1886,0)</f>
        <v>0</v>
      </c>
      <c r="BP1886" cm="1">
        <f t="array" ref="BP1886">IFERROR(INDEX(sheath_wcap_asd,MATCH(BS1886,sheath_mark,0),0)*BN1886,0)</f>
        <v>0</v>
      </c>
      <c r="BQ1886" cm="1">
        <f t="array" ref="BQ1886">IFERROR(INDEX(hd_cap,MATCH(BT1886,hd_mark,0),0),0)</f>
        <v>0</v>
      </c>
      <c r="BS1886" s="19"/>
      <c r="BT1886" s="19"/>
      <c r="BU1886" s="100"/>
    </row>
    <row r="1887" x14ac:dyDescent="0.25">
      <c r="P1887" s="93"/>
      <c r="Q1887" s="109"/>
      <c r="R1887" t="str">
        <f>$Q$1817</f>
        <v>Roof</v>
      </c>
      <c r="S1887">
        <f>$E$25</f>
        <v>33.171875</v>
      </c>
      <c r="T1887" cm="1">
        <f t="array" ref="T1887">IFERROR(IF(S1887=0,0,(INDEX($C$33:$C$38,MATCH($W$1829,$B$33:$B$38,0),0)*(S1887+$X$1829)+$V$1829*$C$31)*$R$1829),0)</f>
        <v>0</v>
      </c>
      <c r="U1887">
        <f>IF(S1887=0,0,-$V$1829*$C$31*$H$27*$R$1829)</f>
        <v>0</v>
      </c>
      <c r="V1887">
        <f>IF(S1887=0,0,$V$1829*$H$26*$R$1829)</f>
        <v>0</v>
      </c>
      <c r="W1887">
        <f>(0.6*T1887+0.7*U1887)*$R$1829/2</f>
        <v>0</v>
      </c>
      <c r="X1887">
        <f>T1887*$R$1829/2</f>
        <v>0</v>
      </c>
      <c r="Z1887">
        <f>IF(S1887=0,0,$AD$1829*$AP$1817)</f>
        <v>0</v>
      </c>
      <c r="AA1887">
        <f>IFERROR(Z1887/$R$1829,0)</f>
        <v>0</v>
      </c>
      <c r="AB1887">
        <f>Z1887*($F$25+($C$16+$C$17+IF($C$13="single",1.5,3)+3)/12)</f>
        <v>0</v>
      </c>
      <c r="AC1887">
        <f>AB1887-W1887</f>
        <v>0</v>
      </c>
      <c r="AD1887" cm="1">
        <f t="array" ref="AD1887">IFERROR(IF(AC1887&lt;0,0,AC1887/($R$1829-INDEX(hd_off,MATCH(AQ1887,hd_mark,0),0)/12)),0)</f>
        <v>0</v>
      </c>
      <c r="AE1887">
        <f>IF(S1887=0,0,$AD$1829*$AM$1817)</f>
        <v>0</v>
      </c>
      <c r="AF1887">
        <f>IFERROR(AE1887/$R$1829,0)</f>
        <v>0</v>
      </c>
      <c r="AG1887">
        <f>AE1887*($F$25+($C$16+$C$17+IF($C$13="single",1.5,3)+3)/12)</f>
        <v>0</v>
      </c>
      <c r="AH1887">
        <f>AG1887-X1887</f>
        <v>0</v>
      </c>
      <c r="AI1887" cm="1">
        <f t="array" ref="AI1887">IFERROR(IF(AH1887&lt;0,0,AH1887/($R$1829-INDEX(hd_off,MATCH(AQ1887,hd_mark,0),0)/12)),0)</f>
        <v>0</v>
      </c>
      <c r="AJ1887">
        <f>MAX($F$25,$AC$1829)/$Q$1844</f>
        <v>0.29920977011494249</v>
      </c>
      <c r="AK1887">
        <f t="shared" si="1166"/>
        <v>1</v>
      </c>
      <c r="AL1887" cm="1">
        <f t="array" ref="AL1887">IFERROR(INDEX(sheath_ecap_asd,MATCH(AP1887,sheath_mark,0),0)*AK1887,0)</f>
        <v>0</v>
      </c>
      <c r="AM1887" cm="1">
        <f t="array" ref="AM1887">IFERROR(INDEX(sheath_wcap_asd,MATCH(AP1887,sheath_mark,0),0)*AK1887,0)</f>
        <v>0</v>
      </c>
      <c r="AN1887" cm="1">
        <f t="array" ref="AN1887">IFERROR(INDEX(hd_cap,MATCH(AQ1887,hd_mark,0),0),0)</f>
        <v>0</v>
      </c>
      <c r="AP1887" s="19"/>
      <c r="AQ1887" s="19"/>
      <c r="AR1887" s="100"/>
      <c r="AS1887" s="93"/>
      <c r="AT1887" s="109"/>
      <c r="AU1887" t="str">
        <f>$Q$1817</f>
        <v>Roof</v>
      </c>
      <c r="AV1887">
        <f>$E$25</f>
        <v>33.171875</v>
      </c>
      <c r="AW1887" cm="1">
        <f t="array" ref="AW1887">IFERROR(IF(AV1887=0,0,(INDEX($C$33:$C$38,MATCH($AZ$1829,$B$33:$B$38,0),0)*(AV1887+$BA$1829)+$AY$1829*$C$31)*$AU$1829),0)</f>
        <v>0</v>
      </c>
      <c r="AX1887">
        <f>IF(AV1887=0,0,-$AY$1829*$C$31*$H$27*$AU$1829)</f>
        <v>0</v>
      </c>
      <c r="AY1887">
        <f>IF(AV1887=0,0,$AY$1829*$H$26*$AU$1829)</f>
        <v>0</v>
      </c>
      <c r="AZ1887">
        <f>(0.6*AW1887+0.7*AX1887)*$AU$1829/2</f>
        <v>0</v>
      </c>
      <c r="BA1887">
        <f>AW1887*$AU$1829/2</f>
        <v>0</v>
      </c>
      <c r="BC1887">
        <f>IF(AV1887=0,0,$BG$1829*$AP$1817)</f>
        <v>0</v>
      </c>
      <c r="BD1887">
        <f>IFERROR(BC1887/$AU$1829,0)</f>
        <v>0</v>
      </c>
      <c r="BE1887">
        <f>BC1887*($F$25+($C$16+$C$17+IF($C$13="single",1.5,3)+3)/12)</f>
        <v>0</v>
      </c>
      <c r="BF1887">
        <f>BE1887-AZ1887</f>
        <v>0</v>
      </c>
      <c r="BG1887" cm="1">
        <f t="array" ref="BG1887">IFERROR(IF(BF1887&lt;0,0,BF1887/($AU$1829-INDEX(hd_off,MATCH(BT1887,hd_mark,0),0)/12)),0)</f>
        <v>0</v>
      </c>
      <c r="BH1887">
        <f>IF(AV1887=0,0,$BG$1829*$AM$1817)</f>
        <v>0</v>
      </c>
      <c r="BI1887">
        <f>IFERROR(BH1887/$AU$1829,0)</f>
        <v>0</v>
      </c>
      <c r="BJ1887">
        <f>BH1887*($F$25+($C$16+$C$17+IF($C$13="single",1.5,3)+3)/12)</f>
        <v>0</v>
      </c>
      <c r="BK1887">
        <f>BJ1887-BA1887</f>
        <v>0</v>
      </c>
      <c r="BL1887" cm="1">
        <f t="array" ref="BL1887">IFERROR(IF(BK1887&lt;0,0,BK1887/($AU$1829-INDEX(hd_off,MATCH(BT1887,hd_mark,0),0)/12)),0)</f>
        <v>0</v>
      </c>
      <c r="BM1887">
        <f>MAX($F$25,$BF$1829)/$Q$1844</f>
        <v>0.29920977011494249</v>
      </c>
      <c r="BN1887">
        <f t="shared" si="1167"/>
        <v>1</v>
      </c>
      <c r="BO1887" cm="1">
        <f t="array" ref="BO1887">IFERROR(INDEX(sheath_ecap_asd,MATCH(BS1887,sheath_mark,0),0)*BN1887,0)</f>
        <v>0</v>
      </c>
      <c r="BP1887" cm="1">
        <f t="array" ref="BP1887">IFERROR(INDEX(sheath_wcap_asd,MATCH(BS1887,sheath_mark,0),0)*BN1887,0)</f>
        <v>0</v>
      </c>
      <c r="BQ1887" cm="1">
        <f t="array" ref="BQ1887">IFERROR(INDEX(hd_cap,MATCH(BT1887,hd_mark,0),0),0)</f>
        <v>0</v>
      </c>
      <c r="BS1887" s="19"/>
      <c r="BT1887" s="19"/>
      <c r="BU1887" s="100"/>
    </row>
    <row r="1888" x14ac:dyDescent="0.25">
      <c r="P1888" s="93"/>
      <c r="AR1888" s="100"/>
      <c r="AS1888" s="93"/>
      <c r="BU1888" s="100"/>
    </row>
    <row r="1889" x14ac:dyDescent="0.25">
      <c r="P1889" s="93"/>
      <c r="Q1889" s="110" t="str">
        <f>$Q$1830</f>
        <v>A.09</v>
      </c>
      <c r="R1889" t="str">
        <f>$Q$1813</f>
        <v>L2</v>
      </c>
      <c r="S1889">
        <f>$E$21</f>
        <v>10.6875</v>
      </c>
      <c r="T1889" cm="1">
        <f t="array" ref="T1889">IFERROR(IF(S1889=0,0,(INDEX($C$33:$C$38,MATCH($W$1830,$B$33:$B$38,0),0)*(S1893+$X$1830)+$T$1830*COUNTIF(S1889:S1892,"&gt;0")*$C$32+$V$1830*$C$31)*$R$1830),0)</f>
        <v>0</v>
      </c>
      <c r="U1889">
        <f>IF(S1889=0,0,-(COUNTIF(S1889:S1892,"&gt;0")*$T$1830*$C$32+$V$1830*$C$31)*$H$27*$R$1830)</f>
        <v>0</v>
      </c>
      <c r="V1889">
        <f>IF(S1889=0,0,$V$1830*$H$26*$R$1830)</f>
        <v>0</v>
      </c>
      <c r="W1889">
        <f>(0.6*T1889+0.7*U1889)*$R$1830/2</f>
        <v>0</v>
      </c>
      <c r="X1889">
        <f>(0.6*T1889+0.6*V1889)*$R$1830/2</f>
        <v>0</v>
      </c>
      <c r="Z1889">
        <f>IF(S1889=0,0,$AD$1830*$AP$1813)</f>
        <v>0</v>
      </c>
      <c r="AA1889">
        <f>IFERROR(Z1889/$R$1830,0)</f>
        <v>0</v>
      </c>
      <c r="AB1889">
        <f>Z1889*($F$21+IF($F$21=0,0,($C$14+$C$15+IF($C$13="single",1.5,3)+3)/12))</f>
        <v>0</v>
      </c>
      <c r="AC1889">
        <f>AB1889-W1889</f>
        <v>0</v>
      </c>
      <c r="AD1889" cm="1">
        <f t="array" ref="AD1889">IFERROR(IF(AC1889&lt;0,0,AC1889/($R$1830-INDEX(hd_off,MATCH(AQ1889,hd_mark,0),0)/12)),0)</f>
        <v>0</v>
      </c>
      <c r="AE1889">
        <f>IF(S1889=0,0,$AD$1830*$AM$1813)</f>
        <v>0</v>
      </c>
      <c r="AF1889">
        <f>IFERROR(AE1889/$R$1830,0)</f>
        <v>0</v>
      </c>
      <c r="AG1889">
        <f>AE1889*($F$21+IF($F$21=0,0,($C$14+$C$15+IF($C$13="single",1.5,3)+3)/12))</f>
        <v>0</v>
      </c>
      <c r="AH1889">
        <f>AG1889-X1889</f>
        <v>0</v>
      </c>
      <c r="AI1889" cm="1">
        <f t="array" ref="AI1889">IFERROR(IF(AH1889&lt;0,0,AH1889/($R$1830-INDEX(hd_off,MATCH(AQ1889,hd_mark,0),0)/12)),0)</f>
        <v>0</v>
      </c>
      <c r="AJ1889">
        <f>MAX($F$21,$Y$1830)/$Q$1844</f>
        <v>0.30172413793103448</v>
      </c>
      <c r="AK1889">
        <f>IF(AJ1889=0,0,IF(AJ1889&gt;2,1.25-0.125*AJ1889,1))</f>
        <v>1</v>
      </c>
      <c r="AL1889" cm="1">
        <f t="array" ref="AL1889">IFERROR(INDEX(sheath_ecap_asd,MATCH(AP1889,sheath_mark,0),0)*AK1889,0)</f>
        <v>0</v>
      </c>
      <c r="AM1889" cm="1">
        <f t="array" ref="AM1889">IFERROR(INDEX(sheath_wcap_asd,MATCH(AP1889,sheath_mark,0),0)*AK1889,0)</f>
        <v>0</v>
      </c>
      <c r="AN1889" cm="1">
        <f t="array" ref="AN1889">IFERROR(INDEX(hd_cap,MATCH(AQ1889,hd_mark,0),0),0)</f>
        <v>0</v>
      </c>
      <c r="AP1889" s="19"/>
      <c r="AQ1889" s="19"/>
      <c r="AR1889" s="100"/>
      <c r="AS1889" s="93"/>
      <c r="AT1889" s="110" t="str">
        <f>$AT$1830</f>
        <v>1.09</v>
      </c>
      <c r="AU1889" t="str">
        <f>$Q$1813</f>
        <v>L2</v>
      </c>
      <c r="AV1889">
        <f>$E$21</f>
        <v>10.6875</v>
      </c>
      <c r="AW1889" cm="1">
        <f t="array" ref="AW1889">IFERROR(IF(AV1889=0,0,(INDEX($C$33:$C$38,MATCH($AZ$1830,$B$33:$B$38,0),0)*(AV1893+$BA$1830)+$AW$1830*COUNTIF(AV1889:AV1892,"&gt;0")*$C$32+$AY$1830*$C$31)*$AU$1830),0)</f>
        <v>0</v>
      </c>
      <c r="AX1889">
        <f>IF(AV1889=0,0,-(COUNTIF(AV1889:AV1892,"&gt;0")*$AW$1830*$C$32+$AY$1830*$C$31)*$H$27*$AU$1830)</f>
        <v>0</v>
      </c>
      <c r="AY1889">
        <f>IF(AV1889=0,0,$AY$1830*$H$26*$AU$1830)</f>
        <v>0</v>
      </c>
      <c r="AZ1889">
        <f>(0.6*AW1889+0.7*AX1889)*$AU$1830/2</f>
        <v>0</v>
      </c>
      <c r="BA1889">
        <f>(0.6*AW1889+0.6*AY1889)*$AU$1830/2</f>
        <v>0</v>
      </c>
      <c r="BC1889">
        <f>IF(AV1889=0,0,$BG$1830*$AP$1813)</f>
        <v>0</v>
      </c>
      <c r="BD1889">
        <f>IFERROR(BC1889/$AU$1830,0)</f>
        <v>0</v>
      </c>
      <c r="BE1889">
        <f>BC1889*($F$21+IF($F$21=0,0,($C$14+$C$15+IF($C$13="single",1.5,3)+3)/12))</f>
        <v>0</v>
      </c>
      <c r="BF1889">
        <f>BE1889-AZ1889</f>
        <v>0</v>
      </c>
      <c r="BG1889" cm="1">
        <f t="array" ref="BG1889">IFERROR(IF(BF1889&lt;0,0,BF1889/($AU$1830-INDEX(hd_off,MATCH(BT1889,hd_mark,0),0)/12)),0)</f>
        <v>0</v>
      </c>
      <c r="BH1889">
        <f>IF(AV1889=0,0,$BG$1830*$AM$1813)</f>
        <v>0</v>
      </c>
      <c r="BI1889">
        <f>IFERROR(BH1889/$AU$1830,0)</f>
        <v>0</v>
      </c>
      <c r="BJ1889">
        <f>BH1889*($F$21+IF($F$21=0,0,($C$14+$C$15+IF($C$13="single",1.5,3)+3)/12))</f>
        <v>0</v>
      </c>
      <c r="BK1889">
        <f>BJ1889-BA1889</f>
        <v>0</v>
      </c>
      <c r="BL1889" cm="1">
        <f t="array" ref="BL1889">IFERROR(IF(BK1889&lt;0,0,BK1889/($AU$1830-INDEX(hd_off,MATCH(BT1889,hd_mark,0),0)/12)),0)</f>
        <v>0</v>
      </c>
      <c r="BM1889">
        <f>MAX($F$21,$BB$1830)/$Q$1844</f>
        <v>0.30172413793103448</v>
      </c>
      <c r="BN1889">
        <f>IF(BM1889=0,0,IF(BM1889&gt;2,1.25-0.125*BM1889,1))</f>
        <v>1</v>
      </c>
      <c r="BO1889" cm="1">
        <f t="array" ref="BO1889">IFERROR(INDEX(sheath_ecap_asd,MATCH(BS1889,sheath_mark,0),0)*BN1889,0)</f>
        <v>0</v>
      </c>
      <c r="BP1889" cm="1">
        <f t="array" ref="BP1889">IFERROR(INDEX(sheath_wcap_asd,MATCH(BS1889,sheath_mark,0),0)*BN1889,0)</f>
        <v>0</v>
      </c>
      <c r="BQ1889" cm="1">
        <f t="array" ref="BQ1889">IFERROR(INDEX(hd_cap,MATCH(BT1889,hd_mark,0),0),0)</f>
        <v>0</v>
      </c>
      <c r="BS1889" s="19"/>
      <c r="BT1889" s="19"/>
      <c r="BU1889" s="100"/>
    </row>
    <row r="1890" x14ac:dyDescent="0.25">
      <c r="P1890" s="93"/>
      <c r="Q1890" s="109"/>
      <c r="R1890" t="str">
        <f>$Q$1814</f>
        <v>L3</v>
      </c>
      <c r="S1890">
        <f>$E$22</f>
        <v>21.375</v>
      </c>
      <c r="T1890" cm="1">
        <f t="array" ref="T1890">IFERROR(IF(S1890=0,0,(INDEX($C$33:$C$38,MATCH($W$1830,$B$33:$B$38,0),0)*(S1893+$X$1830)+$T$1830*COUNTIF(S1890:S1892,"&gt;0")*$C$32+$V$1830*$C$31)*$R$1830),0)</f>
        <v>0</v>
      </c>
      <c r="U1890">
        <f>IF(S1890=0,0,-(COUNTIF(S1890:S1892,"&gt;0")*$T$1830*$C$32+$V$1830*$C$31)*$H$27*$R$1830)</f>
        <v>0</v>
      </c>
      <c r="V1890">
        <f>IF(S1890=0,0,$V$1830*$H$26*$R$1830)</f>
        <v>0</v>
      </c>
      <c r="W1890">
        <f>(0.6*T1890+0.7*U1890)*$R$1830/2</f>
        <v>0</v>
      </c>
      <c r="X1890">
        <f>T1890*$R$1830/2</f>
        <v>0</v>
      </c>
      <c r="Z1890">
        <f>IF(S1890=0,0,$AD$1830*$AP$1814)</f>
        <v>0</v>
      </c>
      <c r="AA1890">
        <f>IFERROR(Z1890/$R$1830,0)</f>
        <v>0</v>
      </c>
      <c r="AB1890">
        <f>Z1890*($F$22+IF($F$22=0,0,($C$14+$C$15+IF($C$13="single",1.5,3)+3)/12))</f>
        <v>0</v>
      </c>
      <c r="AC1890">
        <f>AB1890-W1890</f>
        <v>0</v>
      </c>
      <c r="AD1890" cm="1">
        <f t="array" ref="AD1890">IFERROR(IF(AC1890&lt;0,0,AC1890/($R$1830-INDEX(hd_off,MATCH(AQ1890,hd_mark,0),0)/12)),0)</f>
        <v>0</v>
      </c>
      <c r="AE1890">
        <f>IF(S1890=0,0,$AD$1830*$AM$1814)</f>
        <v>0</v>
      </c>
      <c r="AF1890">
        <f>IFERROR(AE1890/$R$1830,0)</f>
        <v>0</v>
      </c>
      <c r="AG1890">
        <f>AE1890*($F$22+IF($F$22=0,0,($C$14+$C$15+IF($C$13="single",1.5,3)+3)/12))</f>
        <v>0</v>
      </c>
      <c r="AH1890">
        <f>AG1890-X1890</f>
        <v>0</v>
      </c>
      <c r="AI1890" cm="1">
        <f t="array" ref="AI1890">IFERROR(IF(AH1890&lt;0,0,AH1890/($R$1830-INDEX(hd_off,MATCH(AQ1890,hd_mark,0),0)/12)),0)</f>
        <v>0</v>
      </c>
      <c r="AJ1890">
        <f>MAX($F$22,$Z$1830)/$Q$1844</f>
        <v>0.30172413793103448</v>
      </c>
      <c r="AK1890">
        <f t="shared" ref="AK1890:AK1893" si="1168">IF(AJ1890=0,0,IF(AJ1890&gt;2,1.25-0.125*AJ1890,1))</f>
        <v>1</v>
      </c>
      <c r="AL1890" cm="1">
        <f t="array" ref="AL1890">IFERROR(INDEX(sheath_ecap_asd,MATCH(AP1890,sheath_mark,0),0)*AK1890,0)</f>
        <v>0</v>
      </c>
      <c r="AM1890" cm="1">
        <f t="array" ref="AM1890">IFERROR(INDEX(sheath_wcap_asd,MATCH(AP1890,sheath_mark,0),0)*AK1890,0)</f>
        <v>0</v>
      </c>
      <c r="AN1890" cm="1">
        <f t="array" ref="AN1890">IFERROR(INDEX(hd_cap,MATCH(AQ1890,hd_mark,0),0),0)</f>
        <v>0</v>
      </c>
      <c r="AP1890" s="19"/>
      <c r="AQ1890" s="19"/>
      <c r="AR1890" s="100"/>
      <c r="AS1890" s="93"/>
      <c r="AT1890" s="109"/>
      <c r="AU1890" t="str">
        <f>$Q$1814</f>
        <v>L3</v>
      </c>
      <c r="AV1890">
        <f>$E$22</f>
        <v>21.375</v>
      </c>
      <c r="AW1890" cm="1">
        <f t="array" ref="AW1890">IFERROR(IF(AV1890=0,0,(INDEX($C$33:$C$38,MATCH($AZ$1830,$B$33:$B$38,0),0)*(AV1893+$BA$1830)+$AW$1830*COUNTIF(AV1890:AV1892,"&gt;0")*$C$32+$AY$1830*$C$31)*$AU$1830),0)</f>
        <v>0</v>
      </c>
      <c r="AX1890">
        <f>IF(AV1890=0,0,-(COUNTIF(AV1890:AV1892,"&gt;0")*$AW$1830*$C$32+$AY$1830*$C$31)*$H$27*$AU$1830)</f>
        <v>0</v>
      </c>
      <c r="AY1890">
        <f>IF(AV1890=0,0,$AY$1830*$H$26*$AU$1830)</f>
        <v>0</v>
      </c>
      <c r="AZ1890">
        <f>(0.6*AW1890+0.7*AX1890)*$AU$1830/2</f>
        <v>0</v>
      </c>
      <c r="BA1890">
        <f>AW1890*$AU$1830/2</f>
        <v>0</v>
      </c>
      <c r="BC1890">
        <f>IF(AV1890=0,0,$BG$1830*$AP$1814)</f>
        <v>0</v>
      </c>
      <c r="BD1890">
        <f>IFERROR(BC1890/$AU$1830,0)</f>
        <v>0</v>
      </c>
      <c r="BE1890">
        <f>BC1890*($F$22+IF($F$22=0,0,($C$14+$C$15+IF($C$13="single",1.5,3)+3)/12))</f>
        <v>0</v>
      </c>
      <c r="BF1890">
        <f>BE1890-AZ1890</f>
        <v>0</v>
      </c>
      <c r="BG1890" cm="1">
        <f t="array" ref="BG1890">IFERROR(IF(BF1890&lt;0,0,BF1890/($AU$1830-INDEX(hd_off,MATCH(BT1890,hd_mark,0),0)/12)),0)</f>
        <v>0</v>
      </c>
      <c r="BH1890">
        <f>IF(AV1890=0,0,$BG$1830*$AM$1814)</f>
        <v>0</v>
      </c>
      <c r="BI1890">
        <f>IFERROR(BH1890/$AU$1830,0)</f>
        <v>0</v>
      </c>
      <c r="BJ1890">
        <f>BH1890*($F$22+IF($F$22=0,0,($C$14+$C$15+IF($C$13="single",1.5,3)+3)/12))</f>
        <v>0</v>
      </c>
      <c r="BK1890">
        <f>BJ1890-BA1890</f>
        <v>0</v>
      </c>
      <c r="BL1890" cm="1">
        <f t="array" ref="BL1890">IFERROR(IF(BK1890&lt;0,0,BK1890/($AU$1830-INDEX(hd_off,MATCH(BT1890,hd_mark,0),0)/12)),0)</f>
        <v>0</v>
      </c>
      <c r="BM1890">
        <f>MAX($F$22,$BC$1830)/$Q$1844</f>
        <v>0.30172413793103448</v>
      </c>
      <c r="BN1890">
        <f t="shared" ref="BN1890:BN1893" si="1169">IF(BM1890=0,0,IF(BM1890&gt;2,1.25-0.125*BM1890,1))</f>
        <v>1</v>
      </c>
      <c r="BO1890" cm="1">
        <f t="array" ref="BO1890">IFERROR(INDEX(sheath_ecap_asd,MATCH(BS1890,sheath_mark,0),0)*BN1890,0)</f>
        <v>0</v>
      </c>
      <c r="BP1890" cm="1">
        <f t="array" ref="BP1890">IFERROR(INDEX(sheath_wcap_asd,MATCH(BS1890,sheath_mark,0),0)*BN1890,0)</f>
        <v>0</v>
      </c>
      <c r="BQ1890" cm="1">
        <f t="array" ref="BQ1890">IFERROR(INDEX(hd_cap,MATCH(BT1890,hd_mark,0),0),0)</f>
        <v>0</v>
      </c>
      <c r="BS1890" s="19"/>
      <c r="BT1890" s="19"/>
      <c r="BU1890" s="100"/>
    </row>
    <row r="1891" x14ac:dyDescent="0.25">
      <c r="P1891" s="93"/>
      <c r="Q1891" s="109" t="s">
        <v>491</v>
      </c>
      <c r="R1891" t="str">
        <f>$Q$1815</f>
        <v>L4</v>
      </c>
      <c r="S1891">
        <f>$E$23</f>
        <v>0</v>
      </c>
      <c r="T1891" cm="1">
        <f t="array" ref="T1891">IFERROR(IF(S1891=0,0,(INDEX($C$33:$C$38,MATCH($W$1830,$B$33:$B$38,0),0)*(S1893+$X$1830)+$T$1830*COUNTIF(S1891:S1892,"&gt;0")*$C$32+$V$1830*$C$31)*$R$1830),0)</f>
        <v>0</v>
      </c>
      <c r="U1891">
        <f>IF(S1891=0,0,-(COUNTIF(S1891:S1892,"&gt;0")*$T$1830*$C$32+$V$1830*$C$31)*$H$27*$R$1830)</f>
        <v>0</v>
      </c>
      <c r="V1891">
        <f>IF(S1891=0,0,$V$1830*$H$26*$R$1830)</f>
        <v>0</v>
      </c>
      <c r="W1891">
        <f>(0.6*T1891+0.7*U1891)*$R$1830/2</f>
        <v>0</v>
      </c>
      <c r="X1891">
        <f>T1891*$R$1830/2</f>
        <v>0</v>
      </c>
      <c r="Z1891">
        <f>IF(S1891=0,0,$AD$1830*$AP$1815)</f>
        <v>0</v>
      </c>
      <c r="AA1891">
        <f>IFERROR(Z1891/$R$1830,0)</f>
        <v>0</v>
      </c>
      <c r="AB1891">
        <f>Z1891*($F$23+IF($F$23=0,0,($C$14+$C$15+IF($C$13="single",1.5,3)+3)/12))</f>
        <v>0</v>
      </c>
      <c r="AC1891">
        <f>AB1891-W1891</f>
        <v>0</v>
      </c>
      <c r="AD1891" cm="1">
        <f t="array" ref="AD1891">IFERROR(IF(AC1891&lt;0,0,AC1891/($R$1830-INDEX(hd_off,MATCH(AQ1891,hd_mark,0),0)/12)),0)</f>
        <v>0</v>
      </c>
      <c r="AE1891">
        <f>IF(S1891=0,0,$AD$1830*$AM$1815)</f>
        <v>0</v>
      </c>
      <c r="AF1891">
        <f>IFERROR(AE1891/$R$1830,0)</f>
        <v>0</v>
      </c>
      <c r="AG1891">
        <f>AE1891*($F$23+IF($F$23=0,0,($C$14+$C$15+IF($C$13="single",1.5,3)+3)/12))</f>
        <v>0</v>
      </c>
      <c r="AH1891">
        <f>AG1891-X1891</f>
        <v>0</v>
      </c>
      <c r="AI1891" cm="1">
        <f t="array" ref="AI1891">IFERROR(IF(AH1891&lt;0,0,AH1891/($R$1830-INDEX(hd_off,MATCH(AQ1891,hd_mark,0),0)/12)),0)</f>
        <v>0</v>
      </c>
      <c r="AJ1891">
        <f>MAX($F$23,$AA$1830)/$Q$1844</f>
        <v>0</v>
      </c>
      <c r="AK1891">
        <f t="shared" si="1168"/>
        <v>0</v>
      </c>
      <c r="AL1891" cm="1">
        <f t="array" ref="AL1891">IFERROR(INDEX(sheath_ecap_asd,MATCH(AP1891,sheath_mark,0),0)*AK1891,0)</f>
        <v>0</v>
      </c>
      <c r="AM1891" cm="1">
        <f t="array" ref="AM1891">IFERROR(INDEX(sheath_wcap_asd,MATCH(AP1891,sheath_mark,0),0)*AK1891,0)</f>
        <v>0</v>
      </c>
      <c r="AN1891" cm="1">
        <f t="array" ref="AN1891">IFERROR(INDEX(hd_cap,MATCH(AQ1891,hd_mark,0),0),0)</f>
        <v>0</v>
      </c>
      <c r="AP1891" s="19"/>
      <c r="AQ1891" s="19"/>
      <c r="AR1891" s="100"/>
      <c r="AS1891" s="93"/>
      <c r="AT1891" s="109" t="s">
        <v>491</v>
      </c>
      <c r="AU1891" t="str">
        <f>$Q$1815</f>
        <v>L4</v>
      </c>
      <c r="AV1891">
        <f>$E$23</f>
        <v>0</v>
      </c>
      <c r="AW1891" cm="1">
        <f t="array" ref="AW1891">IFERROR(IF(AV1891=0,0,(INDEX($C$33:$C$38,MATCH($AZ$1830,$B$33:$B$38,0),0)*(AV1893+$BA$1830)+$AW$1830*COUNTIF(AV1891:AV1892,"&gt;0")*$C$32+$AY$1830*$C$31)*$AU$1830),0)</f>
        <v>0</v>
      </c>
      <c r="AX1891">
        <f>IF(AV1891=0,0,-(COUNTIF(AV1891:AV1892,"&gt;0")*$AW$1830*$C$32+$AY$1830*$C$31)*$H$27*$AU$1830)</f>
        <v>0</v>
      </c>
      <c r="AY1891">
        <f>IF(AV1891=0,0,$AY$1830*$H$26*$AU$1830)</f>
        <v>0</v>
      </c>
      <c r="AZ1891">
        <f>(0.6*AW1891+0.7*AX1891)*$AU$1830/2</f>
        <v>0</v>
      </c>
      <c r="BA1891">
        <f>AW1891*$AU$1830/2</f>
        <v>0</v>
      </c>
      <c r="BC1891">
        <f>IF(AV1891=0,0,$BG$1830*$AP$1815)</f>
        <v>0</v>
      </c>
      <c r="BD1891">
        <f>IFERROR(BC1891/$AU$1830,0)</f>
        <v>0</v>
      </c>
      <c r="BE1891">
        <f>BC1891*($F$23+IF($F$23=0,0,($C$14+$C$15+IF($C$13="single",1.5,3)+3)/12))</f>
        <v>0</v>
      </c>
      <c r="BF1891">
        <f>BE1891-AZ1891</f>
        <v>0</v>
      </c>
      <c r="BG1891" cm="1">
        <f t="array" ref="BG1891">IFERROR(IF(BF1891&lt;0,0,BF1891/($AU$1830-INDEX(hd_off,MATCH(BT1891,hd_mark,0),0)/12)),0)</f>
        <v>0</v>
      </c>
      <c r="BH1891">
        <f>IF(AV1891=0,0,$BG$1830*$AM$1815)</f>
        <v>0</v>
      </c>
      <c r="BI1891">
        <f>IFERROR(BH1891/$AU$1830,0)</f>
        <v>0</v>
      </c>
      <c r="BJ1891">
        <f>BH1891*($F$23+IF($F$23=0,0,($C$14+$C$15+IF($C$13="single",1.5,3)+3)/12))</f>
        <v>0</v>
      </c>
      <c r="BK1891">
        <f>BJ1891-BA1891</f>
        <v>0</v>
      </c>
      <c r="BL1891" cm="1">
        <f t="array" ref="BL1891">IFERROR(IF(BK1891&lt;0,0,BK1891/($AU$1830-INDEX(hd_off,MATCH(BT1891,hd_mark,0),0)/12)),0)</f>
        <v>0</v>
      </c>
      <c r="BM1891">
        <f>MAX($F$23,$BD$1830)/$Q$1844</f>
        <v>0</v>
      </c>
      <c r="BN1891">
        <f t="shared" si="1169"/>
        <v>0</v>
      </c>
      <c r="BO1891" cm="1">
        <f t="array" ref="BO1891">IFERROR(INDEX(sheath_ecap_asd,MATCH(BS1891,sheath_mark,0),0)*BN1891,0)</f>
        <v>0</v>
      </c>
      <c r="BP1891" cm="1">
        <f t="array" ref="BP1891">IFERROR(INDEX(sheath_wcap_asd,MATCH(BS1891,sheath_mark,0),0)*BN1891,0)</f>
        <v>0</v>
      </c>
      <c r="BQ1891" cm="1">
        <f t="array" ref="BQ1891">IFERROR(INDEX(hd_cap,MATCH(BT1891,hd_mark,0),0),0)</f>
        <v>0</v>
      </c>
      <c r="BS1891" s="19"/>
      <c r="BT1891" s="19"/>
      <c r="BU1891" s="100"/>
    </row>
    <row r="1892" x14ac:dyDescent="0.25">
      <c r="P1892" s="93"/>
      <c r="Q1892" s="111">
        <f>$R$1830</f>
        <v>0</v>
      </c>
      <c r="R1892" t="str">
        <f>$Q$1816</f>
        <v>L5</v>
      </c>
      <c r="S1892">
        <f>$E$24</f>
        <v>0</v>
      </c>
      <c r="T1892" cm="1">
        <f t="array" ref="T1892">IFERROR(IF(S1892=0,0,(INDEX($C$33:$C$38,MATCH($W$1830,$B$33:$B$38,0),0)*(S1893+$X$1830)+$T$1830*COUNTIF(S1892:S1892,"&gt;0")*$C$32+$V$1830*$C$31)*$R$1830),0)</f>
        <v>0</v>
      </c>
      <c r="U1892">
        <f>IF(S1892=0,0,-(COUNTIF(S1892:S1892,"&gt;0")*$T$1830*$C$32+$V$1830*$C$31)*$H$27*$R$1830)</f>
        <v>0</v>
      </c>
      <c r="V1892">
        <f>IF(S1892=0,0,$V$1830*$H$26*$R$1830)</f>
        <v>0</v>
      </c>
      <c r="W1892">
        <f>(0.6*T1892+0.7*U1892)*$R$1830/2</f>
        <v>0</v>
      </c>
      <c r="X1892">
        <f>T1892*$R$1830/2</f>
        <v>0</v>
      </c>
      <c r="Z1892">
        <f>IF(S1892=0,0,$AD$1830*$AP$1816)</f>
        <v>0</v>
      </c>
      <c r="AA1892">
        <f>IFERROR(Z1892/$R$1830,0)</f>
        <v>0</v>
      </c>
      <c r="AB1892">
        <f>Z1892*($F$24+IF($F$24=0,0,($C$14+$C$15+IF($C$13="single",1.5,3)+3)/12))</f>
        <v>0</v>
      </c>
      <c r="AC1892">
        <f>AB1892-W1892</f>
        <v>0</v>
      </c>
      <c r="AD1892" cm="1">
        <f t="array" ref="AD1892">IFERROR(IF(AC1892&lt;0,0,AC1892/($R$1830-INDEX(hd_off,MATCH(AQ1892,hd_mark,0),0)/12)),0)</f>
        <v>0</v>
      </c>
      <c r="AE1892">
        <f>IF(S1892=0,0,$AD$1830*$AM$1816)</f>
        <v>0</v>
      </c>
      <c r="AF1892">
        <f>IFERROR(AE1892/$R$1830,0)</f>
        <v>0</v>
      </c>
      <c r="AG1892">
        <f>AE1892*($F$24+IF($F$24=0,0,($C$14+$C$15+IF($C$13="single",1.5,3)+3)/12))</f>
        <v>0</v>
      </c>
      <c r="AH1892">
        <f>AG1892-X1892</f>
        <v>0</v>
      </c>
      <c r="AI1892" cm="1">
        <f t="array" ref="AI1892">IFERROR(IF(AH1892&lt;0,0,AH1892/($R$1830-INDEX(hd_off,MATCH(AQ1892,hd_mark,0),0)/12)),0)</f>
        <v>0</v>
      </c>
      <c r="AJ1892">
        <f>MAX($F$24,$AB$1830)/$Q$1844</f>
        <v>0</v>
      </c>
      <c r="AK1892">
        <f t="shared" si="1168"/>
        <v>0</v>
      </c>
      <c r="AL1892" cm="1">
        <f t="array" ref="AL1892">IFERROR(INDEX(sheath_ecap_asd,MATCH(AP1892,sheath_mark,0),0)*AK1892,0)</f>
        <v>0</v>
      </c>
      <c r="AM1892" cm="1">
        <f t="array" ref="AM1892">IFERROR(INDEX(sheath_wcap_asd,MATCH(AP1892,sheath_mark,0),0)*AK1892,0)</f>
        <v>0</v>
      </c>
      <c r="AN1892" cm="1">
        <f t="array" ref="AN1892">IFERROR(INDEX(hd_cap,MATCH(AQ1892,hd_mark,0),0),0)</f>
        <v>0</v>
      </c>
      <c r="AP1892" s="19"/>
      <c r="AQ1892" s="19"/>
      <c r="AR1892" s="100"/>
      <c r="AS1892" s="93"/>
      <c r="AT1892" s="111">
        <f>$R$1830</f>
        <v>0</v>
      </c>
      <c r="AU1892" t="str">
        <f>$Q$1816</f>
        <v>L5</v>
      </c>
      <c r="AV1892">
        <f>$E$24</f>
        <v>0</v>
      </c>
      <c r="AW1892" cm="1">
        <f t="array" ref="AW1892">IFERROR(IF(AV1892=0,0,(INDEX($C$33:$C$38,MATCH($AZ$1830,$B$33:$B$38,0),0)*(AV1893+$BA$1830)+$AW$1830*COUNTIF(AV1892:AV1892,"&gt;0")*$C$32+$AY$1830*$C$31)*$AU$1830),0)</f>
        <v>0</v>
      </c>
      <c r="AX1892">
        <f>IF(AV1892=0,0,-(COUNTIF(AV1892:AV1892,"&gt;0")*$AW$1830*$C$32+$AY$1830*$C$31)*$H$27*$AU$1830)</f>
        <v>0</v>
      </c>
      <c r="AY1892">
        <f>IF(AV1892=0,0,$AY$1830*$H$26*$AU$1830)</f>
        <v>0</v>
      </c>
      <c r="AZ1892">
        <f>(0.6*AW1892+0.7*AX1892)*$AU$1830/2</f>
        <v>0</v>
      </c>
      <c r="BA1892">
        <f>AW1892*$AU$1830/2</f>
        <v>0</v>
      </c>
      <c r="BC1892">
        <f>IF(AV1892=0,0,$BG$1830*$AP$1816)</f>
        <v>0</v>
      </c>
      <c r="BD1892">
        <f>IFERROR(BC1892/$AU$1830,0)</f>
        <v>0</v>
      </c>
      <c r="BE1892">
        <f>BC1892*($F$24+IF($F$24=0,0,($C$14+$C$15+IF($C$13="single",1.5,3)+3)/12))</f>
        <v>0</v>
      </c>
      <c r="BF1892">
        <f>BE1892-AZ1892</f>
        <v>0</v>
      </c>
      <c r="BG1892" cm="1">
        <f t="array" ref="BG1892">IFERROR(IF(BF1892&lt;0,0,BF1892/($AU$1830-INDEX(hd_off,MATCH(BT1892,hd_mark,0),0)/12)),0)</f>
        <v>0</v>
      </c>
      <c r="BH1892">
        <f>IF(AV1892=0,0,$BG$1830*$AM$1816)</f>
        <v>0</v>
      </c>
      <c r="BI1892">
        <f>IFERROR(BH1892/$AU$1830,0)</f>
        <v>0</v>
      </c>
      <c r="BJ1892">
        <f>BH1892*($F$24+IF($F$24=0,0,($C$14+$C$15+IF($C$13="single",1.5,3)+3)/12))</f>
        <v>0</v>
      </c>
      <c r="BK1892">
        <f>BJ1892-BA1892</f>
        <v>0</v>
      </c>
      <c r="BL1892" cm="1">
        <f t="array" ref="BL1892">IFERROR(IF(BK1892&lt;0,0,BK1892/($AU$1830-INDEX(hd_off,MATCH(BT1892,hd_mark,0),0)/12)),0)</f>
        <v>0</v>
      </c>
      <c r="BM1892">
        <f>MAX($F$24,$BE$1830)/$Q$1844</f>
        <v>0</v>
      </c>
      <c r="BN1892">
        <f t="shared" si="1169"/>
        <v>0</v>
      </c>
      <c r="BO1892" cm="1">
        <f t="array" ref="BO1892">IFERROR(INDEX(sheath_ecap_asd,MATCH(BS1892,sheath_mark,0),0)*BN1892,0)</f>
        <v>0</v>
      </c>
      <c r="BP1892" cm="1">
        <f t="array" ref="BP1892">IFERROR(INDEX(sheath_wcap_asd,MATCH(BS1892,sheath_mark,0),0)*BN1892,0)</f>
        <v>0</v>
      </c>
      <c r="BQ1892" cm="1">
        <f t="array" ref="BQ1892">IFERROR(INDEX(hd_cap,MATCH(BT1892,hd_mark,0),0),0)</f>
        <v>0</v>
      </c>
      <c r="BS1892" s="19"/>
      <c r="BT1892" s="19"/>
      <c r="BU1892" s="100"/>
    </row>
    <row r="1893" x14ac:dyDescent="0.25">
      <c r="P1893" s="93"/>
      <c r="Q1893" s="109"/>
      <c r="R1893" t="str">
        <f>$Q$1817</f>
        <v>Roof</v>
      </c>
      <c r="S1893">
        <f>$E$25</f>
        <v>33.171875</v>
      </c>
      <c r="T1893" cm="1">
        <f t="array" ref="T1893">IFERROR(IF(S1893=0,0,(INDEX($C$33:$C$38,MATCH($W$1830,$B$33:$B$38,0),0)*(S1893+$X$1830)+$V$1830*$C$31)*$R$1830),0)</f>
        <v>0</v>
      </c>
      <c r="U1893">
        <f>IF(S1893=0,0,-$V$1830*$C$31*$H$27*$R$1830)</f>
        <v>0</v>
      </c>
      <c r="V1893">
        <f>IF(S1893=0,0,$V$1830*$H$26*$R$1830)</f>
        <v>0</v>
      </c>
      <c r="W1893">
        <f>(0.6*T1893+0.7*U1893)*$R$1830/2</f>
        <v>0</v>
      </c>
      <c r="X1893">
        <f>T1893*$R$1830/2</f>
        <v>0</v>
      </c>
      <c r="Z1893">
        <f>IF(S1893=0,0,$AD$1830*$AP$1817)</f>
        <v>0</v>
      </c>
      <c r="AA1893">
        <f>IFERROR(Z1893/$R$1830,0)</f>
        <v>0</v>
      </c>
      <c r="AB1893">
        <f>Z1893*($F$25+($C$16+$C$17+IF($C$13="single",1.5,3)+3)/12)</f>
        <v>0</v>
      </c>
      <c r="AC1893">
        <f>AB1893-W1893</f>
        <v>0</v>
      </c>
      <c r="AD1893" cm="1">
        <f t="array" ref="AD1893">IFERROR(IF(AC1893&lt;0,0,AC1893/($R$1830-INDEX(hd_off,MATCH(AQ1893,hd_mark,0),0)/12)),0)</f>
        <v>0</v>
      </c>
      <c r="AE1893">
        <f>IF(S1893=0,0,$AD$1830*$AM$1817)</f>
        <v>0</v>
      </c>
      <c r="AF1893">
        <f>IFERROR(AE1893/$R$1830,0)</f>
        <v>0</v>
      </c>
      <c r="AG1893">
        <f>AE1893*($F$25+($C$16+$C$17+IF($C$13="single",1.5,3)+3)/12)</f>
        <v>0</v>
      </c>
      <c r="AH1893">
        <f>AG1893-X1893</f>
        <v>0</v>
      </c>
      <c r="AI1893" cm="1">
        <f t="array" ref="AI1893">IFERROR(IF(AH1893&lt;0,0,AH1893/($R$1830-INDEX(hd_off,MATCH(AQ1893,hd_mark,0),0)/12)),0)</f>
        <v>0</v>
      </c>
      <c r="AJ1893">
        <f>MAX($F$25,$AC$1830)/$Q$1844</f>
        <v>0.29920977011494249</v>
      </c>
      <c r="AK1893">
        <f t="shared" si="1168"/>
        <v>1</v>
      </c>
      <c r="AL1893" cm="1">
        <f t="array" ref="AL1893">IFERROR(INDEX(sheath_ecap_asd,MATCH(AP1893,sheath_mark,0),0)*AK1893,0)</f>
        <v>0</v>
      </c>
      <c r="AM1893" cm="1">
        <f t="array" ref="AM1893">IFERROR(INDEX(sheath_wcap_asd,MATCH(AP1893,sheath_mark,0),0)*AK1893,0)</f>
        <v>0</v>
      </c>
      <c r="AN1893" cm="1">
        <f t="array" ref="AN1893">IFERROR(INDEX(hd_cap,MATCH(AQ1893,hd_mark,0),0),0)</f>
        <v>0</v>
      </c>
      <c r="AP1893" s="19"/>
      <c r="AQ1893" s="19"/>
      <c r="AR1893" s="100"/>
      <c r="AS1893" s="93"/>
      <c r="AT1893" s="109"/>
      <c r="AU1893" t="str">
        <f>$Q$1817</f>
        <v>Roof</v>
      </c>
      <c r="AV1893">
        <f>$E$25</f>
        <v>33.171875</v>
      </c>
      <c r="AW1893" cm="1">
        <f t="array" ref="AW1893">IFERROR(IF(AV1893=0,0,(INDEX($C$33:$C$38,MATCH($AZ$1830,$B$33:$B$38,0),0)*(AV1893+$BA$1830)+$AY$1830*$C$31)*$AU$1830),0)</f>
        <v>0</v>
      </c>
      <c r="AX1893">
        <f>IF(AV1893=0,0,-$AY$1830*$C$31*$H$27*$AU$1830)</f>
        <v>0</v>
      </c>
      <c r="AY1893">
        <f>IF(AV1893=0,0,$AY$1830*$H$26*$AU$1830)</f>
        <v>0</v>
      </c>
      <c r="AZ1893">
        <f>(0.6*AW1893+0.7*AX1893)*$AU$1830/2</f>
        <v>0</v>
      </c>
      <c r="BA1893">
        <f>AW1893*$AU$1830/2</f>
        <v>0</v>
      </c>
      <c r="BC1893">
        <f>IF(AV1893=0,0,$BG$1830*$AP$1817)</f>
        <v>0</v>
      </c>
      <c r="BD1893">
        <f>IFERROR(BC1893/$AU$1830,0)</f>
        <v>0</v>
      </c>
      <c r="BE1893">
        <f>BC1893*($F$25+($C$16+$C$17+IF($C$13="single",1.5,3)+3)/12)</f>
        <v>0</v>
      </c>
      <c r="BF1893">
        <f>BE1893-AZ1893</f>
        <v>0</v>
      </c>
      <c r="BG1893" cm="1">
        <f t="array" ref="BG1893">IFERROR(IF(BF1893&lt;0,0,BF1893/($AU$1830-INDEX(hd_off,MATCH(BT1893,hd_mark,0),0)/12)),0)</f>
        <v>0</v>
      </c>
      <c r="BH1893">
        <f>IF(AV1893=0,0,$BG$1830*$AM$1817)</f>
        <v>0</v>
      </c>
      <c r="BI1893">
        <f>IFERROR(BH1893/$AU$1830,0)</f>
        <v>0</v>
      </c>
      <c r="BJ1893">
        <f>BH1893*($F$25+($C$16+$C$17+IF($C$13="single",1.5,3)+3)/12)</f>
        <v>0</v>
      </c>
      <c r="BK1893">
        <f>BJ1893-BA1893</f>
        <v>0</v>
      </c>
      <c r="BL1893" cm="1">
        <f t="array" ref="BL1893">IFERROR(IF(BK1893&lt;0,0,BK1893/($AU$1830-INDEX(hd_off,MATCH(BT1893,hd_mark,0),0)/12)),0)</f>
        <v>0</v>
      </c>
      <c r="BM1893">
        <f>MAX($F$25,$BF$1830)/$Q$1844</f>
        <v>0.29920977011494249</v>
      </c>
      <c r="BN1893">
        <f t="shared" si="1169"/>
        <v>1</v>
      </c>
      <c r="BO1893" cm="1">
        <f t="array" ref="BO1893">IFERROR(INDEX(sheath_ecap_asd,MATCH(BS1893,sheath_mark,0),0)*BN1893,0)</f>
        <v>0</v>
      </c>
      <c r="BP1893" cm="1">
        <f t="array" ref="BP1893">IFERROR(INDEX(sheath_wcap_asd,MATCH(BS1893,sheath_mark,0),0)*BN1893,0)</f>
        <v>0</v>
      </c>
      <c r="BQ1893" cm="1">
        <f t="array" ref="BQ1893">IFERROR(INDEX(hd_cap,MATCH(BT1893,hd_mark,0),0),0)</f>
        <v>0</v>
      </c>
      <c r="BS1893" s="19"/>
      <c r="BT1893" s="19"/>
      <c r="BU1893" s="100"/>
    </row>
    <row r="1894" x14ac:dyDescent="0.25">
      <c r="P1894" s="93"/>
      <c r="AR1894" s="100"/>
      <c r="AS1894" s="93"/>
      <c r="BU1894" s="100"/>
    </row>
    <row r="1895" x14ac:dyDescent="0.25">
      <c r="P1895" s="93"/>
      <c r="Q1895" s="110" t="str">
        <f>$Q$1831</f>
        <v>A.10</v>
      </c>
      <c r="R1895" t="str">
        <f>$Q$1813</f>
        <v>L2</v>
      </c>
      <c r="S1895">
        <f>$E$21</f>
        <v>10.6875</v>
      </c>
      <c r="T1895" cm="1">
        <f t="array" ref="T1895">IFERROR(IF(S1895=0,0,(INDEX($C$33:$C$38,MATCH($W$1831,$B$33:$B$38,0),0)*(S1899+$X$1831)+$T$1831*COUNTIF(S1895:S1898,"&gt;0")*$C$32+$V$1831*$C$31)*$R$1831),0)</f>
        <v>0</v>
      </c>
      <c r="U1895">
        <f>IF(S1895=0,0,-(COUNTIF(S1895:S1898,"&gt;0")*$T$1831*$C$32+$V$1831*$C$31)*$H$27*$R$1831)</f>
        <v>0</v>
      </c>
      <c r="V1895">
        <f>IF(S1895=0,0,$V$1831*$H$26*$R$1831)</f>
        <v>0</v>
      </c>
      <c r="W1895">
        <f>(0.6*T1895+0.7*U1895)*$R$1831/2</f>
        <v>0</v>
      </c>
      <c r="X1895">
        <f>(0.6*T1895+0.6*V1895)*$R$1831/2</f>
        <v>0</v>
      </c>
      <c r="Z1895">
        <f>IF(S1895=0,0,$AD$1831*$AP$1813)</f>
        <v>0</v>
      </c>
      <c r="AA1895">
        <f>IFERROR(Z1895/$R$1831,0)</f>
        <v>0</v>
      </c>
      <c r="AB1895">
        <f>Z1895*($F$21+IF($F$21=0,0,($C$14+$C$15+IF($C$13="single",1.5,3)+3)/12))</f>
        <v>0</v>
      </c>
      <c r="AC1895">
        <f>AB1895-W1895</f>
        <v>0</v>
      </c>
      <c r="AD1895" cm="1">
        <f t="array" ref="AD1895">IFERROR(IF(AC1895&lt;0,0,AC1895/($R$1831-INDEX(hd_off,MATCH(AQ1895,hd_mark,0),0)/12)),0)</f>
        <v>0</v>
      </c>
      <c r="AE1895">
        <f>IF(S1895=0,0,$AD$1831*$AM$1813)</f>
        <v>0</v>
      </c>
      <c r="AF1895">
        <f>IFERROR(AE1895/$R$1831,0)</f>
        <v>0</v>
      </c>
      <c r="AG1895">
        <f>AE1895*($F$21+IF($F$21=0,0,($C$14+$C$15+IF($C$13="single",1.5,3)+3)/12))</f>
        <v>0</v>
      </c>
      <c r="AH1895">
        <f>AG1895-X1895</f>
        <v>0</v>
      </c>
      <c r="AI1895" cm="1">
        <f t="array" ref="AI1895">IFERROR(IF(AH1895&lt;0,0,AH1895/($R$1831-INDEX(hd_off,MATCH(AQ1895,hd_mark,0),0)/12)),0)</f>
        <v>0</v>
      </c>
      <c r="AJ1895">
        <f>MAX($F$21,$Y$1831)/$Q$1844</f>
        <v>0.30172413793103448</v>
      </c>
      <c r="AK1895">
        <f>IF(AJ1895=0,0,IF(AJ1895&gt;2,1.25-0.125*AJ1895,1))</f>
        <v>1</v>
      </c>
      <c r="AL1895" cm="1">
        <f t="array" ref="AL1895">IFERROR(INDEX(sheath_ecap_asd,MATCH(AP1895,sheath_mark,0),0)*AK1895,0)</f>
        <v>0</v>
      </c>
      <c r="AM1895" cm="1">
        <f t="array" ref="AM1895">IFERROR(INDEX(sheath_wcap_asd,MATCH(AP1895,sheath_mark,0),0)*AK1895,0)</f>
        <v>0</v>
      </c>
      <c r="AN1895" cm="1">
        <f t="array" ref="AN1895">IFERROR(INDEX(hd_cap,MATCH(AQ1895,hd_mark,0),0),0)</f>
        <v>0</v>
      </c>
      <c r="AP1895" s="19"/>
      <c r="AQ1895" s="19"/>
      <c r="AR1895" s="100"/>
      <c r="AS1895" s="93"/>
      <c r="AT1895" s="110" t="str">
        <f>$AT$1831</f>
        <v>1.10</v>
      </c>
      <c r="AU1895" t="str">
        <f>$Q$1813</f>
        <v>L2</v>
      </c>
      <c r="AV1895">
        <f>$E$21</f>
        <v>10.6875</v>
      </c>
      <c r="AW1895" cm="1">
        <f t="array" ref="AW1895">IFERROR(IF(AV1895=0,0,(INDEX($C$33:$C$38,MATCH($AZ$1831,$B$33:$B$38,0),0)*(AV1899+$BA$1831)+$AW$1831*COUNTIF(AV1895:AV1898,"&gt;0")*$C$32+$AY$1831*$C$31)*$AU$1831),0)</f>
        <v>0</v>
      </c>
      <c r="AX1895">
        <f>IF(AV1895=0,0,-(COUNTIF(AV1895:AV1898,"&gt;0")*$AW$1831*$C$32+$AY$1831*$C$31)*$H$27*$AU$1831)</f>
        <v>0</v>
      </c>
      <c r="AY1895">
        <f>IF(AV1895=0,0,$AY$1831*$H$26*$AU$1831)</f>
        <v>0</v>
      </c>
      <c r="AZ1895">
        <f>(0.6*AW1895+0.7*AX1895)*$AU$1831/2</f>
        <v>0</v>
      </c>
      <c r="BA1895">
        <f>(0.6*AW1895+0.6*AY1895)*$AU$1831/2</f>
        <v>0</v>
      </c>
      <c r="BC1895">
        <f>IF(AV1895=0,0,$BG$1831*$AP$1813)</f>
        <v>0</v>
      </c>
      <c r="BD1895">
        <f>IFERROR(BC1895/$AU$1831,0)</f>
        <v>0</v>
      </c>
      <c r="BE1895">
        <f>BC1895*($F$21+IF($F$21=0,0,($C$14+$C$15+IF($C$13="single",1.5,3)+3)/12))</f>
        <v>0</v>
      </c>
      <c r="BF1895">
        <f>BE1895-AZ1895</f>
        <v>0</v>
      </c>
      <c r="BG1895" cm="1">
        <f t="array" ref="BG1895">IFERROR(IF(BF1895&lt;0,0,BF1895/($AU$1831-INDEX(hd_off,MATCH(BT1895,hd_mark,0),0)/12)),0)</f>
        <v>0</v>
      </c>
      <c r="BH1895">
        <f>IF(AV1895=0,0,$BG$1831*$AM$1813)</f>
        <v>0</v>
      </c>
      <c r="BI1895">
        <f>IFERROR(BH1895/$AU$1831,0)</f>
        <v>0</v>
      </c>
      <c r="BJ1895">
        <f>BH1895*($F$21+IF($F$21=0,0,($C$14+$C$15+IF($C$13="single",1.5,3)+3)/12))</f>
        <v>0</v>
      </c>
      <c r="BK1895">
        <f>BJ1895-BA1895</f>
        <v>0</v>
      </c>
      <c r="BL1895" cm="1">
        <f t="array" ref="BL1895">IFERROR(IF(BK1895&lt;0,0,BK1895/($AU$1831-INDEX(hd_off,MATCH(BT1895,hd_mark,0),0)/12)),0)</f>
        <v>0</v>
      </c>
      <c r="BM1895">
        <f>MAX($F$21,$BB$1831)/$Q$1844</f>
        <v>0.30172413793103448</v>
      </c>
      <c r="BN1895">
        <f>IF(BM1895=0,0,IF(BM1895&gt;2,1.25-0.125*BM1895,1))</f>
        <v>1</v>
      </c>
      <c r="BO1895" cm="1">
        <f t="array" ref="BO1895">IFERROR(INDEX(sheath_ecap_asd,MATCH(BS1895,sheath_mark,0),0)*BN1895,0)</f>
        <v>0</v>
      </c>
      <c r="BP1895" cm="1">
        <f t="array" ref="BP1895">IFERROR(INDEX(sheath_wcap_asd,MATCH(BS1895,sheath_mark,0),0)*BN1895,0)</f>
        <v>0</v>
      </c>
      <c r="BQ1895" cm="1">
        <f t="array" ref="BQ1895">IFERROR(INDEX(hd_cap,MATCH(BT1895,hd_mark,0),0),0)</f>
        <v>0</v>
      </c>
      <c r="BS1895" s="19"/>
      <c r="BT1895" s="19"/>
      <c r="BU1895" s="100"/>
    </row>
    <row r="1896" x14ac:dyDescent="0.25">
      <c r="P1896" s="93"/>
      <c r="Q1896" s="109"/>
      <c r="R1896" t="str">
        <f>$Q$1814</f>
        <v>L3</v>
      </c>
      <c r="S1896">
        <f>$E$22</f>
        <v>21.375</v>
      </c>
      <c r="T1896" cm="1">
        <f t="array" ref="T1896">IFERROR(IF(S1896=0,0,(INDEX($C$33:$C$38,MATCH($W$1831,$B$33:$B$38,0),0)*(S1899+$X$1831)+$T$1831*COUNTIF(S1896:S1898,"&gt;0")*$C$32+$V$1831*$C$31)*$R$1831),0)</f>
        <v>0</v>
      </c>
      <c r="U1896">
        <f>IF(S1896=0,0,-(COUNTIF(S1896:S1898,"&gt;0")*$T$1831*$C$32+$V$1831*$C$31)*$H$27*$R$1831)</f>
        <v>0</v>
      </c>
      <c r="V1896">
        <f>IF(S1896=0,0,$V$1831*$H$26*$R$1831)</f>
        <v>0</v>
      </c>
      <c r="W1896">
        <f>(0.6*T1896+0.7*U1896)*$R$1831/2</f>
        <v>0</v>
      </c>
      <c r="X1896">
        <f>T1896*$R$1831/2</f>
        <v>0</v>
      </c>
      <c r="Z1896">
        <f>IF(S1896=0,0,$AD$1831*$AP$1814)</f>
        <v>0</v>
      </c>
      <c r="AA1896">
        <f>IFERROR(Z1896/$R$1831,0)</f>
        <v>0</v>
      </c>
      <c r="AB1896">
        <f>Z1896*($F$22+IF($F$22=0,0,($C$14+$C$15+IF($C$13="single",1.5,3)+3)/12))</f>
        <v>0</v>
      </c>
      <c r="AC1896">
        <f>AB1896-W1896</f>
        <v>0</v>
      </c>
      <c r="AD1896" cm="1">
        <f t="array" ref="AD1896">IFERROR(IF(AC1896&lt;0,0,AC1896/($R$1831-INDEX(hd_off,MATCH(AQ1896,hd_mark,0),0)/12)),0)</f>
        <v>0</v>
      </c>
      <c r="AE1896">
        <f>IF(S1896=0,0,$AD$1831*$AM$1814)</f>
        <v>0</v>
      </c>
      <c r="AF1896">
        <f>IFERROR(AE1896/$R$1831,0)</f>
        <v>0</v>
      </c>
      <c r="AG1896">
        <f>AE1896*($F$22+IF($F$22=0,0,($C$14+$C$15+IF($C$13="single",1.5,3)+3)/12))</f>
        <v>0</v>
      </c>
      <c r="AH1896">
        <f>AG1896-X1896</f>
        <v>0</v>
      </c>
      <c r="AI1896" cm="1">
        <f t="array" ref="AI1896">IFERROR(IF(AH1896&lt;0,0,AH1896/($R$1831-INDEX(hd_off,MATCH(AQ1896,hd_mark,0),0)/12)),0)</f>
        <v>0</v>
      </c>
      <c r="AJ1896">
        <f>MAX($F$22,$Z$1831)/$Q$1844</f>
        <v>0.30172413793103448</v>
      </c>
      <c r="AK1896">
        <f t="shared" ref="AK1896:AK1899" si="1170">IF(AJ1896=0,0,IF(AJ1896&gt;2,1.25-0.125*AJ1896,1))</f>
        <v>1</v>
      </c>
      <c r="AL1896" cm="1">
        <f t="array" ref="AL1896">IFERROR(INDEX(sheath_ecap_asd,MATCH(AP1896,sheath_mark,0),0)*AK1896,0)</f>
        <v>0</v>
      </c>
      <c r="AM1896" cm="1">
        <f t="array" ref="AM1896">IFERROR(INDEX(sheath_wcap_asd,MATCH(AP1896,sheath_mark,0),0)*AK1896,0)</f>
        <v>0</v>
      </c>
      <c r="AN1896" cm="1">
        <f t="array" ref="AN1896">IFERROR(INDEX(hd_cap,MATCH(AQ1896,hd_mark,0),0),0)</f>
        <v>0</v>
      </c>
      <c r="AP1896" s="19"/>
      <c r="AQ1896" s="19"/>
      <c r="AR1896" s="100"/>
      <c r="AS1896" s="93"/>
      <c r="AT1896" s="109"/>
      <c r="AU1896" t="str">
        <f>$Q$1814</f>
        <v>L3</v>
      </c>
      <c r="AV1896">
        <f>$E$22</f>
        <v>21.375</v>
      </c>
      <c r="AW1896" cm="1">
        <f t="array" ref="AW1896">IFERROR(IF(AV1896=0,0,(INDEX($C$33:$C$38,MATCH($AZ$1831,$B$33:$B$38,0),0)*(AV1899+$BA$1831)+$AW$1831*COUNTIF(AV1896:AV1898,"&gt;0")*$C$32+$AY$1831*$C$31)*$AU$1831),0)</f>
        <v>0</v>
      </c>
      <c r="AX1896">
        <f>IF(AV1896=0,0,-(COUNTIF(AV1896:AV1898,"&gt;0")*$AW$1831*$C$32+$AY$1831*$C$31)*$H$27*$AU$1831)</f>
        <v>0</v>
      </c>
      <c r="AY1896">
        <f>IF(AV1896=0,0,$AY$1831*$H$26*$AU$1831)</f>
        <v>0</v>
      </c>
      <c r="AZ1896">
        <f>(0.6*AW1896+0.7*AX1896)*$AU$1831/2</f>
        <v>0</v>
      </c>
      <c r="BA1896">
        <f>AW1896*$AU$1831/2</f>
        <v>0</v>
      </c>
      <c r="BC1896">
        <f>IF(AV1896=0,0,$BG$1831*$AP$1814)</f>
        <v>0</v>
      </c>
      <c r="BD1896">
        <f>IFERROR(BC1896/$AU$1831,0)</f>
        <v>0</v>
      </c>
      <c r="BE1896">
        <f>BC1896*($F$22+IF($F$22=0,0,($C$14+$C$15+IF($C$13="single",1.5,3)+3)/12))</f>
        <v>0</v>
      </c>
      <c r="BF1896">
        <f>BE1896-AZ1896</f>
        <v>0</v>
      </c>
      <c r="BG1896" cm="1">
        <f t="array" ref="BG1896">IFERROR(IF(BF1896&lt;0,0,BF1896/($AU$1831-INDEX(hd_off,MATCH(BT1896,hd_mark,0),0)/12)),0)</f>
        <v>0</v>
      </c>
      <c r="BH1896">
        <f>IF(AV1896=0,0,$BG$1831*$AM$1814)</f>
        <v>0</v>
      </c>
      <c r="BI1896">
        <f>IFERROR(BH1896/$AU$1831,0)</f>
        <v>0</v>
      </c>
      <c r="BJ1896">
        <f>BH1896*($F$22+IF($F$22=0,0,($C$14+$C$15+IF($C$13="single",1.5,3)+3)/12))</f>
        <v>0</v>
      </c>
      <c r="BK1896">
        <f>BJ1896-BA1896</f>
        <v>0</v>
      </c>
      <c r="BL1896" cm="1">
        <f t="array" ref="BL1896">IFERROR(IF(BK1896&lt;0,0,BK1896/($AU$1831-INDEX(hd_off,MATCH(BT1896,hd_mark,0),0)/12)),0)</f>
        <v>0</v>
      </c>
      <c r="BM1896">
        <f>MAX($F$22,$BC$1831)/$Q$1844</f>
        <v>0.30172413793103448</v>
      </c>
      <c r="BN1896">
        <f t="shared" ref="BN1896:BN1899" si="1171">IF(BM1896=0,0,IF(BM1896&gt;2,1.25-0.125*BM1896,1))</f>
        <v>1</v>
      </c>
      <c r="BO1896" cm="1">
        <f t="array" ref="BO1896">IFERROR(INDEX(sheath_ecap_asd,MATCH(BS1896,sheath_mark,0),0)*BN1896,0)</f>
        <v>0</v>
      </c>
      <c r="BP1896" cm="1">
        <f t="array" ref="BP1896">IFERROR(INDEX(sheath_wcap_asd,MATCH(BS1896,sheath_mark,0),0)*BN1896,0)</f>
        <v>0</v>
      </c>
      <c r="BQ1896" cm="1">
        <f t="array" ref="BQ1896">IFERROR(INDEX(hd_cap,MATCH(BT1896,hd_mark,0),0),0)</f>
        <v>0</v>
      </c>
      <c r="BS1896" s="19"/>
      <c r="BT1896" s="19"/>
      <c r="BU1896" s="100"/>
    </row>
    <row r="1897" x14ac:dyDescent="0.25">
      <c r="P1897" s="93"/>
      <c r="Q1897" s="109" t="s">
        <v>491</v>
      </c>
      <c r="R1897" t="str">
        <f>$Q$1815</f>
        <v>L4</v>
      </c>
      <c r="S1897">
        <f>$E$23</f>
        <v>0</v>
      </c>
      <c r="T1897" cm="1">
        <f t="array" ref="T1897">IFERROR(IF(S1897=0,0,(INDEX($C$33:$C$38,MATCH($W$1831,$B$33:$B$38,0),0)*(S1899+$X$1831)+$T$1831*COUNTIF(S1897:S1898,"&gt;0")*$C$32+$V$1831*$C$31)*$R$1831),0)</f>
        <v>0</v>
      </c>
      <c r="U1897">
        <f>IF(S1897=0,0,-(COUNTIF(S1897:S1898,"&gt;0")*$T$1831*$C$32+$V$1831*$C$31)*$H$27*$R$1831)</f>
        <v>0</v>
      </c>
      <c r="V1897">
        <f>IF(S1897=0,0,$V$1831*$H$26*$R$1831)</f>
        <v>0</v>
      </c>
      <c r="W1897">
        <f>(0.6*T1897+0.7*U1897)*$R$1831/2</f>
        <v>0</v>
      </c>
      <c r="X1897">
        <f>T1897*$R$1831/2</f>
        <v>0</v>
      </c>
      <c r="Z1897">
        <f>IF(S1897=0,0,$AD$1831*$AP$1815)</f>
        <v>0</v>
      </c>
      <c r="AA1897">
        <f>IFERROR(Z1897/$R$1831,0)</f>
        <v>0</v>
      </c>
      <c r="AB1897">
        <f>Z1897*($F$23+IF($F$23=0,0,($C$14+$C$15+IF($C$13="single",1.5,3)+3)/12))</f>
        <v>0</v>
      </c>
      <c r="AC1897">
        <f>AB1897-W1897</f>
        <v>0</v>
      </c>
      <c r="AD1897" cm="1">
        <f t="array" ref="AD1897">IFERROR(IF(AC1897&lt;0,0,AC1897/($R$1831-INDEX(hd_off,MATCH(AQ1897,hd_mark,0),0)/12)),0)</f>
        <v>0</v>
      </c>
      <c r="AE1897">
        <f>IF(S1897=0,0,$AD$1831*$AM$1815)</f>
        <v>0</v>
      </c>
      <c r="AF1897">
        <f>IFERROR(AE1897/$R$1831,0)</f>
        <v>0</v>
      </c>
      <c r="AG1897">
        <f>AE1897*($F$23+IF($F$23=0,0,($C$14+$C$15+IF($C$13="single",1.5,3)+3)/12))</f>
        <v>0</v>
      </c>
      <c r="AH1897">
        <f>AG1897-X1897</f>
        <v>0</v>
      </c>
      <c r="AI1897" cm="1">
        <f t="array" ref="AI1897">IFERROR(IF(AH1897&lt;0,0,AH1897/($R$1831-INDEX(hd_off,MATCH(AQ1897,hd_mark,0),0)/12)),0)</f>
        <v>0</v>
      </c>
      <c r="AJ1897">
        <f>MAX($F$23,$AA$1831)/$Q$1844</f>
        <v>0</v>
      </c>
      <c r="AK1897">
        <f t="shared" si="1170"/>
        <v>0</v>
      </c>
      <c r="AL1897" cm="1">
        <f t="array" ref="AL1897">IFERROR(INDEX(sheath_ecap_asd,MATCH(AP1897,sheath_mark,0),0)*AK1897,0)</f>
        <v>0</v>
      </c>
      <c r="AM1897" cm="1">
        <f t="array" ref="AM1897">IFERROR(INDEX(sheath_wcap_asd,MATCH(AP1897,sheath_mark,0),0)*AK1897,0)</f>
        <v>0</v>
      </c>
      <c r="AN1897" cm="1">
        <f t="array" ref="AN1897">IFERROR(INDEX(hd_cap,MATCH(AQ1897,hd_mark,0),0),0)</f>
        <v>0</v>
      </c>
      <c r="AP1897" s="19"/>
      <c r="AQ1897" s="19"/>
      <c r="AR1897" s="100"/>
      <c r="AS1897" s="93"/>
      <c r="AT1897" s="109" t="s">
        <v>491</v>
      </c>
      <c r="AU1897" t="str">
        <f>$Q$1815</f>
        <v>L4</v>
      </c>
      <c r="AV1897">
        <f>$E$23</f>
        <v>0</v>
      </c>
      <c r="AW1897" cm="1">
        <f t="array" ref="AW1897">IFERROR(IF(AV1897=0,0,(INDEX($C$33:$C$38,MATCH($AZ$1831,$B$33:$B$38,0),0)*(AV1899+$BA$1831)+$AW$1831*COUNTIF(AV1897:AV1898,"&gt;0")*$C$32+$AY$1831*$C$31)*$AU$1831),0)</f>
        <v>0</v>
      </c>
      <c r="AX1897">
        <f>IF(AV1897=0,0,-(COUNTIF(AV1897:AV1898,"&gt;0")*$AW$1831*$C$32+$AY$1831*$C$31)*$H$27*$AU$1831)</f>
        <v>0</v>
      </c>
      <c r="AY1897">
        <f>IF(AV1897=0,0,$AY$1831*$H$26*$AU$1831)</f>
        <v>0</v>
      </c>
      <c r="AZ1897">
        <f>(0.6*AW1897+0.7*AX1897)*$AU$1831/2</f>
        <v>0</v>
      </c>
      <c r="BA1897">
        <f>AW1897*$AU$1831/2</f>
        <v>0</v>
      </c>
      <c r="BC1897">
        <f>IF(AV1897=0,0,$BG$1831*$AP$1815)</f>
        <v>0</v>
      </c>
      <c r="BD1897">
        <f>IFERROR(BC1897/$AU$1831,0)</f>
        <v>0</v>
      </c>
      <c r="BE1897">
        <f>BC1897*($F$23+IF($F$23=0,0,($C$14+$C$15+IF($C$13="single",1.5,3)+3)/12))</f>
        <v>0</v>
      </c>
      <c r="BF1897">
        <f>BE1897-AZ1897</f>
        <v>0</v>
      </c>
      <c r="BG1897" cm="1">
        <f t="array" ref="BG1897">IFERROR(IF(BF1897&lt;0,0,BF1897/($AU$1831-INDEX(hd_off,MATCH(BT1897,hd_mark,0),0)/12)),0)</f>
        <v>0</v>
      </c>
      <c r="BH1897">
        <f>IF(AV1897=0,0,$BG$1831*$AM$1815)</f>
        <v>0</v>
      </c>
      <c r="BI1897">
        <f>IFERROR(BH1897/$AU$1831,0)</f>
        <v>0</v>
      </c>
      <c r="BJ1897">
        <f>BH1897*($F$23+IF($F$23=0,0,($C$14+$C$15+IF($C$13="single",1.5,3)+3)/12))</f>
        <v>0</v>
      </c>
      <c r="BK1897">
        <f>BJ1897-BA1897</f>
        <v>0</v>
      </c>
      <c r="BL1897" cm="1">
        <f t="array" ref="BL1897">IFERROR(IF(BK1897&lt;0,0,BK1897/($AU$1831-INDEX(hd_off,MATCH(BT1897,hd_mark,0),0)/12)),0)</f>
        <v>0</v>
      </c>
      <c r="BM1897">
        <f>MAX($F$23,$BD$1831)/$Q$1844</f>
        <v>0</v>
      </c>
      <c r="BN1897">
        <f t="shared" si="1171"/>
        <v>0</v>
      </c>
      <c r="BO1897" cm="1">
        <f t="array" ref="BO1897">IFERROR(INDEX(sheath_ecap_asd,MATCH(BS1897,sheath_mark,0),0)*BN1897,0)</f>
        <v>0</v>
      </c>
      <c r="BP1897" cm="1">
        <f t="array" ref="BP1897">IFERROR(INDEX(sheath_wcap_asd,MATCH(BS1897,sheath_mark,0),0)*BN1897,0)</f>
        <v>0</v>
      </c>
      <c r="BQ1897" cm="1">
        <f t="array" ref="BQ1897">IFERROR(INDEX(hd_cap,MATCH(BT1897,hd_mark,0),0),0)</f>
        <v>0</v>
      </c>
      <c r="BS1897" s="19"/>
      <c r="BT1897" s="19"/>
      <c r="BU1897" s="100"/>
    </row>
    <row r="1898" x14ac:dyDescent="0.25">
      <c r="P1898" s="93"/>
      <c r="Q1898" s="111">
        <f>$R$1831</f>
        <v>0</v>
      </c>
      <c r="R1898" t="str">
        <f>$Q$1816</f>
        <v>L5</v>
      </c>
      <c r="S1898">
        <f>$E$24</f>
        <v>0</v>
      </c>
      <c r="T1898" cm="1">
        <f t="array" ref="T1898">IFERROR(IF(S1898=0,0,(INDEX($C$33:$C$38,MATCH($W$1831,$B$33:$B$38,0),0)*(S1899+$X$1831)+$T$1831*COUNTIF(S1898:S1898,"&gt;0")*$C$32+$V$1831*$C$31)*$R$1831),0)</f>
        <v>0</v>
      </c>
      <c r="U1898">
        <f>IF(S1898=0,0,-(COUNTIF(S1898:S1898,"&gt;0")*$T$1831*$C$32+$V$1831*$C$31)*$H$27*$R$1831)</f>
        <v>0</v>
      </c>
      <c r="V1898">
        <f>IF(S1898=0,0,$V$1831*$H$26*$R$1831)</f>
        <v>0</v>
      </c>
      <c r="W1898">
        <f>(0.6*T1898+0.7*U1898)*$R$1831/2</f>
        <v>0</v>
      </c>
      <c r="X1898">
        <f>T1898*$R$1831/2</f>
        <v>0</v>
      </c>
      <c r="Z1898">
        <f>IF(S1898=0,0,$AD$1831*$AP$1816)</f>
        <v>0</v>
      </c>
      <c r="AA1898">
        <f>IFERROR(Z1898/$R$1831,0)</f>
        <v>0</v>
      </c>
      <c r="AB1898">
        <f>Z1898*($F$24+IF($F$24=0,0,($C$14+$C$15+IF($C$13="single",1.5,3)+3)/12))</f>
        <v>0</v>
      </c>
      <c r="AC1898">
        <f>AB1898-W1898</f>
        <v>0</v>
      </c>
      <c r="AD1898" cm="1">
        <f t="array" ref="AD1898">IFERROR(IF(AC1898&lt;0,0,AC1898/($R$1831-INDEX(hd_off,MATCH(AQ1898,hd_mark,0),0)/12)),0)</f>
        <v>0</v>
      </c>
      <c r="AE1898">
        <f>IF(S1898=0,0,$AD$1831*$AM$1816)</f>
        <v>0</v>
      </c>
      <c r="AF1898">
        <f>IFERROR(AE1898/$R$1831,0)</f>
        <v>0</v>
      </c>
      <c r="AG1898">
        <f>AE1898*($F$24+IF($F$24=0,0,($C$14+$C$15+IF($C$13="single",1.5,3)+3)/12))</f>
        <v>0</v>
      </c>
      <c r="AH1898">
        <f>AG1898-X1898</f>
        <v>0</v>
      </c>
      <c r="AI1898" cm="1">
        <f t="array" ref="AI1898">IFERROR(IF(AH1898&lt;0,0,AH1898/($R$1831-INDEX(hd_off,MATCH(AQ1898,hd_mark,0),0)/12)),0)</f>
        <v>0</v>
      </c>
      <c r="AJ1898">
        <f>MAX($F$24,$AB$1831)/$Q$1844</f>
        <v>0</v>
      </c>
      <c r="AK1898">
        <f t="shared" si="1170"/>
        <v>0</v>
      </c>
      <c r="AL1898" cm="1">
        <f t="array" ref="AL1898">IFERROR(INDEX(sheath_ecap_asd,MATCH(AP1898,sheath_mark,0),0)*AK1898,0)</f>
        <v>0</v>
      </c>
      <c r="AM1898" cm="1">
        <f t="array" ref="AM1898">IFERROR(INDEX(sheath_wcap_asd,MATCH(AP1898,sheath_mark,0),0)*AK1898,0)</f>
        <v>0</v>
      </c>
      <c r="AN1898" cm="1">
        <f t="array" ref="AN1898">IFERROR(INDEX(hd_cap,MATCH(AQ1898,hd_mark,0),0),0)</f>
        <v>0</v>
      </c>
      <c r="AP1898" s="19"/>
      <c r="AQ1898" s="19"/>
      <c r="AR1898" s="100"/>
      <c r="AS1898" s="93"/>
      <c r="AT1898" s="111">
        <f>$R$1831</f>
        <v>0</v>
      </c>
      <c r="AU1898" t="str">
        <f>$Q$1816</f>
        <v>L5</v>
      </c>
      <c r="AV1898">
        <f>$E$24</f>
        <v>0</v>
      </c>
      <c r="AW1898" cm="1">
        <f t="array" ref="AW1898">IFERROR(IF(AV1898=0,0,(INDEX($C$33:$C$38,MATCH($AZ$1831,$B$33:$B$38,0),0)*(AV1899+$BA$1831)+$AW$1831*COUNTIF(AV1898:AV1898,"&gt;0")*$C$32+$AY$1831*$C$31)*$AU$1831),0)</f>
        <v>0</v>
      </c>
      <c r="AX1898">
        <f>IF(AV1898=0,0,-(COUNTIF(AV1898:AV1898,"&gt;0")*$AW$1831*$C$32+$AY$1831*$C$31)*$H$27*$AU$1831)</f>
        <v>0</v>
      </c>
      <c r="AY1898">
        <f>IF(AV1898=0,0,$AY$1831*$H$26*$AU$1831)</f>
        <v>0</v>
      </c>
      <c r="AZ1898">
        <f>(0.6*AW1898+0.7*AX1898)*$AU$1831/2</f>
        <v>0</v>
      </c>
      <c r="BA1898">
        <f>AW1898*$AU$1831/2</f>
        <v>0</v>
      </c>
      <c r="BC1898">
        <f>IF(AV1898=0,0,$BG$1831*$AP$1816)</f>
        <v>0</v>
      </c>
      <c r="BD1898">
        <f>IFERROR(BC1898/$AU$1831,0)</f>
        <v>0</v>
      </c>
      <c r="BE1898">
        <f>BC1898*($F$24+IF($F$24=0,0,($C$14+$C$15+IF($C$13="single",1.5,3)+3)/12))</f>
        <v>0</v>
      </c>
      <c r="BF1898">
        <f>BE1898-AZ1898</f>
        <v>0</v>
      </c>
      <c r="BG1898" cm="1">
        <f t="array" ref="BG1898">IFERROR(IF(BF1898&lt;0,0,BF1898/($AU$1831-INDEX(hd_off,MATCH(BT1898,hd_mark,0),0)/12)),0)</f>
        <v>0</v>
      </c>
      <c r="BH1898">
        <f>IF(AV1898=0,0,$BG$1831*$AM$1816)</f>
        <v>0</v>
      </c>
      <c r="BI1898">
        <f>IFERROR(BH1898/$AU$1831,0)</f>
        <v>0</v>
      </c>
      <c r="BJ1898">
        <f>BH1898*($F$24+IF($F$24=0,0,($C$14+$C$15+IF($C$13="single",1.5,3)+3)/12))</f>
        <v>0</v>
      </c>
      <c r="BK1898">
        <f>BJ1898-BA1898</f>
        <v>0</v>
      </c>
      <c r="BL1898" cm="1">
        <f t="array" ref="BL1898">IFERROR(IF(BK1898&lt;0,0,BK1898/($AU$1831-INDEX(hd_off,MATCH(BT1898,hd_mark,0),0)/12)),0)</f>
        <v>0</v>
      </c>
      <c r="BM1898">
        <f>MAX($F$24,$BE$1831)/$Q$1844</f>
        <v>0</v>
      </c>
      <c r="BN1898">
        <f t="shared" si="1171"/>
        <v>0</v>
      </c>
      <c r="BO1898" cm="1">
        <f t="array" ref="BO1898">IFERROR(INDEX(sheath_ecap_asd,MATCH(BS1898,sheath_mark,0),0)*BN1898,0)</f>
        <v>0</v>
      </c>
      <c r="BP1898" cm="1">
        <f t="array" ref="BP1898">IFERROR(INDEX(sheath_wcap_asd,MATCH(BS1898,sheath_mark,0),0)*BN1898,0)</f>
        <v>0</v>
      </c>
      <c r="BQ1898" cm="1">
        <f t="array" ref="BQ1898">IFERROR(INDEX(hd_cap,MATCH(BT1898,hd_mark,0),0),0)</f>
        <v>0</v>
      </c>
      <c r="BS1898" s="19"/>
      <c r="BT1898" s="19"/>
      <c r="BU1898" s="100"/>
    </row>
    <row r="1899" x14ac:dyDescent="0.25">
      <c r="P1899" s="93"/>
      <c r="Q1899" s="109"/>
      <c r="R1899" t="str">
        <f>$Q$1817</f>
        <v>Roof</v>
      </c>
      <c r="S1899">
        <f>$E$25</f>
        <v>33.171875</v>
      </c>
      <c r="T1899" cm="1">
        <f t="array" ref="T1899">IFERROR(IF(S1899=0,0,(INDEX($C$33:$C$38,MATCH($W$1831,$B$33:$B$38,0),0)*(S1899+$X$1831)+$V$1831*$C$31)*$R$1831),0)</f>
        <v>0</v>
      </c>
      <c r="U1899">
        <f>IF(S1899=0,0,-$V$1831*$C$31*$H$27*$R$1831)</f>
        <v>0</v>
      </c>
      <c r="V1899">
        <f>IF(S1899=0,0,$V$1831*$H$26*$R$1831)</f>
        <v>0</v>
      </c>
      <c r="W1899">
        <f>(0.6*T1899+0.7*U1899)*$R$1831/2</f>
        <v>0</v>
      </c>
      <c r="X1899">
        <f>T1899*$R$1831/2</f>
        <v>0</v>
      </c>
      <c r="Z1899">
        <f>IF(S1899=0,0,$AD$1831*$AP$1817)</f>
        <v>0</v>
      </c>
      <c r="AA1899">
        <f>IFERROR(Z1899/$R$1831,0)</f>
        <v>0</v>
      </c>
      <c r="AB1899">
        <f>Z1899*($F$25+($C$16+$C$17+IF($C$13="single",1.5,3)+3)/12)</f>
        <v>0</v>
      </c>
      <c r="AC1899">
        <f>AB1899-W1899</f>
        <v>0</v>
      </c>
      <c r="AD1899" cm="1">
        <f t="array" ref="AD1899">IFERROR(IF(AC1899&lt;0,0,AC1899/($R$1831-INDEX(hd_off,MATCH(AQ1899,hd_mark,0),0)/12)),0)</f>
        <v>0</v>
      </c>
      <c r="AE1899">
        <f>IF(S1899=0,0,$AD$1831*$AM$1817)</f>
        <v>0</v>
      </c>
      <c r="AF1899">
        <f>IFERROR(AE1899/$R$1831,0)</f>
        <v>0</v>
      </c>
      <c r="AG1899">
        <f>AE1899*($F$25+($C$16+$C$17+IF($C$13="single",1.5,3)+3)/12)</f>
        <v>0</v>
      </c>
      <c r="AH1899">
        <f>AG1899-X1899</f>
        <v>0</v>
      </c>
      <c r="AI1899" cm="1">
        <f t="array" ref="AI1899">IFERROR(IF(AH1899&lt;0,0,AH1899/($R$1831-INDEX(hd_off,MATCH(AQ1899,hd_mark,0),0)/12)),0)</f>
        <v>0</v>
      </c>
      <c r="AJ1899">
        <f>MAX($F$25,$AC$1831)/$Q$1844</f>
        <v>0.29920977011494249</v>
      </c>
      <c r="AK1899">
        <f t="shared" si="1170"/>
        <v>1</v>
      </c>
      <c r="AL1899" cm="1">
        <f t="array" ref="AL1899">IFERROR(INDEX(sheath_ecap_asd,MATCH(AP1899,sheath_mark,0),0)*AK1899,0)</f>
        <v>0</v>
      </c>
      <c r="AM1899" cm="1">
        <f t="array" ref="AM1899">IFERROR(INDEX(sheath_wcap_asd,MATCH(AP1899,sheath_mark,0),0)*AK1899,0)</f>
        <v>0</v>
      </c>
      <c r="AN1899" cm="1">
        <f t="array" ref="AN1899">IFERROR(INDEX(hd_cap,MATCH(AQ1899,hd_mark,0),0),0)</f>
        <v>0</v>
      </c>
      <c r="AP1899" s="19"/>
      <c r="AQ1899" s="19"/>
      <c r="AR1899" s="100"/>
      <c r="AS1899" s="93"/>
      <c r="AT1899" s="109"/>
      <c r="AU1899" t="str">
        <f>$Q$1817</f>
        <v>Roof</v>
      </c>
      <c r="AV1899">
        <f>$E$25</f>
        <v>33.171875</v>
      </c>
      <c r="AW1899" cm="1">
        <f t="array" ref="AW1899">IFERROR(IF(AV1899=0,0,(INDEX($C$33:$C$38,MATCH($AZ$1831,$B$33:$B$38,0),0)*(AV1899+$BA$1831)+$AY$1831*$C$31)*$AU$1831),0)</f>
        <v>0</v>
      </c>
      <c r="AX1899">
        <f>IF(AV1899=0,0,-$AY$1831*$C$31*$H$27*$AU$1831)</f>
        <v>0</v>
      </c>
      <c r="AY1899">
        <f>IF(AV1899=0,0,$AY$1831*$H$26*$AU$1831)</f>
        <v>0</v>
      </c>
      <c r="AZ1899">
        <f>(0.6*AW1899+0.7*AX1899)*$AU$1831/2</f>
        <v>0</v>
      </c>
      <c r="BA1899">
        <f>AW1899*$AU$1831/2</f>
        <v>0</v>
      </c>
      <c r="BC1899">
        <f>IF(AV1899=0,0,$BG$1831*$AP$1817)</f>
        <v>0</v>
      </c>
      <c r="BD1899">
        <f>IFERROR(BC1899/$AU$1831,0)</f>
        <v>0</v>
      </c>
      <c r="BE1899">
        <f>BC1899*($F$25+($C$16+$C$17+IF($C$13="single",1.5,3)+3)/12)</f>
        <v>0</v>
      </c>
      <c r="BF1899">
        <f>BE1899-AZ1899</f>
        <v>0</v>
      </c>
      <c r="BG1899" cm="1">
        <f t="array" ref="BG1899">IFERROR(IF(BF1899&lt;0,0,BF1899/($AU$1831-INDEX(hd_off,MATCH(BT1899,hd_mark,0),0)/12)),0)</f>
        <v>0</v>
      </c>
      <c r="BH1899">
        <f>IF(AV1899=0,0,$BG$1831*$AM$1817)</f>
        <v>0</v>
      </c>
      <c r="BI1899">
        <f>IFERROR(BH1899/$AU$1831,0)</f>
        <v>0</v>
      </c>
      <c r="BJ1899">
        <f>BH1899*($F$25+($C$16+$C$17+IF($C$13="single",1.5,3)+3)/12)</f>
        <v>0</v>
      </c>
      <c r="BK1899">
        <f>BJ1899-BA1899</f>
        <v>0</v>
      </c>
      <c r="BL1899" cm="1">
        <f t="array" ref="BL1899">IFERROR(IF(BK1899&lt;0,0,BK1899/($AU$1831-INDEX(hd_off,MATCH(BT1899,hd_mark,0),0)/12)),0)</f>
        <v>0</v>
      </c>
      <c r="BM1899">
        <f>MAX($F$25,$BF$1831)/$Q$1844</f>
        <v>0.29920977011494249</v>
      </c>
      <c r="BN1899">
        <f t="shared" si="1171"/>
        <v>1</v>
      </c>
      <c r="BO1899" cm="1">
        <f t="array" ref="BO1899">IFERROR(INDEX(sheath_ecap_asd,MATCH(BS1899,sheath_mark,0),0)*BN1899,0)</f>
        <v>0</v>
      </c>
      <c r="BP1899" cm="1">
        <f t="array" ref="BP1899">IFERROR(INDEX(sheath_wcap_asd,MATCH(BS1899,sheath_mark,0),0)*BN1899,0)</f>
        <v>0</v>
      </c>
      <c r="BQ1899" cm="1">
        <f t="array" ref="BQ1899">IFERROR(INDEX(hd_cap,MATCH(BT1899,hd_mark,0),0),0)</f>
        <v>0</v>
      </c>
      <c r="BS1899" s="19"/>
      <c r="BT1899" s="19"/>
      <c r="BU1899" s="100"/>
    </row>
    <row r="1900" x14ac:dyDescent="0.25">
      <c r="P1900" s="93"/>
      <c r="AR1900" s="100"/>
      <c r="AS1900" s="93"/>
      <c r="BU1900" s="100"/>
    </row>
    <row r="1901" x14ac:dyDescent="0.25">
      <c r="P1901" s="93"/>
      <c r="Q1901" s="110" t="str">
        <f>$Q$1832</f>
        <v>A.11</v>
      </c>
      <c r="R1901" t="str">
        <f>$Q$1813</f>
        <v>L2</v>
      </c>
      <c r="S1901">
        <f>$E$21</f>
        <v>10.6875</v>
      </c>
      <c r="T1901" cm="1">
        <f t="array" ref="T1901">IFERROR(IF(S1901=0,0,(INDEX($C$33:$C$38,MATCH($W$1832,$B$33:$B$38,0),0)*(S1905+$X$1832)+$T$1832*COUNTIF(S1901:S1904,"&gt;0")*$C$32+$V$1832*$C$31)*$R$1832),0)</f>
        <v>0</v>
      </c>
      <c r="U1901">
        <f>IF(S1901=0,0,-(COUNTIF(S1901:S1904,"&gt;0")*$T$1832*$C$32+$V$1832*$C$31)*$H$27*$R$1832)</f>
        <v>0</v>
      </c>
      <c r="V1901">
        <f>IF(S1901=0,0,$V$1832*$H$26*$R$1832)</f>
        <v>0</v>
      </c>
      <c r="W1901">
        <f>(0.6*T1901+0.7*U1901)*$R$1832/2</f>
        <v>0</v>
      </c>
      <c r="X1901">
        <f>(0.6*T1901+0.6*V1901)*$R$1832/2</f>
        <v>0</v>
      </c>
      <c r="Z1901">
        <f>IF(S1901=0,0,$AD$1832*$AP$1813)</f>
        <v>0</v>
      </c>
      <c r="AA1901">
        <f>IFERROR(Z1901/$R$1832,0)</f>
        <v>0</v>
      </c>
      <c r="AB1901">
        <f>Z1901*($F$21+IF($F$21=0,0,($C$14+$C$15+IF($C$13="single",1.5,3)+3)/12))</f>
        <v>0</v>
      </c>
      <c r="AC1901">
        <f>AB1901-W1901</f>
        <v>0</v>
      </c>
      <c r="AD1901" cm="1">
        <f t="array" ref="AD1901">IFERROR(IF(AC1901&lt;0,0,AC1901/($R$1832-INDEX(hd_off,MATCH(AQ1901,hd_mark,0),0)/12)),0)</f>
        <v>0</v>
      </c>
      <c r="AE1901">
        <f>IF(S1901=0,0,$AD$1832*$AM$1813)</f>
        <v>0</v>
      </c>
      <c r="AF1901">
        <f>IFERROR(AE1901/$R$1832,0)</f>
        <v>0</v>
      </c>
      <c r="AG1901">
        <f>AE1901*($F$21+IF($F$21=0,0,($C$14+$C$15+IF($C$13="single",1.5,3)+3)/12))</f>
        <v>0</v>
      </c>
      <c r="AH1901">
        <f>AG1901-X1901</f>
        <v>0</v>
      </c>
      <c r="AI1901" cm="1">
        <f t="array" ref="AI1901">IFERROR(IF(AH1901&lt;0,0,AH1901/($R$1832-INDEX(hd_off,MATCH(AQ1901,hd_mark,0),0)/12)),0)</f>
        <v>0</v>
      </c>
      <c r="AJ1901">
        <f>MAX($F$21,$Y$1832)/$Q$1844</f>
        <v>0.30172413793103448</v>
      </c>
      <c r="AK1901">
        <f>IF(AJ1901=0,0,IF(AJ1901&gt;2,1.25-0.125*AJ1901,1))</f>
        <v>1</v>
      </c>
      <c r="AL1901" cm="1">
        <f t="array" ref="AL1901">IFERROR(INDEX(sheath_ecap_asd,MATCH(AP1901,sheath_mark,0),0)*AK1901,0)</f>
        <v>0</v>
      </c>
      <c r="AM1901" cm="1">
        <f t="array" ref="AM1901">IFERROR(INDEX(sheath_wcap_asd,MATCH(AP1901,sheath_mark,0),0)*AK1901,0)</f>
        <v>0</v>
      </c>
      <c r="AN1901" cm="1">
        <f t="array" ref="AN1901">IFERROR(INDEX(hd_cap,MATCH(AQ1901,hd_mark,0),0),0)</f>
        <v>0</v>
      </c>
      <c r="AP1901" s="19"/>
      <c r="AQ1901" s="19"/>
      <c r="AR1901" s="100"/>
      <c r="AS1901" s="93"/>
      <c r="AT1901" s="110" t="str">
        <f>$AT$1832</f>
        <v>1.11</v>
      </c>
      <c r="AU1901" t="str">
        <f>$Q$1813</f>
        <v>L2</v>
      </c>
      <c r="AV1901">
        <f>$E$21</f>
        <v>10.6875</v>
      </c>
      <c r="AW1901" cm="1">
        <f t="array" ref="AW1901">IFERROR(IF(AV1901=0,0,(INDEX($C$33:$C$38,MATCH($AZ$1832,$B$33:$B$38,0),0)*(AV1905+$BA$1832)+$AW$1832*COUNTIF(AV1901:AV1904,"&gt;0")*$C$32+$AY$1832*$C$31)*$AU$1832),0)</f>
        <v>0</v>
      </c>
      <c r="AX1901">
        <f>IF(AV1901=0,0,-(COUNTIF(AV1901:AV1904,"&gt;0")*$AW$1832*$C$32+$AY$1832*$C$31)*$H$27*$AU$1832)</f>
        <v>0</v>
      </c>
      <c r="AY1901">
        <f>IF(AV1901=0,0,$AY$1832*$H$26*$AU$1832)</f>
        <v>0</v>
      </c>
      <c r="AZ1901">
        <f>(0.6*AW1901+0.7*AX1901)*$AU$1832/2</f>
        <v>0</v>
      </c>
      <c r="BA1901">
        <f>(0.6*AW1901+0.6*AY1901)*$AU$1832/2</f>
        <v>0</v>
      </c>
      <c r="BC1901">
        <f>IF(AV1901=0,0,$BG$1832*$AP$1813)</f>
        <v>0</v>
      </c>
      <c r="BD1901">
        <f>IFERROR(BC1901/$AU$1832,0)</f>
        <v>0</v>
      </c>
      <c r="BE1901">
        <f>BC1901*($F$21+IF($F$21=0,0,($C$14+$C$15+IF($C$13="single",1.5,3)+3)/12))</f>
        <v>0</v>
      </c>
      <c r="BF1901">
        <f>BE1901-AZ1901</f>
        <v>0</v>
      </c>
      <c r="BG1901" cm="1">
        <f t="array" ref="BG1901">IFERROR(IF(BF1901&lt;0,0,BF1901/($AU$1832-INDEX(hd_off,MATCH(BT1901,hd_mark,0),0)/12)),0)</f>
        <v>0</v>
      </c>
      <c r="BH1901">
        <f>IF(AV1901=0,0,$BG$1832*$AM$1813)</f>
        <v>0</v>
      </c>
      <c r="BI1901">
        <f>IFERROR(BH1901/$AU$1832,0)</f>
        <v>0</v>
      </c>
      <c r="BJ1901">
        <f>BH1901*($F$21+IF($F$21=0,0,($C$14+$C$15+IF($C$13="single",1.5,3)+3)/12))</f>
        <v>0</v>
      </c>
      <c r="BK1901">
        <f>BJ1901-BA1901</f>
        <v>0</v>
      </c>
      <c r="BL1901" cm="1">
        <f t="array" ref="BL1901">IFERROR(IF(BK1901&lt;0,0,BK1901/($AU$1832-INDEX(hd_off,MATCH(BT1901,hd_mark,0),0)/12)),0)</f>
        <v>0</v>
      </c>
      <c r="BM1901">
        <f>MAX($F$21,$BB$1832)/$Q$1844</f>
        <v>0.30172413793103448</v>
      </c>
      <c r="BN1901">
        <f>IF(BM1901=0,0,IF(BM1901&gt;2,1.25-0.125*BM1901,1))</f>
        <v>1</v>
      </c>
      <c r="BO1901" cm="1">
        <f t="array" ref="BO1901">IFERROR(INDEX(sheath_ecap_asd,MATCH(BS1901,sheath_mark,0),0)*BN1901,0)</f>
        <v>0</v>
      </c>
      <c r="BP1901" cm="1">
        <f t="array" ref="BP1901">IFERROR(INDEX(sheath_wcap_asd,MATCH(BS1901,sheath_mark,0),0)*BN1901,0)</f>
        <v>0</v>
      </c>
      <c r="BQ1901" cm="1">
        <f t="array" ref="BQ1901">IFERROR(INDEX(hd_cap,MATCH(BT1901,hd_mark,0),0),0)</f>
        <v>0</v>
      </c>
      <c r="BS1901" s="19"/>
      <c r="BT1901" s="19"/>
      <c r="BU1901" s="100"/>
    </row>
    <row r="1902" x14ac:dyDescent="0.25">
      <c r="P1902" s="93"/>
      <c r="Q1902" s="109"/>
      <c r="R1902" t="str">
        <f>$Q$1814</f>
        <v>L3</v>
      </c>
      <c r="S1902">
        <f>$E$22</f>
        <v>21.375</v>
      </c>
      <c r="T1902" cm="1">
        <f t="array" ref="T1902">IFERROR(IF(S1902=0,0,(INDEX($C$33:$C$38,MATCH($W$1832,$B$33:$B$38,0),0)*(S1905+$X$1832)+$T$1832*COUNTIF(S1902:S1904,"&gt;0")*$C$32+$V$1832*$C$31)*$R$1832),0)</f>
        <v>0</v>
      </c>
      <c r="U1902">
        <f>IF(S1902=0,0,-(COUNTIF(S1902:S1904,"&gt;0")*$T$1832*$C$32+$V$1832*$C$31)*$H$27*$R$1832)</f>
        <v>0</v>
      </c>
      <c r="V1902">
        <f>IF(S1902=0,0,$V$1832*$H$26*$R$1832)</f>
        <v>0</v>
      </c>
      <c r="W1902">
        <f>(0.6*T1902+0.7*U1902)*$R$1832/2</f>
        <v>0</v>
      </c>
      <c r="X1902">
        <f>T1902*$R$1832/2</f>
        <v>0</v>
      </c>
      <c r="Z1902">
        <f>IF(S1902=0,0,$AD$1832*$AP$1814)</f>
        <v>0</v>
      </c>
      <c r="AA1902">
        <f>IFERROR(Z1902/$R$1832,0)</f>
        <v>0</v>
      </c>
      <c r="AB1902">
        <f>Z1902*($F$22+IF($F$22=0,0,($C$14+$C$15+IF($C$13="single",1.5,3)+3)/12))</f>
        <v>0</v>
      </c>
      <c r="AC1902">
        <f>AB1902-W1902</f>
        <v>0</v>
      </c>
      <c r="AD1902" cm="1">
        <f t="array" ref="AD1902">IFERROR(IF(AC1902&lt;0,0,AC1902/($R$1832-INDEX(hd_off,MATCH(AQ1902,hd_mark,0),0)/12)),0)</f>
        <v>0</v>
      </c>
      <c r="AE1902">
        <f>IF(S1902=0,0,$AD$1832*$AM$1814)</f>
        <v>0</v>
      </c>
      <c r="AF1902">
        <f>IFERROR(AE1902/$R$1832,0)</f>
        <v>0</v>
      </c>
      <c r="AG1902">
        <f>AE1902*($F$22+IF($F$22=0,0,($C$14+$C$15+IF($C$13="single",1.5,3)+3)/12))</f>
        <v>0</v>
      </c>
      <c r="AH1902">
        <f>AG1902-X1902</f>
        <v>0</v>
      </c>
      <c r="AI1902" cm="1">
        <f t="array" ref="AI1902">IFERROR(IF(AH1902&lt;0,0,AH1902/($R$1832-INDEX(hd_off,MATCH(AQ1902,hd_mark,0),0)/12)),0)</f>
        <v>0</v>
      </c>
      <c r="AJ1902">
        <f>MAX($F$22,$Z$1832)/$Q$1844</f>
        <v>0.30172413793103448</v>
      </c>
      <c r="AK1902">
        <f t="shared" ref="AK1902:AK1905" si="1172">IF(AJ1902=0,0,IF(AJ1902&gt;2,1.25-0.125*AJ1902,1))</f>
        <v>1</v>
      </c>
      <c r="AL1902" cm="1">
        <f t="array" ref="AL1902">IFERROR(INDEX(sheath_ecap_asd,MATCH(AP1902,sheath_mark,0),0)*AK1902,0)</f>
        <v>0</v>
      </c>
      <c r="AM1902" cm="1">
        <f t="array" ref="AM1902">IFERROR(INDEX(sheath_wcap_asd,MATCH(AP1902,sheath_mark,0),0)*AK1902,0)</f>
        <v>0</v>
      </c>
      <c r="AN1902" cm="1">
        <f t="array" ref="AN1902">IFERROR(INDEX(hd_cap,MATCH(AQ1902,hd_mark,0),0),0)</f>
        <v>0</v>
      </c>
      <c r="AP1902" s="19"/>
      <c r="AQ1902" s="19"/>
      <c r="AR1902" s="100"/>
      <c r="AS1902" s="93"/>
      <c r="AT1902" s="109"/>
      <c r="AU1902" t="str">
        <f>$Q$1814</f>
        <v>L3</v>
      </c>
      <c r="AV1902">
        <f>$E$22</f>
        <v>21.375</v>
      </c>
      <c r="AW1902" cm="1">
        <f t="array" ref="AW1902">IFERROR(IF(AV1902=0,0,(INDEX($C$33:$C$38,MATCH($AZ$1832,$B$33:$B$38,0),0)*(AV1905+$BA$1832)+$AW$1832*COUNTIF(AV1902:AV1904,"&gt;0")*$C$32+$AY$1832*$C$31)*$AU$1832),0)</f>
        <v>0</v>
      </c>
      <c r="AX1902">
        <f>IF(AV1902=0,0,-(COUNTIF(AV1902:AV1904,"&gt;0")*$AW$1832*$C$32+$AY$1832*$C$31)*$H$27*$AU$1832)</f>
        <v>0</v>
      </c>
      <c r="AY1902">
        <f>IF(AV1902=0,0,$AY$1832*$H$26*$AU$1832)</f>
        <v>0</v>
      </c>
      <c r="AZ1902">
        <f>(0.6*AW1902+0.7*AX1902)*$AU$1832/2</f>
        <v>0</v>
      </c>
      <c r="BA1902">
        <f>AW1902*$AU$1832/2</f>
        <v>0</v>
      </c>
      <c r="BC1902">
        <f>IF(AV1902=0,0,$BG$1832*$AP$1814)</f>
        <v>0</v>
      </c>
      <c r="BD1902">
        <f>IFERROR(BC1902/$AU$1832,0)</f>
        <v>0</v>
      </c>
      <c r="BE1902">
        <f>BC1902*($F$22+IF($F$22=0,0,($C$14+$C$15+IF($C$13="single",1.5,3)+3)/12))</f>
        <v>0</v>
      </c>
      <c r="BF1902">
        <f>BE1902-AZ1902</f>
        <v>0</v>
      </c>
      <c r="BG1902" cm="1">
        <f t="array" ref="BG1902">IFERROR(IF(BF1902&lt;0,0,BF1902/($AU$1832-INDEX(hd_off,MATCH(BT1902,hd_mark,0),0)/12)),0)</f>
        <v>0</v>
      </c>
      <c r="BH1902">
        <f>IF(AV1902=0,0,$BG$1832*$AM$1814)</f>
        <v>0</v>
      </c>
      <c r="BI1902">
        <f>IFERROR(BH1902/$AU$1832,0)</f>
        <v>0</v>
      </c>
      <c r="BJ1902">
        <f>BH1902*($F$22+IF($F$22=0,0,($C$14+$C$15+IF($C$13="single",1.5,3)+3)/12))</f>
        <v>0</v>
      </c>
      <c r="BK1902">
        <f>BJ1902-BA1902</f>
        <v>0</v>
      </c>
      <c r="BL1902" cm="1">
        <f t="array" ref="BL1902">IFERROR(IF(BK1902&lt;0,0,BK1902/($AU$1832-INDEX(hd_off,MATCH(BT1902,hd_mark,0),0)/12)),0)</f>
        <v>0</v>
      </c>
      <c r="BM1902">
        <f>MAX($F$22,$BC$1832)/$Q$1844</f>
        <v>0.30172413793103448</v>
      </c>
      <c r="BN1902">
        <f t="shared" ref="BN1902:BN1905" si="1173">IF(BM1902=0,0,IF(BM1902&gt;2,1.25-0.125*BM1902,1))</f>
        <v>1</v>
      </c>
      <c r="BO1902" cm="1">
        <f t="array" ref="BO1902">IFERROR(INDEX(sheath_ecap_asd,MATCH(BS1902,sheath_mark,0),0)*BN1902,0)</f>
        <v>0</v>
      </c>
      <c r="BP1902" cm="1">
        <f t="array" ref="BP1902">IFERROR(INDEX(sheath_wcap_asd,MATCH(BS1902,sheath_mark,0),0)*BN1902,0)</f>
        <v>0</v>
      </c>
      <c r="BQ1902" cm="1">
        <f t="array" ref="BQ1902">IFERROR(INDEX(hd_cap,MATCH(BT1902,hd_mark,0),0),0)</f>
        <v>0</v>
      </c>
      <c r="BS1902" s="19"/>
      <c r="BT1902" s="19"/>
      <c r="BU1902" s="100"/>
    </row>
    <row r="1903" x14ac:dyDescent="0.25">
      <c r="P1903" s="93"/>
      <c r="Q1903" s="109" t="s">
        <v>491</v>
      </c>
      <c r="R1903" t="str">
        <f>$Q$1815</f>
        <v>L4</v>
      </c>
      <c r="S1903">
        <f>$E$23</f>
        <v>0</v>
      </c>
      <c r="T1903" cm="1">
        <f t="array" ref="T1903">IFERROR(IF(S1903=0,0,(INDEX($C$33:$C$38,MATCH($W$1832,$B$33:$B$38,0),0)*(S1905+$X$1832)+$T$1832*COUNTIF(S1903:S1904,"&gt;0")*$C$32+$V$1832*$C$31)*$R$1832),0)</f>
        <v>0</v>
      </c>
      <c r="U1903">
        <f>IF(S1903=0,0,-(COUNTIF(S1903:S1904,"&gt;0")*$T$1832*$C$32+$V$1832*$C$31)*$H$27*$R$1832)</f>
        <v>0</v>
      </c>
      <c r="V1903">
        <f>IF(S1903=0,0,$V$1832*$H$26*$R$1832)</f>
        <v>0</v>
      </c>
      <c r="W1903">
        <f>(0.6*T1903+0.7*U1903)*$R$1832/2</f>
        <v>0</v>
      </c>
      <c r="X1903">
        <f>T1903*$R$1832/2</f>
        <v>0</v>
      </c>
      <c r="Z1903">
        <f>IF(S1903=0,0,$AD$1832*$AP$1815)</f>
        <v>0</v>
      </c>
      <c r="AA1903">
        <f>IFERROR(Z1903/$R$1832,0)</f>
        <v>0</v>
      </c>
      <c r="AB1903">
        <f>Z1903*($F$23+IF($F$23=0,0,($C$14+$C$15+IF($C$13="single",1.5,3)+3)/12))</f>
        <v>0</v>
      </c>
      <c r="AC1903">
        <f>AB1903-W1903</f>
        <v>0</v>
      </c>
      <c r="AD1903" cm="1">
        <f t="array" ref="AD1903">IFERROR(IF(AC1903&lt;0,0,AC1903/($R$1832-INDEX(hd_off,MATCH(AQ1903,hd_mark,0),0)/12)),0)</f>
        <v>0</v>
      </c>
      <c r="AE1903">
        <f>IF(S1903=0,0,$AD$1832*$AM$1815)</f>
        <v>0</v>
      </c>
      <c r="AF1903">
        <f>IFERROR(AE1903/$R$1832,0)</f>
        <v>0</v>
      </c>
      <c r="AG1903">
        <f>AE1903*($F$23+IF($F$23=0,0,($C$14+$C$15+IF($C$13="single",1.5,3)+3)/12))</f>
        <v>0</v>
      </c>
      <c r="AH1903">
        <f>AG1903-X1903</f>
        <v>0</v>
      </c>
      <c r="AI1903" cm="1">
        <f t="array" ref="AI1903">IFERROR(IF(AH1903&lt;0,0,AH1903/($R$1832-INDEX(hd_off,MATCH(AQ1903,hd_mark,0),0)/12)),0)</f>
        <v>0</v>
      </c>
      <c r="AJ1903">
        <f>MAX($F$23,$AA$1832)/$Q$1844</f>
        <v>0</v>
      </c>
      <c r="AK1903">
        <f t="shared" si="1172"/>
        <v>0</v>
      </c>
      <c r="AL1903" cm="1">
        <f t="array" ref="AL1903">IFERROR(INDEX(sheath_ecap_asd,MATCH(AP1903,sheath_mark,0),0)*AK1903,0)</f>
        <v>0</v>
      </c>
      <c r="AM1903" cm="1">
        <f t="array" ref="AM1903">IFERROR(INDEX(sheath_wcap_asd,MATCH(AP1903,sheath_mark,0),0)*AK1903,0)</f>
        <v>0</v>
      </c>
      <c r="AN1903" cm="1">
        <f t="array" ref="AN1903">IFERROR(INDEX(hd_cap,MATCH(AQ1903,hd_mark,0),0),0)</f>
        <v>0</v>
      </c>
      <c r="AP1903" s="19"/>
      <c r="AQ1903" s="19"/>
      <c r="AR1903" s="100"/>
      <c r="AS1903" s="93"/>
      <c r="AT1903" s="109" t="s">
        <v>491</v>
      </c>
      <c r="AU1903" t="str">
        <f>$Q$1815</f>
        <v>L4</v>
      </c>
      <c r="AV1903">
        <f>$E$23</f>
        <v>0</v>
      </c>
      <c r="AW1903" cm="1">
        <f t="array" ref="AW1903">IFERROR(IF(AV1903=0,0,(INDEX($C$33:$C$38,MATCH($AZ$1832,$B$33:$B$38,0),0)*(AV1905+$BA$1832)+$AW$1832*COUNTIF(AV1903:AV1904,"&gt;0")*$C$32+$AY$1832*$C$31)*$AU$1832),0)</f>
        <v>0</v>
      </c>
      <c r="AX1903">
        <f>IF(AV1903=0,0,-(COUNTIF(AV1903:AV1904,"&gt;0")*$AW$1832*$C$32+$AY$1832*$C$31)*$H$27*$AU$1832)</f>
        <v>0</v>
      </c>
      <c r="AY1903">
        <f>IF(AV1903=0,0,$AY$1832*$H$26*$AU$1832)</f>
        <v>0</v>
      </c>
      <c r="AZ1903">
        <f>(0.6*AW1903+0.7*AX1903)*$AU$1832/2</f>
        <v>0</v>
      </c>
      <c r="BA1903">
        <f>AW1903*$AU$1832/2</f>
        <v>0</v>
      </c>
      <c r="BC1903">
        <f>IF(AV1903=0,0,$BG$1832*$AP$1815)</f>
        <v>0</v>
      </c>
      <c r="BD1903">
        <f>IFERROR(BC1903/$AU$1832,0)</f>
        <v>0</v>
      </c>
      <c r="BE1903">
        <f>BC1903*($F$23+IF($F$23=0,0,($C$14+$C$15+IF($C$13="single",1.5,3)+3)/12))</f>
        <v>0</v>
      </c>
      <c r="BF1903">
        <f>BE1903-AZ1903</f>
        <v>0</v>
      </c>
      <c r="BG1903" cm="1">
        <f t="array" ref="BG1903">IFERROR(IF(BF1903&lt;0,0,BF1903/($AU$1832-INDEX(hd_off,MATCH(BT1903,hd_mark,0),0)/12)),0)</f>
        <v>0</v>
      </c>
      <c r="BH1903">
        <f>IF(AV1903=0,0,$BG$1832*$AM$1815)</f>
        <v>0</v>
      </c>
      <c r="BI1903">
        <f>IFERROR(BH1903/$AU$1832,0)</f>
        <v>0</v>
      </c>
      <c r="BJ1903">
        <f>BH1903*($F$23+IF($F$23=0,0,($C$14+$C$15+IF($C$13="single",1.5,3)+3)/12))</f>
        <v>0</v>
      </c>
      <c r="BK1903">
        <f>BJ1903-BA1903</f>
        <v>0</v>
      </c>
      <c r="BL1903" cm="1">
        <f t="array" ref="BL1903">IFERROR(IF(BK1903&lt;0,0,BK1903/($AU$1832-INDEX(hd_off,MATCH(BT1903,hd_mark,0),0)/12)),0)</f>
        <v>0</v>
      </c>
      <c r="BM1903">
        <f>MAX($F$23,$BD$1832)/$Q$1844</f>
        <v>0</v>
      </c>
      <c r="BN1903">
        <f t="shared" si="1173"/>
        <v>0</v>
      </c>
      <c r="BO1903" cm="1">
        <f t="array" ref="BO1903">IFERROR(INDEX(sheath_ecap_asd,MATCH(BS1903,sheath_mark,0),0)*BN1903,0)</f>
        <v>0</v>
      </c>
      <c r="BP1903" cm="1">
        <f t="array" ref="BP1903">IFERROR(INDEX(sheath_wcap_asd,MATCH(BS1903,sheath_mark,0),0)*BN1903,0)</f>
        <v>0</v>
      </c>
      <c r="BQ1903" cm="1">
        <f t="array" ref="BQ1903">IFERROR(INDEX(hd_cap,MATCH(BT1903,hd_mark,0),0),0)</f>
        <v>0</v>
      </c>
      <c r="BS1903" s="19"/>
      <c r="BT1903" s="19"/>
      <c r="BU1903" s="100"/>
    </row>
    <row r="1904" x14ac:dyDescent="0.25">
      <c r="P1904" s="93"/>
      <c r="Q1904" s="111">
        <f>$R$1832</f>
        <v>0</v>
      </c>
      <c r="R1904" t="str">
        <f>$Q$1816</f>
        <v>L5</v>
      </c>
      <c r="S1904">
        <f>$E$24</f>
        <v>0</v>
      </c>
      <c r="T1904" cm="1">
        <f t="array" ref="T1904">IFERROR(IF(S1904=0,0,(INDEX($C$33:$C$38,MATCH($W$1832,$B$33:$B$38,0),0)*(S1905+$X$1832)+$T$1832*COUNTIF(S1904:S1904,"&gt;0")*$C$32+$V$1832*$C$31)*$R$1832),0)</f>
        <v>0</v>
      </c>
      <c r="U1904">
        <f>IF(S1904=0,0,-(COUNTIF(S1904:S1904,"&gt;0")*$T$1832*$C$32+$V$1832*$C$31)*$H$27*$R$1832)</f>
        <v>0</v>
      </c>
      <c r="V1904">
        <f>IF(S1904=0,0,$V$1832*$H$26*$R$1832)</f>
        <v>0</v>
      </c>
      <c r="W1904">
        <f>(0.6*T1904+0.7*U1904)*$R$1832/2</f>
        <v>0</v>
      </c>
      <c r="X1904">
        <f>T1904*$R$1832/2</f>
        <v>0</v>
      </c>
      <c r="Z1904">
        <f>IF(S1904=0,0,$AD$1832*$AP$1816)</f>
        <v>0</v>
      </c>
      <c r="AA1904">
        <f>IFERROR(Z1904/$R$1832,0)</f>
        <v>0</v>
      </c>
      <c r="AB1904">
        <f>Z1904*($F$24+IF($F$24=0,0,($C$14+$C$15+IF($C$13="single",1.5,3)+3)/12))</f>
        <v>0</v>
      </c>
      <c r="AC1904">
        <f>AB1904-W1904</f>
        <v>0</v>
      </c>
      <c r="AD1904" cm="1">
        <f t="array" ref="AD1904">IFERROR(IF(AC1904&lt;0,0,AC1904/($R$1832-INDEX(hd_off,MATCH(AQ1904,hd_mark,0),0)/12)),0)</f>
        <v>0</v>
      </c>
      <c r="AE1904">
        <f>IF(S1904=0,0,$AD$1832*$AM$1816)</f>
        <v>0</v>
      </c>
      <c r="AF1904">
        <f>IFERROR(AE1904/$R$1832,0)</f>
        <v>0</v>
      </c>
      <c r="AG1904">
        <f>AE1904*($F$24+IF($F$24=0,0,($C$14+$C$15+IF($C$13="single",1.5,3)+3)/12))</f>
        <v>0</v>
      </c>
      <c r="AH1904">
        <f>AG1904-X1904</f>
        <v>0</v>
      </c>
      <c r="AI1904" cm="1">
        <f t="array" ref="AI1904">IFERROR(IF(AH1904&lt;0,0,AH1904/($R$1832-INDEX(hd_off,MATCH(AQ1904,hd_mark,0),0)/12)),0)</f>
        <v>0</v>
      </c>
      <c r="AJ1904">
        <f>MAX($F$24,$AB$1832)/$Q$1844</f>
        <v>0</v>
      </c>
      <c r="AK1904">
        <f t="shared" si="1172"/>
        <v>0</v>
      </c>
      <c r="AL1904" cm="1">
        <f t="array" ref="AL1904">IFERROR(INDEX(sheath_ecap_asd,MATCH(AP1904,sheath_mark,0),0)*AK1904,0)</f>
        <v>0</v>
      </c>
      <c r="AM1904" cm="1">
        <f t="array" ref="AM1904">IFERROR(INDEX(sheath_wcap_asd,MATCH(AP1904,sheath_mark,0),0)*AK1904,0)</f>
        <v>0</v>
      </c>
      <c r="AN1904" cm="1">
        <f t="array" ref="AN1904">IFERROR(INDEX(hd_cap,MATCH(AQ1904,hd_mark,0),0),0)</f>
        <v>0</v>
      </c>
      <c r="AP1904" s="19"/>
      <c r="AQ1904" s="19"/>
      <c r="AR1904" s="100"/>
      <c r="AS1904" s="93"/>
      <c r="AT1904" s="111">
        <f>$R$1832</f>
        <v>0</v>
      </c>
      <c r="AU1904" t="str">
        <f>$Q$1816</f>
        <v>L5</v>
      </c>
      <c r="AV1904">
        <f>$E$24</f>
        <v>0</v>
      </c>
      <c r="AW1904" cm="1">
        <f t="array" ref="AW1904">IFERROR(IF(AV1904=0,0,(INDEX($C$33:$C$38,MATCH($AZ$1832,$B$33:$B$38,0),0)*(AV1905+$BA$1832)+$AW$1832*COUNTIF(AV1904:AV1904,"&gt;0")*$C$32+$AY$1832*$C$31)*$AU$1832),0)</f>
        <v>0</v>
      </c>
      <c r="AX1904">
        <f>IF(AV1904=0,0,-(COUNTIF(AV1904:AV1904,"&gt;0")*$AW$1832*$C$32+$AY$1832*$C$31)*$H$27*$AU$1832)</f>
        <v>0</v>
      </c>
      <c r="AY1904">
        <f>IF(AV1904=0,0,$AY$1832*$H$26*$AU$1832)</f>
        <v>0</v>
      </c>
      <c r="AZ1904">
        <f>(0.6*AW1904+0.7*AX1904)*$AU$1832/2</f>
        <v>0</v>
      </c>
      <c r="BA1904">
        <f>AW1904*$AU$1832/2</f>
        <v>0</v>
      </c>
      <c r="BC1904">
        <f>IF(AV1904=0,0,$BG$1832*$AP$1816)</f>
        <v>0</v>
      </c>
      <c r="BD1904">
        <f>IFERROR(BC1904/$AU$1832,0)</f>
        <v>0</v>
      </c>
      <c r="BE1904">
        <f>BC1904*($F$24+IF($F$24=0,0,($C$14+$C$15+IF($C$13="single",1.5,3)+3)/12))</f>
        <v>0</v>
      </c>
      <c r="BF1904">
        <f>BE1904-AZ1904</f>
        <v>0</v>
      </c>
      <c r="BG1904" cm="1">
        <f t="array" ref="BG1904">IFERROR(IF(BF1904&lt;0,0,BF1904/($AU$1832-INDEX(hd_off,MATCH(BT1904,hd_mark,0),0)/12)),0)</f>
        <v>0</v>
      </c>
      <c r="BH1904">
        <f>IF(AV1904=0,0,$BG$1832*$AM$1816)</f>
        <v>0</v>
      </c>
      <c r="BI1904">
        <f>IFERROR(BH1904/$AU$1832,0)</f>
        <v>0</v>
      </c>
      <c r="BJ1904">
        <f>BH1904*($F$24+IF($F$24=0,0,($C$14+$C$15+IF($C$13="single",1.5,3)+3)/12))</f>
        <v>0</v>
      </c>
      <c r="BK1904">
        <f>BJ1904-BA1904</f>
        <v>0</v>
      </c>
      <c r="BL1904" cm="1">
        <f t="array" ref="BL1904">IFERROR(IF(BK1904&lt;0,0,BK1904/($AU$1832-INDEX(hd_off,MATCH(BT1904,hd_mark,0),0)/12)),0)</f>
        <v>0</v>
      </c>
      <c r="BM1904">
        <f>MAX($F$24,$BE$1832)/$Q$1844</f>
        <v>0</v>
      </c>
      <c r="BN1904">
        <f t="shared" si="1173"/>
        <v>0</v>
      </c>
      <c r="BO1904" cm="1">
        <f t="array" ref="BO1904">IFERROR(INDEX(sheath_ecap_asd,MATCH(BS1904,sheath_mark,0),0)*BN1904,0)</f>
        <v>0</v>
      </c>
      <c r="BP1904" cm="1">
        <f t="array" ref="BP1904">IFERROR(INDEX(sheath_wcap_asd,MATCH(BS1904,sheath_mark,0),0)*BN1904,0)</f>
        <v>0</v>
      </c>
      <c r="BQ1904" cm="1">
        <f t="array" ref="BQ1904">IFERROR(INDEX(hd_cap,MATCH(BT1904,hd_mark,0),0),0)</f>
        <v>0</v>
      </c>
      <c r="BS1904" s="19"/>
      <c r="BT1904" s="19"/>
      <c r="BU1904" s="100"/>
    </row>
    <row r="1905" x14ac:dyDescent="0.25">
      <c r="P1905" s="93"/>
      <c r="Q1905" s="109"/>
      <c r="R1905" t="str">
        <f>$Q$1817</f>
        <v>Roof</v>
      </c>
      <c r="S1905">
        <f>$E$25</f>
        <v>33.171875</v>
      </c>
      <c r="T1905" cm="1">
        <f t="array" ref="T1905">IFERROR(IF(S1905=0,0,(INDEX($C$33:$C$38,MATCH($W$1832,$B$33:$B$38,0),0)*(S1905+$X$1832)+$V$1832*$C$31)*$R$1832),0)</f>
        <v>0</v>
      </c>
      <c r="U1905">
        <f>IF(S1905=0,0,-$V$1832*$C$31*$H$27*$R$1832)</f>
        <v>0</v>
      </c>
      <c r="V1905">
        <f>IF(S1905=0,0,$V$1832*$H$26*$R$1832)</f>
        <v>0</v>
      </c>
      <c r="W1905">
        <f>(0.6*T1905+0.7*U1905)*$R$1832/2</f>
        <v>0</v>
      </c>
      <c r="X1905">
        <f>T1905*$R$1832/2</f>
        <v>0</v>
      </c>
      <c r="Z1905">
        <f>IF(S1905=0,0,$AD$1832*$AP$1817)</f>
        <v>0</v>
      </c>
      <c r="AA1905">
        <f>IFERROR(Z1905/$R$1832,0)</f>
        <v>0</v>
      </c>
      <c r="AB1905">
        <f>Z1905*($F$25+($C$16+$C$17+IF($C$13="single",1.5,3)+3)/12)</f>
        <v>0</v>
      </c>
      <c r="AC1905">
        <f>AB1905-W1905</f>
        <v>0</v>
      </c>
      <c r="AD1905" cm="1">
        <f t="array" ref="AD1905">IFERROR(IF(AC1905&lt;0,0,AC1905/($R$1832-INDEX(hd_off,MATCH(AQ1905,hd_mark,0),0)/12)),0)</f>
        <v>0</v>
      </c>
      <c r="AE1905">
        <f>IF(S1905=0,0,$AD$1832*$AM$1817)</f>
        <v>0</v>
      </c>
      <c r="AF1905">
        <f>IFERROR(AE1905/$R$1832,0)</f>
        <v>0</v>
      </c>
      <c r="AG1905">
        <f>AE1905*($F$25+($C$16+$C$17+IF($C$13="single",1.5,3)+3)/12)</f>
        <v>0</v>
      </c>
      <c r="AH1905">
        <f>AG1905-X1905</f>
        <v>0</v>
      </c>
      <c r="AI1905" cm="1">
        <f t="array" ref="AI1905">IFERROR(IF(AH1905&lt;0,0,AH1905/($R$1832-INDEX(hd_off,MATCH(AQ1905,hd_mark,0),0)/12)),0)</f>
        <v>0</v>
      </c>
      <c r="AJ1905">
        <f>MAX($F$25,$AC$1832)/$Q$1844</f>
        <v>0.29920977011494249</v>
      </c>
      <c r="AK1905">
        <f t="shared" si="1172"/>
        <v>1</v>
      </c>
      <c r="AL1905" cm="1">
        <f t="array" ref="AL1905">IFERROR(INDEX(sheath_ecap_asd,MATCH(AP1905,sheath_mark,0),0)*AK1905,0)</f>
        <v>0</v>
      </c>
      <c r="AM1905" cm="1">
        <f t="array" ref="AM1905">IFERROR(INDEX(sheath_wcap_asd,MATCH(AP1905,sheath_mark,0),0)*AK1905,0)</f>
        <v>0</v>
      </c>
      <c r="AN1905" cm="1">
        <f t="array" ref="AN1905">IFERROR(INDEX(hd_cap,MATCH(AQ1905,hd_mark,0),0),0)</f>
        <v>0</v>
      </c>
      <c r="AP1905" s="19"/>
      <c r="AQ1905" s="19"/>
      <c r="AR1905" s="100"/>
      <c r="AS1905" s="93"/>
      <c r="AT1905" s="109"/>
      <c r="AU1905" t="str">
        <f>$Q$1817</f>
        <v>Roof</v>
      </c>
      <c r="AV1905">
        <f>$E$25</f>
        <v>33.171875</v>
      </c>
      <c r="AW1905" cm="1">
        <f t="array" ref="AW1905">IFERROR(IF(AV1905=0,0,(INDEX($C$33:$C$38,MATCH($AZ$1832,$B$33:$B$38,0),0)*(AV1905+$BA$1832)+$AY$1832*$C$31)*$AU$1832),0)</f>
        <v>0</v>
      </c>
      <c r="AX1905">
        <f>IF(AV1905=0,0,-$AY$1832*$C$31*$H$27*$AU$1832)</f>
        <v>0</v>
      </c>
      <c r="AY1905">
        <f>IF(AV1905=0,0,$AY$1832*$H$26*$AU$1832)</f>
        <v>0</v>
      </c>
      <c r="AZ1905">
        <f>(0.6*AW1905+0.7*AX1905)*$AU$1832/2</f>
        <v>0</v>
      </c>
      <c r="BA1905">
        <f>AW1905*$AU$1832/2</f>
        <v>0</v>
      </c>
      <c r="BC1905">
        <f>IF(AV1905=0,0,$BG$1832*$AP$1817)</f>
        <v>0</v>
      </c>
      <c r="BD1905">
        <f>IFERROR(BC1905/$AU$1832,0)</f>
        <v>0</v>
      </c>
      <c r="BE1905">
        <f>BC1905*($F$25+($C$16+$C$17+IF($C$13="single",1.5,3)+3)/12)</f>
        <v>0</v>
      </c>
      <c r="BF1905">
        <f>BE1905-AZ1905</f>
        <v>0</v>
      </c>
      <c r="BG1905" cm="1">
        <f t="array" ref="BG1905">IFERROR(IF(BF1905&lt;0,0,BF1905/($AU$1832-INDEX(hd_off,MATCH(BT1905,hd_mark,0),0)/12)),0)</f>
        <v>0</v>
      </c>
      <c r="BH1905">
        <f>IF(AV1905=0,0,$BG$1832*$AM$1817)</f>
        <v>0</v>
      </c>
      <c r="BI1905">
        <f>IFERROR(BH1905/$AU$1832,0)</f>
        <v>0</v>
      </c>
      <c r="BJ1905">
        <f>BH1905*($F$25+($C$16+$C$17+IF($C$13="single",1.5,3)+3)/12)</f>
        <v>0</v>
      </c>
      <c r="BK1905">
        <f>BJ1905-BA1905</f>
        <v>0</v>
      </c>
      <c r="BL1905" cm="1">
        <f t="array" ref="BL1905">IFERROR(IF(BK1905&lt;0,0,BK1905/($AU$1832-INDEX(hd_off,MATCH(BT1905,hd_mark,0),0)/12)),0)</f>
        <v>0</v>
      </c>
      <c r="BM1905">
        <f>MAX($F$25,$BF$1832)/$Q$1844</f>
        <v>0.29920977011494249</v>
      </c>
      <c r="BN1905">
        <f t="shared" si="1173"/>
        <v>1</v>
      </c>
      <c r="BO1905" cm="1">
        <f t="array" ref="BO1905">IFERROR(INDEX(sheath_ecap_asd,MATCH(BS1905,sheath_mark,0),0)*BN1905,0)</f>
        <v>0</v>
      </c>
      <c r="BP1905" cm="1">
        <f t="array" ref="BP1905">IFERROR(INDEX(sheath_wcap_asd,MATCH(BS1905,sheath_mark,0),0)*BN1905,0)</f>
        <v>0</v>
      </c>
      <c r="BQ1905" cm="1">
        <f t="array" ref="BQ1905">IFERROR(INDEX(hd_cap,MATCH(BT1905,hd_mark,0),0),0)</f>
        <v>0</v>
      </c>
      <c r="BS1905" s="19"/>
      <c r="BT1905" s="19"/>
      <c r="BU1905" s="100"/>
    </row>
    <row r="1906" x14ac:dyDescent="0.25">
      <c r="P1906" s="93"/>
      <c r="AR1906" s="100"/>
      <c r="AS1906" s="93"/>
      <c r="BU1906" s="100"/>
    </row>
    <row r="1907" x14ac:dyDescent="0.25">
      <c r="P1907" s="93"/>
      <c r="Q1907" s="110" t="str">
        <f>$Q$1833</f>
        <v>A.12</v>
      </c>
      <c r="R1907" t="str">
        <f>$Q$1813</f>
        <v>L2</v>
      </c>
      <c r="S1907">
        <f>$E$21</f>
        <v>10.6875</v>
      </c>
      <c r="T1907" cm="1">
        <f t="array" ref="T1907">IFERROR(IF(S1907=0,0,(INDEX($C$33:$C$38,MATCH($W$1833,$B$33:$B$38,0),0)*(S1911+$X$1833)+$T$1833*COUNTIF(S1907:S1910,"&gt;0")*$C$32+$V$1833*$C$31)*$R$1833),0)</f>
        <v>0</v>
      </c>
      <c r="U1907">
        <f>IF(S1907=0,0,-(COUNTIF(S1907:S1910,"&gt;0")*$T$1833*$C$32+$V$1833*$C$31)*$H$27*$R$1833)</f>
        <v>0</v>
      </c>
      <c r="V1907">
        <f>IF(S1907=0,0,$V$1833*$H$26*$R$1833)</f>
        <v>0</v>
      </c>
      <c r="W1907">
        <f>(0.6*T1907+0.7*U1907)*$R$1833/2</f>
        <v>0</v>
      </c>
      <c r="X1907">
        <f>(0.6*T1907+0.6*V1907)*$R$1833/2</f>
        <v>0</v>
      </c>
      <c r="Z1907">
        <f>IF(S1907=0,0,$AD$1833*$AP$1813)</f>
        <v>0</v>
      </c>
      <c r="AA1907">
        <f>IFERROR(Z1907/$R$1833,0)</f>
        <v>0</v>
      </c>
      <c r="AB1907">
        <f>Z1907*($F$21+IF($F$21=0,0,($C$14+$C$15+IF($C$13="single",1.5,3)+3)/12))</f>
        <v>0</v>
      </c>
      <c r="AC1907">
        <f>AB1907-W1907</f>
        <v>0</v>
      </c>
      <c r="AD1907" cm="1">
        <f t="array" ref="AD1907">IFERROR(IF(AC1907&lt;0,0,AC1907/($R$1833-INDEX(hd_off,MATCH(AQ1907,hd_mark,0),0)/12)),0)</f>
        <v>0</v>
      </c>
      <c r="AE1907">
        <f>IF(S1907=0,0,$AD$1833*$AM$1813)</f>
        <v>0</v>
      </c>
      <c r="AF1907">
        <f>IFERROR(AE1907/$R$1833,0)</f>
        <v>0</v>
      </c>
      <c r="AG1907">
        <f>AE1907*($F$21+IF($F$21=0,0,($C$14+$C$15+IF($C$13="single",1.5,3)+3)/12))</f>
        <v>0</v>
      </c>
      <c r="AH1907">
        <f>AG1907-X1907</f>
        <v>0</v>
      </c>
      <c r="AI1907" cm="1">
        <f t="array" ref="AI1907">IFERROR(IF(AH1907&lt;0,0,AH1907/($R$1833-INDEX(hd_off,MATCH(AQ1907,hd_mark,0),0)/12)),0)</f>
        <v>0</v>
      </c>
      <c r="AJ1907">
        <f>MAX($F$21,$Y$1833)/$Q$1844</f>
        <v>0.30172413793103448</v>
      </c>
      <c r="AK1907">
        <f>IF(AJ1907=0,0,IF(AJ1907&gt;2,1.25-0.125*AJ1907,1))</f>
        <v>1</v>
      </c>
      <c r="AL1907" cm="1">
        <f t="array" ref="AL1907">IFERROR(INDEX(sheath_ecap_asd,MATCH(AP1907,sheath_mark,0),0)*AK1907,0)</f>
        <v>0</v>
      </c>
      <c r="AM1907" cm="1">
        <f t="array" ref="AM1907">IFERROR(INDEX(sheath_wcap_asd,MATCH(AP1907,sheath_mark,0),0)*AK1907,0)</f>
        <v>0</v>
      </c>
      <c r="AN1907" cm="1">
        <f t="array" ref="AN1907">IFERROR(INDEX(hd_cap,MATCH(AQ1907,hd_mark,0),0),0)</f>
        <v>0</v>
      </c>
      <c r="AP1907" s="19"/>
      <c r="AQ1907" s="19"/>
      <c r="AR1907" s="100"/>
      <c r="AS1907" s="93"/>
      <c r="AT1907" s="110" t="str">
        <f>$AT$1833</f>
        <v>1.12</v>
      </c>
      <c r="AU1907" t="str">
        <f>$Q$1813</f>
        <v>L2</v>
      </c>
      <c r="AV1907">
        <f>$E$21</f>
        <v>10.6875</v>
      </c>
      <c r="AW1907" cm="1">
        <f t="array" ref="AW1907">IFERROR(IF(AV1907=0,0,(INDEX($C$33:$C$38,MATCH($AZ$1833,$B$33:$B$38,0),0)*(AV1911+$BA$1833)+$AW$1833*COUNTIF(AV1907:AV1910,"&gt;0")*$C$32+$AY$1833*$C$31)*$AU$1833),0)</f>
        <v>0</v>
      </c>
      <c r="AX1907">
        <f>IF(AV1907=0,0,-(COUNTIF(AV1907:AV1910,"&gt;0")*$AW$1833*$C$32+$AY$1833*$C$31)*$H$27*$AU$1833)</f>
        <v>0</v>
      </c>
      <c r="AY1907">
        <f>IF(AV1907=0,0,$AY$1833*$H$26*$AU$1833)</f>
        <v>0</v>
      </c>
      <c r="AZ1907">
        <f>(0.6*AW1907+0.7*AX1907)*$AU$1833/2</f>
        <v>0</v>
      </c>
      <c r="BA1907">
        <f>(0.6*AW1907+0.6*AY1907)*$AU$1833/2</f>
        <v>0</v>
      </c>
      <c r="BC1907">
        <f>IF(AV1907=0,0,$BG$1833*$AP$1813)</f>
        <v>0</v>
      </c>
      <c r="BD1907">
        <f>IFERROR(BC1907/$AU$1833,0)</f>
        <v>0</v>
      </c>
      <c r="BE1907">
        <f>BC1907*($F$21+IF($F$21=0,0,($C$14+$C$15+IF($C$13="single",1.5,3)+3)/12))</f>
        <v>0</v>
      </c>
      <c r="BF1907">
        <f>BE1907-AZ1907</f>
        <v>0</v>
      </c>
      <c r="BG1907" cm="1">
        <f t="array" ref="BG1907">IFERROR(IF(BF1907&lt;0,0,BF1907/($AU$1833-INDEX(hd_off,MATCH(BT1907,hd_mark,0),0)/12)),0)</f>
        <v>0</v>
      </c>
      <c r="BH1907">
        <f>IF(AV1907=0,0,$BG$1833*$AM$1813)</f>
        <v>0</v>
      </c>
      <c r="BI1907">
        <f>IFERROR(BH1907/$AU$1833,0)</f>
        <v>0</v>
      </c>
      <c r="BJ1907">
        <f>BH1907*($F$21+IF($F$21=0,0,($C$14+$C$15+IF($C$13="single",1.5,3)+3)/12))</f>
        <v>0</v>
      </c>
      <c r="BK1907">
        <f>BJ1907-BA1907</f>
        <v>0</v>
      </c>
      <c r="BL1907" cm="1">
        <f t="array" ref="BL1907">IFERROR(IF(BK1907&lt;0,0,BK1907/($AU$1833-INDEX(hd_off,MATCH(BT1907,hd_mark,0),0)/12)),0)</f>
        <v>0</v>
      </c>
      <c r="BM1907">
        <f>MAX($F$21,$BB$1833)/$Q$1844</f>
        <v>0.30172413793103448</v>
      </c>
      <c r="BN1907">
        <f>IF(BM1907=0,0,IF(BM1907&gt;2,1.25-0.125*BM1907,1))</f>
        <v>1</v>
      </c>
      <c r="BO1907" cm="1">
        <f t="array" ref="BO1907">IFERROR(INDEX(sheath_ecap_asd,MATCH(BS1907,sheath_mark,0),0)*BN1907,0)</f>
        <v>0</v>
      </c>
      <c r="BP1907" cm="1">
        <f t="array" ref="BP1907">IFERROR(INDEX(sheath_wcap_asd,MATCH(BS1907,sheath_mark,0),0)*BN1907,0)</f>
        <v>0</v>
      </c>
      <c r="BQ1907" cm="1">
        <f t="array" ref="BQ1907">IFERROR(INDEX(hd_cap,MATCH(BT1907,hd_mark,0),0),0)</f>
        <v>0</v>
      </c>
      <c r="BS1907" s="19"/>
      <c r="BT1907" s="19"/>
      <c r="BU1907" s="100"/>
    </row>
    <row r="1908" x14ac:dyDescent="0.25">
      <c r="P1908" s="93"/>
      <c r="Q1908" s="109"/>
      <c r="R1908" t="str">
        <f>$Q$1814</f>
        <v>L3</v>
      </c>
      <c r="S1908">
        <f>$E$22</f>
        <v>21.375</v>
      </c>
      <c r="T1908" cm="1">
        <f t="array" ref="T1908">IFERROR(IF(S1908=0,0,(INDEX($C$33:$C$38,MATCH($W$1833,$B$33:$B$38,0),0)*(S1911+$X$1833)+$T$1833*COUNTIF(S1908:S1910,"&gt;0")*$C$32+$V$1833*$C$31)*$R$1833),0)</f>
        <v>0</v>
      </c>
      <c r="U1908">
        <f>IF(S1908=0,0,-(COUNTIF(S1908:S1910,"&gt;0")*$T$1833*$C$32+$V$1833*$C$31)*$H$27*$R$1833)</f>
        <v>0</v>
      </c>
      <c r="V1908">
        <f>IF(S1908=0,0,$V$1833*$H$26*$R$1833)</f>
        <v>0</v>
      </c>
      <c r="W1908">
        <f>(0.6*T1908+0.7*U1908)*$R$1833/2</f>
        <v>0</v>
      </c>
      <c r="X1908">
        <f>T1908*$R$1833/2</f>
        <v>0</v>
      </c>
      <c r="Z1908">
        <f>IF(S1908=0,0,$AD$1833*$AP$1814)</f>
        <v>0</v>
      </c>
      <c r="AA1908">
        <f>IFERROR(Z1908/$R$1833,0)</f>
        <v>0</v>
      </c>
      <c r="AB1908">
        <f>Z1908*($F$22+IF($F$22=0,0,($C$14+$C$15+IF($C$13="single",1.5,3)+3)/12))</f>
        <v>0</v>
      </c>
      <c r="AC1908">
        <f>AB1908-W1908</f>
        <v>0</v>
      </c>
      <c r="AD1908" cm="1">
        <f t="array" ref="AD1908">IFERROR(IF(AC1908&lt;0,0,AC1908/($R$1833-INDEX(hd_off,MATCH(AQ1908,hd_mark,0),0)/12)),0)</f>
        <v>0</v>
      </c>
      <c r="AE1908">
        <f>IF(S1908=0,0,$AD$1833*$AM$1814)</f>
        <v>0</v>
      </c>
      <c r="AF1908">
        <f>IFERROR(AE1908/$R$1833,0)</f>
        <v>0</v>
      </c>
      <c r="AG1908">
        <f>AE1908*($F$22+IF($F$22=0,0,($C$14+$C$15+IF($C$13="single",1.5,3)+3)/12))</f>
        <v>0</v>
      </c>
      <c r="AH1908">
        <f>AG1908-X1908</f>
        <v>0</v>
      </c>
      <c r="AI1908" cm="1">
        <f t="array" ref="AI1908">IFERROR(IF(AH1908&lt;0,0,AH1908/($R$1833-INDEX(hd_off,MATCH(AQ1908,hd_mark,0),0)/12)),0)</f>
        <v>0</v>
      </c>
      <c r="AJ1908">
        <f>MAX($F$22,$Z$1833)/$Q$1844</f>
        <v>0.30172413793103448</v>
      </c>
      <c r="AK1908">
        <f t="shared" ref="AK1908:AK1911" si="1174">IF(AJ1908=0,0,IF(AJ1908&gt;2,1.25-0.125*AJ1908,1))</f>
        <v>1</v>
      </c>
      <c r="AL1908" cm="1">
        <f t="array" ref="AL1908">IFERROR(INDEX(sheath_ecap_asd,MATCH(AP1908,sheath_mark,0),0)*AK1908,0)</f>
        <v>0</v>
      </c>
      <c r="AM1908" cm="1">
        <f t="array" ref="AM1908">IFERROR(INDEX(sheath_wcap_asd,MATCH(AP1908,sheath_mark,0),0)*AK1908,0)</f>
        <v>0</v>
      </c>
      <c r="AN1908" cm="1">
        <f t="array" ref="AN1908">IFERROR(INDEX(hd_cap,MATCH(AQ1908,hd_mark,0),0),0)</f>
        <v>0</v>
      </c>
      <c r="AP1908" s="19"/>
      <c r="AQ1908" s="19"/>
      <c r="AR1908" s="100"/>
      <c r="AS1908" s="93"/>
      <c r="AT1908" s="109"/>
      <c r="AU1908" t="str">
        <f>$Q$1814</f>
        <v>L3</v>
      </c>
      <c r="AV1908">
        <f>$E$22</f>
        <v>21.375</v>
      </c>
      <c r="AW1908" cm="1">
        <f t="array" ref="AW1908">IFERROR(IF(AV1908=0,0,(INDEX($C$33:$C$38,MATCH($AZ$1833,$B$33:$B$38,0),0)*(AV1911+$BA$1833)+$AW$1833*COUNTIF(AV1908:AV1910,"&gt;0")*$C$32+$AY$1833*$C$31)*$AU$1833),0)</f>
        <v>0</v>
      </c>
      <c r="AX1908">
        <f>IF(AV1908=0,0,-(COUNTIF(AV1908:AV1910,"&gt;0")*$AW$1833*$C$32+$AY$1833*$C$31)*$H$27*$AU$1833)</f>
        <v>0</v>
      </c>
      <c r="AY1908">
        <f>IF(AV1908=0,0,$AY$1833*$H$26*$AU$1833)</f>
        <v>0</v>
      </c>
      <c r="AZ1908">
        <f>(0.6*AW1908+0.7*AX1908)*$AU$1833/2</f>
        <v>0</v>
      </c>
      <c r="BA1908">
        <f>AW1908*$AU$1833/2</f>
        <v>0</v>
      </c>
      <c r="BC1908">
        <f>IF(AV1908=0,0,$BG$1833*$AP$1814)</f>
        <v>0</v>
      </c>
      <c r="BD1908">
        <f>IFERROR(BC1908/$AU$1833,0)</f>
        <v>0</v>
      </c>
      <c r="BE1908">
        <f>BC1908*($F$22+IF($F$22=0,0,($C$14+$C$15+IF($C$13="single",1.5,3)+3)/12))</f>
        <v>0</v>
      </c>
      <c r="BF1908">
        <f>BE1908-AZ1908</f>
        <v>0</v>
      </c>
      <c r="BG1908" cm="1">
        <f t="array" ref="BG1908">IFERROR(IF(BF1908&lt;0,0,BF1908/($AU$1833-INDEX(hd_off,MATCH(BT1908,hd_mark,0),0)/12)),0)</f>
        <v>0</v>
      </c>
      <c r="BH1908">
        <f>IF(AV1908=0,0,$BG$1833*$AM$1814)</f>
        <v>0</v>
      </c>
      <c r="BI1908">
        <f>IFERROR(BH1908/$AU$1833,0)</f>
        <v>0</v>
      </c>
      <c r="BJ1908">
        <f>BH1908*($F$22+IF($F$22=0,0,($C$14+$C$15+IF($C$13="single",1.5,3)+3)/12))</f>
        <v>0</v>
      </c>
      <c r="BK1908">
        <f>BJ1908-BA1908</f>
        <v>0</v>
      </c>
      <c r="BL1908" cm="1">
        <f t="array" ref="BL1908">IFERROR(IF(BK1908&lt;0,0,BK1908/($AU$1833-INDEX(hd_off,MATCH(BT1908,hd_mark,0),0)/12)),0)</f>
        <v>0</v>
      </c>
      <c r="BM1908">
        <f>MAX($F$22,$BC$1833)/$Q$1844</f>
        <v>0.30172413793103448</v>
      </c>
      <c r="BN1908">
        <f t="shared" ref="BN1908:BN1911" si="1175">IF(BM1908=0,0,IF(BM1908&gt;2,1.25-0.125*BM1908,1))</f>
        <v>1</v>
      </c>
      <c r="BO1908" cm="1">
        <f t="array" ref="BO1908">IFERROR(INDEX(sheath_ecap_asd,MATCH(BS1908,sheath_mark,0),0)*BN1908,0)</f>
        <v>0</v>
      </c>
      <c r="BP1908" cm="1">
        <f t="array" ref="BP1908">IFERROR(INDEX(sheath_wcap_asd,MATCH(BS1908,sheath_mark,0),0)*BN1908,0)</f>
        <v>0</v>
      </c>
      <c r="BQ1908" cm="1">
        <f t="array" ref="BQ1908">IFERROR(INDEX(hd_cap,MATCH(BT1908,hd_mark,0),0),0)</f>
        <v>0</v>
      </c>
      <c r="BS1908" s="19"/>
      <c r="BT1908" s="19"/>
      <c r="BU1908" s="100"/>
    </row>
    <row r="1909" x14ac:dyDescent="0.25">
      <c r="P1909" s="93"/>
      <c r="Q1909" s="109" t="s">
        <v>491</v>
      </c>
      <c r="R1909" t="str">
        <f>$Q$1815</f>
        <v>L4</v>
      </c>
      <c r="S1909">
        <f>$E$23</f>
        <v>0</v>
      </c>
      <c r="T1909" cm="1">
        <f t="array" ref="T1909">IFERROR(IF(S1909=0,0,(INDEX($C$33:$C$38,MATCH($W$1833,$B$33:$B$38,0),0)*(S1911+$X$1833)+$T$1833*COUNTIF(S1909:S1910,"&gt;0")*$C$32+$V$1833*$C$31)*$R$1833),0)</f>
        <v>0</v>
      </c>
      <c r="U1909">
        <f>IF(S1909=0,0,-(COUNTIF(S1909:S1910,"&gt;0")*$T$1833*$C$32+$V$1833*$C$31)*$H$27*$R$1833)</f>
        <v>0</v>
      </c>
      <c r="V1909">
        <f>IF(S1909=0,0,$V$1833*$H$26*$R$1833)</f>
        <v>0</v>
      </c>
      <c r="W1909">
        <f>(0.6*T1909+0.7*U1909)*$R$1833/2</f>
        <v>0</v>
      </c>
      <c r="X1909">
        <f>T1909*$R$1833/2</f>
        <v>0</v>
      </c>
      <c r="Z1909">
        <f>IF(S1909=0,0,$AD$1833*$AP$1815)</f>
        <v>0</v>
      </c>
      <c r="AA1909">
        <f>IFERROR(Z1909/$R$1833,0)</f>
        <v>0</v>
      </c>
      <c r="AB1909">
        <f>Z1909*($F$23+IF($F$23=0,0,($C$14+$C$15+IF($C$13="single",1.5,3)+3)/12))</f>
        <v>0</v>
      </c>
      <c r="AC1909">
        <f>AB1909-W1909</f>
        <v>0</v>
      </c>
      <c r="AD1909" cm="1">
        <f t="array" ref="AD1909">IFERROR(IF(AC1909&lt;0,0,AC1909/($R$1833-INDEX(hd_off,MATCH(AQ1909,hd_mark,0),0)/12)),0)</f>
        <v>0</v>
      </c>
      <c r="AE1909">
        <f>IF(S1909=0,0,$AD$1833*$AM$1815)</f>
        <v>0</v>
      </c>
      <c r="AF1909">
        <f>IFERROR(AE1909/$R$1833,0)</f>
        <v>0</v>
      </c>
      <c r="AG1909">
        <f>AE1909*($F$23+IF($F$23=0,0,($C$14+$C$15+IF($C$13="single",1.5,3)+3)/12))</f>
        <v>0</v>
      </c>
      <c r="AH1909">
        <f>AG1909-X1909</f>
        <v>0</v>
      </c>
      <c r="AI1909" cm="1">
        <f t="array" ref="AI1909">IFERROR(IF(AH1909&lt;0,0,AH1909/($R$1833-INDEX(hd_off,MATCH(AQ1909,hd_mark,0),0)/12)),0)</f>
        <v>0</v>
      </c>
      <c r="AJ1909">
        <f>MAX($F$23,$AA$1833)/$Q$1844</f>
        <v>0</v>
      </c>
      <c r="AK1909">
        <f t="shared" si="1174"/>
        <v>0</v>
      </c>
      <c r="AL1909" cm="1">
        <f t="array" ref="AL1909">IFERROR(INDEX(sheath_ecap_asd,MATCH(AP1909,sheath_mark,0),0)*AK1909,0)</f>
        <v>0</v>
      </c>
      <c r="AM1909" cm="1">
        <f t="array" ref="AM1909">IFERROR(INDEX(sheath_wcap_asd,MATCH(AP1909,sheath_mark,0),0)*AK1909,0)</f>
        <v>0</v>
      </c>
      <c r="AN1909" cm="1">
        <f t="array" ref="AN1909">IFERROR(INDEX(hd_cap,MATCH(AQ1909,hd_mark,0),0),0)</f>
        <v>0</v>
      </c>
      <c r="AP1909" s="19"/>
      <c r="AQ1909" s="19"/>
      <c r="AR1909" s="100"/>
      <c r="AS1909" s="93"/>
      <c r="AT1909" s="109" t="s">
        <v>491</v>
      </c>
      <c r="AU1909" t="str">
        <f>$Q$1815</f>
        <v>L4</v>
      </c>
      <c r="AV1909">
        <f>$E$23</f>
        <v>0</v>
      </c>
      <c r="AW1909" cm="1">
        <f t="array" ref="AW1909">IFERROR(IF(AV1909=0,0,(INDEX($C$33:$C$38,MATCH($AZ$1833,$B$33:$B$38,0),0)*(AV1911+$BA$1833)+$AW$1833*COUNTIF(AV1909:AV1910,"&gt;0")*$C$32+$AY$1833*$C$31)*$AU$1833),0)</f>
        <v>0</v>
      </c>
      <c r="AX1909">
        <f>IF(AV1909=0,0,-(COUNTIF(AV1909:AV1910,"&gt;0")*$AW$1833*$C$32+$AY$1833*$C$31)*$H$27*$AU$1833)</f>
        <v>0</v>
      </c>
      <c r="AY1909">
        <f>IF(AV1909=0,0,$AY$1833*$H$26*$AU$1833)</f>
        <v>0</v>
      </c>
      <c r="AZ1909">
        <f>(0.6*AW1909+0.7*AX1909)*$AU$1833/2</f>
        <v>0</v>
      </c>
      <c r="BA1909">
        <f>AW1909*$AU$1833/2</f>
        <v>0</v>
      </c>
      <c r="BC1909">
        <f>IF(AV1909=0,0,$BG$1833*$AP$1815)</f>
        <v>0</v>
      </c>
      <c r="BD1909">
        <f>IFERROR(BC1909/$AU$1833,0)</f>
        <v>0</v>
      </c>
      <c r="BE1909">
        <f>BC1909*($F$23+IF($F$23=0,0,($C$14+$C$15+IF($C$13="single",1.5,3)+3)/12))</f>
        <v>0</v>
      </c>
      <c r="BF1909">
        <f>BE1909-AZ1909</f>
        <v>0</v>
      </c>
      <c r="BG1909" cm="1">
        <f t="array" ref="BG1909">IFERROR(IF(BF1909&lt;0,0,BF1909/($AU$1833-INDEX(hd_off,MATCH(BT1909,hd_mark,0),0)/12)),0)</f>
        <v>0</v>
      </c>
      <c r="BH1909">
        <f>IF(AV1909=0,0,$BG$1833*$AM$1815)</f>
        <v>0</v>
      </c>
      <c r="BI1909">
        <f>IFERROR(BH1909/$AU$1833,0)</f>
        <v>0</v>
      </c>
      <c r="BJ1909">
        <f>BH1909*($F$23+IF($F$23=0,0,($C$14+$C$15+IF($C$13="single",1.5,3)+3)/12))</f>
        <v>0</v>
      </c>
      <c r="BK1909">
        <f>BJ1909-BA1909</f>
        <v>0</v>
      </c>
      <c r="BL1909" cm="1">
        <f t="array" ref="BL1909">IFERROR(IF(BK1909&lt;0,0,BK1909/($AU$1833-INDEX(hd_off,MATCH(BT1909,hd_mark,0),0)/12)),0)</f>
        <v>0</v>
      </c>
      <c r="BM1909">
        <f>MAX($F$23,$BD$1833)/$Q$1844</f>
        <v>0</v>
      </c>
      <c r="BN1909">
        <f t="shared" si="1175"/>
        <v>0</v>
      </c>
      <c r="BO1909" cm="1">
        <f t="array" ref="BO1909">IFERROR(INDEX(sheath_ecap_asd,MATCH(BS1909,sheath_mark,0),0)*BN1909,0)</f>
        <v>0</v>
      </c>
      <c r="BP1909" cm="1">
        <f t="array" ref="BP1909">IFERROR(INDEX(sheath_wcap_asd,MATCH(BS1909,sheath_mark,0),0)*BN1909,0)</f>
        <v>0</v>
      </c>
      <c r="BQ1909" cm="1">
        <f t="array" ref="BQ1909">IFERROR(INDEX(hd_cap,MATCH(BT1909,hd_mark,0),0),0)</f>
        <v>0</v>
      </c>
      <c r="BS1909" s="19"/>
      <c r="BT1909" s="19"/>
      <c r="BU1909" s="100"/>
    </row>
    <row r="1910" x14ac:dyDescent="0.25">
      <c r="P1910" s="93"/>
      <c r="Q1910" s="111">
        <f>$R$1833</f>
        <v>0</v>
      </c>
      <c r="R1910" t="str">
        <f>$Q$1816</f>
        <v>L5</v>
      </c>
      <c r="S1910">
        <f>$E$24</f>
        <v>0</v>
      </c>
      <c r="T1910" cm="1">
        <f t="array" ref="T1910">IFERROR(IF(S1910=0,0,(INDEX($C$33:$C$38,MATCH($W$1833,$B$33:$B$38,0),0)*(S1911+$X$1833)+$T$1833*COUNTIF(S1910:S1910,"&gt;0")*$C$32+$V$1833*$C$31)*$R$1833),0)</f>
        <v>0</v>
      </c>
      <c r="U1910">
        <f>IF(S1910=0,0,-(COUNTIF(S1910:S1910,"&gt;0")*$T$1833*$C$32+$V$1833*$C$31)*$H$27*$R$1833)</f>
        <v>0</v>
      </c>
      <c r="V1910">
        <f>IF(S1910=0,0,$V$1833*$H$26*$R$1833)</f>
        <v>0</v>
      </c>
      <c r="W1910">
        <f>(0.6*T1910+0.7*U1910)*$R$1833/2</f>
        <v>0</v>
      </c>
      <c r="X1910">
        <f>T1910*$R$1833/2</f>
        <v>0</v>
      </c>
      <c r="Z1910">
        <f>IF(S1910=0,0,$AD$1833*$AP$1816)</f>
        <v>0</v>
      </c>
      <c r="AA1910">
        <f>IFERROR(Z1910/$R$1833,0)</f>
        <v>0</v>
      </c>
      <c r="AB1910">
        <f>Z1910*($F$24+IF($F$24=0,0,($C$14+$C$15+IF($C$13="single",1.5,3)+3)/12))</f>
        <v>0</v>
      </c>
      <c r="AC1910">
        <f>AB1910-W1910</f>
        <v>0</v>
      </c>
      <c r="AD1910" cm="1">
        <f t="array" ref="AD1910">IFERROR(IF(AC1910&lt;0,0,AC1910/($R$1833-INDEX(hd_off,MATCH(AQ1910,hd_mark,0),0)/12)),0)</f>
        <v>0</v>
      </c>
      <c r="AE1910">
        <f>IF(S1910=0,0,$AD$1833*$AM$1816)</f>
        <v>0</v>
      </c>
      <c r="AF1910">
        <f>IFERROR(AE1910/$R$1833,0)</f>
        <v>0</v>
      </c>
      <c r="AG1910">
        <f>AE1910*($F$24+IF($F$24=0,0,($C$14+$C$15+IF($C$13="single",1.5,3)+3)/12))</f>
        <v>0</v>
      </c>
      <c r="AH1910">
        <f>AG1910-X1910</f>
        <v>0</v>
      </c>
      <c r="AI1910" cm="1">
        <f t="array" ref="AI1910">IFERROR(IF(AH1910&lt;0,0,AH1910/($R$1833-INDEX(hd_off,MATCH(AQ1910,hd_mark,0),0)/12)),0)</f>
        <v>0</v>
      </c>
      <c r="AJ1910">
        <f>MAX($F$24,$AB$1833)/$Q$1844</f>
        <v>0</v>
      </c>
      <c r="AK1910">
        <f t="shared" si="1174"/>
        <v>0</v>
      </c>
      <c r="AL1910" cm="1">
        <f t="array" ref="AL1910">IFERROR(INDEX(sheath_ecap_asd,MATCH(AP1910,sheath_mark,0),0)*AK1910,0)</f>
        <v>0</v>
      </c>
      <c r="AM1910" cm="1">
        <f t="array" ref="AM1910">IFERROR(INDEX(sheath_wcap_asd,MATCH(AP1910,sheath_mark,0),0)*AK1910,0)</f>
        <v>0</v>
      </c>
      <c r="AN1910" cm="1">
        <f t="array" ref="AN1910">IFERROR(INDEX(hd_cap,MATCH(AQ1910,hd_mark,0),0),0)</f>
        <v>0</v>
      </c>
      <c r="AP1910" s="19"/>
      <c r="AQ1910" s="19"/>
      <c r="AR1910" s="100"/>
      <c r="AS1910" s="93"/>
      <c r="AT1910" s="111">
        <f>$R$1833</f>
        <v>0</v>
      </c>
      <c r="AU1910" t="str">
        <f>$Q$1816</f>
        <v>L5</v>
      </c>
      <c r="AV1910">
        <f>$E$24</f>
        <v>0</v>
      </c>
      <c r="AW1910" cm="1">
        <f t="array" ref="AW1910">IFERROR(IF(AV1910=0,0,(INDEX($C$33:$C$38,MATCH($AZ$1833,$B$33:$B$38,0),0)*(AV1911+$BA$1833)+$AW$1833*COUNTIF(AV1910:AV1910,"&gt;0")*$C$32+$AY$1833*$C$31)*$AU$1833),0)</f>
        <v>0</v>
      </c>
      <c r="AX1910">
        <f>IF(AV1910=0,0,-(COUNTIF(AV1910:AV1910,"&gt;0")*$AW$1833*$C$32+$AY$1833*$C$31)*$H$27*$AU$1833)</f>
        <v>0</v>
      </c>
      <c r="AY1910">
        <f>IF(AV1910=0,0,$AY$1833*$H$26*$AU$1833)</f>
        <v>0</v>
      </c>
      <c r="AZ1910">
        <f>(0.6*AW1910+0.7*AX1910)*$AU$1833/2</f>
        <v>0</v>
      </c>
      <c r="BA1910">
        <f>AW1910*$AU$1833/2</f>
        <v>0</v>
      </c>
      <c r="BC1910">
        <f>IF(AV1910=0,0,$BG$1833*$AP$1816)</f>
        <v>0</v>
      </c>
      <c r="BD1910">
        <f>IFERROR(BC1910/$AU$1833,0)</f>
        <v>0</v>
      </c>
      <c r="BE1910">
        <f>BC1910*($F$24+IF($F$24=0,0,($C$14+$C$15+IF($C$13="single",1.5,3)+3)/12))</f>
        <v>0</v>
      </c>
      <c r="BF1910">
        <f>BE1910-AZ1910</f>
        <v>0</v>
      </c>
      <c r="BG1910" cm="1">
        <f t="array" ref="BG1910">IFERROR(IF(BF1910&lt;0,0,BF1910/($AU$1833-INDEX(hd_off,MATCH(BT1910,hd_mark,0),0)/12)),0)</f>
        <v>0</v>
      </c>
      <c r="BH1910">
        <f>IF(AV1910=0,0,$BG$1833*$AM$1816)</f>
        <v>0</v>
      </c>
      <c r="BI1910">
        <f>IFERROR(BH1910/$AU$1833,0)</f>
        <v>0</v>
      </c>
      <c r="BJ1910">
        <f>BH1910*($F$24+IF($F$24=0,0,($C$14+$C$15+IF($C$13="single",1.5,3)+3)/12))</f>
        <v>0</v>
      </c>
      <c r="BK1910">
        <f>BJ1910-BA1910</f>
        <v>0</v>
      </c>
      <c r="BL1910" cm="1">
        <f t="array" ref="BL1910">IFERROR(IF(BK1910&lt;0,0,BK1910/($AU$1833-INDEX(hd_off,MATCH(BT1910,hd_mark,0),0)/12)),0)</f>
        <v>0</v>
      </c>
      <c r="BM1910">
        <f>MAX($F$24,$BE$1833)/$Q$1844</f>
        <v>0</v>
      </c>
      <c r="BN1910">
        <f t="shared" si="1175"/>
        <v>0</v>
      </c>
      <c r="BO1910" cm="1">
        <f t="array" ref="BO1910">IFERROR(INDEX(sheath_ecap_asd,MATCH(BS1910,sheath_mark,0),0)*BN1910,0)</f>
        <v>0</v>
      </c>
      <c r="BP1910" cm="1">
        <f t="array" ref="BP1910">IFERROR(INDEX(sheath_wcap_asd,MATCH(BS1910,sheath_mark,0),0)*BN1910,0)</f>
        <v>0</v>
      </c>
      <c r="BQ1910" cm="1">
        <f t="array" ref="BQ1910">IFERROR(INDEX(hd_cap,MATCH(BT1910,hd_mark,0),0),0)</f>
        <v>0</v>
      </c>
      <c r="BS1910" s="19"/>
      <c r="BT1910" s="19"/>
      <c r="BU1910" s="100"/>
    </row>
    <row r="1911" x14ac:dyDescent="0.25">
      <c r="P1911" s="93"/>
      <c r="Q1911" s="109"/>
      <c r="R1911" t="str">
        <f>$Q$1817</f>
        <v>Roof</v>
      </c>
      <c r="S1911">
        <f>$E$25</f>
        <v>33.171875</v>
      </c>
      <c r="T1911" cm="1">
        <f t="array" ref="T1911">IFERROR(IF(S1911=0,0,(INDEX($C$33:$C$38,MATCH($W$1833,$B$33:$B$38,0),0)*(S1911+$X$1833)+$V$1833*$C$31)*$R$1833),0)</f>
        <v>0</v>
      </c>
      <c r="U1911">
        <f>IF(S1911=0,0,-$V$1833*$C$31*$H$27*$R$1833)</f>
        <v>0</v>
      </c>
      <c r="V1911">
        <f>IF(S1911=0,0,$V$1833*$H$26*$R$1833)</f>
        <v>0</v>
      </c>
      <c r="W1911">
        <f>(0.6*T1911+0.7*U1911)*$R$1833/2</f>
        <v>0</v>
      </c>
      <c r="X1911">
        <f>T1911*$R$1833/2</f>
        <v>0</v>
      </c>
      <c r="Z1911">
        <f>IF(S1911=0,0,$AD$1833*$AP$1817)</f>
        <v>0</v>
      </c>
      <c r="AA1911">
        <f>IFERROR(Z1911/$R$1833,0)</f>
        <v>0</v>
      </c>
      <c r="AB1911">
        <f>Z1911*($F$25+($C$16+$C$17+IF($C$13="single",1.5,3)+3)/12)</f>
        <v>0</v>
      </c>
      <c r="AC1911">
        <f>AB1911-W1911</f>
        <v>0</v>
      </c>
      <c r="AD1911" cm="1">
        <f t="array" ref="AD1911">IFERROR(IF(AC1911&lt;0,0,AC1911/($R$1833-INDEX(hd_off,MATCH(AQ1911,hd_mark,0),0)/12)),0)</f>
        <v>0</v>
      </c>
      <c r="AE1911">
        <f>IF(S1911=0,0,$AD$1833*$AM$1817)</f>
        <v>0</v>
      </c>
      <c r="AF1911">
        <f>IFERROR(AE1911/$R$1833,0)</f>
        <v>0</v>
      </c>
      <c r="AG1911">
        <f>AE1911*($F$25+($C$16+$C$17+IF($C$13="single",1.5,3)+3)/12)</f>
        <v>0</v>
      </c>
      <c r="AH1911">
        <f>AG1911-X1911</f>
        <v>0</v>
      </c>
      <c r="AI1911" cm="1">
        <f t="array" ref="AI1911">IFERROR(IF(AH1911&lt;0,0,AH1911/($R$1833-INDEX(hd_off,MATCH(AQ1911,hd_mark,0),0)/12)),0)</f>
        <v>0</v>
      </c>
      <c r="AJ1911">
        <f>MAX($F$25,$AC$1833)/$Q$1844</f>
        <v>0.29920977011494249</v>
      </c>
      <c r="AK1911">
        <f t="shared" si="1174"/>
        <v>1</v>
      </c>
      <c r="AL1911" cm="1">
        <f t="array" ref="AL1911">IFERROR(INDEX(sheath_ecap_asd,MATCH(AP1911,sheath_mark,0),0)*AK1911,0)</f>
        <v>0</v>
      </c>
      <c r="AM1911" cm="1">
        <f t="array" ref="AM1911">IFERROR(INDEX(sheath_wcap_asd,MATCH(AP1911,sheath_mark,0),0)*AK1911,0)</f>
        <v>0</v>
      </c>
      <c r="AN1911" cm="1">
        <f t="array" ref="AN1911">IFERROR(INDEX(hd_cap,MATCH(AQ1911,hd_mark,0),0),0)</f>
        <v>0</v>
      </c>
      <c r="AP1911" s="19"/>
      <c r="AQ1911" s="19"/>
      <c r="AR1911" s="100"/>
      <c r="AS1911" s="93"/>
      <c r="AT1911" s="109"/>
      <c r="AU1911" t="str">
        <f>$Q$1817</f>
        <v>Roof</v>
      </c>
      <c r="AV1911">
        <f>$E$25</f>
        <v>33.171875</v>
      </c>
      <c r="AW1911" cm="1">
        <f t="array" ref="AW1911">IFERROR(IF(AV1911=0,0,(INDEX($C$33:$C$38,MATCH($AZ$1833,$B$33:$B$38,0),0)*(AV1911+$BA$1833)+$AY$1833*$C$31)*$AU$1833),0)</f>
        <v>0</v>
      </c>
      <c r="AX1911">
        <f>IF(AV1911=0,0,-$AY$1833*$C$31*$H$27*$AU$1833)</f>
        <v>0</v>
      </c>
      <c r="AY1911">
        <f>IF(AV1911=0,0,$AY$1833*$H$26*$AU$1833)</f>
        <v>0</v>
      </c>
      <c r="AZ1911">
        <f>(0.6*AW1911+0.7*AX1911)*$AU$1833/2</f>
        <v>0</v>
      </c>
      <c r="BA1911">
        <f>AW1911*$AU$1833/2</f>
        <v>0</v>
      </c>
      <c r="BC1911">
        <f>IF(AV1911=0,0,$BG$1833*$AP$1817)</f>
        <v>0</v>
      </c>
      <c r="BD1911">
        <f>IFERROR(BC1911/$AU$1833,0)</f>
        <v>0</v>
      </c>
      <c r="BE1911">
        <f>BC1911*($F$25+($C$16+$C$17+IF($C$13="single",1.5,3)+3)/12)</f>
        <v>0</v>
      </c>
      <c r="BF1911">
        <f>BE1911-AZ1911</f>
        <v>0</v>
      </c>
      <c r="BG1911" cm="1">
        <f t="array" ref="BG1911">IFERROR(IF(BF1911&lt;0,0,BF1911/($AU$1833-INDEX(hd_off,MATCH(BT1911,hd_mark,0),0)/12)),0)</f>
        <v>0</v>
      </c>
      <c r="BH1911">
        <f>IF(AV1911=0,0,$BG$1833*$AM$1817)</f>
        <v>0</v>
      </c>
      <c r="BI1911">
        <f>IFERROR(BH1911/$AU$1833,0)</f>
        <v>0</v>
      </c>
      <c r="BJ1911">
        <f>BH1911*($F$25+($C$16+$C$17+IF($C$13="single",1.5,3)+3)/12)</f>
        <v>0</v>
      </c>
      <c r="BK1911">
        <f>BJ1911-BA1911</f>
        <v>0</v>
      </c>
      <c r="BL1911" cm="1">
        <f t="array" ref="BL1911">IFERROR(IF(BK1911&lt;0,0,BK1911/($AU$1833-INDEX(hd_off,MATCH(BT1911,hd_mark,0),0)/12)),0)</f>
        <v>0</v>
      </c>
      <c r="BM1911">
        <f>MAX($F$25,$BF$1833)/$Q$1844</f>
        <v>0.29920977011494249</v>
      </c>
      <c r="BN1911">
        <f t="shared" si="1175"/>
        <v>1</v>
      </c>
      <c r="BO1911" cm="1">
        <f t="array" ref="BO1911">IFERROR(INDEX(sheath_ecap_asd,MATCH(BS1911,sheath_mark,0),0)*BN1911,0)</f>
        <v>0</v>
      </c>
      <c r="BP1911" cm="1">
        <f t="array" ref="BP1911">IFERROR(INDEX(sheath_wcap_asd,MATCH(BS1911,sheath_mark,0),0)*BN1911,0)</f>
        <v>0</v>
      </c>
      <c r="BQ1911" cm="1">
        <f t="array" ref="BQ1911">IFERROR(INDEX(hd_cap,MATCH(BT1911,hd_mark,0),0),0)</f>
        <v>0</v>
      </c>
      <c r="BS1911" s="19"/>
      <c r="BT1911" s="19"/>
      <c r="BU1911" s="100"/>
    </row>
    <row r="1912" x14ac:dyDescent="0.25">
      <c r="P1912" s="93"/>
      <c r="AR1912" s="100"/>
      <c r="AS1912" s="93"/>
      <c r="BU1912" s="100"/>
    </row>
    <row r="1913" x14ac:dyDescent="0.25">
      <c r="P1913" s="93"/>
      <c r="Q1913" s="110" t="str">
        <f>$Q$1834</f>
        <v>A.13</v>
      </c>
      <c r="R1913" t="str">
        <f>$Q$1813</f>
        <v>L2</v>
      </c>
      <c r="S1913">
        <f>$E$21</f>
        <v>10.6875</v>
      </c>
      <c r="T1913" cm="1">
        <f t="array" ref="T1913">IFERROR(IF(S1913=0,0,(INDEX($C$33:$C$38,MATCH($W$1834,$B$33:$B$38,0),0)*(S1917+$X$1834)+$T$1834*COUNTIF(S1913:S1916,"&gt;0")*$C$32+$V$1834*$C$31)*$R$1834),0)</f>
        <v>0</v>
      </c>
      <c r="U1913">
        <f>IF(S1913=0,0,-(COUNTIF(S1913:S1916,"&gt;0")*$T$1834*$C$32+$V$1834*$C$31)*$H$27*$R$1834)</f>
        <v>0</v>
      </c>
      <c r="V1913">
        <f>IF(S1913=0,0,$V$1834*$H$26*$R$1834)</f>
        <v>0</v>
      </c>
      <c r="W1913">
        <f>(0.6*T1913+0.7*U1913)*$R$1834/2</f>
        <v>0</v>
      </c>
      <c r="X1913">
        <f>(0.6*T1913+0.6*V1913)*$R$1834/2</f>
        <v>0</v>
      </c>
      <c r="Z1913">
        <f>IF(S1913=0,0,$AD$1834*$AP$1813)</f>
        <v>0</v>
      </c>
      <c r="AA1913">
        <f>IFERROR(Z1913/$R$1834,0)</f>
        <v>0</v>
      </c>
      <c r="AB1913">
        <f>Z1913*($F$21+IF($F$21=0,0,($C$14+$C$15+IF($C$13="single",1.5,3)+3)/12))</f>
        <v>0</v>
      </c>
      <c r="AC1913">
        <f>AB1913-W1913</f>
        <v>0</v>
      </c>
      <c r="AD1913" cm="1">
        <f t="array" ref="AD1913">IFERROR(IF(AC1913&lt;0,0,AC1913/($R$1834-INDEX(hd_off,MATCH(AQ1913,hd_mark,0),0)/12)),0)</f>
        <v>0</v>
      </c>
      <c r="AE1913">
        <f>IF(S1913=0,0,$AD$1834*$AM$1813)</f>
        <v>0</v>
      </c>
      <c r="AF1913">
        <f>IFERROR(AE1913/$R$1834,0)</f>
        <v>0</v>
      </c>
      <c r="AG1913">
        <f>AE1913*($F$21+IF($F$21=0,0,($C$14+$C$15+IF($C$13="single",1.5,3)+3)/12))</f>
        <v>0</v>
      </c>
      <c r="AH1913">
        <f>AG1913-X1913</f>
        <v>0</v>
      </c>
      <c r="AI1913" cm="1">
        <f t="array" ref="AI1913">IFERROR(IF(AH1913&lt;0,0,AH1913/($R$1834-INDEX(hd_off,MATCH(AQ1913,hd_mark,0),0)/12)),0)</f>
        <v>0</v>
      </c>
      <c r="AJ1913">
        <f>MAX($F$21,$Y$1834)/$Q$1844</f>
        <v>0.30172413793103448</v>
      </c>
      <c r="AK1913">
        <f>IF(AJ1913=0,0,IF(AJ1913&gt;2,1.25-0.125*AJ1913,1))</f>
        <v>1</v>
      </c>
      <c r="AL1913" cm="1">
        <f t="array" ref="AL1913">IFERROR(INDEX(sheath_ecap_asd,MATCH(AP1913,sheath_mark,0),0)*AK1913,0)</f>
        <v>0</v>
      </c>
      <c r="AM1913" cm="1">
        <f t="array" ref="AM1913">IFERROR(INDEX(sheath_wcap_asd,MATCH(AP1913,sheath_mark,0),0)*AK1913,0)</f>
        <v>0</v>
      </c>
      <c r="AN1913" cm="1">
        <f t="array" ref="AN1913">IFERROR(INDEX(hd_cap,MATCH(AQ1913,hd_mark,0),0),0)</f>
        <v>0</v>
      </c>
      <c r="AP1913" s="19"/>
      <c r="AQ1913" s="19"/>
      <c r="AR1913" s="100"/>
      <c r="AS1913" s="93"/>
      <c r="AT1913" s="110" t="str">
        <f>$AT$1834</f>
        <v>1.13</v>
      </c>
      <c r="AU1913" t="str">
        <f>$Q$1813</f>
        <v>L2</v>
      </c>
      <c r="AV1913">
        <f>$E$21</f>
        <v>10.6875</v>
      </c>
      <c r="AW1913" cm="1">
        <f t="array" ref="AW1913">IFERROR(IF(AV1913=0,0,(INDEX($C$33:$C$38,MATCH($AZ$1834,$B$33:$B$38,0),0)*(AV1917+$BA$1834)+$AW$1834*COUNTIF(AV1913:AV1916,"&gt;0")*$C$32+$AY$1834*$C$31)*$AU$1834),0)</f>
        <v>0</v>
      </c>
      <c r="AX1913">
        <f>IF(AV1913=0,0,-(COUNTIF(AV1913:AV1916,"&gt;0")*$AW$1834*$C$32+$AY$1834*$C$31)*$H$27*$AU$1834)</f>
        <v>0</v>
      </c>
      <c r="AY1913">
        <f>IF(AV1913=0,0,$AY$1834*$H$26*$AU$1834)</f>
        <v>0</v>
      </c>
      <c r="AZ1913">
        <f>(0.6*AW1913+0.7*AX1913)*$AU$1834/2</f>
        <v>0</v>
      </c>
      <c r="BA1913">
        <f>(0.6*AW1913+0.6*AY1913)*$AU$1834/2</f>
        <v>0</v>
      </c>
      <c r="BC1913">
        <f>IF(AV1913=0,0,$BG$1834*$AP$1813)</f>
        <v>0</v>
      </c>
      <c r="BD1913">
        <f>IFERROR(BC1913/$AU$1834,0)</f>
        <v>0</v>
      </c>
      <c r="BE1913">
        <f>BC1913*($F$21+IF($F$21=0,0,($C$14+$C$15+IF($C$13="single",1.5,3)+3)/12))</f>
        <v>0</v>
      </c>
      <c r="BF1913">
        <f>BE1913-AZ1913</f>
        <v>0</v>
      </c>
      <c r="BG1913" cm="1">
        <f t="array" ref="BG1913">IFERROR(IF(BF1913&lt;0,0,BF1913/($AU$1834-INDEX(hd_off,MATCH(BT1913,hd_mark,0),0)/12)),0)</f>
        <v>0</v>
      </c>
      <c r="BH1913">
        <f>IF(AV1913=0,0,$BG$1834*$AM$1813)</f>
        <v>0</v>
      </c>
      <c r="BI1913">
        <f>IFERROR(BH1913/$AU$1834,0)</f>
        <v>0</v>
      </c>
      <c r="BJ1913">
        <f>BH1913*($F$21+IF($F$21=0,0,($C$14+$C$15+IF($C$13="single",1.5,3)+3)/12))</f>
        <v>0</v>
      </c>
      <c r="BK1913">
        <f>BJ1913-BA1913</f>
        <v>0</v>
      </c>
      <c r="BL1913" cm="1">
        <f t="array" ref="BL1913">IFERROR(IF(BK1913&lt;0,0,BK1913/($AU$1834-INDEX(hd_off,MATCH(BT1913,hd_mark,0),0)/12)),0)</f>
        <v>0</v>
      </c>
      <c r="BM1913">
        <f>MAX($F$21,$BB$1834)/$Q$1844</f>
        <v>0.30172413793103448</v>
      </c>
      <c r="BN1913">
        <f>IF(BM1913=0,0,IF(BM1913&gt;2,1.25-0.125*BM1913,1))</f>
        <v>1</v>
      </c>
      <c r="BO1913" cm="1">
        <f t="array" ref="BO1913">IFERROR(INDEX(sheath_ecap_asd,MATCH(BS1913,sheath_mark,0),0)*BN1913,0)</f>
        <v>0</v>
      </c>
      <c r="BP1913" cm="1">
        <f t="array" ref="BP1913">IFERROR(INDEX(sheath_wcap_asd,MATCH(BS1913,sheath_mark,0),0)*BN1913,0)</f>
        <v>0</v>
      </c>
      <c r="BQ1913" cm="1">
        <f t="array" ref="BQ1913">IFERROR(INDEX(hd_cap,MATCH(BT1913,hd_mark,0),0),0)</f>
        <v>0</v>
      </c>
      <c r="BS1913" s="19"/>
      <c r="BT1913" s="19"/>
      <c r="BU1913" s="100"/>
    </row>
    <row r="1914" x14ac:dyDescent="0.25">
      <c r="P1914" s="93"/>
      <c r="Q1914" s="109"/>
      <c r="R1914" t="str">
        <f>$Q$1814</f>
        <v>L3</v>
      </c>
      <c r="S1914">
        <f>$E$22</f>
        <v>21.375</v>
      </c>
      <c r="T1914" cm="1">
        <f t="array" ref="T1914">IFERROR(IF(S1914=0,0,(INDEX($C$33:$C$38,MATCH($W$1834,$B$33:$B$38,0),0)*(S1917+$X$1834)+$T$1834*COUNTIF(S1914:S1916,"&gt;0")*$C$32+$V$1834*$C$31)*$R$1834),0)</f>
        <v>0</v>
      </c>
      <c r="U1914">
        <f>IF(S1914=0,0,-(COUNTIF(S1914:S1916,"&gt;0")*$T$1834*$C$32+$V$1834*$C$31)*$H$27*$R$1834)</f>
        <v>0</v>
      </c>
      <c r="V1914">
        <f>IF(S1914=0,0,$V$1834*$H$26*$R$1834)</f>
        <v>0</v>
      </c>
      <c r="W1914">
        <f>(0.6*T1914+0.7*U1914)*$R$1834/2</f>
        <v>0</v>
      </c>
      <c r="X1914">
        <f>T1914*$R$1834/2</f>
        <v>0</v>
      </c>
      <c r="Z1914">
        <f>IF(S1914=0,0,$AD$1834*$AP$1814)</f>
        <v>0</v>
      </c>
      <c r="AA1914">
        <f>IFERROR(Z1914/$R$1834,0)</f>
        <v>0</v>
      </c>
      <c r="AB1914">
        <f>Z1914*($F$22+IF($F$22=0,0,($C$14+$C$15+IF($C$13="single",1.5,3)+3)/12))</f>
        <v>0</v>
      </c>
      <c r="AC1914">
        <f>AB1914-W1914</f>
        <v>0</v>
      </c>
      <c r="AD1914" cm="1">
        <f t="array" ref="AD1914">IFERROR(IF(AC1914&lt;0,0,AC1914/($R$1834-INDEX(hd_off,MATCH(AQ1914,hd_mark,0),0)/12)),0)</f>
        <v>0</v>
      </c>
      <c r="AE1914">
        <f>IF(S1914=0,0,$AD$1834*$AM$1814)</f>
        <v>0</v>
      </c>
      <c r="AF1914">
        <f>IFERROR(AE1914/$R$1834,0)</f>
        <v>0</v>
      </c>
      <c r="AG1914">
        <f>AE1914*($F$22+IF($F$22=0,0,($C$14+$C$15+IF($C$13="single",1.5,3)+3)/12))</f>
        <v>0</v>
      </c>
      <c r="AH1914">
        <f>AG1914-X1914</f>
        <v>0</v>
      </c>
      <c r="AI1914" cm="1">
        <f t="array" ref="AI1914">IFERROR(IF(AH1914&lt;0,0,AH1914/($R$1834-INDEX(hd_off,MATCH(AQ1914,hd_mark,0),0)/12)),0)</f>
        <v>0</v>
      </c>
      <c r="AJ1914">
        <f>MAX($F$22,$Z$1834)/$Q$1844</f>
        <v>0.30172413793103448</v>
      </c>
      <c r="AK1914">
        <f t="shared" ref="AK1914:AK1917" si="1176">IF(AJ1914=0,0,IF(AJ1914&gt;2,1.25-0.125*AJ1914,1))</f>
        <v>1</v>
      </c>
      <c r="AL1914" cm="1">
        <f t="array" ref="AL1914">IFERROR(INDEX(sheath_ecap_asd,MATCH(AP1914,sheath_mark,0),0)*AK1914,0)</f>
        <v>0</v>
      </c>
      <c r="AM1914" cm="1">
        <f t="array" ref="AM1914">IFERROR(INDEX(sheath_wcap_asd,MATCH(AP1914,sheath_mark,0),0)*AK1914,0)</f>
        <v>0</v>
      </c>
      <c r="AN1914" cm="1">
        <f t="array" ref="AN1914">IFERROR(INDEX(hd_cap,MATCH(AQ1914,hd_mark,0),0),0)</f>
        <v>0</v>
      </c>
      <c r="AP1914" s="19"/>
      <c r="AQ1914" s="19"/>
      <c r="AR1914" s="100"/>
      <c r="AS1914" s="93"/>
      <c r="AT1914" s="109"/>
      <c r="AU1914" t="str">
        <f>$Q$1814</f>
        <v>L3</v>
      </c>
      <c r="AV1914">
        <f>$E$22</f>
        <v>21.375</v>
      </c>
      <c r="AW1914" cm="1">
        <f t="array" ref="AW1914">IFERROR(IF(AV1914=0,0,(INDEX($C$33:$C$38,MATCH($AZ$1834,$B$33:$B$38,0),0)*(AV1917+$BA$1834)+$AW$1834*COUNTIF(AV1914:AV1916,"&gt;0")*$C$32+$AY$1834*$C$31)*$AU$1834),0)</f>
        <v>0</v>
      </c>
      <c r="AX1914">
        <f>IF(AV1914=0,0,-(COUNTIF(AV1914:AV1916,"&gt;0")*$AW$1834*$C$32+$AY$1834*$C$31)*$H$27*$AU$1834)</f>
        <v>0</v>
      </c>
      <c r="AY1914">
        <f>IF(AV1914=0,0,$AY$1834*$H$26*$AU$1834)</f>
        <v>0</v>
      </c>
      <c r="AZ1914">
        <f>(0.6*AW1914+0.7*AX1914)*$AU$1834/2</f>
        <v>0</v>
      </c>
      <c r="BA1914">
        <f>AW1914*$AU$1834/2</f>
        <v>0</v>
      </c>
      <c r="BC1914">
        <f>IF(AV1914=0,0,$BG$1834*$AP$1814)</f>
        <v>0</v>
      </c>
      <c r="BD1914">
        <f>IFERROR(BC1914/$AU$1834,0)</f>
        <v>0</v>
      </c>
      <c r="BE1914">
        <f>BC1914*($F$22+IF($F$22=0,0,($C$14+$C$15+IF($C$13="single",1.5,3)+3)/12))</f>
        <v>0</v>
      </c>
      <c r="BF1914">
        <f>BE1914-AZ1914</f>
        <v>0</v>
      </c>
      <c r="BG1914" cm="1">
        <f t="array" ref="BG1914">IFERROR(IF(BF1914&lt;0,0,BF1914/($AU$1834-INDEX(hd_off,MATCH(BT1914,hd_mark,0),0)/12)),0)</f>
        <v>0</v>
      </c>
      <c r="BH1914">
        <f>IF(AV1914=0,0,$BG$1834*$AM$1814)</f>
        <v>0</v>
      </c>
      <c r="BI1914">
        <f>IFERROR(BH1914/$AU$1834,0)</f>
        <v>0</v>
      </c>
      <c r="BJ1914">
        <f>BH1914*($F$22+IF($F$22=0,0,($C$14+$C$15+IF($C$13="single",1.5,3)+3)/12))</f>
        <v>0</v>
      </c>
      <c r="BK1914">
        <f>BJ1914-BA1914</f>
        <v>0</v>
      </c>
      <c r="BL1914" cm="1">
        <f t="array" ref="BL1914">IFERROR(IF(BK1914&lt;0,0,BK1914/($AU$1834-INDEX(hd_off,MATCH(BT1914,hd_mark,0),0)/12)),0)</f>
        <v>0</v>
      </c>
      <c r="BM1914">
        <f>MAX($F$22,$BC$1834)/$Q$1844</f>
        <v>0.30172413793103448</v>
      </c>
      <c r="BN1914">
        <f t="shared" ref="BN1914:BN1917" si="1177">IF(BM1914=0,0,IF(BM1914&gt;2,1.25-0.125*BM1914,1))</f>
        <v>1</v>
      </c>
      <c r="BO1914" cm="1">
        <f t="array" ref="BO1914">IFERROR(INDEX(sheath_ecap_asd,MATCH(BS1914,sheath_mark,0),0)*BN1914,0)</f>
        <v>0</v>
      </c>
      <c r="BP1914" cm="1">
        <f t="array" ref="BP1914">IFERROR(INDEX(sheath_wcap_asd,MATCH(BS1914,sheath_mark,0),0)*BN1914,0)</f>
        <v>0</v>
      </c>
      <c r="BQ1914" cm="1">
        <f t="array" ref="BQ1914">IFERROR(INDEX(hd_cap,MATCH(BT1914,hd_mark,0),0),0)</f>
        <v>0</v>
      </c>
      <c r="BS1914" s="19"/>
      <c r="BT1914" s="19"/>
      <c r="BU1914" s="100"/>
    </row>
    <row r="1915" x14ac:dyDescent="0.25">
      <c r="P1915" s="93"/>
      <c r="Q1915" s="109" t="s">
        <v>491</v>
      </c>
      <c r="R1915" t="str">
        <f>$Q$1815</f>
        <v>L4</v>
      </c>
      <c r="S1915">
        <f>$E$23</f>
        <v>0</v>
      </c>
      <c r="T1915" cm="1">
        <f t="array" ref="T1915">IFERROR(IF(S1915=0,0,(INDEX($C$33:$C$38,MATCH($W$1834,$B$33:$B$38,0),0)*(S1917+$X$1834)+$T$1834*COUNTIF(S1915:S1916,"&gt;0")*$C$32+$V$1834*$C$31)*$R$1834),0)</f>
        <v>0</v>
      </c>
      <c r="U1915">
        <f>IF(S1915=0,0,-(COUNTIF(S1915:S1916,"&gt;0")*$T$1834*$C$32+$V$1834*$C$31)*$H$27*$R$1834)</f>
        <v>0</v>
      </c>
      <c r="V1915">
        <f>IF(S1915=0,0,$V$1834*$H$26*$R$1834)</f>
        <v>0</v>
      </c>
      <c r="W1915">
        <f>(0.6*T1915+0.7*U1915)*$R$1834/2</f>
        <v>0</v>
      </c>
      <c r="X1915">
        <f>T1915*$R$1834/2</f>
        <v>0</v>
      </c>
      <c r="Z1915">
        <f>IF(S1915=0,0,$AD$1834*$AP$1815)</f>
        <v>0</v>
      </c>
      <c r="AA1915">
        <f>IFERROR(Z1915/$R$1834,0)</f>
        <v>0</v>
      </c>
      <c r="AB1915">
        <f>Z1915*($F$23+IF($F$23=0,0,($C$14+$C$15+IF($C$13="single",1.5,3)+3)/12))</f>
        <v>0</v>
      </c>
      <c r="AC1915">
        <f>AB1915-W1915</f>
        <v>0</v>
      </c>
      <c r="AD1915" cm="1">
        <f t="array" ref="AD1915">IFERROR(IF(AC1915&lt;0,0,AC1915/($R$1834-INDEX(hd_off,MATCH(AQ1915,hd_mark,0),0)/12)),0)</f>
        <v>0</v>
      </c>
      <c r="AE1915">
        <f>IF(S1915=0,0,$AD$1834*$AM$1815)</f>
        <v>0</v>
      </c>
      <c r="AF1915">
        <f>IFERROR(AE1915/$R$1834,0)</f>
        <v>0</v>
      </c>
      <c r="AG1915">
        <f>AE1915*($F$23+IF($F$23=0,0,($C$14+$C$15+IF($C$13="single",1.5,3)+3)/12))</f>
        <v>0</v>
      </c>
      <c r="AH1915">
        <f>AG1915-X1915</f>
        <v>0</v>
      </c>
      <c r="AI1915" cm="1">
        <f t="array" ref="AI1915">IFERROR(IF(AH1915&lt;0,0,AH1915/($R$1834-INDEX(hd_off,MATCH(AQ1915,hd_mark,0),0)/12)),0)</f>
        <v>0</v>
      </c>
      <c r="AJ1915">
        <f>MAX($F$23,$AA$1834)/$Q$1844</f>
        <v>0</v>
      </c>
      <c r="AK1915">
        <f t="shared" si="1176"/>
        <v>0</v>
      </c>
      <c r="AL1915" cm="1">
        <f t="array" ref="AL1915">IFERROR(INDEX(sheath_ecap_asd,MATCH(AP1915,sheath_mark,0),0)*AK1915,0)</f>
        <v>0</v>
      </c>
      <c r="AM1915" cm="1">
        <f t="array" ref="AM1915">IFERROR(INDEX(sheath_wcap_asd,MATCH(AP1915,sheath_mark,0),0)*AK1915,0)</f>
        <v>0</v>
      </c>
      <c r="AN1915" cm="1">
        <f t="array" ref="AN1915">IFERROR(INDEX(hd_cap,MATCH(AQ1915,hd_mark,0),0),0)</f>
        <v>0</v>
      </c>
      <c r="AP1915" s="19"/>
      <c r="AQ1915" s="19"/>
      <c r="AR1915" s="100"/>
      <c r="AS1915" s="93"/>
      <c r="AT1915" s="109" t="s">
        <v>491</v>
      </c>
      <c r="AU1915" t="str">
        <f>$Q$1815</f>
        <v>L4</v>
      </c>
      <c r="AV1915">
        <f>$E$23</f>
        <v>0</v>
      </c>
      <c r="AW1915" cm="1">
        <f t="array" ref="AW1915">IFERROR(IF(AV1915=0,0,(INDEX($C$33:$C$38,MATCH($AZ$1834,$B$33:$B$38,0),0)*(AV1917+$BA$1834)+$AW$1834*COUNTIF(AV1915:AV1916,"&gt;0")*$C$32+$AY$1834*$C$31)*$AU$1834),0)</f>
        <v>0</v>
      </c>
      <c r="AX1915">
        <f>IF(AV1915=0,0,-(COUNTIF(AV1915:AV1916,"&gt;0")*$AW$1834*$C$32+$AY$1834*$C$31)*$H$27*$AU$1834)</f>
        <v>0</v>
      </c>
      <c r="AY1915">
        <f>IF(AV1915=0,0,$AY$1834*$H$26*$AU$1834)</f>
        <v>0</v>
      </c>
      <c r="AZ1915">
        <f>(0.6*AW1915+0.7*AX1915)*$AU$1834/2</f>
        <v>0</v>
      </c>
      <c r="BA1915">
        <f>AW1915*$AU$1834/2</f>
        <v>0</v>
      </c>
      <c r="BC1915">
        <f>IF(AV1915=0,0,$BG$1834*$AP$1815)</f>
        <v>0</v>
      </c>
      <c r="BD1915">
        <f>IFERROR(BC1915/$AU$1834,0)</f>
        <v>0</v>
      </c>
      <c r="BE1915">
        <f>BC1915*($F$23+IF($F$23=0,0,($C$14+$C$15+IF($C$13="single",1.5,3)+3)/12))</f>
        <v>0</v>
      </c>
      <c r="BF1915">
        <f>BE1915-AZ1915</f>
        <v>0</v>
      </c>
      <c r="BG1915" cm="1">
        <f t="array" ref="BG1915">IFERROR(IF(BF1915&lt;0,0,BF1915/($AU$1834-INDEX(hd_off,MATCH(BT1915,hd_mark,0),0)/12)),0)</f>
        <v>0</v>
      </c>
      <c r="BH1915">
        <f>IF(AV1915=0,0,$BG$1834*$AM$1815)</f>
        <v>0</v>
      </c>
      <c r="BI1915">
        <f>IFERROR(BH1915/$AU$1834,0)</f>
        <v>0</v>
      </c>
      <c r="BJ1915">
        <f>BH1915*($F$23+IF($F$23=0,0,($C$14+$C$15+IF($C$13="single",1.5,3)+3)/12))</f>
        <v>0</v>
      </c>
      <c r="BK1915">
        <f>BJ1915-BA1915</f>
        <v>0</v>
      </c>
      <c r="BL1915" cm="1">
        <f t="array" ref="BL1915">IFERROR(IF(BK1915&lt;0,0,BK1915/($AU$1834-INDEX(hd_off,MATCH(BT1915,hd_mark,0),0)/12)),0)</f>
        <v>0</v>
      </c>
      <c r="BM1915">
        <f>MAX($F$23,$BD$1834)/$Q$1844</f>
        <v>0</v>
      </c>
      <c r="BN1915">
        <f t="shared" si="1177"/>
        <v>0</v>
      </c>
      <c r="BO1915" cm="1">
        <f t="array" ref="BO1915">IFERROR(INDEX(sheath_ecap_asd,MATCH(BS1915,sheath_mark,0),0)*BN1915,0)</f>
        <v>0</v>
      </c>
      <c r="BP1915" cm="1">
        <f t="array" ref="BP1915">IFERROR(INDEX(sheath_wcap_asd,MATCH(BS1915,sheath_mark,0),0)*BN1915,0)</f>
        <v>0</v>
      </c>
      <c r="BQ1915" cm="1">
        <f t="array" ref="BQ1915">IFERROR(INDEX(hd_cap,MATCH(BT1915,hd_mark,0),0),0)</f>
        <v>0</v>
      </c>
      <c r="BS1915" s="19"/>
      <c r="BT1915" s="19"/>
      <c r="BU1915" s="100"/>
    </row>
    <row r="1916" x14ac:dyDescent="0.25">
      <c r="P1916" s="93"/>
      <c r="Q1916" s="111">
        <f>$R$1834</f>
        <v>0</v>
      </c>
      <c r="R1916" t="str">
        <f>$Q$1816</f>
        <v>L5</v>
      </c>
      <c r="S1916">
        <f>$E$24</f>
        <v>0</v>
      </c>
      <c r="T1916" cm="1">
        <f t="array" ref="T1916">IFERROR(IF(S1916=0,0,(INDEX($C$33:$C$38,MATCH($W$1834,$B$33:$B$38,0),0)*(S1917+$X$1834)+$T$1834*COUNTIF(S1916:S1916,"&gt;0")*$C$32+$V$1834*$C$31)*$R$1834),0)</f>
        <v>0</v>
      </c>
      <c r="U1916">
        <f>IF(S1916=0,0,-(COUNTIF(S1916:S1916,"&gt;0")*$T$1834*$C$32+$V$1834*$C$31)*$H$27*$R$1834)</f>
        <v>0</v>
      </c>
      <c r="V1916">
        <f>IF(S1916=0,0,$V$1834*$H$26*$R$1834)</f>
        <v>0</v>
      </c>
      <c r="W1916">
        <f>(0.6*T1916+0.7*U1916)*$R$1834/2</f>
        <v>0</v>
      </c>
      <c r="X1916">
        <f>T1916*$R$1834/2</f>
        <v>0</v>
      </c>
      <c r="Z1916">
        <f>IF(S1916=0,0,$AD$1834*$AP$1816)</f>
        <v>0</v>
      </c>
      <c r="AA1916">
        <f>IFERROR(Z1916/$R$1834,0)</f>
        <v>0</v>
      </c>
      <c r="AB1916">
        <f>Z1916*($F$24+IF($F$24=0,0,($C$14+$C$15+IF($C$13="single",1.5,3)+3)/12))</f>
        <v>0</v>
      </c>
      <c r="AC1916">
        <f>AB1916-W1916</f>
        <v>0</v>
      </c>
      <c r="AD1916" cm="1">
        <f t="array" ref="AD1916">IFERROR(IF(AC1916&lt;0,0,AC1916/($R$1834-INDEX(hd_off,MATCH(AQ1916,hd_mark,0),0)/12)),0)</f>
        <v>0</v>
      </c>
      <c r="AE1916">
        <f>IF(S1916=0,0,$AD$1834*$AM$1816)</f>
        <v>0</v>
      </c>
      <c r="AF1916">
        <f>IFERROR(AE1916/$R$1834,0)</f>
        <v>0</v>
      </c>
      <c r="AG1916">
        <f>AE1916*($F$24+IF($F$24=0,0,($C$14+$C$15+IF($C$13="single",1.5,3)+3)/12))</f>
        <v>0</v>
      </c>
      <c r="AH1916">
        <f>AG1916-X1916</f>
        <v>0</v>
      </c>
      <c r="AI1916" cm="1">
        <f t="array" ref="AI1916">IFERROR(IF(AH1916&lt;0,0,AH1916/($R$1834-INDEX(hd_off,MATCH(AQ1916,hd_mark,0),0)/12)),0)</f>
        <v>0</v>
      </c>
      <c r="AJ1916">
        <f>MAX($F$24,$AB$1834)/$Q$1844</f>
        <v>0</v>
      </c>
      <c r="AK1916">
        <f t="shared" si="1176"/>
        <v>0</v>
      </c>
      <c r="AL1916" cm="1">
        <f t="array" ref="AL1916">IFERROR(INDEX(sheath_ecap_asd,MATCH(AP1916,sheath_mark,0),0)*AK1916,0)</f>
        <v>0</v>
      </c>
      <c r="AM1916" cm="1">
        <f t="array" ref="AM1916">IFERROR(INDEX(sheath_wcap_asd,MATCH(AP1916,sheath_mark,0),0)*AK1916,0)</f>
        <v>0</v>
      </c>
      <c r="AN1916" cm="1">
        <f t="array" ref="AN1916">IFERROR(INDEX(hd_cap,MATCH(AQ1916,hd_mark,0),0),0)</f>
        <v>0</v>
      </c>
      <c r="AP1916" s="19"/>
      <c r="AQ1916" s="19"/>
      <c r="AR1916" s="100"/>
      <c r="AS1916" s="93"/>
      <c r="AT1916" s="111">
        <f>$R$1834</f>
        <v>0</v>
      </c>
      <c r="AU1916" t="str">
        <f>$Q$1816</f>
        <v>L5</v>
      </c>
      <c r="AV1916">
        <f>$E$24</f>
        <v>0</v>
      </c>
      <c r="AW1916" cm="1">
        <f t="array" ref="AW1916">IFERROR(IF(AV1916=0,0,(INDEX($C$33:$C$38,MATCH($AZ$1834,$B$33:$B$38,0),0)*(AV1917+$BA$1834)+$AW$1834*COUNTIF(AV1916:AV1916,"&gt;0")*$C$32+$AY$1834*$C$31)*$AU$1834),0)</f>
        <v>0</v>
      </c>
      <c r="AX1916">
        <f>IF(AV1916=0,0,-(COUNTIF(AV1916:AV1916,"&gt;0")*$AW$1834*$C$32+$AY$1834*$C$31)*$H$27*$AU$1834)</f>
        <v>0</v>
      </c>
      <c r="AY1916">
        <f>IF(AV1916=0,0,$AY$1834*$H$26*$AU$1834)</f>
        <v>0</v>
      </c>
      <c r="AZ1916">
        <f>(0.6*AW1916+0.7*AX1916)*$AU$1834/2</f>
        <v>0</v>
      </c>
      <c r="BA1916">
        <f>AW1916*$AU$1834/2</f>
        <v>0</v>
      </c>
      <c r="BC1916">
        <f>IF(AV1916=0,0,$BG$1834*$AP$1816)</f>
        <v>0</v>
      </c>
      <c r="BD1916">
        <f>IFERROR(BC1916/$AU$1834,0)</f>
        <v>0</v>
      </c>
      <c r="BE1916">
        <f>BC1916*($F$24+IF($F$24=0,0,($C$14+$C$15+IF($C$13="single",1.5,3)+3)/12))</f>
        <v>0</v>
      </c>
      <c r="BF1916">
        <f>BE1916-AZ1916</f>
        <v>0</v>
      </c>
      <c r="BG1916" cm="1">
        <f t="array" ref="BG1916">IFERROR(IF(BF1916&lt;0,0,BF1916/($AU$1834-INDEX(hd_off,MATCH(BT1916,hd_mark,0),0)/12)),0)</f>
        <v>0</v>
      </c>
      <c r="BH1916">
        <f>IF(AV1916=0,0,$BG$1834*$AM$1816)</f>
        <v>0</v>
      </c>
      <c r="BI1916">
        <f>IFERROR(BH1916/$AU$1834,0)</f>
        <v>0</v>
      </c>
      <c r="BJ1916">
        <f>BH1916*($F$24+IF($F$24=0,0,($C$14+$C$15+IF($C$13="single",1.5,3)+3)/12))</f>
        <v>0</v>
      </c>
      <c r="BK1916">
        <f>BJ1916-BA1916</f>
        <v>0</v>
      </c>
      <c r="BL1916" cm="1">
        <f t="array" ref="BL1916">IFERROR(IF(BK1916&lt;0,0,BK1916/($AU$1834-INDEX(hd_off,MATCH(BT1916,hd_mark,0),0)/12)),0)</f>
        <v>0</v>
      </c>
      <c r="BM1916">
        <f>MAX($F$24,$BE$1834)/$Q$1844</f>
        <v>0</v>
      </c>
      <c r="BN1916">
        <f t="shared" si="1177"/>
        <v>0</v>
      </c>
      <c r="BO1916" cm="1">
        <f t="array" ref="BO1916">IFERROR(INDEX(sheath_ecap_asd,MATCH(BS1916,sheath_mark,0),0)*BN1916,0)</f>
        <v>0</v>
      </c>
      <c r="BP1916" cm="1">
        <f t="array" ref="BP1916">IFERROR(INDEX(sheath_wcap_asd,MATCH(BS1916,sheath_mark,0),0)*BN1916,0)</f>
        <v>0</v>
      </c>
      <c r="BQ1916" cm="1">
        <f t="array" ref="BQ1916">IFERROR(INDEX(hd_cap,MATCH(BT1916,hd_mark,0),0),0)</f>
        <v>0</v>
      </c>
      <c r="BS1916" s="19"/>
      <c r="BT1916" s="19"/>
      <c r="BU1916" s="100"/>
    </row>
    <row r="1917" x14ac:dyDescent="0.25">
      <c r="P1917" s="93"/>
      <c r="Q1917" s="109"/>
      <c r="R1917" t="str">
        <f>$Q$1817</f>
        <v>Roof</v>
      </c>
      <c r="S1917">
        <f>$E$25</f>
        <v>33.171875</v>
      </c>
      <c r="T1917" cm="1">
        <f t="array" ref="T1917">IFERROR(IF(S1917=0,0,(INDEX($C$33:$C$38,MATCH($W$1834,$B$33:$B$38,0),0)*(S1917+$X$1834)+$V$1834*$C$31)*$R$1834),0)</f>
        <v>0</v>
      </c>
      <c r="U1917">
        <f>IF(S1917=0,0,-$V$1834*$C$31*$H$27*$R$1834)</f>
        <v>0</v>
      </c>
      <c r="V1917">
        <f>IF(S1917=0,0,$V$1834*$H$26*$R$1834)</f>
        <v>0</v>
      </c>
      <c r="W1917">
        <f>(0.6*T1917+0.7*U1917)*$R$1834/2</f>
        <v>0</v>
      </c>
      <c r="X1917">
        <f>T1917*$R$1834/2</f>
        <v>0</v>
      </c>
      <c r="Z1917">
        <f>IF(S1917=0,0,$AD$1834*$AP$1817)</f>
        <v>0</v>
      </c>
      <c r="AA1917">
        <f>IFERROR(Z1917/$R$1834,0)</f>
        <v>0</v>
      </c>
      <c r="AB1917">
        <f>Z1917*($F$25+($C$16+$C$17+IF($C$13="single",1.5,3)+3)/12)</f>
        <v>0</v>
      </c>
      <c r="AC1917">
        <f>AB1917-W1917</f>
        <v>0</v>
      </c>
      <c r="AD1917" cm="1">
        <f t="array" ref="AD1917">IFERROR(IF(AC1917&lt;0,0,AC1917/($R$1834-INDEX(hd_off,MATCH(AQ1917,hd_mark,0),0)/12)),0)</f>
        <v>0</v>
      </c>
      <c r="AE1917">
        <f>IF(S1917=0,0,$AD$1834*$AM$1817)</f>
        <v>0</v>
      </c>
      <c r="AF1917">
        <f>IFERROR(AE1917/$R$1834,0)</f>
        <v>0</v>
      </c>
      <c r="AG1917">
        <f>AE1917*($F$25+($C$16+$C$17+IF($C$13="single",1.5,3)+3)/12)</f>
        <v>0</v>
      </c>
      <c r="AH1917">
        <f>AG1917-X1917</f>
        <v>0</v>
      </c>
      <c r="AI1917" cm="1">
        <f t="array" ref="AI1917">IFERROR(IF(AH1917&lt;0,0,AH1917/($R$1834-INDEX(hd_off,MATCH(AQ1917,hd_mark,0),0)/12)),0)</f>
        <v>0</v>
      </c>
      <c r="AJ1917">
        <f>MAX($F$25,$AC$1834)/$Q$1844</f>
        <v>0.29920977011494249</v>
      </c>
      <c r="AK1917">
        <f t="shared" si="1176"/>
        <v>1</v>
      </c>
      <c r="AL1917" cm="1">
        <f t="array" ref="AL1917">IFERROR(INDEX(sheath_ecap_asd,MATCH(AP1917,sheath_mark,0),0)*AK1917,0)</f>
        <v>0</v>
      </c>
      <c r="AM1917" cm="1">
        <f t="array" ref="AM1917">IFERROR(INDEX(sheath_wcap_asd,MATCH(AP1917,sheath_mark,0),0)*AK1917,0)</f>
        <v>0</v>
      </c>
      <c r="AN1917" cm="1">
        <f t="array" ref="AN1917">IFERROR(INDEX(hd_cap,MATCH(AQ1917,hd_mark,0),0),0)</f>
        <v>0</v>
      </c>
      <c r="AP1917" s="19"/>
      <c r="AQ1917" s="19"/>
      <c r="AR1917" s="100"/>
      <c r="AS1917" s="93"/>
      <c r="AT1917" s="109"/>
      <c r="AU1917" t="str">
        <f>$Q$1817</f>
        <v>Roof</v>
      </c>
      <c r="AV1917">
        <f>$E$25</f>
        <v>33.171875</v>
      </c>
      <c r="AW1917" cm="1">
        <f t="array" ref="AW1917">IFERROR(IF(AV1917=0,0,(INDEX($C$33:$C$38,MATCH($AZ$1834,$B$33:$B$38,0),0)*(AV1917+$BA$1834)+$AY$1834*$C$31)*$AU$1834),0)</f>
        <v>0</v>
      </c>
      <c r="AX1917">
        <f>IF(AV1917=0,0,-$AY$1834*$C$31*$H$27*$AU$1834)</f>
        <v>0</v>
      </c>
      <c r="AY1917">
        <f>IF(AV1917=0,0,$AY$1834*$H$26*$AU$1834)</f>
        <v>0</v>
      </c>
      <c r="AZ1917">
        <f>(0.6*AW1917+0.7*AX1917)*$AU$1834/2</f>
        <v>0</v>
      </c>
      <c r="BA1917">
        <f>AW1917*$AU$1834/2</f>
        <v>0</v>
      </c>
      <c r="BC1917">
        <f>IF(AV1917=0,0,$BG$1834*$AP$1817)</f>
        <v>0</v>
      </c>
      <c r="BD1917">
        <f>IFERROR(BC1917/$AU$1834,0)</f>
        <v>0</v>
      </c>
      <c r="BE1917">
        <f>BC1917*($F$25+($C$16+$C$17+IF($C$13="single",1.5,3)+3)/12)</f>
        <v>0</v>
      </c>
      <c r="BF1917">
        <f>BE1917-AZ1917</f>
        <v>0</v>
      </c>
      <c r="BG1917" cm="1">
        <f t="array" ref="BG1917">IFERROR(IF(BF1917&lt;0,0,BF1917/($AU$1834-INDEX(hd_off,MATCH(BT1917,hd_mark,0),0)/12)),0)</f>
        <v>0</v>
      </c>
      <c r="BH1917">
        <f>IF(AV1917=0,0,$BG$1834*$AM$1817)</f>
        <v>0</v>
      </c>
      <c r="BI1917">
        <f>IFERROR(BH1917/$AU$1834,0)</f>
        <v>0</v>
      </c>
      <c r="BJ1917">
        <f>BH1917*($F$25+($C$16+$C$17+IF($C$13="single",1.5,3)+3)/12)</f>
        <v>0</v>
      </c>
      <c r="BK1917">
        <f>BJ1917-BA1917</f>
        <v>0</v>
      </c>
      <c r="BL1917" cm="1">
        <f t="array" ref="BL1917">IFERROR(IF(BK1917&lt;0,0,BK1917/($AU$1834-INDEX(hd_off,MATCH(BT1917,hd_mark,0),0)/12)),0)</f>
        <v>0</v>
      </c>
      <c r="BM1917">
        <f>MAX($F$25,$BF$1834)/$Q$1844</f>
        <v>0.29920977011494249</v>
      </c>
      <c r="BN1917">
        <f t="shared" si="1177"/>
        <v>1</v>
      </c>
      <c r="BO1917" cm="1">
        <f t="array" ref="BO1917">IFERROR(INDEX(sheath_ecap_asd,MATCH(BS1917,sheath_mark,0),0)*BN1917,0)</f>
        <v>0</v>
      </c>
      <c r="BP1917" cm="1">
        <f t="array" ref="BP1917">IFERROR(INDEX(sheath_wcap_asd,MATCH(BS1917,sheath_mark,0),0)*BN1917,0)</f>
        <v>0</v>
      </c>
      <c r="BQ1917" cm="1">
        <f t="array" ref="BQ1917">IFERROR(INDEX(hd_cap,MATCH(BT1917,hd_mark,0),0),0)</f>
        <v>0</v>
      </c>
      <c r="BS1917" s="19"/>
      <c r="BT1917" s="19"/>
      <c r="BU1917" s="100"/>
    </row>
    <row r="1918" x14ac:dyDescent="0.25">
      <c r="P1918" s="93"/>
      <c r="AR1918" s="100"/>
      <c r="AS1918" s="93"/>
      <c r="BU1918" s="100"/>
    </row>
    <row r="1919" x14ac:dyDescent="0.25">
      <c r="P1919" s="93"/>
      <c r="Q1919" s="110" t="str">
        <f>$Q$1835</f>
        <v>A.14</v>
      </c>
      <c r="R1919" t="str">
        <f>$Q$1813</f>
        <v>L2</v>
      </c>
      <c r="S1919">
        <f>$E$21</f>
        <v>10.6875</v>
      </c>
      <c r="T1919" cm="1">
        <f t="array" ref="T1919">IFERROR(IF(S1919=0,0,(INDEX($C$33:$C$38,MATCH($W$1835,$B$33:$B$38,0),0)*(S1923+$X$1835)+$T$1835*COUNTIF(S1919:S1935,"&gt;0")*$C$32+$V$1835*$C$31)*$R$1835),0)</f>
        <v>0</v>
      </c>
      <c r="U1919">
        <f>IF(S1919=0,0,-(COUNTIF(S1919:S1935,"&gt;0")*$T$1835*$C$32+$V$1835*$C$31)*$H$27*$R$1835)</f>
        <v>0</v>
      </c>
      <c r="V1919">
        <f>IF(S1919=0,0,$V$1835*$H$26*$R$1835)</f>
        <v>0</v>
      </c>
      <c r="W1919">
        <f>(0.6*T1919+0.7*U1919)*$R$1835/2</f>
        <v>0</v>
      </c>
      <c r="X1919">
        <f>(0.6*T1919+0.6*V1919)*$R$1835/2</f>
        <v>0</v>
      </c>
      <c r="Z1919">
        <f>IF(S1919=0,0,$AD$1835*$AP$1813)</f>
        <v>0</v>
      </c>
      <c r="AA1919">
        <f>IFERROR(Z1919/$R$1835,0)</f>
        <v>0</v>
      </c>
      <c r="AB1919">
        <f>Z1919*($F$21+IF($F$21=0,0,($C$14+$C$15+IF($C$13="single",1.5,3)+3)/12))</f>
        <v>0</v>
      </c>
      <c r="AC1919">
        <f>AB1919-W1919</f>
        <v>0</v>
      </c>
      <c r="AD1919" cm="1">
        <f t="array" ref="AD1919">IFERROR(IF(AC1919&lt;0,0,AC1919/($R$1835-INDEX(hd_off,MATCH(AQ1919,hd_mark,0),0)/12)),0)</f>
        <v>0</v>
      </c>
      <c r="AE1919">
        <f>IF(S1919=0,0,$AD$1835*$AM$1813)</f>
        <v>0</v>
      </c>
      <c r="AF1919">
        <f>IFERROR(AE1919/$R$1835,0)</f>
        <v>0</v>
      </c>
      <c r="AG1919">
        <f>AE1919*($F$21+IF($F$21=0,0,($C$14+$C$15+IF($C$13="single",1.5,3)+3)/12))</f>
        <v>0</v>
      </c>
      <c r="AH1919">
        <f>AG1919-X1919</f>
        <v>0</v>
      </c>
      <c r="AI1919" cm="1">
        <f t="array" ref="AI1919">IFERROR(IF(AH1919&lt;0,0,AH1919/($R$1835-INDEX(hd_off,MATCH(AQ1919,hd_mark,0),0)/12)),0)</f>
        <v>0</v>
      </c>
      <c r="AJ1919">
        <f>MAX($F$21,$Y$1835)/$Q$1844</f>
        <v>0.30172413793103448</v>
      </c>
      <c r="AK1919">
        <f>IF(AJ1919=0,0,IF(AJ1919&gt;2,1.25-0.125*AJ1919,1))</f>
        <v>1</v>
      </c>
      <c r="AL1919" cm="1">
        <f t="array" ref="AL1919">IFERROR(INDEX(sheath_ecap_asd,MATCH(AP1919,sheath_mark,0),0)*AK1919,0)</f>
        <v>0</v>
      </c>
      <c r="AM1919" cm="1">
        <f t="array" ref="AM1919">IFERROR(INDEX(sheath_wcap_asd,MATCH(AP1919,sheath_mark,0),0)*AK1919,0)</f>
        <v>0</v>
      </c>
      <c r="AN1919" cm="1">
        <f t="array" ref="AN1919">IFERROR(INDEX(hd_cap,MATCH(AQ1919,hd_mark,0),0),0)</f>
        <v>0</v>
      </c>
      <c r="AP1919" s="19"/>
      <c r="AQ1919" s="19"/>
      <c r="AR1919" s="100"/>
      <c r="AS1919" s="93"/>
      <c r="AT1919" s="110" t="str">
        <f>$AT$1835</f>
        <v>1.14</v>
      </c>
      <c r="AU1919" t="str">
        <f>$Q$1813</f>
        <v>L2</v>
      </c>
      <c r="AV1919">
        <f>$E$21</f>
        <v>10.6875</v>
      </c>
      <c r="AW1919" cm="1">
        <f t="array" ref="AW1919">IFERROR(IF(AV1919=0,0,(INDEX($C$33:$C$38,MATCH($AZ$1835,$B$33:$B$38,0),0)*(AV1923+$BA$1835)+$AW$1835*COUNTIF(AV1919:AV1935,"&gt;0")*$C$32+$AY$1835*$C$31)*$AU$1835),0)</f>
        <v>0</v>
      </c>
      <c r="AX1919">
        <f>IF(AV1919=0,0,-(COUNTIF(AV1919:AV1935,"&gt;0")*$AW$1835*$C$32+$AY$1835*$C$31)*$H$27*$AU$1835)</f>
        <v>0</v>
      </c>
      <c r="AY1919">
        <f>IF(AV1919=0,0,$AY$1835*$H$26*$AU$1835)</f>
        <v>0</v>
      </c>
      <c r="AZ1919">
        <f>(0.6*AW1919+0.7*AX1919)*$AU$1835/2</f>
        <v>0</v>
      </c>
      <c r="BA1919">
        <f>(0.6*AW1919+0.6*AY1919)*$AU$1835/2</f>
        <v>0</v>
      </c>
      <c r="BC1919">
        <f>IF(AV1919=0,0,$BG$1835*$AP$1813)</f>
        <v>0</v>
      </c>
      <c r="BD1919">
        <f>IFERROR(BC1919/$AU$1835,0)</f>
        <v>0</v>
      </c>
      <c r="BE1919">
        <f>BC1919*($F$21+IF($F$21=0,0,($C$14+$C$15+IF($C$13="single",1.5,3)+3)/12))</f>
        <v>0</v>
      </c>
      <c r="BF1919">
        <f>BE1919-AZ1919</f>
        <v>0</v>
      </c>
      <c r="BG1919" cm="1">
        <f t="array" ref="BG1919">IFERROR(IF(BF1919&lt;0,0,BF1919/($AU$1835-INDEX(hd_off,MATCH(BT1919,hd_mark,0),0)/12)),0)</f>
        <v>0</v>
      </c>
      <c r="BH1919">
        <f>IF(AV1919=0,0,$BG$1835*$AM$1813)</f>
        <v>0</v>
      </c>
      <c r="BI1919">
        <f>IFERROR(BH1919/$AU$1835,0)</f>
        <v>0</v>
      </c>
      <c r="BJ1919">
        <f>BH1919*($F$21+IF($F$21=0,0,($C$14+$C$15+IF($C$13="single",1.5,3)+3)/12))</f>
        <v>0</v>
      </c>
      <c r="BK1919">
        <f>BJ1919-BA1919</f>
        <v>0</v>
      </c>
      <c r="BL1919" cm="1">
        <f t="array" ref="BL1919">IFERROR(IF(BK1919&lt;0,0,BK1919/($AU$1835-INDEX(hd_off,MATCH(BT1919,hd_mark,0),0)/12)),0)</f>
        <v>0</v>
      </c>
      <c r="BM1919">
        <f>MAX($F$21,$BB$1835)/$Q$1844</f>
        <v>0.30172413793103448</v>
      </c>
      <c r="BN1919">
        <f>IF(BM1919=0,0,IF(BM1919&gt;2,1.25-0.125*BM1919,1))</f>
        <v>1</v>
      </c>
      <c r="BO1919" cm="1">
        <f t="array" ref="BO1919">IFERROR(INDEX(sheath_ecap_asd,MATCH(BS1919,sheath_mark,0),0)*BN1919,0)</f>
        <v>0</v>
      </c>
      <c r="BP1919" cm="1">
        <f t="array" ref="BP1919">IFERROR(INDEX(sheath_wcap_asd,MATCH(BS1919,sheath_mark,0),0)*BN1919,0)</f>
        <v>0</v>
      </c>
      <c r="BQ1919" cm="1">
        <f t="array" ref="BQ1919">IFERROR(INDEX(hd_cap,MATCH(BT1919,hd_mark,0),0),0)</f>
        <v>0</v>
      </c>
      <c r="BS1919" s="19"/>
      <c r="BT1919" s="19"/>
      <c r="BU1919" s="100"/>
    </row>
    <row r="1920" x14ac:dyDescent="0.25">
      <c r="P1920" s="93"/>
      <c r="Q1920" s="109"/>
      <c r="R1920" t="str">
        <f>$Q$1814</f>
        <v>L3</v>
      </c>
      <c r="S1920">
        <f>$E$22</f>
        <v>21.375</v>
      </c>
      <c r="T1920" cm="1">
        <f t="array" ref="T1920">IFERROR(IF(S1920=0,0,(INDEX($C$33:$C$38,MATCH($W$1835,$B$33:$B$38,0),0)*(S1923+$X$1835)+$T$1835*COUNTIF(S1920:S1935,"&gt;0")*$C$32+$V$1835*$C$31)*$R$1835),0)</f>
        <v>0</v>
      </c>
      <c r="U1920">
        <f>IF(S1920=0,0,-(COUNTIF(S1920:S1935,"&gt;0")*$T$1835*$C$32+$V$1835*$C$31)*$H$27*$R$1835)</f>
        <v>0</v>
      </c>
      <c r="V1920">
        <f>IF(S1920=0,0,$V$1835*$H$26*$R$1835)</f>
        <v>0</v>
      </c>
      <c r="W1920">
        <f>(0.6*T1920+0.7*U1920)*$R$1835/2</f>
        <v>0</v>
      </c>
      <c r="X1920">
        <f>T1920*$R$1835/2</f>
        <v>0</v>
      </c>
      <c r="Z1920">
        <f>IF(S1920=0,0,$AD$1835*$AP$1814)</f>
        <v>0</v>
      </c>
      <c r="AA1920">
        <f>IFERROR(Z1920/$R$1835,0)</f>
        <v>0</v>
      </c>
      <c r="AB1920">
        <f>Z1920*($F$22+IF($F$22=0,0,($C$14+$C$15+IF($C$13="single",1.5,3)+3)/12))</f>
        <v>0</v>
      </c>
      <c r="AC1920">
        <f>AB1920-W1920</f>
        <v>0</v>
      </c>
      <c r="AD1920" cm="1">
        <f t="array" ref="AD1920">IFERROR(IF(AC1920&lt;0,0,AC1920/($R$1835-INDEX(hd_off,MATCH(AQ1920,hd_mark,0),0)/12)),0)</f>
        <v>0</v>
      </c>
      <c r="AE1920">
        <f>IF(S1920=0,0,$AD$1835*$AM$1814)</f>
        <v>0</v>
      </c>
      <c r="AF1920">
        <f>IFERROR(AE1920/$R$1835,0)</f>
        <v>0</v>
      </c>
      <c r="AG1920">
        <f>AE1920*($F$22+IF($F$22=0,0,($C$14+$C$15+IF($C$13="single",1.5,3)+3)/12))</f>
        <v>0</v>
      </c>
      <c r="AH1920">
        <f>AG1920-X1920</f>
        <v>0</v>
      </c>
      <c r="AI1920" cm="1">
        <f t="array" ref="AI1920">IFERROR(IF(AH1920&lt;0,0,AH1920/($R$1835-INDEX(hd_off,MATCH(AQ1920,hd_mark,0),0)/12)),0)</f>
        <v>0</v>
      </c>
      <c r="AJ1920">
        <f>MAX($F$22,$Z$1835)/$Q$1844</f>
        <v>0.30172413793103448</v>
      </c>
      <c r="AK1920">
        <f t="shared" ref="AK1920:AK1923" si="1178">IF(AJ1920=0,0,IF(AJ1920&gt;2,1.25-0.125*AJ1920,1))</f>
        <v>1</v>
      </c>
      <c r="AL1920" cm="1">
        <f t="array" ref="AL1920">IFERROR(INDEX(sheath_ecap_asd,MATCH(AP1920,sheath_mark,0),0)*AK1920,0)</f>
        <v>0</v>
      </c>
      <c r="AM1920" cm="1">
        <f t="array" ref="AM1920">IFERROR(INDEX(sheath_wcap_asd,MATCH(AP1920,sheath_mark,0),0)*AK1920,0)</f>
        <v>0</v>
      </c>
      <c r="AN1920" cm="1">
        <f t="array" ref="AN1920">IFERROR(INDEX(hd_cap,MATCH(AQ1920,hd_mark,0),0),0)</f>
        <v>0</v>
      </c>
      <c r="AP1920" s="19"/>
      <c r="AQ1920" s="19"/>
      <c r="AR1920" s="100"/>
      <c r="AS1920" s="93"/>
      <c r="AT1920" s="109"/>
      <c r="AU1920" t="str">
        <f>$Q$1814</f>
        <v>L3</v>
      </c>
      <c r="AV1920">
        <f>$E$22</f>
        <v>21.375</v>
      </c>
      <c r="AW1920" cm="1">
        <f t="array" ref="AW1920">IFERROR(IF(AV1920=0,0,(INDEX($C$33:$C$38,MATCH($AZ$1835,$B$33:$B$38,0),0)*(AV1923+$BA$1835)+$AW$1835*COUNTIF(AV1920:AV1935,"&gt;0")*$C$32+$AY$1835*$C$31)*$AU$1835),0)</f>
        <v>0</v>
      </c>
      <c r="AX1920">
        <f>IF(AV1920=0,0,-(COUNTIF(AV1920:AV1935,"&gt;0")*$AW$1835*$C$32+$AY$1835*$C$31)*$H$27*$AU$1835)</f>
        <v>0</v>
      </c>
      <c r="AY1920">
        <f>IF(AV1920=0,0,$AY$1835*$H$26*$AU$1835)</f>
        <v>0</v>
      </c>
      <c r="AZ1920">
        <f>(0.6*AW1920+0.7*AX1920)*$AU$1835/2</f>
        <v>0</v>
      </c>
      <c r="BA1920">
        <f>AW1920*$AU$1835/2</f>
        <v>0</v>
      </c>
      <c r="BC1920">
        <f>IF(AV1920=0,0,$BG$1835*$AP$1814)</f>
        <v>0</v>
      </c>
      <c r="BD1920">
        <f>IFERROR(BC1920/$AU$1835,0)</f>
        <v>0</v>
      </c>
      <c r="BE1920">
        <f>BC1920*($F$22+IF($F$22=0,0,($C$14+$C$15+IF($C$13="single",1.5,3)+3)/12))</f>
        <v>0</v>
      </c>
      <c r="BF1920">
        <f>BE1920-AZ1920</f>
        <v>0</v>
      </c>
      <c r="BG1920" cm="1">
        <f t="array" ref="BG1920">IFERROR(IF(BF1920&lt;0,0,BF1920/($AU$1835-INDEX(hd_off,MATCH(BT1920,hd_mark,0),0)/12)),0)</f>
        <v>0</v>
      </c>
      <c r="BH1920">
        <f>IF(AV1920=0,0,$BG$1835*$AM$1814)</f>
        <v>0</v>
      </c>
      <c r="BI1920">
        <f>IFERROR(BH1920/$AU$1835,0)</f>
        <v>0</v>
      </c>
      <c r="BJ1920">
        <f>BH1920*($F$22+IF($F$22=0,0,($C$14+$C$15+IF($C$13="single",1.5,3)+3)/12))</f>
        <v>0</v>
      </c>
      <c r="BK1920">
        <f>BJ1920-BA1920</f>
        <v>0</v>
      </c>
      <c r="BL1920" cm="1">
        <f t="array" ref="BL1920">IFERROR(IF(BK1920&lt;0,0,BK1920/($AU$1835-INDEX(hd_off,MATCH(BT1920,hd_mark,0),0)/12)),0)</f>
        <v>0</v>
      </c>
      <c r="BM1920">
        <f>MAX($F$22,$BC$1835)/$Q$1844</f>
        <v>0.30172413793103448</v>
      </c>
      <c r="BN1920">
        <f t="shared" ref="BN1920:BN1921" si="1179">IF(BM1920=0,0,IF(BM1920&gt;2,1.25-0.125*BM1920,1))</f>
        <v>1</v>
      </c>
      <c r="BO1920" cm="1">
        <f t="array" ref="BO1920">IFERROR(INDEX(sheath_ecap_asd,MATCH(BS1920,sheath_mark,0),0)*BN1920,0)</f>
        <v>0</v>
      </c>
      <c r="BP1920" cm="1">
        <f t="array" ref="BP1920">IFERROR(INDEX(sheath_wcap_asd,MATCH(BS1920,sheath_mark,0),0)*BN1920,0)</f>
        <v>0</v>
      </c>
      <c r="BQ1920" cm="1">
        <f t="array" ref="BQ1920">IFERROR(INDEX(hd_cap,MATCH(BT1920,hd_mark,0),0),0)</f>
        <v>0</v>
      </c>
      <c r="BS1920" s="19"/>
      <c r="BT1920" s="19"/>
      <c r="BU1920" s="100"/>
    </row>
    <row r="1921" x14ac:dyDescent="0.25">
      <c r="P1921" s="93"/>
      <c r="Q1921" s="109" t="s">
        <v>491</v>
      </c>
      <c r="R1921" t="str">
        <f>$Q$1815</f>
        <v>L4</v>
      </c>
      <c r="S1921">
        <f>$E$23</f>
        <v>0</v>
      </c>
      <c r="T1921" cm="1">
        <f t="array" ref="T1921">IFERROR(IF(S1921=0,0,(INDEX($C$33:$C$38,MATCH($W$1835,$B$33:$B$38,0),0)*(S1923+$X$1835)+$T$1835*COUNTIF(S1921:S1935,"&gt;0")*$C$32+$V$1835*$C$31)*$R$1835),0)</f>
        <v>0</v>
      </c>
      <c r="U1921">
        <f>IF(S1921=0,0,-(COUNTIF(S1921:S1935,"&gt;0")*$T$1835*$C$32+$V$1835*$C$31)*$H$27*$R$1835)</f>
        <v>0</v>
      </c>
      <c r="V1921">
        <f>IF(S1921=0,0,$V$1835*$H$26*$R$1835)</f>
        <v>0</v>
      </c>
      <c r="W1921">
        <f>(0.6*T1921+0.7*U1921)*$R$1835/2</f>
        <v>0</v>
      </c>
      <c r="X1921">
        <f>T1921*$R$1835/2</f>
        <v>0</v>
      </c>
      <c r="Z1921">
        <f>IF(S1921=0,0,$AD$1835*$AP$1815)</f>
        <v>0</v>
      </c>
      <c r="AA1921">
        <f>IFERROR(Z1921/$R$1835,0)</f>
        <v>0</v>
      </c>
      <c r="AB1921">
        <f>Z1921*($F$23+IF($F$23=0,0,($C$14+$C$15+IF($C$13="single",1.5,3)+3)/12))</f>
        <v>0</v>
      </c>
      <c r="AC1921">
        <f>AB1921-W1921</f>
        <v>0</v>
      </c>
      <c r="AD1921" cm="1">
        <f t="array" ref="AD1921">IFERROR(IF(AC1921&lt;0,0,AC1921/($R$1835-INDEX(hd_off,MATCH(AQ1921,hd_mark,0),0)/12)),0)</f>
        <v>0</v>
      </c>
      <c r="AE1921">
        <f>IF(S1921=0,0,$AD$1835*$AM$1815)</f>
        <v>0</v>
      </c>
      <c r="AF1921">
        <f>IFERROR(AE1921/$R$1835,0)</f>
        <v>0</v>
      </c>
      <c r="AG1921">
        <f>AE1921*($F$23+IF($F$23=0,0,($C$14+$C$15+IF($C$13="single",1.5,3)+3)/12))</f>
        <v>0</v>
      </c>
      <c r="AH1921">
        <f>AG1921-X1921</f>
        <v>0</v>
      </c>
      <c r="AI1921" cm="1">
        <f t="array" ref="AI1921">IFERROR(IF(AH1921&lt;0,0,AH1921/($R$1835-INDEX(hd_off,MATCH(AQ1921,hd_mark,0),0)/12)),0)</f>
        <v>0</v>
      </c>
      <c r="AJ1921">
        <f>MAX($F$23,$AA$1835)/$Q$1844</f>
        <v>0</v>
      </c>
      <c r="AK1921">
        <f t="shared" si="1178"/>
        <v>0</v>
      </c>
      <c r="AL1921" cm="1">
        <f t="array" ref="AL1921">IFERROR(INDEX(sheath_ecap_asd,MATCH(AP1921,sheath_mark,0),0)*AK1921,0)</f>
        <v>0</v>
      </c>
      <c r="AM1921" cm="1">
        <f t="array" ref="AM1921">IFERROR(INDEX(sheath_wcap_asd,MATCH(AP1921,sheath_mark,0),0)*AK1921,0)</f>
        <v>0</v>
      </c>
      <c r="AN1921" cm="1">
        <f t="array" ref="AN1921">IFERROR(INDEX(hd_cap,MATCH(AQ1921,hd_mark,0),0),0)</f>
        <v>0</v>
      </c>
      <c r="AP1921" s="19"/>
      <c r="AQ1921" s="19"/>
      <c r="AR1921" s="100"/>
      <c r="AS1921" s="93"/>
      <c r="AT1921" s="109" t="s">
        <v>491</v>
      </c>
      <c r="AU1921" t="str">
        <f>$Q$1815</f>
        <v>L4</v>
      </c>
      <c r="AV1921">
        <f>$E$23</f>
        <v>0</v>
      </c>
      <c r="AW1921" cm="1">
        <f t="array" ref="AW1921">IFERROR(IF(AV1921=0,0,(INDEX($C$33:$C$38,MATCH($AZ$1835,$B$33:$B$38,0),0)*(AV1923+$BA$1835)+$AW$1835*COUNTIF(AV1921:AV1935,"&gt;0")*$C$32+$AY$1835*$C$31)*$AU$1835),0)</f>
        <v>0</v>
      </c>
      <c r="AX1921">
        <f>IF(AV1921=0,0,-(COUNTIF(AV1921:AV1935,"&gt;0")*$AW$1835*$C$32+$AY$1835*$C$31)*$H$27*$AU$1835)</f>
        <v>0</v>
      </c>
      <c r="AY1921">
        <f>IF(AV1921=0,0,$AY$1835*$H$26*$AU$1835)</f>
        <v>0</v>
      </c>
      <c r="AZ1921">
        <f>(0.6*AW1921+0.7*AX1921)*$AU$1835/2</f>
        <v>0</v>
      </c>
      <c r="BA1921">
        <f>AW1921*$AU$1835/2</f>
        <v>0</v>
      </c>
      <c r="BC1921">
        <f>IF(AV1921=0,0,$BG$1835*$AP$1815)</f>
        <v>0</v>
      </c>
      <c r="BD1921">
        <f>IFERROR(BC1921/$AU$1835,0)</f>
        <v>0</v>
      </c>
      <c r="BE1921">
        <f>BC1921*($F$23+IF($F$23=0,0,($C$14+$C$15+IF($C$13="single",1.5,3)+3)/12))</f>
        <v>0</v>
      </c>
      <c r="BF1921">
        <f>BE1921-AZ1921</f>
        <v>0</v>
      </c>
      <c r="BG1921" cm="1">
        <f t="array" ref="BG1921">IFERROR(IF(BF1921&lt;0,0,BF1921/($AU$1835-INDEX(hd_off,MATCH(BT1921,hd_mark,0),0)/12)),0)</f>
        <v>0</v>
      </c>
      <c r="BH1921">
        <f>IF(AV1921=0,0,$BG$1835*$AM$1815)</f>
        <v>0</v>
      </c>
      <c r="BI1921">
        <f>IFERROR(BH1921/$AU$1835,0)</f>
        <v>0</v>
      </c>
      <c r="BJ1921">
        <f>BH1921*($F$23+IF($F$23=0,0,($C$14+$C$15+IF($C$13="single",1.5,3)+3)/12))</f>
        <v>0</v>
      </c>
      <c r="BK1921">
        <f>BJ1921-BA1921</f>
        <v>0</v>
      </c>
      <c r="BL1921" cm="1">
        <f t="array" ref="BL1921">IFERROR(IF(BK1921&lt;0,0,BK1921/($AU$1835-INDEX(hd_off,MATCH(BT1921,hd_mark,0),0)/12)),0)</f>
        <v>0</v>
      </c>
      <c r="BM1921">
        <f>MAX($F$23,$BD$1835)/$Q$1844</f>
        <v>0</v>
      </c>
      <c r="BN1921">
        <f t="shared" si="1179"/>
        <v>0</v>
      </c>
      <c r="BO1921" cm="1">
        <f t="array" ref="BO1921">IFERROR(INDEX(sheath_ecap_asd,MATCH(BS1921,sheath_mark,0),0)*BN1921,0)</f>
        <v>0</v>
      </c>
      <c r="BP1921" cm="1">
        <f t="array" ref="BP1921">IFERROR(INDEX(sheath_wcap_asd,MATCH(BS1921,sheath_mark,0),0)*BN1921,0)</f>
        <v>0</v>
      </c>
      <c r="BQ1921" cm="1">
        <f t="array" ref="BQ1921">IFERROR(INDEX(hd_cap,MATCH(BT1921,hd_mark,0),0),0)</f>
        <v>0</v>
      </c>
      <c r="BS1921" s="19"/>
      <c r="BT1921" s="19"/>
      <c r="BU1921" s="100"/>
    </row>
    <row r="1922" x14ac:dyDescent="0.25">
      <c r="P1922" s="93"/>
      <c r="Q1922" s="111">
        <f>$R$1835</f>
        <v>0</v>
      </c>
      <c r="R1922" t="str">
        <f>$Q$1816</f>
        <v>L5</v>
      </c>
      <c r="S1922">
        <f>$E$24</f>
        <v>0</v>
      </c>
      <c r="T1922" cm="1">
        <f t="array" ref="T1922">IFERROR(IF(S1935=0,0,(INDEX($C$33:$C$38,MATCH($W$1835,$B$33:$B$38,0),0)*(S1923+$X$1835)+$T$1835*COUNTIF(S1935:S1935,"&gt;0")*$C$32+$V$1835*$C$31)*$R$1835),0)</f>
        <v>0</v>
      </c>
      <c r="U1922">
        <f>IF(S1935=0,0,-(COUNTIF(S1935:S1935,"&gt;0")*$T$1835*$C$32+$V$1835*$C$31)*$H$27*$R$1835)</f>
        <v>0</v>
      </c>
      <c r="V1922">
        <f>IF(S1935=0,0,$V$1835*$H$26*$R$1835)</f>
        <v>0</v>
      </c>
      <c r="W1922">
        <f>(0.6*T1935+0.7*U1935)*$R$1835/2</f>
        <v>0</v>
      </c>
      <c r="X1922">
        <f>T1935*$R$1835/2</f>
        <v>0</v>
      </c>
      <c r="Z1922">
        <f>IF(S1935=0,0,$AD$1835*$AP$1816)</f>
        <v>0</v>
      </c>
      <c r="AA1922">
        <f>IFERROR(Z1935/$R$1835,0)</f>
        <v>0</v>
      </c>
      <c r="AB1922">
        <f>Z1935*($F$24+IF($F$24=0,0,($C$14+$C$15+IF($C$13="single",1.5,3)+3)/12))</f>
        <v>0</v>
      </c>
      <c r="AC1922">
        <f>AB1935-W1935</f>
        <v>0</v>
      </c>
      <c r="AD1922" cm="1">
        <f t="array" ref="AD1922">IFERROR(IF(AC1935&lt;0,0,AC1935/($R$1835-INDEX(hd_off,MATCH(AQ1935,hd_mark,0),0)/12)),0)</f>
        <v>0</v>
      </c>
      <c r="AE1922">
        <f>IF(S1935=0,0,$AD$1835*$AM$1816)</f>
        <v>0</v>
      </c>
      <c r="AF1922">
        <f>IFERROR(AE1935/$R$1835,0)</f>
        <v>0</v>
      </c>
      <c r="AG1922">
        <f>AE1935*($F$24+IF($F$24=0,0,($C$14+$C$15+IF($C$13="single",1.5,3)+3)/12))</f>
        <v>0</v>
      </c>
      <c r="AH1922">
        <f>AG1935-X1935</f>
        <v>0</v>
      </c>
      <c r="AI1922" cm="1">
        <f t="array" ref="AI1922">IFERROR(IF(AH1935&lt;0,0,AH1935/($R$1835-INDEX(hd_off,MATCH(AQ1935,hd_mark,0),0)/12)),0)</f>
        <v>0</v>
      </c>
      <c r="AJ1922">
        <f>MAX($F$24,$AB$1835)/$Q$1844</f>
        <v>0</v>
      </c>
      <c r="AK1922">
        <f>IF(AJ1935=0,0,IF(AJ1935&gt;2,1.25-0.125*AJ1935,1))</f>
        <v>1</v>
      </c>
      <c r="AL1922" cm="1">
        <f t="array" ref="AL1922">IFERROR(INDEX(sheath_ecap_asd,MATCH(AP1935,sheath_mark,0),0)*AK1935,0)</f>
        <v>0</v>
      </c>
      <c r="AM1922" cm="1">
        <f t="array" ref="AM1922">IFERROR(INDEX(sheath_wcap_asd,MATCH(AP1935,sheath_mark,0),0)*AK1935,0)</f>
        <v>0</v>
      </c>
      <c r="AN1922" cm="1">
        <f t="array" ref="AN1922">IFERROR(INDEX(hd_cap,MATCH(AQ1935,hd_mark,0),0),0)</f>
        <v>0</v>
      </c>
      <c r="AP1922" s="19"/>
      <c r="AQ1922" s="19"/>
      <c r="AR1922" s="100"/>
      <c r="AS1922" s="93"/>
      <c r="AT1922" s="111">
        <f>$R$1835</f>
        <v>0</v>
      </c>
      <c r="AU1922" t="str">
        <f>$Q$1816</f>
        <v>L5</v>
      </c>
      <c r="AV1922">
        <f>$E$24</f>
        <v>0</v>
      </c>
      <c r="AW1922" cm="1">
        <f t="array" ref="AW1922">IFERROR(IF(AV1935=0,0,(INDEX($C$33:$C$38,MATCH($AZ$1835,$B$33:$B$38,0),0)*(AV1923+$BA$1835)+$AW$1835*COUNTIF(AV1935:AV1935,"&gt;0")*$C$32+$AY$1835*$C$31)*$AU$1835),0)</f>
        <v>0</v>
      </c>
      <c r="AX1922">
        <f>IF(AV1935=0,0,-(COUNTIF(AV1935:AV1935,"&gt;0")*$AW$1835*$C$32+$AY$1835*$C$31)*$H$27*$AU$1835)</f>
        <v>0</v>
      </c>
      <c r="AY1922">
        <f>IF(AV1935=0,0,$AY$1835*$H$26*$AU$1835)</f>
        <v>0</v>
      </c>
      <c r="AZ1922">
        <f>(0.6*AW1935+0.7*AX1935)*$AU$1835/2</f>
        <v>0</v>
      </c>
      <c r="BA1922">
        <f>AW1935*$AU$1835/2</f>
        <v>0</v>
      </c>
      <c r="BC1922">
        <f>IF(AV1935=0,0,$BG$1835*$AP$1816)</f>
        <v>0</v>
      </c>
      <c r="BD1922">
        <f>IFERROR(BC1935/$AU$1835,0)</f>
        <v>0</v>
      </c>
      <c r="BE1922">
        <f>BC1935*($F$24+IF($F$24=0,0,($C$14+$C$15+IF($C$13="single",1.5,3)+3)/12))</f>
        <v>0</v>
      </c>
      <c r="BF1922">
        <f>BE1935-AZ1935</f>
        <v>0</v>
      </c>
      <c r="BG1922" cm="1">
        <f t="array" ref="BG1922">IFERROR(IF(BF1935&lt;0,0,BF1935/($AU$1835-INDEX(hd_off,MATCH(BT1935,hd_mark,0),0)/12)),0)</f>
        <v>0</v>
      </c>
      <c r="BH1922">
        <f>IF(AV1935=0,0,$BG$1835*$AM$1816)</f>
        <v>0</v>
      </c>
      <c r="BI1922">
        <f>IFERROR(BH1935/$AU$1835,0)</f>
        <v>0</v>
      </c>
      <c r="BJ1922">
        <f>BH1935*($F$24+IF($F$24=0,0,($C$14+$C$15+IF($C$13="single",1.5,3)+3)/12))</f>
        <v>0</v>
      </c>
      <c r="BK1922">
        <f>BJ1935-BA1935</f>
        <v>0</v>
      </c>
      <c r="BL1922" cm="1">
        <f t="array" ref="BL1922">IFERROR(IF(BK1935&lt;0,0,BK1935/($AU$1835-INDEX(hd_off,MATCH(BT1935,hd_mark,0),0)/12)),0)</f>
        <v>0</v>
      </c>
      <c r="BM1922">
        <f>MAX($F$24,$BE$1835)/$Q$1844</f>
        <v>0</v>
      </c>
      <c r="BN1922">
        <f>IF(BM1935=0,0,IF(BM1935&gt;2,1.25-0.125*BM1935,1))</f>
        <v>0</v>
      </c>
      <c r="BO1922" cm="1">
        <f t="array" ref="BO1922">IFERROR(INDEX(sheath_ecap_asd,MATCH(BS1935,sheath_mark,0),0)*BN1935,0)</f>
        <v>0</v>
      </c>
      <c r="BP1922" cm="1">
        <f t="array" ref="BP1922">IFERROR(INDEX(sheath_wcap_asd,MATCH(BS1935,sheath_mark,0),0)*BN1935,0)</f>
        <v>0</v>
      </c>
      <c r="BQ1922" cm="1">
        <f t="array" ref="BQ1922">IFERROR(INDEX(hd_cap,MATCH(BT1935,hd_mark,0),0),0)</f>
        <v>0</v>
      </c>
      <c r="BS1922" s="19"/>
      <c r="BT1922" s="19"/>
      <c r="BU1922" s="100"/>
    </row>
    <row r="1923" x14ac:dyDescent="0.25">
      <c r="P1923" s="93"/>
      <c r="Q1923" s="109"/>
      <c r="R1923" t="str">
        <f>$Q$1817</f>
        <v>Roof</v>
      </c>
      <c r="S1923">
        <f>$E$25</f>
        <v>33.171875</v>
      </c>
      <c r="T1923" cm="1">
        <f t="array" ref="T1923">IFERROR(IF(S1923=0,0,(INDEX($C$33:$C$38,MATCH($W$1835,$B$33:$B$38,0),0)*(S1923+$X$1835)+$V$1835*$C$31)*$R$1835),0)</f>
        <v>0</v>
      </c>
      <c r="U1923">
        <f>IF(S1923=0,0,-$V$1835*$C$31*$H$27*$R$1835)</f>
        <v>0</v>
      </c>
      <c r="V1923">
        <f>IF(S1923=0,0,$V$1835*$H$26*$R$1835)</f>
        <v>0</v>
      </c>
      <c r="W1923">
        <f>(0.6*T1923+0.7*U1923)*$R$1835/2</f>
        <v>0</v>
      </c>
      <c r="X1923">
        <f>T1923*$R$1835/2</f>
        <v>0</v>
      </c>
      <c r="Z1923">
        <f>IF(S1923=0,0,$AD$1835*$AP$1817)</f>
        <v>0</v>
      </c>
      <c r="AA1923">
        <f>IFERROR(Z1923/$R$1835,0)</f>
        <v>0</v>
      </c>
      <c r="AB1923">
        <f>Z1923*($F$25+($C$16+$C$17+IF($C$13="single",1.5,3)+3)/12)</f>
        <v>0</v>
      </c>
      <c r="AC1923">
        <f>AB1923-W1923</f>
        <v>0</v>
      </c>
      <c r="AD1923" cm="1">
        <f t="array" ref="AD1923">IFERROR(IF(AC1923&lt;0,0,AC1923/($R$1835-INDEX(hd_off,MATCH(AQ1923,hd_mark,0),0)/12)),0)</f>
        <v>0</v>
      </c>
      <c r="AE1923">
        <f>IF(S1923=0,0,$AD$1835*$AM$1817)</f>
        <v>0</v>
      </c>
      <c r="AF1923">
        <f>IFERROR(AE1923/$R$1835,0)</f>
        <v>0</v>
      </c>
      <c r="AG1923">
        <f>AE1923*($F$25+($C$16+$C$17+IF($C$13="single",1.5,3)+3)/12)</f>
        <v>0</v>
      </c>
      <c r="AH1923">
        <f>AG1923-X1923</f>
        <v>0</v>
      </c>
      <c r="AI1923" cm="1">
        <f t="array" ref="AI1923">IFERROR(IF(AH1923&lt;0,0,AH1923/($R$1835-INDEX(hd_off,MATCH(AQ1923,hd_mark,0),0)/12)),0)</f>
        <v>0</v>
      </c>
      <c r="AJ1923">
        <f>MAX($F$25,$AC$1835)/$Q$1844</f>
        <v>0.29920977011494249</v>
      </c>
      <c r="AK1923">
        <f t="shared" si="1178"/>
        <v>1</v>
      </c>
      <c r="AL1923" cm="1">
        <f t="array" ref="AL1923">IFERROR(INDEX(sheath_ecap_asd,MATCH(AP1923,sheath_mark,0),0)*AK1923,0)</f>
        <v>0</v>
      </c>
      <c r="AM1923" cm="1">
        <f t="array" ref="AM1923">IFERROR(INDEX(sheath_wcap_asd,MATCH(AP1923,sheath_mark,0),0)*AK1923,0)</f>
        <v>0</v>
      </c>
      <c r="AN1923" cm="1">
        <f t="array" ref="AN1923">IFERROR(INDEX(hd_cap,MATCH(AQ1923,hd_mark,0),0),0)</f>
        <v>0</v>
      </c>
      <c r="AP1923" s="19"/>
      <c r="AQ1923" s="19"/>
      <c r="AR1923" s="100"/>
      <c r="AS1923" s="93"/>
      <c r="AT1923" s="109"/>
      <c r="AU1923" t="str">
        <f>$Q$1817</f>
        <v>Roof</v>
      </c>
      <c r="AV1923">
        <f>$E$25</f>
        <v>33.171875</v>
      </c>
      <c r="AW1923" cm="1">
        <f t="array" ref="AW1923">IFERROR(IF(AV1923=0,0,(INDEX($C$33:$C$38,MATCH($AZ$1835,$B$33:$B$38,0),0)*(AV1923+$BA$1835)+$AY$1835*$C$31)*$AU$1835),0)</f>
        <v>0</v>
      </c>
      <c r="AX1923">
        <f>IF(AV1923=0,0,-$AY$1835*$C$31*$H$27*$AU$1835)</f>
        <v>0</v>
      </c>
      <c r="AY1923">
        <f>IF(AV1923=0,0,$AY$1835*$H$26*$AU$1835)</f>
        <v>0</v>
      </c>
      <c r="AZ1923">
        <f>(0.6*AW1923+0.7*AX1923)*$AU$1835/2</f>
        <v>0</v>
      </c>
      <c r="BA1923">
        <f>AW1923*$AU$1835/2</f>
        <v>0</v>
      </c>
      <c r="BC1923">
        <f>IF(AV1923=0,0,$BG$1835*$AP$1817)</f>
        <v>0</v>
      </c>
      <c r="BD1923">
        <f>IFERROR(BC1923/$AU$1835,0)</f>
        <v>0</v>
      </c>
      <c r="BE1923">
        <f>BC1923*($F$25+($C$16+$C$17+IF($C$13="single",1.5,3)+3)/12)</f>
        <v>0</v>
      </c>
      <c r="BF1923">
        <f>BE1923-AZ1923</f>
        <v>0</v>
      </c>
      <c r="BG1923" cm="1">
        <f t="array" ref="BG1923">IFERROR(IF(BF1923&lt;0,0,BF1923/($AU$1835-INDEX(hd_off,MATCH(BT1923,hd_mark,0),0)/12)),0)</f>
        <v>0</v>
      </c>
      <c r="BH1923">
        <f>IF(AV1923=0,0,$BG$1835*$AM$1817)</f>
        <v>0</v>
      </c>
      <c r="BI1923">
        <f>IFERROR(BH1923/$AU$1835,0)</f>
        <v>0</v>
      </c>
      <c r="BJ1923">
        <f>BH1923*($F$25+($C$16+$C$17+IF($C$13="single",1.5,3)+3)/12)</f>
        <v>0</v>
      </c>
      <c r="BK1923">
        <f>BJ1923-BA1923</f>
        <v>0</v>
      </c>
      <c r="BL1923" cm="1">
        <f t="array" ref="BL1923">IFERROR(IF(BK1923&lt;0,0,BK1923/($AU$1835-INDEX(hd_off,MATCH(BT1923,hd_mark,0),0)/12)),0)</f>
        <v>0</v>
      </c>
      <c r="BM1923">
        <f>MAX($F$25,$BF$1835)/$Q$1844</f>
        <v>0.29920977011494249</v>
      </c>
      <c r="BN1923">
        <f t="shared" ref="BN1923" si="1180">IF(BM1923=0,0,IF(BM1923&gt;2,1.25-0.125*BM1923,1))</f>
        <v>1</v>
      </c>
      <c r="BO1923" cm="1">
        <f t="array" ref="BO1923">IFERROR(INDEX(sheath_ecap_asd,MATCH(BS1923,sheath_mark,0),0)*BN1923,0)</f>
        <v>0</v>
      </c>
      <c r="BP1923" cm="1">
        <f t="array" ref="BP1923">IFERROR(INDEX(sheath_wcap_asd,MATCH(BS1923,sheath_mark,0),0)*BN1923,0)</f>
        <v>0</v>
      </c>
      <c r="BQ1923" cm="1">
        <f t="array" ref="BQ1923">IFERROR(INDEX(hd_cap,MATCH(BT1923,hd_mark,0),0),0)</f>
        <v>0</v>
      </c>
      <c r="BS1923" s="19"/>
      <c r="BT1923" s="19"/>
      <c r="BU1923" s="100"/>
    </row>
    <row r="1924" x14ac:dyDescent="0.25">
      <c r="P1924" s="93"/>
      <c r="AR1924" s="100"/>
      <c r="AS1924" s="93"/>
      <c r="BU1924" s="100"/>
    </row>
    <row r="1925" x14ac:dyDescent="0.25">
      <c r="P1925" s="93"/>
      <c r="Q1925" s="110" t="str">
        <f>$Q$1836</f>
        <v>A.15</v>
      </c>
      <c r="R1925" t="str">
        <f>$Q$1813</f>
        <v>L2</v>
      </c>
      <c r="S1925">
        <f>$E$21</f>
        <v>10.6875</v>
      </c>
      <c r="T1925" cm="1">
        <f t="array" ref="T1925">IFERROR(IF(S1925=0,0,(INDEX($C$33:$C$38,MATCH($W$1836,$B$33:$B$38,0),0)*(S1929+$X$1836)+$T$1836*COUNTIF(S1925:S1928,"&gt;0")*$C$32+$V$1836*$C$31)*$R$1836),0)</f>
        <v>0</v>
      </c>
      <c r="U1925">
        <f>IF(S1925=0,0,-(COUNTIF(S1925:S1928,"&gt;0")*$T$1836*$C$32+$V$1836*$C$31)*$H$27*$R$1836)</f>
        <v>0</v>
      </c>
      <c r="V1925">
        <f>IF(S1925=0,0,$V$1836*$H$26*$R$1836)</f>
        <v>0</v>
      </c>
      <c r="W1925">
        <f>(0.6*T1925+0.7*U1925)*$R$1836/2</f>
        <v>0</v>
      </c>
      <c r="X1925">
        <f>(0.6*T1925+0.6*V1925)*$R$1836/2</f>
        <v>0</v>
      </c>
      <c r="Z1925">
        <f>IF(S1925=0,0,$AD$1836*$AP$1813)</f>
        <v>0</v>
      </c>
      <c r="AA1925">
        <f>IFERROR(Z1925/$R$1836,0)</f>
        <v>0</v>
      </c>
      <c r="AB1925">
        <f>Z1925*($F$21+IF($F$21=0,0,($C$14+$C$15+IF($C$13="single",1.5,3)+3)/12))</f>
        <v>0</v>
      </c>
      <c r="AC1925">
        <f>AB1925-W1925</f>
        <v>0</v>
      </c>
      <c r="AD1925" cm="1">
        <f t="array" ref="AD1925">IFERROR(IF(AC1925&lt;0,0,AC1925/($R$1836-INDEX(hd_off,MATCH(AQ1925,hd_mark,0),0)/12)),0)</f>
        <v>0</v>
      </c>
      <c r="AE1925">
        <f>IF(S1925=0,0,$AD$1836*$AM$1813)</f>
        <v>0</v>
      </c>
      <c r="AF1925">
        <f>IFERROR(AE1925/$R$1836,0)</f>
        <v>0</v>
      </c>
      <c r="AG1925">
        <f>AE1925*($F$21+IF($F$21=0,0,($C$14+$C$15+IF($C$13="single",1.5,3)+3)/12))</f>
        <v>0</v>
      </c>
      <c r="AH1925">
        <f>AG1925-X1925</f>
        <v>0</v>
      </c>
      <c r="AI1925" cm="1">
        <f t="array" ref="AI1925">IFERROR(IF(AH1925&lt;0,0,AH1925/($R$1836-INDEX(hd_off,MATCH(AQ1925,hd_mark,0),0)/12)),0)</f>
        <v>0</v>
      </c>
      <c r="AJ1925">
        <f>MAX($F$21,$Y$1836)/$Q$1844</f>
        <v>0.30172413793103448</v>
      </c>
      <c r="AK1925">
        <f>IF(AJ1925=0,0,IF(AJ1925&gt;2,1.25-0.125*AJ1925,1))</f>
        <v>1</v>
      </c>
      <c r="AL1925" cm="1">
        <f t="array" ref="AL1925">IFERROR(INDEX(sheath_ecap_asd,MATCH(AP1925,sheath_mark,0),0)*AK1925,0)</f>
        <v>0</v>
      </c>
      <c r="AM1925" cm="1">
        <f t="array" ref="AM1925">IFERROR(INDEX(sheath_wcap_asd,MATCH(AP1925,sheath_mark,0),0)*AK1925,0)</f>
        <v>0</v>
      </c>
      <c r="AN1925" cm="1">
        <f t="array" ref="AN1925">IFERROR(INDEX(hd_cap,MATCH(AQ1925,hd_mark,0),0),0)</f>
        <v>0</v>
      </c>
      <c r="AP1925" s="19"/>
      <c r="AQ1925" s="19"/>
      <c r="AR1925" s="100"/>
      <c r="AS1925" s="93"/>
      <c r="AT1925" s="110" t="str">
        <f>$AT$1836</f>
        <v>1.15</v>
      </c>
      <c r="AU1925" t="str">
        <f>$Q$1813</f>
        <v>L2</v>
      </c>
      <c r="AV1925">
        <f>$E$21</f>
        <v>10.6875</v>
      </c>
      <c r="AW1925" cm="1">
        <f t="array" ref="AW1925">IFERROR(IF(AV1925=0,0,(INDEX($C$33:$C$38,MATCH($AZ$1836,$B$33:$B$38,0),0)*(AV1929+$BA$1836)+$AW$1836*COUNTIF(AV1925:AV1928,"&gt;0")*$C$32+$AY$1836*$C$31)*$AU$1836),0)</f>
        <v>0</v>
      </c>
      <c r="AX1925">
        <f>IF(AV1925=0,0,-(COUNTIF(AV1925:AV1928,"&gt;0")*$AW$1836*$C$32+$AY$1836*$C$31)*$H$27*$AU$1836)</f>
        <v>0</v>
      </c>
      <c r="AY1925">
        <f>IF(AV1925=0,0,$AY$1836*$H$26*$AU$1836)</f>
        <v>0</v>
      </c>
      <c r="AZ1925">
        <f>(0.6*AW1925+0.7*AX1925)*$AU$1836/2</f>
        <v>0</v>
      </c>
      <c r="BA1925">
        <f>(0.6*AW1925+0.6*AY1925)*$AU$1836/2</f>
        <v>0</v>
      </c>
      <c r="BC1925">
        <f>IF(AV1925=0,0,$BG$1836*$AP$1813)</f>
        <v>0</v>
      </c>
      <c r="BD1925">
        <f>IFERROR(BC1925/$AU$1836,0)</f>
        <v>0</v>
      </c>
      <c r="BE1925">
        <f>BC1925*($F$21+IF($F$21=0,0,($C$14+$C$15+IF($C$13="single",1.5,3)+3)/12))</f>
        <v>0</v>
      </c>
      <c r="BF1925">
        <f>BE1925-AZ1925</f>
        <v>0</v>
      </c>
      <c r="BG1925" cm="1">
        <f t="array" ref="BG1925">IFERROR(IF(BF1925&lt;0,0,BF1925/($AU$1836-INDEX(hd_off,MATCH(BT1925,hd_mark,0),0)/12)),0)</f>
        <v>0</v>
      </c>
      <c r="BH1925">
        <f>IF(AV1925=0,0,$BG$1836*$AM$1813)</f>
        <v>0</v>
      </c>
      <c r="BI1925">
        <f>IFERROR(BH1925/$AU$1836,0)</f>
        <v>0</v>
      </c>
      <c r="BJ1925">
        <f>BH1925*($F$21+IF($F$21=0,0,($C$14+$C$15+IF($C$13="single",1.5,3)+3)/12))</f>
        <v>0</v>
      </c>
      <c r="BK1925">
        <f>BJ1925-BA1925</f>
        <v>0</v>
      </c>
      <c r="BL1925" cm="1">
        <f t="array" ref="BL1925">IFERROR(IF(BK1925&lt;0,0,BK1925/($AU$1836-INDEX(hd_off,MATCH(BT1925,hd_mark,0),0)/12)),0)</f>
        <v>0</v>
      </c>
      <c r="BM1925">
        <f>MAX($F$21,$BB$1836)/$Q$1844</f>
        <v>0.30172413793103448</v>
      </c>
      <c r="BN1925">
        <f>IF(BM1925=0,0,IF(BM1925&gt;2,1.25-0.125*BM1925,1))</f>
        <v>1</v>
      </c>
      <c r="BO1925" cm="1">
        <f t="array" ref="BO1925">IFERROR(INDEX(sheath_ecap_asd,MATCH(BS1925,sheath_mark,0),0)*BN1925,0)</f>
        <v>0</v>
      </c>
      <c r="BP1925" cm="1">
        <f t="array" ref="BP1925">IFERROR(INDEX(sheath_wcap_asd,MATCH(BS1925,sheath_mark,0),0)*BN1925,0)</f>
        <v>0</v>
      </c>
      <c r="BQ1925" cm="1">
        <f t="array" ref="BQ1925">IFERROR(INDEX(hd_cap,MATCH(BT1925,hd_mark,0),0),0)</f>
        <v>0</v>
      </c>
      <c r="BS1925" s="19"/>
      <c r="BT1925" s="19"/>
      <c r="BU1925" s="100"/>
    </row>
    <row r="1926" x14ac:dyDescent="0.25">
      <c r="P1926" s="93"/>
      <c r="Q1926" s="109"/>
      <c r="R1926" t="str">
        <f>$Q$1814</f>
        <v>L3</v>
      </c>
      <c r="S1926">
        <f>$E$22</f>
        <v>21.375</v>
      </c>
      <c r="T1926" cm="1">
        <f t="array" ref="T1926">IFERROR(IF(S1926=0,0,(INDEX($C$33:$C$38,MATCH($W$1836,$B$33:$B$38,0),0)*(S1929+$X$1836)+$T$1836*COUNTIF(S1926:S1928,"&gt;0")*$C$32+$V$1836*$C$31)*$R$1836),0)</f>
        <v>0</v>
      </c>
      <c r="U1926">
        <f>IF(S1926=0,0,-(COUNTIF(S1926:S1928,"&gt;0")*$T$1836*$C$32+$V$1836*$C$31)*$H$27*$R$1836)</f>
        <v>0</v>
      </c>
      <c r="V1926">
        <f>IF(S1926=0,0,$V$1836*$H$26*$R$1836)</f>
        <v>0</v>
      </c>
      <c r="W1926">
        <f>(0.6*T1926+0.7*U1926)*$R$1836/2</f>
        <v>0</v>
      </c>
      <c r="X1926">
        <f>T1926*$R$1836/2</f>
        <v>0</v>
      </c>
      <c r="Z1926">
        <f>IF(S1926=0,0,$AD$1836*$AP$1814)</f>
        <v>0</v>
      </c>
      <c r="AA1926">
        <f>IFERROR(Z1926/$R$1836,0)</f>
        <v>0</v>
      </c>
      <c r="AB1926">
        <f>Z1926*($F$22+IF($F$22=0,0,($C$14+$C$15+IF($C$13="single",1.5,3)+3)/12))</f>
        <v>0</v>
      </c>
      <c r="AC1926">
        <f>AB1926-W1926</f>
        <v>0</v>
      </c>
      <c r="AD1926" cm="1">
        <f t="array" ref="AD1926">IFERROR(IF(AC1926&lt;0,0,AC1926/($R$1836-INDEX(hd_off,MATCH(AQ1926,hd_mark,0),0)/12)),0)</f>
        <v>0</v>
      </c>
      <c r="AE1926">
        <f>IF(S1926=0,0,$AD$1836*$AM$1814)</f>
        <v>0</v>
      </c>
      <c r="AF1926">
        <f>IFERROR(AE1926/$R$1836,0)</f>
        <v>0</v>
      </c>
      <c r="AG1926">
        <f>AE1926*($F$22+IF($F$22=0,0,($C$14+$C$15+IF($C$13="single",1.5,3)+3)/12))</f>
        <v>0</v>
      </c>
      <c r="AH1926">
        <f>AG1926-X1926</f>
        <v>0</v>
      </c>
      <c r="AI1926" cm="1">
        <f t="array" ref="AI1926">IFERROR(IF(AH1926&lt;0,0,AH1926/($R$1836-INDEX(hd_off,MATCH(AQ1926,hd_mark,0),0)/12)),0)</f>
        <v>0</v>
      </c>
      <c r="AJ1926">
        <f>MAX($F$22,$Z$1836)/$Q$1844</f>
        <v>0.30172413793103448</v>
      </c>
      <c r="AK1926">
        <f t="shared" ref="AK1926:AK1929" si="1181">IF(AJ1926=0,0,IF(AJ1926&gt;2,1.25-0.125*AJ1926,1))</f>
        <v>1</v>
      </c>
      <c r="AL1926" cm="1">
        <f t="array" ref="AL1926">IFERROR(INDEX(sheath_ecap_asd,MATCH(AP1926,sheath_mark,0),0)*AK1926,0)</f>
        <v>0</v>
      </c>
      <c r="AM1926" cm="1">
        <f t="array" ref="AM1926">IFERROR(INDEX(sheath_wcap_asd,MATCH(AP1926,sheath_mark,0),0)*AK1926,0)</f>
        <v>0</v>
      </c>
      <c r="AN1926" cm="1">
        <f t="array" ref="AN1926">IFERROR(INDEX(hd_cap,MATCH(AQ1926,hd_mark,0),0),0)</f>
        <v>0</v>
      </c>
      <c r="AP1926" s="19"/>
      <c r="AQ1926" s="19"/>
      <c r="AR1926" s="100"/>
      <c r="AS1926" s="93"/>
      <c r="AT1926" s="109"/>
      <c r="AU1926" t="str">
        <f>$Q$1814</f>
        <v>L3</v>
      </c>
      <c r="AV1926">
        <f>$E$22</f>
        <v>21.375</v>
      </c>
      <c r="AW1926" cm="1">
        <f t="array" ref="AW1926">IFERROR(IF(AV1926=0,0,(INDEX($C$33:$C$38,MATCH($AZ$1836,$B$33:$B$38,0),0)*(AV1929+$BA$1836)+$AW$1836*COUNTIF(AV1926:AV1928,"&gt;0")*$C$32+$AY$1836*$C$31)*$AU$1836),0)</f>
        <v>0</v>
      </c>
      <c r="AX1926">
        <f>IF(AV1926=0,0,-(COUNTIF(AV1926:AV1928,"&gt;0")*$AW$1836*$C$32+$AY$1836*$C$31)*$H$27*$AU$1836)</f>
        <v>0</v>
      </c>
      <c r="AY1926">
        <f>IF(AV1926=0,0,$AY$1836*$H$26*$AU$1836)</f>
        <v>0</v>
      </c>
      <c r="AZ1926">
        <f>(0.6*AW1926+0.7*AX1926)*$AU$1836/2</f>
        <v>0</v>
      </c>
      <c r="BA1926">
        <f>AW1926*$AU$1836/2</f>
        <v>0</v>
      </c>
      <c r="BC1926">
        <f>IF(AV1926=0,0,$BG$1836*$AP$1814)</f>
        <v>0</v>
      </c>
      <c r="BD1926">
        <f>IFERROR(BC1926/$AU$1836,0)</f>
        <v>0</v>
      </c>
      <c r="BE1926">
        <f>BC1926*($F$22+IF($F$22=0,0,($C$14+$C$15+IF($C$13="single",1.5,3)+3)/12))</f>
        <v>0</v>
      </c>
      <c r="BF1926">
        <f>BE1926-AZ1926</f>
        <v>0</v>
      </c>
      <c r="BG1926" cm="1">
        <f t="array" ref="BG1926">IFERROR(IF(BF1926&lt;0,0,BF1926/($AU$1836-INDEX(hd_off,MATCH(BT1926,hd_mark,0),0)/12)),0)</f>
        <v>0</v>
      </c>
      <c r="BH1926">
        <f>IF(AV1926=0,0,$BG$1836*$AM$1814)</f>
        <v>0</v>
      </c>
      <c r="BI1926">
        <f>IFERROR(BH1926/$AU$1836,0)</f>
        <v>0</v>
      </c>
      <c r="BJ1926">
        <f>BH1926*($F$22+IF($F$22=0,0,($C$14+$C$15+IF($C$13="single",1.5,3)+3)/12))</f>
        <v>0</v>
      </c>
      <c r="BK1926">
        <f>BJ1926-BA1926</f>
        <v>0</v>
      </c>
      <c r="BL1926" cm="1">
        <f t="array" ref="BL1926">IFERROR(IF(BK1926&lt;0,0,BK1926/($AU$1836-INDEX(hd_off,MATCH(BT1926,hd_mark,0),0)/12)),0)</f>
        <v>0</v>
      </c>
      <c r="BM1926">
        <f>MAX($F$22,$BC$1836)/$Q$1844</f>
        <v>0.30172413793103448</v>
      </c>
      <c r="BN1926">
        <f t="shared" ref="BN1926:BN1929" si="1182">IF(BM1926=0,0,IF(BM1926&gt;2,1.25-0.125*BM1926,1))</f>
        <v>1</v>
      </c>
      <c r="BO1926" cm="1">
        <f t="array" ref="BO1926">IFERROR(INDEX(sheath_ecap_asd,MATCH(BS1926,sheath_mark,0),0)*BN1926,0)</f>
        <v>0</v>
      </c>
      <c r="BP1926" cm="1">
        <f t="array" ref="BP1926">IFERROR(INDEX(sheath_wcap_asd,MATCH(BS1926,sheath_mark,0),0)*BN1926,0)</f>
        <v>0</v>
      </c>
      <c r="BQ1926" cm="1">
        <f t="array" ref="BQ1926">IFERROR(INDEX(hd_cap,MATCH(BT1926,hd_mark,0),0),0)</f>
        <v>0</v>
      </c>
      <c r="BS1926" s="19"/>
      <c r="BT1926" s="19"/>
      <c r="BU1926" s="100"/>
    </row>
    <row r="1927" x14ac:dyDescent="0.25">
      <c r="P1927" s="93"/>
      <c r="Q1927" s="109" t="s">
        <v>491</v>
      </c>
      <c r="R1927" t="str">
        <f>$Q$1815</f>
        <v>L4</v>
      </c>
      <c r="S1927">
        <f>$E$23</f>
        <v>0</v>
      </c>
      <c r="T1927" cm="1">
        <f t="array" ref="T1927">IFERROR(IF(S1927=0,0,(INDEX($C$33:$C$38,MATCH($W$1836,$B$33:$B$38,0),0)*(S1929+$X$1836)+$T$1836*COUNTIF(S1927:S1928,"&gt;0")*$C$32+$V$1836*$C$31)*$R$1836),0)</f>
        <v>0</v>
      </c>
      <c r="U1927">
        <f>IF(S1927=0,0,-(COUNTIF(S1927:S1928,"&gt;0")*$T$1836*$C$32+$V$1836*$C$31)*$H$27*$R$1836)</f>
        <v>0</v>
      </c>
      <c r="V1927">
        <f>IF(S1927=0,0,$V$1836*$H$26*$R$1836)</f>
        <v>0</v>
      </c>
      <c r="W1927">
        <f>(0.6*T1927+0.7*U1927)*$R$1836/2</f>
        <v>0</v>
      </c>
      <c r="X1927">
        <f>T1927*$R$1836/2</f>
        <v>0</v>
      </c>
      <c r="Z1927">
        <f>IF(S1927=0,0,$AD$1836*$AP$1815)</f>
        <v>0</v>
      </c>
      <c r="AA1927">
        <f>IFERROR(Z1927/$R$1836,0)</f>
        <v>0</v>
      </c>
      <c r="AB1927">
        <f>Z1927*($F$23+IF($F$23=0,0,($C$14+$C$15+IF($C$13="single",1.5,3)+3)/12))</f>
        <v>0</v>
      </c>
      <c r="AC1927">
        <f>AB1927-W1927</f>
        <v>0</v>
      </c>
      <c r="AD1927" cm="1">
        <f t="array" ref="AD1927">IFERROR(IF(AC1927&lt;0,0,AC1927/($R$1836-INDEX(hd_off,MATCH(AQ1927,hd_mark,0),0)/12)),0)</f>
        <v>0</v>
      </c>
      <c r="AE1927">
        <f>IF(S1927=0,0,$AD$1836*$AM$1815)</f>
        <v>0</v>
      </c>
      <c r="AF1927">
        <f>IFERROR(AE1927/$R$1836,0)</f>
        <v>0</v>
      </c>
      <c r="AG1927">
        <f>AE1927*($F$23+IF($F$23=0,0,($C$14+$C$15+IF($C$13="single",1.5,3)+3)/12))</f>
        <v>0</v>
      </c>
      <c r="AH1927">
        <f>AG1927-X1927</f>
        <v>0</v>
      </c>
      <c r="AI1927" cm="1">
        <f t="array" ref="AI1927">IFERROR(IF(AH1927&lt;0,0,AH1927/($R$1836-INDEX(hd_off,MATCH(AQ1927,hd_mark,0),0)/12)),0)</f>
        <v>0</v>
      </c>
      <c r="AJ1927">
        <f>MAX($F$23,$AA$1836)/$Q$1844</f>
        <v>0</v>
      </c>
      <c r="AK1927">
        <f t="shared" si="1181"/>
        <v>0</v>
      </c>
      <c r="AL1927" cm="1">
        <f t="array" ref="AL1927">IFERROR(INDEX(sheath_ecap_asd,MATCH(AP1927,sheath_mark,0),0)*AK1927,0)</f>
        <v>0</v>
      </c>
      <c r="AM1927" cm="1">
        <f t="array" ref="AM1927">IFERROR(INDEX(sheath_wcap_asd,MATCH(AP1927,sheath_mark,0),0)*AK1927,0)</f>
        <v>0</v>
      </c>
      <c r="AN1927" cm="1">
        <f t="array" ref="AN1927">IFERROR(INDEX(hd_cap,MATCH(AQ1927,hd_mark,0),0),0)</f>
        <v>0</v>
      </c>
      <c r="AP1927" s="19"/>
      <c r="AQ1927" s="19"/>
      <c r="AR1927" s="100"/>
      <c r="AS1927" s="93"/>
      <c r="AT1927" s="109" t="s">
        <v>491</v>
      </c>
      <c r="AU1927" t="str">
        <f>$Q$1815</f>
        <v>L4</v>
      </c>
      <c r="AV1927">
        <f>$E$23</f>
        <v>0</v>
      </c>
      <c r="AW1927" cm="1">
        <f t="array" ref="AW1927">IFERROR(IF(AV1927=0,0,(INDEX($C$33:$C$38,MATCH($AZ$1836,$B$33:$B$38,0),0)*(AV1929+$BA$1836)+$AW$1836*COUNTIF(AV1927:AV1928,"&gt;0")*$C$32+$AY$1836*$C$31)*$AU$1836),0)</f>
        <v>0</v>
      </c>
      <c r="AX1927">
        <f>IF(AV1927=0,0,-(COUNTIF(AV1927:AV1928,"&gt;0")*$AW$1836*$C$32+$AY$1836*$C$31)*$H$27*$AU$1836)</f>
        <v>0</v>
      </c>
      <c r="AY1927">
        <f>IF(AV1927=0,0,$AY$1836*$H$26*$AU$1836)</f>
        <v>0</v>
      </c>
      <c r="AZ1927">
        <f>(0.6*AW1927+0.7*AX1927)*$AU$1836/2</f>
        <v>0</v>
      </c>
      <c r="BA1927">
        <f>AW1927*$AU$1836/2</f>
        <v>0</v>
      </c>
      <c r="BC1927">
        <f>IF(AV1927=0,0,$BG$1836*$AP$1815)</f>
        <v>0</v>
      </c>
      <c r="BD1927">
        <f>IFERROR(BC1927/$AU$1836,0)</f>
        <v>0</v>
      </c>
      <c r="BE1927">
        <f>BC1927*($F$23+IF($F$23=0,0,($C$14+$C$15+IF($C$13="single",1.5,3)+3)/12))</f>
        <v>0</v>
      </c>
      <c r="BF1927">
        <f>BE1927-AZ1927</f>
        <v>0</v>
      </c>
      <c r="BG1927" cm="1">
        <f t="array" ref="BG1927">IFERROR(IF(BF1927&lt;0,0,BF1927/($AU$1836-INDEX(hd_off,MATCH(BT1927,hd_mark,0),0)/12)),0)</f>
        <v>0</v>
      </c>
      <c r="BH1927">
        <f>IF(AV1927=0,0,$BG$1836*$AM$1815)</f>
        <v>0</v>
      </c>
      <c r="BI1927">
        <f>IFERROR(BH1927/$AU$1836,0)</f>
        <v>0</v>
      </c>
      <c r="BJ1927">
        <f>BH1927*($F$23+IF($F$23=0,0,($C$14+$C$15+IF($C$13="single",1.5,3)+3)/12))</f>
        <v>0</v>
      </c>
      <c r="BK1927">
        <f>BJ1927-BA1927</f>
        <v>0</v>
      </c>
      <c r="BL1927" cm="1">
        <f t="array" ref="BL1927">IFERROR(IF(BK1927&lt;0,0,BK1927/($AU$1836-INDEX(hd_off,MATCH(BT1927,hd_mark,0),0)/12)),0)</f>
        <v>0</v>
      </c>
      <c r="BM1927">
        <f>MAX($F$23,$BD$1836)/$Q$1844</f>
        <v>0</v>
      </c>
      <c r="BN1927">
        <f t="shared" si="1182"/>
        <v>0</v>
      </c>
      <c r="BO1927" cm="1">
        <f t="array" ref="BO1927">IFERROR(INDEX(sheath_ecap_asd,MATCH(BS1927,sheath_mark,0),0)*BN1927,0)</f>
        <v>0</v>
      </c>
      <c r="BP1927" cm="1">
        <f t="array" ref="BP1927">IFERROR(INDEX(sheath_wcap_asd,MATCH(BS1927,sheath_mark,0),0)*BN1927,0)</f>
        <v>0</v>
      </c>
      <c r="BQ1927" cm="1">
        <f t="array" ref="BQ1927">IFERROR(INDEX(hd_cap,MATCH(BT1927,hd_mark,0),0),0)</f>
        <v>0</v>
      </c>
      <c r="BS1927" s="19"/>
      <c r="BT1927" s="19"/>
      <c r="BU1927" s="100"/>
    </row>
    <row r="1928" x14ac:dyDescent="0.25">
      <c r="P1928" s="93"/>
      <c r="Q1928" s="111">
        <f>$R$1836</f>
        <v>0</v>
      </c>
      <c r="R1928" t="str">
        <f>$Q$1816</f>
        <v>L5</v>
      </c>
      <c r="S1928">
        <f>$E$24</f>
        <v>0</v>
      </c>
      <c r="T1928" cm="1">
        <f t="array" ref="T1928">IFERROR(IF(S1928=0,0,(INDEX($C$33:$C$38,MATCH($W$1836,$B$33:$B$38,0),0)*(S1929+$X$1836)+$T$1836*COUNTIF(S1928:S1928,"&gt;0")*$C$32+$V$1836*$C$31)*$R$1836),0)</f>
        <v>0</v>
      </c>
      <c r="U1928">
        <f>IF(S1928=0,0,-(COUNTIF(S1928:S1928,"&gt;0")*$T$1836*$C$32+$V$1836*$C$31)*$H$27*$R$1836)</f>
        <v>0</v>
      </c>
      <c r="V1928">
        <f>IF(S1928=0,0,$V$1836*$H$26*$R$1836)</f>
        <v>0</v>
      </c>
      <c r="W1928">
        <f>(0.6*T1928+0.7*U1928)*$R$1836/2</f>
        <v>0</v>
      </c>
      <c r="X1928">
        <f>T1928*$R$1836/2</f>
        <v>0</v>
      </c>
      <c r="Z1928">
        <f>IF(S1928=0,0,$AD$1836*$AP$1816)</f>
        <v>0</v>
      </c>
      <c r="AA1928">
        <f>IFERROR(Z1928/$R$1836,0)</f>
        <v>0</v>
      </c>
      <c r="AB1928">
        <f>Z1928*($F$24+IF($F$24=0,0,($C$14+$C$15+IF($C$13="single",1.5,3)+3)/12))</f>
        <v>0</v>
      </c>
      <c r="AC1928">
        <f>AB1928-W1928</f>
        <v>0</v>
      </c>
      <c r="AD1928" cm="1">
        <f t="array" ref="AD1928">IFERROR(IF(AC1928&lt;0,0,AC1928/($R$1836-INDEX(hd_off,MATCH(AQ1928,hd_mark,0),0)/12)),0)</f>
        <v>0</v>
      </c>
      <c r="AE1928">
        <f>IF(S1928=0,0,$AD$1836*$AM$1816)</f>
        <v>0</v>
      </c>
      <c r="AF1928">
        <f>IFERROR(AE1928/$R$1836,0)</f>
        <v>0</v>
      </c>
      <c r="AG1928">
        <f>AE1928*($F$24+IF($F$24=0,0,($C$14+$C$15+IF($C$13="single",1.5,3)+3)/12))</f>
        <v>0</v>
      </c>
      <c r="AH1928">
        <f>AG1928-X1928</f>
        <v>0</v>
      </c>
      <c r="AI1928" cm="1">
        <f t="array" ref="AI1928">IFERROR(IF(AH1928&lt;0,0,AH1928/($R$1836-INDEX(hd_off,MATCH(AQ1928,hd_mark,0),0)/12)),0)</f>
        <v>0</v>
      </c>
      <c r="AJ1928">
        <f>MAX($F$24,$AB$1836)/$Q$1844</f>
        <v>0</v>
      </c>
      <c r="AK1928">
        <f t="shared" si="1181"/>
        <v>0</v>
      </c>
      <c r="AL1928" cm="1">
        <f t="array" ref="AL1928">IFERROR(INDEX(sheath_ecap_asd,MATCH(AP1928,sheath_mark,0),0)*AK1928,0)</f>
        <v>0</v>
      </c>
      <c r="AM1928" cm="1">
        <f t="array" ref="AM1928">IFERROR(INDEX(sheath_wcap_asd,MATCH(AP1928,sheath_mark,0),0)*AK1928,0)</f>
        <v>0</v>
      </c>
      <c r="AN1928" cm="1">
        <f t="array" ref="AN1928">IFERROR(INDEX(hd_cap,MATCH(AQ1928,hd_mark,0),0),0)</f>
        <v>0</v>
      </c>
      <c r="AP1928" s="19"/>
      <c r="AQ1928" s="19"/>
      <c r="AR1928" s="100"/>
      <c r="AS1928" s="93"/>
      <c r="AT1928" s="111">
        <f>$R$1836</f>
        <v>0</v>
      </c>
      <c r="AU1928" t="str">
        <f>$Q$1816</f>
        <v>L5</v>
      </c>
      <c r="AV1928">
        <f>$E$24</f>
        <v>0</v>
      </c>
      <c r="AW1928" cm="1">
        <f t="array" ref="AW1928">IFERROR(IF(AV1928=0,0,(INDEX($C$33:$C$38,MATCH($AZ$1836,$B$33:$B$38,0),0)*(AV1929+$BA$1836)+$AW$1836*COUNTIF(AV1928:AV1928,"&gt;0")*$C$32+$AY$1836*$C$31)*$AU$1836),0)</f>
        <v>0</v>
      </c>
      <c r="AX1928">
        <f>IF(AV1928=0,0,-(COUNTIF(AV1928:AV1928,"&gt;0")*$AW$1836*$C$32+$AY$1836*$C$31)*$H$27*$AU$1836)</f>
        <v>0</v>
      </c>
      <c r="AY1928">
        <f>IF(AV1928=0,0,$AY$1836*$H$26*$AU$1836)</f>
        <v>0</v>
      </c>
      <c r="AZ1928">
        <f>(0.6*AW1928+0.7*AX1928)*$AU$1836/2</f>
        <v>0</v>
      </c>
      <c r="BA1928">
        <f>AW1928*$AU$1836/2</f>
        <v>0</v>
      </c>
      <c r="BC1928">
        <f>IF(AV1928=0,0,$BG$1836*$AP$1816)</f>
        <v>0</v>
      </c>
      <c r="BD1928">
        <f>IFERROR(BC1928/$AU$1836,0)</f>
        <v>0</v>
      </c>
      <c r="BE1928">
        <f>BC1928*($F$24+IF($F$24=0,0,($C$14+$C$15+IF($C$13="single",1.5,3)+3)/12))</f>
        <v>0</v>
      </c>
      <c r="BF1928">
        <f>BE1928-AZ1928</f>
        <v>0</v>
      </c>
      <c r="BG1928" cm="1">
        <f t="array" ref="BG1928">IFERROR(IF(BF1928&lt;0,0,BF1928/($AU$1836-INDEX(hd_off,MATCH(BT1928,hd_mark,0),0)/12)),0)</f>
        <v>0</v>
      </c>
      <c r="BH1928">
        <f>IF(AV1928=0,0,$BG$1836*$AM$1816)</f>
        <v>0</v>
      </c>
      <c r="BI1928">
        <f>IFERROR(BH1928/$AU$1836,0)</f>
        <v>0</v>
      </c>
      <c r="BJ1928">
        <f>BH1928*($F$24+IF($F$24=0,0,($C$14+$C$15+IF($C$13="single",1.5,3)+3)/12))</f>
        <v>0</v>
      </c>
      <c r="BK1928">
        <f>BJ1928-BA1928</f>
        <v>0</v>
      </c>
      <c r="BL1928" cm="1">
        <f t="array" ref="BL1928">IFERROR(IF(BK1928&lt;0,0,BK1928/($AU$1836-INDEX(hd_off,MATCH(BT1928,hd_mark,0),0)/12)),0)</f>
        <v>0</v>
      </c>
      <c r="BM1928">
        <f>MAX($F$24,$BE$1836)/$Q$1844</f>
        <v>0</v>
      </c>
      <c r="BN1928">
        <f t="shared" si="1182"/>
        <v>0</v>
      </c>
      <c r="BO1928" cm="1">
        <f t="array" ref="BO1928">IFERROR(INDEX(sheath_ecap_asd,MATCH(BS1928,sheath_mark,0),0)*BN1928,0)</f>
        <v>0</v>
      </c>
      <c r="BP1928" cm="1">
        <f t="array" ref="BP1928">IFERROR(INDEX(sheath_wcap_asd,MATCH(BS1928,sheath_mark,0),0)*BN1928,0)</f>
        <v>0</v>
      </c>
      <c r="BQ1928" cm="1">
        <f t="array" ref="BQ1928">IFERROR(INDEX(hd_cap,MATCH(BT1928,hd_mark,0),0),0)</f>
        <v>0</v>
      </c>
      <c r="BS1928" s="19"/>
      <c r="BT1928" s="19"/>
      <c r="BU1928" s="100"/>
    </row>
    <row r="1929" x14ac:dyDescent="0.25">
      <c r="P1929" s="93"/>
      <c r="Q1929" s="109"/>
      <c r="R1929" t="str">
        <f>$Q$1817</f>
        <v>Roof</v>
      </c>
      <c r="S1929">
        <f>$E$25</f>
        <v>33.171875</v>
      </c>
      <c r="T1929" cm="1">
        <f t="array" ref="T1929">IFERROR(IF(S1929=0,0,(INDEX($C$33:$C$38,MATCH($W$1836,$B$33:$B$38,0),0)*(S1929+$X$1836)+$V$1836*$C$31)*$R$1836),0)</f>
        <v>0</v>
      </c>
      <c r="U1929">
        <f>IF(S1929=0,0,-$V$1836*$C$31*$H$27*$R$1836)</f>
        <v>0</v>
      </c>
      <c r="V1929">
        <f>IF(S1929=0,0,$V$1836*$H$26*$R$1836)</f>
        <v>0</v>
      </c>
      <c r="W1929">
        <f>(0.6*T1929+0.7*U1929)*$R$1836/2</f>
        <v>0</v>
      </c>
      <c r="X1929">
        <f>T1929*$R$1836/2</f>
        <v>0</v>
      </c>
      <c r="Z1929">
        <f>IF(S1929=0,0,$AD$1836*$AP$1817)</f>
        <v>0</v>
      </c>
      <c r="AA1929">
        <f>IFERROR(Z1929/$R$1836,0)</f>
        <v>0</v>
      </c>
      <c r="AB1929">
        <f>Z1929*($F$25+($C$16+$C$17+IF($C$13="single",1.5,3)+3)/12)</f>
        <v>0</v>
      </c>
      <c r="AC1929">
        <f>AB1929-W1929</f>
        <v>0</v>
      </c>
      <c r="AD1929" cm="1">
        <f t="array" ref="AD1929">IFERROR(IF(AC1929&lt;0,0,AC1929/($R$1836-INDEX(hd_off,MATCH(AQ1929,hd_mark,0),0)/12)),0)</f>
        <v>0</v>
      </c>
      <c r="AE1929">
        <f>IF(S1929=0,0,$AD$1836*$AM$1817)</f>
        <v>0</v>
      </c>
      <c r="AF1929">
        <f>IFERROR(AE1929/$R$1836,0)</f>
        <v>0</v>
      </c>
      <c r="AG1929">
        <f>AE1929*($F$25+($C$16+$C$17+IF($C$13="single",1.5,3)+3)/12)</f>
        <v>0</v>
      </c>
      <c r="AH1929">
        <f>AG1929-X1929</f>
        <v>0</v>
      </c>
      <c r="AI1929" cm="1">
        <f t="array" ref="AI1929">IFERROR(IF(AH1929&lt;0,0,AH1929/($R$1836-INDEX(hd_off,MATCH(AQ1929,hd_mark,0),0)/12)),0)</f>
        <v>0</v>
      </c>
      <c r="AJ1929">
        <f>MAX($F$25,$AC$1836)/$Q$1844</f>
        <v>0.29920977011494249</v>
      </c>
      <c r="AK1929">
        <f t="shared" si="1181"/>
        <v>1</v>
      </c>
      <c r="AL1929" cm="1">
        <f t="array" ref="AL1929">IFERROR(INDEX(sheath_ecap_asd,MATCH(AP1929,sheath_mark,0),0)*AK1929,0)</f>
        <v>0</v>
      </c>
      <c r="AM1929" cm="1">
        <f t="array" ref="AM1929">IFERROR(INDEX(sheath_wcap_asd,MATCH(AP1929,sheath_mark,0),0)*AK1929,0)</f>
        <v>0</v>
      </c>
      <c r="AN1929" cm="1">
        <f t="array" ref="AN1929">IFERROR(INDEX(hd_cap,MATCH(AQ1929,hd_mark,0),0),0)</f>
        <v>0</v>
      </c>
      <c r="AP1929" s="19"/>
      <c r="AQ1929" s="19"/>
      <c r="AR1929" s="100"/>
      <c r="AS1929" s="93"/>
      <c r="AT1929" s="109"/>
      <c r="AU1929" t="str">
        <f>$Q$1817</f>
        <v>Roof</v>
      </c>
      <c r="AV1929">
        <f>$E$25</f>
        <v>33.171875</v>
      </c>
      <c r="AW1929" cm="1">
        <f t="array" ref="AW1929">IFERROR(IF(AV1929=0,0,(INDEX($C$33:$C$38,MATCH($AZ$1836,$B$33:$B$38,0),0)*(AV1929+$BA$1836)+$AY$1836*$C$31)*$AU$1836),0)</f>
        <v>0</v>
      </c>
      <c r="AX1929">
        <f>IF(AV1929=0,0,-$AY$1836*$C$31*$H$27*$AU$1836)</f>
        <v>0</v>
      </c>
      <c r="AY1929">
        <f>IF(AV1929=0,0,$AY$1836*$H$26*$AU$1836)</f>
        <v>0</v>
      </c>
      <c r="AZ1929">
        <f>(0.6*AW1929+0.7*AX1929)*$AU$1836/2</f>
        <v>0</v>
      </c>
      <c r="BA1929">
        <f>AW1929*$AU$1836/2</f>
        <v>0</v>
      </c>
      <c r="BC1929">
        <f>IF(AV1929=0,0,$BG$1836*$AP$1817)</f>
        <v>0</v>
      </c>
      <c r="BD1929">
        <f>IFERROR(BC1929/$AU$1836,0)</f>
        <v>0</v>
      </c>
      <c r="BE1929">
        <f>BC1929*($F$25+($C$16+$C$17+IF($C$13="single",1.5,3)+3)/12)</f>
        <v>0</v>
      </c>
      <c r="BF1929">
        <f>BE1929-AZ1929</f>
        <v>0</v>
      </c>
      <c r="BG1929" cm="1">
        <f t="array" ref="BG1929">IFERROR(IF(BF1929&lt;0,0,BF1929/($AU$1836-INDEX(hd_off,MATCH(BT1929,hd_mark,0),0)/12)),0)</f>
        <v>0</v>
      </c>
      <c r="BH1929">
        <f>IF(AV1929=0,0,$BG$1836*$AM$1817)</f>
        <v>0</v>
      </c>
      <c r="BI1929">
        <f>IFERROR(BH1929/$AU$1836,0)</f>
        <v>0</v>
      </c>
      <c r="BJ1929">
        <f>BH1929*($F$25+($C$16+$C$17+IF($C$13="single",1.5,3)+3)/12)</f>
        <v>0</v>
      </c>
      <c r="BK1929">
        <f>BJ1929-BA1929</f>
        <v>0</v>
      </c>
      <c r="BL1929" cm="1">
        <f t="array" ref="BL1929">IFERROR(IF(BK1929&lt;0,0,BK1929/($AU$1836-INDEX(hd_off,MATCH(BT1929,hd_mark,0),0)/12)),0)</f>
        <v>0</v>
      </c>
      <c r="BM1929">
        <f>MAX($F$25,$BF$1836)/$Q$1844</f>
        <v>0.29920977011494249</v>
      </c>
      <c r="BN1929">
        <f t="shared" si="1182"/>
        <v>1</v>
      </c>
      <c r="BO1929" cm="1">
        <f t="array" ref="BO1929">IFERROR(INDEX(sheath_ecap_asd,MATCH(BS1929,sheath_mark,0),0)*BN1929,0)</f>
        <v>0</v>
      </c>
      <c r="BP1929" cm="1">
        <f t="array" ref="BP1929">IFERROR(INDEX(sheath_wcap_asd,MATCH(BS1929,sheath_mark,0),0)*BN1929,0)</f>
        <v>0</v>
      </c>
      <c r="BQ1929" cm="1">
        <f t="array" ref="BQ1929">IFERROR(INDEX(hd_cap,MATCH(BT1929,hd_mark,0),0),0)</f>
        <v>0</v>
      </c>
      <c r="BS1929" s="19"/>
      <c r="BT1929" s="19"/>
      <c r="BU1929" s="100"/>
    </row>
    <row r="1930" x14ac:dyDescent="0.25">
      <c r="P1930" s="93"/>
      <c r="AR1930" s="100"/>
      <c r="AS1930" s="93"/>
      <c r="BU1930" s="100"/>
    </row>
    <row r="1931" x14ac:dyDescent="0.25">
      <c r="P1931" s="93"/>
      <c r="Q1931" s="110" t="str">
        <f>$Q$1837</f>
        <v>A.16</v>
      </c>
      <c r="R1931" t="str">
        <f>$Q$1813</f>
        <v>L2</v>
      </c>
      <c r="S1931">
        <f>$E$21</f>
        <v>10.6875</v>
      </c>
      <c r="T1931" cm="1">
        <f t="array" ref="T1931">IFERROR(IF(S1931=0,0,(INDEX($C$33:$C$38,MATCH($W$1837,$B$33:$B$38,0),0)*(S1935+$X$1837)+$T$1837*COUNTIF(S1931:S1934,"&gt;0")*$C$32+$V$1837*$C$31)*$R$1837),0)</f>
        <v>0</v>
      </c>
      <c r="U1931">
        <f>IF(S1931=0,0,-(COUNTIF(S1931:S1934,"&gt;0")*$T$1837*$C$32+$V$1837*$C$31)*$H$27*$R$1837)</f>
        <v>0</v>
      </c>
      <c r="V1931">
        <f>IF(S1931=0,0,$V$1837*$H$26*$R$1837)</f>
        <v>0</v>
      </c>
      <c r="W1931">
        <f>(0.6*T1931+0.7*U1931)*$R$1837/2</f>
        <v>0</v>
      </c>
      <c r="X1931">
        <f>(0.6*T1931+0.6*V1931)*$R$1837/2</f>
        <v>0</v>
      </c>
      <c r="Z1931">
        <f>IF(S1931=0,0,$AD$1837*$AP$1813)</f>
        <v>0</v>
      </c>
      <c r="AA1931">
        <f>IFERROR(Z1931/$R$1837,0)</f>
        <v>0</v>
      </c>
      <c r="AB1931">
        <f>Z1931*($F$21+IF($F$21=0,0,($C$14+$C$15+IF($C$13="single",1.5,3)+3)/12))</f>
        <v>0</v>
      </c>
      <c r="AC1931">
        <f>AB1931-W1931</f>
        <v>0</v>
      </c>
      <c r="AD1931" cm="1">
        <f t="array" ref="AD1931">IFERROR(IF(AC1931&lt;0,0,AC1931/($R$1837-INDEX(hd_off,MATCH(AQ1931,hd_mark,0),0)/12)),0)</f>
        <v>0</v>
      </c>
      <c r="AE1931">
        <f>IF(S1931=0,0,$AD$1837*$AM$1813)</f>
        <v>0</v>
      </c>
      <c r="AF1931">
        <f>IFERROR(AE1931/$R$1837,0)</f>
        <v>0</v>
      </c>
      <c r="AG1931">
        <f>AE1931*($F$21+IF($F$21=0,0,($C$14+$C$15+IF($C$13="single",1.5,3)+3)/12))</f>
        <v>0</v>
      </c>
      <c r="AH1931">
        <f>AG1931-X1931</f>
        <v>0</v>
      </c>
      <c r="AI1931" cm="1">
        <f t="array" ref="AI1931">IFERROR(IF(AH1931&lt;0,0,AH1931/($R$1837-INDEX(hd_off,MATCH(AQ1931,hd_mark,0),0)/12)),0)</f>
        <v>0</v>
      </c>
      <c r="AJ1931">
        <f>MAX($F$21,$Y$1837)/$Q$1844</f>
        <v>0.30172413793103448</v>
      </c>
      <c r="AK1931">
        <f>IF(AJ1931=0,0,IF(AJ1931&gt;2,1.25-0.125*AJ1931,1))</f>
        <v>1</v>
      </c>
      <c r="AL1931" cm="1">
        <f t="array" ref="AL1931">IFERROR(INDEX(sheath_ecap_asd,MATCH(AP1931,sheath_mark,0),0)*AK1931,0)</f>
        <v>0</v>
      </c>
      <c r="AM1931" cm="1">
        <f t="array" ref="AM1931">IFERROR(INDEX(sheath_wcap_asd,MATCH(AP1931,sheath_mark,0),0)*AK1931,0)</f>
        <v>0</v>
      </c>
      <c r="AN1931" cm="1">
        <f t="array" ref="AN1931">IFERROR(INDEX(hd_cap,MATCH(AQ1931,hd_mark,0),0),0)</f>
        <v>0</v>
      </c>
      <c r="AP1931" s="19"/>
      <c r="AQ1931" s="19"/>
      <c r="AR1931" s="100"/>
      <c r="AS1931" s="93"/>
      <c r="AT1931" s="110" t="str">
        <f>$AT$1837</f>
        <v>1.16</v>
      </c>
      <c r="AU1931" t="str">
        <f>$Q$1813</f>
        <v>L2</v>
      </c>
      <c r="AV1931">
        <f>$E$21</f>
        <v>10.6875</v>
      </c>
      <c r="AW1931" cm="1">
        <f t="array" ref="AW1931">IFERROR(IF(AV1931=0,0,(INDEX($C$33:$C$38,MATCH($AZ$1837,$B$33:$B$38,0),0)*(AV1935+$BA$1837)+$AW$1837*COUNTIF(AV1931:AV1934,"&gt;0")*$C$32+$AY$1837*$C$31)*$AU$1837),0)</f>
        <v>0</v>
      </c>
      <c r="AX1931">
        <f>IF(AV1931=0,0,-(COUNTIF(AV1931:AV1934,"&gt;0")*$AW$1837*$C$32+$AY$1837*$C$31)*$H$27*$AU$1837)</f>
        <v>0</v>
      </c>
      <c r="AY1931">
        <f>IF(AV1931=0,0,$AY$1837*$H$26*$AU$1837)</f>
        <v>0</v>
      </c>
      <c r="AZ1931">
        <f>(0.6*AW1931+0.7*AX1931)*$AU$1837/2</f>
        <v>0</v>
      </c>
      <c r="BA1931">
        <f>(0.6*AW1931+0.6*AY1931)*$AU$1837/2</f>
        <v>0</v>
      </c>
      <c r="BC1931">
        <f>IF(AV1931=0,0,$BG$1837*$AP$1813)</f>
        <v>0</v>
      </c>
      <c r="BD1931">
        <f>IFERROR(BC1931/$AU$1837,0)</f>
        <v>0</v>
      </c>
      <c r="BE1931">
        <f>BC1931*($F$21+IF($F$21=0,0,($C$14+$C$15+IF($C$13="single",1.5,3)+3)/12))</f>
        <v>0</v>
      </c>
      <c r="BF1931">
        <f>BE1931-AZ1931</f>
        <v>0</v>
      </c>
      <c r="BG1931" cm="1">
        <f t="array" ref="BG1931">IFERROR(IF(BF1931&lt;0,0,BF1931/($AU$1837-INDEX(hd_off,MATCH(BT1931,hd_mark,0),0)/12)),0)</f>
        <v>0</v>
      </c>
      <c r="BH1931">
        <f>IF(AV1931=0,0,$BG$1837*$AM$1813)</f>
        <v>0</v>
      </c>
      <c r="BI1931">
        <f>IFERROR(BH1931/$AU$1837,0)</f>
        <v>0</v>
      </c>
      <c r="BJ1931">
        <f>BH1931*($F$21+IF($F$21=0,0,($C$14+$C$15+IF($C$13="single",1.5,3)+3)/12))</f>
        <v>0</v>
      </c>
      <c r="BK1931">
        <f>BJ1931-BA1931</f>
        <v>0</v>
      </c>
      <c r="BL1931" cm="1">
        <f t="array" ref="BL1931">IFERROR(IF(BK1931&lt;0,0,BK1931/($AU$1837-INDEX(hd_off,MATCH(BT1931,hd_mark,0),0)/12)),0)</f>
        <v>0</v>
      </c>
      <c r="BM1931">
        <f>MAX($F$21,$BB$1837)/$Q$1844</f>
        <v>0.30172413793103448</v>
      </c>
      <c r="BN1931">
        <f>IF(BM1931=0,0,IF(BM1931&gt;2,1.25-0.125*BM1931,1))</f>
        <v>1</v>
      </c>
      <c r="BO1931" cm="1">
        <f t="array" ref="BO1931">IFERROR(INDEX(sheath_ecap_asd,MATCH(BS1931,sheath_mark,0),0)*BN1931,0)</f>
        <v>0</v>
      </c>
      <c r="BP1931" cm="1">
        <f t="array" ref="BP1931">IFERROR(INDEX(sheath_wcap_asd,MATCH(BS1931,sheath_mark,0),0)*BN1931,0)</f>
        <v>0</v>
      </c>
      <c r="BQ1931" cm="1">
        <f t="array" ref="BQ1931">IFERROR(INDEX(hd_cap,MATCH(BT1931,hd_mark,0),0),0)</f>
        <v>0</v>
      </c>
      <c r="BS1931" s="19"/>
      <c r="BT1931" s="19"/>
      <c r="BU1931" s="100"/>
    </row>
    <row r="1932" x14ac:dyDescent="0.25">
      <c r="P1932" s="93"/>
      <c r="Q1932" s="109"/>
      <c r="R1932" t="str">
        <f>$Q$1814</f>
        <v>L3</v>
      </c>
      <c r="S1932">
        <f>$E$22</f>
        <v>21.375</v>
      </c>
      <c r="T1932" cm="1">
        <f t="array" ref="T1932">IFERROR(IF(S1932=0,0,(INDEX($C$33:$C$38,MATCH($W$1837,$B$33:$B$38,0),0)*(S1935+$X$1837)+$T$1837*COUNTIF(S1932:S1934,"&gt;0")*$C$32+$V$1837*$C$31)*$R$1837),0)</f>
        <v>0</v>
      </c>
      <c r="U1932">
        <f>IF(S1932=0,0,-(COUNTIF(S1932:S1934,"&gt;0")*$T$1837*$C$32+$V$1837*$C$31)*$H$27*$R$1837)</f>
        <v>0</v>
      </c>
      <c r="V1932">
        <f>IF(S1932=0,0,$V$1837*$H$26*$R$1837)</f>
        <v>0</v>
      </c>
      <c r="W1932">
        <f>(0.6*T1932+0.7*U1932)*$R$1837/2</f>
        <v>0</v>
      </c>
      <c r="X1932">
        <f>T1932*$R$1837/2</f>
        <v>0</v>
      </c>
      <c r="Z1932">
        <f>IF(S1932=0,0,$AD$1837*$AP$1814)</f>
        <v>0</v>
      </c>
      <c r="AA1932">
        <f>IFERROR(Z1932/$R$1837,0)</f>
        <v>0</v>
      </c>
      <c r="AB1932">
        <f>Z1932*($F$22+IF($F$22=0,0,($C$14+$C$15+IF($C$13="single",1.5,3)+3)/12))</f>
        <v>0</v>
      </c>
      <c r="AC1932">
        <f>AB1932-W1932</f>
        <v>0</v>
      </c>
      <c r="AD1932" cm="1">
        <f t="array" ref="AD1932">IFERROR(IF(AC1932&lt;0,0,AC1932/($R$1837-INDEX(hd_off,MATCH(AQ1932,hd_mark,0),0)/12)),0)</f>
        <v>0</v>
      </c>
      <c r="AE1932">
        <f>IF(S1932=0,0,$AD$1837*$AM$1814)</f>
        <v>0</v>
      </c>
      <c r="AF1932">
        <f>IFERROR(AE1932/$R$1837,0)</f>
        <v>0</v>
      </c>
      <c r="AG1932">
        <f>AE1932*($F$22+IF($F$22=0,0,($C$14+$C$15+IF($C$13="single",1.5,3)+3)/12))</f>
        <v>0</v>
      </c>
      <c r="AH1932">
        <f>AG1932-X1932</f>
        <v>0</v>
      </c>
      <c r="AI1932" cm="1">
        <f t="array" ref="AI1932">IFERROR(IF(AH1932&lt;0,0,AH1932/($R$1837-INDEX(hd_off,MATCH(AQ1932,hd_mark,0),0)/12)),0)</f>
        <v>0</v>
      </c>
      <c r="AJ1932">
        <f>MAX($F$22,$Z$1837)/$Q$1844</f>
        <v>0.30172413793103448</v>
      </c>
      <c r="AK1932">
        <f t="shared" ref="AK1932:AK1935" si="1183">IF(AJ1932=0,0,IF(AJ1932&gt;2,1.25-0.125*AJ1932,1))</f>
        <v>1</v>
      </c>
      <c r="AL1932" cm="1">
        <f t="array" ref="AL1932">IFERROR(INDEX(sheath_ecap_asd,MATCH(AP1932,sheath_mark,0),0)*AK1932,0)</f>
        <v>0</v>
      </c>
      <c r="AM1932" cm="1">
        <f t="array" ref="AM1932">IFERROR(INDEX(sheath_wcap_asd,MATCH(AP1932,sheath_mark,0),0)*AK1932,0)</f>
        <v>0</v>
      </c>
      <c r="AN1932" cm="1">
        <f t="array" ref="AN1932">IFERROR(INDEX(hd_cap,MATCH(AQ1932,hd_mark,0),0),0)</f>
        <v>0</v>
      </c>
      <c r="AP1932" s="19"/>
      <c r="AQ1932" s="19"/>
      <c r="AR1932" s="100"/>
      <c r="AS1932" s="93"/>
      <c r="AT1932" s="109"/>
      <c r="AU1932" t="str">
        <f>$Q$1814</f>
        <v>L3</v>
      </c>
      <c r="AV1932">
        <f>$E$22</f>
        <v>21.375</v>
      </c>
      <c r="AW1932" cm="1">
        <f t="array" ref="AW1932">IFERROR(IF(AV1932=0,0,(INDEX($C$33:$C$38,MATCH($AZ$1837,$B$33:$B$38,0),0)*(AV1935+$BA$1837)+$AW$1837*COUNTIF(AV1932:AV1934,"&gt;0")*$C$32+$AY$1837*$C$31)*$AU$1837),0)</f>
        <v>0</v>
      </c>
      <c r="AX1932">
        <f>IF(AV1932=0,0,-(COUNTIF(AV1932:AV1934,"&gt;0")*$AW$1837*$C$32+$AY$1837*$C$31)*$H$27*$AU$1837)</f>
        <v>0</v>
      </c>
      <c r="AY1932">
        <f>IF(AV1932=0,0,$AY$1837*$H$26*$AU$1837)</f>
        <v>0</v>
      </c>
      <c r="AZ1932">
        <f>(0.6*AW1932+0.7*AX1932)*$AU$1837/2</f>
        <v>0</v>
      </c>
      <c r="BA1932">
        <f>AW1932*$AU$1837/2</f>
        <v>0</v>
      </c>
      <c r="BC1932">
        <f>IF(AV1932=0,0,$BG$1837*$AP$1814)</f>
        <v>0</v>
      </c>
      <c r="BD1932">
        <f>IFERROR(BC1932/$AU$1837,0)</f>
        <v>0</v>
      </c>
      <c r="BE1932">
        <f>BC1932*($F$22+IF($F$22=0,0,($C$14+$C$15+IF($C$13="single",1.5,3)+3)/12))</f>
        <v>0</v>
      </c>
      <c r="BF1932">
        <f>BE1932-AZ1932</f>
        <v>0</v>
      </c>
      <c r="BG1932" cm="1">
        <f t="array" ref="BG1932">IFERROR(IF(BF1932&lt;0,0,BF1932/($AU$1837-INDEX(hd_off,MATCH(BT1932,hd_mark,0),0)/12)),0)</f>
        <v>0</v>
      </c>
      <c r="BH1932">
        <f>IF(AV1932=0,0,$BG$1837*$AM$1814)</f>
        <v>0</v>
      </c>
      <c r="BI1932">
        <f>IFERROR(BH1932/$AU$1837,0)</f>
        <v>0</v>
      </c>
      <c r="BJ1932">
        <f>BH1932*($F$22+IF($F$22=0,0,($C$14+$C$15+IF($C$13="single",1.5,3)+3)/12))</f>
        <v>0</v>
      </c>
      <c r="BK1932">
        <f>BJ1932-BA1932</f>
        <v>0</v>
      </c>
      <c r="BL1932" cm="1">
        <f t="array" ref="BL1932">IFERROR(IF(BK1932&lt;0,0,BK1932/($AU$1837-INDEX(hd_off,MATCH(BT1932,hd_mark,0),0)/12)),0)</f>
        <v>0</v>
      </c>
      <c r="BM1932">
        <f>MAX($F$22,$BC$1837)/$Q$1844</f>
        <v>0.30172413793103448</v>
      </c>
      <c r="BN1932">
        <f t="shared" ref="BN1932:BN1934" si="1184">IF(BM1932=0,0,IF(BM1932&gt;2,1.25-0.125*BM1932,1))</f>
        <v>1</v>
      </c>
      <c r="BO1932" cm="1">
        <f t="array" ref="BO1932">IFERROR(INDEX(sheath_ecap_asd,MATCH(BS1932,sheath_mark,0),0)*BN1932,0)</f>
        <v>0</v>
      </c>
      <c r="BP1932" cm="1">
        <f t="array" ref="BP1932">IFERROR(INDEX(sheath_wcap_asd,MATCH(BS1932,sheath_mark,0),0)*BN1932,0)</f>
        <v>0</v>
      </c>
      <c r="BQ1932" cm="1">
        <f t="array" ref="BQ1932">IFERROR(INDEX(hd_cap,MATCH(BT1932,hd_mark,0),0),0)</f>
        <v>0</v>
      </c>
      <c r="BS1932" s="19"/>
      <c r="BT1932" s="19"/>
      <c r="BU1932" s="100"/>
    </row>
    <row r="1933" x14ac:dyDescent="0.25">
      <c r="P1933" s="93"/>
      <c r="Q1933" s="109" t="s">
        <v>491</v>
      </c>
      <c r="R1933" t="str">
        <f>$Q$1815</f>
        <v>L4</v>
      </c>
      <c r="S1933">
        <f>$E$23</f>
        <v>0</v>
      </c>
      <c r="T1933" cm="1">
        <f t="array" ref="T1933">IFERROR(IF(S1933=0,0,(INDEX($C$33:$C$38,MATCH($W$1837,$B$33:$B$38,0),0)*(S1935+$X$1837)+$T$1837*COUNTIF(S1933:S1934,"&gt;0")*$C$32+$V$1837*$C$31)*$R$1837),0)</f>
        <v>0</v>
      </c>
      <c r="U1933">
        <f>IF(S1933=0,0,-(COUNTIF(S1933:S1934,"&gt;0")*$T$1837*$C$32+$V$1837*$C$31)*$H$27*$R$1837)</f>
        <v>0</v>
      </c>
      <c r="V1933">
        <f>IF(S1933=0,0,$V$1837*$H$26*$R$1837)</f>
        <v>0</v>
      </c>
      <c r="W1933">
        <f>(0.6*T1933+0.7*U1933)*$R$1837/2</f>
        <v>0</v>
      </c>
      <c r="X1933">
        <f>T1933*$R$1837/2</f>
        <v>0</v>
      </c>
      <c r="Z1933">
        <f>IF(S1933=0,0,$AD$1837*$AP$1815)</f>
        <v>0</v>
      </c>
      <c r="AA1933">
        <f>IFERROR(Z1933/$R$1837,0)</f>
        <v>0</v>
      </c>
      <c r="AB1933">
        <f>Z1933*($F$23+IF($F$23=0,0,($C$14+$C$15+IF($C$13="single",1.5,3)+3)/12))</f>
        <v>0</v>
      </c>
      <c r="AC1933">
        <f>AB1933-W1933</f>
        <v>0</v>
      </c>
      <c r="AD1933" cm="1">
        <f t="array" ref="AD1933">IFERROR(IF(AC1933&lt;0,0,AC1933/($R$1837-INDEX(hd_off,MATCH(AQ1933,hd_mark,0),0)/12)),0)</f>
        <v>0</v>
      </c>
      <c r="AE1933">
        <f>IF(S1933=0,0,$AD$1837*$AM$1815)</f>
        <v>0</v>
      </c>
      <c r="AF1933">
        <f>IFERROR(AE1933/$R$1837,0)</f>
        <v>0</v>
      </c>
      <c r="AG1933">
        <f>AE1933*($F$23+IF($F$23=0,0,($C$14+$C$15+IF($C$13="single",1.5,3)+3)/12))</f>
        <v>0</v>
      </c>
      <c r="AH1933">
        <f>AG1933-X1933</f>
        <v>0</v>
      </c>
      <c r="AI1933" cm="1">
        <f t="array" ref="AI1933">IFERROR(IF(AH1933&lt;0,0,AH1933/($R$1837-INDEX(hd_off,MATCH(AQ1933,hd_mark,0),0)/12)),0)</f>
        <v>0</v>
      </c>
      <c r="AJ1933">
        <f>MAX($F$23,$AA$1837)/$Q$1844</f>
        <v>0</v>
      </c>
      <c r="AK1933">
        <f t="shared" si="1183"/>
        <v>0</v>
      </c>
      <c r="AL1933" cm="1">
        <f t="array" ref="AL1933">IFERROR(INDEX(sheath_ecap_asd,MATCH(AP1933,sheath_mark,0),0)*AK1933,0)</f>
        <v>0</v>
      </c>
      <c r="AM1933" cm="1">
        <f t="array" ref="AM1933">IFERROR(INDEX(sheath_wcap_asd,MATCH(AP1933,sheath_mark,0),0)*AK1933,0)</f>
        <v>0</v>
      </c>
      <c r="AN1933" cm="1">
        <f t="array" ref="AN1933">IFERROR(INDEX(hd_cap,MATCH(AQ1933,hd_mark,0),0),0)</f>
        <v>0</v>
      </c>
      <c r="AP1933" s="19"/>
      <c r="AQ1933" s="19"/>
      <c r="AR1933" s="100"/>
      <c r="AS1933" s="93"/>
      <c r="AT1933" s="109" t="s">
        <v>491</v>
      </c>
      <c r="AU1933" t="str">
        <f>$Q$1815</f>
        <v>L4</v>
      </c>
      <c r="AV1933">
        <f>$E$23</f>
        <v>0</v>
      </c>
      <c r="AW1933" cm="1">
        <f t="array" ref="AW1933">IFERROR(IF(AV1933=0,0,(INDEX($C$33:$C$38,MATCH($AZ$1837,$B$33:$B$38,0),0)*(AV1935+$BA$1837)+$AW$1837*COUNTIF(AV1933:AV1934,"&gt;0")*$C$32+$AY$1837*$C$31)*$AU$1837),0)</f>
        <v>0</v>
      </c>
      <c r="AX1933">
        <f>IF(AV1933=0,0,-(COUNTIF(AV1933:AV1934,"&gt;0")*$AW$1837*$C$32+$AY$1837*$C$31)*$H$27*$AU$1837)</f>
        <v>0</v>
      </c>
      <c r="AY1933">
        <f>IF(AV1933=0,0,$AY$1837*$H$26*$AU$1837)</f>
        <v>0</v>
      </c>
      <c r="AZ1933">
        <f>(0.6*AW1933+0.7*AX1933)*$AU$1837/2</f>
        <v>0</v>
      </c>
      <c r="BA1933">
        <f>AW1933*$AU$1837/2</f>
        <v>0</v>
      </c>
      <c r="BC1933">
        <f>IF(AV1933=0,0,$BG$1837*$AP$1815)</f>
        <v>0</v>
      </c>
      <c r="BD1933">
        <f>IFERROR(BC1933/$AU$1837,0)</f>
        <v>0</v>
      </c>
      <c r="BE1933">
        <f>BC1933*($F$23+IF($F$23=0,0,($C$14+$C$15+IF($C$13="single",1.5,3)+3)/12))</f>
        <v>0</v>
      </c>
      <c r="BF1933">
        <f>BE1933-AZ1933</f>
        <v>0</v>
      </c>
      <c r="BG1933" cm="1">
        <f t="array" ref="BG1933">IFERROR(IF(BF1933&lt;0,0,BF1933/($AU$1837-INDEX(hd_off,MATCH(BT1933,hd_mark,0),0)/12)),0)</f>
        <v>0</v>
      </c>
      <c r="BH1933">
        <f>IF(AV1933=0,0,$BG$1837*$AM$1815)</f>
        <v>0</v>
      </c>
      <c r="BI1933">
        <f>IFERROR(BH1933/$AU$1837,0)</f>
        <v>0</v>
      </c>
      <c r="BJ1933">
        <f>BH1933*($F$23+IF($F$23=0,0,($C$14+$C$15+IF($C$13="single",1.5,3)+3)/12))</f>
        <v>0</v>
      </c>
      <c r="BK1933">
        <f>BJ1933-BA1933</f>
        <v>0</v>
      </c>
      <c r="BL1933" cm="1">
        <f t="array" ref="BL1933">IFERROR(IF(BK1933&lt;0,0,BK1933/($AU$1837-INDEX(hd_off,MATCH(BT1933,hd_mark,0),0)/12)),0)</f>
        <v>0</v>
      </c>
      <c r="BM1933">
        <f>MAX($F$23,$BD$1837)/$Q$1844</f>
        <v>0</v>
      </c>
      <c r="BN1933">
        <f t="shared" si="1184"/>
        <v>0</v>
      </c>
      <c r="BO1933" cm="1">
        <f t="array" ref="BO1933">IFERROR(INDEX(sheath_ecap_asd,MATCH(BS1933,sheath_mark,0),0)*BN1933,0)</f>
        <v>0</v>
      </c>
      <c r="BP1933" cm="1">
        <f t="array" ref="BP1933">IFERROR(INDEX(sheath_wcap_asd,MATCH(BS1933,sheath_mark,0),0)*BN1933,0)</f>
        <v>0</v>
      </c>
      <c r="BQ1933" cm="1">
        <f t="array" ref="BQ1933">IFERROR(INDEX(hd_cap,MATCH(BT1933,hd_mark,0),0),0)</f>
        <v>0</v>
      </c>
      <c r="BS1933" s="19"/>
      <c r="BT1933" s="19"/>
      <c r="BU1933" s="100"/>
    </row>
    <row r="1934" x14ac:dyDescent="0.25">
      <c r="P1934" s="93"/>
      <c r="Q1934" s="111">
        <f>$R$1837</f>
        <v>0</v>
      </c>
      <c r="R1934" t="str">
        <f>$Q$1816</f>
        <v>L5</v>
      </c>
      <c r="S1934">
        <f>$E$24</f>
        <v>0</v>
      </c>
      <c r="T1934" cm="1">
        <f t="array" ref="T1934">IFERROR(IF(S1934=0,0,(INDEX($C$33:$C$38,MATCH($W$1837,$B$33:$B$38,0),0)*(S1935+$X$1837)+$T$1837*COUNTIF(S1934:S1934,"&gt;0")*$C$32+$V$1837*$C$31)*$R$1837),0)</f>
        <v>0</v>
      </c>
      <c r="U1934">
        <f>IF(S1934=0,0,-(COUNTIF(S1934:S1934,"&gt;0")*$T$1837*$C$32+$V$1837*$C$31)*$H$27*$R$1837)</f>
        <v>0</v>
      </c>
      <c r="V1934">
        <f>IF(S1934=0,0,$V$1837*$H$26*$R$1837)</f>
        <v>0</v>
      </c>
      <c r="W1934">
        <f>(0.6*T1934+0.7*U1934)*$R$1837/2</f>
        <v>0</v>
      </c>
      <c r="X1934">
        <f>T1934*$R$1837/2</f>
        <v>0</v>
      </c>
      <c r="Z1934">
        <f>IF(S1934=0,0,$AD$1837*$AP$1816)</f>
        <v>0</v>
      </c>
      <c r="AA1934">
        <f>IFERROR(Z1934/$R$1837,0)</f>
        <v>0</v>
      </c>
      <c r="AB1934">
        <f>Z1934*($F$24+IF($F$24=0,0,($C$14+$C$15+IF($C$13="single",1.5,3)+3)/12))</f>
        <v>0</v>
      </c>
      <c r="AC1934">
        <f>AB1934-W1934</f>
        <v>0</v>
      </c>
      <c r="AD1934" cm="1">
        <f t="array" ref="AD1934">IFERROR(IF(AC1934&lt;0,0,AC1934/($R$1837-INDEX(hd_off,MATCH(AQ1934,hd_mark,0),0)/12)),0)</f>
        <v>0</v>
      </c>
      <c r="AE1934">
        <f>IF(S1934=0,0,$AD$1837*$AM$1816)</f>
        <v>0</v>
      </c>
      <c r="AF1934">
        <f>IFERROR(AE1934/$R$1837,0)</f>
        <v>0</v>
      </c>
      <c r="AG1934">
        <f>AE1934*($F$24+IF($F$24=0,0,($C$14+$C$15+IF($C$13="single",1.5,3)+3)/12))</f>
        <v>0</v>
      </c>
      <c r="AH1934">
        <f>AG1934-X1934</f>
        <v>0</v>
      </c>
      <c r="AI1934" cm="1">
        <f t="array" ref="AI1934">IFERROR(IF(AH1934&lt;0,0,AH1934/($R$1837-INDEX(hd_off,MATCH(AQ1934,hd_mark,0),0)/12)),0)</f>
        <v>0</v>
      </c>
      <c r="AJ1934">
        <f>MAX($F$24,$AB$1837)/$Q$1844</f>
        <v>0</v>
      </c>
      <c r="AK1934">
        <f t="shared" si="1183"/>
        <v>0</v>
      </c>
      <c r="AL1934" cm="1">
        <f t="array" ref="AL1934">IFERROR(INDEX(sheath_ecap_asd,MATCH(AP1934,sheath_mark,0),0)*AK1934,0)</f>
        <v>0</v>
      </c>
      <c r="AM1934" cm="1">
        <f t="array" ref="AM1934">IFERROR(INDEX(sheath_wcap_asd,MATCH(AP1934,sheath_mark,0),0)*AK1934,0)</f>
        <v>0</v>
      </c>
      <c r="AN1934" cm="1">
        <f t="array" ref="AN1934">IFERROR(INDEX(hd_cap,MATCH(AQ1934,hd_mark,0),0),0)</f>
        <v>0</v>
      </c>
      <c r="AP1934" s="19"/>
      <c r="AQ1934" s="19"/>
      <c r="AR1934" s="100"/>
      <c r="AS1934" s="93"/>
      <c r="AT1934" s="111">
        <f>$R$1837</f>
        <v>0</v>
      </c>
      <c r="AU1934" t="str">
        <f>$Q$1816</f>
        <v>L5</v>
      </c>
      <c r="AV1934">
        <f>$E$24</f>
        <v>0</v>
      </c>
      <c r="AW1934" cm="1">
        <f t="array" ref="AW1934">IFERROR(IF(AV1934=0,0,(INDEX($C$33:$C$38,MATCH($AZ$1837,$B$33:$B$38,0),0)*(AV1935+$BA$1837)+$AW$1837*COUNTIF(AV1934:AV1934,"&gt;0")*$C$32+$AY$1837*$C$31)*$AU$1837),0)</f>
        <v>0</v>
      </c>
      <c r="AX1934">
        <f>IF(AV1934=0,0,-(COUNTIF(AV1934:AV1934,"&gt;0")*$AW$1837*$C$32+$AY$1837*$C$31)*$H$27*$AU$1837)</f>
        <v>0</v>
      </c>
      <c r="AY1934">
        <f>IF(AV1934=0,0,$AY$1837*$H$26*$AU$1837)</f>
        <v>0</v>
      </c>
      <c r="AZ1934">
        <f>(0.6*AW1934+0.7*AX1934)*$AU$1837/2</f>
        <v>0</v>
      </c>
      <c r="BA1934">
        <f>AW1934*$AU$1837/2</f>
        <v>0</v>
      </c>
      <c r="BC1934">
        <f>IF(AV1934=0,0,$BG$1837*$AP$1816)</f>
        <v>0</v>
      </c>
      <c r="BD1934">
        <f>IFERROR(BC1934/$AU$1837,0)</f>
        <v>0</v>
      </c>
      <c r="BE1934">
        <f>BC1934*($F$24+IF($F$24=0,0,($C$14+$C$15+IF($C$13="single",1.5,3)+3)/12))</f>
        <v>0</v>
      </c>
      <c r="BF1934">
        <f>BE1934-AZ1934</f>
        <v>0</v>
      </c>
      <c r="BG1934" cm="1">
        <f t="array" ref="BG1934">IFERROR(IF(BF1934&lt;0,0,BF1934/($AU$1837-INDEX(hd_off,MATCH(BT1934,hd_mark,0),0)/12)),0)</f>
        <v>0</v>
      </c>
      <c r="BH1934">
        <f>IF(AV1934=0,0,$BG$1837*$AM$1816)</f>
        <v>0</v>
      </c>
      <c r="BI1934">
        <f>IFERROR(BH1934/$AU$1837,0)</f>
        <v>0</v>
      </c>
      <c r="BJ1934">
        <f>BH1934*($F$24+IF($F$24=0,0,($C$14+$C$15+IF($C$13="single",1.5,3)+3)/12))</f>
        <v>0</v>
      </c>
      <c r="BK1934">
        <f>BJ1934-BA1934</f>
        <v>0</v>
      </c>
      <c r="BL1934" cm="1">
        <f t="array" ref="BL1934">IFERROR(IF(BK1934&lt;0,0,BK1934/($AU$1837-INDEX(hd_off,MATCH(BT1934,hd_mark,0),0)/12)),0)</f>
        <v>0</v>
      </c>
      <c r="BM1934">
        <f>MAX($F$24,$BE$1837)/$Q$1844</f>
        <v>0</v>
      </c>
      <c r="BN1934">
        <f t="shared" si="1184"/>
        <v>0</v>
      </c>
      <c r="BO1934" cm="1">
        <f t="array" ref="BO1934">IFERROR(INDEX(sheath_ecap_asd,MATCH(BS1934,sheath_mark,0),0)*BN1934,0)</f>
        <v>0</v>
      </c>
      <c r="BP1934" cm="1">
        <f t="array" ref="BP1934">IFERROR(INDEX(sheath_wcap_asd,MATCH(BS1934,sheath_mark,0),0)*BN1934,0)</f>
        <v>0</v>
      </c>
      <c r="BQ1934" cm="1">
        <f t="array" ref="BQ1934">IFERROR(INDEX(hd_cap,MATCH(BT1934,hd_mark,0),0),0)</f>
        <v>0</v>
      </c>
      <c r="BS1934" s="19"/>
      <c r="BT1934" s="19"/>
      <c r="BU1934" s="100"/>
    </row>
    <row r="1935" x14ac:dyDescent="0.25">
      <c r="P1935" s="93"/>
      <c r="Q1935" s="109"/>
      <c r="R1935" t="str">
        <f>$Q$1817</f>
        <v>Roof</v>
      </c>
      <c r="S1935">
        <f>$E$25</f>
        <v>33.171875</v>
      </c>
      <c r="T1935" cm="1">
        <f t="array" ref="T1935">IFERROR(IF(S1935=0,0,(INDEX($C$33:$C$38,MATCH($W$1837,$B$33:$B$38,0),0)*(S1935+$X$1837)+$V$1837*$C$31)*$R$1837),0)</f>
        <v>0</v>
      </c>
      <c r="U1935">
        <f>IF(S1935=0,0,-$V$1837*$C$31*$H$27*$R$1837)</f>
        <v>0</v>
      </c>
      <c r="V1935">
        <f>IF(S1935=0,0,$V$1837*$H$26*$R$1837)</f>
        <v>0</v>
      </c>
      <c r="W1935">
        <f>(0.6*T1935+0.7*U1935)*$R$1837/2</f>
        <v>0</v>
      </c>
      <c r="X1935">
        <f>T1935*$R$1837/2</f>
        <v>0</v>
      </c>
      <c r="Z1935">
        <f>IF(S1935=0,0,$AD$1837*$AP$1817)</f>
        <v>0</v>
      </c>
      <c r="AA1935">
        <f>IFERROR(Z1935/$R$1837,0)</f>
        <v>0</v>
      </c>
      <c r="AB1935">
        <f>Z1935*($F$25+($C$16+$C$17+IF($C$13="single",1.5,3)+3)/12)</f>
        <v>0</v>
      </c>
      <c r="AC1935">
        <f>AB1935-W1935</f>
        <v>0</v>
      </c>
      <c r="AD1935" cm="1">
        <f t="array" ref="AD1935">IFERROR(IF(AC1935&lt;0,0,AC1935/($R$1837-INDEX(hd_off,MATCH(AQ1935,hd_mark,0),0)/12)),0)</f>
        <v>0</v>
      </c>
      <c r="AE1935">
        <f>IF(S1935=0,0,$AD$1837*$AM$1817)</f>
        <v>0</v>
      </c>
      <c r="AF1935">
        <f>IFERROR(AE1935/$R$1837,0)</f>
        <v>0</v>
      </c>
      <c r="AG1935">
        <f>AE1935*($F$25+($C$16+$C$17+IF($C$13="single",1.5,3)+3)/12)</f>
        <v>0</v>
      </c>
      <c r="AH1935">
        <f>AG1935-X1935</f>
        <v>0</v>
      </c>
      <c r="AI1935" cm="1">
        <f t="array" ref="AI1935">IFERROR(IF(AH1935&lt;0,0,AH1935/($R$1837-INDEX(hd_off,MATCH(AQ1935,hd_mark,0),0)/12)),0)</f>
        <v>0</v>
      </c>
      <c r="AJ1935">
        <f>MAX($F$25,$AC$1837)/$Q$1844</f>
        <v>0.29920977011494249</v>
      </c>
      <c r="AK1935">
        <f t="shared" si="1183"/>
        <v>1</v>
      </c>
      <c r="AL1935" cm="1">
        <f t="array" ref="AL1935">IFERROR(INDEX(sheath_ecap_asd,MATCH(AP1935,sheath_mark,0),0)*AK1935,0)</f>
        <v>0</v>
      </c>
      <c r="AM1935" cm="1">
        <f t="array" ref="AM1935">IFERROR(INDEX(sheath_wcap_asd,MATCH(AP1935,sheath_mark,0),0)*AK1935,0)</f>
        <v>0</v>
      </c>
      <c r="AN1935" cm="1">
        <f t="array" ref="AN1935">IFERROR(INDEX(hd_cap,MATCH(AQ1935,hd_mark,0),0),0)</f>
        <v>0</v>
      </c>
      <c r="AP1935" s="19"/>
      <c r="AQ1935" s="19"/>
      <c r="AR1935" s="100"/>
      <c r="AS1935" s="93"/>
      <c r="BU1935" s="100"/>
    </row>
    <row r="1936" x14ac:dyDescent="0.25">
      <c r="B1936" s="1" t="s">
        <v>569</v>
      </c>
      <c r="C1936">
        <f>E16+H16*12</f>
        <v>32.4375</v>
      </c>
      <c r="E1936" s="19">
        <v>24</v>
      </c>
      <c r="F1936" s="19">
        <f>32+5.625/12</f>
        <v>32.46875</v>
      </c>
      <c r="G1936" s="19">
        <f>33+10.5/12</f>
        <v>33.875</v>
      </c>
      <c r="H1936">
        <f>(G16-F16)/2</f>
        <v>0.703125</v>
      </c>
      <c r="P1936" s="93"/>
      <c r="Q1936" t="s">
        <v>524</v>
      </c>
      <c r="R1936" s="2" t="str">
        <f>$B$57</f>
        <v>A</v>
      </c>
      <c r="AR1936" s="100"/>
      <c r="AS1936" s="93"/>
      <c r="AT1936" t="s">
        <v>524</v>
      </c>
      <c r="AU1936" s="2">
        <f>H57</f>
        <v>1</v>
      </c>
      <c r="BU1936" s="100"/>
    </row>
    <row r="1937" x14ac:dyDescent="0.25">
      <c r="B1937" s="1" t="s">
        <v>500</v>
      </c>
      <c r="C1937" s="19">
        <v>0.5</v>
      </c>
      <c r="P1937" s="93"/>
      <c r="AR1937" s="100"/>
      <c r="AS1937" s="93"/>
      <c r="BU1937" s="100"/>
    </row>
    <row r="1938" x14ac:dyDescent="0.25">
      <c r="P1938" s="93"/>
      <c r="R1938" t="s">
        <v>482</v>
      </c>
      <c r="Z1938" t="s">
        <v>483</v>
      </c>
      <c r="AH1938" t="s">
        <v>502</v>
      </c>
      <c r="AJ1938" t="s">
        <v>454</v>
      </c>
      <c r="AR1938" s="100"/>
      <c r="AS1938" s="93"/>
      <c r="AU1938" t="s">
        <v>482</v>
      </c>
      <c r="BC1938" t="s">
        <v>483</v>
      </c>
      <c r="BK1938" t="s">
        <v>502</v>
      </c>
      <c r="BM1938" t="s">
        <v>454</v>
      </c>
      <c r="BU1938" s="100"/>
    </row>
    <row r="1939" x14ac:dyDescent="0.25">
      <c r="B1939" t="s">
        <v>448</v>
      </c>
      <c r="C1939" t="s">
        <v>272</v>
      </c>
      <c r="D1939" t="s">
        <v>193</v>
      </c>
      <c r="E1939" s="70" t="s">
        <v>454</v>
      </c>
      <c r="F1939" s="71" t="s">
        <v>501</v>
      </c>
      <c r="H1939" t="s">
        <v>475</v>
      </c>
      <c r="J1939" t="s">
        <v>476</v>
      </c>
      <c r="P1939" s="93"/>
      <c r="R1939" t="s">
        <v>480</v>
      </c>
      <c r="S1939" t="s">
        <v>481</v>
      </c>
      <c r="T1939" t="s">
        <v>486</v>
      </c>
      <c r="U1939" t="s">
        <v>487</v>
      </c>
      <c r="V1939" t="s">
        <v>484</v>
      </c>
      <c r="W1939" t="s">
        <v>485</v>
      </c>
      <c r="X1939" t="s">
        <v>488</v>
      </c>
      <c r="Y1939" t="s">
        <v>489</v>
      </c>
      <c r="Z1939" t="s">
        <v>480</v>
      </c>
      <c r="AA1939" t="s">
        <v>481</v>
      </c>
      <c r="AB1939" t="s">
        <v>486</v>
      </c>
      <c r="AC1939" t="s">
        <v>487</v>
      </c>
      <c r="AD1939" t="s">
        <v>484</v>
      </c>
      <c r="AE1939" t="s">
        <v>485</v>
      </c>
      <c r="AF1939" t="s">
        <v>488</v>
      </c>
      <c r="AG1939" t="s">
        <v>489</v>
      </c>
      <c r="AH1939" t="s">
        <v>312</v>
      </c>
      <c r="AI1939" t="s">
        <v>258</v>
      </c>
      <c r="AJ1939" t="s">
        <v>486</v>
      </c>
      <c r="AK1939" t="s">
        <v>490</v>
      </c>
      <c r="AL1939" t="s">
        <v>487</v>
      </c>
      <c r="AM1939" t="s">
        <v>490</v>
      </c>
      <c r="AN1939" t="s">
        <v>488</v>
      </c>
      <c r="AO1939" t="s">
        <v>490</v>
      </c>
      <c r="AP1939" t="s">
        <v>489</v>
      </c>
      <c r="AQ1939" t="s">
        <v>490</v>
      </c>
      <c r="AR1939" s="100"/>
      <c r="AS1939" s="93"/>
      <c r="AU1939" t="s">
        <v>480</v>
      </c>
      <c r="AV1939" t="s">
        <v>481</v>
      </c>
      <c r="AW1939" t="s">
        <v>486</v>
      </c>
      <c r="AX1939" t="s">
        <v>487</v>
      </c>
      <c r="AY1939" t="s">
        <v>484</v>
      </c>
      <c r="AZ1939" t="s">
        <v>485</v>
      </c>
      <c r="BA1939" t="s">
        <v>488</v>
      </c>
      <c r="BB1939" t="s">
        <v>489</v>
      </c>
      <c r="BC1939" t="s">
        <v>480</v>
      </c>
      <c r="BD1939" t="s">
        <v>481</v>
      </c>
      <c r="BE1939" t="s">
        <v>486</v>
      </c>
      <c r="BF1939" t="s">
        <v>487</v>
      </c>
      <c r="BG1939" t="s">
        <v>484</v>
      </c>
      <c r="BH1939" t="s">
        <v>485</v>
      </c>
      <c r="BI1939" t="s">
        <v>488</v>
      </c>
      <c r="BJ1939" t="s">
        <v>489</v>
      </c>
      <c r="BK1939" t="s">
        <v>312</v>
      </c>
      <c r="BL1939" t="s">
        <v>258</v>
      </c>
      <c r="BM1939" t="s">
        <v>486</v>
      </c>
      <c r="BN1939" t="s">
        <v>490</v>
      </c>
      <c r="BO1939" t="s">
        <v>487</v>
      </c>
      <c r="BP1939" t="s">
        <v>490</v>
      </c>
      <c r="BQ1939" t="s">
        <v>488</v>
      </c>
      <c r="BR1939" t="s">
        <v>490</v>
      </c>
      <c r="BS1939" t="s">
        <v>489</v>
      </c>
      <c r="BT1939" t="s">
        <v>490</v>
      </c>
      <c r="BU1939" s="100"/>
    </row>
    <row r="1940" x14ac:dyDescent="0.25">
      <c r="B1940" t="s">
        <v>449</v>
      </c>
      <c r="C1940" s="19">
        <v>0</v>
      </c>
      <c r="D1940" s="19">
        <v>0</v>
      </c>
      <c r="E1940" s="66">
        <f>C20+D20/12</f>
        <v>0</v>
      </c>
      <c r="F1940" s="67">
        <v>0</v>
      </c>
      <c r="H1940" s="19">
        <v>0</v>
      </c>
      <c r="I1940" s="64" t="s">
        <v>196</v>
      </c>
      <c r="J1940" s="19">
        <v>0</v>
      </c>
      <c r="K1940" s="19">
        <v>0</v>
      </c>
      <c r="L1940" s="19">
        <v>0</v>
      </c>
      <c r="M1940" s="19">
        <v>0</v>
      </c>
      <c r="P1940" s="93"/>
      <c r="Q1940" t="s">
        <v>449</v>
      </c>
      <c r="R1940" s="19">
        <f>$H$20</f>
        <v>0</v>
      </c>
      <c r="S1940">
        <f>R1940*0.6</f>
        <v>0</v>
      </c>
      <c r="T1940">
        <f>$C$57/2*R1940</f>
        <v>0</v>
      </c>
      <c r="U1940">
        <f>T1940*0.6</f>
        <v>0</v>
      </c>
      <c r="V1940" s="19">
        <v>0</v>
      </c>
      <c r="W1940">
        <f>V1940*0.7</f>
        <v>0</v>
      </c>
      <c r="X1940">
        <f>$C$57/2*V1940</f>
        <v>0</v>
      </c>
      <c r="Y1940">
        <f>X1940*0.7</f>
        <v>0</v>
      </c>
      <c r="Z1940" s="19">
        <f>$H$20</f>
        <v>0</v>
      </c>
      <c r="AA1940">
        <f>Z1940*0.6</f>
        <v>0</v>
      </c>
      <c r="AB1940">
        <f>$D$57/2*Z1940</f>
        <v>0</v>
      </c>
      <c r="AC1940">
        <f t="shared" ref="AC1940:AC1946" si="1185">0.6*AB1940</f>
        <v>0</v>
      </c>
      <c r="AD1940" s="19">
        <v>0</v>
      </c>
      <c r="AE1940">
        <f>AD1940*0.7</f>
        <v>0</v>
      </c>
      <c r="AF1940">
        <f>$D$57/2*AD1940</f>
        <v>0</v>
      </c>
      <c r="AG1940">
        <f>AF1940*0.7</f>
        <v>0</v>
      </c>
      <c r="AH1940" s="19">
        <v>0</v>
      </c>
      <c r="AI1940" s="19">
        <v>0</v>
      </c>
      <c r="AJ1940" s="17">
        <f>T1940+AB1940+AH1940</f>
        <v>0</v>
      </c>
      <c r="AK1940" s="17">
        <f>AK1941+AJ1940</f>
        <v>13166</v>
      </c>
      <c r="AL1940" s="17">
        <f>AJ1940*0.6</f>
        <v>0</v>
      </c>
      <c r="AM1940" s="17">
        <f>AM1941+AL1940</f>
        <v>7899.5999999999995</v>
      </c>
      <c r="AN1940" s="17">
        <f>X1940+AF1940+AI1940</f>
        <v>0</v>
      </c>
      <c r="AO1940" s="17">
        <f t="shared" ref="AO1940:AQ1943" si="1186">AN1940+AO1941</f>
        <v>1302.0999999999999</v>
      </c>
      <c r="AP1940" s="17">
        <f>AN1940*0.7</f>
        <v>0</v>
      </c>
      <c r="AQ1940" s="17">
        <f>AP1940+AQ1941</f>
        <v>911.46999999999991</v>
      </c>
      <c r="AR1940" s="100"/>
      <c r="AS1940" s="93"/>
      <c r="AT1940" t="s">
        <v>449</v>
      </c>
      <c r="AU1940" s="19">
        <f>$H$20</f>
        <v>0</v>
      </c>
      <c r="AV1940">
        <f>AU1940*0.6</f>
        <v>0</v>
      </c>
      <c r="AW1940">
        <f t="shared" ref="AW1940:AW1946" si="1187">$I$57/2*AU1940</f>
        <v>0</v>
      </c>
      <c r="AX1940">
        <f>AW1940*0.6</f>
        <v>0</v>
      </c>
      <c r="AY1940" s="19">
        <v>0</v>
      </c>
      <c r="AZ1940">
        <f>AY1940*0.7</f>
        <v>0</v>
      </c>
      <c r="BA1940">
        <f t="shared" ref="BA1940:BA1945" si="1188">$I$57/2*AY1940</f>
        <v>0</v>
      </c>
      <c r="BB1940">
        <f>BA1940*0.7</f>
        <v>0</v>
      </c>
      <c r="BC1940" s="19">
        <f>$H$20</f>
        <v>0</v>
      </c>
      <c r="BD1940">
        <f>BC1940*0.6</f>
        <v>0</v>
      </c>
      <c r="BE1940">
        <f t="shared" ref="BE1940:BE1946" si="1189">$J$57/2*BC1940</f>
        <v>0</v>
      </c>
      <c r="BF1940">
        <f t="shared" ref="BF1940:BF1946" si="1190">0.6*BE1940</f>
        <v>0</v>
      </c>
      <c r="BG1940" s="19">
        <v>0</v>
      </c>
      <c r="BH1940">
        <f>BG1940*0.7</f>
        <v>0</v>
      </c>
      <c r="BI1940">
        <f t="shared" ref="BI1940:BI1945" si="1191">$J$57/2*BG1940</f>
        <v>0</v>
      </c>
      <c r="BJ1940">
        <f>BI1940*0.7</f>
        <v>0</v>
      </c>
      <c r="BK1940" s="19">
        <v>0</v>
      </c>
      <c r="BL1940" s="19">
        <v>0</v>
      </c>
      <c r="BM1940" s="17">
        <f>AW1940+BE1940+BK1940</f>
        <v>0</v>
      </c>
      <c r="BN1940" s="17">
        <f>BN1941+BM1940</f>
        <v>12258</v>
      </c>
      <c r="BO1940" s="17">
        <f>BM1940*0.6</f>
        <v>0</v>
      </c>
      <c r="BP1940" s="17">
        <f>BP1941+BO1940</f>
        <v>7354.7999999999993</v>
      </c>
      <c r="BQ1940" s="17">
        <f>BA1940+BI1940+BL1940</f>
        <v>0</v>
      </c>
      <c r="BR1940" s="17">
        <f t="shared" ref="BR1940:BR1943" si="1192">BQ1940+BR1941</f>
        <v>1212.3</v>
      </c>
      <c r="BS1940" s="17">
        <f>BQ1940*0.7</f>
        <v>0</v>
      </c>
      <c r="BT1940" s="17">
        <f>BS1940+BT1941</f>
        <v>848.6099999999999</v>
      </c>
      <c r="BU1940" s="100"/>
    </row>
    <row r="1941" x14ac:dyDescent="0.25">
      <c r="B1941" t="s">
        <v>450</v>
      </c>
      <c r="C1941" s="19">
        <v>10</v>
      </c>
      <c r="D1941" s="19">
        <v>8.25</v>
      </c>
      <c r="E1941" s="66">
        <f>C21+D21/12</f>
        <v>10.6875</v>
      </c>
      <c r="F1941" s="67">
        <f>IF(E21&gt;0,E21-(C15+C14+2*1.5+IF(C13="single",1.5,3))/12-_xlfn.XLOOKUP(E21,E20,E20,,-1),0)</f>
        <v>8.75</v>
      </c>
      <c r="H1941" s="19">
        <v>236</v>
      </c>
      <c r="I1941" s="64" t="s">
        <v>196</v>
      </c>
      <c r="J1941" s="19">
        <v>33.799999999999997</v>
      </c>
      <c r="K1941" s="19">
        <v>65.599999999999994</v>
      </c>
      <c r="L1941" s="19">
        <v>19.3</v>
      </c>
      <c r="M1941" s="19">
        <v>119.6</v>
      </c>
      <c r="P1941" s="93"/>
      <c r="Q1941" t="s">
        <v>450</v>
      </c>
      <c r="R1941" s="19">
        <f>$H$21</f>
        <v>236</v>
      </c>
      <c r="S1941">
        <f t="shared" ref="S1941:S1946" si="1193">R1941*0.6</f>
        <v>141.6</v>
      </c>
      <c r="T1941">
        <f t="shared" ref="T1941:T1945" si="1194">$C$57/2*R1941</f>
        <v>0</v>
      </c>
      <c r="U1941">
        <f>T1941*0.6</f>
        <v>0</v>
      </c>
      <c r="V1941" s="19">
        <v>33.799999999999997</v>
      </c>
      <c r="W1941">
        <f t="shared" ref="W1941:W1945" si="1195">V1941*0.7</f>
        <v>23.659999999999997</v>
      </c>
      <c r="X1941">
        <f t="shared" ref="X1941:X1945" si="1196">$C$57/2*V1941</f>
        <v>0</v>
      </c>
      <c r="Y1941">
        <f t="shared" ref="Y1941:Y1945" si="1197">X1941*0.7</f>
        <v>0</v>
      </c>
      <c r="Z1941" s="19">
        <f>$H$21</f>
        <v>236</v>
      </c>
      <c r="AA1941">
        <f t="shared" ref="AA1941:AA1945" si="1198">Z1941*0.6</f>
        <v>141.6</v>
      </c>
      <c r="AB1941">
        <f t="shared" ref="AB1941:AB1945" si="1199">$D$57/2*Z1941</f>
        <v>3422</v>
      </c>
      <c r="AC1941">
        <f t="shared" si="1185"/>
        <v>2053.1999999999998</v>
      </c>
      <c r="AD1941" s="19">
        <v>33.799999999999997</v>
      </c>
      <c r="AE1941">
        <f t="shared" ref="AE1941:AE1945" si="1200">AD1941*0.7</f>
        <v>23.659999999999997</v>
      </c>
      <c r="AF1941">
        <f t="shared" ref="AF1941:AF1945" si="1201">$D$57/2*AD1941</f>
        <v>490.09999999999997</v>
      </c>
      <c r="AG1941">
        <f t="shared" ref="AG1941:AG1945" si="1202">AF1941*0.7</f>
        <v>343.06999999999994</v>
      </c>
      <c r="AH1941" s="19">
        <v>0</v>
      </c>
      <c r="AI1941" s="19">
        <v>0</v>
      </c>
      <c r="AJ1941" s="17">
        <f>T1941+AB1941+AH1941</f>
        <v>3422</v>
      </c>
      <c r="AK1941" s="17">
        <f>AK1942+AJ1941</f>
        <v>13166</v>
      </c>
      <c r="AL1941" s="17">
        <f t="shared" ref="AL1941:AL1945" si="1203">AJ1941*0.6</f>
        <v>2053.1999999999998</v>
      </c>
      <c r="AM1941" s="17">
        <f t="shared" ref="AM1941:AM1943" si="1204">AM1942+AL1941</f>
        <v>7899.5999999999995</v>
      </c>
      <c r="AN1941" s="17">
        <f t="shared" ref="AN1941:AN1944" si="1205">X1941+AF1941+AI1941</f>
        <v>490.09999999999997</v>
      </c>
      <c r="AO1941" s="17">
        <f t="shared" si="1186"/>
        <v>1302.0999999999999</v>
      </c>
      <c r="AP1941" s="17">
        <f t="shared" ref="AP1941:AP1944" si="1206">AN1941*0.7</f>
        <v>343.06999999999994</v>
      </c>
      <c r="AQ1941" s="17">
        <f t="shared" si="1186"/>
        <v>911.46999999999991</v>
      </c>
      <c r="AR1941" s="100"/>
      <c r="AS1941" s="93"/>
      <c r="AT1941" t="s">
        <v>450</v>
      </c>
      <c r="AU1941" s="19">
        <f>$H$21</f>
        <v>236</v>
      </c>
      <c r="AV1941">
        <f t="shared" ref="AV1941:AV1946" si="1207">AU1941*0.6</f>
        <v>141.6</v>
      </c>
      <c r="AW1941">
        <f t="shared" si="1187"/>
        <v>0</v>
      </c>
      <c r="AX1941">
        <f>AW1941*0.6</f>
        <v>0</v>
      </c>
      <c r="AY1941" s="19">
        <v>33.799999999999997</v>
      </c>
      <c r="AZ1941">
        <f t="shared" ref="AZ1941:AZ1945" si="1208">AY1941*0.7</f>
        <v>23.659999999999997</v>
      </c>
      <c r="BA1941">
        <f t="shared" si="1188"/>
        <v>0</v>
      </c>
      <c r="BB1941">
        <f t="shared" ref="BB1941:BB1945" si="1209">BA1941*0.7</f>
        <v>0</v>
      </c>
      <c r="BC1941" s="19">
        <f>$H$21</f>
        <v>236</v>
      </c>
      <c r="BD1941">
        <f t="shared" ref="BD1941:BD1945" si="1210">BC1941*0.6</f>
        <v>141.6</v>
      </c>
      <c r="BE1941">
        <f t="shared" si="1189"/>
        <v>3186</v>
      </c>
      <c r="BF1941">
        <f t="shared" si="1190"/>
        <v>1911.6</v>
      </c>
      <c r="BG1941" s="19">
        <v>33.799999999999997</v>
      </c>
      <c r="BH1941">
        <f t="shared" ref="BH1941:BH1945" si="1211">BG1941*0.7</f>
        <v>23.659999999999997</v>
      </c>
      <c r="BI1941">
        <f t="shared" si="1191"/>
        <v>456.29999999999995</v>
      </c>
      <c r="BJ1941">
        <f t="shared" ref="BJ1941:BJ1945" si="1212">BI1941*0.7</f>
        <v>319.40999999999997</v>
      </c>
      <c r="BK1941" s="19">
        <v>0</v>
      </c>
      <c r="BL1941" s="19">
        <v>0</v>
      </c>
      <c r="BM1941" s="17">
        <f>AW1941+BE1941+BK1941</f>
        <v>3186</v>
      </c>
      <c r="BN1941" s="17">
        <f>BN1942+BM1941</f>
        <v>12258</v>
      </c>
      <c r="BO1941" s="17">
        <f t="shared" ref="BO1941" si="1213">BM1941*0.6</f>
        <v>1911.6</v>
      </c>
      <c r="BP1941" s="17">
        <f t="shared" ref="BP1941:BP1943" si="1214">BP1942+BO1941</f>
        <v>7354.7999999999993</v>
      </c>
      <c r="BQ1941" s="17">
        <f t="shared" ref="BQ1941:BQ1944" si="1215">BA1941+BI1941+BL1941</f>
        <v>456.29999999999995</v>
      </c>
      <c r="BR1941" s="17">
        <f t="shared" si="1192"/>
        <v>1212.3</v>
      </c>
      <c r="BS1941" s="17">
        <f t="shared" ref="BS1941:BS1944" si="1216">BQ1941*0.7</f>
        <v>319.40999999999997</v>
      </c>
      <c r="BT1941" s="17">
        <f t="shared" ref="BT1941:BT1943" si="1217">BS1941+BT1942</f>
        <v>848.6099999999999</v>
      </c>
      <c r="BU1941" s="100"/>
    </row>
    <row r="1942" x14ac:dyDescent="0.25">
      <c r="B1942" t="s">
        <v>451</v>
      </c>
      <c r="C1942" s="19">
        <v>21</v>
      </c>
      <c r="D1942" s="19">
        <v>4.5</v>
      </c>
      <c r="E1942" s="66">
        <f t="shared" ref="E22:E25" si="1218">C22+D22/12</f>
        <v>21.375</v>
      </c>
      <c r="F1942" s="67">
        <f>IF(E22&gt;0,E22-(C15+C14+2*1.5+IF(C13="single",1.5,3))/12-_xlfn.XLOOKUP(E22,E20:E21,E20:E21,,-1),0)</f>
        <v>8.75</v>
      </c>
      <c r="H1942" s="19">
        <v>229</v>
      </c>
      <c r="I1942" s="64" t="s">
        <v>196</v>
      </c>
      <c r="J1942" s="19">
        <v>37.1</v>
      </c>
      <c r="K1942" s="19">
        <v>71.8</v>
      </c>
      <c r="L1942" s="19">
        <v>21.1</v>
      </c>
      <c r="M1942" s="19">
        <v>131.1</v>
      </c>
      <c r="P1942" s="93"/>
      <c r="Q1942" t="s">
        <v>451</v>
      </c>
      <c r="R1942" s="19">
        <f>$H$22</f>
        <v>229</v>
      </c>
      <c r="S1942">
        <f t="shared" si="1193"/>
        <v>137.4</v>
      </c>
      <c r="T1942">
        <f t="shared" si="1194"/>
        <v>0</v>
      </c>
      <c r="U1942">
        <f t="shared" ref="U1942:U1946" si="1219">T1942*0.6</f>
        <v>0</v>
      </c>
      <c r="V1942" s="19">
        <v>37.1</v>
      </c>
      <c r="W1942">
        <f t="shared" si="1195"/>
        <v>25.97</v>
      </c>
      <c r="X1942">
        <f>$C$57/2*V1942</f>
        <v>0</v>
      </c>
      <c r="Y1942">
        <f t="shared" si="1197"/>
        <v>0</v>
      </c>
      <c r="Z1942" s="19">
        <f>$H$22</f>
        <v>229</v>
      </c>
      <c r="AA1942">
        <f t="shared" si="1198"/>
        <v>137.4</v>
      </c>
      <c r="AB1942">
        <f t="shared" si="1199"/>
        <v>3320.5</v>
      </c>
      <c r="AC1942">
        <f t="shared" si="1185"/>
        <v>1992.3</v>
      </c>
      <c r="AD1942" s="19">
        <v>37.1</v>
      </c>
      <c r="AE1942">
        <f t="shared" si="1200"/>
        <v>25.97</v>
      </c>
      <c r="AF1942">
        <f t="shared" si="1201"/>
        <v>537.95000000000005</v>
      </c>
      <c r="AG1942">
        <f t="shared" si="1202"/>
        <v>376.565</v>
      </c>
      <c r="AH1942" s="19">
        <v>0</v>
      </c>
      <c r="AI1942" s="19">
        <v>0</v>
      </c>
      <c r="AJ1942" s="17">
        <f t="shared" ref="AJ1942:AJ1944" si="1220">T1942+AB1942+AH1942</f>
        <v>3320.5</v>
      </c>
      <c r="AK1942" s="17">
        <f>AK1943+AJ1942</f>
        <v>9744</v>
      </c>
      <c r="AL1942" s="17">
        <f>AJ1942*0.6</f>
        <v>1992.3</v>
      </c>
      <c r="AM1942" s="17">
        <f t="shared" si="1204"/>
        <v>5846.4</v>
      </c>
      <c r="AN1942" s="17">
        <f t="shared" si="1205"/>
        <v>537.95000000000005</v>
      </c>
      <c r="AO1942" s="17">
        <f t="shared" si="1186"/>
        <v>812</v>
      </c>
      <c r="AP1942" s="17">
        <f t="shared" si="1206"/>
        <v>376.565</v>
      </c>
      <c r="AQ1942" s="17">
        <f t="shared" si="1186"/>
        <v>568.4</v>
      </c>
      <c r="AR1942" s="100"/>
      <c r="AS1942" s="93"/>
      <c r="AT1942" t="s">
        <v>451</v>
      </c>
      <c r="AU1942" s="19">
        <f>$H$22</f>
        <v>229</v>
      </c>
      <c r="AV1942">
        <f t="shared" si="1207"/>
        <v>137.4</v>
      </c>
      <c r="AW1942">
        <f t="shared" si="1187"/>
        <v>0</v>
      </c>
      <c r="AX1942">
        <f t="shared" ref="AX1942:AX1946" si="1221">AW1942*0.6</f>
        <v>0</v>
      </c>
      <c r="AY1942" s="19">
        <v>37.1</v>
      </c>
      <c r="AZ1942">
        <f t="shared" si="1208"/>
        <v>25.97</v>
      </c>
      <c r="BA1942">
        <f t="shared" si="1188"/>
        <v>0</v>
      </c>
      <c r="BB1942">
        <f t="shared" si="1209"/>
        <v>0</v>
      </c>
      <c r="BC1942" s="19">
        <f>$H$22</f>
        <v>229</v>
      </c>
      <c r="BD1942">
        <f t="shared" si="1210"/>
        <v>137.4</v>
      </c>
      <c r="BE1942">
        <f t="shared" si="1189"/>
        <v>3091.5</v>
      </c>
      <c r="BF1942">
        <f t="shared" si="1190"/>
        <v>1854.8999999999999</v>
      </c>
      <c r="BG1942" s="19">
        <v>37.1</v>
      </c>
      <c r="BH1942">
        <f t="shared" si="1211"/>
        <v>25.97</v>
      </c>
      <c r="BI1942">
        <f t="shared" si="1191"/>
        <v>500.85</v>
      </c>
      <c r="BJ1942">
        <f t="shared" si="1212"/>
        <v>350.59499999999997</v>
      </c>
      <c r="BK1942" s="19">
        <v>0</v>
      </c>
      <c r="BL1942" s="19">
        <v>0</v>
      </c>
      <c r="BM1942" s="17">
        <f t="shared" ref="BM1942:BM1944" si="1222">AW1942+BE1942+BK1942</f>
        <v>3091.5</v>
      </c>
      <c r="BN1942" s="17">
        <f>BN1943+BM1942</f>
        <v>9072</v>
      </c>
      <c r="BO1942" s="17">
        <f>BM1942*0.6</f>
        <v>1854.8999999999999</v>
      </c>
      <c r="BP1942" s="17">
        <f t="shared" si="1214"/>
        <v>5443.2</v>
      </c>
      <c r="BQ1942" s="17">
        <f t="shared" si="1215"/>
        <v>500.85</v>
      </c>
      <c r="BR1942" s="17">
        <f t="shared" si="1192"/>
        <v>756</v>
      </c>
      <c r="BS1942" s="17">
        <f t="shared" si="1216"/>
        <v>350.59499999999997</v>
      </c>
      <c r="BT1942" s="17">
        <f t="shared" si="1217"/>
        <v>529.19999999999993</v>
      </c>
      <c r="BU1942" s="100"/>
    </row>
    <row r="1943" x14ac:dyDescent="0.25">
      <c r="B1943" t="s">
        <v>452</v>
      </c>
      <c r="C1943" s="19">
        <v>0</v>
      </c>
      <c r="D1943" s="19">
        <v>0</v>
      </c>
      <c r="E1943" s="66">
        <f t="shared" si="1218"/>
        <v>0</v>
      </c>
      <c r="F1943" s="67">
        <f>IF(E23&gt;0,E23-(C15+C14+2*1.5+IF(C13="single",1.5,3))/12-_xlfn.XLOOKUP(E23,E20:E22,E20:E22,,-1),0)</f>
        <v>0</v>
      </c>
      <c r="H1943" s="19">
        <v>0</v>
      </c>
      <c r="I1943" s="64" t="s">
        <v>196</v>
      </c>
      <c r="J1943" s="19">
        <v>0</v>
      </c>
      <c r="K1943" s="19">
        <v>0</v>
      </c>
      <c r="L1943" s="19">
        <v>0</v>
      </c>
      <c r="M1943" s="19">
        <v>0</v>
      </c>
      <c r="P1943" s="93"/>
      <c r="Q1943" t="s">
        <v>452</v>
      </c>
      <c r="R1943" s="19">
        <f>$H$23</f>
        <v>0</v>
      </c>
      <c r="S1943">
        <f t="shared" si="1193"/>
        <v>0</v>
      </c>
      <c r="T1943">
        <f t="shared" si="1194"/>
        <v>0</v>
      </c>
      <c r="U1943">
        <f t="shared" si="1219"/>
        <v>0</v>
      </c>
      <c r="V1943" s="19">
        <v>0</v>
      </c>
      <c r="W1943">
        <f t="shared" si="1195"/>
        <v>0</v>
      </c>
      <c r="X1943">
        <f t="shared" si="1196"/>
        <v>0</v>
      </c>
      <c r="Y1943">
        <f t="shared" si="1197"/>
        <v>0</v>
      </c>
      <c r="Z1943" s="19">
        <f>$H$23</f>
        <v>0</v>
      </c>
      <c r="AA1943">
        <f t="shared" si="1198"/>
        <v>0</v>
      </c>
      <c r="AB1943">
        <f t="shared" si="1199"/>
        <v>0</v>
      </c>
      <c r="AC1943">
        <f t="shared" si="1185"/>
        <v>0</v>
      </c>
      <c r="AD1943" s="19">
        <v>0</v>
      </c>
      <c r="AE1943">
        <f t="shared" si="1200"/>
        <v>0</v>
      </c>
      <c r="AF1943">
        <f t="shared" si="1201"/>
        <v>0</v>
      </c>
      <c r="AG1943">
        <f t="shared" si="1202"/>
        <v>0</v>
      </c>
      <c r="AH1943" s="19">
        <v>0</v>
      </c>
      <c r="AI1943" s="19">
        <v>0</v>
      </c>
      <c r="AJ1943" s="17">
        <f t="shared" si="1220"/>
        <v>0</v>
      </c>
      <c r="AK1943" s="17">
        <f>AK1944+AJ1943</f>
        <v>6423.5</v>
      </c>
      <c r="AL1943" s="17">
        <f>AJ1943*0.6</f>
        <v>0</v>
      </c>
      <c r="AM1943" s="17">
        <f t="shared" si="1204"/>
        <v>3854.1</v>
      </c>
      <c r="AN1943" s="17">
        <f t="shared" si="1205"/>
        <v>0</v>
      </c>
      <c r="AO1943" s="17">
        <f t="shared" si="1186"/>
        <v>274.04999999999995</v>
      </c>
      <c r="AP1943" s="17">
        <f t="shared" si="1206"/>
        <v>0</v>
      </c>
      <c r="AQ1943" s="17">
        <f t="shared" si="1186"/>
        <v>191.83499999999995</v>
      </c>
      <c r="AR1943" s="100"/>
      <c r="AS1943" s="93"/>
      <c r="AT1943" t="s">
        <v>452</v>
      </c>
      <c r="AU1943" s="19">
        <f>$H$23</f>
        <v>0</v>
      </c>
      <c r="AV1943">
        <f t="shared" si="1207"/>
        <v>0</v>
      </c>
      <c r="AW1943">
        <f t="shared" si="1187"/>
        <v>0</v>
      </c>
      <c r="AX1943">
        <f t="shared" si="1221"/>
        <v>0</v>
      </c>
      <c r="AY1943" s="19">
        <v>0</v>
      </c>
      <c r="AZ1943">
        <f t="shared" si="1208"/>
        <v>0</v>
      </c>
      <c r="BA1943">
        <f t="shared" si="1188"/>
        <v>0</v>
      </c>
      <c r="BB1943">
        <f t="shared" si="1209"/>
        <v>0</v>
      </c>
      <c r="BC1943" s="19">
        <f>$H$23</f>
        <v>0</v>
      </c>
      <c r="BD1943">
        <f t="shared" si="1210"/>
        <v>0</v>
      </c>
      <c r="BE1943">
        <f t="shared" si="1189"/>
        <v>0</v>
      </c>
      <c r="BF1943">
        <f t="shared" si="1190"/>
        <v>0</v>
      </c>
      <c r="BG1943" s="19">
        <v>0</v>
      </c>
      <c r="BH1943">
        <f t="shared" si="1211"/>
        <v>0</v>
      </c>
      <c r="BI1943">
        <f t="shared" si="1191"/>
        <v>0</v>
      </c>
      <c r="BJ1943">
        <f t="shared" si="1212"/>
        <v>0</v>
      </c>
      <c r="BK1943" s="19">
        <v>0</v>
      </c>
      <c r="BL1943" s="19">
        <v>0</v>
      </c>
      <c r="BM1943" s="17">
        <f t="shared" si="1222"/>
        <v>0</v>
      </c>
      <c r="BN1943" s="17">
        <f>BN1944+BM1943</f>
        <v>5980.5</v>
      </c>
      <c r="BO1943" s="17">
        <f>BM1943*0.6</f>
        <v>0</v>
      </c>
      <c r="BP1943" s="17">
        <f t="shared" si="1214"/>
        <v>3588.2999999999997</v>
      </c>
      <c r="BQ1943" s="17">
        <f t="shared" si="1215"/>
        <v>0</v>
      </c>
      <c r="BR1943" s="17">
        <f t="shared" si="1192"/>
        <v>255.14999999999998</v>
      </c>
      <c r="BS1943" s="17">
        <f t="shared" si="1216"/>
        <v>0</v>
      </c>
      <c r="BT1943" s="17">
        <f t="shared" si="1217"/>
        <v>178.60499999999996</v>
      </c>
      <c r="BU1943" s="100"/>
    </row>
    <row r="1944" x14ac:dyDescent="0.25">
      <c r="B1944" t="s">
        <v>453</v>
      </c>
      <c r="C1944" s="19">
        <v>0</v>
      </c>
      <c r="D1944" s="19">
        <v>0</v>
      </c>
      <c r="E1944" s="66">
        <f t="shared" si="1218"/>
        <v>0</v>
      </c>
      <c r="F1944" s="67">
        <f>IF(E24&gt;0,E24-(C15+C14+2*1.5+IF(C13="single",1.5,3))/12-_xlfn.XLOOKUP(E24,E20:E23,E20:E23,,-1),0)</f>
        <v>0</v>
      </c>
      <c r="H1944" s="19">
        <v>0</v>
      </c>
      <c r="I1944" s="64" t="s">
        <v>196</v>
      </c>
      <c r="J1944" s="19">
        <v>0</v>
      </c>
      <c r="K1944" s="19">
        <v>0</v>
      </c>
      <c r="L1944" s="19">
        <v>0</v>
      </c>
      <c r="M1944" s="19">
        <v>0</v>
      </c>
      <c r="P1944" s="93"/>
      <c r="Q1944" t="s">
        <v>453</v>
      </c>
      <c r="R1944" s="19">
        <f>$H$24</f>
        <v>0</v>
      </c>
      <c r="S1944">
        <f t="shared" si="1193"/>
        <v>0</v>
      </c>
      <c r="T1944">
        <f t="shared" si="1194"/>
        <v>0</v>
      </c>
      <c r="U1944">
        <f t="shared" si="1219"/>
        <v>0</v>
      </c>
      <c r="V1944" s="19">
        <v>0</v>
      </c>
      <c r="W1944">
        <f t="shared" si="1195"/>
        <v>0</v>
      </c>
      <c r="X1944">
        <f t="shared" si="1196"/>
        <v>0</v>
      </c>
      <c r="Y1944">
        <f t="shared" si="1197"/>
        <v>0</v>
      </c>
      <c r="Z1944" s="19">
        <f>$H$24</f>
        <v>0</v>
      </c>
      <c r="AA1944">
        <f t="shared" si="1198"/>
        <v>0</v>
      </c>
      <c r="AB1944">
        <f t="shared" si="1199"/>
        <v>0</v>
      </c>
      <c r="AC1944">
        <f t="shared" si="1185"/>
        <v>0</v>
      </c>
      <c r="AD1944" s="19">
        <v>0</v>
      </c>
      <c r="AE1944">
        <f t="shared" si="1200"/>
        <v>0</v>
      </c>
      <c r="AF1944">
        <f t="shared" si="1201"/>
        <v>0</v>
      </c>
      <c r="AG1944">
        <f t="shared" si="1202"/>
        <v>0</v>
      </c>
      <c r="AH1944" s="19">
        <v>0</v>
      </c>
      <c r="AI1944" s="19">
        <v>0</v>
      </c>
      <c r="AJ1944" s="17">
        <f t="shared" si="1220"/>
        <v>0</v>
      </c>
      <c r="AK1944" s="17">
        <f>AK1945+IF(AJ1944=0,0,AJ1944)</f>
        <v>6423.5</v>
      </c>
      <c r="AL1944" s="17">
        <f t="shared" si="1203"/>
        <v>0</v>
      </c>
      <c r="AM1944" s="17">
        <f>AM1945+AL1944</f>
        <v>3854.1</v>
      </c>
      <c r="AN1944" s="17">
        <f t="shared" si="1205"/>
        <v>0</v>
      </c>
      <c r="AO1944" s="17">
        <f>AN1944+AO1945</f>
        <v>274.04999999999995</v>
      </c>
      <c r="AP1944" s="17">
        <f t="shared" si="1206"/>
        <v>0</v>
      </c>
      <c r="AQ1944" s="17">
        <f>AP1944+AQ1945</f>
        <v>191.83499999999995</v>
      </c>
      <c r="AR1944" s="100"/>
      <c r="AS1944" s="93"/>
      <c r="AT1944" t="s">
        <v>453</v>
      </c>
      <c r="AU1944" s="19">
        <f>$H$24</f>
        <v>0</v>
      </c>
      <c r="AV1944">
        <f t="shared" si="1207"/>
        <v>0</v>
      </c>
      <c r="AW1944">
        <f t="shared" si="1187"/>
        <v>0</v>
      </c>
      <c r="AX1944">
        <f t="shared" si="1221"/>
        <v>0</v>
      </c>
      <c r="AY1944" s="19">
        <v>0</v>
      </c>
      <c r="AZ1944">
        <f t="shared" si="1208"/>
        <v>0</v>
      </c>
      <c r="BA1944">
        <f t="shared" si="1188"/>
        <v>0</v>
      </c>
      <c r="BB1944">
        <f t="shared" si="1209"/>
        <v>0</v>
      </c>
      <c r="BC1944" s="19">
        <f>$H$24</f>
        <v>0</v>
      </c>
      <c r="BD1944">
        <f t="shared" si="1210"/>
        <v>0</v>
      </c>
      <c r="BE1944">
        <f t="shared" si="1189"/>
        <v>0</v>
      </c>
      <c r="BF1944">
        <f t="shared" si="1190"/>
        <v>0</v>
      </c>
      <c r="BG1944" s="19">
        <v>0</v>
      </c>
      <c r="BH1944">
        <f t="shared" si="1211"/>
        <v>0</v>
      </c>
      <c r="BI1944">
        <f t="shared" si="1191"/>
        <v>0</v>
      </c>
      <c r="BJ1944">
        <f t="shared" si="1212"/>
        <v>0</v>
      </c>
      <c r="BK1944" s="19">
        <v>0</v>
      </c>
      <c r="BL1944" s="19">
        <v>0</v>
      </c>
      <c r="BM1944" s="17">
        <f t="shared" si="1222"/>
        <v>0</v>
      </c>
      <c r="BN1944" s="17">
        <f>BN1945+IF(BM1944=0,0,BM1944)</f>
        <v>5980.5</v>
      </c>
      <c r="BO1944" s="17">
        <f t="shared" ref="BO1944:BO1945" si="1223">BM1944*0.6</f>
        <v>0</v>
      </c>
      <c r="BP1944" s="17">
        <f>BP1945+BO1944</f>
        <v>3588.2999999999997</v>
      </c>
      <c r="BQ1944" s="17">
        <f t="shared" si="1215"/>
        <v>0</v>
      </c>
      <c r="BR1944" s="17">
        <f>BQ1944+BR1945</f>
        <v>255.14999999999998</v>
      </c>
      <c r="BS1944" s="17">
        <f t="shared" si="1216"/>
        <v>0</v>
      </c>
      <c r="BT1944" s="17">
        <f>BS1944+BT1945</f>
        <v>178.60499999999996</v>
      </c>
      <c r="BU1944" s="100"/>
    </row>
    <row r="1945" x14ac:dyDescent="0.25">
      <c r="B1945" t="s">
        <v>275</v>
      </c>
      <c r="C1945" s="19">
        <f>(33+32)/2</f>
        <v>32.5</v>
      </c>
      <c r="D1945" s="19">
        <f>(10.5+5.625)/2</f>
        <v>8.0625</v>
      </c>
      <c r="E1945" s="68">
        <f t="shared" si="1218"/>
        <v>33.171875</v>
      </c>
      <c r="F1945" s="69">
        <f>E25-(C17+C16+2*1.5+IF(C13="single",1.5,3))/12-_xlfn.XLOOKUP(E25,E20:E24,E20:E24,,-1)</f>
        <v>8.6770833333333321</v>
      </c>
      <c r="H1945" s="19">
        <v>443</v>
      </c>
      <c r="I1945" s="64" t="s">
        <v>196</v>
      </c>
      <c r="J1945" s="19">
        <v>18.899999999999999</v>
      </c>
      <c r="K1945" s="19">
        <v>36.6</v>
      </c>
      <c r="L1945" s="19">
        <v>10.8</v>
      </c>
      <c r="M1945" s="19">
        <v>66.7</v>
      </c>
      <c r="P1945" s="93"/>
      <c r="Q1945" t="s">
        <v>275</v>
      </c>
      <c r="R1945" s="19">
        <f>$H$25</f>
        <v>443</v>
      </c>
      <c r="S1945">
        <f t="shared" si="1193"/>
        <v>265.8</v>
      </c>
      <c r="T1945">
        <f t="shared" si="1194"/>
        <v>0</v>
      </c>
      <c r="U1945">
        <f t="shared" si="1219"/>
        <v>0</v>
      </c>
      <c r="V1945" s="19">
        <v>18.899999999999999</v>
      </c>
      <c r="W1945">
        <f t="shared" si="1195"/>
        <v>13.229999999999999</v>
      </c>
      <c r="X1945">
        <f t="shared" si="1196"/>
        <v>0</v>
      </c>
      <c r="Y1945">
        <f t="shared" si="1197"/>
        <v>0</v>
      </c>
      <c r="Z1945" s="19">
        <f>$H$25</f>
        <v>443</v>
      </c>
      <c r="AA1945">
        <f t="shared" si="1198"/>
        <v>265.8</v>
      </c>
      <c r="AB1945">
        <f t="shared" si="1199"/>
        <v>6423.5</v>
      </c>
      <c r="AC1945">
        <f t="shared" si="1185"/>
        <v>3854.1</v>
      </c>
      <c r="AD1945" s="19">
        <v>18.899999999999999</v>
      </c>
      <c r="AE1945">
        <f t="shared" si="1200"/>
        <v>13.229999999999999</v>
      </c>
      <c r="AF1945">
        <f t="shared" si="1201"/>
        <v>274.04999999999995</v>
      </c>
      <c r="AG1945">
        <f t="shared" si="1202"/>
        <v>191.83499999999995</v>
      </c>
      <c r="AH1945" s="19">
        <v>0</v>
      </c>
      <c r="AI1945" s="19">
        <v>0</v>
      </c>
      <c r="AJ1945" s="17">
        <f>T1945+AB1945+AH1945</f>
        <v>6423.5</v>
      </c>
      <c r="AK1945" s="17">
        <f>AJ1945</f>
        <v>6423.5</v>
      </c>
      <c r="AL1945" s="17">
        <f t="shared" si="1203"/>
        <v>3854.1</v>
      </c>
      <c r="AM1945" s="17">
        <f>AL1945</f>
        <v>3854.1</v>
      </c>
      <c r="AN1945" s="17">
        <f>X1945+AF1945+AI1945</f>
        <v>274.04999999999995</v>
      </c>
      <c r="AO1945" s="17">
        <f>AN1945</f>
        <v>274.04999999999995</v>
      </c>
      <c r="AP1945" s="17">
        <f>AN1945*0.7</f>
        <v>191.83499999999995</v>
      </c>
      <c r="AQ1945" s="17">
        <f>AP1945</f>
        <v>191.83499999999995</v>
      </c>
      <c r="AR1945" s="100"/>
      <c r="AS1945" s="93"/>
      <c r="AT1945" t="s">
        <v>275</v>
      </c>
      <c r="AU1945" s="19">
        <f>$H$25</f>
        <v>443</v>
      </c>
      <c r="AV1945">
        <f t="shared" si="1207"/>
        <v>265.8</v>
      </c>
      <c r="AW1945">
        <f t="shared" si="1187"/>
        <v>0</v>
      </c>
      <c r="AX1945">
        <f t="shared" si="1221"/>
        <v>0</v>
      </c>
      <c r="AY1945" s="19">
        <v>18.899999999999999</v>
      </c>
      <c r="AZ1945">
        <f t="shared" si="1208"/>
        <v>13.229999999999999</v>
      </c>
      <c r="BA1945">
        <f t="shared" si="1188"/>
        <v>0</v>
      </c>
      <c r="BB1945">
        <f t="shared" si="1209"/>
        <v>0</v>
      </c>
      <c r="BC1945" s="19">
        <f>$H$25</f>
        <v>443</v>
      </c>
      <c r="BD1945">
        <f t="shared" si="1210"/>
        <v>265.8</v>
      </c>
      <c r="BE1945">
        <f t="shared" si="1189"/>
        <v>5980.5</v>
      </c>
      <c r="BF1945">
        <f t="shared" si="1190"/>
        <v>3588.2999999999997</v>
      </c>
      <c r="BG1945" s="19">
        <v>18.899999999999999</v>
      </c>
      <c r="BH1945">
        <f t="shared" si="1211"/>
        <v>13.229999999999999</v>
      </c>
      <c r="BI1945">
        <f t="shared" si="1191"/>
        <v>255.14999999999998</v>
      </c>
      <c r="BJ1945">
        <f t="shared" si="1212"/>
        <v>178.60499999999996</v>
      </c>
      <c r="BK1945" s="19">
        <v>0</v>
      </c>
      <c r="BL1945" s="19">
        <v>0</v>
      </c>
      <c r="BM1945" s="17">
        <f>AW1945+BE1945+BK1945</f>
        <v>5980.5</v>
      </c>
      <c r="BN1945" s="17">
        <f>BM1945</f>
        <v>5980.5</v>
      </c>
      <c r="BO1945" s="17">
        <f t="shared" si="1223"/>
        <v>3588.2999999999997</v>
      </c>
      <c r="BP1945" s="17">
        <f>BO1945</f>
        <v>3588.2999999999997</v>
      </c>
      <c r="BQ1945" s="17">
        <f>BA1945+BI1945+BL1945</f>
        <v>255.14999999999998</v>
      </c>
      <c r="BR1945" s="17">
        <f>BQ1945</f>
        <v>255.14999999999998</v>
      </c>
      <c r="BS1945" s="17">
        <f>BQ1945*0.7</f>
        <v>178.60499999999996</v>
      </c>
      <c r="BT1945" s="17">
        <f>BS1945</f>
        <v>178.60499999999996</v>
      </c>
      <c r="BU1945" s="100"/>
    </row>
    <row r="1946" x14ac:dyDescent="0.25">
      <c r="B1946" t="s">
        <v>530</v>
      </c>
      <c r="E1946" s="73"/>
      <c r="F1946" s="73"/>
      <c r="H1946" s="19">
        <v>-22.9</v>
      </c>
      <c r="I1946" s="64" t="s">
        <v>270</v>
      </c>
      <c r="P1946" s="93"/>
      <c r="R1946" s="19">
        <f>$H$26</f>
        <v>-22.9</v>
      </c>
      <c r="S1946">
        <f t="shared" si="1193"/>
        <v>-13.739999999999998</v>
      </c>
      <c r="T1946">
        <f>$I$57/2*R1946</f>
        <v>0</v>
      </c>
      <c r="U1946">
        <f t="shared" si="1219"/>
        <v>0</v>
      </c>
      <c r="Z1946" s="19">
        <f>$H$26</f>
        <v>-22.9</v>
      </c>
      <c r="AA1946">
        <f>Z1946*0.6</f>
        <v>-13.739999999999998</v>
      </c>
      <c r="AB1946">
        <f>$J$57/2*Z1946</f>
        <v>-309.14999999999998</v>
      </c>
      <c r="AC1946">
        <f t="shared" si="1185"/>
        <v>-185.48999999999998</v>
      </c>
      <c r="AR1946" s="100"/>
      <c r="AS1946" s="93"/>
      <c r="AU1946" s="19">
        <f>$H$26</f>
        <v>-22.9</v>
      </c>
      <c r="AV1946">
        <f t="shared" si="1207"/>
        <v>-13.739999999999998</v>
      </c>
      <c r="AW1946">
        <f t="shared" si="1187"/>
        <v>0</v>
      </c>
      <c r="AX1946">
        <f t="shared" si="1221"/>
        <v>0</v>
      </c>
      <c r="BC1946" s="19">
        <f>$H$26</f>
        <v>-22.9</v>
      </c>
      <c r="BD1946">
        <f>BC1946*0.6</f>
        <v>-13.739999999999998</v>
      </c>
      <c r="BE1946">
        <f t="shared" si="1189"/>
        <v>-309.14999999999998</v>
      </c>
      <c r="BF1946">
        <f t="shared" si="1190"/>
        <v>-185.48999999999998</v>
      </c>
      <c r="BU1946" s="100"/>
    </row>
    <row r="1947" x14ac:dyDescent="0.25">
      <c r="B1947" t="s">
        <v>531</v>
      </c>
      <c r="C1947" s="1" t="s">
        <v>533</v>
      </c>
      <c r="D1947" s="19">
        <v>0.18</v>
      </c>
      <c r="E1947" s="73"/>
      <c r="F1947" s="73"/>
      <c r="H1947">
        <f>0.2*D27</f>
        <v>3.5999999999999997E-2</v>
      </c>
      <c r="I1947" s="64" t="s">
        <v>534</v>
      </c>
      <c r="P1947" s="93"/>
      <c r="Q1947" s="1"/>
      <c r="AR1947" s="100"/>
      <c r="AS1947" s="93"/>
      <c r="AT1947" s="1"/>
      <c r="BU1947" s="100"/>
    </row>
    <row r="1948" x14ac:dyDescent="0.25">
      <c r="P1948" s="93"/>
      <c r="Y1948" s="112" t="s">
        <v>752</v>
      </c>
      <c r="Z1948" s="112"/>
      <c r="AA1948" s="112"/>
      <c r="AB1948" s="112"/>
      <c r="AC1948" s="112"/>
      <c r="AR1948" s="100"/>
      <c r="AS1948" s="93"/>
      <c r="BB1948" s="112" t="s">
        <v>752</v>
      </c>
      <c r="BC1948" s="112"/>
      <c r="BD1948" s="112"/>
      <c r="BE1948" s="112"/>
      <c r="BF1948" s="112"/>
      <c r="BU1948" s="100"/>
    </row>
    <row r="1949" x14ac:dyDescent="0.25">
      <c r="B1949" t="s">
        <v>513</v>
      </c>
      <c r="P1949" s="93"/>
      <c r="Q1949" t="s">
        <v>479</v>
      </c>
      <c r="R1949" t="s">
        <v>491</v>
      </c>
      <c r="S1949" t="s">
        <v>508</v>
      </c>
      <c r="T1949" t="s">
        <v>507</v>
      </c>
      <c r="U1949" t="s">
        <v>535</v>
      </c>
      <c r="V1949" t="s">
        <v>536</v>
      </c>
      <c r="W1949" t="s">
        <v>479</v>
      </c>
      <c r="X1949" t="s">
        <v>537</v>
      </c>
      <c r="Y1949" t="s">
        <v>450</v>
      </c>
      <c r="Z1949" t="s">
        <v>451</v>
      </c>
      <c r="AA1949" t="s">
        <v>452</v>
      </c>
      <c r="AB1949" t="s">
        <v>453</v>
      </c>
      <c r="AC1949" t="s">
        <v>753</v>
      </c>
      <c r="AD1949" t="s">
        <v>519</v>
      </c>
      <c r="AR1949" s="100"/>
      <c r="AS1949" s="93"/>
      <c r="AT1949" t="s">
        <v>479</v>
      </c>
      <c r="AU1949" t="s">
        <v>491</v>
      </c>
      <c r="AV1949" t="s">
        <v>508</v>
      </c>
      <c r="AW1949" t="s">
        <v>507</v>
      </c>
      <c r="AX1949" t="s">
        <v>535</v>
      </c>
      <c r="AY1949" t="s">
        <v>536</v>
      </c>
      <c r="AZ1949" t="s">
        <v>479</v>
      </c>
      <c r="BA1949" t="s">
        <v>537</v>
      </c>
      <c r="BB1949" t="s">
        <v>450</v>
      </c>
      <c r="BC1949" t="s">
        <v>451</v>
      </c>
      <c r="BD1949" t="s">
        <v>452</v>
      </c>
      <c r="BE1949" t="s">
        <v>453</v>
      </c>
      <c r="BF1949" t="s">
        <v>753</v>
      </c>
      <c r="BG1949" t="s">
        <v>519</v>
      </c>
      <c r="BU1949" s="100"/>
    </row>
    <row r="1950" x14ac:dyDescent="0.25">
      <c r="B1950" s="1" t="s">
        <v>275</v>
      </c>
      <c r="C1950" s="19">
        <v>20</v>
      </c>
      <c r="D1950" t="s">
        <v>567</v>
      </c>
      <c r="P1950" s="93"/>
      <c r="Q1950" s="109" t="str">
        <f>R1936&amp;".01"</f>
        <v>A.01</v>
      </c>
      <c r="R1950" s="19">
        <v>29</v>
      </c>
      <c r="S1950" s="19">
        <v>12</v>
      </c>
      <c r="T1950">
        <f>S1950/2</f>
        <v>6</v>
      </c>
      <c r="U1950" s="19">
        <v>4</v>
      </c>
      <c r="V1950">
        <f>U1950/2</f>
        <v>2</v>
      </c>
      <c r="W1950" s="19" t="s">
        <v>515</v>
      </c>
      <c r="X1950" s="19">
        <v>6</v>
      </c>
      <c r="Y1950" s="19"/>
      <c r="Z1950" s="19"/>
      <c r="AA1950" s="19"/>
      <c r="AB1950" s="19"/>
      <c r="AC1950" s="19"/>
      <c r="AD1950" s="108">
        <f>R1950/R1966</f>
        <v>1</v>
      </c>
      <c r="AR1950" s="100"/>
      <c r="AS1950" s="93"/>
      <c r="AT1950" s="109" t="str">
        <f>AU$1936&amp;".01"</f>
        <v>1.01</v>
      </c>
      <c r="AU1950" s="19">
        <v>29</v>
      </c>
      <c r="AV1950" s="19">
        <v>12</v>
      </c>
      <c r="AW1950">
        <f>AV1950/2</f>
        <v>6</v>
      </c>
      <c r="AX1950" s="19">
        <v>4</v>
      </c>
      <c r="AY1950">
        <f>AX1950/2</f>
        <v>2</v>
      </c>
      <c r="AZ1950" s="19" t="s">
        <v>515</v>
      </c>
      <c r="BA1950" s="19">
        <v>6</v>
      </c>
      <c r="BB1950" s="19"/>
      <c r="BC1950" s="19"/>
      <c r="BD1950" s="19"/>
      <c r="BE1950" s="19"/>
      <c r="BF1950" s="19"/>
      <c r="BG1950" s="108">
        <f>AU1950/AU1966</f>
        <v>1</v>
      </c>
      <c r="BU1950" s="100"/>
    </row>
    <row r="1951" x14ac:dyDescent="0.25">
      <c r="B1951" s="1"/>
      <c r="C1951">
        <f>0.9*C30</f>
        <v>18</v>
      </c>
      <c r="D1951" t="s">
        <v>532</v>
      </c>
      <c r="P1951" s="93"/>
      <c r="Q1951" s="109" t="str">
        <f>R1936&amp;".02"</f>
        <v>A.02</v>
      </c>
      <c r="R1951" s="19"/>
      <c r="S1951" s="19"/>
      <c r="T1951">
        <f t="shared" ref="T1951:T1965" si="1224">S1951/2</f>
        <v>0</v>
      </c>
      <c r="U1951" s="19"/>
      <c r="V1951">
        <f t="shared" ref="V1951:V1965" si="1225">U1951/2</f>
        <v>0</v>
      </c>
      <c r="W1951" s="19"/>
      <c r="X1951" s="19"/>
      <c r="Y1951" s="19"/>
      <c r="Z1951" s="19"/>
      <c r="AA1951" s="19"/>
      <c r="AB1951" s="19"/>
      <c r="AC1951" s="19"/>
      <c r="AR1951" s="100"/>
      <c r="AS1951" s="93"/>
      <c r="AT1951" s="109" t="str">
        <f>AU$1936&amp;".02"</f>
        <v>1.02</v>
      </c>
      <c r="AU1951" s="19"/>
      <c r="AV1951" s="19"/>
      <c r="AW1951">
        <f t="shared" ref="AW1951:AW1965" si="1226">AV1951/2</f>
        <v>0</v>
      </c>
      <c r="AX1951" s="19"/>
      <c r="AY1951">
        <f t="shared" ref="AY1951:AY1965" si="1227">AX1951/2</f>
        <v>0</v>
      </c>
      <c r="AZ1951" s="19"/>
      <c r="BA1951" s="19"/>
      <c r="BB1951" s="19"/>
      <c r="BC1951" s="19"/>
      <c r="BD1951" s="19"/>
      <c r="BE1951" s="19"/>
      <c r="BF1951" s="19"/>
      <c r="BU1951" s="100"/>
    </row>
    <row r="1952" x14ac:dyDescent="0.25">
      <c r="B1952" s="1" t="s">
        <v>514</v>
      </c>
      <c r="C1952" s="19">
        <v>26</v>
      </c>
      <c r="D1952" t="s">
        <v>512</v>
      </c>
      <c r="P1952" s="93"/>
      <c r="Q1952" s="109" t="str">
        <f>R1936&amp;".03"</f>
        <v>A.03</v>
      </c>
      <c r="R1952" s="19"/>
      <c r="S1952" s="19"/>
      <c r="T1952">
        <f t="shared" si="1224"/>
        <v>0</v>
      </c>
      <c r="U1952" s="19"/>
      <c r="V1952">
        <f t="shared" si="1225"/>
        <v>0</v>
      </c>
      <c r="W1952" s="19"/>
      <c r="X1952" s="19"/>
      <c r="Y1952" s="19"/>
      <c r="Z1952" s="19"/>
      <c r="AA1952" s="19"/>
      <c r="AB1952" s="19"/>
      <c r="AC1952" s="19"/>
      <c r="AR1952" s="100"/>
      <c r="AS1952" s="93"/>
      <c r="AT1952" s="109" t="str">
        <f>AU$1936&amp;".03"</f>
        <v>1.03</v>
      </c>
      <c r="AU1952" s="19"/>
      <c r="AV1952" s="19"/>
      <c r="AW1952">
        <f t="shared" si="1226"/>
        <v>0</v>
      </c>
      <c r="AX1952" s="19"/>
      <c r="AY1952">
        <f t="shared" si="1227"/>
        <v>0</v>
      </c>
      <c r="AZ1952" s="19"/>
      <c r="BA1952" s="19"/>
      <c r="BB1952" s="19"/>
      <c r="BC1952" s="19"/>
      <c r="BD1952" s="19"/>
      <c r="BE1952" s="19"/>
      <c r="BF1952" s="19"/>
      <c r="BU1952" s="100"/>
    </row>
    <row r="1953" x14ac:dyDescent="0.25">
      <c r="B1953" s="1" t="s">
        <v>477</v>
      </c>
      <c r="C1953" s="19">
        <v>11</v>
      </c>
      <c r="D1953" t="s">
        <v>509</v>
      </c>
      <c r="P1953" s="93"/>
      <c r="Q1953" s="109" t="str">
        <f>R1936&amp;".04"</f>
        <v>A.04</v>
      </c>
      <c r="R1953" s="19"/>
      <c r="S1953" s="19"/>
      <c r="T1953">
        <f t="shared" si="1224"/>
        <v>0</v>
      </c>
      <c r="U1953" s="19"/>
      <c r="V1953">
        <f t="shared" si="1225"/>
        <v>0</v>
      </c>
      <c r="W1953" s="19"/>
      <c r="X1953" s="19"/>
      <c r="Y1953" s="19"/>
      <c r="Z1953" s="19"/>
      <c r="AA1953" s="19"/>
      <c r="AB1953" s="19"/>
      <c r="AC1953" s="19"/>
      <c r="AR1953" s="100"/>
      <c r="AS1953" s="93"/>
      <c r="AT1953" s="109" t="str">
        <f>AU$1936&amp;".04"</f>
        <v>1.04</v>
      </c>
      <c r="AU1953" s="19"/>
      <c r="AV1953" s="19"/>
      <c r="AW1953">
        <f t="shared" si="1226"/>
        <v>0</v>
      </c>
      <c r="AX1953" s="19"/>
      <c r="AY1953">
        <f t="shared" si="1227"/>
        <v>0</v>
      </c>
      <c r="AZ1953" s="19"/>
      <c r="BA1953" s="19"/>
      <c r="BB1953" s="19"/>
      <c r="BC1953" s="19"/>
      <c r="BD1953" s="19"/>
      <c r="BE1953" s="19"/>
      <c r="BF1953" s="19"/>
      <c r="BU1953" s="100"/>
    </row>
    <row r="1954" x14ac:dyDescent="0.25">
      <c r="B1954" s="1" t="s">
        <v>478</v>
      </c>
      <c r="C1954" s="19">
        <v>13</v>
      </c>
      <c r="D1954" t="s">
        <v>510</v>
      </c>
      <c r="P1954" s="93"/>
      <c r="Q1954" s="109" t="str">
        <f>R1936&amp;".05"</f>
        <v>A.05</v>
      </c>
      <c r="R1954" s="19"/>
      <c r="S1954" s="19"/>
      <c r="T1954">
        <f t="shared" si="1224"/>
        <v>0</v>
      </c>
      <c r="U1954" s="19"/>
      <c r="V1954">
        <f t="shared" si="1225"/>
        <v>0</v>
      </c>
      <c r="W1954" s="19"/>
      <c r="X1954" s="19"/>
      <c r="Y1954" s="19"/>
      <c r="Z1954" s="19"/>
      <c r="AA1954" s="19"/>
      <c r="AB1954" s="19"/>
      <c r="AC1954" s="19"/>
      <c r="AR1954" s="100"/>
      <c r="AS1954" s="93"/>
      <c r="AT1954" s="109" t="str">
        <f>AU$1936&amp;".05"</f>
        <v>1.05</v>
      </c>
      <c r="AU1954" s="19"/>
      <c r="AV1954" s="19"/>
      <c r="AW1954">
        <f t="shared" si="1226"/>
        <v>0</v>
      </c>
      <c r="AX1954" s="19"/>
      <c r="AY1954">
        <f t="shared" si="1227"/>
        <v>0</v>
      </c>
      <c r="AZ1954" s="19"/>
      <c r="BA1954" s="19"/>
      <c r="BB1954" s="19"/>
      <c r="BC1954" s="19"/>
      <c r="BD1954" s="19"/>
      <c r="BE1954" s="19"/>
      <c r="BF1954" s="19"/>
      <c r="BU1954" s="100"/>
    </row>
    <row r="1955" x14ac:dyDescent="0.25">
      <c r="B1955" s="1" t="s">
        <v>515</v>
      </c>
      <c r="C1955" s="19">
        <v>18</v>
      </c>
      <c r="D1955" t="s">
        <v>511</v>
      </c>
      <c r="P1955" s="93"/>
      <c r="Q1955" s="109" t="str">
        <f>R1936&amp;".06"</f>
        <v>A.06</v>
      </c>
      <c r="R1955" s="19"/>
      <c r="S1955" s="19"/>
      <c r="T1955">
        <f t="shared" si="1224"/>
        <v>0</v>
      </c>
      <c r="U1955" s="19"/>
      <c r="V1955">
        <f t="shared" si="1225"/>
        <v>0</v>
      </c>
      <c r="W1955" s="19"/>
      <c r="X1955" s="19"/>
      <c r="Y1955" s="19"/>
      <c r="Z1955" s="19"/>
      <c r="AA1955" s="19"/>
      <c r="AB1955" s="19"/>
      <c r="AC1955" s="19"/>
      <c r="AR1955" s="100"/>
      <c r="AS1955" s="93"/>
      <c r="AT1955" s="109" t="str">
        <f>AU$1936&amp;".06"</f>
        <v>1.06</v>
      </c>
      <c r="AU1955" s="19"/>
      <c r="AV1955" s="19"/>
      <c r="AW1955">
        <f t="shared" si="1226"/>
        <v>0</v>
      </c>
      <c r="AX1955" s="19"/>
      <c r="AY1955">
        <f t="shared" si="1227"/>
        <v>0</v>
      </c>
      <c r="AZ1955" s="19"/>
      <c r="BA1955" s="19"/>
      <c r="BB1955" s="19"/>
      <c r="BC1955" s="19"/>
      <c r="BD1955" s="19"/>
      <c r="BE1955" s="19"/>
      <c r="BF1955" s="19"/>
      <c r="BU1955" s="100"/>
    </row>
    <row r="1956" x14ac:dyDescent="0.25">
      <c r="B1956" s="1" t="s">
        <v>516</v>
      </c>
      <c r="P1956" s="93"/>
      <c r="Q1956" s="109" t="str">
        <f>R1936&amp;".07"</f>
        <v>A.07</v>
      </c>
      <c r="R1956" s="19"/>
      <c r="S1956" s="19"/>
      <c r="T1956">
        <f t="shared" si="1224"/>
        <v>0</v>
      </c>
      <c r="U1956" s="19"/>
      <c r="V1956">
        <f t="shared" si="1225"/>
        <v>0</v>
      </c>
      <c r="W1956" s="19"/>
      <c r="X1956" s="19"/>
      <c r="Y1956" s="19"/>
      <c r="Z1956" s="19"/>
      <c r="AA1956" s="19"/>
      <c r="AB1956" s="19"/>
      <c r="AC1956" s="19"/>
      <c r="AF1956" s="109"/>
      <c r="AR1956" s="100"/>
      <c r="AS1956" s="93"/>
      <c r="AT1956" s="109" t="str">
        <f>AU$1936&amp;".07"</f>
        <v>1.07</v>
      </c>
      <c r="AU1956" s="19"/>
      <c r="AV1956" s="19"/>
      <c r="AW1956">
        <f t="shared" si="1226"/>
        <v>0</v>
      </c>
      <c r="AX1956" s="19"/>
      <c r="AY1956">
        <f t="shared" si="1227"/>
        <v>0</v>
      </c>
      <c r="AZ1956" s="19"/>
      <c r="BA1956" s="19"/>
      <c r="BB1956" s="19"/>
      <c r="BC1956" s="19"/>
      <c r="BD1956" s="19"/>
      <c r="BE1956" s="19"/>
      <c r="BF1956" s="19"/>
      <c r="BI1956" s="109"/>
      <c r="BU1956" s="100"/>
    </row>
    <row r="1957" x14ac:dyDescent="0.25">
      <c r="B1957" s="1" t="s">
        <v>517</v>
      </c>
      <c r="P1957" s="93"/>
      <c r="Q1957" s="109" t="str">
        <f>R1936&amp;".08"</f>
        <v>A.08</v>
      </c>
      <c r="R1957" s="19"/>
      <c r="S1957" s="19"/>
      <c r="T1957">
        <f t="shared" si="1224"/>
        <v>0</v>
      </c>
      <c r="U1957" s="19"/>
      <c r="V1957">
        <f t="shared" si="1225"/>
        <v>0</v>
      </c>
      <c r="W1957" s="19"/>
      <c r="X1957" s="19"/>
      <c r="Y1957" s="19"/>
      <c r="Z1957" s="19"/>
      <c r="AA1957" s="19"/>
      <c r="AB1957" s="19"/>
      <c r="AC1957" s="19"/>
      <c r="AF1957" s="109"/>
      <c r="AR1957" s="100"/>
      <c r="AS1957" s="93"/>
      <c r="AT1957" s="109" t="str">
        <f>AU$1936&amp;".08"</f>
        <v>1.08</v>
      </c>
      <c r="AU1957" s="19"/>
      <c r="AV1957" s="19"/>
      <c r="AW1957">
        <f t="shared" si="1226"/>
        <v>0</v>
      </c>
      <c r="AX1957" s="19"/>
      <c r="AY1957">
        <f t="shared" si="1227"/>
        <v>0</v>
      </c>
      <c r="AZ1957" s="19"/>
      <c r="BA1957" s="19"/>
      <c r="BB1957" s="19"/>
      <c r="BC1957" s="19"/>
      <c r="BD1957" s="19"/>
      <c r="BE1957" s="19"/>
      <c r="BF1957" s="19"/>
      <c r="BI1957" s="109"/>
      <c r="BU1957" s="100"/>
    </row>
    <row r="1958" x14ac:dyDescent="0.25">
      <c r="B1958" s="1" t="s">
        <v>518</v>
      </c>
      <c r="P1958" s="93"/>
      <c r="Q1958" s="109" t="str">
        <f>R1936&amp;".09"</f>
        <v>A.09</v>
      </c>
      <c r="R1958" s="19"/>
      <c r="S1958" s="19"/>
      <c r="T1958">
        <f t="shared" si="1224"/>
        <v>0</v>
      </c>
      <c r="U1958" s="19"/>
      <c r="V1958">
        <f t="shared" si="1225"/>
        <v>0</v>
      </c>
      <c r="W1958" s="19"/>
      <c r="X1958" s="19"/>
      <c r="Y1958" s="19"/>
      <c r="Z1958" s="19"/>
      <c r="AA1958" s="19"/>
      <c r="AB1958" s="19"/>
      <c r="AC1958" s="19"/>
      <c r="AF1958" s="109"/>
      <c r="AR1958" s="100"/>
      <c r="AS1958" s="93"/>
      <c r="AT1958" s="109" t="str">
        <f>AU$1936&amp;".09"</f>
        <v>1.09</v>
      </c>
      <c r="AU1958" s="19"/>
      <c r="AV1958" s="19"/>
      <c r="AW1958">
        <f t="shared" si="1226"/>
        <v>0</v>
      </c>
      <c r="AX1958" s="19"/>
      <c r="AY1958">
        <f t="shared" si="1227"/>
        <v>0</v>
      </c>
      <c r="AZ1958" s="19"/>
      <c r="BA1958" s="19"/>
      <c r="BB1958" s="19"/>
      <c r="BC1958" s="19"/>
      <c r="BD1958" s="19"/>
      <c r="BE1958" s="19"/>
      <c r="BF1958" s="19"/>
      <c r="BI1958" s="109"/>
      <c r="BU1958" s="100"/>
    </row>
    <row r="1959" x14ac:dyDescent="0.25">
      <c r="P1959" s="93"/>
      <c r="Q1959" s="109" t="str">
        <f>R1936&amp;".10"</f>
        <v>A.10</v>
      </c>
      <c r="R1959" s="19"/>
      <c r="S1959" s="19"/>
      <c r="T1959">
        <f t="shared" si="1224"/>
        <v>0</v>
      </c>
      <c r="U1959" s="19"/>
      <c r="V1959">
        <f t="shared" si="1225"/>
        <v>0</v>
      </c>
      <c r="W1959" s="19"/>
      <c r="X1959" s="19"/>
      <c r="Y1959" s="19"/>
      <c r="Z1959" s="19"/>
      <c r="AA1959" s="19"/>
      <c r="AB1959" s="19"/>
      <c r="AC1959" s="19"/>
      <c r="AF1959" s="109"/>
      <c r="AR1959" s="100"/>
      <c r="AS1959" s="93"/>
      <c r="AT1959" s="109" t="str">
        <f>AU$1936&amp;".10"</f>
        <v>1.10</v>
      </c>
      <c r="AU1959" s="19"/>
      <c r="AV1959" s="19"/>
      <c r="AW1959">
        <f t="shared" si="1226"/>
        <v>0</v>
      </c>
      <c r="AX1959" s="19"/>
      <c r="AY1959">
        <f t="shared" si="1227"/>
        <v>0</v>
      </c>
      <c r="AZ1959" s="19"/>
      <c r="BA1959" s="19"/>
      <c r="BB1959" s="19"/>
      <c r="BC1959" s="19"/>
      <c r="BD1959" s="19"/>
      <c r="BE1959" s="19"/>
      <c r="BF1959" s="19"/>
      <c r="BI1959" s="109"/>
      <c r="BU1959" s="100"/>
    </row>
    <row r="1960" x14ac:dyDescent="0.25">
      <c r="C1960" s="112" t="s">
        <v>495</v>
      </c>
      <c r="D1960" s="112"/>
      <c r="E1960" s="112"/>
      <c r="I1960" s="112" t="s">
        <v>495</v>
      </c>
      <c r="J1960" s="112"/>
      <c r="K1960" s="112"/>
      <c r="P1960" s="93"/>
      <c r="Q1960" s="109" t="str">
        <f>R1936&amp;".11"</f>
        <v>A.11</v>
      </c>
      <c r="R1960" s="19"/>
      <c r="S1960" s="19"/>
      <c r="T1960">
        <f t="shared" si="1224"/>
        <v>0</v>
      </c>
      <c r="U1960" s="19"/>
      <c r="V1960">
        <f t="shared" si="1225"/>
        <v>0</v>
      </c>
      <c r="W1960" s="19"/>
      <c r="X1960" s="19"/>
      <c r="Y1960" s="19"/>
      <c r="Z1960" s="19"/>
      <c r="AA1960" s="19"/>
      <c r="AB1960" s="19"/>
      <c r="AC1960" s="19"/>
      <c r="AF1960" s="109"/>
      <c r="AR1960" s="100"/>
      <c r="AS1960" s="93"/>
      <c r="AT1960" s="109" t="str">
        <f>AU$1936&amp;".11"</f>
        <v>1.11</v>
      </c>
      <c r="AU1960" s="19"/>
      <c r="AV1960" s="19"/>
      <c r="AW1960">
        <f t="shared" si="1226"/>
        <v>0</v>
      </c>
      <c r="AX1960" s="19"/>
      <c r="AY1960">
        <f t="shared" si="1227"/>
        <v>0</v>
      </c>
      <c r="AZ1960" s="19"/>
      <c r="BA1960" s="19"/>
      <c r="BB1960" s="19"/>
      <c r="BC1960" s="19"/>
      <c r="BD1960" s="19"/>
      <c r="BE1960" s="19"/>
      <c r="BF1960" s="19"/>
      <c r="BI1960" s="109"/>
      <c r="BU1960" s="100"/>
    </row>
    <row r="1961" x14ac:dyDescent="0.25">
      <c r="B1961" t="s">
        <v>474</v>
      </c>
      <c r="C1961" t="s">
        <v>492</v>
      </c>
      <c r="D1961" t="s">
        <v>493</v>
      </c>
      <c r="E1961" t="s">
        <v>494</v>
      </c>
      <c r="H1961" t="s">
        <v>455</v>
      </c>
      <c r="I1961" t="s">
        <v>492</v>
      </c>
      <c r="J1961" t="s">
        <v>493</v>
      </c>
      <c r="K1961" t="s">
        <v>494</v>
      </c>
      <c r="P1961" s="93"/>
      <c r="Q1961" s="109" t="str">
        <f>R1936&amp;".12"</f>
        <v>A.12</v>
      </c>
      <c r="R1961" s="19"/>
      <c r="S1961" s="19"/>
      <c r="T1961">
        <f t="shared" si="1224"/>
        <v>0</v>
      </c>
      <c r="U1961" s="19"/>
      <c r="V1961">
        <f t="shared" si="1225"/>
        <v>0</v>
      </c>
      <c r="W1961" s="19"/>
      <c r="X1961" s="19"/>
      <c r="Y1961" s="19"/>
      <c r="Z1961" s="19"/>
      <c r="AA1961" s="19"/>
      <c r="AB1961" s="19"/>
      <c r="AC1961" s="19"/>
      <c r="AF1961" s="109"/>
      <c r="AR1961" s="100"/>
      <c r="AS1961" s="93"/>
      <c r="AT1961" s="109" t="str">
        <f>AU$1936&amp;".12"</f>
        <v>1.12</v>
      </c>
      <c r="AU1961" s="19"/>
      <c r="AV1961" s="19"/>
      <c r="AW1961">
        <f t="shared" si="1226"/>
        <v>0</v>
      </c>
      <c r="AX1961" s="19"/>
      <c r="AY1961">
        <f t="shared" si="1227"/>
        <v>0</v>
      </c>
      <c r="AZ1961" s="19"/>
      <c r="BA1961" s="19"/>
      <c r="BB1961" s="19"/>
      <c r="BC1961" s="19"/>
      <c r="BD1961" s="19"/>
      <c r="BE1961" s="19"/>
      <c r="BF1961" s="19"/>
      <c r="BI1961" s="109"/>
      <c r="BU1961" s="100"/>
    </row>
    <row r="1962" x14ac:dyDescent="0.25">
      <c r="B1962" t="s">
        <v>274</v>
      </c>
      <c r="C1962" s="19">
        <v>0</v>
      </c>
      <c r="D1962" s="19">
        <v>29</v>
      </c>
      <c r="E1962">
        <f>C57+D57</f>
        <v>29</v>
      </c>
      <c r="H1962">
        <v>1</v>
      </c>
      <c r="I1962" s="19">
        <v>0</v>
      </c>
      <c r="J1962" s="19">
        <v>27</v>
      </c>
      <c r="K1962">
        <f>I57+J57</f>
        <v>27</v>
      </c>
      <c r="P1962" s="93"/>
      <c r="Q1962" s="109" t="str">
        <f>R1936&amp;".13"</f>
        <v>A.13</v>
      </c>
      <c r="R1962" s="19"/>
      <c r="S1962" s="19"/>
      <c r="T1962">
        <f t="shared" si="1224"/>
        <v>0</v>
      </c>
      <c r="U1962" s="19"/>
      <c r="V1962">
        <f t="shared" si="1225"/>
        <v>0</v>
      </c>
      <c r="W1962" s="19"/>
      <c r="X1962" s="19"/>
      <c r="Y1962" s="19"/>
      <c r="Z1962" s="19"/>
      <c r="AA1962" s="19"/>
      <c r="AB1962" s="19"/>
      <c r="AC1962" s="19"/>
      <c r="AF1962" s="109"/>
      <c r="AR1962" s="100"/>
      <c r="AS1962" s="93"/>
      <c r="AT1962" s="109" t="str">
        <f>AU$1936&amp;".13"</f>
        <v>1.13</v>
      </c>
      <c r="AU1962" s="19"/>
      <c r="AV1962" s="19"/>
      <c r="AW1962">
        <f t="shared" si="1226"/>
        <v>0</v>
      </c>
      <c r="AX1962" s="19"/>
      <c r="AY1962">
        <f t="shared" si="1227"/>
        <v>0</v>
      </c>
      <c r="AZ1962" s="19"/>
      <c r="BA1962" s="19"/>
      <c r="BB1962" s="19"/>
      <c r="BC1962" s="19"/>
      <c r="BD1962" s="19"/>
      <c r="BE1962" s="19"/>
      <c r="BF1962" s="19"/>
      <c r="BI1962" s="109"/>
      <c r="BU1962" s="100"/>
    </row>
    <row r="1963" x14ac:dyDescent="0.25">
      <c r="B1963" t="s">
        <v>279</v>
      </c>
      <c r="C1963" s="19">
        <v>29</v>
      </c>
      <c r="D1963" s="19">
        <v>6</v>
      </c>
      <c r="E1963">
        <f t="shared" ref="E43:E67" si="1228">C43+D43</f>
        <v>35</v>
      </c>
      <c r="H1963">
        <v>2</v>
      </c>
      <c r="I1963" s="19">
        <v>27</v>
      </c>
      <c r="J1963" s="19">
        <v>14</v>
      </c>
      <c r="K1963">
        <f t="shared" ref="K43:K67" si="1229">I43+J43</f>
        <v>41</v>
      </c>
      <c r="P1963" s="93"/>
      <c r="Q1963" s="109" t="str">
        <f>R1936&amp;".14"</f>
        <v>A.14</v>
      </c>
      <c r="R1963" s="19"/>
      <c r="S1963" s="19"/>
      <c r="T1963">
        <f t="shared" si="1224"/>
        <v>0</v>
      </c>
      <c r="U1963" s="19"/>
      <c r="V1963">
        <f t="shared" si="1225"/>
        <v>0</v>
      </c>
      <c r="W1963" s="19"/>
      <c r="X1963" s="19"/>
      <c r="Y1963" s="19"/>
      <c r="Z1963" s="19"/>
      <c r="AA1963" s="19"/>
      <c r="AB1963" s="19"/>
      <c r="AC1963" s="19"/>
      <c r="AF1963" s="109"/>
      <c r="AR1963" s="100"/>
      <c r="AS1963" s="93"/>
      <c r="AT1963" s="109" t="str">
        <f>AU$1936&amp;".14"</f>
        <v>1.14</v>
      </c>
      <c r="AU1963" s="19"/>
      <c r="AV1963" s="19"/>
      <c r="AW1963">
        <f t="shared" si="1226"/>
        <v>0</v>
      </c>
      <c r="AX1963" s="19"/>
      <c r="AY1963">
        <f t="shared" si="1227"/>
        <v>0</v>
      </c>
      <c r="AZ1963" s="19"/>
      <c r="BA1963" s="19"/>
      <c r="BB1963" s="19"/>
      <c r="BC1963" s="19"/>
      <c r="BD1963" s="19"/>
      <c r="BE1963" s="19"/>
      <c r="BF1963" s="19"/>
      <c r="BI1963" s="109"/>
      <c r="BU1963" s="100"/>
    </row>
    <row r="1964" x14ac:dyDescent="0.25">
      <c r="B1964" t="s">
        <v>283</v>
      </c>
      <c r="C1964" s="19">
        <v>6</v>
      </c>
      <c r="D1964" s="19">
        <v>29</v>
      </c>
      <c r="E1964">
        <f t="shared" si="1228"/>
        <v>35</v>
      </c>
      <c r="H1964">
        <v>3</v>
      </c>
      <c r="I1964" s="19">
        <v>14</v>
      </c>
      <c r="J1964" s="19">
        <v>13</v>
      </c>
      <c r="K1964">
        <f t="shared" si="1229"/>
        <v>27</v>
      </c>
      <c r="P1964" s="93"/>
      <c r="Q1964" s="109" t="str">
        <f>R1936&amp;".15"</f>
        <v>A.15</v>
      </c>
      <c r="R1964" s="19"/>
      <c r="S1964" s="19"/>
      <c r="T1964">
        <f t="shared" si="1224"/>
        <v>0</v>
      </c>
      <c r="U1964" s="19"/>
      <c r="V1964">
        <f t="shared" si="1225"/>
        <v>0</v>
      </c>
      <c r="W1964" s="19"/>
      <c r="X1964" s="19"/>
      <c r="Y1964" s="19"/>
      <c r="Z1964" s="19"/>
      <c r="AA1964" s="19"/>
      <c r="AB1964" s="19"/>
      <c r="AC1964" s="19"/>
      <c r="AF1964" s="109"/>
      <c r="AR1964" s="100"/>
      <c r="AS1964" s="93"/>
      <c r="AT1964" s="109" t="str">
        <f>AU$1936&amp;".15"</f>
        <v>1.15</v>
      </c>
      <c r="AU1964" s="19"/>
      <c r="AV1964" s="19"/>
      <c r="AW1964">
        <f t="shared" si="1226"/>
        <v>0</v>
      </c>
      <c r="AX1964" s="19"/>
      <c r="AY1964">
        <f t="shared" si="1227"/>
        <v>0</v>
      </c>
      <c r="AZ1964" s="19"/>
      <c r="BA1964" s="19"/>
      <c r="BB1964" s="19"/>
      <c r="BC1964" s="19"/>
      <c r="BD1964" s="19"/>
      <c r="BE1964" s="19"/>
      <c r="BF1964" s="19"/>
      <c r="BI1964" s="109"/>
      <c r="BU1964" s="100"/>
    </row>
    <row r="1965" x14ac:dyDescent="0.25">
      <c r="B1965" t="s">
        <v>287</v>
      </c>
      <c r="C1965" s="19">
        <v>26</v>
      </c>
      <c r="D1965" s="19">
        <v>26</v>
      </c>
      <c r="E1965">
        <f t="shared" si="1228"/>
        <v>52</v>
      </c>
      <c r="F1965" t="s">
        <v>506</v>
      </c>
      <c r="H1965">
        <v>4</v>
      </c>
      <c r="I1965" s="19">
        <v>13</v>
      </c>
      <c r="J1965" s="19">
        <v>27</v>
      </c>
      <c r="K1965">
        <f t="shared" si="1229"/>
        <v>40</v>
      </c>
      <c r="P1965" s="93"/>
      <c r="Q1965" s="109" t="str">
        <f>R1936&amp;".16"</f>
        <v>A.16</v>
      </c>
      <c r="R1965" s="19"/>
      <c r="S1965" s="19"/>
      <c r="T1965">
        <f t="shared" si="1224"/>
        <v>0</v>
      </c>
      <c r="U1965" s="19"/>
      <c r="V1965">
        <f t="shared" si="1225"/>
        <v>0</v>
      </c>
      <c r="W1965" s="19"/>
      <c r="X1965" s="19"/>
      <c r="Y1965" s="19"/>
      <c r="Z1965" s="19"/>
      <c r="AA1965" s="19"/>
      <c r="AB1965" s="19"/>
      <c r="AC1965" s="19"/>
      <c r="AF1965" s="109"/>
      <c r="AR1965" s="100"/>
      <c r="AS1965" s="93"/>
      <c r="AT1965" s="109" t="str">
        <f>AU$1936&amp;".16"</f>
        <v>1.16</v>
      </c>
      <c r="AU1965" s="19"/>
      <c r="AV1965" s="19"/>
      <c r="AW1965">
        <f t="shared" si="1226"/>
        <v>0</v>
      </c>
      <c r="AX1965" s="19"/>
      <c r="AY1965">
        <f t="shared" si="1227"/>
        <v>0</v>
      </c>
      <c r="AZ1965" s="19"/>
      <c r="BA1965" s="19"/>
      <c r="BB1965" s="19"/>
      <c r="BC1965" s="19"/>
      <c r="BD1965" s="19"/>
      <c r="BE1965" s="19"/>
      <c r="BF1965" s="19"/>
      <c r="BI1965" s="109"/>
      <c r="BU1965" s="100"/>
    </row>
    <row r="1966" x14ac:dyDescent="0.25">
      <c r="B1966" t="s">
        <v>288</v>
      </c>
      <c r="C1966" s="19">
        <v>29</v>
      </c>
      <c r="D1966" s="19">
        <v>0</v>
      </c>
      <c r="E1966">
        <f t="shared" si="1228"/>
        <v>29</v>
      </c>
      <c r="H1966">
        <v>5</v>
      </c>
      <c r="I1966" s="19">
        <v>27</v>
      </c>
      <c r="J1966" s="19">
        <v>11</v>
      </c>
      <c r="K1966">
        <f t="shared" si="1229"/>
        <v>38</v>
      </c>
      <c r="P1966" s="93"/>
      <c r="R1966">
        <f>SUM(R1950:R1965)</f>
        <v>29</v>
      </c>
      <c r="AR1966" s="100"/>
      <c r="AS1966" s="93"/>
      <c r="AU1966">
        <f>SUM(AU1950:AU1965)</f>
        <v>29</v>
      </c>
      <c r="BU1966" s="100"/>
    </row>
    <row r="1967" x14ac:dyDescent="0.25">
      <c r="B1967" t="s">
        <v>293</v>
      </c>
      <c r="C1967" s="19">
        <v>17</v>
      </c>
      <c r="D1967" s="19">
        <v>27</v>
      </c>
      <c r="E1967">
        <f t="shared" si="1228"/>
        <v>44</v>
      </c>
      <c r="H1967">
        <v>6</v>
      </c>
      <c r="I1967" s="19">
        <v>11</v>
      </c>
      <c r="J1967" s="19">
        <v>6</v>
      </c>
      <c r="K1967">
        <f t="shared" si="1229"/>
        <v>17</v>
      </c>
      <c r="P1967" s="93"/>
      <c r="AP1967" t="s">
        <v>746</v>
      </c>
      <c r="AR1967" s="100"/>
      <c r="AS1967" s="93"/>
      <c r="BS1967" t="s">
        <v>746</v>
      </c>
      <c r="BU1967" s="100"/>
    </row>
    <row r="1968" x14ac:dyDescent="0.25">
      <c r="B1968" t="s">
        <v>456</v>
      </c>
      <c r="C1968" s="19">
        <v>27</v>
      </c>
      <c r="D1968" s="19">
        <v>27</v>
      </c>
      <c r="E1968">
        <f t="shared" si="1228"/>
        <v>54</v>
      </c>
      <c r="H1968">
        <v>7</v>
      </c>
      <c r="I1968" s="19">
        <v>6</v>
      </c>
      <c r="J1968" s="19">
        <v>11</v>
      </c>
      <c r="K1968">
        <f t="shared" si="1229"/>
        <v>17</v>
      </c>
      <c r="P1968" s="93"/>
      <c r="Q1968" t="s">
        <v>525</v>
      </c>
      <c r="R1968" t="s">
        <v>263</v>
      </c>
      <c r="S1968" t="s">
        <v>526</v>
      </c>
      <c r="T1968" t="s">
        <v>570</v>
      </c>
      <c r="U1968" t="s">
        <v>571</v>
      </c>
      <c r="V1968" t="s">
        <v>572</v>
      </c>
      <c r="W1968" t="s">
        <v>539</v>
      </c>
      <c r="X1968" t="s">
        <v>538</v>
      </c>
      <c r="Z1968" t="s">
        <v>522</v>
      </c>
      <c r="AA1968" t="s">
        <v>523</v>
      </c>
      <c r="AB1968" t="s">
        <v>541</v>
      </c>
      <c r="AC1968" t="s">
        <v>540</v>
      </c>
      <c r="AD1968" t="s">
        <v>542</v>
      </c>
      <c r="AE1968" t="s">
        <v>520</v>
      </c>
      <c r="AF1968" t="s">
        <v>521</v>
      </c>
      <c r="AG1968" t="s">
        <v>527</v>
      </c>
      <c r="AH1968" t="s">
        <v>528</v>
      </c>
      <c r="AI1968" t="s">
        <v>543</v>
      </c>
      <c r="AJ1968" t="s">
        <v>744</v>
      </c>
      <c r="AK1968" t="s">
        <v>745</v>
      </c>
      <c r="AL1968" t="s">
        <v>749</v>
      </c>
      <c r="AM1968" t="s">
        <v>750</v>
      </c>
      <c r="AN1968" t="s">
        <v>751</v>
      </c>
      <c r="AP1968" t="s">
        <v>747</v>
      </c>
      <c r="AQ1968" t="s">
        <v>748</v>
      </c>
      <c r="AR1968" s="100"/>
      <c r="AS1968" s="93"/>
      <c r="AT1968" t="s">
        <v>525</v>
      </c>
      <c r="AU1968" t="s">
        <v>263</v>
      </c>
      <c r="AV1968" t="s">
        <v>526</v>
      </c>
      <c r="AW1968" t="s">
        <v>570</v>
      </c>
      <c r="AX1968" t="s">
        <v>571</v>
      </c>
      <c r="AY1968" t="s">
        <v>572</v>
      </c>
      <c r="AZ1968" t="s">
        <v>539</v>
      </c>
      <c r="BA1968" t="s">
        <v>538</v>
      </c>
      <c r="BC1968" t="s">
        <v>522</v>
      </c>
      <c r="BD1968" t="s">
        <v>523</v>
      </c>
      <c r="BE1968" t="s">
        <v>541</v>
      </c>
      <c r="BF1968" t="s">
        <v>540</v>
      </c>
      <c r="BG1968" t="s">
        <v>542</v>
      </c>
      <c r="BH1968" t="s">
        <v>520</v>
      </c>
      <c r="BI1968" t="s">
        <v>521</v>
      </c>
      <c r="BJ1968" t="s">
        <v>527</v>
      </c>
      <c r="BK1968" t="s">
        <v>528</v>
      </c>
      <c r="BL1968" t="s">
        <v>543</v>
      </c>
      <c r="BM1968" t="s">
        <v>744</v>
      </c>
      <c r="BN1968" t="s">
        <v>745</v>
      </c>
      <c r="BO1968" t="s">
        <v>749</v>
      </c>
      <c r="BP1968" t="s">
        <v>750</v>
      </c>
      <c r="BQ1968" t="s">
        <v>751</v>
      </c>
      <c r="BS1968" t="s">
        <v>747</v>
      </c>
      <c r="BT1968" t="s">
        <v>748</v>
      </c>
      <c r="BU1968" s="100"/>
    </row>
    <row r="1969" x14ac:dyDescent="0.25">
      <c r="B1969" t="s">
        <v>457</v>
      </c>
      <c r="C1969" s="19">
        <v>27</v>
      </c>
      <c r="D1969" s="19">
        <v>27</v>
      </c>
      <c r="E1969">
        <f t="shared" si="1228"/>
        <v>54</v>
      </c>
      <c r="H1969">
        <v>8</v>
      </c>
      <c r="I1969" s="19">
        <v>20</v>
      </c>
      <c r="J1969" s="19">
        <v>0</v>
      </c>
      <c r="K1969">
        <f t="shared" si="1229"/>
        <v>20</v>
      </c>
      <c r="L1969" t="s">
        <v>506</v>
      </c>
      <c r="P1969" s="93"/>
      <c r="Q1969" s="110" t="str">
        <f>$Q$1950</f>
        <v>A.01</v>
      </c>
      <c r="R1969" t="str">
        <f>$Q$1941</f>
        <v>L2</v>
      </c>
      <c r="S1969">
        <f>$E$21</f>
        <v>10.6875</v>
      </c>
      <c r="T1969" cm="1">
        <f t="array" ref="T1969">IFERROR(IF(S1969=0,0,(INDEX($C$33:$C$38,MATCH($W$1950,$B$33:$B$38,0),0)*(S1973+$X$1950)+$T$1950*COUNTIF(S1969:S1972,"&gt;0")*$C$32+$V$1950*$C$31)*$R$1950),0)</f>
        <v>30539.71875</v>
      </c>
      <c r="U1969">
        <f>IF(S1969=0,0,-(COUNTIF(S1969:S1972,"&gt;0")*$T$1950*$C$32+$V$1950*$C$31)*$H$27*$R$1950)</f>
        <v>-363.31199999999995</v>
      </c>
      <c r="V1969">
        <f>IF(S1969=0,0,$V$1950*$H$26*$R$1950)</f>
        <v>-1328.1999999999998</v>
      </c>
      <c r="W1969">
        <f>(0.6*T1969+0.7*U1969)*$R$1950/2</f>
        <v>262007.93632499999</v>
      </c>
      <c r="X1969">
        <f>(0.6*T1969+0.6*V1969)*$R$1950/2</f>
        <v>254140.21312500001</v>
      </c>
      <c r="Z1969">
        <f>IF(S1969=0,0,$AD$1950*$AP$1941)</f>
        <v>343.06999999999994</v>
      </c>
      <c r="AA1969">
        <f>IFERROR(Z1969/$R$1950,0)</f>
        <v>11.829999999999998</v>
      </c>
      <c r="AB1969">
        <f>Z1969*($F$21+IF($F$21=0,0,($C$14+$C$15+IF($C$13="single",1.5,3)+3)/12))</f>
        <v>3666.5606249999992</v>
      </c>
      <c r="AC1969">
        <f>AB1969-W1969</f>
        <v>-258341.37569999998</v>
      </c>
      <c r="AD1969" cm="1">
        <f t="array" ref="AD1969">IFERROR(IF(AC1969&lt;0,0,AC1969/($R$1950-INDEX(hd_off,MATCH(AQ1969,hd_mark,0),0)/12)),0)</f>
        <v>0</v>
      </c>
      <c r="AE1969">
        <f>IF(S1969=0,0,$AD$1950*$AM$1941)</f>
        <v>7899.5999999999995</v>
      </c>
      <c r="AF1969">
        <f>IFERROR(AE1969/$R$1950,0)</f>
        <v>272.39999999999998</v>
      </c>
      <c r="AG1969">
        <f>AE1969*($F$21+IF($F$21=0,0,($C$14+$C$15+IF($C$13="single",1.5,3)+3)/12))</f>
        <v>84426.974999999991</v>
      </c>
      <c r="AH1969">
        <f>AG1969-X1969</f>
        <v>-169713.23812500003</v>
      </c>
      <c r="AI1969" cm="1">
        <f t="array" ref="AI1969">IFERROR(IF(AH1969&lt;0,0,AH1969/($R$1950-INDEX(hd_off,MATCH(AQ1969,hd_mark,0),0)/12)),0)</f>
        <v>0</v>
      </c>
      <c r="AJ1969">
        <f>MAX($F$21,$Y$1950)/$Q$1972</f>
        <v>0.30172413793103448</v>
      </c>
      <c r="AK1969">
        <f>IF(AJ1969=0,0,IF(AJ1969&gt;2,1.25-0.125*AJ1969,1))</f>
        <v>1</v>
      </c>
      <c r="AL1969" cm="1">
        <f t="array" ref="AL1969">IFERROR(INDEX(sheath_ecap_asd,MATCH(AP1969,sheath_mark,0),0)*AK1969,0)</f>
        <v>239.85714285714286</v>
      </c>
      <c r="AM1969" cm="1">
        <f t="array" ref="AM1969">IFERROR(INDEX(sheath_wcap_asd,MATCH(AP1969,sheath_mark,0),0)*AK1969,0)</f>
        <v>335.8</v>
      </c>
      <c r="AN1969" cm="1">
        <f t="array" ref="AN1969">IFERROR(INDEX(hd_cap,MATCH(AQ1969,hd_mark,0),0),0)</f>
        <v>0</v>
      </c>
      <c r="AP1969" s="19">
        <v>21</v>
      </c>
      <c r="AQ1969" s="19"/>
      <c r="AR1969" s="100"/>
      <c r="AS1969" s="93"/>
      <c r="AT1969" s="110" t="str">
        <f>$AT$1950</f>
        <v>1.01</v>
      </c>
      <c r="AU1969" t="str">
        <f>$Q$1941</f>
        <v>L2</v>
      </c>
      <c r="AV1969">
        <f>$E$21</f>
        <v>10.6875</v>
      </c>
      <c r="AW1969" cm="1">
        <f t="array" ref="AW1969">IFERROR(IF(AV1969=0,0,(INDEX($C$33:$C$38,MATCH($AZ$1950,$B$33:$B$38,0),0)*(AV1973+$BA$1950)+$AW$1950*COUNTIF(AV1969:AV1972,"&gt;0")*$C$32+$AY$1950*$C$31)*$AU$1950),0)</f>
        <v>30539.71875</v>
      </c>
      <c r="AX1969">
        <f>IF(AV1969=0,0,-(COUNTIF(AV1969:AV1972,"&gt;0")*$AW$1950*$C$32+$AY$1950*$C$31)*$H$27*$AU$1950)</f>
        <v>-363.31199999999995</v>
      </c>
      <c r="AY1969">
        <f>IF(AV1969=0,0,$AY$1950*$H$26*$AU$1950)</f>
        <v>-1328.1999999999998</v>
      </c>
      <c r="AZ1969">
        <f>(0.6*AW1969+0.7*AX1969)*$AU$1950/2</f>
        <v>262007.93632499999</v>
      </c>
      <c r="BA1969">
        <f>(0.6*AW1969+0.6*AY1969)*$AU$1950/2</f>
        <v>254140.21312500001</v>
      </c>
      <c r="BC1969">
        <f>IF(AV1969=0,0,$BG$1950*$AP$1941)</f>
        <v>343.06999999999994</v>
      </c>
      <c r="BD1969">
        <f>IFERROR(BC1969/$AU$1950,0)</f>
        <v>11.829999999999998</v>
      </c>
      <c r="BE1969">
        <f>BC1969*($F$21+IF($F$21=0,0,($C$14+$C$15+IF($C$13="single",1.5,3)+3)/12))</f>
        <v>3666.5606249999992</v>
      </c>
      <c r="BF1969">
        <f>BE1969-AZ1969</f>
        <v>-258341.37569999998</v>
      </c>
      <c r="BG1969" cm="1">
        <f t="array" ref="BG1969">IFERROR(IF(BF1969&lt;0,0,BF1969/($AU$1950-INDEX(hd_off,MATCH(BT1969,hd_mark,0),0)/12)),0)</f>
        <v>0</v>
      </c>
      <c r="BH1969">
        <f>IF(AV1969=0,0,$BG$1950*$AM$1941)</f>
        <v>7899.5999999999995</v>
      </c>
      <c r="BI1969">
        <f>IFERROR(BH1969/$AU$1950,0)</f>
        <v>272.39999999999998</v>
      </c>
      <c r="BJ1969">
        <f>BH1969*($F$21+IF($F$21=0,0,($C$14+$C$15+IF($C$13="single",1.5,3)+3)/12))</f>
        <v>84426.974999999991</v>
      </c>
      <c r="BK1969">
        <f>BJ1969-BA1969</f>
        <v>-169713.23812500003</v>
      </c>
      <c r="BL1969" cm="1">
        <f t="array" ref="BL1969">IFERROR(IF(BK1969&lt;0,0,BK1969/($AU$1950-INDEX(hd_off,MATCH(BT1969,hd_mark,0),0)/12)),0)</f>
        <v>0</v>
      </c>
      <c r="BM1969">
        <f>MAX($F$21,$BB$1950)/$Q$1972</f>
        <v>0.30172413793103448</v>
      </c>
      <c r="BN1969">
        <f>IF(BM1969=0,0,IF(BM1969&gt;2,1.25-0.125*BM1969,1))</f>
        <v>1</v>
      </c>
      <c r="BO1969" cm="1">
        <f t="array" ref="BO1969">IFERROR(INDEX(sheath_ecap_asd,MATCH(BS1969,sheath_mark,0),0)*BN1969,0)</f>
        <v>239.85714285714286</v>
      </c>
      <c r="BP1969" cm="1">
        <f t="array" ref="BP1969">IFERROR(INDEX(sheath_wcap_asd,MATCH(BS1969,sheath_mark,0),0)*BN1969,0)</f>
        <v>335.8</v>
      </c>
      <c r="BQ1969" cm="1">
        <f t="array" ref="BQ1969">IFERROR(INDEX(hd_cap,MATCH(BT1969,hd_mark,0),0),0)</f>
        <v>0</v>
      </c>
      <c r="BS1969" s="19">
        <v>21</v>
      </c>
      <c r="BT1969" s="19"/>
      <c r="BU1969" s="100"/>
    </row>
    <row r="1970" x14ac:dyDescent="0.25">
      <c r="B1970" t="s">
        <v>458</v>
      </c>
      <c r="C1970" s="19">
        <v>27</v>
      </c>
      <c r="D1970" s="19">
        <v>27</v>
      </c>
      <c r="E1970">
        <f t="shared" si="1228"/>
        <v>54</v>
      </c>
      <c r="H1970">
        <v>9</v>
      </c>
      <c r="I1970" s="19">
        <v>30</v>
      </c>
      <c r="J1970" s="19">
        <v>0</v>
      </c>
      <c r="K1970">
        <f t="shared" si="1229"/>
        <v>30</v>
      </c>
      <c r="P1970" s="93"/>
      <c r="Q1970" s="109"/>
      <c r="R1970" t="str">
        <f>$Q$1942</f>
        <v>L3</v>
      </c>
      <c r="S1970">
        <f>$E$22</f>
        <v>21.375</v>
      </c>
      <c r="T1970" cm="1">
        <f t="array" ref="T1970">IFERROR(IF(S1970=0,0,(INDEX($C$33:$C$38,MATCH($W$1950,$B$33:$B$38,0),0)*(S1973+$X$1950)+$T$1950*COUNTIF(S1970:S1972,"&gt;0")*$C$32+$V$1950*$C$31)*$R$1950),0)</f>
        <v>26015.71875</v>
      </c>
      <c r="U1970">
        <f>IF(S1970=0,0,-(COUNTIF(S1970:S1972,"&gt;0")*$T$1950*$C$32+$V$1950*$C$31)*$H$27*$R$1950)</f>
        <v>-200.44799999999998</v>
      </c>
      <c r="V1970">
        <f>IF(S1970=0,0,$V$1950*$H$26*$R$1950)</f>
        <v>-1328.1999999999998</v>
      </c>
      <c r="W1970">
        <f t="shared" ref="W1970:W1972" si="1230">(0.6*T1970+0.7*U1970)*$R$1950/2</f>
        <v>224302.20592500002</v>
      </c>
      <c r="X1970">
        <f>T1970*$R$1950/2</f>
        <v>377227.921875</v>
      </c>
      <c r="Z1970">
        <f>IF(S1970=0,0,$AD$1950*$AP$1942)</f>
        <v>376.565</v>
      </c>
      <c r="AA1970">
        <f>IFERROR(Z1970/$R$1950,0)</f>
        <v>12.984999999999999</v>
      </c>
      <c r="AB1970">
        <f>Z1970*($F$22+IF($F$22=0,0,($C$14+$C$15+IF($C$13="single",1.5,3)+3)/12))</f>
        <v>4024.5384374999999</v>
      </c>
      <c r="AC1970">
        <f>AB1970-W1970</f>
        <v>-220277.6674875</v>
      </c>
      <c r="AD1970" cm="1">
        <f t="array" ref="AD1970">IFERROR(IF(AC1970&lt;0,0,AC1970/($R$1950-INDEX(hd_off,MATCH(AQ1970,hd_mark,0),0)/12)),0)</f>
        <v>0</v>
      </c>
      <c r="AE1970">
        <f>IF(S1970=0,0,$AD$1950*$AM$1942)</f>
        <v>5846.4</v>
      </c>
      <c r="AF1970">
        <f>IFERROR(AE1970/$R$1950,0)</f>
        <v>201.6</v>
      </c>
      <c r="AG1970">
        <f>AE1970*($F$22+IF($F$22=0,0,($C$14+$C$15+IF($C$13="single",1.5,3)+3)/12))</f>
        <v>62483.399999999994</v>
      </c>
      <c r="AH1970">
        <f>AG1970-X1970</f>
        <v>-314744.52187499998</v>
      </c>
      <c r="AI1970" cm="1">
        <f t="array" ref="AI1970">IFERROR(IF(AH1970&lt;0,0,AH1970/($R$1950-INDEX(hd_off,MATCH(AQ1970,hd_mark,0),0)/12)),0)</f>
        <v>0</v>
      </c>
      <c r="AJ1970">
        <f>MAX($F$22,$Z$1950)/$Q$1972</f>
        <v>0.30172413793103448</v>
      </c>
      <c r="AK1970">
        <f t="shared" ref="AK1970:AK1973" si="1231">IF(AJ1970=0,0,IF(AJ1970&gt;2,1.25-0.125*AJ1970,1))</f>
        <v>1</v>
      </c>
      <c r="AL1970" cm="1">
        <f t="array" ref="AL1970">IFERROR(INDEX(sheath_ecap_asd,MATCH(AP1970,sheath_mark,0),0)*AK1970,0)</f>
        <v>239.85714285714286</v>
      </c>
      <c r="AM1970" cm="1">
        <f t="array" ref="AM1970">IFERROR(INDEX(sheath_wcap_asd,MATCH(AP1970,sheath_mark,0),0)*AK1970,0)</f>
        <v>335.8</v>
      </c>
      <c r="AN1970" cm="1">
        <f t="array" ref="AN1970">IFERROR(INDEX(hd_cap,MATCH(AQ1970,hd_mark,0),0),0)</f>
        <v>0</v>
      </c>
      <c r="AP1970" s="19">
        <v>21</v>
      </c>
      <c r="AQ1970" s="19"/>
      <c r="AR1970" s="100"/>
      <c r="AS1970" s="93"/>
      <c r="AT1970" s="109"/>
      <c r="AU1970" t="str">
        <f>$Q$1942</f>
        <v>L3</v>
      </c>
      <c r="AV1970">
        <f>$E$22</f>
        <v>21.375</v>
      </c>
      <c r="AW1970" cm="1">
        <f t="array" ref="AW1970">IFERROR(IF(AV1970=0,0,(INDEX($C$33:$C$38,MATCH($AZ$1950,$B$33:$B$38,0),0)*(AV1973+$BA$1950)+$AW$1950*COUNTIF(AV1970:AV1972,"&gt;0")*$C$32+$AY$1950*$C$31)*$AU$1950),0)</f>
        <v>26015.71875</v>
      </c>
      <c r="AX1970">
        <f>IF(AV1970=0,0,-(COUNTIF(AV1970:AV1972,"&gt;0")*$AW$1950*$C$32+$AY$1950*$C$31)*$H$27*$AU$1950)</f>
        <v>-200.44799999999998</v>
      </c>
      <c r="AY1970">
        <f>IF(AV1970=0,0,$AY$1950*$H$26*$AU$1950)</f>
        <v>-1328.1999999999998</v>
      </c>
      <c r="AZ1970">
        <f>(0.6*AW1970+0.7*AX1970)*$AU$1950/2</f>
        <v>224302.20592500002</v>
      </c>
      <c r="BA1970">
        <f>AW1970*$AU$1950/2</f>
        <v>377227.921875</v>
      </c>
      <c r="BC1970">
        <f>IF(AV1970=0,0,$BG$1950*$AP$1942)</f>
        <v>376.565</v>
      </c>
      <c r="BD1970">
        <f>IFERROR(BC1970/$AU$1950,0)</f>
        <v>12.984999999999999</v>
      </c>
      <c r="BE1970">
        <f>BC1970*($F$22+IF($F$22=0,0,($C$14+$C$15+IF($C$13="single",1.5,3)+3)/12))</f>
        <v>4024.5384374999999</v>
      </c>
      <c r="BF1970">
        <f>BE1970-AZ1970</f>
        <v>-220277.6674875</v>
      </c>
      <c r="BG1970" cm="1">
        <f t="array" ref="BG1970">IFERROR(IF(BF1970&lt;0,0,BF1970/($AU$1950-INDEX(hd_off,MATCH(BT1970,hd_mark,0),0)/12)),0)</f>
        <v>0</v>
      </c>
      <c r="BH1970">
        <f>IF(AV1970=0,0,$BG$1950*$AM$1942)</f>
        <v>5846.4</v>
      </c>
      <c r="BI1970">
        <f>IFERROR(BH1970/$AU$1950,0)</f>
        <v>201.6</v>
      </c>
      <c r="BJ1970">
        <f>BH1970*($F$22+IF($F$22=0,0,($C$14+$C$15+IF($C$13="single",1.5,3)+3)/12))</f>
        <v>62483.399999999994</v>
      </c>
      <c r="BK1970">
        <f>BJ1970-BA1970</f>
        <v>-314744.52187499998</v>
      </c>
      <c r="BL1970" cm="1">
        <f t="array" ref="BL1970">IFERROR(IF(BK1970&lt;0,0,BK1970/($AU$1950-INDEX(hd_off,MATCH(BT1970,hd_mark,0),0)/12)),0)</f>
        <v>0</v>
      </c>
      <c r="BM1970">
        <f>MAX($F$22,$BC$1950)/$Q$1972</f>
        <v>0.30172413793103448</v>
      </c>
      <c r="BN1970">
        <f t="shared" ref="BN1970:BN1973" si="1232">IF(BM1970=0,0,IF(BM1970&gt;2,1.25-0.125*BM1970,1))</f>
        <v>1</v>
      </c>
      <c r="BO1970" cm="1">
        <f t="array" ref="BO1970">IFERROR(INDEX(sheath_ecap_asd,MATCH(BS1970,sheath_mark,0),0)*BN1970,0)</f>
        <v>239.85714285714286</v>
      </c>
      <c r="BP1970" cm="1">
        <f t="array" ref="BP1970">IFERROR(INDEX(sheath_wcap_asd,MATCH(BS1970,sheath_mark,0),0)*BN1970,0)</f>
        <v>335.8</v>
      </c>
      <c r="BQ1970" cm="1">
        <f t="array" ref="BQ1970">IFERROR(INDEX(hd_cap,MATCH(BT1970,hd_mark,0),0),0)</f>
        <v>0</v>
      </c>
      <c r="BS1970" s="19">
        <v>21</v>
      </c>
      <c r="BT1970" s="19"/>
      <c r="BU1970" s="100"/>
    </row>
    <row r="1971" x14ac:dyDescent="0.25">
      <c r="B1971" t="s">
        <v>459</v>
      </c>
      <c r="C1971" s="19">
        <v>27</v>
      </c>
      <c r="D1971" s="19">
        <v>41</v>
      </c>
      <c r="E1971">
        <f t="shared" si="1228"/>
        <v>68</v>
      </c>
      <c r="F1971" t="s">
        <v>506</v>
      </c>
      <c r="H1971">
        <v>10</v>
      </c>
      <c r="I1971" s="19">
        <v>30</v>
      </c>
      <c r="J1971" s="19">
        <v>0</v>
      </c>
      <c r="K1971">
        <f t="shared" si="1229"/>
        <v>30</v>
      </c>
      <c r="P1971" s="93"/>
      <c r="Q1971" s="109" t="s">
        <v>491</v>
      </c>
      <c r="R1971" t="str">
        <f>$Q$1943</f>
        <v>L4</v>
      </c>
      <c r="S1971">
        <f>$E$23</f>
        <v>0</v>
      </c>
      <c r="T1971" cm="1">
        <f t="array" ref="T1971">IFERROR(IF(S1971=0,0,(INDEX($C$33:$C$38,MATCH($W$1950,$B$33:$B$38,0),0)*(S1973+$X$1950)+$T$1950*COUNTIF(S1971:S1972,"&gt;0")*$C$32+$V$1950*$C$31)*$R$1950),0)</f>
        <v>0</v>
      </c>
      <c r="U1971">
        <f>IF(S1971=0,0,-(COUNTIF(S1971:S1972,"&gt;0")*$T$1950*$C$32+$V$1950*$C$31)*$H$27*$R$1950)</f>
        <v>0</v>
      </c>
      <c r="V1971">
        <f>IF(S1971=0,0,$V$1950*$H$26*$R$1950)</f>
        <v>0</v>
      </c>
      <c r="W1971">
        <f t="shared" si="1230"/>
        <v>0</v>
      </c>
      <c r="X1971">
        <f>T1971*$R$1950/2</f>
        <v>0</v>
      </c>
      <c r="Z1971">
        <f>IF(S1971=0,0,$AD$1950*$AP$1943)</f>
        <v>0</v>
      </c>
      <c r="AA1971">
        <f>IFERROR(Z1971/$R$1950,0)</f>
        <v>0</v>
      </c>
      <c r="AB1971">
        <f>Z1971*($F$23+IF($F$23=0,0,($C$14+$C$15+IF($C$13="single",1.5,3)+3)/12))</f>
        <v>0</v>
      </c>
      <c r="AC1971">
        <f>AB1971-W1971</f>
        <v>0</v>
      </c>
      <c r="AD1971" cm="1">
        <f t="array" ref="AD1971">IFERROR(IF(AC1971&lt;0,0,AC1971/($R$1950-INDEX(hd_off,MATCH(AQ1971,hd_mark,0),0)/12)),0)</f>
        <v>0</v>
      </c>
      <c r="AE1971">
        <f>IF(S1971=0,0,$AD$1950*$AM$1943)</f>
        <v>0</v>
      </c>
      <c r="AF1971">
        <f>IFERROR(AE1971/$R$1950,0)</f>
        <v>0</v>
      </c>
      <c r="AG1971">
        <f>AE1971*($F$23+IF($F$23=0,0,($C$14+$C$15+IF($C$13="single",1.5,3)+3)/12))</f>
        <v>0</v>
      </c>
      <c r="AH1971">
        <f>AG1971-X1971</f>
        <v>0</v>
      </c>
      <c r="AI1971" cm="1">
        <f t="array" ref="AI1971">IFERROR(IF(AH1971&lt;0,0,AH1971/($R$1950-INDEX(hd_off,MATCH(AQ1971,hd_mark,0),0)/12)),0)</f>
        <v>0</v>
      </c>
      <c r="AJ1971">
        <f>MAX($F$23,$AA$1950)/$Q$1972</f>
        <v>0</v>
      </c>
      <c r="AK1971">
        <f t="shared" si="1231"/>
        <v>0</v>
      </c>
      <c r="AL1971" cm="1">
        <f t="array" ref="AL1971">IFERROR(INDEX(sheath_ecap_asd,MATCH(AP1971,sheath_mark,0),0)*AK1971,0)</f>
        <v>0</v>
      </c>
      <c r="AM1971" cm="1">
        <f t="array" ref="AM1971">IFERROR(INDEX(sheath_wcap_asd,MATCH(AP1971,sheath_mark,0),0)*AK1971,0)</f>
        <v>0</v>
      </c>
      <c r="AN1971" cm="1">
        <f t="array" ref="AN1971">IFERROR(INDEX(hd_cap,MATCH(AQ1971,hd_mark,0),0),0)</f>
        <v>0</v>
      </c>
      <c r="AP1971" s="19"/>
      <c r="AQ1971" s="19"/>
      <c r="AR1971" s="100"/>
      <c r="AS1971" s="93"/>
      <c r="AT1971" s="109" t="s">
        <v>491</v>
      </c>
      <c r="AU1971" t="str">
        <f>$Q$1943</f>
        <v>L4</v>
      </c>
      <c r="AV1971">
        <f>$E$23</f>
        <v>0</v>
      </c>
      <c r="AW1971" cm="1">
        <f t="array" ref="AW1971">IFERROR(IF(AV1971=0,0,(INDEX($C$33:$C$38,MATCH($AZ$1950,$B$33:$B$38,0),0)*(AV1973+$BA$1950)+$AW$1950*COUNTIF(AV1971:AV1972,"&gt;0")*$C$32+$AY$1950*$C$31)*$AU$1950),0)</f>
        <v>0</v>
      </c>
      <c r="AX1971">
        <f>IF(AV1971=0,0,-(COUNTIF(AV1971:AV1972,"&gt;0")*$AW$1950*$C$32+$AY$1950*$C$31)*$H$27*$AU$1950)</f>
        <v>0</v>
      </c>
      <c r="AY1971">
        <f>IF(AV1971=0,0,$AY$1950*$H$26*$AU$1950)</f>
        <v>0</v>
      </c>
      <c r="AZ1971">
        <f>(0.6*AW1971+0.7*AX1971)*$AU$1950/2</f>
        <v>0</v>
      </c>
      <c r="BA1971">
        <f>AW1971*$AU$1950/2</f>
        <v>0</v>
      </c>
      <c r="BC1971">
        <f>IF(AV1971=0,0,$BG$1950*$AP$1943)</f>
        <v>0</v>
      </c>
      <c r="BD1971">
        <f>IFERROR(BC1971/$AU$1950,0)</f>
        <v>0</v>
      </c>
      <c r="BE1971">
        <f>BC1971*($F$23+IF($F$23=0,0,($C$14+$C$15+IF($C$13="single",1.5,3)+3)/12))</f>
        <v>0</v>
      </c>
      <c r="BF1971">
        <f>BE1971-AZ1971</f>
        <v>0</v>
      </c>
      <c r="BG1971" cm="1">
        <f t="array" ref="BG1971">IFERROR(IF(BF1971&lt;0,0,BF1971/($AU$1950-INDEX(hd_off,MATCH(BT1971,hd_mark,0),0)/12)),0)</f>
        <v>0</v>
      </c>
      <c r="BH1971">
        <f>IF(AV1971=0,0,$BG$1950*$AM$1943)</f>
        <v>0</v>
      </c>
      <c r="BI1971">
        <f>IFERROR(BH1971/$AU$1950,0)</f>
        <v>0</v>
      </c>
      <c r="BJ1971">
        <f>BH1971*($F$23+IF($F$23=0,0,($C$14+$C$15+IF($C$13="single",1.5,3)+3)/12))</f>
        <v>0</v>
      </c>
      <c r="BK1971">
        <f>BJ1971-BA1971</f>
        <v>0</v>
      </c>
      <c r="BL1971" cm="1">
        <f t="array" ref="BL1971">IFERROR(IF(BK1971&lt;0,0,BK1971/($AU$1950-INDEX(hd_off,MATCH(BT1971,hd_mark,0),0)/12)),0)</f>
        <v>0</v>
      </c>
      <c r="BM1971">
        <f>MAX($F$23,$BD$1950)/$Q$1972</f>
        <v>0</v>
      </c>
      <c r="BN1971">
        <f t="shared" si="1232"/>
        <v>0</v>
      </c>
      <c r="BO1971" cm="1">
        <f t="array" ref="BO1971">IFERROR(INDEX(sheath_ecap_asd,MATCH(BS1971,sheath_mark,0),0)*BN1971,0)</f>
        <v>0</v>
      </c>
      <c r="BP1971" cm="1">
        <f t="array" ref="BP1971">IFERROR(INDEX(sheath_wcap_asd,MATCH(BS1971,sheath_mark,0),0)*BN1971,0)</f>
        <v>0</v>
      </c>
      <c r="BQ1971" cm="1">
        <f t="array" ref="BQ1971">IFERROR(INDEX(hd_cap,MATCH(BT1971,hd_mark,0),0),0)</f>
        <v>0</v>
      </c>
      <c r="BS1971" s="19"/>
      <c r="BT1971" s="19"/>
      <c r="BU1971" s="100"/>
    </row>
    <row r="1972" x14ac:dyDescent="0.25">
      <c r="B1972" t="s">
        <v>171</v>
      </c>
      <c r="C1972" s="19">
        <v>0</v>
      </c>
      <c r="D1972" s="19">
        <v>29</v>
      </c>
      <c r="E1972">
        <f t="shared" si="1228"/>
        <v>29</v>
      </c>
      <c r="H1972">
        <v>11</v>
      </c>
      <c r="I1972" s="19">
        <v>0</v>
      </c>
      <c r="J1972" s="19">
        <v>27</v>
      </c>
      <c r="K1972">
        <f t="shared" si="1229"/>
        <v>27</v>
      </c>
      <c r="P1972" s="93"/>
      <c r="Q1972" s="111">
        <f>$R$1950</f>
        <v>29</v>
      </c>
      <c r="R1972" t="str">
        <f>$Q$1944</f>
        <v>L5</v>
      </c>
      <c r="S1972">
        <f>$E$24</f>
        <v>0</v>
      </c>
      <c r="T1972" cm="1">
        <f t="array" ref="T1972">IFERROR(IF(S1972=0,0,(INDEX($C$33:$C$38,MATCH($W$1950,$B$33:$B$38,0),0)*(S1973+$X$1950)+$T$1950*COUNTIF(S1972:S1972,"&gt;0")*$C$32+$V$1950*$C$31)*$R$1950),0)</f>
        <v>0</v>
      </c>
      <c r="U1972">
        <f>IF(S1972=0,0,-(COUNTIF(S1972:S1972,"&gt;0")*$T$1950*$C$32+$V$1950*$C$31)*$H$27*$R$1950)</f>
        <v>0</v>
      </c>
      <c r="V1972">
        <f>IF(S1972=0,0,$V$1950*$H$26*$R$1950)</f>
        <v>0</v>
      </c>
      <c r="W1972">
        <f t="shared" si="1230"/>
        <v>0</v>
      </c>
      <c r="X1972">
        <f>T1972*$R$1950/2</f>
        <v>0</v>
      </c>
      <c r="Z1972">
        <f>IF(S1972=0,0,$AD$1950*$AP$1944)</f>
        <v>0</v>
      </c>
      <c r="AA1972">
        <f>IFERROR(Z1972/$R$1950,0)</f>
        <v>0</v>
      </c>
      <c r="AB1972">
        <f>Z1972*($F$24+IF($F$24=0,0,($C$14+$C$15+IF($C$13="single",1.5,3)+3)/12))</f>
        <v>0</v>
      </c>
      <c r="AC1972">
        <f>AB1972-W1972</f>
        <v>0</v>
      </c>
      <c r="AD1972" cm="1">
        <f t="array" ref="AD1972">IFERROR(IF(AC1972&lt;0,0,AC1972/($R$1950-INDEX(hd_off,MATCH(AQ1972,hd_mark,0),0)/12)),0)</f>
        <v>0</v>
      </c>
      <c r="AE1972">
        <f>IF(S1972=0,0,$AD$1950*$AM$1944)</f>
        <v>0</v>
      </c>
      <c r="AF1972">
        <f>IFERROR(AE1972/$R$1950,0)</f>
        <v>0</v>
      </c>
      <c r="AG1972">
        <f>AE1972*($F$24+IF($F$24=0,0,($C$14+$C$15+IF($C$13="single",1.5,3)+3)/12))</f>
        <v>0</v>
      </c>
      <c r="AH1972">
        <f>AG1972-X1972</f>
        <v>0</v>
      </c>
      <c r="AI1972" cm="1">
        <f t="array" ref="AI1972">IFERROR(IF(AH1972&lt;0,0,AH1972/($R$1950-INDEX(hd_off,MATCH(AQ1972,hd_mark,0),0)/12)),0)</f>
        <v>0</v>
      </c>
      <c r="AJ1972">
        <f>MAX($F$24,$AB$1950)/$Q$1972</f>
        <v>0</v>
      </c>
      <c r="AK1972">
        <f t="shared" si="1231"/>
        <v>0</v>
      </c>
      <c r="AL1972" cm="1">
        <f t="array" ref="AL1972">IFERROR(INDEX(sheath_ecap_asd,MATCH(AP1972,sheath_mark,0),0)*AK1972,0)</f>
        <v>0</v>
      </c>
      <c r="AM1972" cm="1">
        <f t="array" ref="AM1972">IFERROR(INDEX(sheath_wcap_asd,MATCH(AP1972,sheath_mark,0),0)*AK1972,0)</f>
        <v>0</v>
      </c>
      <c r="AN1972" cm="1">
        <f t="array" ref="AN1972">IFERROR(INDEX(hd_cap,MATCH(AQ1972,hd_mark,0),0),0)</f>
        <v>0</v>
      </c>
      <c r="AP1972" s="19"/>
      <c r="AQ1972" s="19"/>
      <c r="AR1972" s="100"/>
      <c r="AS1972" s="93"/>
      <c r="AT1972" s="111">
        <f>$R$1950</f>
        <v>29</v>
      </c>
      <c r="AU1972" t="str">
        <f>$Q$1944</f>
        <v>L5</v>
      </c>
      <c r="AV1972">
        <f>$E$24</f>
        <v>0</v>
      </c>
      <c r="AW1972" cm="1">
        <f t="array" ref="AW1972">IFERROR(IF(AV1972=0,0,(INDEX($C$33:$C$38,MATCH($AZ$1950,$B$33:$B$38,0),0)*(AV1973+$BA$1950)+$AW$1950*COUNTIF(AV1972:AV1972,"&gt;0")*$C$32+$AY$1950*$C$31)*$AU$1950),0)</f>
        <v>0</v>
      </c>
      <c r="AX1972">
        <f>IF(AV1972=0,0,-(COUNTIF(AV1972:AV1972,"&gt;0")*$AW$1950*$C$32+$AY$1950*$C$31)*$H$27*$AU$1950)</f>
        <v>0</v>
      </c>
      <c r="AY1972">
        <f>IF(AV1972=0,0,$AY$1950*$H$26*$AU$1950)</f>
        <v>0</v>
      </c>
      <c r="AZ1972">
        <f>(0.6*AW1972+0.7*AX1972)*$AU$1950/2</f>
        <v>0</v>
      </c>
      <c r="BA1972">
        <f>AW1972*$AU$1950/2</f>
        <v>0</v>
      </c>
      <c r="BC1972">
        <f>IF(AV1972=0,0,$BG$1950*$AP$1944)</f>
        <v>0</v>
      </c>
      <c r="BD1972">
        <f>IFERROR(BC1972/$AU$1950,0)</f>
        <v>0</v>
      </c>
      <c r="BE1972">
        <f>BC1972*($F$24+IF($F$24=0,0,($C$14+$C$15+IF($C$13="single",1.5,3)+3)/12))</f>
        <v>0</v>
      </c>
      <c r="BF1972">
        <f>BE1972-AZ1972</f>
        <v>0</v>
      </c>
      <c r="BG1972" cm="1">
        <f t="array" ref="BG1972">IFERROR(IF(BF1972&lt;0,0,BF1972/($AU$1950-INDEX(hd_off,MATCH(BT1972,hd_mark,0),0)/12)),0)</f>
        <v>0</v>
      </c>
      <c r="BH1972">
        <f>IF(AV1972=0,0,$BG$1950*$AM$1944)</f>
        <v>0</v>
      </c>
      <c r="BI1972">
        <f>IFERROR(BH1972/$AU$1950,0)</f>
        <v>0</v>
      </c>
      <c r="BJ1972">
        <f>BH1972*($F$24+IF($F$24=0,0,($C$14+$C$15+IF($C$13="single",1.5,3)+3)/12))</f>
        <v>0</v>
      </c>
      <c r="BK1972">
        <f>BJ1972-BA1972</f>
        <v>0</v>
      </c>
      <c r="BL1972" cm="1">
        <f t="array" ref="BL1972">IFERROR(IF(BK1972&lt;0,0,BK1972/($AU$1950-INDEX(hd_off,MATCH(BT1972,hd_mark,0),0)/12)),0)</f>
        <v>0</v>
      </c>
      <c r="BM1972">
        <f>MAX($F$24,$BE$1950)/$Q$1972</f>
        <v>0</v>
      </c>
      <c r="BN1972">
        <f t="shared" si="1232"/>
        <v>0</v>
      </c>
      <c r="BO1972" cm="1">
        <f t="array" ref="BO1972">IFERROR(INDEX(sheath_ecap_asd,MATCH(BS1972,sheath_mark,0),0)*BN1972,0)</f>
        <v>0</v>
      </c>
      <c r="BP1972" cm="1">
        <f t="array" ref="BP1972">IFERROR(INDEX(sheath_wcap_asd,MATCH(BS1972,sheath_mark,0),0)*BN1972,0)</f>
        <v>0</v>
      </c>
      <c r="BQ1972" cm="1">
        <f t="array" ref="BQ1972">IFERROR(INDEX(hd_cap,MATCH(BT1972,hd_mark,0),0),0)</f>
        <v>0</v>
      </c>
      <c r="BS1972" s="19"/>
      <c r="BT1972" s="19"/>
      <c r="BU1972" s="100"/>
    </row>
    <row r="1973" x14ac:dyDescent="0.25">
      <c r="B1973" t="s">
        <v>460</v>
      </c>
      <c r="C1973" s="19">
        <v>29</v>
      </c>
      <c r="D1973" s="19">
        <v>6</v>
      </c>
      <c r="E1973">
        <f t="shared" si="1228"/>
        <v>35</v>
      </c>
      <c r="H1973">
        <v>12</v>
      </c>
      <c r="I1973" s="19">
        <v>27</v>
      </c>
      <c r="J1973" s="19">
        <v>14</v>
      </c>
      <c r="K1973">
        <f t="shared" si="1229"/>
        <v>41</v>
      </c>
      <c r="P1973" s="93"/>
      <c r="Q1973" s="109"/>
      <c r="R1973" t="str">
        <f>$Q$1945</f>
        <v>Roof</v>
      </c>
      <c r="S1973">
        <f>$E$25</f>
        <v>33.171875</v>
      </c>
      <c r="T1973" cm="1">
        <f t="array" ref="T1973">IFERROR(IF(S1973=0,0,(INDEX($C$33:$C$38,MATCH($W$1950,$B$33:$B$38,0),0)*(S1973+$X$1950)+$V$1950*$C$31)*$R$1950),0)</f>
        <v>21491.71875</v>
      </c>
      <c r="U1973">
        <f>IF(S1973=0,0,-$V$1950*$C$31*$H$27*$R$1950)</f>
        <v>-37.583999999999996</v>
      </c>
      <c r="V1973">
        <f>IF(S1973=0,0,$V$1950*$H$26*$R$1950)</f>
        <v>-1328.1999999999998</v>
      </c>
      <c r="W1973">
        <f>(0.6*T1973+0.7*U1973)*$R$1950/2</f>
        <v>186596.47552499999</v>
      </c>
      <c r="X1973">
        <f>T1973*$R$1950/2</f>
        <v>311629.921875</v>
      </c>
      <c r="Z1973">
        <f>IF(S1973=0,0,$AD$1950*$AP$1945)</f>
        <v>191.83499999999995</v>
      </c>
      <c r="AA1973">
        <f>IFERROR(Z1973/$R$1950,0)</f>
        <v>6.6149999999999984</v>
      </c>
      <c r="AB1973">
        <f>Z1973*($F$25+($C$16+$C$17+IF($C$13="single",1.5,3)+3)/12)</f>
        <v>2263.0535156249989</v>
      </c>
      <c r="AC1973">
        <f>AB1973-W1973</f>
        <v>-184333.42200937498</v>
      </c>
      <c r="AD1973" cm="1">
        <f t="array" ref="AD1973">IFERROR(IF(AC1973&lt;0,0,AC1973/($R$1950-INDEX(hd_off,MATCH(AQ1973,hd_mark,0),0)/12)),0)</f>
        <v>0</v>
      </c>
      <c r="AE1973">
        <f>IF(S1973=0,0,$AD$1950*$AM$1945)</f>
        <v>3854.1</v>
      </c>
      <c r="AF1973">
        <f>IFERROR(AE1973/$R$1950,0)</f>
        <v>132.9</v>
      </c>
      <c r="AG1973">
        <f>AE1973*($F$25+($C$16+$C$17+IF($C$13="single",1.5,3)+3)/12)</f>
        <v>45466.335937499993</v>
      </c>
      <c r="AH1973">
        <f>AG1973-X1973</f>
        <v>-266163.5859375</v>
      </c>
      <c r="AI1973" cm="1">
        <f t="array" ref="AI1973">IFERROR(IF(AH1973&lt;0,0,AH1973/($R$1950-INDEX(hd_off,MATCH(AQ1973,hd_mark,0),0)/12)),0)</f>
        <v>0</v>
      </c>
      <c r="AJ1973">
        <f>MAX($F$25,$AC$1950)/$Q$1972</f>
        <v>0.29920977011494249</v>
      </c>
      <c r="AK1973">
        <f t="shared" si="1231"/>
        <v>1</v>
      </c>
      <c r="AL1973" cm="1">
        <f t="array" ref="AL1973">IFERROR(INDEX(sheath_ecap_asd,MATCH(AP1973,sheath_mark,0),0)*AK1973,0)</f>
        <v>95.285714285714306</v>
      </c>
      <c r="AM1973" cm="1">
        <f t="array" ref="AM1973">IFERROR(INDEX(sheath_wcap_asd,MATCH(AP1973,sheath_mark,0),0)*AK1973,0)</f>
        <v>133.4</v>
      </c>
      <c r="AN1973" cm="1">
        <f t="array" ref="AN1973">IFERROR(INDEX(hd_cap,MATCH(AQ1973,hd_mark,0),0),0)</f>
        <v>0</v>
      </c>
      <c r="AP1973" s="19">
        <v>11</v>
      </c>
      <c r="AQ1973" s="19"/>
      <c r="AR1973" s="100"/>
      <c r="AS1973" s="93"/>
      <c r="AT1973" s="109"/>
      <c r="AU1973" t="str">
        <f>$Q$1945</f>
        <v>Roof</v>
      </c>
      <c r="AV1973">
        <f>$E$25</f>
        <v>33.171875</v>
      </c>
      <c r="AW1973" cm="1">
        <f t="array" ref="AW1973">IFERROR(IF(AV1973=0,0,(INDEX($C$33:$C$38,MATCH($AZ$1950,$B$33:$B$38,0),0)*(AV1973+$BA$1950)+$AY$1950*$C$31)*$AU$1950),0)</f>
        <v>21491.71875</v>
      </c>
      <c r="AX1973">
        <f>IF(AV1973=0,0,-$AY$1950*$C$31*$H$27*$AU$1950)</f>
        <v>-37.583999999999996</v>
      </c>
      <c r="AY1973">
        <f>IF(AV1973=0,0,$AY$1950*$H$26*$AU$1950)</f>
        <v>-1328.1999999999998</v>
      </c>
      <c r="AZ1973">
        <f>(0.6*AW1973+0.7*AX1973)*$AU$1950/2</f>
        <v>186596.47552499999</v>
      </c>
      <c r="BA1973">
        <f>AW1973*$AU$1950/2</f>
        <v>311629.921875</v>
      </c>
      <c r="BC1973">
        <f>IF(AV1973=0,0,$BG$1950*$AP$1945)</f>
        <v>191.83499999999995</v>
      </c>
      <c r="BD1973">
        <f>IFERROR(BC1973/$AU$1950,0)</f>
        <v>6.6149999999999984</v>
      </c>
      <c r="BE1973">
        <f>BC1973*($F$25+($C$16+$C$17+IF($C$13="single",1.5,3)+3)/12)</f>
        <v>2263.0535156249989</v>
      </c>
      <c r="BF1973">
        <f>BE1973-AZ1973</f>
        <v>-184333.42200937498</v>
      </c>
      <c r="BG1973" cm="1">
        <f t="array" ref="BG1973">IFERROR(IF(BF1973&lt;0,0,BF1973/($AU$1950-INDEX(hd_off,MATCH(BT1973,hd_mark,0),0)/12)),0)</f>
        <v>0</v>
      </c>
      <c r="BH1973">
        <f>IF(AV1973=0,0,$BG$1950*$AM$1945)</f>
        <v>3854.1</v>
      </c>
      <c r="BI1973">
        <f>IFERROR(BH1973/$AU$1950,0)</f>
        <v>132.9</v>
      </c>
      <c r="BJ1973">
        <f>BH1973*($F$25+($C$16+$C$17+IF($C$13="single",1.5,3)+3)/12)</f>
        <v>45466.335937499993</v>
      </c>
      <c r="BK1973">
        <f>BJ1973-BA1973</f>
        <v>-266163.5859375</v>
      </c>
      <c r="BL1973" cm="1">
        <f t="array" ref="BL1973">IFERROR(IF(BK1973&lt;0,0,BK1973/($AU$1950-INDEX(hd_off,MATCH(BT1973,hd_mark,0),0)/12)),0)</f>
        <v>0</v>
      </c>
      <c r="BM1973">
        <f>MAX($F$25,$BF$1950)/$Q$1972</f>
        <v>0.29920977011494249</v>
      </c>
      <c r="BN1973">
        <f t="shared" si="1232"/>
        <v>1</v>
      </c>
      <c r="BO1973" cm="1">
        <f t="array" ref="BO1973">IFERROR(INDEX(sheath_ecap_asd,MATCH(BS1973,sheath_mark,0),0)*BN1973,0)</f>
        <v>95.285714285714306</v>
      </c>
      <c r="BP1973" cm="1">
        <f t="array" ref="BP1973">IFERROR(INDEX(sheath_wcap_asd,MATCH(BS1973,sheath_mark,0),0)*BN1973,0)</f>
        <v>133.4</v>
      </c>
      <c r="BQ1973" cm="1">
        <f t="array" ref="BQ1973">IFERROR(INDEX(hd_cap,MATCH(BT1973,hd_mark,0),0),0)</f>
        <v>0</v>
      </c>
      <c r="BS1973" s="19">
        <v>11</v>
      </c>
      <c r="BT1973" s="19"/>
      <c r="BU1973" s="100"/>
    </row>
    <row r="1974" x14ac:dyDescent="0.25">
      <c r="B1974" t="s">
        <v>461</v>
      </c>
      <c r="C1974" s="19">
        <v>6</v>
      </c>
      <c r="D1974" s="19">
        <v>29</v>
      </c>
      <c r="E1974">
        <f t="shared" si="1228"/>
        <v>35</v>
      </c>
      <c r="H1974">
        <v>13</v>
      </c>
      <c r="I1974" s="19">
        <v>14</v>
      </c>
      <c r="J1974" s="19">
        <v>12</v>
      </c>
      <c r="K1974">
        <f t="shared" si="1229"/>
        <v>26</v>
      </c>
      <c r="P1974" s="93"/>
      <c r="Q1974" s="109"/>
      <c r="AR1974" s="100"/>
      <c r="AS1974" s="93"/>
      <c r="AT1974" s="109"/>
      <c r="BU1974" s="100"/>
    </row>
    <row r="1975" x14ac:dyDescent="0.25">
      <c r="B1975" t="s">
        <v>462</v>
      </c>
      <c r="C1975" s="19">
        <v>29</v>
      </c>
      <c r="D1975" s="19">
        <v>0</v>
      </c>
      <c r="E1975">
        <f t="shared" si="1228"/>
        <v>29</v>
      </c>
      <c r="H1975">
        <v>14</v>
      </c>
      <c r="I1975" s="19">
        <v>12</v>
      </c>
      <c r="J1975" s="19">
        <v>27</v>
      </c>
      <c r="K1975">
        <f t="shared" si="1229"/>
        <v>39</v>
      </c>
      <c r="P1975" s="93"/>
      <c r="Q1975" s="110" t="str">
        <f>$Q$1951</f>
        <v>A.02</v>
      </c>
      <c r="R1975" t="str">
        <f>$Q$1941</f>
        <v>L2</v>
      </c>
      <c r="S1975">
        <f>$E$21</f>
        <v>10.6875</v>
      </c>
      <c r="T1975" cm="1">
        <f t="array" ref="T1975">IFERROR(IF(S1975=0,0,(INDEX($C$33:$C$38,MATCH($W$1951,$B$33:$B$38,0),0)*(S1979+$X$1951)+$T$1951*COUNTIF(S1975:S1978,"&gt;0")*$C$32+$V$1951*$C$31)*$R$1951),0)</f>
        <v>0</v>
      </c>
      <c r="U1975">
        <f>IF(S1975=0,0,-(COUNTIF(S1975:S1978,"&gt;0")*$T$1951*$C$32+$V$1951*$C$31)*$H$27*$R$1951)</f>
        <v>0</v>
      </c>
      <c r="V1975">
        <f>IF(S1975=0,0,$V$1951*$H$26*$R$1951)</f>
        <v>0</v>
      </c>
      <c r="W1975">
        <f>(0.6*T1975+0.7*U1975)*$R$1951/2</f>
        <v>0</v>
      </c>
      <c r="X1975">
        <f>(0.6*T1975+0.6*V1975)*$R$1951/2</f>
        <v>0</v>
      </c>
      <c r="Z1975">
        <f>IF(S1975=0,0,$AD$1951*$AP$1941)</f>
        <v>0</v>
      </c>
      <c r="AA1975">
        <f>IFERROR(Z1975/$R$1951,0)</f>
        <v>0</v>
      </c>
      <c r="AB1975">
        <f>Z1975*($F$21+IF($F$21=0,0,($C$14+$C$15+IF($C$13="single",1.5,3)+3)/12))</f>
        <v>0</v>
      </c>
      <c r="AC1975">
        <f>AB1975-W1975</f>
        <v>0</v>
      </c>
      <c r="AD1975" cm="1">
        <f t="array" ref="AD1975">IFERROR(IF(AC1975&lt;0,0,AC1975/($R$1951-INDEX(hd_off,MATCH(AQ1975,hd_mark,0),0)/12)),0)</f>
        <v>0</v>
      </c>
      <c r="AE1975">
        <f>IF(S1975=0,0,$AD$1951*$AM$1941)</f>
        <v>0</v>
      </c>
      <c r="AF1975">
        <f>IFERROR(AE1975/$R$1951,0)</f>
        <v>0</v>
      </c>
      <c r="AG1975">
        <f>AE1975*($F$21+IF($F$21=0,0,($C$14+$C$15+IF($C$13="single",1.5,3)+3)/12))</f>
        <v>0</v>
      </c>
      <c r="AH1975">
        <f>AG1975-X1975</f>
        <v>0</v>
      </c>
      <c r="AI1975" cm="1">
        <f t="array" ref="AI1975">IFERROR(IF(AH1975&lt;0,0,AH1975/($R$1951-INDEX(hd_off,MATCH(AQ1975,hd_mark,0),0)/12)),0)</f>
        <v>0</v>
      </c>
      <c r="AJ1975">
        <f>MAX($F$21,$Y$1951)/$Q$1972</f>
        <v>0.30172413793103448</v>
      </c>
      <c r="AK1975">
        <f>IF(AJ1975=0,0,IF(AJ1975&gt;2,1.25-0.125*AJ1975,1))</f>
        <v>1</v>
      </c>
      <c r="AL1975" cm="1">
        <f t="array" ref="AL1975">IFERROR(INDEX(sheath_ecap_asd,MATCH(AP1975,sheath_mark,0),0)*AK1975,0)</f>
        <v>0</v>
      </c>
      <c r="AM1975" cm="1">
        <f t="array" ref="AM1975">IFERROR(INDEX(sheath_wcap_asd,MATCH(AP1975,sheath_mark,0),0)*AK1975,0)</f>
        <v>0</v>
      </c>
      <c r="AN1975" cm="1">
        <f t="array" ref="AN1975">IFERROR(INDEX(hd_cap,MATCH(AQ1975,hd_mark,0),0),0)</f>
        <v>0</v>
      </c>
      <c r="AP1975" s="19"/>
      <c r="AQ1975" s="19"/>
      <c r="AR1975" s="100"/>
      <c r="AS1975" s="93"/>
      <c r="AT1975" s="110" t="str">
        <f>$AT$1951</f>
        <v>1.02</v>
      </c>
      <c r="AU1975" t="str">
        <f>$Q$1941</f>
        <v>L2</v>
      </c>
      <c r="AV1975">
        <f>$E$21</f>
        <v>10.6875</v>
      </c>
      <c r="AW1975" cm="1">
        <f t="array" ref="AW1975">IFERROR(IF(AV1975=0,0,(INDEX($C$33:$C$38,MATCH($AZ$1951,$B$33:$B$38,0),0)*(AV1979+$BA$1951)+$AW$1951*COUNTIF(AV1975:AV1978,"&gt;0")*$C$32+$AY$1951*$C$31)*$AU$1951),0)</f>
        <v>0</v>
      </c>
      <c r="AX1975">
        <f>IF(AV1975=0,0,-(COUNTIF(AV1975:AV1978,"&gt;0")*$AW$1951*$C$32+$AY$1951*$C$31)*$H$27*$AU$1951)</f>
        <v>0</v>
      </c>
      <c r="AY1975">
        <f>IF(AV1975=0,0,$AY$1951*$H$26*$AU$1951)</f>
        <v>0</v>
      </c>
      <c r="AZ1975">
        <f>(0.6*AW1975+0.7*AX1975)*$AU$1951/2</f>
        <v>0</v>
      </c>
      <c r="BA1975">
        <f>(0.6*AW1975+0.6*AY1975)*$AU$1951/2</f>
        <v>0</v>
      </c>
      <c r="BC1975">
        <f>IF(AV1975=0,0,$BG$1951*$AP$1941)</f>
        <v>0</v>
      </c>
      <c r="BD1975">
        <f>IFERROR(BC1975/$AU$1951,0)</f>
        <v>0</v>
      </c>
      <c r="BE1975">
        <f>BC1975*($F$21+IF($F$21=0,0,($C$14+$C$15+IF($C$13="single",1.5,3)+3)/12))</f>
        <v>0</v>
      </c>
      <c r="BF1975">
        <f>BE1975-AZ1975</f>
        <v>0</v>
      </c>
      <c r="BG1975" cm="1">
        <f t="array" ref="BG1975">IFERROR(IF(BF1975&lt;0,0,BF1975/($AU$1951-INDEX(hd_off,MATCH(BT1975,hd_mark,0),0)/12)),0)</f>
        <v>0</v>
      </c>
      <c r="BH1975">
        <f>IF(AV1975=0,0,$BG$1951*$AM$1941)</f>
        <v>0</v>
      </c>
      <c r="BI1975">
        <f>IFERROR(BH1975/$AU$1951,0)</f>
        <v>0</v>
      </c>
      <c r="BJ1975">
        <f>BH1975*($F$21+IF($F$21=0,0,($C$14+$C$15+IF($C$13="single",1.5,3)+3)/12))</f>
        <v>0</v>
      </c>
      <c r="BK1975">
        <f>BJ1975-BA1975</f>
        <v>0</v>
      </c>
      <c r="BL1975" cm="1">
        <f t="array" ref="BL1975">IFERROR(IF(BK1975&lt;0,0,BK1975/($AU$1951-INDEX(hd_off,MATCH(BT1975,hd_mark,0),0)/12)),0)</f>
        <v>0</v>
      </c>
      <c r="BM1975">
        <f>MAX($F$21,$BB$1951)/$Q$1972</f>
        <v>0.30172413793103448</v>
      </c>
      <c r="BN1975">
        <f>IF(BM1975=0,0,IF(BM1975&gt;2,1.25-0.125*BM1975,1))</f>
        <v>1</v>
      </c>
      <c r="BO1975" cm="1">
        <f t="array" ref="BO1975">IFERROR(INDEX(sheath_ecap_asd,MATCH(BS1975,sheath_mark,0),0)*BN1975,0)</f>
        <v>0</v>
      </c>
      <c r="BP1975" cm="1">
        <f t="array" ref="BP1975">IFERROR(INDEX(sheath_wcap_asd,MATCH(BS1975,sheath_mark,0),0)*BN1975,0)</f>
        <v>0</v>
      </c>
      <c r="BQ1975" cm="1">
        <f t="array" ref="BQ1975">IFERROR(INDEX(hd_cap,MATCH(BT1975,hd_mark,0),0),0)</f>
        <v>0</v>
      </c>
      <c r="BS1975" s="19"/>
      <c r="BT1975" s="19"/>
      <c r="BU1975" s="100"/>
    </row>
    <row r="1976" x14ac:dyDescent="0.25">
      <c r="B1976" t="s">
        <v>463</v>
      </c>
      <c r="C1976" s="19"/>
      <c r="D1976" s="19"/>
      <c r="E1976">
        <f t="shared" si="1228"/>
        <v>0</v>
      </c>
      <c r="H1976">
        <v>15</v>
      </c>
      <c r="I1976" s="19">
        <v>27</v>
      </c>
      <c r="J1976" s="19">
        <v>18</v>
      </c>
      <c r="K1976">
        <f t="shared" si="1229"/>
        <v>45</v>
      </c>
      <c r="P1976" s="93"/>
      <c r="Q1976" s="109"/>
      <c r="R1976" t="str">
        <f>$Q$1942</f>
        <v>L3</v>
      </c>
      <c r="S1976">
        <f>$E$22</f>
        <v>21.375</v>
      </c>
      <c r="T1976" cm="1">
        <f t="array" ref="T1976">IFERROR(IF(S1976=0,0,(INDEX($C$33:$C$38,MATCH($W$1951,$B$33:$B$38,0),0)*(S1979+$X$1951)+$T$1951*COUNTIF(S1976:S1978,"&gt;0")*$C$32+$V$1951*$C$31)*$R$1951),0)</f>
        <v>0</v>
      </c>
      <c r="U1976">
        <f>IF(S1976=0,0,-(COUNTIF(S1976:S1978,"&gt;0")*$T$1951*$C$32+$V$1951*$C$31)*$H$27*$R$1951)</f>
        <v>0</v>
      </c>
      <c r="V1976">
        <f>IF(S1976=0,0,$V$1951*$H$26*$R$1951)</f>
        <v>0</v>
      </c>
      <c r="W1976">
        <f>(0.6*T1976+0.7*U1976)*$R$1951/2</f>
        <v>0</v>
      </c>
      <c r="X1976">
        <f>T1976*$R$1951/2</f>
        <v>0</v>
      </c>
      <c r="Z1976">
        <f>IF(S1976=0,0,$AD$1951*$AP$1942)</f>
        <v>0</v>
      </c>
      <c r="AA1976">
        <f>IFERROR(Z1976/$R$1951,0)</f>
        <v>0</v>
      </c>
      <c r="AB1976">
        <f>Z1976*($F$22+IF($F$22=0,0,($C$14+$C$15+IF($C$13="single",1.5,3)+3)/12))</f>
        <v>0</v>
      </c>
      <c r="AC1976">
        <f>AB1976-W1976</f>
        <v>0</v>
      </c>
      <c r="AD1976" cm="1">
        <f t="array" ref="AD1976">IFERROR(IF(AC1976&lt;0,0,AC1976/($R$1951-INDEX(hd_off,MATCH(AQ1976,hd_mark,0),0)/12)),0)</f>
        <v>0</v>
      </c>
      <c r="AE1976">
        <f>IF(S1976=0,0,$AD$1951*$AM$1942)</f>
        <v>0</v>
      </c>
      <c r="AF1976">
        <f>IFERROR(AE1976/$R$1951,0)</f>
        <v>0</v>
      </c>
      <c r="AG1976">
        <f>AE1976*($F$22+IF($F$22=0,0,($C$14+$C$15+IF($C$13="single",1.5,3)+3)/12))</f>
        <v>0</v>
      </c>
      <c r="AH1976">
        <f>AG1976-X1976</f>
        <v>0</v>
      </c>
      <c r="AI1976" cm="1">
        <f t="array" ref="AI1976">IFERROR(IF(AH1976&lt;0,0,AH1976/($R$1951-INDEX(hd_off,MATCH(AQ1976,hd_mark,0),0)/12)),0)</f>
        <v>0</v>
      </c>
      <c r="AJ1976">
        <f>MAX($F$22,$Z$1951)/$Q$1972</f>
        <v>0.30172413793103448</v>
      </c>
      <c r="AK1976">
        <f t="shared" ref="AK1976:AK1979" si="1233">IF(AJ1976=0,0,IF(AJ1976&gt;2,1.25-0.125*AJ1976,1))</f>
        <v>1</v>
      </c>
      <c r="AL1976" cm="1">
        <f t="array" ref="AL1976">IFERROR(INDEX(sheath_ecap_asd,MATCH(AP1976,sheath_mark,0),0)*AK1976,0)</f>
        <v>0</v>
      </c>
      <c r="AM1976" cm="1">
        <f t="array" ref="AM1976">IFERROR(INDEX(sheath_wcap_asd,MATCH(AP1976,sheath_mark,0),0)*AK1976,0)</f>
        <v>0</v>
      </c>
      <c r="AN1976" cm="1">
        <f t="array" ref="AN1976">IFERROR(INDEX(hd_cap,MATCH(AQ1976,hd_mark,0),0),0)</f>
        <v>0</v>
      </c>
      <c r="AP1976" s="19"/>
      <c r="AQ1976" s="19"/>
      <c r="AR1976" s="100"/>
      <c r="AS1976" s="93"/>
      <c r="AT1976" s="109"/>
      <c r="AU1976" t="str">
        <f>$Q$1942</f>
        <v>L3</v>
      </c>
      <c r="AV1976">
        <f>$E$22</f>
        <v>21.375</v>
      </c>
      <c r="AW1976" cm="1">
        <f t="array" ref="AW1976">IFERROR(IF(AV1976=0,0,(INDEX($C$33:$C$38,MATCH($AZ$1951,$B$33:$B$38,0),0)*(AV1979+$BA$1951)+$AW$1951*COUNTIF(AV1976:AV1978,"&gt;0")*$C$32+$AY$1951*$C$31)*$AU$1951),0)</f>
        <v>0</v>
      </c>
      <c r="AX1976">
        <f>IF(AV1976=0,0,-(COUNTIF(AV1976:AV1978,"&gt;0")*$AW$1951*$C$32+$AY$1951*$C$31)*$H$27*$AU$1951)</f>
        <v>0</v>
      </c>
      <c r="AY1976">
        <f>IF(AV1976=0,0,$AY$1951*$H$26*$AU$1951)</f>
        <v>0</v>
      </c>
      <c r="AZ1976">
        <f>(0.6*AW1976+0.7*AX1976)*$AU$1951/2</f>
        <v>0</v>
      </c>
      <c r="BA1976">
        <f>AW1976*$AU$1951/2</f>
        <v>0</v>
      </c>
      <c r="BC1976">
        <f>IF(AV1976=0,0,$BG$1951*$AP$1942)</f>
        <v>0</v>
      </c>
      <c r="BD1976">
        <f>IFERROR(BC1976/$AU$1951,0)</f>
        <v>0</v>
      </c>
      <c r="BE1976">
        <f>BC1976*($F$22+IF($F$22=0,0,($C$14+$C$15+IF($C$13="single",1.5,3)+3)/12))</f>
        <v>0</v>
      </c>
      <c r="BF1976">
        <f>BE1976-AZ1976</f>
        <v>0</v>
      </c>
      <c r="BG1976" cm="1">
        <f t="array" ref="BG1976">IFERROR(IF(BF1976&lt;0,0,BF1976/($AU$1951-INDEX(hd_off,MATCH(BT1976,hd_mark,0),0)/12)),0)</f>
        <v>0</v>
      </c>
      <c r="BH1976">
        <f>IF(AV1976=0,0,$BG$1951*$AM$1942)</f>
        <v>0</v>
      </c>
      <c r="BI1976">
        <f>IFERROR(BH1976/$AU$1951,0)</f>
        <v>0</v>
      </c>
      <c r="BJ1976">
        <f>BH1976*($F$22+IF($F$22=0,0,($C$14+$C$15+IF($C$13="single",1.5,3)+3)/12))</f>
        <v>0</v>
      </c>
      <c r="BK1976">
        <f>BJ1976-BA1976</f>
        <v>0</v>
      </c>
      <c r="BL1976" cm="1">
        <f t="array" ref="BL1976">IFERROR(IF(BK1976&lt;0,0,BK1976/($AU$1951-INDEX(hd_off,MATCH(BT1976,hd_mark,0),0)/12)),0)</f>
        <v>0</v>
      </c>
      <c r="BM1976">
        <f>MAX($F$22,$BC$1951)/$Q$1972</f>
        <v>0.30172413793103448</v>
      </c>
      <c r="BN1976">
        <f t="shared" ref="BN1976:BN1979" si="1234">IF(BM1976=0,0,IF(BM1976&gt;2,1.25-0.125*BM1976,1))</f>
        <v>1</v>
      </c>
      <c r="BO1976" cm="1">
        <f t="array" ref="BO1976">IFERROR(INDEX(sheath_ecap_asd,MATCH(BS1976,sheath_mark,0),0)*BN1976,0)</f>
        <v>0</v>
      </c>
      <c r="BP1976" cm="1">
        <f t="array" ref="BP1976">IFERROR(INDEX(sheath_wcap_asd,MATCH(BS1976,sheath_mark,0),0)*BN1976,0)</f>
        <v>0</v>
      </c>
      <c r="BQ1976" cm="1">
        <f t="array" ref="BQ1976">IFERROR(INDEX(hd_cap,MATCH(BT1976,hd_mark,0),0),0)</f>
        <v>0</v>
      </c>
      <c r="BS1976" s="19"/>
      <c r="BT1976" s="19"/>
      <c r="BU1976" s="100"/>
    </row>
    <row r="1977" x14ac:dyDescent="0.25">
      <c r="B1977" t="s">
        <v>464</v>
      </c>
      <c r="C1977" s="19"/>
      <c r="D1977" s="19"/>
      <c r="E1977">
        <f t="shared" si="1228"/>
        <v>0</v>
      </c>
      <c r="H1977">
        <v>16</v>
      </c>
      <c r="I1977" s="19"/>
      <c r="J1977" s="19"/>
      <c r="K1977">
        <f t="shared" si="1229"/>
        <v>0</v>
      </c>
      <c r="P1977" s="93"/>
      <c r="Q1977" s="109" t="s">
        <v>491</v>
      </c>
      <c r="R1977" t="str">
        <f>$Q$1943</f>
        <v>L4</v>
      </c>
      <c r="S1977">
        <f>$E$23</f>
        <v>0</v>
      </c>
      <c r="T1977" cm="1">
        <f t="array" ref="T1977">IFERROR(IF(S1977=0,0,(INDEX($C$33:$C$38,MATCH($W$1951,$B$33:$B$38,0),0)*(S1979+$X$1951)+$T$1951*COUNTIF(S1977:S1978,"&gt;0")*$C$32+$V$1951*$C$31)*$R$1951),0)</f>
        <v>0</v>
      </c>
      <c r="U1977">
        <f>IF(S1977=0,0,-(COUNTIF(S1977:S1978,"&gt;0")*$T$1951*$C$32+$V$1951*$C$31)*$H$27*$R$1951)</f>
        <v>0</v>
      </c>
      <c r="V1977">
        <f>IF(S1977=0,0,$V$1951*$H$26*$R$1951)</f>
        <v>0</v>
      </c>
      <c r="W1977">
        <f>(0.6*T1977+0.7*U1977)*$R$1951/2</f>
        <v>0</v>
      </c>
      <c r="X1977">
        <f>T1977*$R$1951/2</f>
        <v>0</v>
      </c>
      <c r="Z1977">
        <f>IF(S1977=0,0,$AD$1951*$AP$1943)</f>
        <v>0</v>
      </c>
      <c r="AA1977">
        <f>IFERROR(Z1977/$R$1951,0)</f>
        <v>0</v>
      </c>
      <c r="AB1977">
        <f>Z1977*($F$23+IF($F$23=0,0,($C$14+$C$15+IF($C$13="single",1.5,3)+3)/12))</f>
        <v>0</v>
      </c>
      <c r="AC1977">
        <f>AB1977-W1977</f>
        <v>0</v>
      </c>
      <c r="AD1977" cm="1">
        <f t="array" ref="AD1977">IFERROR(IF(AC1977&lt;0,0,AC1977/($R$1951-INDEX(hd_off,MATCH(AQ1977,hd_mark,0),0)/12)),0)</f>
        <v>0</v>
      </c>
      <c r="AE1977">
        <f>IF(S1977=0,0,$AD$1951*$AM$1943)</f>
        <v>0</v>
      </c>
      <c r="AF1977">
        <f>IFERROR(AE1977/$R$1951,0)</f>
        <v>0</v>
      </c>
      <c r="AG1977">
        <f>AE1977*($F$23+IF($F$23=0,0,($C$14+$C$15+IF($C$13="single",1.5,3)+3)/12))</f>
        <v>0</v>
      </c>
      <c r="AH1977">
        <f>AG1977-X1977</f>
        <v>0</v>
      </c>
      <c r="AI1977" cm="1">
        <f t="array" ref="AI1977">IFERROR(IF(AH1977&lt;0,0,AH1977/($R$1951-INDEX(hd_off,MATCH(AQ1977,hd_mark,0),0)/12)),0)</f>
        <v>0</v>
      </c>
      <c r="AJ1977">
        <f>MAX($F$23,$AA$1951)/$Q$1972</f>
        <v>0</v>
      </c>
      <c r="AK1977">
        <f t="shared" si="1233"/>
        <v>0</v>
      </c>
      <c r="AL1977" cm="1">
        <f t="array" ref="AL1977">IFERROR(INDEX(sheath_ecap_asd,MATCH(AP1977,sheath_mark,0),0)*AK1977,0)</f>
        <v>0</v>
      </c>
      <c r="AM1977" cm="1">
        <f t="array" ref="AM1977">IFERROR(INDEX(sheath_wcap_asd,MATCH(AP1977,sheath_mark,0),0)*AK1977,0)</f>
        <v>0</v>
      </c>
      <c r="AN1977" cm="1">
        <f t="array" ref="AN1977">IFERROR(INDEX(hd_cap,MATCH(AQ1977,hd_mark,0),0),0)</f>
        <v>0</v>
      </c>
      <c r="AP1977" s="19"/>
      <c r="AQ1977" s="19"/>
      <c r="AR1977" s="100"/>
      <c r="AS1977" s="93"/>
      <c r="AT1977" s="109" t="s">
        <v>491</v>
      </c>
      <c r="AU1977" t="str">
        <f>$Q$1943</f>
        <v>L4</v>
      </c>
      <c r="AV1977">
        <f>$E$23</f>
        <v>0</v>
      </c>
      <c r="AW1977" cm="1">
        <f t="array" ref="AW1977">IFERROR(IF(AV1977=0,0,(INDEX($C$33:$C$38,MATCH($AZ$1951,$B$33:$B$38,0),0)*(AV1979+$BA$1951)+$AW$1951*COUNTIF(AV1977:AV1978,"&gt;0")*$C$32+$AY$1951*$C$31)*$AU$1951),0)</f>
        <v>0</v>
      </c>
      <c r="AX1977">
        <f>IF(AV1977=0,0,-(COUNTIF(AV1977:AV1978,"&gt;0")*$AW$1951*$C$32+$AY$1951*$C$31)*$H$27*$AU$1951)</f>
        <v>0</v>
      </c>
      <c r="AY1977">
        <f>IF(AV1977=0,0,$AY$1951*$H$26*$AU$1951)</f>
        <v>0</v>
      </c>
      <c r="AZ1977">
        <f>(0.6*AW1977+0.7*AX1977)*$AU$1951/2</f>
        <v>0</v>
      </c>
      <c r="BA1977">
        <f>AW1977*$AU$1951/2</f>
        <v>0</v>
      </c>
      <c r="BC1977">
        <f>IF(AV1977=0,0,$BG$1951*$AP$1943)</f>
        <v>0</v>
      </c>
      <c r="BD1977">
        <f>IFERROR(BC1977/$AU$1951,0)</f>
        <v>0</v>
      </c>
      <c r="BE1977">
        <f>BC1977*($F$23+IF($F$23=0,0,($C$14+$C$15+IF($C$13="single",1.5,3)+3)/12))</f>
        <v>0</v>
      </c>
      <c r="BF1977">
        <f>BE1977-AZ1977</f>
        <v>0</v>
      </c>
      <c r="BG1977" cm="1">
        <f t="array" ref="BG1977">IFERROR(IF(BF1977&lt;0,0,BF1977/($AU$1951-INDEX(hd_off,MATCH(BT1977,hd_mark,0),0)/12)),0)</f>
        <v>0</v>
      </c>
      <c r="BH1977">
        <f>IF(AV1977=0,0,$BG$1951*$AM$1943)</f>
        <v>0</v>
      </c>
      <c r="BI1977">
        <f>IFERROR(BH1977/$AU$1951,0)</f>
        <v>0</v>
      </c>
      <c r="BJ1977">
        <f>BH1977*($F$23+IF($F$23=0,0,($C$14+$C$15+IF($C$13="single",1.5,3)+3)/12))</f>
        <v>0</v>
      </c>
      <c r="BK1977">
        <f>BJ1977-BA1977</f>
        <v>0</v>
      </c>
      <c r="BL1977" cm="1">
        <f t="array" ref="BL1977">IFERROR(IF(BK1977&lt;0,0,BK1977/($AU$1951-INDEX(hd_off,MATCH(BT1977,hd_mark,0),0)/12)),0)</f>
        <v>0</v>
      </c>
      <c r="BM1977">
        <f>MAX($F$23,$BD$1951)/$Q$1972</f>
        <v>0</v>
      </c>
      <c r="BN1977">
        <f t="shared" si="1234"/>
        <v>0</v>
      </c>
      <c r="BO1977" cm="1">
        <f t="array" ref="BO1977">IFERROR(INDEX(sheath_ecap_asd,MATCH(BS1977,sheath_mark,0),0)*BN1977,0)</f>
        <v>0</v>
      </c>
      <c r="BP1977" cm="1">
        <f t="array" ref="BP1977">IFERROR(INDEX(sheath_wcap_asd,MATCH(BS1977,sheath_mark,0),0)*BN1977,0)</f>
        <v>0</v>
      </c>
      <c r="BQ1977" cm="1">
        <f t="array" ref="BQ1977">IFERROR(INDEX(hd_cap,MATCH(BT1977,hd_mark,0),0),0)</f>
        <v>0</v>
      </c>
      <c r="BS1977" s="19"/>
      <c r="BT1977" s="19"/>
      <c r="BU1977" s="100"/>
    </row>
    <row r="1978" x14ac:dyDescent="0.25">
      <c r="B1978" t="s">
        <v>465</v>
      </c>
      <c r="C1978" s="19"/>
      <c r="D1978" s="19"/>
      <c r="E1978">
        <f t="shared" si="1228"/>
        <v>0</v>
      </c>
      <c r="H1978">
        <v>17</v>
      </c>
      <c r="I1978" s="19"/>
      <c r="J1978" s="19"/>
      <c r="K1978">
        <f t="shared" si="1229"/>
        <v>0</v>
      </c>
      <c r="P1978" s="93"/>
      <c r="Q1978" s="111">
        <f>$R$1951</f>
        <v>0</v>
      </c>
      <c r="R1978" t="str">
        <f>$Q$1944</f>
        <v>L5</v>
      </c>
      <c r="S1978">
        <f>$E$24</f>
        <v>0</v>
      </c>
      <c r="T1978" cm="1">
        <f t="array" ref="T1978">IFERROR(IF(S1978=0,0,(INDEX($C$33:$C$38,MATCH($W$1951,$B$33:$B$38,0),0)*(S1979+$X$1951)+$T$1951*COUNTIF(S1978:S1978,"&gt;0")*$C$32+$V$1951*$C$31)*$R$1951),0)</f>
        <v>0</v>
      </c>
      <c r="U1978">
        <f>IF(S1978=0,0,-(COUNTIF(S1978:S1978,"&gt;0")*$T$1951*$C$32+$V$1951*$C$31)*$H$27*$R$1951)</f>
        <v>0</v>
      </c>
      <c r="V1978">
        <f>IF(S1978=0,0,$V$1951*$H$26*$R$1951)</f>
        <v>0</v>
      </c>
      <c r="W1978">
        <f>(0.6*T1978+0.7*U1978)*$R$1951/2</f>
        <v>0</v>
      </c>
      <c r="X1978">
        <f>T1978*$R$1951/2</f>
        <v>0</v>
      </c>
      <c r="Z1978">
        <f>IF(S1978=0,0,$AD$1951*$AP$1944)</f>
        <v>0</v>
      </c>
      <c r="AA1978">
        <f>IFERROR(Z1978/$R$1951,0)</f>
        <v>0</v>
      </c>
      <c r="AB1978">
        <f>Z1978*($F$24+IF($F$24=0,0,($C$14+$C$15+IF($C$13="single",1.5,3)+3)/12))</f>
        <v>0</v>
      </c>
      <c r="AC1978">
        <f>AB1978-W1978</f>
        <v>0</v>
      </c>
      <c r="AD1978" cm="1">
        <f t="array" ref="AD1978">IFERROR(IF(AC1978&lt;0,0,AC1978/($R$1951-INDEX(hd_off,MATCH(AQ1978,hd_mark,0),0)/12)),0)</f>
        <v>0</v>
      </c>
      <c r="AE1978">
        <f>IF(S1978=0,0,$AD$1951*$AM$1944)</f>
        <v>0</v>
      </c>
      <c r="AF1978">
        <f>IFERROR(AE1978/$R$1951,0)</f>
        <v>0</v>
      </c>
      <c r="AG1978">
        <f>AE1978*($F$24+IF($F$24=0,0,($C$14+$C$15+IF($C$13="single",1.5,3)+3)/12))</f>
        <v>0</v>
      </c>
      <c r="AH1978">
        <f>AG1978-X1978</f>
        <v>0</v>
      </c>
      <c r="AI1978" cm="1">
        <f t="array" ref="AI1978">IFERROR(IF(AH1978&lt;0,0,AH1978/($R$1951-INDEX(hd_off,MATCH(AQ1978,hd_mark,0),0)/12)),0)</f>
        <v>0</v>
      </c>
      <c r="AJ1978">
        <f>MAX($F$24,$AB$1951)/$Q$1972</f>
        <v>0</v>
      </c>
      <c r="AK1978">
        <f t="shared" si="1233"/>
        <v>0</v>
      </c>
      <c r="AL1978" cm="1">
        <f t="array" ref="AL1978">IFERROR(INDEX(sheath_ecap_asd,MATCH(AP1978,sheath_mark,0),0)*AK1978,0)</f>
        <v>0</v>
      </c>
      <c r="AM1978" cm="1">
        <f t="array" ref="AM1978">IFERROR(INDEX(sheath_wcap_asd,MATCH(AP1978,sheath_mark,0),0)*AK1978,0)</f>
        <v>0</v>
      </c>
      <c r="AN1978" cm="1">
        <f t="array" ref="AN1978">IFERROR(INDEX(hd_cap,MATCH(AQ1978,hd_mark,0),0),0)</f>
        <v>0</v>
      </c>
      <c r="AP1978" s="19"/>
      <c r="AQ1978" s="19"/>
      <c r="AR1978" s="100"/>
      <c r="AS1978" s="93"/>
      <c r="AT1978" s="111">
        <f>$R$1951</f>
        <v>0</v>
      </c>
      <c r="AU1978" t="str">
        <f>$Q$1944</f>
        <v>L5</v>
      </c>
      <c r="AV1978">
        <f>$E$24</f>
        <v>0</v>
      </c>
      <c r="AW1978" cm="1">
        <f t="array" ref="AW1978">IFERROR(IF(AV1978=0,0,(INDEX($C$33:$C$38,MATCH($AZ$1951,$B$33:$B$38,0),0)*(AV1979+$BA$1951)+$AW$1951*COUNTIF(AV1978:AV1978,"&gt;0")*$C$32+$AY$1951*$C$31)*$AU$1951),0)</f>
        <v>0</v>
      </c>
      <c r="AX1978">
        <f>IF(AV1978=0,0,-(COUNTIF(AV1978:AV1978,"&gt;0")*$AW$1951*$C$32+$AY$1951*$C$31)*$H$27*$AU$1951)</f>
        <v>0</v>
      </c>
      <c r="AY1978">
        <f>IF(AV1978=0,0,$AY$1951*$H$26*$AU$1951)</f>
        <v>0</v>
      </c>
      <c r="AZ1978">
        <f>(0.6*AW1978+0.7*AX1978)*$AU$1951/2</f>
        <v>0</v>
      </c>
      <c r="BA1978">
        <f>AW1978*$AU$1951/2</f>
        <v>0</v>
      </c>
      <c r="BC1978">
        <f>IF(AV1978=0,0,$BG$1951*$AP$1944)</f>
        <v>0</v>
      </c>
      <c r="BD1978">
        <f>IFERROR(BC1978/$AU$1951,0)</f>
        <v>0</v>
      </c>
      <c r="BE1978">
        <f>BC1978*($F$24+IF($F$24=0,0,($C$14+$C$15+IF($C$13="single",1.5,3)+3)/12))</f>
        <v>0</v>
      </c>
      <c r="BF1978">
        <f>BE1978-AZ1978</f>
        <v>0</v>
      </c>
      <c r="BG1978" cm="1">
        <f t="array" ref="BG1978">IFERROR(IF(BF1978&lt;0,0,BF1978/($AU$1951-INDEX(hd_off,MATCH(BT1978,hd_mark,0),0)/12)),0)</f>
        <v>0</v>
      </c>
      <c r="BH1978">
        <f>IF(AV1978=0,0,$BG$1951*$AM$1944)</f>
        <v>0</v>
      </c>
      <c r="BI1978">
        <f>IFERROR(BH1978/$AU$1951,0)</f>
        <v>0</v>
      </c>
      <c r="BJ1978">
        <f>BH1978*($F$24+IF($F$24=0,0,($C$14+$C$15+IF($C$13="single",1.5,3)+3)/12))</f>
        <v>0</v>
      </c>
      <c r="BK1978">
        <f>BJ1978-BA1978</f>
        <v>0</v>
      </c>
      <c r="BL1978" cm="1">
        <f t="array" ref="BL1978">IFERROR(IF(BK1978&lt;0,0,BK1978/($AU$1951-INDEX(hd_off,MATCH(BT1978,hd_mark,0),0)/12)),0)</f>
        <v>0</v>
      </c>
      <c r="BM1978">
        <f>MAX($F$24,$BE$1951)/$Q$1972</f>
        <v>0</v>
      </c>
      <c r="BN1978">
        <f t="shared" si="1234"/>
        <v>0</v>
      </c>
      <c r="BO1978" cm="1">
        <f t="array" ref="BO1978">IFERROR(INDEX(sheath_ecap_asd,MATCH(BS1978,sheath_mark,0),0)*BN1978,0)</f>
        <v>0</v>
      </c>
      <c r="BP1978" cm="1">
        <f t="array" ref="BP1978">IFERROR(INDEX(sheath_wcap_asd,MATCH(BS1978,sheath_mark,0),0)*BN1978,0)</f>
        <v>0</v>
      </c>
      <c r="BQ1978" cm="1">
        <f t="array" ref="BQ1978">IFERROR(INDEX(hd_cap,MATCH(BT1978,hd_mark,0),0),0)</f>
        <v>0</v>
      </c>
      <c r="BS1978" s="19"/>
      <c r="BT1978" s="19"/>
      <c r="BU1978" s="100"/>
    </row>
    <row r="1979" x14ac:dyDescent="0.25">
      <c r="B1979" t="s">
        <v>466</v>
      </c>
      <c r="C1979" s="19"/>
      <c r="D1979" s="19"/>
      <c r="E1979">
        <f t="shared" si="1228"/>
        <v>0</v>
      </c>
      <c r="H1979">
        <v>18</v>
      </c>
      <c r="I1979" s="19"/>
      <c r="J1979" s="19"/>
      <c r="K1979">
        <f t="shared" si="1229"/>
        <v>0</v>
      </c>
      <c r="P1979" s="93"/>
      <c r="Q1979" s="109"/>
      <c r="R1979" t="str">
        <f>$Q$1945</f>
        <v>Roof</v>
      </c>
      <c r="S1979">
        <f>$E$25</f>
        <v>33.171875</v>
      </c>
      <c r="T1979" cm="1">
        <f t="array" ref="T1979">IFERROR(IF(S1979=0,0,(INDEX($C$33:$C$38,MATCH($W$1951,$B$33:$B$38,0),0)*(S1979+$X$1951)+$V$1951*$C$31)*$R$1951),0)</f>
        <v>0</v>
      </c>
      <c r="U1979">
        <f>IF(S1979=0,0,-$V$1951*$C$31*$H$27*$R$1951)</f>
        <v>0</v>
      </c>
      <c r="V1979">
        <f>IF(S1979=0,0,$V$1951*$H$26*$R$1951)</f>
        <v>0</v>
      </c>
      <c r="W1979">
        <f>(0.6*T1979+0.7*U1979)*$R$1951/2</f>
        <v>0</v>
      </c>
      <c r="X1979">
        <f>T1979*$R$1951/2</f>
        <v>0</v>
      </c>
      <c r="Z1979">
        <f>IF(S1979=0,0,$AD$1951*$AP$1945)</f>
        <v>0</v>
      </c>
      <c r="AA1979">
        <f>IFERROR(Z1979/$R$1951,0)</f>
        <v>0</v>
      </c>
      <c r="AB1979">
        <f>Z1979*($F$25+($C$16+$C$17+IF($C$13="single",1.5,3)+3)/12)</f>
        <v>0</v>
      </c>
      <c r="AC1979">
        <f>AB1979-W1979</f>
        <v>0</v>
      </c>
      <c r="AD1979" cm="1">
        <f t="array" ref="AD1979">IFERROR(IF(AC1979&lt;0,0,AC1979/($R$1951-INDEX(hd_off,MATCH(AQ1979,hd_mark,0),0)/12)),0)</f>
        <v>0</v>
      </c>
      <c r="AE1979">
        <f>IF(S1979=0,0,$AD$1951*$AM$1945)</f>
        <v>0</v>
      </c>
      <c r="AF1979">
        <f>IFERROR(AE1979/$R$1951,0)</f>
        <v>0</v>
      </c>
      <c r="AG1979">
        <f>AE1979*($F$25+($C$16+$C$17+IF($C$13="single",1.5,3)+3)/12)</f>
        <v>0</v>
      </c>
      <c r="AH1979">
        <f>AG1979-X1979</f>
        <v>0</v>
      </c>
      <c r="AI1979" cm="1">
        <f t="array" ref="AI1979">IFERROR(IF(AH1979&lt;0,0,AH1979/($R$1951-INDEX(hd_off,MATCH(AQ1979,hd_mark,0),0)/12)),0)</f>
        <v>0</v>
      </c>
      <c r="AJ1979">
        <f>MAX($F$25,$AC$1951)/$Q$1972</f>
        <v>0.29920977011494249</v>
      </c>
      <c r="AK1979">
        <f t="shared" si="1233"/>
        <v>1</v>
      </c>
      <c r="AL1979" cm="1">
        <f t="array" ref="AL1979">IFERROR(INDEX(sheath_ecap_asd,MATCH(AP1979,sheath_mark,0),0)*AK1979,0)</f>
        <v>0</v>
      </c>
      <c r="AM1979" cm="1">
        <f t="array" ref="AM1979">IFERROR(INDEX(sheath_wcap_asd,MATCH(AP1979,sheath_mark,0),0)*AK1979,0)</f>
        <v>0</v>
      </c>
      <c r="AN1979" cm="1">
        <f t="array" ref="AN1979">IFERROR(INDEX(hd_cap,MATCH(AQ1979,hd_mark,0),0),0)</f>
        <v>0</v>
      </c>
      <c r="AP1979" s="19"/>
      <c r="AQ1979" s="19"/>
      <c r="AR1979" s="100"/>
      <c r="AS1979" s="93"/>
      <c r="AT1979" s="109"/>
      <c r="AU1979" t="str">
        <f>$Q$1945</f>
        <v>Roof</v>
      </c>
      <c r="AV1979">
        <f>$E$25</f>
        <v>33.171875</v>
      </c>
      <c r="AW1979" cm="1">
        <f t="array" ref="AW1979">IFERROR(IF(AV1979=0,0,(INDEX($C$33:$C$38,MATCH($AZ$1951,$B$33:$B$38,0),0)*(AV1979+$BA$1951)+$AY$1951*$C$31)*$AU$1951),0)</f>
        <v>0</v>
      </c>
      <c r="AX1979">
        <f>IF(AV1979=0,0,-$AY$1951*$C$31*$H$27*$AU$1951)</f>
        <v>0</v>
      </c>
      <c r="AY1979">
        <f>IF(AV1979=0,0,$AY$1951*$H$26*$AU$1951)</f>
        <v>0</v>
      </c>
      <c r="AZ1979">
        <f>(0.6*AW1979+0.7*AX1979)*$AU$1951/2</f>
        <v>0</v>
      </c>
      <c r="BA1979">
        <f>AW1979*$AU$1951/2</f>
        <v>0</v>
      </c>
      <c r="BC1979">
        <f>IF(AV1979=0,0,$BG$1951*$AP$1945)</f>
        <v>0</v>
      </c>
      <c r="BD1979">
        <f>IFERROR(BC1979/$AU$1951,0)</f>
        <v>0</v>
      </c>
      <c r="BE1979">
        <f>BC1979*($F$25+($C$16+$C$17+IF($C$13="single",1.5,3)+3)/12)</f>
        <v>0</v>
      </c>
      <c r="BF1979">
        <f>BE1979-AZ1979</f>
        <v>0</v>
      </c>
      <c r="BG1979" cm="1">
        <f t="array" ref="BG1979">IFERROR(IF(BF1979&lt;0,0,BF1979/($AU$1951-INDEX(hd_off,MATCH(BT1979,hd_mark,0),0)/12)),0)</f>
        <v>0</v>
      </c>
      <c r="BH1979">
        <f>IF(AV1979=0,0,$BG$1951*$AM$1945)</f>
        <v>0</v>
      </c>
      <c r="BI1979">
        <f>IFERROR(BH1979/$AU$1951,0)</f>
        <v>0</v>
      </c>
      <c r="BJ1979">
        <f>BH1979*($F$25+($C$16+$C$17+IF($C$13="single",1.5,3)+3)/12)</f>
        <v>0</v>
      </c>
      <c r="BK1979">
        <f>BJ1979-BA1979</f>
        <v>0</v>
      </c>
      <c r="BL1979" cm="1">
        <f t="array" ref="BL1979">IFERROR(IF(BK1979&lt;0,0,BK1979/($AU$1951-INDEX(hd_off,MATCH(BT1979,hd_mark,0),0)/12)),0)</f>
        <v>0</v>
      </c>
      <c r="BM1979">
        <f>MAX($F$25,$BF$1951)/$Q$1972</f>
        <v>0.29920977011494249</v>
      </c>
      <c r="BN1979">
        <f t="shared" si="1234"/>
        <v>1</v>
      </c>
      <c r="BO1979" cm="1">
        <f t="array" ref="BO1979">IFERROR(INDEX(sheath_ecap_asd,MATCH(BS1979,sheath_mark,0),0)*BN1979,0)</f>
        <v>0</v>
      </c>
      <c r="BP1979" cm="1">
        <f t="array" ref="BP1979">IFERROR(INDEX(sheath_wcap_asd,MATCH(BS1979,sheath_mark,0),0)*BN1979,0)</f>
        <v>0</v>
      </c>
      <c r="BQ1979" cm="1">
        <f t="array" ref="BQ1979">IFERROR(INDEX(hd_cap,MATCH(BT1979,hd_mark,0),0),0)</f>
        <v>0</v>
      </c>
      <c r="BS1979" s="19"/>
      <c r="BT1979" s="19"/>
      <c r="BU1979" s="100"/>
    </row>
    <row r="1980" x14ac:dyDescent="0.25">
      <c r="B1980" t="s">
        <v>467</v>
      </c>
      <c r="C1980" s="19"/>
      <c r="D1980" s="19"/>
      <c r="E1980">
        <f t="shared" si="1228"/>
        <v>0</v>
      </c>
      <c r="H1980">
        <v>19</v>
      </c>
      <c r="I1980" s="19"/>
      <c r="J1980" s="19"/>
      <c r="K1980">
        <f t="shared" si="1229"/>
        <v>0</v>
      </c>
      <c r="P1980" s="93"/>
      <c r="AR1980" s="100"/>
      <c r="AS1980" s="93"/>
      <c r="BU1980" s="100"/>
    </row>
    <row r="1981" x14ac:dyDescent="0.25">
      <c r="B1981" t="s">
        <v>468</v>
      </c>
      <c r="C1981" s="19"/>
      <c r="D1981" s="19"/>
      <c r="E1981">
        <f t="shared" si="1228"/>
        <v>0</v>
      </c>
      <c r="H1981">
        <v>20</v>
      </c>
      <c r="I1981" s="19"/>
      <c r="J1981" s="19"/>
      <c r="K1981">
        <f t="shared" si="1229"/>
        <v>0</v>
      </c>
      <c r="P1981" s="93"/>
      <c r="Q1981" s="110" t="str">
        <f>$Q$1952</f>
        <v>A.03</v>
      </c>
      <c r="R1981" t="str">
        <f>$Q$1941</f>
        <v>L2</v>
      </c>
      <c r="S1981">
        <f>$E$21</f>
        <v>10.6875</v>
      </c>
      <c r="T1981" cm="1">
        <f t="array" ref="T1981">IFERROR(IF(S1981=0,0,(INDEX($C$33:$C$38,MATCH($W$1952,$B$33:$B$38,0),0)*(S1985+$X$1952)+$T$1952*COUNTIF(S1981:S1984,"&gt;0")*$C$32+$V$1952*$C$31)*$R$1952),0)</f>
        <v>0</v>
      </c>
      <c r="U1981">
        <f>IF(S1981=0,0,-(COUNTIF(S1981:S1984,"&gt;0")*$T$1952*$C$32+$V$1952*$C$31)*$H$27*$R$1952)</f>
        <v>0</v>
      </c>
      <c r="V1981">
        <f>IF(S1981=0,0,$V$1952*$H$26*$R$1952)</f>
        <v>0</v>
      </c>
      <c r="W1981">
        <f>(0.6*T1981+0.7*U1981)*$R$1952/2</f>
        <v>0</v>
      </c>
      <c r="X1981">
        <f>(0.6*T1981+0.6*V1981)*$R$1952/2</f>
        <v>0</v>
      </c>
      <c r="Z1981">
        <f>IF(S1981=0,0,$AD$1952*$AP$1941)</f>
        <v>0</v>
      </c>
      <c r="AA1981">
        <f>IFERROR(Z1981/$R$1952,0)</f>
        <v>0</v>
      </c>
      <c r="AB1981">
        <f>Z1981*($F$21+IF($F$21=0,0,($C$14+$C$15+IF($C$13="single",1.5,3)+3)/12))</f>
        <v>0</v>
      </c>
      <c r="AC1981">
        <f>AB1981-W1981</f>
        <v>0</v>
      </c>
      <c r="AD1981" cm="1">
        <f t="array" ref="AD1981">IFERROR(IF(AC1981&lt;0,0,AC1981/($R$1952-INDEX(hd_off,MATCH(AQ1981,hd_mark,0),0)/12)),0)</f>
        <v>0</v>
      </c>
      <c r="AE1981">
        <f>IF(S1981=0,0,$AD$1952*$AM$1941)</f>
        <v>0</v>
      </c>
      <c r="AF1981">
        <f>IFERROR(AE1981/$R$1952,0)</f>
        <v>0</v>
      </c>
      <c r="AG1981">
        <f>AE1981*($F$21+IF($F$21=0,0,($C$14+$C$15+IF($C$13="single",1.5,3)+3)/12))</f>
        <v>0</v>
      </c>
      <c r="AH1981">
        <f>AG1981-X1981</f>
        <v>0</v>
      </c>
      <c r="AI1981" cm="1">
        <f t="array" ref="AI1981">IFERROR(IF(AH1981&lt;0,0,AH1981/($R$1952-INDEX(hd_off,MATCH(AQ1981,hd_mark,0),0)/12)),0)</f>
        <v>0</v>
      </c>
      <c r="AJ1981">
        <f>MAX($F$21,$Y$1952)/$Q$1972</f>
        <v>0.30172413793103448</v>
      </c>
      <c r="AK1981">
        <f>IF(AJ1981=0,0,IF(AJ1981&gt;2,1.25-0.125*AJ1981,1))</f>
        <v>1</v>
      </c>
      <c r="AL1981" cm="1">
        <f t="array" ref="AL1981">IFERROR(INDEX(sheath_ecap_asd,MATCH(AP1981,sheath_mark,0),0)*AK1981,0)</f>
        <v>0</v>
      </c>
      <c r="AM1981" cm="1">
        <f t="array" ref="AM1981">IFERROR(INDEX(sheath_wcap_asd,MATCH(AP1981,sheath_mark,0),0)*AK1981,0)</f>
        <v>0</v>
      </c>
      <c r="AN1981" cm="1">
        <f t="array" ref="AN1981">IFERROR(INDEX(hd_cap,MATCH(AQ1981,hd_mark,0),0),0)</f>
        <v>0</v>
      </c>
      <c r="AP1981" s="19"/>
      <c r="AQ1981" s="19"/>
      <c r="AR1981" s="100"/>
      <c r="AS1981" s="93"/>
      <c r="AT1981" s="110" t="str">
        <f>$AT$1952</f>
        <v>1.03</v>
      </c>
      <c r="AU1981" t="str">
        <f>$Q$1941</f>
        <v>L2</v>
      </c>
      <c r="AV1981">
        <f>$E$21</f>
        <v>10.6875</v>
      </c>
      <c r="AW1981" cm="1">
        <f t="array" ref="AW1981">IFERROR(IF(AV1981=0,0,(INDEX($C$33:$C$38,MATCH($AZ$1952,$B$33:$B$38,0),0)*(AV1985+$BA$1952)+$AW$1952*COUNTIF(AV1981:AV1984,"&gt;0")*$C$32+$AY$1952*$C$31)*$AU$1952),0)</f>
        <v>0</v>
      </c>
      <c r="AX1981">
        <f>IF(AV1981=0,0,-(COUNTIF(AV1981:AV1984,"&gt;0")*$AW$1952*$C$32+$AY$1952*$C$31)*$H$27*$AU$1952)</f>
        <v>0</v>
      </c>
      <c r="AY1981">
        <f>IF(AV1981=0,0,$AY$1952*$H$26*$AU$1952)</f>
        <v>0</v>
      </c>
      <c r="AZ1981">
        <f>(0.6*AW1981+0.7*AX1981)*$AU$1952/2</f>
        <v>0</v>
      </c>
      <c r="BA1981">
        <f>(0.6*AW1981+0.6*AY1981)*$AU$1952/2</f>
        <v>0</v>
      </c>
      <c r="BC1981">
        <f>IF(AV1981=0,0,$BG$1952*$AP$1941)</f>
        <v>0</v>
      </c>
      <c r="BD1981">
        <f>IFERROR(BC1981/$AU$1952,0)</f>
        <v>0</v>
      </c>
      <c r="BE1981">
        <f>BC1981*($F$21+IF($F$21=0,0,($C$14+$C$15+IF($C$13="single",1.5,3)+3)/12))</f>
        <v>0</v>
      </c>
      <c r="BF1981">
        <f>BE1981-AZ1981</f>
        <v>0</v>
      </c>
      <c r="BG1981" cm="1">
        <f t="array" ref="BG1981">IFERROR(IF(BF1981&lt;0,0,BF1981/($AU$1952-INDEX(hd_off,MATCH(BT1981,hd_mark,0),0)/12)),0)</f>
        <v>0</v>
      </c>
      <c r="BH1981">
        <f>IF(AV1981=0,0,$BG$1952*$AM$1941)</f>
        <v>0</v>
      </c>
      <c r="BI1981">
        <f>IFERROR(BH1981/$AU$1952,0)</f>
        <v>0</v>
      </c>
      <c r="BJ1981">
        <f>BH1981*($F$21+IF($F$21=0,0,($C$14+$C$15+IF($C$13="single",1.5,3)+3)/12))</f>
        <v>0</v>
      </c>
      <c r="BK1981">
        <f>BJ1981-BA1981</f>
        <v>0</v>
      </c>
      <c r="BL1981" cm="1">
        <f t="array" ref="BL1981">IFERROR(IF(BK1981&lt;0,0,BK1981/($AU$1952-INDEX(hd_off,MATCH(BT1981,hd_mark,0),0)/12)),0)</f>
        <v>0</v>
      </c>
      <c r="BM1981">
        <f>MAX($F$21,$BB$1952)/$Q$1972</f>
        <v>0.30172413793103448</v>
      </c>
      <c r="BN1981">
        <f>IF(BM1981=0,0,IF(BM1981&gt;2,1.25-0.125*BM1981,1))</f>
        <v>1</v>
      </c>
      <c r="BO1981" cm="1">
        <f t="array" ref="BO1981">IFERROR(INDEX(sheath_ecap_asd,MATCH(BS1981,sheath_mark,0),0)*BN1981,0)</f>
        <v>0</v>
      </c>
      <c r="BP1981" cm="1">
        <f t="array" ref="BP1981">IFERROR(INDEX(sheath_wcap_asd,MATCH(BS1981,sheath_mark,0),0)*BN1981,0)</f>
        <v>0</v>
      </c>
      <c r="BQ1981" cm="1">
        <f t="array" ref="BQ1981">IFERROR(INDEX(hd_cap,MATCH(BT1981,hd_mark,0),0),0)</f>
        <v>0</v>
      </c>
      <c r="BS1981" s="19"/>
      <c r="BT1981" s="19"/>
      <c r="BU1981" s="100"/>
    </row>
    <row r="1982" x14ac:dyDescent="0.25">
      <c r="B1982" t="s">
        <v>469</v>
      </c>
      <c r="C1982" s="19"/>
      <c r="D1982" s="19"/>
      <c r="E1982">
        <f t="shared" si="1228"/>
        <v>0</v>
      </c>
      <c r="H1982">
        <v>21</v>
      </c>
      <c r="I1982" s="19"/>
      <c r="J1982" s="19"/>
      <c r="K1982">
        <f t="shared" si="1229"/>
        <v>0</v>
      </c>
      <c r="P1982" s="93"/>
      <c r="Q1982" s="109"/>
      <c r="R1982" t="str">
        <f>$Q$1942</f>
        <v>L3</v>
      </c>
      <c r="S1982">
        <f>$E$22</f>
        <v>21.375</v>
      </c>
      <c r="T1982" cm="1">
        <f t="array" ref="T1982">IFERROR(IF(S1982=0,0,(INDEX($C$33:$C$38,MATCH($W$1952,$B$33:$B$38,0),0)*(S1985+$X$1952)+$T$1952*COUNTIF(S1982:S1984,"&gt;0")*$C$32+$V$1952*$C$31)*$R$1952),0)</f>
        <v>0</v>
      </c>
      <c r="U1982">
        <f>IF(S1982=0,0,-(COUNTIF(S1982:S1984,"&gt;0")*$T$1952*$C$32+$V$1952*$C$31)*$H$27*$R$1952)</f>
        <v>0</v>
      </c>
      <c r="V1982">
        <f>IF(S1982=0,0,$V$1952*$H$26*$R$1952)</f>
        <v>0</v>
      </c>
      <c r="W1982">
        <f>(0.6*T1982+0.7*U1982)*$R$1952/2</f>
        <v>0</v>
      </c>
      <c r="X1982">
        <f>T1982*$R$1952/2</f>
        <v>0</v>
      </c>
      <c r="Z1982">
        <f>IF(S1982=0,0,$AD$1952*$AP$1942)</f>
        <v>0</v>
      </c>
      <c r="AA1982">
        <f>IFERROR(Z1982/$R$1952,0)</f>
        <v>0</v>
      </c>
      <c r="AB1982">
        <f>Z1982*($F$22+IF($F$22=0,0,($C$14+$C$15+IF($C$13="single",1.5,3)+3)/12))</f>
        <v>0</v>
      </c>
      <c r="AC1982">
        <f>AB1982-W1982</f>
        <v>0</v>
      </c>
      <c r="AD1982" cm="1">
        <f t="array" ref="AD1982">IFERROR(IF(AC1982&lt;0,0,AC1982/($R$1952-INDEX(hd_off,MATCH(AQ1982,hd_mark,0),0)/12)),0)</f>
        <v>0</v>
      </c>
      <c r="AE1982">
        <f>IF(S1982=0,0,$AD$1952*$AM$1942)</f>
        <v>0</v>
      </c>
      <c r="AF1982">
        <f>IFERROR(AE1982/$R$1952,0)</f>
        <v>0</v>
      </c>
      <c r="AG1982">
        <f>AE1982*($F$22+IF($F$22=0,0,($C$14+$C$15+IF($C$13="single",1.5,3)+3)/12))</f>
        <v>0</v>
      </c>
      <c r="AH1982">
        <f>AG1982-X1982</f>
        <v>0</v>
      </c>
      <c r="AI1982" cm="1">
        <f t="array" ref="AI1982">IFERROR(IF(AH1982&lt;0,0,AH1982/($R$1952-INDEX(hd_off,MATCH(AQ1982,hd_mark,0),0)/12)),0)</f>
        <v>0</v>
      </c>
      <c r="AJ1982">
        <f>MAX($F$22,$Z$1952)/$Q$1972</f>
        <v>0.30172413793103448</v>
      </c>
      <c r="AK1982">
        <f t="shared" ref="AK1982:AK1985" si="1235">IF(AJ1982=0,0,IF(AJ1982&gt;2,1.25-0.125*AJ1982,1))</f>
        <v>1</v>
      </c>
      <c r="AL1982" cm="1">
        <f t="array" ref="AL1982">IFERROR(INDEX(sheath_ecap_asd,MATCH(AP1982,sheath_mark,0),0)*AK1982,0)</f>
        <v>0</v>
      </c>
      <c r="AM1982" cm="1">
        <f t="array" ref="AM1982">IFERROR(INDEX(sheath_wcap_asd,MATCH(AP1982,sheath_mark,0),0)*AK1982,0)</f>
        <v>0</v>
      </c>
      <c r="AN1982" cm="1">
        <f t="array" ref="AN1982">IFERROR(INDEX(hd_cap,MATCH(AQ1982,hd_mark,0),0),0)</f>
        <v>0</v>
      </c>
      <c r="AP1982" s="19"/>
      <c r="AQ1982" s="19"/>
      <c r="AR1982" s="100"/>
      <c r="AS1982" s="93"/>
      <c r="AT1982" s="109"/>
      <c r="AU1982" t="str">
        <f>$Q$1942</f>
        <v>L3</v>
      </c>
      <c r="AV1982">
        <f>$E$22</f>
        <v>21.375</v>
      </c>
      <c r="AW1982" cm="1">
        <f t="array" ref="AW1982">IFERROR(IF(AV1982=0,0,(INDEX($C$33:$C$38,MATCH($AZ$1952,$B$33:$B$38,0),0)*(AV1985+$BA$1952)+$AW$1952*COUNTIF(AV1982:AV1984,"&gt;0")*$C$32+$AY$1952*$C$31)*$AU$1952),0)</f>
        <v>0</v>
      </c>
      <c r="AX1982">
        <f>IF(AV1982=0,0,-(COUNTIF(AV1982:AV1984,"&gt;0")*$AW$1952*$C$32+$AY$1952*$C$31)*$H$27*$AU$1952)</f>
        <v>0</v>
      </c>
      <c r="AY1982">
        <f>IF(AV1982=0,0,$AY$1952*$H$26*$AU$1952)</f>
        <v>0</v>
      </c>
      <c r="AZ1982">
        <f>(0.6*AW1982+0.7*AX1982)*$AU$1952/2</f>
        <v>0</v>
      </c>
      <c r="BA1982">
        <f>AW1982*$AU$1952/2</f>
        <v>0</v>
      </c>
      <c r="BC1982">
        <f>IF(AV1982=0,0,$BG$1952*$AP$1942)</f>
        <v>0</v>
      </c>
      <c r="BD1982">
        <f>IFERROR(BC1982/$AU$1952,0)</f>
        <v>0</v>
      </c>
      <c r="BE1982">
        <f>BC1982*($F$22+IF($F$22=0,0,($C$14+$C$15+IF($C$13="single",1.5,3)+3)/12))</f>
        <v>0</v>
      </c>
      <c r="BF1982">
        <f>BE1982-AZ1982</f>
        <v>0</v>
      </c>
      <c r="BG1982" cm="1">
        <f t="array" ref="BG1982">IFERROR(IF(BF1982&lt;0,0,BF1982/($AU$1952-INDEX(hd_off,MATCH(BT1982,hd_mark,0),0)/12)),0)</f>
        <v>0</v>
      </c>
      <c r="BH1982">
        <f>IF(AV1982=0,0,$BG$1952*$AM$1942)</f>
        <v>0</v>
      </c>
      <c r="BI1982">
        <f>IFERROR(BH1982/$AU$1952,0)</f>
        <v>0</v>
      </c>
      <c r="BJ1982">
        <f>BH1982*($F$22+IF($F$22=0,0,($C$14+$C$15+IF($C$13="single",1.5,3)+3)/12))</f>
        <v>0</v>
      </c>
      <c r="BK1982">
        <f>BJ1982-BA1982</f>
        <v>0</v>
      </c>
      <c r="BL1982" cm="1">
        <f t="array" ref="BL1982">IFERROR(IF(BK1982&lt;0,0,BK1982/($AU$1952-INDEX(hd_off,MATCH(BT1982,hd_mark,0),0)/12)),0)</f>
        <v>0</v>
      </c>
      <c r="BM1982">
        <f>MAX($F$22,$BC$1952)/$Q$1972</f>
        <v>0.30172413793103448</v>
      </c>
      <c r="BN1982">
        <f t="shared" ref="BN1982:BN1985" si="1236">IF(BM1982=0,0,IF(BM1982&gt;2,1.25-0.125*BM1982,1))</f>
        <v>1</v>
      </c>
      <c r="BO1982" cm="1">
        <f t="array" ref="BO1982">IFERROR(INDEX(sheath_ecap_asd,MATCH(BS1982,sheath_mark,0),0)*BN1982,0)</f>
        <v>0</v>
      </c>
      <c r="BP1982" cm="1">
        <f t="array" ref="BP1982">IFERROR(INDEX(sheath_wcap_asd,MATCH(BS1982,sheath_mark,0),0)*BN1982,0)</f>
        <v>0</v>
      </c>
      <c r="BQ1982" cm="1">
        <f t="array" ref="BQ1982">IFERROR(INDEX(hd_cap,MATCH(BT1982,hd_mark,0),0),0)</f>
        <v>0</v>
      </c>
      <c r="BS1982" s="19"/>
      <c r="BT1982" s="19"/>
      <c r="BU1982" s="100"/>
    </row>
    <row r="1983" x14ac:dyDescent="0.25">
      <c r="B1983" t="s">
        <v>285</v>
      </c>
      <c r="C1983" s="19"/>
      <c r="D1983" s="19"/>
      <c r="E1983">
        <f t="shared" si="1228"/>
        <v>0</v>
      </c>
      <c r="H1983">
        <v>22</v>
      </c>
      <c r="I1983" s="19"/>
      <c r="J1983" s="19"/>
      <c r="K1983">
        <f t="shared" si="1229"/>
        <v>0</v>
      </c>
      <c r="P1983" s="93"/>
      <c r="Q1983" s="109" t="s">
        <v>491</v>
      </c>
      <c r="R1983" t="str">
        <f>$Q$1943</f>
        <v>L4</v>
      </c>
      <c r="S1983">
        <f>$E$23</f>
        <v>0</v>
      </c>
      <c r="T1983" cm="1">
        <f t="array" ref="T1983">IFERROR(IF(S1983=0,0,(INDEX($C$33:$C$38,MATCH($W$1952,$B$33:$B$38,0),0)*(S1985+$X$1952)+$T$1952*COUNTIF(S1983:S1984,"&gt;0")*$C$32+$V$1952*$C$31)*$R$1952),0)</f>
        <v>0</v>
      </c>
      <c r="U1983">
        <f>IF(S1983=0,0,-(COUNTIF(S1983:S1984,"&gt;0")*$T$1952*$C$32+$V$1952*$C$31)*$H$27*$R$1952)</f>
        <v>0</v>
      </c>
      <c r="V1983">
        <f>IF(S1983=0,0,$V$1952*$H$26*$R$1952)</f>
        <v>0</v>
      </c>
      <c r="W1983">
        <f>(0.6*T1983+0.7*U1983)*$R$1952/2</f>
        <v>0</v>
      </c>
      <c r="X1983">
        <f>T1983*$R$1952/2</f>
        <v>0</v>
      </c>
      <c r="Z1983">
        <f>IF(S1983=0,0,$AD$1952*$AP$1943)</f>
        <v>0</v>
      </c>
      <c r="AA1983">
        <f>IFERROR(Z1983/$R$1952,0)</f>
        <v>0</v>
      </c>
      <c r="AB1983">
        <f>Z1983*($F$23+IF($F$23=0,0,($C$14+$C$15+IF($C$13="single",1.5,3)+3)/12))</f>
        <v>0</v>
      </c>
      <c r="AC1983">
        <f>AB1983-W1983</f>
        <v>0</v>
      </c>
      <c r="AD1983" cm="1">
        <f t="array" ref="AD1983">IFERROR(IF(AC1983&lt;0,0,AC1983/($R$1952-INDEX(hd_off,MATCH(AQ1983,hd_mark,0),0)/12)),0)</f>
        <v>0</v>
      </c>
      <c r="AE1983">
        <f>IF(S1983=0,0,$AD$1952*$AM$1943)</f>
        <v>0</v>
      </c>
      <c r="AF1983">
        <f>IFERROR(AE1983/$R$1952,0)</f>
        <v>0</v>
      </c>
      <c r="AG1983">
        <f>AE1983*($F$23+IF($F$23=0,0,($C$14+$C$15+IF($C$13="single",1.5,3)+3)/12))</f>
        <v>0</v>
      </c>
      <c r="AH1983">
        <f>AG1983-X1983</f>
        <v>0</v>
      </c>
      <c r="AI1983" cm="1">
        <f t="array" ref="AI1983">IFERROR(IF(AH1983&lt;0,0,AH1983/($R$1952-INDEX(hd_off,MATCH(AQ1983,hd_mark,0),0)/12)),0)</f>
        <v>0</v>
      </c>
      <c r="AJ1983">
        <f>MAX($F$23,$AA$1952)/$Q$1972</f>
        <v>0</v>
      </c>
      <c r="AK1983">
        <f t="shared" si="1235"/>
        <v>0</v>
      </c>
      <c r="AL1983" cm="1">
        <f t="array" ref="AL1983">IFERROR(INDEX(sheath_ecap_asd,MATCH(AP1983,sheath_mark,0),0)*AK1983,0)</f>
        <v>0</v>
      </c>
      <c r="AM1983" cm="1">
        <f t="array" ref="AM1983">IFERROR(INDEX(sheath_wcap_asd,MATCH(AP1983,sheath_mark,0),0)*AK1983,0)</f>
        <v>0</v>
      </c>
      <c r="AN1983" cm="1">
        <f t="array" ref="AN1983">IFERROR(INDEX(hd_cap,MATCH(AQ1983,hd_mark,0),0),0)</f>
        <v>0</v>
      </c>
      <c r="AP1983" s="19"/>
      <c r="AQ1983" s="19"/>
      <c r="AR1983" s="100"/>
      <c r="AS1983" s="93"/>
      <c r="AT1983" s="109" t="s">
        <v>491</v>
      </c>
      <c r="AU1983" t="str">
        <f>$Q$1943</f>
        <v>L4</v>
      </c>
      <c r="AV1983">
        <f>$E$23</f>
        <v>0</v>
      </c>
      <c r="AW1983" cm="1">
        <f t="array" ref="AW1983">IFERROR(IF(AV1983=0,0,(INDEX($C$33:$C$38,MATCH($AZ$1952,$B$33:$B$38,0),0)*(AV1985+$BA$1952)+$AW$1952*COUNTIF(AV1983:AV1984,"&gt;0")*$C$32+$AY$1952*$C$31)*$AU$1952),0)</f>
        <v>0</v>
      </c>
      <c r="AX1983">
        <f>IF(AV1983=0,0,-(COUNTIF(AV1983:AV1984,"&gt;0")*$AW$1952*$C$32+$AY$1952*$C$31)*$H$27*$AU$1952)</f>
        <v>0</v>
      </c>
      <c r="AY1983">
        <f>IF(AV1983=0,0,$AY$1952*$H$26*$AU$1952)</f>
        <v>0</v>
      </c>
      <c r="AZ1983">
        <f>(0.6*AW1983+0.7*AX1983)*$AU$1952/2</f>
        <v>0</v>
      </c>
      <c r="BA1983">
        <f>AW1983*$AU$1952/2</f>
        <v>0</v>
      </c>
      <c r="BC1983">
        <f>IF(AV1983=0,0,$BG$1952*$AP$1943)</f>
        <v>0</v>
      </c>
      <c r="BD1983">
        <f>IFERROR(BC1983/$AU$1952,0)</f>
        <v>0</v>
      </c>
      <c r="BE1983">
        <f>BC1983*($F$23+IF($F$23=0,0,($C$14+$C$15+IF($C$13="single",1.5,3)+3)/12))</f>
        <v>0</v>
      </c>
      <c r="BF1983">
        <f>BE1983-AZ1983</f>
        <v>0</v>
      </c>
      <c r="BG1983" cm="1">
        <f t="array" ref="BG1983">IFERROR(IF(BF1983&lt;0,0,BF1983/($AU$1952-INDEX(hd_off,MATCH(BT1983,hd_mark,0),0)/12)),0)</f>
        <v>0</v>
      </c>
      <c r="BH1983">
        <f>IF(AV1983=0,0,$BG$1952*$AM$1943)</f>
        <v>0</v>
      </c>
      <c r="BI1983">
        <f>IFERROR(BH1983/$AU$1952,0)</f>
        <v>0</v>
      </c>
      <c r="BJ1983">
        <f>BH1983*($F$23+IF($F$23=0,0,($C$14+$C$15+IF($C$13="single",1.5,3)+3)/12))</f>
        <v>0</v>
      </c>
      <c r="BK1983">
        <f>BJ1983-BA1983</f>
        <v>0</v>
      </c>
      <c r="BL1983" cm="1">
        <f t="array" ref="BL1983">IFERROR(IF(BK1983&lt;0,0,BK1983/($AU$1952-INDEX(hd_off,MATCH(BT1983,hd_mark,0),0)/12)),0)</f>
        <v>0</v>
      </c>
      <c r="BM1983">
        <f>MAX($F$23,$BD$1952)/$Q$1972</f>
        <v>0</v>
      </c>
      <c r="BN1983">
        <f t="shared" si="1236"/>
        <v>0</v>
      </c>
      <c r="BO1983" cm="1">
        <f t="array" ref="BO1983">IFERROR(INDEX(sheath_ecap_asd,MATCH(BS1983,sheath_mark,0),0)*BN1983,0)</f>
        <v>0</v>
      </c>
      <c r="BP1983" cm="1">
        <f t="array" ref="BP1983">IFERROR(INDEX(sheath_wcap_asd,MATCH(BS1983,sheath_mark,0),0)*BN1983,0)</f>
        <v>0</v>
      </c>
      <c r="BQ1983" cm="1">
        <f t="array" ref="BQ1983">IFERROR(INDEX(hd_cap,MATCH(BT1983,hd_mark,0),0),0)</f>
        <v>0</v>
      </c>
      <c r="BS1983" s="19"/>
      <c r="BT1983" s="19"/>
      <c r="BU1983" s="100"/>
    </row>
    <row r="1984" x14ac:dyDescent="0.25">
      <c r="B1984" t="s">
        <v>470</v>
      </c>
      <c r="C1984" s="19"/>
      <c r="D1984" s="19"/>
      <c r="E1984">
        <f t="shared" si="1228"/>
        <v>0</v>
      </c>
      <c r="H1984">
        <v>23</v>
      </c>
      <c r="I1984" s="19"/>
      <c r="J1984" s="19"/>
      <c r="K1984">
        <f t="shared" si="1229"/>
        <v>0</v>
      </c>
      <c r="P1984" s="93"/>
      <c r="Q1984" s="111">
        <f>$R$1952</f>
        <v>0</v>
      </c>
      <c r="R1984" t="str">
        <f>$Q$1944</f>
        <v>L5</v>
      </c>
      <c r="S1984">
        <f>$E$24</f>
        <v>0</v>
      </c>
      <c r="T1984" cm="1">
        <f t="array" ref="T1984">IFERROR(IF(S1984=0,0,(INDEX($C$33:$C$38,MATCH($W$1952,$B$33:$B$38,0),0)*(S1985+$X$1952)+$T$1952*COUNTIF(S1984:S1984,"&gt;0")*$C$32+$V$1952*$C$31)*$R$1952),0)</f>
        <v>0</v>
      </c>
      <c r="U1984">
        <f>IF(S1984=0,0,-(COUNTIF(S1984:S1984,"&gt;0")*$T$1952*$C$32+$V$1952*$C$31)*$H$27*$R$1952)</f>
        <v>0</v>
      </c>
      <c r="V1984">
        <f>IF(S1984=0,0,$V$1952*$H$26*$R$1952)</f>
        <v>0</v>
      </c>
      <c r="W1984">
        <f>(0.6*T1984+0.7*U1984)*$R$1952/2</f>
        <v>0</v>
      </c>
      <c r="X1984">
        <f>T1984*$R$1952/2</f>
        <v>0</v>
      </c>
      <c r="Z1984">
        <f>IF(S1984=0,0,$AD$1952*$AP$1944)</f>
        <v>0</v>
      </c>
      <c r="AA1984">
        <f>IFERROR(Z1984/$R$1952,0)</f>
        <v>0</v>
      </c>
      <c r="AB1984">
        <f>Z1984*($F$24+IF($F$24=0,0,($C$14+$C$15+IF($C$13="single",1.5,3)+3)/12))</f>
        <v>0</v>
      </c>
      <c r="AC1984">
        <f>AB1984-W1984</f>
        <v>0</v>
      </c>
      <c r="AD1984" cm="1">
        <f t="array" ref="AD1984">IFERROR(IF(AC1984&lt;0,0,AC1984/($R$1952-INDEX(hd_off,MATCH(AQ1984,hd_mark,0),0)/12)),0)</f>
        <v>0</v>
      </c>
      <c r="AE1984">
        <f>IF(S1984=0,0,$AD$1952*$AM$1944)</f>
        <v>0</v>
      </c>
      <c r="AF1984">
        <f>IFERROR(AE1984/$R$1952,0)</f>
        <v>0</v>
      </c>
      <c r="AG1984">
        <f>AE1984*($F$24+IF($F$24=0,0,($C$14+$C$15+IF($C$13="single",1.5,3)+3)/12))</f>
        <v>0</v>
      </c>
      <c r="AH1984">
        <f>AG1984-X1984</f>
        <v>0</v>
      </c>
      <c r="AI1984" cm="1">
        <f t="array" ref="AI1984">IFERROR(IF(AH1984&lt;0,0,AH1984/($R$1952-INDEX(hd_off,MATCH(AQ1984,hd_mark,0),0)/12)),0)</f>
        <v>0</v>
      </c>
      <c r="AJ1984">
        <f>MAX($F$24,$AB$1952)/$Q$1972</f>
        <v>0</v>
      </c>
      <c r="AK1984">
        <f t="shared" si="1235"/>
        <v>0</v>
      </c>
      <c r="AL1984" cm="1">
        <f t="array" ref="AL1984">IFERROR(INDEX(sheath_ecap_asd,MATCH(AP1984,sheath_mark,0),0)*AK1984,0)</f>
        <v>0</v>
      </c>
      <c r="AM1984" cm="1">
        <f t="array" ref="AM1984">IFERROR(INDEX(sheath_wcap_asd,MATCH(AP1984,sheath_mark,0),0)*AK1984,0)</f>
        <v>0</v>
      </c>
      <c r="AN1984" cm="1">
        <f t="array" ref="AN1984">IFERROR(INDEX(hd_cap,MATCH(AQ1984,hd_mark,0),0),0)</f>
        <v>0</v>
      </c>
      <c r="AP1984" s="19"/>
      <c r="AQ1984" s="19"/>
      <c r="AR1984" s="100"/>
      <c r="AS1984" s="93"/>
      <c r="AT1984" s="111">
        <f>$R$1952</f>
        <v>0</v>
      </c>
      <c r="AU1984" t="str">
        <f>$Q$1944</f>
        <v>L5</v>
      </c>
      <c r="AV1984">
        <f>$E$24</f>
        <v>0</v>
      </c>
      <c r="AW1984" cm="1">
        <f t="array" ref="AW1984">IFERROR(IF(AV1984=0,0,(INDEX($C$33:$C$38,MATCH($AZ$1952,$B$33:$B$38,0),0)*(AV1985+$BA$1952)+$AW$1952*COUNTIF(AV1984:AV1984,"&gt;0")*$C$32+$AY$1952*$C$31)*$AU$1952),0)</f>
        <v>0</v>
      </c>
      <c r="AX1984">
        <f>IF(AV1984=0,0,-(COUNTIF(AV1984:AV1984,"&gt;0")*$AW$1952*$C$32+$AY$1952*$C$31)*$H$27*$AU$1952)</f>
        <v>0</v>
      </c>
      <c r="AY1984">
        <f>IF(AV1984=0,0,$AY$1952*$H$26*$AU$1952)</f>
        <v>0</v>
      </c>
      <c r="AZ1984">
        <f>(0.6*AW1984+0.7*AX1984)*$AU$1952/2</f>
        <v>0</v>
      </c>
      <c r="BA1984">
        <f>AW1984*$AU$1952/2</f>
        <v>0</v>
      </c>
      <c r="BC1984">
        <f>IF(AV1984=0,0,$BG$1952*$AP$1944)</f>
        <v>0</v>
      </c>
      <c r="BD1984">
        <f>IFERROR(BC1984/$AU$1952,0)</f>
        <v>0</v>
      </c>
      <c r="BE1984">
        <f>BC1984*($F$24+IF($F$24=0,0,($C$14+$C$15+IF($C$13="single",1.5,3)+3)/12))</f>
        <v>0</v>
      </c>
      <c r="BF1984">
        <f>BE1984-AZ1984</f>
        <v>0</v>
      </c>
      <c r="BG1984" cm="1">
        <f t="array" ref="BG1984">IFERROR(IF(BF1984&lt;0,0,BF1984/($AU$1952-INDEX(hd_off,MATCH(BT1984,hd_mark,0),0)/12)),0)</f>
        <v>0</v>
      </c>
      <c r="BH1984">
        <f>IF(AV1984=0,0,$BG$1952*$AM$1944)</f>
        <v>0</v>
      </c>
      <c r="BI1984">
        <f>IFERROR(BH1984/$AU$1952,0)</f>
        <v>0</v>
      </c>
      <c r="BJ1984">
        <f>BH1984*($F$24+IF($F$24=0,0,($C$14+$C$15+IF($C$13="single",1.5,3)+3)/12))</f>
        <v>0</v>
      </c>
      <c r="BK1984">
        <f>BJ1984-BA1984</f>
        <v>0</v>
      </c>
      <c r="BL1984" cm="1">
        <f t="array" ref="BL1984">IFERROR(IF(BK1984&lt;0,0,BK1984/($AU$1952-INDEX(hd_off,MATCH(BT1984,hd_mark,0),0)/12)),0)</f>
        <v>0</v>
      </c>
      <c r="BM1984">
        <f>MAX($F$24,$BE$1952)/$Q$1972</f>
        <v>0</v>
      </c>
      <c r="BN1984">
        <f t="shared" si="1236"/>
        <v>0</v>
      </c>
      <c r="BO1984" cm="1">
        <f t="array" ref="BO1984">IFERROR(INDEX(sheath_ecap_asd,MATCH(BS1984,sheath_mark,0),0)*BN1984,0)</f>
        <v>0</v>
      </c>
      <c r="BP1984" cm="1">
        <f t="array" ref="BP1984">IFERROR(INDEX(sheath_wcap_asd,MATCH(BS1984,sheath_mark,0),0)*BN1984,0)</f>
        <v>0</v>
      </c>
      <c r="BQ1984" cm="1">
        <f t="array" ref="BQ1984">IFERROR(INDEX(hd_cap,MATCH(BT1984,hd_mark,0),0),0)</f>
        <v>0</v>
      </c>
      <c r="BS1984" s="19"/>
      <c r="BT1984" s="19"/>
      <c r="BU1984" s="100"/>
    </row>
    <row r="1985" x14ac:dyDescent="0.25">
      <c r="B1985" t="s">
        <v>471</v>
      </c>
      <c r="C1985" s="19"/>
      <c r="D1985" s="19"/>
      <c r="E1985">
        <f t="shared" si="1228"/>
        <v>0</v>
      </c>
      <c r="H1985">
        <v>24</v>
      </c>
      <c r="I1985" s="19"/>
      <c r="J1985" s="19"/>
      <c r="K1985">
        <f t="shared" si="1229"/>
        <v>0</v>
      </c>
      <c r="P1985" s="93"/>
      <c r="Q1985" s="109"/>
      <c r="R1985" t="str">
        <f>$Q$1945</f>
        <v>Roof</v>
      </c>
      <c r="S1985">
        <f>$E$25</f>
        <v>33.171875</v>
      </c>
      <c r="T1985" cm="1">
        <f t="array" ref="T1985">IFERROR(IF(S1985=0,0,(INDEX($C$33:$C$38,MATCH($W$1952,$B$33:$B$38,0),0)*(S1985+$X$1952)+$V$1952*$C$31)*$R$1952),0)</f>
        <v>0</v>
      </c>
      <c r="U1985">
        <f>IF(S1985=0,0,-$V$1952*$C$31*$H$27*$R$1952)</f>
        <v>0</v>
      </c>
      <c r="V1985">
        <f>IF(S1985=0,0,$V$1952*$H$26*$R$1952)</f>
        <v>0</v>
      </c>
      <c r="W1985">
        <f>(0.6*T1985+0.7*U1985)*$R$1952/2</f>
        <v>0</v>
      </c>
      <c r="X1985">
        <f>T1985*$R$1952/2</f>
        <v>0</v>
      </c>
      <c r="Z1985">
        <f>IF(S1985=0,0,$AD$1952*$AP$1945)</f>
        <v>0</v>
      </c>
      <c r="AA1985">
        <f>IFERROR(Z1985/$R$1952,0)</f>
        <v>0</v>
      </c>
      <c r="AB1985">
        <f>Z1985*($F$25+($C$16+$C$17+IF($C$13="single",1.5,3)+3)/12)</f>
        <v>0</v>
      </c>
      <c r="AC1985">
        <f>AB1985-W1985</f>
        <v>0</v>
      </c>
      <c r="AD1985" cm="1">
        <f t="array" ref="AD1985">IFERROR(IF(AC1985&lt;0,0,AC1985/($R$1952-INDEX(hd_off,MATCH(AQ1985,hd_mark,0),0)/12)),0)</f>
        <v>0</v>
      </c>
      <c r="AE1985">
        <f>IF(S1985=0,0,$AD$1952*$AM$1945)</f>
        <v>0</v>
      </c>
      <c r="AF1985">
        <f>IFERROR(AE1985/$R$1952,0)</f>
        <v>0</v>
      </c>
      <c r="AG1985">
        <f>AE1985*($F$25+($C$16+$C$17+IF($C$13="single",1.5,3)+3)/12)</f>
        <v>0</v>
      </c>
      <c r="AH1985">
        <f>AG1985-X1985</f>
        <v>0</v>
      </c>
      <c r="AI1985" cm="1">
        <f t="array" ref="AI1985">IFERROR(IF(AH1985&lt;0,0,AH1985/($R$1952-INDEX(hd_off,MATCH(AQ1985,hd_mark,0),0)/12)),0)</f>
        <v>0</v>
      </c>
      <c r="AJ1985">
        <f>MAX($F$25,$AC$1952)/$Q$1972</f>
        <v>0.29920977011494249</v>
      </c>
      <c r="AK1985">
        <f t="shared" si="1235"/>
        <v>1</v>
      </c>
      <c r="AL1985" cm="1">
        <f t="array" ref="AL1985">IFERROR(INDEX(sheath_ecap_asd,MATCH(AP1985,sheath_mark,0),0)*AK1985,0)</f>
        <v>0</v>
      </c>
      <c r="AM1985" cm="1">
        <f t="array" ref="AM1985">IFERROR(INDEX(sheath_wcap_asd,MATCH(AP1985,sheath_mark,0),0)*AK1985,0)</f>
        <v>0</v>
      </c>
      <c r="AN1985" cm="1">
        <f t="array" ref="AN1985">IFERROR(INDEX(hd_cap,MATCH(AQ1985,hd_mark,0),0),0)</f>
        <v>0</v>
      </c>
      <c r="AP1985" s="19"/>
      <c r="AQ1985" s="19"/>
      <c r="AR1985" s="100"/>
      <c r="AS1985" s="93"/>
      <c r="AT1985" s="109"/>
      <c r="AU1985" t="str">
        <f>$Q$1945</f>
        <v>Roof</v>
      </c>
      <c r="AV1985">
        <f>$E$25</f>
        <v>33.171875</v>
      </c>
      <c r="AW1985" cm="1">
        <f t="array" ref="AW1985">IFERROR(IF(AV1985=0,0,(INDEX($C$33:$C$38,MATCH($AZ$1952,$B$33:$B$38,0),0)*(AV1985+$BA$1952)+$AY$1952*$C$31)*$AU$1952),0)</f>
        <v>0</v>
      </c>
      <c r="AX1985">
        <f>IF(AV1985=0,0,-$AY$1952*$C$31*$H$27*$AU$1952)</f>
        <v>0</v>
      </c>
      <c r="AY1985">
        <f>IF(AV1985=0,0,$AY$1952*$H$26*$AU$1952)</f>
        <v>0</v>
      </c>
      <c r="AZ1985">
        <f>(0.6*AW1985+0.7*AX1985)*$AU$1952/2</f>
        <v>0</v>
      </c>
      <c r="BA1985">
        <f>AW1985*$AU$1952/2</f>
        <v>0</v>
      </c>
      <c r="BC1985">
        <f>IF(AV1985=0,0,$BG$1952*$AP$1945)</f>
        <v>0</v>
      </c>
      <c r="BD1985">
        <f>IFERROR(BC1985/$AU$1952,0)</f>
        <v>0</v>
      </c>
      <c r="BE1985">
        <f>BC1985*($F$25+($C$16+$C$17+IF($C$13="single",1.5,3)+3)/12)</f>
        <v>0</v>
      </c>
      <c r="BF1985">
        <f>BE1985-AZ1985</f>
        <v>0</v>
      </c>
      <c r="BG1985" cm="1">
        <f t="array" ref="BG1985">IFERROR(IF(BF1985&lt;0,0,BF1985/($AU$1952-INDEX(hd_off,MATCH(BT1985,hd_mark,0),0)/12)),0)</f>
        <v>0</v>
      </c>
      <c r="BH1985">
        <f>IF(AV1985=0,0,$BG$1952*$AM$1945)</f>
        <v>0</v>
      </c>
      <c r="BI1985">
        <f>IFERROR(BH1985/$AU$1952,0)</f>
        <v>0</v>
      </c>
      <c r="BJ1985">
        <f>BH1985*($F$25+($C$16+$C$17+IF($C$13="single",1.5,3)+3)/12)</f>
        <v>0</v>
      </c>
      <c r="BK1985">
        <f>BJ1985-BA1985</f>
        <v>0</v>
      </c>
      <c r="BL1985" cm="1">
        <f t="array" ref="BL1985">IFERROR(IF(BK1985&lt;0,0,BK1985/($AU$1952-INDEX(hd_off,MATCH(BT1985,hd_mark,0),0)/12)),0)</f>
        <v>0</v>
      </c>
      <c r="BM1985">
        <f>MAX($F$25,$BF$1952)/$Q$1972</f>
        <v>0.29920977011494249</v>
      </c>
      <c r="BN1985">
        <f t="shared" si="1236"/>
        <v>1</v>
      </c>
      <c r="BO1985" cm="1">
        <f t="array" ref="BO1985">IFERROR(INDEX(sheath_ecap_asd,MATCH(BS1985,sheath_mark,0),0)*BN1985,0)</f>
        <v>0</v>
      </c>
      <c r="BP1985" cm="1">
        <f t="array" ref="BP1985">IFERROR(INDEX(sheath_wcap_asd,MATCH(BS1985,sheath_mark,0),0)*BN1985,0)</f>
        <v>0</v>
      </c>
      <c r="BQ1985" cm="1">
        <f t="array" ref="BQ1985">IFERROR(INDEX(hd_cap,MATCH(BT1985,hd_mark,0),0),0)</f>
        <v>0</v>
      </c>
      <c r="BS1985" s="19"/>
      <c r="BT1985" s="19"/>
      <c r="BU1985" s="100"/>
    </row>
    <row r="1986" x14ac:dyDescent="0.25">
      <c r="B1986" t="s">
        <v>472</v>
      </c>
      <c r="C1986" s="19"/>
      <c r="D1986" s="19"/>
      <c r="E1986">
        <f t="shared" si="1228"/>
        <v>0</v>
      </c>
      <c r="H1986">
        <v>25</v>
      </c>
      <c r="I1986" s="19"/>
      <c r="J1986" s="19"/>
      <c r="K1986">
        <f t="shared" si="1229"/>
        <v>0</v>
      </c>
      <c r="P1986" s="93"/>
      <c r="AR1986" s="100"/>
      <c r="AS1986" s="93"/>
      <c r="BU1986" s="100"/>
    </row>
    <row r="1987" x14ac:dyDescent="0.25">
      <c r="B1987" t="s">
        <v>473</v>
      </c>
      <c r="C1987" s="19"/>
      <c r="D1987" s="19"/>
      <c r="E1987">
        <f t="shared" si="1228"/>
        <v>0</v>
      </c>
      <c r="H1987">
        <v>26</v>
      </c>
      <c r="I1987" s="19"/>
      <c r="J1987" s="19"/>
      <c r="K1987">
        <f t="shared" si="1229"/>
        <v>0</v>
      </c>
      <c r="P1987" s="93"/>
      <c r="Q1987" s="110" t="str">
        <f>$Q$1953</f>
        <v>A.04</v>
      </c>
      <c r="R1987" t="str">
        <f>$Q$1941</f>
        <v>L2</v>
      </c>
      <c r="S1987">
        <f>$E$21</f>
        <v>10.6875</v>
      </c>
      <c r="T1987" cm="1">
        <f t="array" ref="T1987">IFERROR(IF(S1987=0,0,(INDEX($C$33:$C$38,MATCH($W$1953,$B$33:$B$38,0),0)*(S1991+$X$1953)+$T$1953*COUNTIF(S1987:S1990,"&gt;0")*$C$32+$V$1953*$C$31)*$R$1953),0)</f>
        <v>0</v>
      </c>
      <c r="U1987">
        <f>IF(S1987=0,0,-(COUNTIF(S1987:S1990,"&gt;0")*$T$1953*$C$32+$V$1953*$C$31)*$H$27*$R$1953)</f>
        <v>0</v>
      </c>
      <c r="V1987">
        <f>IF(S1987=0,0,$V$1953*$H$26*$R$1953)</f>
        <v>0</v>
      </c>
      <c r="W1987">
        <f>(0.6*T1987+0.7*U1987)*$R$1953/2</f>
        <v>0</v>
      </c>
      <c r="X1987">
        <f>(0.6*T1987+0.6*V1987)*$R$1953/2</f>
        <v>0</v>
      </c>
      <c r="Z1987">
        <f>IF(S1987=0,0,$AD$1953*$AP$1941)</f>
        <v>0</v>
      </c>
      <c r="AA1987">
        <f>IFERROR(Z1987/$R$1953,0)</f>
        <v>0</v>
      </c>
      <c r="AB1987">
        <f>Z1987*($F$21+IF($F$21=0,0,($C$14+$C$15+IF($C$13="single",1.5,3)+3)/12))</f>
        <v>0</v>
      </c>
      <c r="AC1987">
        <f>AB1987-W1987</f>
        <v>0</v>
      </c>
      <c r="AD1987" cm="1">
        <f t="array" ref="AD1987">IFERROR(IF(AC1987&lt;0,0,AC1987/($R$1953-INDEX(hd_off,MATCH(AQ1987,hd_mark,0),0)/12)),0)</f>
        <v>0</v>
      </c>
      <c r="AE1987">
        <f>IF(S1987=0,0,$AD$1953*$AM$1941)</f>
        <v>0</v>
      </c>
      <c r="AF1987">
        <f>IFERROR(AE1987/$R$1953,0)</f>
        <v>0</v>
      </c>
      <c r="AG1987">
        <f>AE1987*($F$21+IF($F$21=0,0,($C$14+$C$15+IF($C$13="single",1.5,3)+3)/12))</f>
        <v>0</v>
      </c>
      <c r="AH1987">
        <f>AG1987-X1987</f>
        <v>0</v>
      </c>
      <c r="AI1987" cm="1">
        <f t="array" ref="AI1987">IFERROR(IF(AH1987&lt;0,0,AH1987/($R$1953-INDEX(hd_off,MATCH(AQ1987,hd_mark,0),0)/12)),0)</f>
        <v>0</v>
      </c>
      <c r="AJ1987">
        <f>MAX($F$21,$Y$1953)/$Q$1972</f>
        <v>0.30172413793103448</v>
      </c>
      <c r="AK1987">
        <f>IF(AJ1987=0,0,IF(AJ1987&gt;2,1.25-0.125*AJ1987,1))</f>
        <v>1</v>
      </c>
      <c r="AL1987" cm="1">
        <f t="array" ref="AL1987">IFERROR(INDEX(sheath_ecap_asd,MATCH(AP1987,sheath_mark,0),0)*AK1987,0)</f>
        <v>0</v>
      </c>
      <c r="AM1987" cm="1">
        <f t="array" ref="AM1987">IFERROR(INDEX(sheath_wcap_asd,MATCH(AP1987,sheath_mark,0),0)*AK1987,0)</f>
        <v>0</v>
      </c>
      <c r="AN1987" cm="1">
        <f t="array" ref="AN1987">IFERROR(INDEX(hd_cap,MATCH(AQ1987,hd_mark,0),0),0)</f>
        <v>0</v>
      </c>
      <c r="AP1987" s="19"/>
      <c r="AQ1987" s="19"/>
      <c r="AR1987" s="100"/>
      <c r="AS1987" s="93"/>
      <c r="AT1987" s="110" t="str">
        <f>$AT$1953</f>
        <v>1.04</v>
      </c>
      <c r="AU1987" t="str">
        <f>$Q$1941</f>
        <v>L2</v>
      </c>
      <c r="AV1987">
        <f>$E$21</f>
        <v>10.6875</v>
      </c>
      <c r="AW1987" cm="1">
        <f t="array" ref="AW1987">IFERROR(IF(AV1987=0,0,(INDEX($C$33:$C$38,MATCH($AZ$1953,$B$33:$B$38,0),0)*(AV1991+$BA$1953)+$AW$1953*COUNTIF(AV1987:AV1990,"&gt;0")*$C$32+$AY$1953*$C$31)*$AU$1953),0)</f>
        <v>0</v>
      </c>
      <c r="AX1987">
        <f>IF(AV1987=0,0,-(COUNTIF(AV1987:AV1990,"&gt;0")*$AW$1953*$C$32+$AY$1953*$C$31)*$H$27*$AU$1953)</f>
        <v>0</v>
      </c>
      <c r="AY1987">
        <f>IF(AV1987=0,0,$AY$1953*$H$26*$AU$1953)</f>
        <v>0</v>
      </c>
      <c r="AZ1987">
        <f>(0.6*AW1987+0.7*AX1987)*$AU$1953/2</f>
        <v>0</v>
      </c>
      <c r="BA1987">
        <f>(0.6*AW1987+0.6*AY1987)*$AU$1953/2</f>
        <v>0</v>
      </c>
      <c r="BC1987">
        <f>IF(AV1987=0,0,$BG$1953*$AP$1941)</f>
        <v>0</v>
      </c>
      <c r="BD1987">
        <f>IFERROR(BC1987/$AU$1953,0)</f>
        <v>0</v>
      </c>
      <c r="BE1987">
        <f>BC1987*($F$21+IF($F$21=0,0,($C$14+$C$15+IF($C$13="single",1.5,3)+3)/12))</f>
        <v>0</v>
      </c>
      <c r="BF1987">
        <f>BE1987-AZ1987</f>
        <v>0</v>
      </c>
      <c r="BG1987" cm="1">
        <f t="array" ref="BG1987">IFERROR(IF(BF1987&lt;0,0,BF1987/($AU$1953-INDEX(hd_off,MATCH(BT1987,hd_mark,0),0)/12)),0)</f>
        <v>0</v>
      </c>
      <c r="BH1987">
        <f>IF(AV1987=0,0,$BG$1953*$AM$1941)</f>
        <v>0</v>
      </c>
      <c r="BI1987">
        <f>IFERROR(BH1987/$AU$1953,0)</f>
        <v>0</v>
      </c>
      <c r="BJ1987">
        <f>BH1987*($F$21+IF($F$21=0,0,($C$14+$C$15+IF($C$13="single",1.5,3)+3)/12))</f>
        <v>0</v>
      </c>
      <c r="BK1987">
        <f>BJ1987-BA1987</f>
        <v>0</v>
      </c>
      <c r="BL1987" cm="1">
        <f t="array" ref="BL1987">IFERROR(IF(BK1987&lt;0,0,BK1987/($AU$1953-INDEX(hd_off,MATCH(BT1987,hd_mark,0),0)/12)),0)</f>
        <v>0</v>
      </c>
      <c r="BM1987">
        <f>MAX($F$21,$BB$1953)/$Q$1972</f>
        <v>0.30172413793103448</v>
      </c>
      <c r="BN1987">
        <f>IF(BM1987=0,0,IF(BM1987&gt;2,1.25-0.125*BM1987,1))</f>
        <v>1</v>
      </c>
      <c r="BO1987" cm="1">
        <f t="array" ref="BO1987">IFERROR(INDEX(sheath_ecap_asd,MATCH(BS1987,sheath_mark,0),0)*BN1987,0)</f>
        <v>0</v>
      </c>
      <c r="BP1987" cm="1">
        <f t="array" ref="BP1987">IFERROR(INDEX(sheath_wcap_asd,MATCH(BS1987,sheath_mark,0),0)*BN1987,0)</f>
        <v>0</v>
      </c>
      <c r="BQ1987" cm="1">
        <f t="array" ref="BQ1987">IFERROR(INDEX(hd_cap,MATCH(BT1987,hd_mark,0),0),0)</f>
        <v>0</v>
      </c>
      <c r="BS1987" s="19"/>
      <c r="BT1987" s="19"/>
      <c r="BU1987" s="100"/>
    </row>
    <row r="1988" x14ac:dyDescent="0.25">
      <c r="P1988" s="93"/>
      <c r="Q1988" s="109"/>
      <c r="R1988" t="str">
        <f>$Q$1942</f>
        <v>L3</v>
      </c>
      <c r="S1988">
        <f>$E$22</f>
        <v>21.375</v>
      </c>
      <c r="T1988" cm="1">
        <f t="array" ref="T1988">IFERROR(IF(S1988=0,0,(INDEX($C$33:$C$38,MATCH($W$1953,$B$33:$B$38,0),0)*(S1991+$X$1953)+$T$1953*COUNTIF(S1988:S1990,"&gt;0")*$C$32+$V$1953*$C$31)*$R$1953),0)</f>
        <v>0</v>
      </c>
      <c r="U1988">
        <f>IF(S1988=0,0,-(COUNTIF(S1988:S1990,"&gt;0")*$T$1953*$C$32+$V$1953*$C$31)*$H$27*$R$1953)</f>
        <v>0</v>
      </c>
      <c r="V1988">
        <f>IF(S1988=0,0,$V$1953*$H$26*$R$1953)</f>
        <v>0</v>
      </c>
      <c r="W1988">
        <f>(0.6*T1988+0.7*U1988)*$R$1953/2</f>
        <v>0</v>
      </c>
      <c r="X1988">
        <f>T1988*$R$1953/2</f>
        <v>0</v>
      </c>
      <c r="Z1988">
        <f>IF(S1988=0,0,$AD$1953*$AP$1942)</f>
        <v>0</v>
      </c>
      <c r="AA1988">
        <f>IFERROR(Z1988/$R$1953,0)</f>
        <v>0</v>
      </c>
      <c r="AB1988">
        <f>Z1988*($F$22+IF($F$22=0,0,($C$14+$C$15+IF($C$13="single",1.5,3)+3)/12))</f>
        <v>0</v>
      </c>
      <c r="AC1988">
        <f>AB1988-W1988</f>
        <v>0</v>
      </c>
      <c r="AD1988" cm="1">
        <f t="array" ref="AD1988">IFERROR(IF(AC1988&lt;0,0,AC1988/($R$1953-INDEX(hd_off,MATCH(AQ1988,hd_mark,0),0)/12)),0)</f>
        <v>0</v>
      </c>
      <c r="AE1988">
        <f>IF(S1988=0,0,$AD$1953*$AM$1942)</f>
        <v>0</v>
      </c>
      <c r="AF1988">
        <f>IFERROR(AE1988/$R$1953,0)</f>
        <v>0</v>
      </c>
      <c r="AG1988">
        <f>AE1988*($F$22+IF($F$22=0,0,($C$14+$C$15+IF($C$13="single",1.5,3)+3)/12))</f>
        <v>0</v>
      </c>
      <c r="AH1988">
        <f>AG1988-X1988</f>
        <v>0</v>
      </c>
      <c r="AI1988" cm="1">
        <f t="array" ref="AI1988">IFERROR(IF(AH1988&lt;0,0,AH1988/($R$1953-INDEX(hd_off,MATCH(AQ1988,hd_mark,0),0)/12)),0)</f>
        <v>0</v>
      </c>
      <c r="AJ1988">
        <f>MAX($F$22,$Z$1953)/$Q$1972</f>
        <v>0.30172413793103448</v>
      </c>
      <c r="AK1988">
        <f t="shared" ref="AK1988:AK1991" si="1237">IF(AJ1988=0,0,IF(AJ1988&gt;2,1.25-0.125*AJ1988,1))</f>
        <v>1</v>
      </c>
      <c r="AL1988" cm="1">
        <f t="array" ref="AL1988">IFERROR(INDEX(sheath_ecap_asd,MATCH(AP1988,sheath_mark,0),0)*AK1988,0)</f>
        <v>0</v>
      </c>
      <c r="AM1988" cm="1">
        <f t="array" ref="AM1988">IFERROR(INDEX(sheath_wcap_asd,MATCH(AP1988,sheath_mark,0),0)*AK1988,0)</f>
        <v>0</v>
      </c>
      <c r="AN1988" cm="1">
        <f t="array" ref="AN1988">IFERROR(INDEX(hd_cap,MATCH(AQ1988,hd_mark,0),0),0)</f>
        <v>0</v>
      </c>
      <c r="AP1988" s="19"/>
      <c r="AQ1988" s="19"/>
      <c r="AR1988" s="100"/>
      <c r="AS1988" s="93"/>
      <c r="AT1988" s="109"/>
      <c r="AU1988" t="str">
        <f>$Q$1942</f>
        <v>L3</v>
      </c>
      <c r="AV1988">
        <f>$E$22</f>
        <v>21.375</v>
      </c>
      <c r="AW1988" cm="1">
        <f t="array" ref="AW1988">IFERROR(IF(AV1988=0,0,(INDEX($C$33:$C$38,MATCH($AZ$1953,$B$33:$B$38,0),0)*(AV1991+$BA$1953)+$AW$1953*COUNTIF(AV1988:AV1990,"&gt;0")*$C$32+$AY$1953*$C$31)*$AU$1953),0)</f>
        <v>0</v>
      </c>
      <c r="AX1988">
        <f>IF(AV1988=0,0,-(COUNTIF(AV1988:AV1990,"&gt;0")*$AW$1953*$C$32+$AY$1953*$C$31)*$H$27*$AU$1953)</f>
        <v>0</v>
      </c>
      <c r="AY1988">
        <f>IF(AV1988=0,0,$AY$1953*$H$26*$AU$1953)</f>
        <v>0</v>
      </c>
      <c r="AZ1988">
        <f>(0.6*AW1988+0.7*AX1988)*$AU$1953/2</f>
        <v>0</v>
      </c>
      <c r="BA1988">
        <f>AW1988*$AU$1953/2</f>
        <v>0</v>
      </c>
      <c r="BC1988">
        <f>IF(AV1988=0,0,$BG$1953*$AP$1942)</f>
        <v>0</v>
      </c>
      <c r="BD1988">
        <f>IFERROR(BC1988/$AU$1953,0)</f>
        <v>0</v>
      </c>
      <c r="BE1988">
        <f>BC1988*($F$22+IF($F$22=0,0,($C$14+$C$15+IF($C$13="single",1.5,3)+3)/12))</f>
        <v>0</v>
      </c>
      <c r="BF1988">
        <f>BE1988-AZ1988</f>
        <v>0</v>
      </c>
      <c r="BG1988" cm="1">
        <f t="array" ref="BG1988">IFERROR(IF(BF1988&lt;0,0,BF1988/($AU$1953-INDEX(hd_off,MATCH(BT1988,hd_mark,0),0)/12)),0)</f>
        <v>0</v>
      </c>
      <c r="BH1988">
        <f>IF(AV1988=0,0,$BG$1953*$AM$1942)</f>
        <v>0</v>
      </c>
      <c r="BI1988">
        <f>IFERROR(BH1988/$AU$1953,0)</f>
        <v>0</v>
      </c>
      <c r="BJ1988">
        <f>BH1988*($F$22+IF($F$22=0,0,($C$14+$C$15+IF($C$13="single",1.5,3)+3)/12))</f>
        <v>0</v>
      </c>
      <c r="BK1988">
        <f>BJ1988-BA1988</f>
        <v>0</v>
      </c>
      <c r="BL1988" cm="1">
        <f t="array" ref="BL1988">IFERROR(IF(BK1988&lt;0,0,BK1988/($AU$1953-INDEX(hd_off,MATCH(BT1988,hd_mark,0),0)/12)),0)</f>
        <v>0</v>
      </c>
      <c r="BM1988">
        <f>MAX($F$22,$BC$1953)/$Q$1972</f>
        <v>0.30172413793103448</v>
      </c>
      <c r="BN1988">
        <f t="shared" ref="BN1988:BN1991" si="1238">IF(BM1988=0,0,IF(BM1988&gt;2,1.25-0.125*BM1988,1))</f>
        <v>1</v>
      </c>
      <c r="BO1988" cm="1">
        <f t="array" ref="BO1988">IFERROR(INDEX(sheath_ecap_asd,MATCH(BS1988,sheath_mark,0),0)*BN1988,0)</f>
        <v>0</v>
      </c>
      <c r="BP1988" cm="1">
        <f t="array" ref="BP1988">IFERROR(INDEX(sheath_wcap_asd,MATCH(BS1988,sheath_mark,0),0)*BN1988,0)</f>
        <v>0</v>
      </c>
      <c r="BQ1988" cm="1">
        <f t="array" ref="BQ1988">IFERROR(INDEX(hd_cap,MATCH(BT1988,hd_mark,0),0),0)</f>
        <v>0</v>
      </c>
      <c r="BS1988" s="19"/>
      <c r="BT1988" s="19"/>
      <c r="BU1988" s="100"/>
    </row>
    <row r="1989" x14ac:dyDescent="0.25">
      <c r="B1989" s="1"/>
      <c r="P1989" s="93"/>
      <c r="Q1989" s="109" t="s">
        <v>491</v>
      </c>
      <c r="R1989" t="str">
        <f>$Q$1943</f>
        <v>L4</v>
      </c>
      <c r="S1989">
        <f>$E$23</f>
        <v>0</v>
      </c>
      <c r="T1989" cm="1">
        <f t="array" ref="T1989">IFERROR(IF(S1989=0,0,(INDEX($C$33:$C$38,MATCH($W$1953,$B$33:$B$38,0),0)*(S1991+$X$1953)+$T$1953*COUNTIF(S1989:S1990,"&gt;0")*$C$32+$V$1953*$C$31)*$R$1953),0)</f>
        <v>0</v>
      </c>
      <c r="U1989">
        <f>IF(S1989=0,0,-(COUNTIF(S1989:S1990,"&gt;0")*$T$1953*$C$32+$V$1953*$C$31)*$H$27*$R$1953)</f>
        <v>0</v>
      </c>
      <c r="V1989">
        <f>IF(S1989=0,0,$V$1953*$H$26*$R$1953)</f>
        <v>0</v>
      </c>
      <c r="W1989">
        <f>(0.6*T1989+0.7*U1989)*$R$1953/2</f>
        <v>0</v>
      </c>
      <c r="X1989">
        <f>T1989*$R$1953/2</f>
        <v>0</v>
      </c>
      <c r="Z1989">
        <f>IF(S1989=0,0,$AD$1953*$AP$1943)</f>
        <v>0</v>
      </c>
      <c r="AA1989">
        <f>IFERROR(Z1989/$R$1953,0)</f>
        <v>0</v>
      </c>
      <c r="AB1989">
        <f>Z1989*($F$23+IF($F$23=0,0,($C$14+$C$15+IF($C$13="single",1.5,3)+3)/12))</f>
        <v>0</v>
      </c>
      <c r="AC1989">
        <f>AB1989-W1989</f>
        <v>0</v>
      </c>
      <c r="AD1989" cm="1">
        <f t="array" ref="AD1989">IFERROR(IF(AC1989&lt;0,0,AC1989/($R$1953-INDEX(hd_off,MATCH(AQ1989,hd_mark,0),0)/12)),0)</f>
        <v>0</v>
      </c>
      <c r="AE1989">
        <f>IF(S1989=0,0,$AD$1953*$AM$1943)</f>
        <v>0</v>
      </c>
      <c r="AF1989">
        <f>IFERROR(AE1989/$R$1953,0)</f>
        <v>0</v>
      </c>
      <c r="AG1989">
        <f>AE1989*($F$23+IF($F$23=0,0,($C$14+$C$15+IF($C$13="single",1.5,3)+3)/12))</f>
        <v>0</v>
      </c>
      <c r="AH1989">
        <f>AG1989-X1989</f>
        <v>0</v>
      </c>
      <c r="AI1989" cm="1">
        <f t="array" ref="AI1989">IFERROR(IF(AH1989&lt;0,0,AH1989/($R$1953-INDEX(hd_off,MATCH(AQ1989,hd_mark,0),0)/12)),0)</f>
        <v>0</v>
      </c>
      <c r="AJ1989">
        <f>MAX($F$23,$AA$1953)/$Q$1972</f>
        <v>0</v>
      </c>
      <c r="AK1989">
        <f t="shared" si="1237"/>
        <v>0</v>
      </c>
      <c r="AL1989" cm="1">
        <f t="array" ref="AL1989">IFERROR(INDEX(sheath_ecap_asd,MATCH(AP1989,sheath_mark,0),0)*AK1989,0)</f>
        <v>0</v>
      </c>
      <c r="AM1989" cm="1">
        <f t="array" ref="AM1989">IFERROR(INDEX(sheath_wcap_asd,MATCH(AP1989,sheath_mark,0),0)*AK1989,0)</f>
        <v>0</v>
      </c>
      <c r="AN1989" cm="1">
        <f t="array" ref="AN1989">IFERROR(INDEX(hd_cap,MATCH(AQ1989,hd_mark,0),0),0)</f>
        <v>0</v>
      </c>
      <c r="AP1989" s="19"/>
      <c r="AQ1989" s="19"/>
      <c r="AR1989" s="100"/>
      <c r="AS1989" s="93"/>
      <c r="AT1989" s="109" t="s">
        <v>491</v>
      </c>
      <c r="AU1989" t="str">
        <f>$Q$1943</f>
        <v>L4</v>
      </c>
      <c r="AV1989">
        <f>$E$23</f>
        <v>0</v>
      </c>
      <c r="AW1989" cm="1">
        <f t="array" ref="AW1989">IFERROR(IF(AV1989=0,0,(INDEX($C$33:$C$38,MATCH($AZ$1953,$B$33:$B$38,0),0)*(AV1991+$BA$1953)+$AW$1953*COUNTIF(AV1989:AV1990,"&gt;0")*$C$32+$AY$1953*$C$31)*$AU$1953),0)</f>
        <v>0</v>
      </c>
      <c r="AX1989">
        <f>IF(AV1989=0,0,-(COUNTIF(AV1989:AV1990,"&gt;0")*$AW$1953*$C$32+$AY$1953*$C$31)*$H$27*$AU$1953)</f>
        <v>0</v>
      </c>
      <c r="AY1989">
        <f>IF(AV1989=0,0,$AY$1953*$H$26*$AU$1953)</f>
        <v>0</v>
      </c>
      <c r="AZ1989">
        <f>(0.6*AW1989+0.7*AX1989)*$AU$1953/2</f>
        <v>0</v>
      </c>
      <c r="BA1989">
        <f>AW1989*$AU$1953/2</f>
        <v>0</v>
      </c>
      <c r="BC1989">
        <f>IF(AV1989=0,0,$BG$1953*$AP$1943)</f>
        <v>0</v>
      </c>
      <c r="BD1989">
        <f>IFERROR(BC1989/$AU$1953,0)</f>
        <v>0</v>
      </c>
      <c r="BE1989">
        <f>BC1989*($F$23+IF($F$23=0,0,($C$14+$C$15+IF($C$13="single",1.5,3)+3)/12))</f>
        <v>0</v>
      </c>
      <c r="BF1989">
        <f>BE1989-AZ1989</f>
        <v>0</v>
      </c>
      <c r="BG1989" cm="1">
        <f t="array" ref="BG1989">IFERROR(IF(BF1989&lt;0,0,BF1989/($AU$1953-INDEX(hd_off,MATCH(BT1989,hd_mark,0),0)/12)),0)</f>
        <v>0</v>
      </c>
      <c r="BH1989">
        <f>IF(AV1989=0,0,$BG$1953*$AM$1943)</f>
        <v>0</v>
      </c>
      <c r="BI1989">
        <f>IFERROR(BH1989/$AU$1953,0)</f>
        <v>0</v>
      </c>
      <c r="BJ1989">
        <f>BH1989*($F$23+IF($F$23=0,0,($C$14+$C$15+IF($C$13="single",1.5,3)+3)/12))</f>
        <v>0</v>
      </c>
      <c r="BK1989">
        <f>BJ1989-BA1989</f>
        <v>0</v>
      </c>
      <c r="BL1989" cm="1">
        <f t="array" ref="BL1989">IFERROR(IF(BK1989&lt;0,0,BK1989/($AU$1953-INDEX(hd_off,MATCH(BT1989,hd_mark,0),0)/12)),0)</f>
        <v>0</v>
      </c>
      <c r="BM1989">
        <f>MAX($F$23,$BD$1953)/$Q$1972</f>
        <v>0</v>
      </c>
      <c r="BN1989">
        <f t="shared" si="1238"/>
        <v>0</v>
      </c>
      <c r="BO1989" cm="1">
        <f t="array" ref="BO1989">IFERROR(INDEX(sheath_ecap_asd,MATCH(BS1989,sheath_mark,0),0)*BN1989,0)</f>
        <v>0</v>
      </c>
      <c r="BP1989" cm="1">
        <f t="array" ref="BP1989">IFERROR(INDEX(sheath_wcap_asd,MATCH(BS1989,sheath_mark,0),0)*BN1989,0)</f>
        <v>0</v>
      </c>
      <c r="BQ1989" cm="1">
        <f t="array" ref="BQ1989">IFERROR(INDEX(hd_cap,MATCH(BT1989,hd_mark,0),0),0)</f>
        <v>0</v>
      </c>
      <c r="BS1989" s="19"/>
      <c r="BT1989" s="19"/>
      <c r="BU1989" s="100"/>
    </row>
    <row r="1990" x14ac:dyDescent="0.25">
      <c r="P1990" s="93"/>
      <c r="Q1990" s="111">
        <f>$R$1953</f>
        <v>0</v>
      </c>
      <c r="R1990" t="str">
        <f>$Q$1944</f>
        <v>L5</v>
      </c>
      <c r="S1990">
        <f>$E$24</f>
        <v>0</v>
      </c>
      <c r="T1990" cm="1">
        <f t="array" ref="T1990">IFERROR(IF(S1990=0,0,(INDEX($C$33:$C$38,MATCH($W$1953,$B$33:$B$38,0),0)*(S1991+$X$1953)+$T$1953*COUNTIF(S1990:S1990,"&gt;0")*$C$32+$V$1953*$C$31)*$R$1953),0)</f>
        <v>0</v>
      </c>
      <c r="U1990">
        <f>IF(S1990=0,0,-(COUNTIF(S1990:S1990,"&gt;0")*$T$1953*$C$32+$V$1953*$C$31)*$H$27*$R$1953)</f>
        <v>0</v>
      </c>
      <c r="V1990">
        <f>IF(S1990=0,0,$V$1953*$H$26*$R$1953)</f>
        <v>0</v>
      </c>
      <c r="W1990">
        <f>(0.6*T1990+0.7*U1990)*$R$1953/2</f>
        <v>0</v>
      </c>
      <c r="X1990">
        <f>T1990*$R$1953/2</f>
        <v>0</v>
      </c>
      <c r="Z1990">
        <f>IF(S1990=0,0,$AD$1953*$AP$1944)</f>
        <v>0</v>
      </c>
      <c r="AA1990">
        <f>IFERROR(Z1990/$R$1953,0)</f>
        <v>0</v>
      </c>
      <c r="AB1990">
        <f>Z1990*($F$24+IF($F$24=0,0,($C$14+$C$15+IF($C$13="single",1.5,3)+3)/12))</f>
        <v>0</v>
      </c>
      <c r="AC1990">
        <f>AB1990-W1990</f>
        <v>0</v>
      </c>
      <c r="AD1990" cm="1">
        <f t="array" ref="AD1990">IFERROR(IF(AC1990&lt;0,0,AC1990/($R$1953-INDEX(hd_off,MATCH(AQ1990,hd_mark,0),0)/12)),0)</f>
        <v>0</v>
      </c>
      <c r="AE1990">
        <f>IF(S1990=0,0,$AD$1953*$AM$1944)</f>
        <v>0</v>
      </c>
      <c r="AF1990">
        <f>IFERROR(AE1990/$R$1953,0)</f>
        <v>0</v>
      </c>
      <c r="AG1990">
        <f>AE1990*($F$24+IF($F$24=0,0,($C$14+$C$15+IF($C$13="single",1.5,3)+3)/12))</f>
        <v>0</v>
      </c>
      <c r="AH1990">
        <f>AG1990-X1990</f>
        <v>0</v>
      </c>
      <c r="AI1990" cm="1">
        <f t="array" ref="AI1990">IFERROR(IF(AH1990&lt;0,0,AH1990/($R$1953-INDEX(hd_off,MATCH(AQ1990,hd_mark,0),0)/12)),0)</f>
        <v>0</v>
      </c>
      <c r="AJ1990">
        <f>MAX($F$24,$AB$1953)/$Q$1972</f>
        <v>0</v>
      </c>
      <c r="AK1990">
        <f t="shared" si="1237"/>
        <v>0</v>
      </c>
      <c r="AL1990" cm="1">
        <f t="array" ref="AL1990">IFERROR(INDEX(sheath_ecap_asd,MATCH(AP1990,sheath_mark,0),0)*AK1990,0)</f>
        <v>0</v>
      </c>
      <c r="AM1990" cm="1">
        <f t="array" ref="AM1990">IFERROR(INDEX(sheath_wcap_asd,MATCH(AP1990,sheath_mark,0),0)*AK1990,0)</f>
        <v>0</v>
      </c>
      <c r="AN1990" cm="1">
        <f t="array" ref="AN1990">IFERROR(INDEX(hd_cap,MATCH(AQ1990,hd_mark,0),0),0)</f>
        <v>0</v>
      </c>
      <c r="AP1990" s="19"/>
      <c r="AQ1990" s="19"/>
      <c r="AR1990" s="100"/>
      <c r="AS1990" s="93"/>
      <c r="AT1990" s="111">
        <f>$R$1953</f>
        <v>0</v>
      </c>
      <c r="AU1990" t="str">
        <f>$Q$1944</f>
        <v>L5</v>
      </c>
      <c r="AV1990">
        <f>$E$24</f>
        <v>0</v>
      </c>
      <c r="AW1990" cm="1">
        <f t="array" ref="AW1990">IFERROR(IF(AV1990=0,0,(INDEX($C$33:$C$38,MATCH($AZ$1953,$B$33:$B$38,0),0)*(AV1991+$BA$1953)+$AW$1953*COUNTIF(AV1990:AV1990,"&gt;0")*$C$32+$AY$1953*$C$31)*$AU$1953),0)</f>
        <v>0</v>
      </c>
      <c r="AX1990">
        <f>IF(AV1990=0,0,-(COUNTIF(AV1990:AV1990,"&gt;0")*$AW$1953*$C$32+$AY$1953*$C$31)*$H$27*$AU$1953)</f>
        <v>0</v>
      </c>
      <c r="AY1990">
        <f>IF(AV1990=0,0,$AY$1953*$H$26*$AU$1953)</f>
        <v>0</v>
      </c>
      <c r="AZ1990">
        <f>(0.6*AW1990+0.7*AX1990)*$AU$1953/2</f>
        <v>0</v>
      </c>
      <c r="BA1990">
        <f>AW1990*$AU$1953/2</f>
        <v>0</v>
      </c>
      <c r="BC1990">
        <f>IF(AV1990=0,0,$BG$1953*$AP$1944)</f>
        <v>0</v>
      </c>
      <c r="BD1990">
        <f>IFERROR(BC1990/$AU$1953,0)</f>
        <v>0</v>
      </c>
      <c r="BE1990">
        <f>BC1990*($F$24+IF($F$24=0,0,($C$14+$C$15+IF($C$13="single",1.5,3)+3)/12))</f>
        <v>0</v>
      </c>
      <c r="BF1990">
        <f>BE1990-AZ1990</f>
        <v>0</v>
      </c>
      <c r="BG1990" cm="1">
        <f t="array" ref="BG1990">IFERROR(IF(BF1990&lt;0,0,BF1990/($AU$1953-INDEX(hd_off,MATCH(BT1990,hd_mark,0),0)/12)),0)</f>
        <v>0</v>
      </c>
      <c r="BH1990">
        <f>IF(AV1990=0,0,$BG$1953*$AM$1944)</f>
        <v>0</v>
      </c>
      <c r="BI1990">
        <f>IFERROR(BH1990/$AU$1953,0)</f>
        <v>0</v>
      </c>
      <c r="BJ1990">
        <f>BH1990*($F$24+IF($F$24=0,0,($C$14+$C$15+IF($C$13="single",1.5,3)+3)/12))</f>
        <v>0</v>
      </c>
      <c r="BK1990">
        <f>BJ1990-BA1990</f>
        <v>0</v>
      </c>
      <c r="BL1990" cm="1">
        <f t="array" ref="BL1990">IFERROR(IF(BK1990&lt;0,0,BK1990/($AU$1953-INDEX(hd_off,MATCH(BT1990,hd_mark,0),0)/12)),0)</f>
        <v>0</v>
      </c>
      <c r="BM1990">
        <f>MAX($F$24,$BE$1953)/$Q$1972</f>
        <v>0</v>
      </c>
      <c r="BN1990">
        <f t="shared" si="1238"/>
        <v>0</v>
      </c>
      <c r="BO1990" cm="1">
        <f t="array" ref="BO1990">IFERROR(INDEX(sheath_ecap_asd,MATCH(BS1990,sheath_mark,0),0)*BN1990,0)</f>
        <v>0</v>
      </c>
      <c r="BP1990" cm="1">
        <f t="array" ref="BP1990">IFERROR(INDEX(sheath_wcap_asd,MATCH(BS1990,sheath_mark,0),0)*BN1990,0)</f>
        <v>0</v>
      </c>
      <c r="BQ1990" cm="1">
        <f t="array" ref="BQ1990">IFERROR(INDEX(hd_cap,MATCH(BT1990,hd_mark,0),0),0)</f>
        <v>0</v>
      </c>
      <c r="BS1990" s="19"/>
      <c r="BT1990" s="19"/>
      <c r="BU1990" s="100"/>
    </row>
    <row r="1991" x14ac:dyDescent="0.25">
      <c r="P1991" s="93"/>
      <c r="Q1991" s="109"/>
      <c r="R1991" t="str">
        <f>$Q$1945</f>
        <v>Roof</v>
      </c>
      <c r="S1991">
        <f>$E$25</f>
        <v>33.171875</v>
      </c>
      <c r="T1991" cm="1">
        <f t="array" ref="T1991">IFERROR(IF(S1991=0,0,(INDEX($C$33:$C$38,MATCH($W$1953,$B$33:$B$38,0),0)*(S1991+$X$1953)+$V$1953*$C$31)*$R$1953),0)</f>
        <v>0</v>
      </c>
      <c r="U1991">
        <f>IF(S1991=0,0,-$V$1953*$C$31*$H$27*$R$1953)</f>
        <v>0</v>
      </c>
      <c r="V1991">
        <f>IF(S1991=0,0,$V$1953*$H$26*$R$1953)</f>
        <v>0</v>
      </c>
      <c r="W1991">
        <f>(0.6*T1991+0.7*U1991)*$R$1953/2</f>
        <v>0</v>
      </c>
      <c r="X1991">
        <f>T1991*$R$1953/2</f>
        <v>0</v>
      </c>
      <c r="Z1991">
        <f>IF(S1991=0,0,$AD$1953*$AP$1945)</f>
        <v>0</v>
      </c>
      <c r="AA1991">
        <f>IFERROR(Z1991/$R$1953,0)</f>
        <v>0</v>
      </c>
      <c r="AB1991">
        <f>Z1991*($F$25+($C$16+$C$17+IF($C$13="single",1.5,3)+3)/12)</f>
        <v>0</v>
      </c>
      <c r="AC1991">
        <f>AB1991-W1991</f>
        <v>0</v>
      </c>
      <c r="AD1991" cm="1">
        <f t="array" ref="AD1991">IFERROR(IF(AC1991&lt;0,0,AC1991/($R$1953-INDEX(hd_off,MATCH(AQ1991,hd_mark,0),0)/12)),0)</f>
        <v>0</v>
      </c>
      <c r="AE1991">
        <f>IF(S1991=0,0,$AD$1953*$AM$1945)</f>
        <v>0</v>
      </c>
      <c r="AF1991">
        <f>IFERROR(AE1991/$R$1953,0)</f>
        <v>0</v>
      </c>
      <c r="AG1991">
        <f>AE1991*($F$25+($C$16+$C$17+IF($C$13="single",1.5,3)+3)/12)</f>
        <v>0</v>
      </c>
      <c r="AH1991">
        <f>AG1991-X1991</f>
        <v>0</v>
      </c>
      <c r="AI1991" cm="1">
        <f t="array" ref="AI1991">IFERROR(IF(AH1991&lt;0,0,AH1991/($R$1953-INDEX(hd_off,MATCH(AQ1991,hd_mark,0),0)/12)),0)</f>
        <v>0</v>
      </c>
      <c r="AJ1991">
        <f>MAX($F$25,$AC$1953)/$Q$1972</f>
        <v>0.29920977011494249</v>
      </c>
      <c r="AK1991">
        <f t="shared" si="1237"/>
        <v>1</v>
      </c>
      <c r="AL1991" cm="1">
        <f t="array" ref="AL1991">IFERROR(INDEX(sheath_ecap_asd,MATCH(AP1991,sheath_mark,0),0)*AK1991,0)</f>
        <v>0</v>
      </c>
      <c r="AM1991" cm="1">
        <f t="array" ref="AM1991">IFERROR(INDEX(sheath_wcap_asd,MATCH(AP1991,sheath_mark,0),0)*AK1991,0)</f>
        <v>0</v>
      </c>
      <c r="AN1991" cm="1">
        <f t="array" ref="AN1991">IFERROR(INDEX(hd_cap,MATCH(AQ1991,hd_mark,0),0),0)</f>
        <v>0</v>
      </c>
      <c r="AP1991" s="19"/>
      <c r="AQ1991" s="19"/>
      <c r="AR1991" s="100"/>
      <c r="AS1991" s="93"/>
      <c r="AT1991" s="109"/>
      <c r="AU1991" t="str">
        <f>$Q$1945</f>
        <v>Roof</v>
      </c>
      <c r="AV1991">
        <f>$E$25</f>
        <v>33.171875</v>
      </c>
      <c r="AW1991" cm="1">
        <f t="array" ref="AW1991">IFERROR(IF(AV1991=0,0,(INDEX($C$33:$C$38,MATCH($AZ$1953,$B$33:$B$38,0),0)*(AV1991+$BA$1953)+$AY$1953*$C$31)*$AU$1953),0)</f>
        <v>0</v>
      </c>
      <c r="AX1991">
        <f>IF(AV1991=0,0,-$AY$1953*$C$31*$H$27*$AU$1953)</f>
        <v>0</v>
      </c>
      <c r="AY1991">
        <f>IF(AV1991=0,0,$AY$1953*$H$26*$AU$1953)</f>
        <v>0</v>
      </c>
      <c r="AZ1991">
        <f>(0.6*AW1991+0.7*AX1991)*$AU$1953/2</f>
        <v>0</v>
      </c>
      <c r="BA1991">
        <f>AW1991*$AU$1953/2</f>
        <v>0</v>
      </c>
      <c r="BC1991">
        <f>IF(AV1991=0,0,$BG$1953*$AP$1945)</f>
        <v>0</v>
      </c>
      <c r="BD1991">
        <f>IFERROR(BC1991/$AU$1953,0)</f>
        <v>0</v>
      </c>
      <c r="BE1991">
        <f>BC1991*($F$25+($C$16+$C$17+IF($C$13="single",1.5,3)+3)/12)</f>
        <v>0</v>
      </c>
      <c r="BF1991">
        <f>BE1991-AZ1991</f>
        <v>0</v>
      </c>
      <c r="BG1991" cm="1">
        <f t="array" ref="BG1991">IFERROR(IF(BF1991&lt;0,0,BF1991/($AU$1953-INDEX(hd_off,MATCH(BT1991,hd_mark,0),0)/12)),0)</f>
        <v>0</v>
      </c>
      <c r="BH1991">
        <f>IF(AV1991=0,0,$BG$1953*$AM$1945)</f>
        <v>0</v>
      </c>
      <c r="BI1991">
        <f>IFERROR(BH1991/$AU$1953,0)</f>
        <v>0</v>
      </c>
      <c r="BJ1991">
        <f>BH1991*($F$25+($C$16+$C$17+IF($C$13="single",1.5,3)+3)/12)</f>
        <v>0</v>
      </c>
      <c r="BK1991">
        <f>BJ1991-BA1991</f>
        <v>0</v>
      </c>
      <c r="BL1991" cm="1">
        <f t="array" ref="BL1991">IFERROR(IF(BK1991&lt;0,0,BK1991/($AU$1953-INDEX(hd_off,MATCH(BT1991,hd_mark,0),0)/12)),0)</f>
        <v>0</v>
      </c>
      <c r="BM1991">
        <f>MAX($F$25,$BF$1953)/$Q$1972</f>
        <v>0.29920977011494249</v>
      </c>
      <c r="BN1991">
        <f t="shared" si="1238"/>
        <v>1</v>
      </c>
      <c r="BO1991" cm="1">
        <f t="array" ref="BO1991">IFERROR(INDEX(sheath_ecap_asd,MATCH(BS1991,sheath_mark,0),0)*BN1991,0)</f>
        <v>0</v>
      </c>
      <c r="BP1991" cm="1">
        <f t="array" ref="BP1991">IFERROR(INDEX(sheath_wcap_asd,MATCH(BS1991,sheath_mark,0),0)*BN1991,0)</f>
        <v>0</v>
      </c>
      <c r="BQ1991" cm="1">
        <f t="array" ref="BQ1991">IFERROR(INDEX(hd_cap,MATCH(BT1991,hd_mark,0),0),0)</f>
        <v>0</v>
      </c>
      <c r="BS1991" s="19"/>
      <c r="BT1991" s="19"/>
      <c r="BU1991" s="100"/>
    </row>
    <row r="1992" x14ac:dyDescent="0.25">
      <c r="P1992" s="93"/>
      <c r="AR1992" s="100"/>
      <c r="AS1992" s="93"/>
      <c r="BU1992" s="100"/>
    </row>
    <row r="1993" x14ac:dyDescent="0.25">
      <c r="P1993" s="93"/>
      <c r="Q1993" s="110" t="str">
        <f>$Q$1954</f>
        <v>A.05</v>
      </c>
      <c r="R1993" t="str">
        <f>$Q$1941</f>
        <v>L2</v>
      </c>
      <c r="S1993">
        <f>$E$21</f>
        <v>10.6875</v>
      </c>
      <c r="T1993" cm="1">
        <f t="array" ref="T1993">IFERROR(IF(S1993=0,0,(INDEX($C$33:$C$38,MATCH($W$1954,$B$33:$B$38,0),0)*(S1997+$X$1954)+$T$1954*COUNTIF(S1993:S1996,"&gt;0")*$C$32+$V$1954*$C$31)*$R$1954),0)</f>
        <v>0</v>
      </c>
      <c r="U1993">
        <f>IF(S1993=0,0,-(COUNTIF(S1993:S1996,"&gt;0")*$T$1954*$C$32+$V$1954*$C$31)*$H$27*$R$1954)</f>
        <v>0</v>
      </c>
      <c r="V1993">
        <f>IF(S1993=0,0,$V$1954*$H$26*$R$1954)</f>
        <v>0</v>
      </c>
      <c r="W1993">
        <f>(0.6*T1993+0.7*U1993)*$R$1954/2</f>
        <v>0</v>
      </c>
      <c r="X1993">
        <f>(0.6*T1993+0.6*V1993)*$R$1954/2</f>
        <v>0</v>
      </c>
      <c r="Z1993">
        <f>IF(S1993=0,0,$AD$1954*$AP$1941)</f>
        <v>0</v>
      </c>
      <c r="AA1993">
        <f>IFERROR(Z1993/$R$1954,0)</f>
        <v>0</v>
      </c>
      <c r="AB1993">
        <f>Z1993*($F$21+IF($F$21=0,0,($C$14+$C$15+IF($C$13="single",1.5,3)+3)/12))</f>
        <v>0</v>
      </c>
      <c r="AC1993">
        <f>AB1993-W1993</f>
        <v>0</v>
      </c>
      <c r="AD1993" cm="1">
        <f t="array" ref="AD1993">IFERROR(IF(AC1993&lt;0,0,AC1993/($R$1954-INDEX(hd_off,MATCH(AQ1993,hd_mark,0),0)/12)),0)</f>
        <v>0</v>
      </c>
      <c r="AE1993">
        <f>IF(S1993=0,0,$AD$1954*$AM$1941)</f>
        <v>0</v>
      </c>
      <c r="AF1993">
        <f>IFERROR(AE1993/$R$1954,0)</f>
        <v>0</v>
      </c>
      <c r="AG1993">
        <f>AE1993*($F$21+IF($F$21=0,0,($C$14+$C$15+IF($C$13="single",1.5,3)+3)/12))</f>
        <v>0</v>
      </c>
      <c r="AH1993">
        <f>AG1993-X1993</f>
        <v>0</v>
      </c>
      <c r="AI1993" cm="1">
        <f t="array" ref="AI1993">IFERROR(IF(AH1993&lt;0,0,AH1993/($R$1954-INDEX(hd_off,MATCH(AQ1993,hd_mark,0),0)/12)),0)</f>
        <v>0</v>
      </c>
      <c r="AJ1993">
        <f>MAX($F$21,$Y$1954)/$Q$1972</f>
        <v>0.30172413793103448</v>
      </c>
      <c r="AK1993">
        <f>IF(AJ1993=0,0,IF(AJ1993&gt;2,1.25-0.125*AJ1993,1))</f>
        <v>1</v>
      </c>
      <c r="AL1993" cm="1">
        <f t="array" ref="AL1993">IFERROR(INDEX(sheath_ecap_asd,MATCH(AP1993,sheath_mark,0),0)*AK1993,0)</f>
        <v>0</v>
      </c>
      <c r="AM1993" cm="1">
        <f t="array" ref="AM1993">IFERROR(INDEX(sheath_wcap_asd,MATCH(AP1993,sheath_mark,0),0)*AK1993,0)</f>
        <v>0</v>
      </c>
      <c r="AN1993" cm="1">
        <f t="array" ref="AN1993">IFERROR(INDEX(hd_cap,MATCH(AQ1993,hd_mark,0),0),0)</f>
        <v>0</v>
      </c>
      <c r="AP1993" s="19"/>
      <c r="AQ1993" s="19"/>
      <c r="AR1993" s="100"/>
      <c r="AS1993" s="93"/>
      <c r="AT1993" s="110" t="str">
        <f>$AT$1954</f>
        <v>1.05</v>
      </c>
      <c r="AU1993" t="str">
        <f>$Q$1941</f>
        <v>L2</v>
      </c>
      <c r="AV1993">
        <f>$E$21</f>
        <v>10.6875</v>
      </c>
      <c r="AW1993" cm="1">
        <f t="array" ref="AW1993">IFERROR(IF(AV1993=0,0,(INDEX($C$33:$C$38,MATCH($AZ$1954,$B$33:$B$38,0),0)*(AV1997+$BA$1954)+$AW$1954*COUNTIF(AV1993:AV1996,"&gt;0")*$C$32+$AY$1954*$C$31)*$AU$1954),0)</f>
        <v>0</v>
      </c>
      <c r="AX1993">
        <f>IF(AV1993=0,0,-(COUNTIF(AV1993:AV1996,"&gt;0")*$AW$1954*$C$32+$AY$1954*$C$31)*$H$27*$AU$1954)</f>
        <v>0</v>
      </c>
      <c r="AY1993">
        <f>IF(AV1993=0,0,$AY$1954*$H$26*$AU$1954)</f>
        <v>0</v>
      </c>
      <c r="AZ1993">
        <f>(0.6*AW1993+0.7*AX1993)*$AU$1954/2</f>
        <v>0</v>
      </c>
      <c r="BA1993">
        <f>(0.6*AW1993+0.6*AY1993)*$AU$1954/2</f>
        <v>0</v>
      </c>
      <c r="BC1993">
        <f>IF(AV1993=0,0,$BG$1954*$AP$1941)</f>
        <v>0</v>
      </c>
      <c r="BD1993">
        <f>IFERROR(BC1993/$AU$1954,0)</f>
        <v>0</v>
      </c>
      <c r="BE1993">
        <f>BC1993*($F$21+IF($F$21=0,0,($C$14+$C$15+IF($C$13="single",1.5,3)+3)/12))</f>
        <v>0</v>
      </c>
      <c r="BF1993">
        <f>BE1993-AZ1993</f>
        <v>0</v>
      </c>
      <c r="BG1993" cm="1">
        <f t="array" ref="BG1993">IFERROR(IF(BF1993&lt;0,0,BF1993/($AU$1954-INDEX(hd_off,MATCH(BT1993,hd_mark,0),0)/12)),0)</f>
        <v>0</v>
      </c>
      <c r="BH1993">
        <f>IF(AV1993=0,0,$BG$1954*$AM$1941)</f>
        <v>0</v>
      </c>
      <c r="BI1993">
        <f>IFERROR(BH1993/$AU$1954,0)</f>
        <v>0</v>
      </c>
      <c r="BJ1993">
        <f>BH1993*($F$21+IF($F$21=0,0,($C$14+$C$15+IF($C$13="single",1.5,3)+3)/12))</f>
        <v>0</v>
      </c>
      <c r="BK1993">
        <f>BJ1993-BA1993</f>
        <v>0</v>
      </c>
      <c r="BL1993" cm="1">
        <f t="array" ref="BL1993">IFERROR(IF(BK1993&lt;0,0,BK1993/($AU$1954-INDEX(hd_off,MATCH(BT1993,hd_mark,0),0)/12)),0)</f>
        <v>0</v>
      </c>
      <c r="BM1993">
        <f>MAX($F$21,$BB$1954)/$Q$1972</f>
        <v>0.30172413793103448</v>
      </c>
      <c r="BN1993">
        <f>IF(BM1993=0,0,IF(BM1993&gt;2,1.25-0.125*BM1993,1))</f>
        <v>1</v>
      </c>
      <c r="BO1993" cm="1">
        <f t="array" ref="BO1993">IFERROR(INDEX(sheath_ecap_asd,MATCH(BS1993,sheath_mark,0),0)*BN1993,0)</f>
        <v>0</v>
      </c>
      <c r="BP1993" cm="1">
        <f t="array" ref="BP1993">IFERROR(INDEX(sheath_wcap_asd,MATCH(BS1993,sheath_mark,0),0)*BN1993,0)</f>
        <v>0</v>
      </c>
      <c r="BQ1993" cm="1">
        <f t="array" ref="BQ1993">IFERROR(INDEX(hd_cap,MATCH(BT1993,hd_mark,0),0),0)</f>
        <v>0</v>
      </c>
      <c r="BS1993" s="19"/>
      <c r="BT1993" s="19"/>
      <c r="BU1993" s="100"/>
    </row>
    <row r="1994" x14ac:dyDescent="0.25">
      <c r="B1994" s="1"/>
      <c r="P1994" s="93"/>
      <c r="Q1994" s="109"/>
      <c r="R1994" t="str">
        <f>$Q$1942</f>
        <v>L3</v>
      </c>
      <c r="S1994">
        <f>$E$22</f>
        <v>21.375</v>
      </c>
      <c r="T1994" cm="1">
        <f t="array" ref="T1994">IFERROR(IF(S1994=0,0,(INDEX($C$33:$C$38,MATCH($W$1954,$B$33:$B$38,0),0)*(S1997+$X$1954)+$T$1954*COUNTIF(S1994:S1996,"&gt;0")*$C$32+$V$1954*$C$31)*$R$1954),0)</f>
        <v>0</v>
      </c>
      <c r="U1994">
        <f>IF(S1994=0,0,-(COUNTIF(S1994:S1996,"&gt;0")*$T$1954*$C$32+$V$1954*$C$31)*$H$27*$R$1954)</f>
        <v>0</v>
      </c>
      <c r="V1994">
        <f>IF(S1994=0,0,$V$1954*$H$26*$R$1954)</f>
        <v>0</v>
      </c>
      <c r="W1994">
        <f>(0.6*T1994+0.7*U1994)*$R$1954/2</f>
        <v>0</v>
      </c>
      <c r="X1994">
        <f>T1994*$R$1954/2</f>
        <v>0</v>
      </c>
      <c r="Z1994">
        <f>IF(S1994=0,0,$AD$1954*$AP$1942)</f>
        <v>0</v>
      </c>
      <c r="AA1994">
        <f>IFERROR(Z1994/$R$1954,0)</f>
        <v>0</v>
      </c>
      <c r="AB1994">
        <f>Z1994*($F$22+IF($F$22=0,0,($C$14+$C$15+IF($C$13="single",1.5,3)+3)/12))</f>
        <v>0</v>
      </c>
      <c r="AC1994">
        <f>AB1994-W1994</f>
        <v>0</v>
      </c>
      <c r="AD1994" cm="1">
        <f t="array" ref="AD1994">IFERROR(IF(AC1994&lt;0,0,AC1994/($R$1954-INDEX(hd_off,MATCH(AQ1994,hd_mark,0),0)/12)),0)</f>
        <v>0</v>
      </c>
      <c r="AE1994">
        <f>IF(S1994=0,0,$AD$1954*$AM$1942)</f>
        <v>0</v>
      </c>
      <c r="AF1994">
        <f>IFERROR(AE1994/$R$1954,0)</f>
        <v>0</v>
      </c>
      <c r="AG1994">
        <f>AE1994*($F$22+IF($F$22=0,0,($C$14+$C$15+IF($C$13="single",1.5,3)+3)/12))</f>
        <v>0</v>
      </c>
      <c r="AH1994">
        <f>AG1994-X1994</f>
        <v>0</v>
      </c>
      <c r="AI1994" cm="1">
        <f t="array" ref="AI1994">IFERROR(IF(AH1994&lt;0,0,AH1994/($R$1954-INDEX(hd_off,MATCH(AQ1994,hd_mark,0),0)/12)),0)</f>
        <v>0</v>
      </c>
      <c r="AJ1994">
        <f>MAX($F$22,$Z$1954)/$Q$1972</f>
        <v>0.30172413793103448</v>
      </c>
      <c r="AK1994">
        <f t="shared" ref="AK1994:AK1997" si="1239">IF(AJ1994=0,0,IF(AJ1994&gt;2,1.25-0.125*AJ1994,1))</f>
        <v>1</v>
      </c>
      <c r="AL1994" cm="1">
        <f t="array" ref="AL1994">IFERROR(INDEX(sheath_ecap_asd,MATCH(AP1994,sheath_mark,0),0)*AK1994,0)</f>
        <v>0</v>
      </c>
      <c r="AM1994" cm="1">
        <f t="array" ref="AM1994">IFERROR(INDEX(sheath_wcap_asd,MATCH(AP1994,sheath_mark,0),0)*AK1994,0)</f>
        <v>0</v>
      </c>
      <c r="AN1994" cm="1">
        <f t="array" ref="AN1994">IFERROR(INDEX(hd_cap,MATCH(AQ1994,hd_mark,0),0),0)</f>
        <v>0</v>
      </c>
      <c r="AP1994" s="19"/>
      <c r="AQ1994" s="19"/>
      <c r="AR1994" s="100"/>
      <c r="AS1994" s="93"/>
      <c r="AT1994" s="109"/>
      <c r="AU1994" t="str">
        <f>$Q$1942</f>
        <v>L3</v>
      </c>
      <c r="AV1994">
        <f>$E$22</f>
        <v>21.375</v>
      </c>
      <c r="AW1994" cm="1">
        <f t="array" ref="AW1994">IFERROR(IF(AV1994=0,0,(INDEX($C$33:$C$38,MATCH($AZ$1954,$B$33:$B$38,0),0)*(AV1997+$BA$1954)+$AW$1954*COUNTIF(AV1994:AV1996,"&gt;0")*$C$32+$AY$1954*$C$31)*$AU$1954),0)</f>
        <v>0</v>
      </c>
      <c r="AX1994">
        <f>IF(AV1994=0,0,-(COUNTIF(AV1994:AV1996,"&gt;0")*$AW$1954*$C$32+$AY$1954*$C$31)*$H$27*$AU$1954)</f>
        <v>0</v>
      </c>
      <c r="AY1994">
        <f>IF(AV1994=0,0,$AY$1954*$H$26*$AU$1954)</f>
        <v>0</v>
      </c>
      <c r="AZ1994">
        <f>(0.6*AW1994+0.7*AX1994)*$AU$1954/2</f>
        <v>0</v>
      </c>
      <c r="BA1994">
        <f>AW1994*$AU$1954/2</f>
        <v>0</v>
      </c>
      <c r="BC1994">
        <f>IF(AV1994=0,0,$BG$1954*$AP$1942)</f>
        <v>0</v>
      </c>
      <c r="BD1994">
        <f>IFERROR(BC1994/$AU$1954,0)</f>
        <v>0</v>
      </c>
      <c r="BE1994">
        <f>BC1994*($F$22+IF($F$22=0,0,($C$14+$C$15+IF($C$13="single",1.5,3)+3)/12))</f>
        <v>0</v>
      </c>
      <c r="BF1994">
        <f>BE1994-AZ1994</f>
        <v>0</v>
      </c>
      <c r="BG1994" cm="1">
        <f t="array" ref="BG1994">IFERROR(IF(BF1994&lt;0,0,BF1994/($AU$1954-INDEX(hd_off,MATCH(BT1994,hd_mark,0),0)/12)),0)</f>
        <v>0</v>
      </c>
      <c r="BH1994">
        <f>IF(AV1994=0,0,$BG$1954*$AM$1942)</f>
        <v>0</v>
      </c>
      <c r="BI1994">
        <f>IFERROR(BH1994/$AU$1954,0)</f>
        <v>0</v>
      </c>
      <c r="BJ1994">
        <f>BH1994*($F$22+IF($F$22=0,0,($C$14+$C$15+IF($C$13="single",1.5,3)+3)/12))</f>
        <v>0</v>
      </c>
      <c r="BK1994">
        <f>BJ1994-BA1994</f>
        <v>0</v>
      </c>
      <c r="BL1994" cm="1">
        <f t="array" ref="BL1994">IFERROR(IF(BK1994&lt;0,0,BK1994/($AU$1954-INDEX(hd_off,MATCH(BT1994,hd_mark,0),0)/12)),0)</f>
        <v>0</v>
      </c>
      <c r="BM1994">
        <f>MAX($F$22,$BC$1954)/$Q$1972</f>
        <v>0.30172413793103448</v>
      </c>
      <c r="BN1994">
        <f t="shared" ref="BN1994:BN1997" si="1240">IF(BM1994=0,0,IF(BM1994&gt;2,1.25-0.125*BM1994,1))</f>
        <v>1</v>
      </c>
      <c r="BO1994" cm="1">
        <f t="array" ref="BO1994">IFERROR(INDEX(sheath_ecap_asd,MATCH(BS1994,sheath_mark,0),0)*BN1994,0)</f>
        <v>0</v>
      </c>
      <c r="BP1994" cm="1">
        <f t="array" ref="BP1994">IFERROR(INDEX(sheath_wcap_asd,MATCH(BS1994,sheath_mark,0),0)*BN1994,0)</f>
        <v>0</v>
      </c>
      <c r="BQ1994" cm="1">
        <f t="array" ref="BQ1994">IFERROR(INDEX(hd_cap,MATCH(BT1994,hd_mark,0),0),0)</f>
        <v>0</v>
      </c>
      <c r="BS1994" s="19"/>
      <c r="BT1994" s="19"/>
      <c r="BU1994" s="100"/>
    </row>
    <row r="1995" x14ac:dyDescent="0.25">
      <c r="P1995" s="93"/>
      <c r="Q1995" s="109" t="s">
        <v>491</v>
      </c>
      <c r="R1995" t="str">
        <f>$Q$1943</f>
        <v>L4</v>
      </c>
      <c r="S1995">
        <f>$E$23</f>
        <v>0</v>
      </c>
      <c r="T1995" cm="1">
        <f t="array" ref="T1995">IFERROR(IF(S1995=0,0,(INDEX($C$33:$C$38,MATCH($W$1954,$B$33:$B$38,0),0)*(S1997+$X$1954)+$T$1954*COUNTIF(S1995:S1996,"&gt;0")*$C$32+$V$1954*$C$31)*$R$1954),0)</f>
        <v>0</v>
      </c>
      <c r="U1995">
        <f>IF(S1995=0,0,-(COUNTIF(S1995:S1996,"&gt;0")*$T$1954*$C$32+$V$1954*$C$31)*$H$27*$R$1954)</f>
        <v>0</v>
      </c>
      <c r="V1995">
        <f>IF(S1995=0,0,$V$1954*$H$26*$R$1954)</f>
        <v>0</v>
      </c>
      <c r="W1995">
        <f>(0.6*T1995+0.7*U1995)*$R$1954/2</f>
        <v>0</v>
      </c>
      <c r="X1995">
        <f>T1995*$R$1954/2</f>
        <v>0</v>
      </c>
      <c r="Z1995">
        <f>IF(S1995=0,0,$AD$1954*$AP$1943)</f>
        <v>0</v>
      </c>
      <c r="AA1995">
        <f>IFERROR(Z1995/$R$1954,0)</f>
        <v>0</v>
      </c>
      <c r="AB1995">
        <f>Z1995*($F$23+IF($F$23=0,0,($C$14+$C$15+IF($C$13="single",1.5,3)+3)/12))</f>
        <v>0</v>
      </c>
      <c r="AC1995">
        <f>AB1995-W1995</f>
        <v>0</v>
      </c>
      <c r="AD1995" cm="1">
        <f t="array" ref="AD1995">IFERROR(IF(AC1995&lt;0,0,AC1995/($R$1954-INDEX(hd_off,MATCH(AQ1995,hd_mark,0),0)/12)),0)</f>
        <v>0</v>
      </c>
      <c r="AE1995">
        <f>IF(S1995=0,0,$AD$1954*$AM$1943)</f>
        <v>0</v>
      </c>
      <c r="AF1995">
        <f>IFERROR(AE1995/$R$1954,0)</f>
        <v>0</v>
      </c>
      <c r="AG1995">
        <f>AE1995*($F$23+IF($F$23=0,0,($C$14+$C$15+IF($C$13="single",1.5,3)+3)/12))</f>
        <v>0</v>
      </c>
      <c r="AH1995">
        <f>AG1995-X1995</f>
        <v>0</v>
      </c>
      <c r="AI1995" cm="1">
        <f t="array" ref="AI1995">IFERROR(IF(AH1995&lt;0,0,AH1995/($R$1954-INDEX(hd_off,MATCH(AQ1995,hd_mark,0),0)/12)),0)</f>
        <v>0</v>
      </c>
      <c r="AJ1995">
        <f>MAX($F$23,$AA$1954)/$Q$1972</f>
        <v>0</v>
      </c>
      <c r="AK1995">
        <f t="shared" si="1239"/>
        <v>0</v>
      </c>
      <c r="AL1995" cm="1">
        <f t="array" ref="AL1995">IFERROR(INDEX(sheath_ecap_asd,MATCH(AP1995,sheath_mark,0),0)*AK1995,0)</f>
        <v>0</v>
      </c>
      <c r="AM1995" cm="1">
        <f t="array" ref="AM1995">IFERROR(INDEX(sheath_wcap_asd,MATCH(AP1995,sheath_mark,0),0)*AK1995,0)</f>
        <v>0</v>
      </c>
      <c r="AN1995" cm="1">
        <f t="array" ref="AN1995">IFERROR(INDEX(hd_cap,MATCH(AQ1995,hd_mark,0),0),0)</f>
        <v>0</v>
      </c>
      <c r="AP1995" s="19"/>
      <c r="AQ1995" s="19"/>
      <c r="AR1995" s="100"/>
      <c r="AS1995" s="93"/>
      <c r="AT1995" s="109" t="s">
        <v>491</v>
      </c>
      <c r="AU1995" t="str">
        <f>$Q$1943</f>
        <v>L4</v>
      </c>
      <c r="AV1995">
        <f>$E$23</f>
        <v>0</v>
      </c>
      <c r="AW1995" cm="1">
        <f t="array" ref="AW1995">IFERROR(IF(AV1995=0,0,(INDEX($C$33:$C$38,MATCH($AZ$1954,$B$33:$B$38,0),0)*(AV1997+$BA$1954)+$AW$1954*COUNTIF(AV1995:AV1996,"&gt;0")*$C$32+$AY$1954*$C$31)*$AU$1954),0)</f>
        <v>0</v>
      </c>
      <c r="AX1995">
        <f>IF(AV1995=0,0,-(COUNTIF(AV1995:AV1996,"&gt;0")*$AW$1954*$C$32+$AY$1954*$C$31)*$H$27*$AU$1954)</f>
        <v>0</v>
      </c>
      <c r="AY1995">
        <f>IF(AV1995=0,0,$AY$1954*$H$26*$AU$1954)</f>
        <v>0</v>
      </c>
      <c r="AZ1995">
        <f>(0.6*AW1995+0.7*AX1995)*$AU$1954/2</f>
        <v>0</v>
      </c>
      <c r="BA1995">
        <f>AW1995*$AU$1954/2</f>
        <v>0</v>
      </c>
      <c r="BC1995">
        <f>IF(AV1995=0,0,$BG$1954*$AP$1943)</f>
        <v>0</v>
      </c>
      <c r="BD1995">
        <f>IFERROR(BC1995/$AU$1954,0)</f>
        <v>0</v>
      </c>
      <c r="BE1995">
        <f>BC1995*($F$23+IF($F$23=0,0,($C$14+$C$15+IF($C$13="single",1.5,3)+3)/12))</f>
        <v>0</v>
      </c>
      <c r="BF1995">
        <f>BE1995-AZ1995</f>
        <v>0</v>
      </c>
      <c r="BG1995" cm="1">
        <f t="array" ref="BG1995">IFERROR(IF(BF1995&lt;0,0,BF1995/($AU$1954-INDEX(hd_off,MATCH(BT1995,hd_mark,0),0)/12)),0)</f>
        <v>0</v>
      </c>
      <c r="BH1995">
        <f>IF(AV1995=0,0,$BG$1954*$AM$1943)</f>
        <v>0</v>
      </c>
      <c r="BI1995">
        <f>IFERROR(BH1995/$AU$1954,0)</f>
        <v>0</v>
      </c>
      <c r="BJ1995">
        <f>BH1995*($F$23+IF($F$23=0,0,($C$14+$C$15+IF($C$13="single",1.5,3)+3)/12))</f>
        <v>0</v>
      </c>
      <c r="BK1995">
        <f>BJ1995-BA1995</f>
        <v>0</v>
      </c>
      <c r="BL1995" cm="1">
        <f t="array" ref="BL1995">IFERROR(IF(BK1995&lt;0,0,BK1995/($AU$1954-INDEX(hd_off,MATCH(BT1995,hd_mark,0),0)/12)),0)</f>
        <v>0</v>
      </c>
      <c r="BM1995">
        <f>MAX($F$23,$BD$1954)/$Q$1972</f>
        <v>0</v>
      </c>
      <c r="BN1995">
        <f t="shared" si="1240"/>
        <v>0</v>
      </c>
      <c r="BO1995" cm="1">
        <f t="array" ref="BO1995">IFERROR(INDEX(sheath_ecap_asd,MATCH(BS1995,sheath_mark,0),0)*BN1995,0)</f>
        <v>0</v>
      </c>
      <c r="BP1995" cm="1">
        <f t="array" ref="BP1995">IFERROR(INDEX(sheath_wcap_asd,MATCH(BS1995,sheath_mark,0),0)*BN1995,0)</f>
        <v>0</v>
      </c>
      <c r="BQ1995" cm="1">
        <f t="array" ref="BQ1995">IFERROR(INDEX(hd_cap,MATCH(BT1995,hd_mark,0),0),0)</f>
        <v>0</v>
      </c>
      <c r="BS1995" s="19"/>
      <c r="BT1995" s="19"/>
      <c r="BU1995" s="100"/>
    </row>
    <row r="1996" x14ac:dyDescent="0.25">
      <c r="P1996" s="93"/>
      <c r="Q1996" s="111">
        <f>$R$1954</f>
        <v>0</v>
      </c>
      <c r="R1996" t="str">
        <f>$Q$1944</f>
        <v>L5</v>
      </c>
      <c r="S1996">
        <f>$E$24</f>
        <v>0</v>
      </c>
      <c r="T1996" cm="1">
        <f t="array" ref="T1996">IFERROR(IF(S1996=0,0,(INDEX($C$33:$C$38,MATCH($W$1954,$B$33:$B$38,0),0)*(S1997+$X$1954)+$T$1954*COUNTIF(S1996:S1996,"&gt;0")*$C$32+$V$1954*$C$31)*$R$1954),0)</f>
        <v>0</v>
      </c>
      <c r="U1996">
        <f>IF(S1996=0,0,-(COUNTIF(S1996:S1996,"&gt;0")*$T$1954*$C$32+$V$1954*$C$31)*$H$27*$R$1954)</f>
        <v>0</v>
      </c>
      <c r="V1996">
        <f>IF(S1996=0,0,$V$1954*$H$26*$R$1954)</f>
        <v>0</v>
      </c>
      <c r="W1996">
        <f>(0.6*T1996+0.7*U1996)*$R$1954/2</f>
        <v>0</v>
      </c>
      <c r="X1996">
        <f>T1996*$R$1954/2</f>
        <v>0</v>
      </c>
      <c r="Z1996">
        <f>IF(S1996=0,0,$AD$1954*$AP$1944)</f>
        <v>0</v>
      </c>
      <c r="AA1996">
        <f>IFERROR(Z1996/$R$1954,0)</f>
        <v>0</v>
      </c>
      <c r="AB1996">
        <f>Z1996*($F$24+IF($F$24=0,0,($C$14+$C$15+IF($C$13="single",1.5,3)+3)/12))</f>
        <v>0</v>
      </c>
      <c r="AC1996">
        <f>AB1996-W1996</f>
        <v>0</v>
      </c>
      <c r="AD1996" cm="1">
        <f t="array" ref="AD1996">IFERROR(IF(AC1996&lt;0,0,AC1996/($R$1954-INDEX(hd_off,MATCH(AQ1996,hd_mark,0),0)/12)),0)</f>
        <v>0</v>
      </c>
      <c r="AE1996">
        <f>IF(S1996=0,0,$AD$1954*$AM$1944)</f>
        <v>0</v>
      </c>
      <c r="AF1996">
        <f>IFERROR(AE1996/$R$1954,0)</f>
        <v>0</v>
      </c>
      <c r="AG1996">
        <f>AE1996*($F$24+IF($F$24=0,0,($C$14+$C$15+IF($C$13="single",1.5,3)+3)/12))</f>
        <v>0</v>
      </c>
      <c r="AH1996">
        <f>AG1996-X1996</f>
        <v>0</v>
      </c>
      <c r="AI1996" cm="1">
        <f t="array" ref="AI1996">IFERROR(IF(AH1996&lt;0,0,AH1996/($R$1954-INDEX(hd_off,MATCH(AQ1996,hd_mark,0),0)/12)),0)</f>
        <v>0</v>
      </c>
      <c r="AJ1996">
        <f>MAX($F$24,$AB$1954)/$Q$1972</f>
        <v>0</v>
      </c>
      <c r="AK1996">
        <f t="shared" si="1239"/>
        <v>0</v>
      </c>
      <c r="AL1996" cm="1">
        <f t="array" ref="AL1996">IFERROR(INDEX(sheath_ecap_asd,MATCH(AP1996,sheath_mark,0),0)*AK1996,0)</f>
        <v>0</v>
      </c>
      <c r="AM1996" cm="1">
        <f t="array" ref="AM1996">IFERROR(INDEX(sheath_wcap_asd,MATCH(AP1996,sheath_mark,0),0)*AK1996,0)</f>
        <v>0</v>
      </c>
      <c r="AN1996" cm="1">
        <f t="array" ref="AN1996">IFERROR(INDEX(hd_cap,MATCH(AQ1996,hd_mark,0),0),0)</f>
        <v>0</v>
      </c>
      <c r="AP1996" s="19"/>
      <c r="AQ1996" s="19"/>
      <c r="AR1996" s="100"/>
      <c r="AS1996" s="93"/>
      <c r="AT1996" s="111">
        <f>$R$1954</f>
        <v>0</v>
      </c>
      <c r="AU1996" t="str">
        <f>$Q$1944</f>
        <v>L5</v>
      </c>
      <c r="AV1996">
        <f>$E$24</f>
        <v>0</v>
      </c>
      <c r="AW1996" cm="1">
        <f t="array" ref="AW1996">IFERROR(IF(AV1996=0,0,(INDEX($C$33:$C$38,MATCH($AZ$1954,$B$33:$B$38,0),0)*(AV1997+$BA$1954)+$AW$1954*COUNTIF(AV1996:AV1996,"&gt;0")*$C$32+$AY$1954*$C$31)*$AU$1954),0)</f>
        <v>0</v>
      </c>
      <c r="AX1996">
        <f>IF(AV1996=0,0,-(COUNTIF(AV1996:AV1996,"&gt;0")*$AW$1954*$C$32+$AY$1954*$C$31)*$H$27*$AU$1954)</f>
        <v>0</v>
      </c>
      <c r="AY1996">
        <f>IF(AV1996=0,0,$AY$1954*$H$26*$AU$1954)</f>
        <v>0</v>
      </c>
      <c r="AZ1996">
        <f>(0.6*AW1996+0.7*AX1996)*$AU$1954/2</f>
        <v>0</v>
      </c>
      <c r="BA1996">
        <f>AW1996*$AU$1954/2</f>
        <v>0</v>
      </c>
      <c r="BC1996">
        <f>IF(AV1996=0,0,$BG$1954*$AP$1944)</f>
        <v>0</v>
      </c>
      <c r="BD1996">
        <f>IFERROR(BC1996/$AU$1954,0)</f>
        <v>0</v>
      </c>
      <c r="BE1996">
        <f>BC1996*($F$24+IF($F$24=0,0,($C$14+$C$15+IF($C$13="single",1.5,3)+3)/12))</f>
        <v>0</v>
      </c>
      <c r="BF1996">
        <f>BE1996-AZ1996</f>
        <v>0</v>
      </c>
      <c r="BG1996" cm="1">
        <f t="array" ref="BG1996">IFERROR(IF(BF1996&lt;0,0,BF1996/($AU$1954-INDEX(hd_off,MATCH(BT1996,hd_mark,0),0)/12)),0)</f>
        <v>0</v>
      </c>
      <c r="BH1996">
        <f>IF(AV1996=0,0,$BG$1954*$AM$1944)</f>
        <v>0</v>
      </c>
      <c r="BI1996">
        <f>IFERROR(BH1996/$AU$1954,0)</f>
        <v>0</v>
      </c>
      <c r="BJ1996">
        <f>BH1996*($F$24+IF($F$24=0,0,($C$14+$C$15+IF($C$13="single",1.5,3)+3)/12))</f>
        <v>0</v>
      </c>
      <c r="BK1996">
        <f>BJ1996-BA1996</f>
        <v>0</v>
      </c>
      <c r="BL1996" cm="1">
        <f t="array" ref="BL1996">IFERROR(IF(BK1996&lt;0,0,BK1996/($AU$1954-INDEX(hd_off,MATCH(BT1996,hd_mark,0),0)/12)),0)</f>
        <v>0</v>
      </c>
      <c r="BM1996">
        <f>MAX($F$24,$BE$1954)/$Q$1972</f>
        <v>0</v>
      </c>
      <c r="BN1996">
        <f t="shared" si="1240"/>
        <v>0</v>
      </c>
      <c r="BO1996" cm="1">
        <f t="array" ref="BO1996">IFERROR(INDEX(sheath_ecap_asd,MATCH(BS1996,sheath_mark,0),0)*BN1996,0)</f>
        <v>0</v>
      </c>
      <c r="BP1996" cm="1">
        <f t="array" ref="BP1996">IFERROR(INDEX(sheath_wcap_asd,MATCH(BS1996,sheath_mark,0),0)*BN1996,0)</f>
        <v>0</v>
      </c>
      <c r="BQ1996" cm="1">
        <f t="array" ref="BQ1996">IFERROR(INDEX(hd_cap,MATCH(BT1996,hd_mark,0),0),0)</f>
        <v>0</v>
      </c>
      <c r="BS1996" s="19"/>
      <c r="BT1996" s="19"/>
      <c r="BU1996" s="100"/>
    </row>
    <row r="1997" x14ac:dyDescent="0.25">
      <c r="P1997" s="93"/>
      <c r="Q1997" s="109"/>
      <c r="R1997" t="str">
        <f>$Q$1945</f>
        <v>Roof</v>
      </c>
      <c r="S1997">
        <f>$E$25</f>
        <v>33.171875</v>
      </c>
      <c r="T1997" cm="1">
        <f t="array" ref="T1997">IFERROR(IF(S1997=0,0,(INDEX($C$33:$C$38,MATCH($W$1954,$B$33:$B$38,0),0)*(S1997+$X$1954)+$V$1954*$C$31)*$R$1954),0)</f>
        <v>0</v>
      </c>
      <c r="U1997">
        <f>IF(S1997=0,0,-$V$1954*$C$31*$H$27*$R$1954)</f>
        <v>0</v>
      </c>
      <c r="V1997">
        <f>IF(S1997=0,0,$V$1954*$H$26*$R$1954)</f>
        <v>0</v>
      </c>
      <c r="W1997">
        <f>(0.6*T1997+0.7*U1997)*$R$1954/2</f>
        <v>0</v>
      </c>
      <c r="X1997">
        <f>T1997*$R$1954/2</f>
        <v>0</v>
      </c>
      <c r="Z1997">
        <f>IF(S1997=0,0,$AD$1954*$AP$1945)</f>
        <v>0</v>
      </c>
      <c r="AA1997">
        <f>IFERROR(Z1997/$R$1954,0)</f>
        <v>0</v>
      </c>
      <c r="AB1997">
        <f>Z1997*($F$25+($C$16+$C$17+IF($C$13="single",1.5,3)+3)/12)</f>
        <v>0</v>
      </c>
      <c r="AC1997">
        <f>AB1997-W1997</f>
        <v>0</v>
      </c>
      <c r="AD1997" cm="1">
        <f t="array" ref="AD1997">IFERROR(IF(AC1997&lt;0,0,AC1997/($R$1954-INDEX(hd_off,MATCH(AQ1997,hd_mark,0),0)/12)),0)</f>
        <v>0</v>
      </c>
      <c r="AE1997">
        <f>IF(S1997=0,0,$AD$1954*$AM$1945)</f>
        <v>0</v>
      </c>
      <c r="AF1997">
        <f>IFERROR(AE1997/$R$1954,0)</f>
        <v>0</v>
      </c>
      <c r="AG1997">
        <f>AE1997*($F$25+($C$16+$C$17+IF($C$13="single",1.5,3)+3)/12)</f>
        <v>0</v>
      </c>
      <c r="AH1997">
        <f>AG1997-X1997</f>
        <v>0</v>
      </c>
      <c r="AI1997" cm="1">
        <f t="array" ref="AI1997">IFERROR(IF(AH1997&lt;0,0,AH1997/($R$1954-INDEX(hd_off,MATCH(AQ1997,hd_mark,0),0)/12)),0)</f>
        <v>0</v>
      </c>
      <c r="AJ1997">
        <f>MAX($F$25,$AC$1954)/$Q$1972</f>
        <v>0.29920977011494249</v>
      </c>
      <c r="AK1997">
        <f t="shared" si="1239"/>
        <v>1</v>
      </c>
      <c r="AL1997" cm="1">
        <f t="array" ref="AL1997">IFERROR(INDEX(sheath_ecap_asd,MATCH(AP1997,sheath_mark,0),0)*AK1997,0)</f>
        <v>0</v>
      </c>
      <c r="AM1997" cm="1">
        <f t="array" ref="AM1997">IFERROR(INDEX(sheath_wcap_asd,MATCH(AP1997,sheath_mark,0),0)*AK1997,0)</f>
        <v>0</v>
      </c>
      <c r="AN1997" cm="1">
        <f t="array" ref="AN1997">IFERROR(INDEX(hd_cap,MATCH(AQ1997,hd_mark,0),0),0)</f>
        <v>0</v>
      </c>
      <c r="AP1997" s="19"/>
      <c r="AQ1997" s="19"/>
      <c r="AR1997" s="100"/>
      <c r="AS1997" s="93"/>
      <c r="AT1997" s="109"/>
      <c r="AU1997" t="str">
        <f>$Q$1945</f>
        <v>Roof</v>
      </c>
      <c r="AV1997">
        <f>$E$25</f>
        <v>33.171875</v>
      </c>
      <c r="AW1997" cm="1">
        <f t="array" ref="AW1997">IFERROR(IF(AV1997=0,0,(INDEX($C$33:$C$38,MATCH($AZ$1954,$B$33:$B$38,0),0)*(AV1997+$BA$1954)+$AY$1954*$C$31)*$AU$1954),0)</f>
        <v>0</v>
      </c>
      <c r="AX1997">
        <f>IF(AV1997=0,0,-$AY$1954*$C$31*$H$27*$AU$1954)</f>
        <v>0</v>
      </c>
      <c r="AY1997">
        <f>IF(AV1997=0,0,$AY$1954*$H$26*$AU$1954)</f>
        <v>0</v>
      </c>
      <c r="AZ1997">
        <f>(0.6*AW1997+0.7*AX1997)*$AU$1954/2</f>
        <v>0</v>
      </c>
      <c r="BA1997">
        <f>AW1997*$AU$1954/2</f>
        <v>0</v>
      </c>
      <c r="BC1997">
        <f>IF(AV1997=0,0,$BG$1954*$AP$1945)</f>
        <v>0</v>
      </c>
      <c r="BD1997">
        <f>IFERROR(BC1997/$AU$1954,0)</f>
        <v>0</v>
      </c>
      <c r="BE1997">
        <f>BC1997*($F$25+($C$16+$C$17+IF($C$13="single",1.5,3)+3)/12)</f>
        <v>0</v>
      </c>
      <c r="BF1997">
        <f>BE1997-AZ1997</f>
        <v>0</v>
      </c>
      <c r="BG1997" cm="1">
        <f t="array" ref="BG1997">IFERROR(IF(BF1997&lt;0,0,BF1997/($AU$1954-INDEX(hd_off,MATCH(BT1997,hd_mark,0),0)/12)),0)</f>
        <v>0</v>
      </c>
      <c r="BH1997">
        <f>IF(AV1997=0,0,$BG$1954*$AM$1945)</f>
        <v>0</v>
      </c>
      <c r="BI1997">
        <f>IFERROR(BH1997/$AU$1954,0)</f>
        <v>0</v>
      </c>
      <c r="BJ1997">
        <f>BH1997*($F$25+($C$16+$C$17+IF($C$13="single",1.5,3)+3)/12)</f>
        <v>0</v>
      </c>
      <c r="BK1997">
        <f>BJ1997-BA1997</f>
        <v>0</v>
      </c>
      <c r="BL1997" cm="1">
        <f t="array" ref="BL1997">IFERROR(IF(BK1997&lt;0,0,BK1997/($AU$1954-INDEX(hd_off,MATCH(BT1997,hd_mark,0),0)/12)),0)</f>
        <v>0</v>
      </c>
      <c r="BM1997">
        <f>MAX($F$25,$BF$1954)/$Q$1972</f>
        <v>0.29920977011494249</v>
      </c>
      <c r="BN1997">
        <f t="shared" si="1240"/>
        <v>1</v>
      </c>
      <c r="BO1997" cm="1">
        <f t="array" ref="BO1997">IFERROR(INDEX(sheath_ecap_asd,MATCH(BS1997,sheath_mark,0),0)*BN1997,0)</f>
        <v>0</v>
      </c>
      <c r="BP1997" cm="1">
        <f t="array" ref="BP1997">IFERROR(INDEX(sheath_wcap_asd,MATCH(BS1997,sheath_mark,0),0)*BN1997,0)</f>
        <v>0</v>
      </c>
      <c r="BQ1997" cm="1">
        <f t="array" ref="BQ1997">IFERROR(INDEX(hd_cap,MATCH(BT1997,hd_mark,0),0),0)</f>
        <v>0</v>
      </c>
      <c r="BS1997" s="19"/>
      <c r="BT1997" s="19"/>
      <c r="BU1997" s="100"/>
    </row>
    <row r="1998" x14ac:dyDescent="0.25">
      <c r="P1998" s="93"/>
      <c r="AR1998" s="100"/>
      <c r="AS1998" s="93"/>
      <c r="BU1998" s="100"/>
    </row>
    <row r="1999" x14ac:dyDescent="0.25">
      <c r="P1999" s="93"/>
      <c r="Q1999" s="110" t="str">
        <f>$Q$1955</f>
        <v>A.06</v>
      </c>
      <c r="R1999" t="str">
        <f>$Q$1941</f>
        <v>L2</v>
      </c>
      <c r="S1999">
        <f>$E$21</f>
        <v>10.6875</v>
      </c>
      <c r="T1999" cm="1">
        <f t="array" ref="T1999">IFERROR(IF(S1999=0,0,(INDEX($C$33:$C$38,MATCH($W$1955,$B$33:$B$38,0),0)*(S2003+$X$1955)+$T$1955*COUNTIF(S1999:S2002,"&gt;0")*$C$32+$V$1955*$C$31)*$R$1955),0)</f>
        <v>0</v>
      </c>
      <c r="U1999">
        <f>IF(S1999=0,0,-(COUNTIF(S1999:S2002,"&gt;0")*$T$1955*$C$32+$V$1955*$C$31)*$H$27*$R$1955)</f>
        <v>0</v>
      </c>
      <c r="V1999">
        <f>IF(S1999=0,0,$V$1955*$H$26*$R$1955)</f>
        <v>0</v>
      </c>
      <c r="W1999">
        <f>(0.6*T1999+0.7*U1999)*$R$1955/2</f>
        <v>0</v>
      </c>
      <c r="X1999">
        <f>(0.6*T1999+0.6*V1999)*$R$1955/2</f>
        <v>0</v>
      </c>
      <c r="Z1999">
        <f>IF(S1999=0,0,$AD$1955*$AP$1941)</f>
        <v>0</v>
      </c>
      <c r="AA1999">
        <f>IFERROR(Z1999/$R$1955,0)</f>
        <v>0</v>
      </c>
      <c r="AB1999">
        <f>Z1999*($F$21+IF($F$21=0,0,($C$14+$C$15+IF($C$13="single",1.5,3)+3)/12))</f>
        <v>0</v>
      </c>
      <c r="AC1999">
        <f>AB1999-W1999</f>
        <v>0</v>
      </c>
      <c r="AD1999" cm="1">
        <f t="array" ref="AD1999">IFERROR(IF(AC1999&lt;0,0,AC1999/($R$1955-INDEX(hd_off,MATCH(AQ1999,hd_mark,0),0)/12)),0)</f>
        <v>0</v>
      </c>
      <c r="AE1999">
        <f>IF(S1999=0,0,$AD$1955*$AM$1941)</f>
        <v>0</v>
      </c>
      <c r="AF1999">
        <f>IFERROR(AE1999/$R$1955,0)</f>
        <v>0</v>
      </c>
      <c r="AG1999">
        <f>AE1999*($F$21+IF($F$21=0,0,($C$14+$C$15+IF($C$13="single",1.5,3)+3)/12))</f>
        <v>0</v>
      </c>
      <c r="AH1999">
        <f>AG1999-X1999</f>
        <v>0</v>
      </c>
      <c r="AI1999" cm="1">
        <f t="array" ref="AI1999">IFERROR(IF(AH1999&lt;0,0,AH1999/($R$1955-INDEX(hd_off,MATCH(AQ1999,hd_mark,0),0)/12)),0)</f>
        <v>0</v>
      </c>
      <c r="AJ1999">
        <f>MAX($F$21,$Y$1955)/$Q$1972</f>
        <v>0.30172413793103448</v>
      </c>
      <c r="AK1999">
        <f>IF(AJ1999=0,0,IF(AJ1999&gt;2,1.25-0.125*AJ1999,1))</f>
        <v>1</v>
      </c>
      <c r="AL1999" cm="1">
        <f t="array" ref="AL1999">IFERROR(INDEX(sheath_ecap_asd,MATCH(AP1999,sheath_mark,0),0)*AK1999,0)</f>
        <v>0</v>
      </c>
      <c r="AM1999" cm="1">
        <f t="array" ref="AM1999">IFERROR(INDEX(sheath_wcap_asd,MATCH(AP1999,sheath_mark,0),0)*AK1999,0)</f>
        <v>0</v>
      </c>
      <c r="AN1999" cm="1">
        <f t="array" ref="AN1999">IFERROR(INDEX(hd_cap,MATCH(AQ1999,hd_mark,0),0),0)</f>
        <v>0</v>
      </c>
      <c r="AP1999" s="19"/>
      <c r="AQ1999" s="19"/>
      <c r="AR1999" s="100"/>
      <c r="AS1999" s="93"/>
      <c r="AT1999" s="110" t="str">
        <f>$AT$1955</f>
        <v>1.06</v>
      </c>
      <c r="AU1999" t="str">
        <f>$Q$1941</f>
        <v>L2</v>
      </c>
      <c r="AV1999">
        <f>$E$21</f>
        <v>10.6875</v>
      </c>
      <c r="AW1999" cm="1">
        <f t="array" ref="AW1999">IFERROR(IF(AV1999=0,0,(INDEX($C$33:$C$38,MATCH($AZ$1955,$B$33:$B$38,0),0)*(AV2003+$BA$1955)+$AW$1955*COUNTIF(AV1999:AV2002,"&gt;0")*$C$32+$AY$1955*$C$31)*$AU$1955),0)</f>
        <v>0</v>
      </c>
      <c r="AX1999">
        <f>IF(AV1999=0,0,-(COUNTIF(AV1999:AV2002,"&gt;0")*$AW$1955*$C$32+$AY$1955*$C$31)*$H$27*$AU$1955)</f>
        <v>0</v>
      </c>
      <c r="AY1999">
        <f>IF(AV1999=0,0,$AY$1955*$H$26*$AU$1955)</f>
        <v>0</v>
      </c>
      <c r="AZ1999">
        <f>(0.6*AW1999+0.7*AX1999)*$AU$1955/2</f>
        <v>0</v>
      </c>
      <c r="BA1999">
        <f>(0.6*AW1999+0.6*AY1999)*$AU$1955/2</f>
        <v>0</v>
      </c>
      <c r="BC1999">
        <f>IF(AV1999=0,0,$BG$1955*$AP$1941)</f>
        <v>0</v>
      </c>
      <c r="BD1999">
        <f>IFERROR(BC1999/$AU$1955,0)</f>
        <v>0</v>
      </c>
      <c r="BE1999">
        <f>BC1999*($F$21+IF($F$21=0,0,($C$14+$C$15+IF($C$13="single",1.5,3)+3)/12))</f>
        <v>0</v>
      </c>
      <c r="BF1999">
        <f>BE1999-AZ1999</f>
        <v>0</v>
      </c>
      <c r="BG1999" cm="1">
        <f t="array" ref="BG1999">IFERROR(IF(BF1999&lt;0,0,BF1999/($AU$1955-INDEX(hd_off,MATCH(BT1999,hd_mark,0),0)/12)),0)</f>
        <v>0</v>
      </c>
      <c r="BH1999">
        <f>IF(AV1999=0,0,$BG$1955*$AM$1941)</f>
        <v>0</v>
      </c>
      <c r="BI1999">
        <f>IFERROR(BH1999/$AU$1955,0)</f>
        <v>0</v>
      </c>
      <c r="BJ1999">
        <f>BH1999*($F$21+IF($F$21=0,0,($C$14+$C$15+IF($C$13="single",1.5,3)+3)/12))</f>
        <v>0</v>
      </c>
      <c r="BK1999">
        <f>BJ1999-BA1999</f>
        <v>0</v>
      </c>
      <c r="BL1999" cm="1">
        <f t="array" ref="BL1999">IFERROR(IF(BK1999&lt;0,0,BK1999/($AU$1955-INDEX(hd_off,MATCH(BT1999,hd_mark,0),0)/12)),0)</f>
        <v>0</v>
      </c>
      <c r="BM1999">
        <f>MAX($F$21,$BB$1955)/$Q$1972</f>
        <v>0.30172413793103448</v>
      </c>
      <c r="BN1999">
        <f>IF(BM1999=0,0,IF(BM1999&gt;2,1.25-0.125*BM1999,1))</f>
        <v>1</v>
      </c>
      <c r="BO1999" cm="1">
        <f t="array" ref="BO1999">IFERROR(INDEX(sheath_ecap_asd,MATCH(BS1999,sheath_mark,0),0)*BN1999,0)</f>
        <v>0</v>
      </c>
      <c r="BP1999" cm="1">
        <f t="array" ref="BP1999">IFERROR(INDEX(sheath_wcap_asd,MATCH(BS1999,sheath_mark,0),0)*BN1999,0)</f>
        <v>0</v>
      </c>
      <c r="BQ1999" cm="1">
        <f t="array" ref="BQ1999">IFERROR(INDEX(hd_cap,MATCH(BT1999,hd_mark,0),0),0)</f>
        <v>0</v>
      </c>
      <c r="BS1999" s="19"/>
      <c r="BT1999" s="19"/>
      <c r="BU1999" s="100"/>
    </row>
    <row r="2000" x14ac:dyDescent="0.25">
      <c r="P2000" s="93"/>
      <c r="Q2000" s="109"/>
      <c r="R2000" t="str">
        <f>$Q$1942</f>
        <v>L3</v>
      </c>
      <c r="S2000">
        <f>$E$22</f>
        <v>21.375</v>
      </c>
      <c r="T2000" cm="1">
        <f t="array" ref="T2000">IFERROR(IF(S2000=0,0,(INDEX($C$33:$C$38,MATCH($W$1955,$B$33:$B$38,0),0)*(S2003+$X$1955)+$T$1955*COUNTIF(S2000:S2002,"&gt;0")*$C$32+$V$1955*$C$31)*$R$1955),0)</f>
        <v>0</v>
      </c>
      <c r="U2000">
        <f>IF(S2000=0,0,-(COUNTIF(S2000:S2002,"&gt;0")*$T$1955*$C$32+$V$1955*$C$31)*$H$27*$R$1955)</f>
        <v>0</v>
      </c>
      <c r="V2000">
        <f>IF(S2000=0,0,$V$1955*$H$26*$R$1955)</f>
        <v>0</v>
      </c>
      <c r="W2000">
        <f>(0.6*T2000+0.7*U2000)*$R$1955/2</f>
        <v>0</v>
      </c>
      <c r="X2000">
        <f>T2000*$R$1955/2</f>
        <v>0</v>
      </c>
      <c r="Z2000">
        <f>IF(S2000=0,0,$AD$1955*$AP$1942)</f>
        <v>0</v>
      </c>
      <c r="AA2000">
        <f>IFERROR(Z2000/$R$1955,0)</f>
        <v>0</v>
      </c>
      <c r="AB2000">
        <f>Z2000*($F$22+IF($F$22=0,0,($C$14+$C$15+IF($C$13="single",1.5,3)+3)/12))</f>
        <v>0</v>
      </c>
      <c r="AC2000">
        <f>AB2000-W2000</f>
        <v>0</v>
      </c>
      <c r="AD2000" cm="1">
        <f t="array" ref="AD2000">IFERROR(IF(AC2000&lt;0,0,AC2000/($R$1955-INDEX(hd_off,MATCH(AQ2000,hd_mark,0),0)/12)),0)</f>
        <v>0</v>
      </c>
      <c r="AE2000">
        <f>IF(S2000=0,0,$AD$1955*$AM$1942)</f>
        <v>0</v>
      </c>
      <c r="AF2000">
        <f>IFERROR(AE2000/$R$1955,0)</f>
        <v>0</v>
      </c>
      <c r="AG2000">
        <f>AE2000*($F$22+IF($F$22=0,0,($C$14+$C$15+IF($C$13="single",1.5,3)+3)/12))</f>
        <v>0</v>
      </c>
      <c r="AH2000">
        <f>AG2000-X2000</f>
        <v>0</v>
      </c>
      <c r="AI2000" cm="1">
        <f t="array" ref="AI2000">IFERROR(IF(AH2000&lt;0,0,AH2000/($R$1955-INDEX(hd_off,MATCH(AQ2000,hd_mark,0),0)/12)),0)</f>
        <v>0</v>
      </c>
      <c r="AJ2000">
        <f>MAX($F$22,$Z$1955)/$Q$1972</f>
        <v>0.30172413793103448</v>
      </c>
      <c r="AK2000">
        <f t="shared" ref="AK2000:AK2003" si="1241">IF(AJ2000=0,0,IF(AJ2000&gt;2,1.25-0.125*AJ2000,1))</f>
        <v>1</v>
      </c>
      <c r="AL2000" cm="1">
        <f t="array" ref="AL2000">IFERROR(INDEX(sheath_ecap_asd,MATCH(AP2000,sheath_mark,0),0)*AK2000,0)</f>
        <v>0</v>
      </c>
      <c r="AM2000" cm="1">
        <f t="array" ref="AM2000">IFERROR(INDEX(sheath_wcap_asd,MATCH(AP2000,sheath_mark,0),0)*AK2000,0)</f>
        <v>0</v>
      </c>
      <c r="AN2000" cm="1">
        <f t="array" ref="AN2000">IFERROR(INDEX(hd_cap,MATCH(AQ2000,hd_mark,0),0),0)</f>
        <v>0</v>
      </c>
      <c r="AP2000" s="19"/>
      <c r="AQ2000" s="19"/>
      <c r="AR2000" s="100"/>
      <c r="AS2000" s="93"/>
      <c r="AT2000" s="109"/>
      <c r="AU2000" t="str">
        <f>$Q$1942</f>
        <v>L3</v>
      </c>
      <c r="AV2000">
        <f>$E$22</f>
        <v>21.375</v>
      </c>
      <c r="AW2000" cm="1">
        <f t="array" ref="AW2000">IFERROR(IF(AV2000=0,0,(INDEX($C$33:$C$38,MATCH($AZ$1955,$B$33:$B$38,0),0)*(AV2003+$BA$1955)+$AW$1955*COUNTIF(AV2000:AV2002,"&gt;0")*$C$32+$AY$1955*$C$31)*$AU$1955),0)</f>
        <v>0</v>
      </c>
      <c r="AX2000">
        <f>IF(AV2000=0,0,-(COUNTIF(AV2000:AV2002,"&gt;0")*$AW$1955*$C$32+$AY$1955*$C$31)*$H$27*$AU$1955)</f>
        <v>0</v>
      </c>
      <c r="AY2000">
        <f>IF(AV2000=0,0,$AY$1955*$H$26*$AU$1955)</f>
        <v>0</v>
      </c>
      <c r="AZ2000">
        <f>(0.6*AW2000+0.7*AX2000)*$AU$1955/2</f>
        <v>0</v>
      </c>
      <c r="BA2000">
        <f>AW2000*$AU$1955/2</f>
        <v>0</v>
      </c>
      <c r="BC2000">
        <f>IF(AV2000=0,0,$BG$1955*$AP$1942)</f>
        <v>0</v>
      </c>
      <c r="BD2000">
        <f>IFERROR(BC2000/$AU$1955,0)</f>
        <v>0</v>
      </c>
      <c r="BE2000">
        <f>BC2000*($F$22+IF($F$22=0,0,($C$14+$C$15+IF($C$13="single",1.5,3)+3)/12))</f>
        <v>0</v>
      </c>
      <c r="BF2000">
        <f>BE2000-AZ2000</f>
        <v>0</v>
      </c>
      <c r="BG2000" cm="1">
        <f t="array" ref="BG2000">IFERROR(IF(BF2000&lt;0,0,BF2000/($AU$1955-INDEX(hd_off,MATCH(BT2000,hd_mark,0),0)/12)),0)</f>
        <v>0</v>
      </c>
      <c r="BH2000">
        <f>IF(AV2000=0,0,$BG$1955*$AM$1942)</f>
        <v>0</v>
      </c>
      <c r="BI2000">
        <f>IFERROR(BH2000/$AU$1955,0)</f>
        <v>0</v>
      </c>
      <c r="BJ2000">
        <f>BH2000*($F$22+IF($F$22=0,0,($C$14+$C$15+IF($C$13="single",1.5,3)+3)/12))</f>
        <v>0</v>
      </c>
      <c r="BK2000">
        <f>BJ2000-BA2000</f>
        <v>0</v>
      </c>
      <c r="BL2000" cm="1">
        <f t="array" ref="BL2000">IFERROR(IF(BK2000&lt;0,0,BK2000/($AU$1955-INDEX(hd_off,MATCH(BT2000,hd_mark,0),0)/12)),0)</f>
        <v>0</v>
      </c>
      <c r="BM2000">
        <f>MAX($F$22,$BC$1955)/$Q$1972</f>
        <v>0.30172413793103448</v>
      </c>
      <c r="BN2000">
        <f t="shared" ref="BN2000:BN2003" si="1242">IF(BM2000=0,0,IF(BM2000&gt;2,1.25-0.125*BM2000,1))</f>
        <v>1</v>
      </c>
      <c r="BO2000" cm="1">
        <f t="array" ref="BO2000">IFERROR(INDEX(sheath_ecap_asd,MATCH(BS2000,sheath_mark,0),0)*BN2000,0)</f>
        <v>0</v>
      </c>
      <c r="BP2000" cm="1">
        <f t="array" ref="BP2000">IFERROR(INDEX(sheath_wcap_asd,MATCH(BS2000,sheath_mark,0),0)*BN2000,0)</f>
        <v>0</v>
      </c>
      <c r="BQ2000" cm="1">
        <f t="array" ref="BQ2000">IFERROR(INDEX(hd_cap,MATCH(BT2000,hd_mark,0),0),0)</f>
        <v>0</v>
      </c>
      <c r="BS2000" s="19"/>
      <c r="BT2000" s="19"/>
      <c r="BU2000" s="100"/>
    </row>
    <row r="2001" x14ac:dyDescent="0.25">
      <c r="P2001" s="93"/>
      <c r="Q2001" s="109" t="s">
        <v>491</v>
      </c>
      <c r="R2001" t="str">
        <f>$Q$1943</f>
        <v>L4</v>
      </c>
      <c r="S2001">
        <f>$E$23</f>
        <v>0</v>
      </c>
      <c r="T2001" cm="1">
        <f t="array" ref="T2001">IFERROR(IF(S2001=0,0,(INDEX($C$33:$C$38,MATCH($W$1955,$B$33:$B$38,0),0)*(S2003+$X$1955)+$T$1955*COUNTIF(S2001:S2002,"&gt;0")*$C$32+$V$1955*$C$31)*$R$1955),0)</f>
        <v>0</v>
      </c>
      <c r="U2001">
        <f>IF(S2001=0,0,-(COUNTIF(S2001:S2002,"&gt;0")*$T$1955*$C$32+$V$1955*$C$31)*$H$27*$R$1955)</f>
        <v>0</v>
      </c>
      <c r="V2001">
        <f>IF(S2001=0,0,$V$1955*$H$26*$R$1955)</f>
        <v>0</v>
      </c>
      <c r="W2001">
        <f>(0.6*T2001+0.7*U2001)*$R$1955/2</f>
        <v>0</v>
      </c>
      <c r="X2001">
        <f>T2001*$R$1955/2</f>
        <v>0</v>
      </c>
      <c r="Z2001">
        <f>IF(S2001=0,0,$AD$1955*$AP$1943)</f>
        <v>0</v>
      </c>
      <c r="AA2001">
        <f>IFERROR(Z2001/$R$1955,0)</f>
        <v>0</v>
      </c>
      <c r="AB2001">
        <f>Z2001*($F$23+IF($F$23=0,0,($C$14+$C$15+IF($C$13="single",1.5,3)+3)/12))</f>
        <v>0</v>
      </c>
      <c r="AC2001">
        <f>AB2001-W2001</f>
        <v>0</v>
      </c>
      <c r="AD2001" cm="1">
        <f t="array" ref="AD2001">IFERROR(IF(AC2001&lt;0,0,AC2001/($R$1955-INDEX(hd_off,MATCH(AQ2001,hd_mark,0),0)/12)),0)</f>
        <v>0</v>
      </c>
      <c r="AE2001">
        <f>IF(S2001=0,0,$AD$1955*$AM$1943)</f>
        <v>0</v>
      </c>
      <c r="AF2001">
        <f>IFERROR(AE2001/$R$1955,0)</f>
        <v>0</v>
      </c>
      <c r="AG2001">
        <f>AE2001*($F$23+IF($F$23=0,0,($C$14+$C$15+IF($C$13="single",1.5,3)+3)/12))</f>
        <v>0</v>
      </c>
      <c r="AH2001">
        <f>AG2001-X2001</f>
        <v>0</v>
      </c>
      <c r="AI2001" cm="1">
        <f t="array" ref="AI2001">IFERROR(IF(AH2001&lt;0,0,AH2001/($R$1955-INDEX(hd_off,MATCH(AQ2001,hd_mark,0),0)/12)),0)</f>
        <v>0</v>
      </c>
      <c r="AJ2001">
        <f>MAX($F$23,$AA$1955)/$Q$1972</f>
        <v>0</v>
      </c>
      <c r="AK2001">
        <f t="shared" si="1241"/>
        <v>0</v>
      </c>
      <c r="AL2001" cm="1">
        <f t="array" ref="AL2001">IFERROR(INDEX(sheath_ecap_asd,MATCH(AP2001,sheath_mark,0),0)*AK2001,0)</f>
        <v>0</v>
      </c>
      <c r="AM2001" cm="1">
        <f t="array" ref="AM2001">IFERROR(INDEX(sheath_wcap_asd,MATCH(AP2001,sheath_mark,0),0)*AK2001,0)</f>
        <v>0</v>
      </c>
      <c r="AN2001" cm="1">
        <f t="array" ref="AN2001">IFERROR(INDEX(hd_cap,MATCH(AQ2001,hd_mark,0),0),0)</f>
        <v>0</v>
      </c>
      <c r="AP2001" s="19"/>
      <c r="AQ2001" s="19"/>
      <c r="AR2001" s="100"/>
      <c r="AS2001" s="93"/>
      <c r="AT2001" s="109" t="s">
        <v>491</v>
      </c>
      <c r="AU2001" t="str">
        <f>$Q$1943</f>
        <v>L4</v>
      </c>
      <c r="AV2001">
        <f>$E$23</f>
        <v>0</v>
      </c>
      <c r="AW2001" cm="1">
        <f t="array" ref="AW2001">IFERROR(IF(AV2001=0,0,(INDEX($C$33:$C$38,MATCH($AZ$1955,$B$33:$B$38,0),0)*(AV2003+$BA$1955)+$AW$1955*COUNTIF(AV2001:AV2002,"&gt;0")*$C$32+$AY$1955*$C$31)*$AU$1955),0)</f>
        <v>0</v>
      </c>
      <c r="AX2001">
        <f>IF(AV2001=0,0,-(COUNTIF(AV2001:AV2002,"&gt;0")*$AW$1955*$C$32+$AY$1955*$C$31)*$H$27*$AU$1955)</f>
        <v>0</v>
      </c>
      <c r="AY2001">
        <f>IF(AV2001=0,0,$AY$1955*$H$26*$AU$1955)</f>
        <v>0</v>
      </c>
      <c r="AZ2001">
        <f>(0.6*AW2001+0.7*AX2001)*$AU$1955/2</f>
        <v>0</v>
      </c>
      <c r="BA2001">
        <f>AW2001*$AU$1955/2</f>
        <v>0</v>
      </c>
      <c r="BC2001">
        <f>IF(AV2001=0,0,$BG$1955*$AP$1943)</f>
        <v>0</v>
      </c>
      <c r="BD2001">
        <f>IFERROR(BC2001/$AU$1955,0)</f>
        <v>0</v>
      </c>
      <c r="BE2001">
        <f>BC2001*($F$23+IF($F$23=0,0,($C$14+$C$15+IF($C$13="single",1.5,3)+3)/12))</f>
        <v>0</v>
      </c>
      <c r="BF2001">
        <f>BE2001-AZ2001</f>
        <v>0</v>
      </c>
      <c r="BG2001" cm="1">
        <f t="array" ref="BG2001">IFERROR(IF(BF2001&lt;0,0,BF2001/($AU$1955-INDEX(hd_off,MATCH(BT2001,hd_mark,0),0)/12)),0)</f>
        <v>0</v>
      </c>
      <c r="BH2001">
        <f>IF(AV2001=0,0,$BG$1955*$AM$1943)</f>
        <v>0</v>
      </c>
      <c r="BI2001">
        <f>IFERROR(BH2001/$AU$1955,0)</f>
        <v>0</v>
      </c>
      <c r="BJ2001">
        <f>BH2001*($F$23+IF($F$23=0,0,($C$14+$C$15+IF($C$13="single",1.5,3)+3)/12))</f>
        <v>0</v>
      </c>
      <c r="BK2001">
        <f>BJ2001-BA2001</f>
        <v>0</v>
      </c>
      <c r="BL2001" cm="1">
        <f t="array" ref="BL2001">IFERROR(IF(BK2001&lt;0,0,BK2001/($AU$1955-INDEX(hd_off,MATCH(BT2001,hd_mark,0),0)/12)),0)</f>
        <v>0</v>
      </c>
      <c r="BM2001">
        <f>MAX($F$23,$BD$1955)/$Q$1972</f>
        <v>0</v>
      </c>
      <c r="BN2001">
        <f t="shared" si="1242"/>
        <v>0</v>
      </c>
      <c r="BO2001" cm="1">
        <f t="array" ref="BO2001">IFERROR(INDEX(sheath_ecap_asd,MATCH(BS2001,sheath_mark,0),0)*BN2001,0)</f>
        <v>0</v>
      </c>
      <c r="BP2001" cm="1">
        <f t="array" ref="BP2001">IFERROR(INDEX(sheath_wcap_asd,MATCH(BS2001,sheath_mark,0),0)*BN2001,0)</f>
        <v>0</v>
      </c>
      <c r="BQ2001" cm="1">
        <f t="array" ref="BQ2001">IFERROR(INDEX(hd_cap,MATCH(BT2001,hd_mark,0),0),0)</f>
        <v>0</v>
      </c>
      <c r="BS2001" s="19"/>
      <c r="BT2001" s="19"/>
      <c r="BU2001" s="100"/>
    </row>
    <row r="2002" x14ac:dyDescent="0.25">
      <c r="P2002" s="93"/>
      <c r="Q2002" s="111">
        <f>$R$1955</f>
        <v>0</v>
      </c>
      <c r="R2002" t="str">
        <f>$Q$1944</f>
        <v>L5</v>
      </c>
      <c r="S2002">
        <f>$E$24</f>
        <v>0</v>
      </c>
      <c r="T2002" cm="1">
        <f t="array" ref="T2002">IFERROR(IF(S2002=0,0,(INDEX($C$33:$C$38,MATCH($W$1955,$B$33:$B$38,0),0)*(S2003+$X$1955)+$T$1955*COUNTIF(S2002:S2002,"&gt;0")*$C$32+$V$1955*$C$31)*$R$1955),0)</f>
        <v>0</v>
      </c>
      <c r="U2002">
        <f>IF(S2002=0,0,-(COUNTIF(S2002:S2002,"&gt;0")*$T$1955*$C$32+$V$1955*$C$31)*$H$27*$R$1955)</f>
        <v>0</v>
      </c>
      <c r="V2002">
        <f>IF(S2002=0,0,$V$1955*$H$26*$R$1955)</f>
        <v>0</v>
      </c>
      <c r="W2002">
        <f>(0.6*T2002+0.7*U2002)*$R$1955/2</f>
        <v>0</v>
      </c>
      <c r="X2002">
        <f>T2002*$R$1955/2</f>
        <v>0</v>
      </c>
      <c r="Z2002">
        <f>IF(S2002=0,0,$AD$1955*$AP$1944)</f>
        <v>0</v>
      </c>
      <c r="AA2002">
        <f>IFERROR(Z2002/$R$1955,0)</f>
        <v>0</v>
      </c>
      <c r="AB2002">
        <f>Z2002*($F$24+IF($F$24=0,0,($C$14+$C$15+IF($C$13="single",1.5,3)+3)/12))</f>
        <v>0</v>
      </c>
      <c r="AC2002">
        <f>AB2002-W2002</f>
        <v>0</v>
      </c>
      <c r="AD2002" cm="1">
        <f t="array" ref="AD2002">IFERROR(IF(AC2002&lt;0,0,AC2002/($R$1955-INDEX(hd_off,MATCH(AQ2002,hd_mark,0),0)/12)),0)</f>
        <v>0</v>
      </c>
      <c r="AE2002">
        <f>IF(S2002=0,0,$AD$1955*$AM$1944)</f>
        <v>0</v>
      </c>
      <c r="AF2002">
        <f>IFERROR(AE2002/$R$1955,0)</f>
        <v>0</v>
      </c>
      <c r="AG2002">
        <f>AE2002*($F$24+IF($F$24=0,0,($C$14+$C$15+IF($C$13="single",1.5,3)+3)/12))</f>
        <v>0</v>
      </c>
      <c r="AH2002">
        <f>AG2002-X2002</f>
        <v>0</v>
      </c>
      <c r="AI2002" cm="1">
        <f t="array" ref="AI2002">IFERROR(IF(AH2002&lt;0,0,AH2002/($R$1955-INDEX(hd_off,MATCH(AQ2002,hd_mark,0),0)/12)),0)</f>
        <v>0</v>
      </c>
      <c r="AJ2002">
        <f>MAX($F$24,$AB$1955)/$Q$1972</f>
        <v>0</v>
      </c>
      <c r="AK2002">
        <f t="shared" si="1241"/>
        <v>0</v>
      </c>
      <c r="AL2002" cm="1">
        <f t="array" ref="AL2002">IFERROR(INDEX(sheath_ecap_asd,MATCH(AP2002,sheath_mark,0),0)*AK2002,0)</f>
        <v>0</v>
      </c>
      <c r="AM2002" cm="1">
        <f t="array" ref="AM2002">IFERROR(INDEX(sheath_wcap_asd,MATCH(AP2002,sheath_mark,0),0)*AK2002,0)</f>
        <v>0</v>
      </c>
      <c r="AN2002" cm="1">
        <f t="array" ref="AN2002">IFERROR(INDEX(hd_cap,MATCH(AQ2002,hd_mark,0),0),0)</f>
        <v>0</v>
      </c>
      <c r="AP2002" s="19"/>
      <c r="AQ2002" s="19"/>
      <c r="AR2002" s="100"/>
      <c r="AS2002" s="93"/>
      <c r="AT2002" s="111">
        <f>$R$1955</f>
        <v>0</v>
      </c>
      <c r="AU2002" t="str">
        <f>$Q$1944</f>
        <v>L5</v>
      </c>
      <c r="AV2002">
        <f>$E$24</f>
        <v>0</v>
      </c>
      <c r="AW2002" cm="1">
        <f t="array" ref="AW2002">IFERROR(IF(AV2002=0,0,(INDEX($C$33:$C$38,MATCH($AZ$1955,$B$33:$B$38,0),0)*(AV2003+$BA$1955)+$AW$1955*COUNTIF(AV2002:AV2002,"&gt;0")*$C$32+$AY$1955*$C$31)*$AU$1955),0)</f>
        <v>0</v>
      </c>
      <c r="AX2002">
        <f>IF(AV2002=0,0,-(COUNTIF(AV2002:AV2002,"&gt;0")*$AW$1955*$C$32+$AY$1955*$C$31)*$H$27*$AU$1955)</f>
        <v>0</v>
      </c>
      <c r="AY2002">
        <f>IF(AV2002=0,0,$AY$1955*$H$26*$AU$1955)</f>
        <v>0</v>
      </c>
      <c r="AZ2002">
        <f>(0.6*AW2002+0.7*AX2002)*$AU$1955/2</f>
        <v>0</v>
      </c>
      <c r="BA2002">
        <f>AW2002*$AU$1955/2</f>
        <v>0</v>
      </c>
      <c r="BC2002">
        <f>IF(AV2002=0,0,$BG$1955*$AP$1944)</f>
        <v>0</v>
      </c>
      <c r="BD2002">
        <f>IFERROR(BC2002/$AU$1955,0)</f>
        <v>0</v>
      </c>
      <c r="BE2002">
        <f>BC2002*($F$24+IF($F$24=0,0,($C$14+$C$15+IF($C$13="single",1.5,3)+3)/12))</f>
        <v>0</v>
      </c>
      <c r="BF2002">
        <f>BE2002-AZ2002</f>
        <v>0</v>
      </c>
      <c r="BG2002" cm="1">
        <f t="array" ref="BG2002">IFERROR(IF(BF2002&lt;0,0,BF2002/($AU$1955-INDEX(hd_off,MATCH(BT2002,hd_mark,0),0)/12)),0)</f>
        <v>0</v>
      </c>
      <c r="BH2002">
        <f>IF(AV2002=0,0,$BG$1955*$AM$1944)</f>
        <v>0</v>
      </c>
      <c r="BI2002">
        <f>IFERROR(BH2002/$AU$1955,0)</f>
        <v>0</v>
      </c>
      <c r="BJ2002">
        <f>BH2002*($F$24+IF($F$24=0,0,($C$14+$C$15+IF($C$13="single",1.5,3)+3)/12))</f>
        <v>0</v>
      </c>
      <c r="BK2002">
        <f>BJ2002-BA2002</f>
        <v>0</v>
      </c>
      <c r="BL2002" cm="1">
        <f t="array" ref="BL2002">IFERROR(IF(BK2002&lt;0,0,BK2002/($AU$1955-INDEX(hd_off,MATCH(BT2002,hd_mark,0),0)/12)),0)</f>
        <v>0</v>
      </c>
      <c r="BM2002">
        <f>MAX($F$24,$BE$1955)/$Q$1972</f>
        <v>0</v>
      </c>
      <c r="BN2002">
        <f t="shared" si="1242"/>
        <v>0</v>
      </c>
      <c r="BO2002" cm="1">
        <f t="array" ref="BO2002">IFERROR(INDEX(sheath_ecap_asd,MATCH(BS2002,sheath_mark,0),0)*BN2002,0)</f>
        <v>0</v>
      </c>
      <c r="BP2002" cm="1">
        <f t="array" ref="BP2002">IFERROR(INDEX(sheath_wcap_asd,MATCH(BS2002,sheath_mark,0),0)*BN2002,0)</f>
        <v>0</v>
      </c>
      <c r="BQ2002" cm="1">
        <f t="array" ref="BQ2002">IFERROR(INDEX(hd_cap,MATCH(BT2002,hd_mark,0),0),0)</f>
        <v>0</v>
      </c>
      <c r="BS2002" s="19"/>
      <c r="BT2002" s="19"/>
      <c r="BU2002" s="100"/>
    </row>
    <row r="2003" x14ac:dyDescent="0.25">
      <c r="P2003" s="93"/>
      <c r="Q2003" s="109"/>
      <c r="R2003" t="str">
        <f>$Q$1945</f>
        <v>Roof</v>
      </c>
      <c r="S2003">
        <f>$E$25</f>
        <v>33.171875</v>
      </c>
      <c r="T2003" cm="1">
        <f t="array" ref="T2003">IFERROR(IF(S2003=0,0,(INDEX($C$33:$C$38,MATCH($W$1955,$B$33:$B$38,0),0)*(S2003+$X$1955)+$V$1955*$C$31)*$R$1955),0)</f>
        <v>0</v>
      </c>
      <c r="U2003">
        <f>IF(S2003=0,0,-$V$1955*$C$31*$H$27*$R$1955)</f>
        <v>0</v>
      </c>
      <c r="V2003">
        <f>IF(S2003=0,0,$V$1955*$H$26*$R$1955)</f>
        <v>0</v>
      </c>
      <c r="W2003">
        <f>(0.6*T2003+0.7*U2003)*$R$1955/2</f>
        <v>0</v>
      </c>
      <c r="X2003">
        <f>T2003*$R$1955/2</f>
        <v>0</v>
      </c>
      <c r="Z2003">
        <f>IF(S2003=0,0,$AD$1955*$AP$1945)</f>
        <v>0</v>
      </c>
      <c r="AA2003">
        <f>IFERROR(Z2003/$R$1955,0)</f>
        <v>0</v>
      </c>
      <c r="AB2003">
        <f>Z2003*($F$25+($C$16+$C$17+IF($C$13="single",1.5,3)+3)/12)</f>
        <v>0</v>
      </c>
      <c r="AC2003">
        <f>AB2003-W2003</f>
        <v>0</v>
      </c>
      <c r="AD2003" cm="1">
        <f t="array" ref="AD2003">IFERROR(IF(AC2003&lt;0,0,AC2003/($R$1955-INDEX(hd_off,MATCH(AQ2003,hd_mark,0),0)/12)),0)</f>
        <v>0</v>
      </c>
      <c r="AE2003">
        <f>IF(S2003=0,0,$AD$1955*$AM$1945)</f>
        <v>0</v>
      </c>
      <c r="AF2003">
        <f>IFERROR(AE2003/$R$1955,0)</f>
        <v>0</v>
      </c>
      <c r="AG2003">
        <f>AE2003*($F$25+($C$16+$C$17+IF($C$13="single",1.5,3)+3)/12)</f>
        <v>0</v>
      </c>
      <c r="AH2003">
        <f>AG2003-X2003</f>
        <v>0</v>
      </c>
      <c r="AI2003" cm="1">
        <f t="array" ref="AI2003">IFERROR(IF(AH2003&lt;0,0,AH2003/($R$1955-INDEX(hd_off,MATCH(AQ2003,hd_mark,0),0)/12)),0)</f>
        <v>0</v>
      </c>
      <c r="AJ2003">
        <f>MAX($F$25,$AC$1955)/$Q$1972</f>
        <v>0.29920977011494249</v>
      </c>
      <c r="AK2003">
        <f t="shared" si="1241"/>
        <v>1</v>
      </c>
      <c r="AL2003" cm="1">
        <f t="array" ref="AL2003">IFERROR(INDEX(sheath_ecap_asd,MATCH(AP2003,sheath_mark,0),0)*AK2003,0)</f>
        <v>0</v>
      </c>
      <c r="AM2003" cm="1">
        <f t="array" ref="AM2003">IFERROR(INDEX(sheath_wcap_asd,MATCH(AP2003,sheath_mark,0),0)*AK2003,0)</f>
        <v>0</v>
      </c>
      <c r="AN2003" cm="1">
        <f t="array" ref="AN2003">IFERROR(INDEX(hd_cap,MATCH(AQ2003,hd_mark,0),0),0)</f>
        <v>0</v>
      </c>
      <c r="AP2003" s="19"/>
      <c r="AQ2003" s="19"/>
      <c r="AR2003" s="100"/>
      <c r="AS2003" s="93"/>
      <c r="AT2003" s="109"/>
      <c r="AU2003" t="str">
        <f>$Q$1945</f>
        <v>Roof</v>
      </c>
      <c r="AV2003">
        <f>$E$25</f>
        <v>33.171875</v>
      </c>
      <c r="AW2003" cm="1">
        <f t="array" ref="AW2003">IFERROR(IF(AV2003=0,0,(INDEX($C$33:$C$38,MATCH($AZ$1955,$B$33:$B$38,0),0)*(AV2003+$BA$1955)+$AY$1955*$C$31)*$AU$1955),0)</f>
        <v>0</v>
      </c>
      <c r="AX2003">
        <f>IF(AV2003=0,0,-$AY$1955*$C$31*$H$27*$AU$1955)</f>
        <v>0</v>
      </c>
      <c r="AY2003">
        <f>IF(AV2003=0,0,$AY$1955*$H$26*$AU$1955)</f>
        <v>0</v>
      </c>
      <c r="AZ2003">
        <f>(0.6*AW2003+0.7*AX2003)*$AU$1955/2</f>
        <v>0</v>
      </c>
      <c r="BA2003">
        <f>AW2003*$AU$1955/2</f>
        <v>0</v>
      </c>
      <c r="BC2003">
        <f>IF(AV2003=0,0,$BG$1955*$AP$1945)</f>
        <v>0</v>
      </c>
      <c r="BD2003">
        <f>IFERROR(BC2003/$AU$1955,0)</f>
        <v>0</v>
      </c>
      <c r="BE2003">
        <f>BC2003*($F$25+($C$16+$C$17+IF($C$13="single",1.5,3)+3)/12)</f>
        <v>0</v>
      </c>
      <c r="BF2003">
        <f>BE2003-AZ2003</f>
        <v>0</v>
      </c>
      <c r="BG2003" cm="1">
        <f t="array" ref="BG2003">IFERROR(IF(BF2003&lt;0,0,BF2003/($AU$1955-INDEX(hd_off,MATCH(BT2003,hd_mark,0),0)/12)),0)</f>
        <v>0</v>
      </c>
      <c r="BH2003">
        <f>IF(AV2003=0,0,$BG$1955*$AM$1945)</f>
        <v>0</v>
      </c>
      <c r="BI2003">
        <f>IFERROR(BH2003/$AU$1955,0)</f>
        <v>0</v>
      </c>
      <c r="BJ2003">
        <f>BH2003*($F$25+($C$16+$C$17+IF($C$13="single",1.5,3)+3)/12)</f>
        <v>0</v>
      </c>
      <c r="BK2003">
        <f>BJ2003-BA2003</f>
        <v>0</v>
      </c>
      <c r="BL2003" cm="1">
        <f t="array" ref="BL2003">IFERROR(IF(BK2003&lt;0,0,BK2003/($AU$1955-INDEX(hd_off,MATCH(BT2003,hd_mark,0),0)/12)),0)</f>
        <v>0</v>
      </c>
      <c r="BM2003">
        <f>MAX($F$25,$BF$1955)/$Q$1972</f>
        <v>0.29920977011494249</v>
      </c>
      <c r="BN2003">
        <f t="shared" si="1242"/>
        <v>1</v>
      </c>
      <c r="BO2003" cm="1">
        <f t="array" ref="BO2003">IFERROR(INDEX(sheath_ecap_asd,MATCH(BS2003,sheath_mark,0),0)*BN2003,0)</f>
        <v>0</v>
      </c>
      <c r="BP2003" cm="1">
        <f t="array" ref="BP2003">IFERROR(INDEX(sheath_wcap_asd,MATCH(BS2003,sheath_mark,0),0)*BN2003,0)</f>
        <v>0</v>
      </c>
      <c r="BQ2003" cm="1">
        <f t="array" ref="BQ2003">IFERROR(INDEX(hd_cap,MATCH(BT2003,hd_mark,0),0),0)</f>
        <v>0</v>
      </c>
      <c r="BS2003" s="19"/>
      <c r="BT2003" s="19"/>
      <c r="BU2003" s="100"/>
    </row>
    <row r="2004" x14ac:dyDescent="0.25">
      <c r="P2004" s="93"/>
      <c r="AR2004" s="100"/>
      <c r="AS2004" s="93"/>
      <c r="BU2004" s="100"/>
    </row>
    <row r="2005" x14ac:dyDescent="0.25">
      <c r="P2005" s="93"/>
      <c r="Q2005" s="110" t="str">
        <f>$Q$1956</f>
        <v>A.07</v>
      </c>
      <c r="R2005" t="str">
        <f>$Q$1941</f>
        <v>L2</v>
      </c>
      <c r="S2005">
        <f>$E$21</f>
        <v>10.6875</v>
      </c>
      <c r="T2005" cm="1">
        <f t="array" ref="T2005">IFERROR(IF(S2005=0,0,(INDEX($C$33:$C$38,MATCH($W$1956,$B$33:$B$38,0),0)*(S2009+$X$1956)+$T$1956*COUNTIF(S2005:S2008,"&gt;0")*$C$32+$V$1956*$C$31)*$R$1956),0)</f>
        <v>0</v>
      </c>
      <c r="U2005">
        <f>IF(S2005=0,0,-(COUNTIF(S2005:S2008,"&gt;0")*$T$1956*$C$32+$V$1956*$C$31)*$H$27*$R$1956)</f>
        <v>0</v>
      </c>
      <c r="V2005">
        <f>IF(S2005=0,0,$V$1956*$H$26*$R$1956)</f>
        <v>0</v>
      </c>
      <c r="W2005">
        <f>(0.6*T2005+0.7*U2005)*$R$1956/2</f>
        <v>0</v>
      </c>
      <c r="X2005">
        <f>(0.6*T2005+0.6*V2005)*$R$1956/2</f>
        <v>0</v>
      </c>
      <c r="Z2005">
        <f>IF(S2005=0,0,$AD$1956*$AP$1941)</f>
        <v>0</v>
      </c>
      <c r="AA2005">
        <f>IFERROR(Z2005/$R$1956,0)</f>
        <v>0</v>
      </c>
      <c r="AB2005">
        <f>Z2005*($F$21+IF($F$21=0,0,($C$14+$C$15+IF($C$13="single",1.5,3)+3)/12))</f>
        <v>0</v>
      </c>
      <c r="AC2005">
        <f>AB2005-W2005</f>
        <v>0</v>
      </c>
      <c r="AD2005" cm="1">
        <f t="array" ref="AD2005">IFERROR(IF(AC2005&lt;0,0,AC2005/($R$1956-INDEX(hd_off,MATCH(AQ2005,hd_mark,0),0)/12)),0)</f>
        <v>0</v>
      </c>
      <c r="AE2005">
        <f>IF(S2005=0,0,$AD$1956*$AM$1941)</f>
        <v>0</v>
      </c>
      <c r="AF2005">
        <f>IFERROR(AE2005/$R$1956,0)</f>
        <v>0</v>
      </c>
      <c r="AG2005">
        <f>AE2005*($F$21+IF($F$21=0,0,($C$14+$C$15+IF($C$13="single",1.5,3)+3)/12))</f>
        <v>0</v>
      </c>
      <c r="AH2005">
        <f>AG2005-X2005</f>
        <v>0</v>
      </c>
      <c r="AI2005" cm="1">
        <f t="array" ref="AI2005">IFERROR(IF(AH2005&lt;0,0,AH2005/($R$1956-INDEX(hd_off,MATCH(AQ2005,hd_mark,0),0)/12)),0)</f>
        <v>0</v>
      </c>
      <c r="AJ2005">
        <f>MAX($F$21,$Y$1956)/$Q$1972</f>
        <v>0.30172413793103448</v>
      </c>
      <c r="AK2005">
        <f>IF(AJ2005=0,0,IF(AJ2005&gt;2,1.25-0.125*AJ2005,1))</f>
        <v>1</v>
      </c>
      <c r="AL2005" cm="1">
        <f t="array" ref="AL2005">IFERROR(INDEX(sheath_ecap_asd,MATCH(AP2005,sheath_mark,0),0)*AK2005,0)</f>
        <v>0</v>
      </c>
      <c r="AM2005" cm="1">
        <f t="array" ref="AM2005">IFERROR(INDEX(sheath_wcap_asd,MATCH(AP2005,sheath_mark,0),0)*AK2005,0)</f>
        <v>0</v>
      </c>
      <c r="AN2005" cm="1">
        <f t="array" ref="AN2005">IFERROR(INDEX(hd_cap,MATCH(AQ2005,hd_mark,0),0),0)</f>
        <v>0</v>
      </c>
      <c r="AP2005" s="19"/>
      <c r="AQ2005" s="19"/>
      <c r="AR2005" s="100"/>
      <c r="AS2005" s="93"/>
      <c r="AT2005" s="110" t="str">
        <f>$AT$1956</f>
        <v>1.07</v>
      </c>
      <c r="AU2005" t="str">
        <f>$Q$1941</f>
        <v>L2</v>
      </c>
      <c r="AV2005">
        <f>$E$21</f>
        <v>10.6875</v>
      </c>
      <c r="AW2005" cm="1">
        <f t="array" ref="AW2005">IFERROR(IF(AV2005=0,0,(INDEX($C$33:$C$38,MATCH($AZ$1956,$B$33:$B$38,0),0)*(AV2009+$BA$1956)+$AW$1956*COUNTIF(AV2005:AV2008,"&gt;0")*$C$32+$AY$1956*$C$31)*$AU$1956),0)</f>
        <v>0</v>
      </c>
      <c r="AX2005">
        <f>IF(AV2005=0,0,-(COUNTIF(AV2005:AV2008,"&gt;0")*$AW$1956*$C$32+$AY$1956*$C$31)*$H$27*$AU$1956)</f>
        <v>0</v>
      </c>
      <c r="AY2005">
        <f>IF(AV2005=0,0,$AY$1956*$H$26*$AU$1956)</f>
        <v>0</v>
      </c>
      <c r="AZ2005">
        <f>(0.6*AW2005+0.7*AX2005)*$AU$1956/2</f>
        <v>0</v>
      </c>
      <c r="BA2005">
        <f>(0.6*AW2005+0.6*AY2005)*$AU$1956/2</f>
        <v>0</v>
      </c>
      <c r="BC2005">
        <f>IF(AV2005=0,0,$BG$1956*$AP$1941)</f>
        <v>0</v>
      </c>
      <c r="BD2005">
        <f>IFERROR(BC2005/$AU$1956,0)</f>
        <v>0</v>
      </c>
      <c r="BE2005">
        <f>BC2005*($F$21+IF($F$21=0,0,($C$14+$C$15+IF($C$13="single",1.5,3)+3)/12))</f>
        <v>0</v>
      </c>
      <c r="BF2005">
        <f>BE2005-AZ2005</f>
        <v>0</v>
      </c>
      <c r="BG2005" cm="1">
        <f t="array" ref="BG2005">IFERROR(IF(BF2005&lt;0,0,BF2005/($AU$1956-INDEX(hd_off,MATCH(BT2005,hd_mark,0),0)/12)),0)</f>
        <v>0</v>
      </c>
      <c r="BH2005">
        <f>IF(AV2005=0,0,$BG$1956*$AM$1941)</f>
        <v>0</v>
      </c>
      <c r="BI2005">
        <f>IFERROR(BH2005/$AU$1956,0)</f>
        <v>0</v>
      </c>
      <c r="BJ2005">
        <f>BH2005*($F$21+IF($F$21=0,0,($C$14+$C$15+IF($C$13="single",1.5,3)+3)/12))</f>
        <v>0</v>
      </c>
      <c r="BK2005">
        <f>BJ2005-BA2005</f>
        <v>0</v>
      </c>
      <c r="BL2005" cm="1">
        <f t="array" ref="BL2005">IFERROR(IF(BK2005&lt;0,0,BK2005/($AU$1956-INDEX(hd_off,MATCH(BT2005,hd_mark,0),0)/12)),0)</f>
        <v>0</v>
      </c>
      <c r="BM2005">
        <f>MAX($F$21,$BB$1956)/$Q$1972</f>
        <v>0.30172413793103448</v>
      </c>
      <c r="BN2005">
        <f>IF(BM2005=0,0,IF(BM2005&gt;2,1.25-0.125*BM2005,1))</f>
        <v>1</v>
      </c>
      <c r="BO2005" cm="1">
        <f t="array" ref="BO2005">IFERROR(INDEX(sheath_ecap_asd,MATCH(BS2005,sheath_mark,0),0)*BN2005,0)</f>
        <v>0</v>
      </c>
      <c r="BP2005" cm="1">
        <f t="array" ref="BP2005">IFERROR(INDEX(sheath_wcap_asd,MATCH(BS2005,sheath_mark,0),0)*BN2005,0)</f>
        <v>0</v>
      </c>
      <c r="BQ2005" cm="1">
        <f t="array" ref="BQ2005">IFERROR(INDEX(hd_cap,MATCH(BT2005,hd_mark,0),0),0)</f>
        <v>0</v>
      </c>
      <c r="BS2005" s="19"/>
      <c r="BT2005" s="19"/>
      <c r="BU2005" s="100"/>
    </row>
    <row r="2006" x14ac:dyDescent="0.25">
      <c r="P2006" s="93"/>
      <c r="Q2006" s="109"/>
      <c r="R2006" t="str">
        <f>$Q$1942</f>
        <v>L3</v>
      </c>
      <c r="S2006">
        <f>$E$22</f>
        <v>21.375</v>
      </c>
      <c r="T2006" cm="1">
        <f t="array" ref="T2006">IFERROR(IF(S2006=0,0,(INDEX($C$33:$C$38,MATCH($W$1956,$B$33:$B$38,0),0)*(S2009+$X$1956)+$T$1956*COUNTIF(S2006:S2008,"&gt;0")*$C$32+$V$1956*$C$31)*$R$1956),0)</f>
        <v>0</v>
      </c>
      <c r="U2006">
        <f>IF(S2006=0,0,-(COUNTIF(S2006:S2008,"&gt;0")*$T$1956*$C$32+$V$1956*$C$31)*$H$27*$R$1956)</f>
        <v>0</v>
      </c>
      <c r="V2006">
        <f>IF(S2006=0,0,$V$1956*$H$26*$R$1956)</f>
        <v>0</v>
      </c>
      <c r="W2006">
        <f>(0.6*T2006+0.7*U2006)*$R$1956/2</f>
        <v>0</v>
      </c>
      <c r="X2006">
        <f>T2006*$R$1956/2</f>
        <v>0</v>
      </c>
      <c r="Z2006">
        <f>IF(S2006=0,0,$AD$1956*$AP$1942)</f>
        <v>0</v>
      </c>
      <c r="AA2006">
        <f>IFERROR(Z2006/$R$1956,0)</f>
        <v>0</v>
      </c>
      <c r="AB2006">
        <f>Z2006*($F$22+IF($F$22=0,0,($C$14+$C$15+IF($C$13="single",1.5,3)+3)/12))</f>
        <v>0</v>
      </c>
      <c r="AC2006">
        <f>AB2006-W2006</f>
        <v>0</v>
      </c>
      <c r="AD2006" cm="1">
        <f t="array" ref="AD2006">IFERROR(IF(AC2006&lt;0,0,AC2006/($R$1956-INDEX(hd_off,MATCH(AQ2006,hd_mark,0),0)/12)),0)</f>
        <v>0</v>
      </c>
      <c r="AE2006">
        <f>IF(S2006=0,0,$AD$1956*$AM$1942)</f>
        <v>0</v>
      </c>
      <c r="AF2006">
        <f>IFERROR(AE2006/$R$1956,0)</f>
        <v>0</v>
      </c>
      <c r="AG2006">
        <f>AE2006*($F$22+IF($F$22=0,0,($C$14+$C$15+IF($C$13="single",1.5,3)+3)/12))</f>
        <v>0</v>
      </c>
      <c r="AH2006">
        <f>AG2006-X2006</f>
        <v>0</v>
      </c>
      <c r="AI2006" cm="1">
        <f t="array" ref="AI2006">IFERROR(IF(AH2006&lt;0,0,AH2006/($R$1956-INDEX(hd_off,MATCH(AQ2006,hd_mark,0),0)/12)),0)</f>
        <v>0</v>
      </c>
      <c r="AJ2006">
        <f>MAX($F$22,$Z$1956)/$Q$1972</f>
        <v>0.30172413793103448</v>
      </c>
      <c r="AK2006">
        <f t="shared" ref="AK2006:AK2009" si="1243">IF(AJ2006=0,0,IF(AJ2006&gt;2,1.25-0.125*AJ2006,1))</f>
        <v>1</v>
      </c>
      <c r="AL2006" cm="1">
        <f t="array" ref="AL2006">IFERROR(INDEX(sheath_ecap_asd,MATCH(AP2006,sheath_mark,0),0)*AK2006,0)</f>
        <v>0</v>
      </c>
      <c r="AM2006" cm="1">
        <f t="array" ref="AM2006">IFERROR(INDEX(sheath_wcap_asd,MATCH(AP2006,sheath_mark,0),0)*AK2006,0)</f>
        <v>0</v>
      </c>
      <c r="AN2006" cm="1">
        <f t="array" ref="AN2006">IFERROR(INDEX(hd_cap,MATCH(AQ2006,hd_mark,0),0),0)</f>
        <v>0</v>
      </c>
      <c r="AP2006" s="19"/>
      <c r="AQ2006" s="19"/>
      <c r="AR2006" s="100"/>
      <c r="AS2006" s="93"/>
      <c r="AT2006" s="109"/>
      <c r="AU2006" t="str">
        <f>$Q$1942</f>
        <v>L3</v>
      </c>
      <c r="AV2006">
        <f>$E$22</f>
        <v>21.375</v>
      </c>
      <c r="AW2006" cm="1">
        <f t="array" ref="AW2006">IFERROR(IF(AV2006=0,0,(INDEX($C$33:$C$38,MATCH($AZ$1956,$B$33:$B$38,0),0)*(AV2009+$BA$1956)+$AW$1956*COUNTIF(AV2006:AV2008,"&gt;0")*$C$32+$AY$1956*$C$31)*$AU$1956),0)</f>
        <v>0</v>
      </c>
      <c r="AX2006">
        <f>IF(AV2006=0,0,-(COUNTIF(AV2006:AV2008,"&gt;0")*$AW$1956*$C$32+$AY$1956*$C$31)*$H$27*$AU$1956)</f>
        <v>0</v>
      </c>
      <c r="AY2006">
        <f>IF(AV2006=0,0,$AY$1956*$H$26*$AU$1956)</f>
        <v>0</v>
      </c>
      <c r="AZ2006">
        <f>(0.6*AW2006+0.7*AX2006)*$AU$1956/2</f>
        <v>0</v>
      </c>
      <c r="BA2006">
        <f>AW2006*$AU$1956/2</f>
        <v>0</v>
      </c>
      <c r="BC2006">
        <f>IF(AV2006=0,0,$BG$1956*$AP$1942)</f>
        <v>0</v>
      </c>
      <c r="BD2006">
        <f>IFERROR(BC2006/$AU$1956,0)</f>
        <v>0</v>
      </c>
      <c r="BE2006">
        <f>BC2006*($F$22+IF($F$22=0,0,($C$14+$C$15+IF($C$13="single",1.5,3)+3)/12))</f>
        <v>0</v>
      </c>
      <c r="BF2006">
        <f>BE2006-AZ2006</f>
        <v>0</v>
      </c>
      <c r="BG2006" cm="1">
        <f t="array" ref="BG2006">IFERROR(IF(BF2006&lt;0,0,BF2006/($AU$1956-INDEX(hd_off,MATCH(BT2006,hd_mark,0),0)/12)),0)</f>
        <v>0</v>
      </c>
      <c r="BH2006">
        <f>IF(AV2006=0,0,$BG$1956*$AM$1942)</f>
        <v>0</v>
      </c>
      <c r="BI2006">
        <f>IFERROR(BH2006/$AU$1956,0)</f>
        <v>0</v>
      </c>
      <c r="BJ2006">
        <f>BH2006*($F$22+IF($F$22=0,0,($C$14+$C$15+IF($C$13="single",1.5,3)+3)/12))</f>
        <v>0</v>
      </c>
      <c r="BK2006">
        <f>BJ2006-BA2006</f>
        <v>0</v>
      </c>
      <c r="BL2006" cm="1">
        <f t="array" ref="BL2006">IFERROR(IF(BK2006&lt;0,0,BK2006/($AU$1956-INDEX(hd_off,MATCH(BT2006,hd_mark,0),0)/12)),0)</f>
        <v>0</v>
      </c>
      <c r="BM2006">
        <f>MAX($F$22,$BC$1956)/$Q$1972</f>
        <v>0.30172413793103448</v>
      </c>
      <c r="BN2006">
        <f t="shared" ref="BN2006:BN2009" si="1244">IF(BM2006=0,0,IF(BM2006&gt;2,1.25-0.125*BM2006,1))</f>
        <v>1</v>
      </c>
      <c r="BO2006" cm="1">
        <f t="array" ref="BO2006">IFERROR(INDEX(sheath_ecap_asd,MATCH(BS2006,sheath_mark,0),0)*BN2006,0)</f>
        <v>0</v>
      </c>
      <c r="BP2006" cm="1">
        <f t="array" ref="BP2006">IFERROR(INDEX(sheath_wcap_asd,MATCH(BS2006,sheath_mark,0),0)*BN2006,0)</f>
        <v>0</v>
      </c>
      <c r="BQ2006" cm="1">
        <f t="array" ref="BQ2006">IFERROR(INDEX(hd_cap,MATCH(BT2006,hd_mark,0),0),0)</f>
        <v>0</v>
      </c>
      <c r="BS2006" s="19"/>
      <c r="BT2006" s="19"/>
      <c r="BU2006" s="100"/>
    </row>
    <row r="2007" x14ac:dyDescent="0.25">
      <c r="P2007" s="93"/>
      <c r="Q2007" s="109" t="s">
        <v>491</v>
      </c>
      <c r="R2007" t="str">
        <f>$Q$1943</f>
        <v>L4</v>
      </c>
      <c r="S2007">
        <f>$E$23</f>
        <v>0</v>
      </c>
      <c r="T2007" cm="1">
        <f t="array" ref="T2007">IFERROR(IF(S2007=0,0,(INDEX($C$33:$C$38,MATCH($W$1956,$B$33:$B$38,0),0)*(S2009+$X$1956)+$T$1956*COUNTIF(S2007:S2008,"&gt;0")*$C$32+$V$1956*$C$31)*$R$1956),0)</f>
        <v>0</v>
      </c>
      <c r="U2007">
        <f>IF(S2007=0,0,-(COUNTIF(S2007:S2008,"&gt;0")*$T$1956*$C$32+$V$1956*$C$31)*$H$27*$R$1956)</f>
        <v>0</v>
      </c>
      <c r="V2007">
        <f>IF(S2007=0,0,$V$1956*$H$26*$R$1956)</f>
        <v>0</v>
      </c>
      <c r="W2007">
        <f>(0.6*T2007+0.7*U2007)*$R$1956/2</f>
        <v>0</v>
      </c>
      <c r="X2007">
        <f>T2007*$R$1956/2</f>
        <v>0</v>
      </c>
      <c r="Z2007">
        <f>IF(S2007=0,0,$AD$1956*$AP$1943)</f>
        <v>0</v>
      </c>
      <c r="AA2007">
        <f>IFERROR(Z2007/$R$1956,0)</f>
        <v>0</v>
      </c>
      <c r="AB2007">
        <f>Z2007*($F$23+IF($F$23=0,0,($C$14+$C$15+IF($C$13="single",1.5,3)+3)/12))</f>
        <v>0</v>
      </c>
      <c r="AC2007">
        <f>AB2007-W2007</f>
        <v>0</v>
      </c>
      <c r="AD2007" cm="1">
        <f t="array" ref="AD2007">IFERROR(IF(AC2007&lt;0,0,AC2007/($R$1956-INDEX(hd_off,MATCH(AQ2007,hd_mark,0),0)/12)),0)</f>
        <v>0</v>
      </c>
      <c r="AE2007">
        <f>IF(S2007=0,0,$AD$1956*$AM$1943)</f>
        <v>0</v>
      </c>
      <c r="AF2007">
        <f>IFERROR(AE2007/$R$1956,0)</f>
        <v>0</v>
      </c>
      <c r="AG2007">
        <f>AE2007*($F$23+IF($F$23=0,0,($C$14+$C$15+IF($C$13="single",1.5,3)+3)/12))</f>
        <v>0</v>
      </c>
      <c r="AH2007">
        <f>AG2007-X2007</f>
        <v>0</v>
      </c>
      <c r="AI2007" cm="1">
        <f t="array" ref="AI2007">IFERROR(IF(AH2007&lt;0,0,AH2007/($R$1956-INDEX(hd_off,MATCH(AQ2007,hd_mark,0),0)/12)),0)</f>
        <v>0</v>
      </c>
      <c r="AJ2007">
        <f>MAX($F$23,$AA$1956)/$Q$1972</f>
        <v>0</v>
      </c>
      <c r="AK2007">
        <f t="shared" si="1243"/>
        <v>0</v>
      </c>
      <c r="AL2007" cm="1">
        <f t="array" ref="AL2007">IFERROR(INDEX(sheath_ecap_asd,MATCH(AP2007,sheath_mark,0),0)*AK2007,0)</f>
        <v>0</v>
      </c>
      <c r="AM2007" cm="1">
        <f t="array" ref="AM2007">IFERROR(INDEX(sheath_wcap_asd,MATCH(AP2007,sheath_mark,0),0)*AK2007,0)</f>
        <v>0</v>
      </c>
      <c r="AN2007" cm="1">
        <f t="array" ref="AN2007">IFERROR(INDEX(hd_cap,MATCH(AQ2007,hd_mark,0),0),0)</f>
        <v>0</v>
      </c>
      <c r="AP2007" s="19"/>
      <c r="AQ2007" s="19"/>
      <c r="AR2007" s="100"/>
      <c r="AS2007" s="93"/>
      <c r="AT2007" s="109" t="s">
        <v>491</v>
      </c>
      <c r="AU2007" t="str">
        <f>$Q$1943</f>
        <v>L4</v>
      </c>
      <c r="AV2007">
        <f>$E$23</f>
        <v>0</v>
      </c>
      <c r="AW2007" cm="1">
        <f t="array" ref="AW2007">IFERROR(IF(AV2007=0,0,(INDEX($C$33:$C$38,MATCH($AZ$1956,$B$33:$B$38,0),0)*(AV2009+$BA$1956)+$AW$1956*COUNTIF(AV2007:AV2008,"&gt;0")*$C$32+$AY$1956*$C$31)*$AU$1956),0)</f>
        <v>0</v>
      </c>
      <c r="AX2007">
        <f>IF(AV2007=0,0,-(COUNTIF(AV2007:AV2008,"&gt;0")*$AW$1956*$C$32+$AY$1956*$C$31)*$H$27*$AU$1956)</f>
        <v>0</v>
      </c>
      <c r="AY2007">
        <f>IF(AV2007=0,0,$AY$1956*$H$26*$AU$1956)</f>
        <v>0</v>
      </c>
      <c r="AZ2007">
        <f>(0.6*AW2007+0.7*AX2007)*$AU$1956/2</f>
        <v>0</v>
      </c>
      <c r="BA2007">
        <f>AW2007*$AU$1956/2</f>
        <v>0</v>
      </c>
      <c r="BC2007">
        <f>IF(AV2007=0,0,$BG$1956*$AP$1943)</f>
        <v>0</v>
      </c>
      <c r="BD2007">
        <f>IFERROR(BC2007/$AU$1956,0)</f>
        <v>0</v>
      </c>
      <c r="BE2007">
        <f>BC2007*($F$23+IF($F$23=0,0,($C$14+$C$15+IF($C$13="single",1.5,3)+3)/12))</f>
        <v>0</v>
      </c>
      <c r="BF2007">
        <f>BE2007-AZ2007</f>
        <v>0</v>
      </c>
      <c r="BG2007" cm="1">
        <f t="array" ref="BG2007">IFERROR(IF(BF2007&lt;0,0,BF2007/($AU$1956-INDEX(hd_off,MATCH(BT2007,hd_mark,0),0)/12)),0)</f>
        <v>0</v>
      </c>
      <c r="BH2007">
        <f>IF(AV2007=0,0,$BG$1956*$AM$1943)</f>
        <v>0</v>
      </c>
      <c r="BI2007">
        <f>IFERROR(BH2007/$AU$1956,0)</f>
        <v>0</v>
      </c>
      <c r="BJ2007">
        <f>BH2007*($F$23+IF($F$23=0,0,($C$14+$C$15+IF($C$13="single",1.5,3)+3)/12))</f>
        <v>0</v>
      </c>
      <c r="BK2007">
        <f>BJ2007-BA2007</f>
        <v>0</v>
      </c>
      <c r="BL2007" cm="1">
        <f t="array" ref="BL2007">IFERROR(IF(BK2007&lt;0,0,BK2007/($AU$1956-INDEX(hd_off,MATCH(BT2007,hd_mark,0),0)/12)),0)</f>
        <v>0</v>
      </c>
      <c r="BM2007">
        <f>MAX($F$23,$BD$1956)/$Q$1972</f>
        <v>0</v>
      </c>
      <c r="BN2007">
        <f t="shared" si="1244"/>
        <v>0</v>
      </c>
      <c r="BO2007" cm="1">
        <f t="array" ref="BO2007">IFERROR(INDEX(sheath_ecap_asd,MATCH(BS2007,sheath_mark,0),0)*BN2007,0)</f>
        <v>0</v>
      </c>
      <c r="BP2007" cm="1">
        <f t="array" ref="BP2007">IFERROR(INDEX(sheath_wcap_asd,MATCH(BS2007,sheath_mark,0),0)*BN2007,0)</f>
        <v>0</v>
      </c>
      <c r="BQ2007" cm="1">
        <f t="array" ref="BQ2007">IFERROR(INDEX(hd_cap,MATCH(BT2007,hd_mark,0),0),0)</f>
        <v>0</v>
      </c>
      <c r="BS2007" s="19"/>
      <c r="BT2007" s="19"/>
      <c r="BU2007" s="100"/>
    </row>
    <row r="2008" x14ac:dyDescent="0.25">
      <c r="P2008" s="93"/>
      <c r="Q2008" s="111">
        <f>$R$1956</f>
        <v>0</v>
      </c>
      <c r="R2008" t="str">
        <f>$Q$1944</f>
        <v>L5</v>
      </c>
      <c r="S2008">
        <f>$E$24</f>
        <v>0</v>
      </c>
      <c r="T2008" cm="1">
        <f t="array" ref="T2008">IFERROR(IF(S2008=0,0,(INDEX($C$33:$C$38,MATCH($W$1956,$B$33:$B$38,0),0)*(S2009+$X$1956)+$T$1956*COUNTIF(S2008:S2008,"&gt;0")*$C$32+$V$1956*$C$31)*$R$1956),0)</f>
        <v>0</v>
      </c>
      <c r="U2008">
        <f>IF(S2008=0,0,-(COUNTIF(S2008:S2008,"&gt;0")*$T$1956*$C$32+$V$1956*$C$31)*$H$27*$R$1956)</f>
        <v>0</v>
      </c>
      <c r="V2008">
        <f>IF(S2008=0,0,$V$1956*$H$26*$R$1956)</f>
        <v>0</v>
      </c>
      <c r="W2008">
        <f>(0.6*T2008+0.7*U2008)*$R$1956/2</f>
        <v>0</v>
      </c>
      <c r="X2008">
        <f>T2008*$R$1956/2</f>
        <v>0</v>
      </c>
      <c r="Z2008">
        <f>IF(S2008=0,0,$AD$1956*$AP$1944)</f>
        <v>0</v>
      </c>
      <c r="AA2008">
        <f>IFERROR(Z2008/$R$1956,0)</f>
        <v>0</v>
      </c>
      <c r="AB2008">
        <f>Z2008*($F$24+IF($F$24=0,0,($C$14+$C$15+IF($C$13="single",1.5,3)+3)/12))</f>
        <v>0</v>
      </c>
      <c r="AC2008">
        <f>AB2008-W2008</f>
        <v>0</v>
      </c>
      <c r="AD2008" cm="1">
        <f t="array" ref="AD2008">IFERROR(IF(AC2008&lt;0,0,AC2008/($R$1956-INDEX(hd_off,MATCH(AQ2008,hd_mark,0),0)/12)),0)</f>
        <v>0</v>
      </c>
      <c r="AE2008">
        <f>IF(S2008=0,0,$AD$1956*$AM$1944)</f>
        <v>0</v>
      </c>
      <c r="AF2008">
        <f>IFERROR(AE2008/$R$1956,0)</f>
        <v>0</v>
      </c>
      <c r="AG2008">
        <f>AE2008*($F$24+IF($F$24=0,0,($C$14+$C$15+IF($C$13="single",1.5,3)+3)/12))</f>
        <v>0</v>
      </c>
      <c r="AH2008">
        <f>AG2008-X2008</f>
        <v>0</v>
      </c>
      <c r="AI2008" cm="1">
        <f t="array" ref="AI2008">IFERROR(IF(AH2008&lt;0,0,AH2008/($R$1956-INDEX(hd_off,MATCH(AQ2008,hd_mark,0),0)/12)),0)</f>
        <v>0</v>
      </c>
      <c r="AJ2008">
        <f>MAX($F$24,$AB$1956)/$Q$1972</f>
        <v>0</v>
      </c>
      <c r="AK2008">
        <f t="shared" si="1243"/>
        <v>0</v>
      </c>
      <c r="AL2008" cm="1">
        <f t="array" ref="AL2008">IFERROR(INDEX(sheath_ecap_asd,MATCH(AP2008,sheath_mark,0),0)*AK2008,0)</f>
        <v>0</v>
      </c>
      <c r="AM2008" cm="1">
        <f t="array" ref="AM2008">IFERROR(INDEX(sheath_wcap_asd,MATCH(AP2008,sheath_mark,0),0)*AK2008,0)</f>
        <v>0</v>
      </c>
      <c r="AN2008" cm="1">
        <f t="array" ref="AN2008">IFERROR(INDEX(hd_cap,MATCH(AQ2008,hd_mark,0),0),0)</f>
        <v>0</v>
      </c>
      <c r="AP2008" s="19"/>
      <c r="AQ2008" s="19"/>
      <c r="AR2008" s="100"/>
      <c r="AS2008" s="93"/>
      <c r="AT2008" s="111">
        <f>$R$1956</f>
        <v>0</v>
      </c>
      <c r="AU2008" t="str">
        <f>$Q$1944</f>
        <v>L5</v>
      </c>
      <c r="AV2008">
        <f>$E$24</f>
        <v>0</v>
      </c>
      <c r="AW2008" cm="1">
        <f t="array" ref="AW2008">IFERROR(IF(AV2008=0,0,(INDEX($C$33:$C$38,MATCH($AZ$1956,$B$33:$B$38,0),0)*(AV2009+$BA$1956)+$AW$1956*COUNTIF(AV2008:AV2008,"&gt;0")*$C$32+$AY$1956*$C$31)*$AU$1956),0)</f>
        <v>0</v>
      </c>
      <c r="AX2008">
        <f>IF(AV2008=0,0,-(COUNTIF(AV2008:AV2008,"&gt;0")*$AW$1956*$C$32+$AY$1956*$C$31)*$H$27*$AU$1956)</f>
        <v>0</v>
      </c>
      <c r="AY2008">
        <f>IF(AV2008=0,0,$AY$1956*$H$26*$AU$1956)</f>
        <v>0</v>
      </c>
      <c r="AZ2008">
        <f>(0.6*AW2008+0.7*AX2008)*$AU$1956/2</f>
        <v>0</v>
      </c>
      <c r="BA2008">
        <f>AW2008*$AU$1956/2</f>
        <v>0</v>
      </c>
      <c r="BC2008">
        <f>IF(AV2008=0,0,$BG$1956*$AP$1944)</f>
        <v>0</v>
      </c>
      <c r="BD2008">
        <f>IFERROR(BC2008/$AU$1956,0)</f>
        <v>0</v>
      </c>
      <c r="BE2008">
        <f>BC2008*($F$24+IF($F$24=0,0,($C$14+$C$15+IF($C$13="single",1.5,3)+3)/12))</f>
        <v>0</v>
      </c>
      <c r="BF2008">
        <f>BE2008-AZ2008</f>
        <v>0</v>
      </c>
      <c r="BG2008" cm="1">
        <f t="array" ref="BG2008">IFERROR(IF(BF2008&lt;0,0,BF2008/($AU$1956-INDEX(hd_off,MATCH(BT2008,hd_mark,0),0)/12)),0)</f>
        <v>0</v>
      </c>
      <c r="BH2008">
        <f>IF(AV2008=0,0,$BG$1956*$AM$1944)</f>
        <v>0</v>
      </c>
      <c r="BI2008">
        <f>IFERROR(BH2008/$AU$1956,0)</f>
        <v>0</v>
      </c>
      <c r="BJ2008">
        <f>BH2008*($F$24+IF($F$24=0,0,($C$14+$C$15+IF($C$13="single",1.5,3)+3)/12))</f>
        <v>0</v>
      </c>
      <c r="BK2008">
        <f>BJ2008-BA2008</f>
        <v>0</v>
      </c>
      <c r="BL2008" cm="1">
        <f t="array" ref="BL2008">IFERROR(IF(BK2008&lt;0,0,BK2008/($AU$1956-INDEX(hd_off,MATCH(BT2008,hd_mark,0),0)/12)),0)</f>
        <v>0</v>
      </c>
      <c r="BM2008">
        <f>MAX($F$24,$BE$1956)/$Q$1972</f>
        <v>0</v>
      </c>
      <c r="BN2008">
        <f t="shared" si="1244"/>
        <v>0</v>
      </c>
      <c r="BO2008" cm="1">
        <f t="array" ref="BO2008">IFERROR(INDEX(sheath_ecap_asd,MATCH(BS2008,sheath_mark,0),0)*BN2008,0)</f>
        <v>0</v>
      </c>
      <c r="BP2008" cm="1">
        <f t="array" ref="BP2008">IFERROR(INDEX(sheath_wcap_asd,MATCH(BS2008,sheath_mark,0),0)*BN2008,0)</f>
        <v>0</v>
      </c>
      <c r="BQ2008" cm="1">
        <f t="array" ref="BQ2008">IFERROR(INDEX(hd_cap,MATCH(BT2008,hd_mark,0),0),0)</f>
        <v>0</v>
      </c>
      <c r="BS2008" s="19"/>
      <c r="BT2008" s="19"/>
      <c r="BU2008" s="100"/>
    </row>
    <row r="2009" x14ac:dyDescent="0.25">
      <c r="P2009" s="93"/>
      <c r="Q2009" s="109"/>
      <c r="R2009" t="str">
        <f>$Q$1945</f>
        <v>Roof</v>
      </c>
      <c r="S2009">
        <f>$E$25</f>
        <v>33.171875</v>
      </c>
      <c r="T2009" cm="1">
        <f t="array" ref="T2009">IFERROR(IF(S2009=0,0,(INDEX($C$33:$C$38,MATCH($W$1956,$B$33:$B$38,0),0)*(S2009+$X$1956)+$V$1956*$C$31)*$R$1956),0)</f>
        <v>0</v>
      </c>
      <c r="U2009">
        <f>IF(S2009=0,0,-$V$1956*$C$31*$H$27*$R$1956)</f>
        <v>0</v>
      </c>
      <c r="V2009">
        <f>IF(S2009=0,0,$V$1956*$H$26*$R$1956)</f>
        <v>0</v>
      </c>
      <c r="W2009">
        <f>(0.6*T2009+0.7*U2009)*$R$1956/2</f>
        <v>0</v>
      </c>
      <c r="X2009">
        <f>T2009*$R$1956/2</f>
        <v>0</v>
      </c>
      <c r="Z2009">
        <f>IF(S2009=0,0,$AD$1956*$AP$1945)</f>
        <v>0</v>
      </c>
      <c r="AA2009">
        <f>IFERROR(Z2009/$R$1956,0)</f>
        <v>0</v>
      </c>
      <c r="AB2009">
        <f>Z2009*($F$25+($C$16+$C$17+IF($C$13="single",1.5,3)+3)/12)</f>
        <v>0</v>
      </c>
      <c r="AC2009">
        <f>AB2009-W2009</f>
        <v>0</v>
      </c>
      <c r="AD2009" cm="1">
        <f t="array" ref="AD2009">IFERROR(IF(AC2009&lt;0,0,AC2009/($R$1956-INDEX(hd_off,MATCH(AQ2009,hd_mark,0),0)/12)),0)</f>
        <v>0</v>
      </c>
      <c r="AE2009">
        <f>IF(S2009=0,0,$AD$1956*$AM$1945)</f>
        <v>0</v>
      </c>
      <c r="AF2009">
        <f>IFERROR(AE2009/$R$1956,0)</f>
        <v>0</v>
      </c>
      <c r="AG2009">
        <f>AE2009*($F$25+($C$16+$C$17+IF($C$13="single",1.5,3)+3)/12)</f>
        <v>0</v>
      </c>
      <c r="AH2009">
        <f>AG2009-X2009</f>
        <v>0</v>
      </c>
      <c r="AI2009" cm="1">
        <f t="array" ref="AI2009">IFERROR(IF(AH2009&lt;0,0,AH2009/($R$1956-INDEX(hd_off,MATCH(AQ2009,hd_mark,0),0)/12)),0)</f>
        <v>0</v>
      </c>
      <c r="AJ2009">
        <f>MAX($F$25,$AC$1956)/$Q$1972</f>
        <v>0.29920977011494249</v>
      </c>
      <c r="AK2009">
        <f t="shared" si="1243"/>
        <v>1</v>
      </c>
      <c r="AL2009" cm="1">
        <f t="array" ref="AL2009">IFERROR(INDEX(sheath_ecap_asd,MATCH(AP2009,sheath_mark,0),0)*AK2009,0)</f>
        <v>0</v>
      </c>
      <c r="AM2009" cm="1">
        <f t="array" ref="AM2009">IFERROR(INDEX(sheath_wcap_asd,MATCH(AP2009,sheath_mark,0),0)*AK2009,0)</f>
        <v>0</v>
      </c>
      <c r="AN2009" cm="1">
        <f t="array" ref="AN2009">IFERROR(INDEX(hd_cap,MATCH(AQ2009,hd_mark,0),0),0)</f>
        <v>0</v>
      </c>
      <c r="AP2009" s="19"/>
      <c r="AQ2009" s="19"/>
      <c r="AR2009" s="100"/>
      <c r="AS2009" s="93"/>
      <c r="AT2009" s="109"/>
      <c r="AU2009" t="str">
        <f>$Q$1945</f>
        <v>Roof</v>
      </c>
      <c r="AV2009">
        <f>$E$25</f>
        <v>33.171875</v>
      </c>
      <c r="AW2009" cm="1">
        <f t="array" ref="AW2009">IFERROR(IF(AV2009=0,0,(INDEX($C$33:$C$38,MATCH($AZ$1956,$B$33:$B$38,0),0)*(AV2009+$BA$1956)+$AY$1956*$C$31)*$AU$1956),0)</f>
        <v>0</v>
      </c>
      <c r="AX2009">
        <f>IF(AV2009=0,0,-$AY$1956*$C$31*$H$27*$AU$1956)</f>
        <v>0</v>
      </c>
      <c r="AY2009">
        <f>IF(AV2009=0,0,$AY$1956*$H$26*$AU$1956)</f>
        <v>0</v>
      </c>
      <c r="AZ2009">
        <f>(0.6*AW2009+0.7*AX2009)*$AU$1956/2</f>
        <v>0</v>
      </c>
      <c r="BA2009">
        <f>AW2009*$AU$1956/2</f>
        <v>0</v>
      </c>
      <c r="BC2009">
        <f>IF(AV2009=0,0,$BG$1956*$AP$1945)</f>
        <v>0</v>
      </c>
      <c r="BD2009">
        <f>IFERROR(BC2009/$AU$1956,0)</f>
        <v>0</v>
      </c>
      <c r="BE2009">
        <f>BC2009*($F$25+($C$16+$C$17+IF($C$13="single",1.5,3)+3)/12)</f>
        <v>0</v>
      </c>
      <c r="BF2009">
        <f>BE2009-AZ2009</f>
        <v>0</v>
      </c>
      <c r="BG2009" cm="1">
        <f t="array" ref="BG2009">IFERROR(IF(BF2009&lt;0,0,BF2009/($AU$1956-INDEX(hd_off,MATCH(BT2009,hd_mark,0),0)/12)),0)</f>
        <v>0</v>
      </c>
      <c r="BH2009">
        <f>IF(AV2009=0,0,$BG$1956*$AM$1945)</f>
        <v>0</v>
      </c>
      <c r="BI2009">
        <f>IFERROR(BH2009/$AU$1956,0)</f>
        <v>0</v>
      </c>
      <c r="BJ2009">
        <f>BH2009*($F$25+($C$16+$C$17+IF($C$13="single",1.5,3)+3)/12)</f>
        <v>0</v>
      </c>
      <c r="BK2009">
        <f>BJ2009-BA2009</f>
        <v>0</v>
      </c>
      <c r="BL2009" cm="1">
        <f t="array" ref="BL2009">IFERROR(IF(BK2009&lt;0,0,BK2009/($AU$1956-INDEX(hd_off,MATCH(BT2009,hd_mark,0),0)/12)),0)</f>
        <v>0</v>
      </c>
      <c r="BM2009">
        <f>MAX($F$25,$BF$1956)/$Q$1972</f>
        <v>0.29920977011494249</v>
      </c>
      <c r="BN2009">
        <f t="shared" si="1244"/>
        <v>1</v>
      </c>
      <c r="BO2009" cm="1">
        <f t="array" ref="BO2009">IFERROR(INDEX(sheath_ecap_asd,MATCH(BS2009,sheath_mark,0),0)*BN2009,0)</f>
        <v>0</v>
      </c>
      <c r="BP2009" cm="1">
        <f t="array" ref="BP2009">IFERROR(INDEX(sheath_wcap_asd,MATCH(BS2009,sheath_mark,0),0)*BN2009,0)</f>
        <v>0</v>
      </c>
      <c r="BQ2009" cm="1">
        <f t="array" ref="BQ2009">IFERROR(INDEX(hd_cap,MATCH(BT2009,hd_mark,0),0),0)</f>
        <v>0</v>
      </c>
      <c r="BS2009" s="19"/>
      <c r="BT2009" s="19"/>
      <c r="BU2009" s="100"/>
    </row>
    <row r="2010" x14ac:dyDescent="0.25">
      <c r="P2010" s="93"/>
      <c r="AR2010" s="100"/>
      <c r="AS2010" s="93"/>
      <c r="BU2010" s="100"/>
    </row>
    <row r="2011" x14ac:dyDescent="0.25">
      <c r="P2011" s="93"/>
      <c r="Q2011" s="110" t="str">
        <f>$Q$1957</f>
        <v>A.08</v>
      </c>
      <c r="R2011" t="str">
        <f>$Q$1941</f>
        <v>L2</v>
      </c>
      <c r="S2011">
        <f>$E$21</f>
        <v>10.6875</v>
      </c>
      <c r="T2011" cm="1">
        <f t="array" ref="T2011">IFERROR(IF(S2011=0,0,(INDEX($C$33:$C$38,MATCH($W$1957,$B$33:$B$38,0),0)*(S2015+$X$1957)+$T$1957*COUNTIF(S2011:S2014,"&gt;0")*$C$32+$V$1957*$C$31)*$R$1957),0)</f>
        <v>0</v>
      </c>
      <c r="U2011">
        <f>IF(S2011=0,0,-(COUNTIF(S2011:S2014,"&gt;0")*$T$1957*$C$32+$V$1957*$C$31)*$H$27*$R$1957)</f>
        <v>0</v>
      </c>
      <c r="V2011">
        <f>IF(S2011=0,0,$V$1957*$H$26*$R$1957)</f>
        <v>0</v>
      </c>
      <c r="W2011">
        <f>(0.6*T2011+0.7*U2011)*$R$1957/2</f>
        <v>0</v>
      </c>
      <c r="X2011">
        <f>(0.6*T2011+0.6*V2011)*$R$1957/2</f>
        <v>0</v>
      </c>
      <c r="Z2011">
        <f>IF(S2011=0,0,$AD$1957*$AP$1941)</f>
        <v>0</v>
      </c>
      <c r="AA2011">
        <f>IFERROR(Z2011/$R$1957,0)</f>
        <v>0</v>
      </c>
      <c r="AB2011">
        <f>Z2011*($F$21+IF($F$21=0,0,($C$14+$C$15+IF($C$13="single",1.5,3)+3)/12))</f>
        <v>0</v>
      </c>
      <c r="AC2011">
        <f>AB2011-W2011</f>
        <v>0</v>
      </c>
      <c r="AD2011" cm="1">
        <f t="array" ref="AD2011">IFERROR(IF(AC2011&lt;0,0,AC2011/($R$1957-INDEX(hd_off,MATCH(AQ2011,hd_mark,0),0)/12)),0)</f>
        <v>0</v>
      </c>
      <c r="AE2011">
        <f>IF(S2011=0,0,$AD$1957*$AM$1941)</f>
        <v>0</v>
      </c>
      <c r="AF2011">
        <f>IFERROR(AE2011/$R$1957,0)</f>
        <v>0</v>
      </c>
      <c r="AG2011">
        <f>AE2011*($F$21+IF($F$21=0,0,($C$14+$C$15+IF($C$13="single",1.5,3)+3)/12))</f>
        <v>0</v>
      </c>
      <c r="AH2011">
        <f>AG2011-X2011</f>
        <v>0</v>
      </c>
      <c r="AI2011" cm="1">
        <f t="array" ref="AI2011">IFERROR(IF(AH2011&lt;0,0,AH2011/($R$1957-INDEX(hd_off,MATCH(AQ2011,hd_mark,0),0)/12)),0)</f>
        <v>0</v>
      </c>
      <c r="AJ2011">
        <f>MAX($F$21,$Y$1957)/$Q$1972</f>
        <v>0.30172413793103448</v>
      </c>
      <c r="AK2011">
        <f>IF(AJ2011=0,0,IF(AJ2011&gt;2,1.25-0.125*AJ2011,1))</f>
        <v>1</v>
      </c>
      <c r="AL2011" cm="1">
        <f t="array" ref="AL2011">IFERROR(INDEX(sheath_ecap_asd,MATCH(AP2011,sheath_mark,0),0)*AK2011,0)</f>
        <v>0</v>
      </c>
      <c r="AM2011" cm="1">
        <f t="array" ref="AM2011">IFERROR(INDEX(sheath_wcap_asd,MATCH(AP2011,sheath_mark,0),0)*AK2011,0)</f>
        <v>0</v>
      </c>
      <c r="AN2011" cm="1">
        <f t="array" ref="AN2011">IFERROR(INDEX(hd_cap,MATCH(AQ2011,hd_mark,0),0),0)</f>
        <v>0</v>
      </c>
      <c r="AP2011" s="19"/>
      <c r="AQ2011" s="19"/>
      <c r="AR2011" s="100"/>
      <c r="AS2011" s="93"/>
      <c r="AT2011" s="110" t="str">
        <f>$AT$1957</f>
        <v>1.08</v>
      </c>
      <c r="AU2011" t="str">
        <f>$Q$1941</f>
        <v>L2</v>
      </c>
      <c r="AV2011">
        <f>$E$21</f>
        <v>10.6875</v>
      </c>
      <c r="AW2011" cm="1">
        <f t="array" ref="AW2011">IFERROR(IF(AV2011=0,0,(INDEX($C$33:$C$38,MATCH($AZ$1957,$B$33:$B$38,0),0)*(AV2015+$BA$1957)+$AW$1957*COUNTIF(AV2011:AV2014,"&gt;0")*$C$32+$AY$1957*$C$31)*$AU$1957),0)</f>
        <v>0</v>
      </c>
      <c r="AX2011">
        <f>IF(AV2011=0,0,-(COUNTIF(AV2011:AV2014,"&gt;0")*$AW$1957*$C$32+$AY$1957*$C$31)*$H$27*$AU$1957)</f>
        <v>0</v>
      </c>
      <c r="AY2011">
        <f>IF(AV2011=0,0,$AY$1957*$H$26*$AU$1957)</f>
        <v>0</v>
      </c>
      <c r="AZ2011">
        <f>(0.6*AW2011+0.7*AX2011)*$AU$1957/2</f>
        <v>0</v>
      </c>
      <c r="BA2011">
        <f>(0.6*AW2011+0.6*AY2011)*$AU$1957/2</f>
        <v>0</v>
      </c>
      <c r="BC2011">
        <f>IF(AV2011=0,0,$BG$1957*$AP$1941)</f>
        <v>0</v>
      </c>
      <c r="BD2011">
        <f>IFERROR(BC2011/$AU$1957,0)</f>
        <v>0</v>
      </c>
      <c r="BE2011">
        <f>BC2011*($F$21+IF($F$21=0,0,($C$14+$C$15+IF($C$13="single",1.5,3)+3)/12))</f>
        <v>0</v>
      </c>
      <c r="BF2011">
        <f>BE2011-AZ2011</f>
        <v>0</v>
      </c>
      <c r="BG2011" cm="1">
        <f t="array" ref="BG2011">IFERROR(IF(BF2011&lt;0,0,BF2011/($AU$1957-INDEX(hd_off,MATCH(BT2011,hd_mark,0),0)/12)),0)</f>
        <v>0</v>
      </c>
      <c r="BH2011">
        <f>IF(AV2011=0,0,$BG$1957*$AM$1941)</f>
        <v>0</v>
      </c>
      <c r="BI2011">
        <f>IFERROR(BH2011/$AU$1957,0)</f>
        <v>0</v>
      </c>
      <c r="BJ2011">
        <f>BH2011*($F$21+IF($F$21=0,0,($C$14+$C$15+IF($C$13="single",1.5,3)+3)/12))</f>
        <v>0</v>
      </c>
      <c r="BK2011">
        <f>BJ2011-BA2011</f>
        <v>0</v>
      </c>
      <c r="BL2011" cm="1">
        <f t="array" ref="BL2011">IFERROR(IF(BK2011&lt;0,0,BK2011/($AU$1957-INDEX(hd_off,MATCH(BT2011,hd_mark,0),0)/12)),0)</f>
        <v>0</v>
      </c>
      <c r="BM2011">
        <f>MAX($F$21,$BB$1957)/$Q$1972</f>
        <v>0.30172413793103448</v>
      </c>
      <c r="BN2011">
        <f>IF(BM2011=0,0,IF(BM2011&gt;2,1.25-0.125*BM2011,1))</f>
        <v>1</v>
      </c>
      <c r="BO2011" cm="1">
        <f t="array" ref="BO2011">IFERROR(INDEX(sheath_ecap_asd,MATCH(BS2011,sheath_mark,0),0)*BN2011,0)</f>
        <v>0</v>
      </c>
      <c r="BP2011" cm="1">
        <f t="array" ref="BP2011">IFERROR(INDEX(sheath_wcap_asd,MATCH(BS2011,sheath_mark,0),0)*BN2011,0)</f>
        <v>0</v>
      </c>
      <c r="BQ2011" cm="1">
        <f t="array" ref="BQ2011">IFERROR(INDEX(hd_cap,MATCH(BT2011,hd_mark,0),0),0)</f>
        <v>0</v>
      </c>
      <c r="BS2011" s="19"/>
      <c r="BT2011" s="19"/>
      <c r="BU2011" s="100"/>
    </row>
    <row r="2012" x14ac:dyDescent="0.25">
      <c r="P2012" s="93"/>
      <c r="Q2012" s="109"/>
      <c r="R2012" t="str">
        <f>$Q$1942</f>
        <v>L3</v>
      </c>
      <c r="S2012">
        <f>$E$22</f>
        <v>21.375</v>
      </c>
      <c r="T2012" cm="1">
        <f t="array" ref="T2012">IFERROR(IF(S2012=0,0,(INDEX($C$33:$C$38,MATCH($W$1957,$B$33:$B$38,0),0)*(S2015+$X$1957)+$T$1957*COUNTIF(S2012:S2014,"&gt;0")*$C$32+$V$1957*$C$31)*$R$1957),0)</f>
        <v>0</v>
      </c>
      <c r="U2012">
        <f>IF(S2012=0,0,-(COUNTIF(S2012:S2014,"&gt;0")*$T$1957*$C$32+$V$1957*$C$31)*$H$27*$R$1957)</f>
        <v>0</v>
      </c>
      <c r="V2012">
        <f>IF(S2012=0,0,$V$1957*$H$26*$R$1957)</f>
        <v>0</v>
      </c>
      <c r="W2012">
        <f>(0.6*T2012+0.7*U2012)*$R$1957/2</f>
        <v>0</v>
      </c>
      <c r="X2012">
        <f>T2012*$R$1957/2</f>
        <v>0</v>
      </c>
      <c r="Z2012">
        <f>IF(S2012=0,0,$AD$1957*$AP$1942)</f>
        <v>0</v>
      </c>
      <c r="AA2012">
        <f>IFERROR(Z2012/$R$1957,0)</f>
        <v>0</v>
      </c>
      <c r="AB2012">
        <f>Z2012*($F$22+IF($F$22=0,0,($C$14+$C$15+IF($C$13="single",1.5,3)+3)/12))</f>
        <v>0</v>
      </c>
      <c r="AC2012">
        <f>AB2012-W2012</f>
        <v>0</v>
      </c>
      <c r="AD2012" cm="1">
        <f t="array" ref="AD2012">IFERROR(IF(AC2012&lt;0,0,AC2012/($R$1957-INDEX(hd_off,MATCH(AQ2012,hd_mark,0),0)/12)),0)</f>
        <v>0</v>
      </c>
      <c r="AE2012">
        <f>IF(S2012=0,0,$AD$1957*$AM$1942)</f>
        <v>0</v>
      </c>
      <c r="AF2012">
        <f>IFERROR(AE2012/$R$1957,0)</f>
        <v>0</v>
      </c>
      <c r="AG2012">
        <f>AE2012*($F$22+IF($F$22=0,0,($C$14+$C$15+IF($C$13="single",1.5,3)+3)/12))</f>
        <v>0</v>
      </c>
      <c r="AH2012">
        <f>AG2012-X2012</f>
        <v>0</v>
      </c>
      <c r="AI2012" cm="1">
        <f t="array" ref="AI2012">IFERROR(IF(AH2012&lt;0,0,AH2012/($R$1957-INDEX(hd_off,MATCH(AQ2012,hd_mark,0),0)/12)),0)</f>
        <v>0</v>
      </c>
      <c r="AJ2012">
        <f>MAX($F$22,$Z$1957)/$Q$1972</f>
        <v>0.30172413793103448</v>
      </c>
      <c r="AK2012">
        <f t="shared" ref="AK2012:AK2015" si="1245">IF(AJ2012=0,0,IF(AJ2012&gt;2,1.25-0.125*AJ2012,1))</f>
        <v>1</v>
      </c>
      <c r="AL2012" cm="1">
        <f t="array" ref="AL2012">IFERROR(INDEX(sheath_ecap_asd,MATCH(AP2012,sheath_mark,0),0)*AK2012,0)</f>
        <v>0</v>
      </c>
      <c r="AM2012" cm="1">
        <f t="array" ref="AM2012">IFERROR(INDEX(sheath_wcap_asd,MATCH(AP2012,sheath_mark,0),0)*AK2012,0)</f>
        <v>0</v>
      </c>
      <c r="AN2012" cm="1">
        <f t="array" ref="AN2012">IFERROR(INDEX(hd_cap,MATCH(AQ2012,hd_mark,0),0),0)</f>
        <v>0</v>
      </c>
      <c r="AP2012" s="19"/>
      <c r="AQ2012" s="19"/>
      <c r="AR2012" s="100"/>
      <c r="AS2012" s="93"/>
      <c r="AT2012" s="109"/>
      <c r="AU2012" t="str">
        <f>$Q$1942</f>
        <v>L3</v>
      </c>
      <c r="AV2012">
        <f>$E$22</f>
        <v>21.375</v>
      </c>
      <c r="AW2012" cm="1">
        <f t="array" ref="AW2012">IFERROR(IF(AV2012=0,0,(INDEX($C$33:$C$38,MATCH($AZ$1957,$B$33:$B$38,0),0)*(AV2015+$BA$1957)+$AW$1957*COUNTIF(AV2012:AV2014,"&gt;0")*$C$32+$AY$1957*$C$31)*$AU$1957),0)</f>
        <v>0</v>
      </c>
      <c r="AX2012">
        <f>IF(AV2012=0,0,-(COUNTIF(AV2012:AV2014,"&gt;0")*$AW$1957*$C$32+$AY$1957*$C$31)*$H$27*$AU$1957)</f>
        <v>0</v>
      </c>
      <c r="AY2012">
        <f>IF(AV2012=0,0,$AY$1957*$H$26*$AU$1957)</f>
        <v>0</v>
      </c>
      <c r="AZ2012">
        <f>(0.6*AW2012+0.7*AX2012)*$AU$1957/2</f>
        <v>0</v>
      </c>
      <c r="BA2012">
        <f>AW2012*$AU$1957/2</f>
        <v>0</v>
      </c>
      <c r="BC2012">
        <f>IF(AV2012=0,0,$BG$1957*$AP$1942)</f>
        <v>0</v>
      </c>
      <c r="BD2012">
        <f>IFERROR(BC2012/$AU$1957,0)</f>
        <v>0</v>
      </c>
      <c r="BE2012">
        <f>BC2012*($F$22+IF($F$22=0,0,($C$14+$C$15+IF($C$13="single",1.5,3)+3)/12))</f>
        <v>0</v>
      </c>
      <c r="BF2012">
        <f>BE2012-AZ2012</f>
        <v>0</v>
      </c>
      <c r="BG2012" cm="1">
        <f t="array" ref="BG2012">IFERROR(IF(BF2012&lt;0,0,BF2012/($AU$1957-INDEX(hd_off,MATCH(BT2012,hd_mark,0),0)/12)),0)</f>
        <v>0</v>
      </c>
      <c r="BH2012">
        <f>IF(AV2012=0,0,$BG$1957*$AM$1942)</f>
        <v>0</v>
      </c>
      <c r="BI2012">
        <f>IFERROR(BH2012/$AU$1957,0)</f>
        <v>0</v>
      </c>
      <c r="BJ2012">
        <f>BH2012*($F$22+IF($F$22=0,0,($C$14+$C$15+IF($C$13="single",1.5,3)+3)/12))</f>
        <v>0</v>
      </c>
      <c r="BK2012">
        <f>BJ2012-BA2012</f>
        <v>0</v>
      </c>
      <c r="BL2012" cm="1">
        <f t="array" ref="BL2012">IFERROR(IF(BK2012&lt;0,0,BK2012/($AU$1957-INDEX(hd_off,MATCH(BT2012,hd_mark,0),0)/12)),0)</f>
        <v>0</v>
      </c>
      <c r="BM2012">
        <f>MAX($F$22,$BC$1957)/$Q$1972</f>
        <v>0.30172413793103448</v>
      </c>
      <c r="BN2012">
        <f t="shared" ref="BN2012:BN2015" si="1246">IF(BM2012=0,0,IF(BM2012&gt;2,1.25-0.125*BM2012,1))</f>
        <v>1</v>
      </c>
      <c r="BO2012" cm="1">
        <f t="array" ref="BO2012">IFERROR(INDEX(sheath_ecap_asd,MATCH(BS2012,sheath_mark,0),0)*BN2012,0)</f>
        <v>0</v>
      </c>
      <c r="BP2012" cm="1">
        <f t="array" ref="BP2012">IFERROR(INDEX(sheath_wcap_asd,MATCH(BS2012,sheath_mark,0),0)*BN2012,0)</f>
        <v>0</v>
      </c>
      <c r="BQ2012" cm="1">
        <f t="array" ref="BQ2012">IFERROR(INDEX(hd_cap,MATCH(BT2012,hd_mark,0),0),0)</f>
        <v>0</v>
      </c>
      <c r="BS2012" s="19"/>
      <c r="BT2012" s="19"/>
      <c r="BU2012" s="100"/>
    </row>
    <row r="2013" x14ac:dyDescent="0.25">
      <c r="P2013" s="93"/>
      <c r="Q2013" s="109" t="s">
        <v>491</v>
      </c>
      <c r="R2013" t="str">
        <f>$Q$1943</f>
        <v>L4</v>
      </c>
      <c r="S2013">
        <f>$E$23</f>
        <v>0</v>
      </c>
      <c r="T2013" cm="1">
        <f t="array" ref="T2013">IFERROR(IF(S2013=0,0,(INDEX($C$33:$C$38,MATCH($W$1957,$B$33:$B$38,0),0)*(S2015+$X$1957)+$T$1957*COUNTIF(S2013:S2014,"&gt;0")*$C$32+$V$1957*$C$31)*$R$1957),0)</f>
        <v>0</v>
      </c>
      <c r="U2013">
        <f>IF(S2013=0,0,-(COUNTIF(S2013:S2014,"&gt;0")*$T$1957*$C$32+$V$1957*$C$31)*$H$27*$R$1957)</f>
        <v>0</v>
      </c>
      <c r="V2013">
        <f>IF(S2013=0,0,$V$1957*$H$26*$R$1957)</f>
        <v>0</v>
      </c>
      <c r="W2013">
        <f>(0.6*T2013+0.7*U2013)*$R$1957/2</f>
        <v>0</v>
      </c>
      <c r="X2013">
        <f>T2013*$R$1957/2</f>
        <v>0</v>
      </c>
      <c r="Z2013">
        <f>IF(S2013=0,0,$AD$1957*$AP$1943)</f>
        <v>0</v>
      </c>
      <c r="AA2013">
        <f>IFERROR(Z2013/$R$1957,0)</f>
        <v>0</v>
      </c>
      <c r="AB2013">
        <f>Z2013*($F$23+IF($F$23=0,0,($C$14+$C$15+IF($C$13="single",1.5,3)+3)/12))</f>
        <v>0</v>
      </c>
      <c r="AC2013">
        <f>AB2013-W2013</f>
        <v>0</v>
      </c>
      <c r="AD2013" cm="1">
        <f t="array" ref="AD2013">IFERROR(IF(AC2013&lt;0,0,AC2013/($R$1957-INDEX(hd_off,MATCH(AQ2013,hd_mark,0),0)/12)),0)</f>
        <v>0</v>
      </c>
      <c r="AE2013">
        <f>IF(S2013=0,0,$AD$1957*$AM$1943)</f>
        <v>0</v>
      </c>
      <c r="AF2013">
        <f>IFERROR(AE2013/$R$1957,0)</f>
        <v>0</v>
      </c>
      <c r="AG2013">
        <f>AE2013*($F$23+IF($F$23=0,0,($C$14+$C$15+IF($C$13="single",1.5,3)+3)/12))</f>
        <v>0</v>
      </c>
      <c r="AH2013">
        <f>AG2013-X2013</f>
        <v>0</v>
      </c>
      <c r="AI2013" cm="1">
        <f t="array" ref="AI2013">IFERROR(IF(AH2013&lt;0,0,AH2013/($R$1957-INDEX(hd_off,MATCH(AQ2013,hd_mark,0),0)/12)),0)</f>
        <v>0</v>
      </c>
      <c r="AJ2013">
        <f>MAX($F$23,$AA$1957)/$Q$1972</f>
        <v>0</v>
      </c>
      <c r="AK2013">
        <f t="shared" si="1245"/>
        <v>0</v>
      </c>
      <c r="AL2013" cm="1">
        <f t="array" ref="AL2013">IFERROR(INDEX(sheath_ecap_asd,MATCH(AP2013,sheath_mark,0),0)*AK2013,0)</f>
        <v>0</v>
      </c>
      <c r="AM2013" cm="1">
        <f t="array" ref="AM2013">IFERROR(INDEX(sheath_wcap_asd,MATCH(AP2013,sheath_mark,0),0)*AK2013,0)</f>
        <v>0</v>
      </c>
      <c r="AN2013" cm="1">
        <f t="array" ref="AN2013">IFERROR(INDEX(hd_cap,MATCH(AQ2013,hd_mark,0),0),0)</f>
        <v>0</v>
      </c>
      <c r="AP2013" s="19"/>
      <c r="AQ2013" s="19"/>
      <c r="AR2013" s="100"/>
      <c r="AS2013" s="93"/>
      <c r="AT2013" s="109" t="s">
        <v>491</v>
      </c>
      <c r="AU2013" t="str">
        <f>$Q$1943</f>
        <v>L4</v>
      </c>
      <c r="AV2013">
        <f>$E$23</f>
        <v>0</v>
      </c>
      <c r="AW2013" cm="1">
        <f t="array" ref="AW2013">IFERROR(IF(AV2013=0,0,(INDEX($C$33:$C$38,MATCH($AZ$1957,$B$33:$B$38,0),0)*(AV2015+$BA$1957)+$AW$1957*COUNTIF(AV2013:AV2014,"&gt;0")*$C$32+$AY$1957*$C$31)*$AU$1957),0)</f>
        <v>0</v>
      </c>
      <c r="AX2013">
        <f>IF(AV2013=0,0,-(COUNTIF(AV2013:AV2014,"&gt;0")*$AW$1957*$C$32+$AY$1957*$C$31)*$H$27*$AU$1957)</f>
        <v>0</v>
      </c>
      <c r="AY2013">
        <f>IF(AV2013=0,0,$AY$1957*$H$26*$AU$1957)</f>
        <v>0</v>
      </c>
      <c r="AZ2013">
        <f>(0.6*AW2013+0.7*AX2013)*$AU$1957/2</f>
        <v>0</v>
      </c>
      <c r="BA2013">
        <f>AW2013*$AU$1957/2</f>
        <v>0</v>
      </c>
      <c r="BC2013">
        <f>IF(AV2013=0,0,$BG$1957*$AP$1943)</f>
        <v>0</v>
      </c>
      <c r="BD2013">
        <f>IFERROR(BC2013/$AU$1957,0)</f>
        <v>0</v>
      </c>
      <c r="BE2013">
        <f>BC2013*($F$23+IF($F$23=0,0,($C$14+$C$15+IF($C$13="single",1.5,3)+3)/12))</f>
        <v>0</v>
      </c>
      <c r="BF2013">
        <f>BE2013-AZ2013</f>
        <v>0</v>
      </c>
      <c r="BG2013" cm="1">
        <f t="array" ref="BG2013">IFERROR(IF(BF2013&lt;0,0,BF2013/($AU$1957-INDEX(hd_off,MATCH(BT2013,hd_mark,0),0)/12)),0)</f>
        <v>0</v>
      </c>
      <c r="BH2013">
        <f>IF(AV2013=0,0,$BG$1957*$AM$1943)</f>
        <v>0</v>
      </c>
      <c r="BI2013">
        <f>IFERROR(BH2013/$AU$1957,0)</f>
        <v>0</v>
      </c>
      <c r="BJ2013">
        <f>BH2013*($F$23+IF($F$23=0,0,($C$14+$C$15+IF($C$13="single",1.5,3)+3)/12))</f>
        <v>0</v>
      </c>
      <c r="BK2013">
        <f>BJ2013-BA2013</f>
        <v>0</v>
      </c>
      <c r="BL2013" cm="1">
        <f t="array" ref="BL2013">IFERROR(IF(BK2013&lt;0,0,BK2013/($AU$1957-INDEX(hd_off,MATCH(BT2013,hd_mark,0),0)/12)),0)</f>
        <v>0</v>
      </c>
      <c r="BM2013">
        <f>MAX($F$23,$BD$1957)/$Q$1972</f>
        <v>0</v>
      </c>
      <c r="BN2013">
        <f t="shared" si="1246"/>
        <v>0</v>
      </c>
      <c r="BO2013" cm="1">
        <f t="array" ref="BO2013">IFERROR(INDEX(sheath_ecap_asd,MATCH(BS2013,sheath_mark,0),0)*BN2013,0)</f>
        <v>0</v>
      </c>
      <c r="BP2013" cm="1">
        <f t="array" ref="BP2013">IFERROR(INDEX(sheath_wcap_asd,MATCH(BS2013,sheath_mark,0),0)*BN2013,0)</f>
        <v>0</v>
      </c>
      <c r="BQ2013" cm="1">
        <f t="array" ref="BQ2013">IFERROR(INDEX(hd_cap,MATCH(BT2013,hd_mark,0),0),0)</f>
        <v>0</v>
      </c>
      <c r="BS2013" s="19"/>
      <c r="BT2013" s="19"/>
      <c r="BU2013" s="100"/>
    </row>
    <row r="2014" x14ac:dyDescent="0.25">
      <c r="P2014" s="93"/>
      <c r="Q2014" s="111">
        <f>$R$1957</f>
        <v>0</v>
      </c>
      <c r="R2014" t="str">
        <f>$Q$1944</f>
        <v>L5</v>
      </c>
      <c r="S2014">
        <f>$E$24</f>
        <v>0</v>
      </c>
      <c r="T2014" cm="1">
        <f t="array" ref="T2014">IFERROR(IF(S2014=0,0,(INDEX($C$33:$C$38,MATCH($W$1957,$B$33:$B$38,0),0)*(S2015+$X$1957)+$T$1957*COUNTIF(S2014:S2014,"&gt;0")*$C$32+$V$1957*$C$31)*$R$1957),0)</f>
        <v>0</v>
      </c>
      <c r="U2014">
        <f>IF(S2014=0,0,-(COUNTIF(S2014:S2014,"&gt;0")*$T$1957*$C$32+$V$1957*$C$31)*$H$27*$R$1957)</f>
        <v>0</v>
      </c>
      <c r="V2014">
        <f>IF(S2014=0,0,$V$1957*$H$26*$R$1957)</f>
        <v>0</v>
      </c>
      <c r="W2014">
        <f>(0.6*T2014+0.7*U2014)*$R$1957/2</f>
        <v>0</v>
      </c>
      <c r="X2014">
        <f>T2014*$R$1957/2</f>
        <v>0</v>
      </c>
      <c r="Z2014">
        <f>IF(S2014=0,0,$AD$1957*$AP$1944)</f>
        <v>0</v>
      </c>
      <c r="AA2014">
        <f>IFERROR(Z2014/$R$1957,0)</f>
        <v>0</v>
      </c>
      <c r="AB2014">
        <f>Z2014*($F$24+IF($F$24=0,0,($C$14+$C$15+IF($C$13="single",1.5,3)+3)/12))</f>
        <v>0</v>
      </c>
      <c r="AC2014">
        <f>AB2014-W2014</f>
        <v>0</v>
      </c>
      <c r="AD2014" cm="1">
        <f t="array" ref="AD2014">IFERROR(IF(AC2014&lt;0,0,AC2014/($R$1957-INDEX(hd_off,MATCH(AQ2014,hd_mark,0),0)/12)),0)</f>
        <v>0</v>
      </c>
      <c r="AE2014">
        <f>IF(S2014=0,0,$AD$1957*$AM$1944)</f>
        <v>0</v>
      </c>
      <c r="AF2014">
        <f>IFERROR(AE2014/$R$1957,0)</f>
        <v>0</v>
      </c>
      <c r="AG2014">
        <f>AE2014*($F$24+IF($F$24=0,0,($C$14+$C$15+IF($C$13="single",1.5,3)+3)/12))</f>
        <v>0</v>
      </c>
      <c r="AH2014">
        <f>AG2014-X2014</f>
        <v>0</v>
      </c>
      <c r="AI2014" cm="1">
        <f t="array" ref="AI2014">IFERROR(IF(AH2014&lt;0,0,AH2014/($R$1957-INDEX(hd_off,MATCH(AQ2014,hd_mark,0),0)/12)),0)</f>
        <v>0</v>
      </c>
      <c r="AJ2014">
        <f>MAX($F$24,$AB$1957)/$Q$1972</f>
        <v>0</v>
      </c>
      <c r="AK2014">
        <f t="shared" si="1245"/>
        <v>0</v>
      </c>
      <c r="AL2014" cm="1">
        <f t="array" ref="AL2014">IFERROR(INDEX(sheath_ecap_asd,MATCH(AP2014,sheath_mark,0),0)*AK2014,0)</f>
        <v>0</v>
      </c>
      <c r="AM2014" cm="1">
        <f t="array" ref="AM2014">IFERROR(INDEX(sheath_wcap_asd,MATCH(AP2014,sheath_mark,0),0)*AK2014,0)</f>
        <v>0</v>
      </c>
      <c r="AN2014" cm="1">
        <f t="array" ref="AN2014">IFERROR(INDEX(hd_cap,MATCH(AQ2014,hd_mark,0),0),0)</f>
        <v>0</v>
      </c>
      <c r="AP2014" s="19"/>
      <c r="AQ2014" s="19"/>
      <c r="AR2014" s="100"/>
      <c r="AS2014" s="93"/>
      <c r="AT2014" s="111">
        <f>$R$1957</f>
        <v>0</v>
      </c>
      <c r="AU2014" t="str">
        <f>$Q$1944</f>
        <v>L5</v>
      </c>
      <c r="AV2014">
        <f>$E$24</f>
        <v>0</v>
      </c>
      <c r="AW2014" cm="1">
        <f t="array" ref="AW2014">IFERROR(IF(AV2014=0,0,(INDEX($C$33:$C$38,MATCH($AZ$1957,$B$33:$B$38,0),0)*(AV2015+$BA$1957)+$AW$1957*COUNTIF(AV2014:AV2014,"&gt;0")*$C$32+$AY$1957*$C$31)*$AU$1957),0)</f>
        <v>0</v>
      </c>
      <c r="AX2014">
        <f>IF(AV2014=0,0,-(COUNTIF(AV2014:AV2014,"&gt;0")*$AW$1957*$C$32+$AY$1957*$C$31)*$H$27*$AU$1957)</f>
        <v>0</v>
      </c>
      <c r="AY2014">
        <f>IF(AV2014=0,0,$AY$1957*$H$26*$AU$1957)</f>
        <v>0</v>
      </c>
      <c r="AZ2014">
        <f>(0.6*AW2014+0.7*AX2014)*$AU$1957/2</f>
        <v>0</v>
      </c>
      <c r="BA2014">
        <f>AW2014*$AU$1957/2</f>
        <v>0</v>
      </c>
      <c r="BC2014">
        <f>IF(AV2014=0,0,$BG$1957*$AP$1944)</f>
        <v>0</v>
      </c>
      <c r="BD2014">
        <f>IFERROR(BC2014/$AU$1957,0)</f>
        <v>0</v>
      </c>
      <c r="BE2014">
        <f>BC2014*($F$24+IF($F$24=0,0,($C$14+$C$15+IF($C$13="single",1.5,3)+3)/12))</f>
        <v>0</v>
      </c>
      <c r="BF2014">
        <f>BE2014-AZ2014</f>
        <v>0</v>
      </c>
      <c r="BG2014" cm="1">
        <f t="array" ref="BG2014">IFERROR(IF(BF2014&lt;0,0,BF2014/($AU$1957-INDEX(hd_off,MATCH(BT2014,hd_mark,0),0)/12)),0)</f>
        <v>0</v>
      </c>
      <c r="BH2014">
        <f>IF(AV2014=0,0,$BG$1957*$AM$1944)</f>
        <v>0</v>
      </c>
      <c r="BI2014">
        <f>IFERROR(BH2014/$AU$1957,0)</f>
        <v>0</v>
      </c>
      <c r="BJ2014">
        <f>BH2014*($F$24+IF($F$24=0,0,($C$14+$C$15+IF($C$13="single",1.5,3)+3)/12))</f>
        <v>0</v>
      </c>
      <c r="BK2014">
        <f>BJ2014-BA2014</f>
        <v>0</v>
      </c>
      <c r="BL2014" cm="1">
        <f t="array" ref="BL2014">IFERROR(IF(BK2014&lt;0,0,BK2014/($AU$1957-INDEX(hd_off,MATCH(BT2014,hd_mark,0),0)/12)),0)</f>
        <v>0</v>
      </c>
      <c r="BM2014">
        <f>MAX($F$24,$BE$1957)/$Q$1972</f>
        <v>0</v>
      </c>
      <c r="BN2014">
        <f t="shared" si="1246"/>
        <v>0</v>
      </c>
      <c r="BO2014" cm="1">
        <f t="array" ref="BO2014">IFERROR(INDEX(sheath_ecap_asd,MATCH(BS2014,sheath_mark,0),0)*BN2014,0)</f>
        <v>0</v>
      </c>
      <c r="BP2014" cm="1">
        <f t="array" ref="BP2014">IFERROR(INDEX(sheath_wcap_asd,MATCH(BS2014,sheath_mark,0),0)*BN2014,0)</f>
        <v>0</v>
      </c>
      <c r="BQ2014" cm="1">
        <f t="array" ref="BQ2014">IFERROR(INDEX(hd_cap,MATCH(BT2014,hd_mark,0),0),0)</f>
        <v>0</v>
      </c>
      <c r="BS2014" s="19"/>
      <c r="BT2014" s="19"/>
      <c r="BU2014" s="100"/>
    </row>
    <row r="2015" x14ac:dyDescent="0.25">
      <c r="P2015" s="93"/>
      <c r="Q2015" s="109"/>
      <c r="R2015" t="str">
        <f>$Q$1945</f>
        <v>Roof</v>
      </c>
      <c r="S2015">
        <f>$E$25</f>
        <v>33.171875</v>
      </c>
      <c r="T2015" cm="1">
        <f t="array" ref="T2015">IFERROR(IF(S2015=0,0,(INDEX($C$33:$C$38,MATCH($W$1957,$B$33:$B$38,0),0)*(S2015+$X$1957)+$V$1957*$C$31)*$R$1957),0)</f>
        <v>0</v>
      </c>
      <c r="U2015">
        <f>IF(S2015=0,0,-$V$1957*$C$31*$H$27*$R$1957)</f>
        <v>0</v>
      </c>
      <c r="V2015">
        <f>IF(S2015=0,0,$V$1957*$H$26*$R$1957)</f>
        <v>0</v>
      </c>
      <c r="W2015">
        <f>(0.6*T2015+0.7*U2015)*$R$1957/2</f>
        <v>0</v>
      </c>
      <c r="X2015">
        <f>T2015*$R$1957/2</f>
        <v>0</v>
      </c>
      <c r="Z2015">
        <f>IF(S2015=0,0,$AD$1957*$AP$1945)</f>
        <v>0</v>
      </c>
      <c r="AA2015">
        <f>IFERROR(Z2015/$R$1957,0)</f>
        <v>0</v>
      </c>
      <c r="AB2015">
        <f>Z2015*($F$25+($C$16+$C$17+IF($C$13="single",1.5,3)+3)/12)</f>
        <v>0</v>
      </c>
      <c r="AC2015">
        <f>AB2015-W2015</f>
        <v>0</v>
      </c>
      <c r="AD2015" cm="1">
        <f t="array" ref="AD2015">IFERROR(IF(AC2015&lt;0,0,AC2015/($R$1957-INDEX(hd_off,MATCH(AQ2015,hd_mark,0),0)/12)),0)</f>
        <v>0</v>
      </c>
      <c r="AE2015">
        <f>IF(S2015=0,0,$AD$1957*$AM$1945)</f>
        <v>0</v>
      </c>
      <c r="AF2015">
        <f>IFERROR(AE2015/$R$1957,0)</f>
        <v>0</v>
      </c>
      <c r="AG2015">
        <f>AE2015*($F$25+($C$16+$C$17+IF($C$13="single",1.5,3)+3)/12)</f>
        <v>0</v>
      </c>
      <c r="AH2015">
        <f>AG2015-X2015</f>
        <v>0</v>
      </c>
      <c r="AI2015" cm="1">
        <f t="array" ref="AI2015">IFERROR(IF(AH2015&lt;0,0,AH2015/($R$1957-INDEX(hd_off,MATCH(AQ2015,hd_mark,0),0)/12)),0)</f>
        <v>0</v>
      </c>
      <c r="AJ2015">
        <f>MAX($F$25,$AC$1957)/$Q$1972</f>
        <v>0.29920977011494249</v>
      </c>
      <c r="AK2015">
        <f t="shared" si="1245"/>
        <v>1</v>
      </c>
      <c r="AL2015" cm="1">
        <f t="array" ref="AL2015">IFERROR(INDEX(sheath_ecap_asd,MATCH(AP2015,sheath_mark,0),0)*AK2015,0)</f>
        <v>0</v>
      </c>
      <c r="AM2015" cm="1">
        <f t="array" ref="AM2015">IFERROR(INDEX(sheath_wcap_asd,MATCH(AP2015,sheath_mark,0),0)*AK2015,0)</f>
        <v>0</v>
      </c>
      <c r="AN2015" cm="1">
        <f t="array" ref="AN2015">IFERROR(INDEX(hd_cap,MATCH(AQ2015,hd_mark,0),0),0)</f>
        <v>0</v>
      </c>
      <c r="AP2015" s="19"/>
      <c r="AQ2015" s="19"/>
      <c r="AR2015" s="100"/>
      <c r="AS2015" s="93"/>
      <c r="AT2015" s="109"/>
      <c r="AU2015" t="str">
        <f>$Q$1945</f>
        <v>Roof</v>
      </c>
      <c r="AV2015">
        <f>$E$25</f>
        <v>33.171875</v>
      </c>
      <c r="AW2015" cm="1">
        <f t="array" ref="AW2015">IFERROR(IF(AV2015=0,0,(INDEX($C$33:$C$38,MATCH($AZ$1957,$B$33:$B$38,0),0)*(AV2015+$BA$1957)+$AY$1957*$C$31)*$AU$1957),0)</f>
        <v>0</v>
      </c>
      <c r="AX2015">
        <f>IF(AV2015=0,0,-$AY$1957*$C$31*$H$27*$AU$1957)</f>
        <v>0</v>
      </c>
      <c r="AY2015">
        <f>IF(AV2015=0,0,$AY$1957*$H$26*$AU$1957)</f>
        <v>0</v>
      </c>
      <c r="AZ2015">
        <f>(0.6*AW2015+0.7*AX2015)*$AU$1957/2</f>
        <v>0</v>
      </c>
      <c r="BA2015">
        <f>AW2015*$AU$1957/2</f>
        <v>0</v>
      </c>
      <c r="BC2015">
        <f>IF(AV2015=0,0,$BG$1957*$AP$1945)</f>
        <v>0</v>
      </c>
      <c r="BD2015">
        <f>IFERROR(BC2015/$AU$1957,0)</f>
        <v>0</v>
      </c>
      <c r="BE2015">
        <f>BC2015*($F$25+($C$16+$C$17+IF($C$13="single",1.5,3)+3)/12)</f>
        <v>0</v>
      </c>
      <c r="BF2015">
        <f>BE2015-AZ2015</f>
        <v>0</v>
      </c>
      <c r="BG2015" cm="1">
        <f t="array" ref="BG2015">IFERROR(IF(BF2015&lt;0,0,BF2015/($AU$1957-INDEX(hd_off,MATCH(BT2015,hd_mark,0),0)/12)),0)</f>
        <v>0</v>
      </c>
      <c r="BH2015">
        <f>IF(AV2015=0,0,$BG$1957*$AM$1945)</f>
        <v>0</v>
      </c>
      <c r="BI2015">
        <f>IFERROR(BH2015/$AU$1957,0)</f>
        <v>0</v>
      </c>
      <c r="BJ2015">
        <f>BH2015*($F$25+($C$16+$C$17+IF($C$13="single",1.5,3)+3)/12)</f>
        <v>0</v>
      </c>
      <c r="BK2015">
        <f>BJ2015-BA2015</f>
        <v>0</v>
      </c>
      <c r="BL2015" cm="1">
        <f t="array" ref="BL2015">IFERROR(IF(BK2015&lt;0,0,BK2015/($AU$1957-INDEX(hd_off,MATCH(BT2015,hd_mark,0),0)/12)),0)</f>
        <v>0</v>
      </c>
      <c r="BM2015">
        <f>MAX($F$25,$BF$1957)/$Q$1972</f>
        <v>0.29920977011494249</v>
      </c>
      <c r="BN2015">
        <f t="shared" si="1246"/>
        <v>1</v>
      </c>
      <c r="BO2015" cm="1">
        <f t="array" ref="BO2015">IFERROR(INDEX(sheath_ecap_asd,MATCH(BS2015,sheath_mark,0),0)*BN2015,0)</f>
        <v>0</v>
      </c>
      <c r="BP2015" cm="1">
        <f t="array" ref="BP2015">IFERROR(INDEX(sheath_wcap_asd,MATCH(BS2015,sheath_mark,0),0)*BN2015,0)</f>
        <v>0</v>
      </c>
      <c r="BQ2015" cm="1">
        <f t="array" ref="BQ2015">IFERROR(INDEX(hd_cap,MATCH(BT2015,hd_mark,0),0),0)</f>
        <v>0</v>
      </c>
      <c r="BS2015" s="19"/>
      <c r="BT2015" s="19"/>
      <c r="BU2015" s="100"/>
    </row>
    <row r="2016" x14ac:dyDescent="0.25">
      <c r="P2016" s="93"/>
      <c r="AR2016" s="100"/>
      <c r="AS2016" s="93"/>
      <c r="BU2016" s="100"/>
    </row>
    <row r="2017" x14ac:dyDescent="0.25">
      <c r="P2017" s="93"/>
      <c r="Q2017" s="110" t="str">
        <f>$Q$1958</f>
        <v>A.09</v>
      </c>
      <c r="R2017" t="str">
        <f>$Q$1941</f>
        <v>L2</v>
      </c>
      <c r="S2017">
        <f>$E$21</f>
        <v>10.6875</v>
      </c>
      <c r="T2017" cm="1">
        <f t="array" ref="T2017">IFERROR(IF(S2017=0,0,(INDEX($C$33:$C$38,MATCH($W$1958,$B$33:$B$38,0),0)*(S2021+$X$1958)+$T$1958*COUNTIF(S2017:S2020,"&gt;0")*$C$32+$V$1958*$C$31)*$R$1958),0)</f>
        <v>0</v>
      </c>
      <c r="U2017">
        <f>IF(S2017=0,0,-(COUNTIF(S2017:S2020,"&gt;0")*$T$1958*$C$32+$V$1958*$C$31)*$H$27*$R$1958)</f>
        <v>0</v>
      </c>
      <c r="V2017">
        <f>IF(S2017=0,0,$V$1958*$H$26*$R$1958)</f>
        <v>0</v>
      </c>
      <c r="W2017">
        <f>(0.6*T2017+0.7*U2017)*$R$1958/2</f>
        <v>0</v>
      </c>
      <c r="X2017">
        <f>(0.6*T2017+0.6*V2017)*$R$1958/2</f>
        <v>0</v>
      </c>
      <c r="Z2017">
        <f>IF(S2017=0,0,$AD$1958*$AP$1941)</f>
        <v>0</v>
      </c>
      <c r="AA2017">
        <f>IFERROR(Z2017/$R$1958,0)</f>
        <v>0</v>
      </c>
      <c r="AB2017">
        <f>Z2017*($F$21+IF($F$21=0,0,($C$14+$C$15+IF($C$13="single",1.5,3)+3)/12))</f>
        <v>0</v>
      </c>
      <c r="AC2017">
        <f>AB2017-W2017</f>
        <v>0</v>
      </c>
      <c r="AD2017" cm="1">
        <f t="array" ref="AD2017">IFERROR(IF(AC2017&lt;0,0,AC2017/($R$1958-INDEX(hd_off,MATCH(AQ2017,hd_mark,0),0)/12)),0)</f>
        <v>0</v>
      </c>
      <c r="AE2017">
        <f>IF(S2017=0,0,$AD$1958*$AM$1941)</f>
        <v>0</v>
      </c>
      <c r="AF2017">
        <f>IFERROR(AE2017/$R$1958,0)</f>
        <v>0</v>
      </c>
      <c r="AG2017">
        <f>AE2017*($F$21+IF($F$21=0,0,($C$14+$C$15+IF($C$13="single",1.5,3)+3)/12))</f>
        <v>0</v>
      </c>
      <c r="AH2017">
        <f>AG2017-X2017</f>
        <v>0</v>
      </c>
      <c r="AI2017" cm="1">
        <f t="array" ref="AI2017">IFERROR(IF(AH2017&lt;0,0,AH2017/($R$1958-INDEX(hd_off,MATCH(AQ2017,hd_mark,0),0)/12)),0)</f>
        <v>0</v>
      </c>
      <c r="AJ2017">
        <f>MAX($F$21,$Y$1958)/$Q$1972</f>
        <v>0.30172413793103448</v>
      </c>
      <c r="AK2017">
        <f>IF(AJ2017=0,0,IF(AJ2017&gt;2,1.25-0.125*AJ2017,1))</f>
        <v>1</v>
      </c>
      <c r="AL2017" cm="1">
        <f t="array" ref="AL2017">IFERROR(INDEX(sheath_ecap_asd,MATCH(AP2017,sheath_mark,0),0)*AK2017,0)</f>
        <v>0</v>
      </c>
      <c r="AM2017" cm="1">
        <f t="array" ref="AM2017">IFERROR(INDEX(sheath_wcap_asd,MATCH(AP2017,sheath_mark,0),0)*AK2017,0)</f>
        <v>0</v>
      </c>
      <c r="AN2017" cm="1">
        <f t="array" ref="AN2017">IFERROR(INDEX(hd_cap,MATCH(AQ2017,hd_mark,0),0),0)</f>
        <v>0</v>
      </c>
      <c r="AP2017" s="19"/>
      <c r="AQ2017" s="19"/>
      <c r="AR2017" s="100"/>
      <c r="AS2017" s="93"/>
      <c r="AT2017" s="110" t="str">
        <f>$AT$1958</f>
        <v>1.09</v>
      </c>
      <c r="AU2017" t="str">
        <f>$Q$1941</f>
        <v>L2</v>
      </c>
      <c r="AV2017">
        <f>$E$21</f>
        <v>10.6875</v>
      </c>
      <c r="AW2017" cm="1">
        <f t="array" ref="AW2017">IFERROR(IF(AV2017=0,0,(INDEX($C$33:$C$38,MATCH($AZ$1958,$B$33:$B$38,0),0)*(AV2021+$BA$1958)+$AW$1958*COUNTIF(AV2017:AV2020,"&gt;0")*$C$32+$AY$1958*$C$31)*$AU$1958),0)</f>
        <v>0</v>
      </c>
      <c r="AX2017">
        <f>IF(AV2017=0,0,-(COUNTIF(AV2017:AV2020,"&gt;0")*$AW$1958*$C$32+$AY$1958*$C$31)*$H$27*$AU$1958)</f>
        <v>0</v>
      </c>
      <c r="AY2017">
        <f>IF(AV2017=0,0,$AY$1958*$H$26*$AU$1958)</f>
        <v>0</v>
      </c>
      <c r="AZ2017">
        <f>(0.6*AW2017+0.7*AX2017)*$AU$1958/2</f>
        <v>0</v>
      </c>
      <c r="BA2017">
        <f>(0.6*AW2017+0.6*AY2017)*$AU$1958/2</f>
        <v>0</v>
      </c>
      <c r="BC2017">
        <f>IF(AV2017=0,0,$BG$1958*$AP$1941)</f>
        <v>0</v>
      </c>
      <c r="BD2017">
        <f>IFERROR(BC2017/$AU$1958,0)</f>
        <v>0</v>
      </c>
      <c r="BE2017">
        <f>BC2017*($F$21+IF($F$21=0,0,($C$14+$C$15+IF($C$13="single",1.5,3)+3)/12))</f>
        <v>0</v>
      </c>
      <c r="BF2017">
        <f>BE2017-AZ2017</f>
        <v>0</v>
      </c>
      <c r="BG2017" cm="1">
        <f t="array" ref="BG2017">IFERROR(IF(BF2017&lt;0,0,BF2017/($AU$1958-INDEX(hd_off,MATCH(BT2017,hd_mark,0),0)/12)),0)</f>
        <v>0</v>
      </c>
      <c r="BH2017">
        <f>IF(AV2017=0,0,$BG$1958*$AM$1941)</f>
        <v>0</v>
      </c>
      <c r="BI2017">
        <f>IFERROR(BH2017/$AU$1958,0)</f>
        <v>0</v>
      </c>
      <c r="BJ2017">
        <f>BH2017*($F$21+IF($F$21=0,0,($C$14+$C$15+IF($C$13="single",1.5,3)+3)/12))</f>
        <v>0</v>
      </c>
      <c r="BK2017">
        <f>BJ2017-BA2017</f>
        <v>0</v>
      </c>
      <c r="BL2017" cm="1">
        <f t="array" ref="BL2017">IFERROR(IF(BK2017&lt;0,0,BK2017/($AU$1958-INDEX(hd_off,MATCH(BT2017,hd_mark,0),0)/12)),0)</f>
        <v>0</v>
      </c>
      <c r="BM2017">
        <f>MAX($F$21,$BB$1958)/$Q$1972</f>
        <v>0.30172413793103448</v>
      </c>
      <c r="BN2017">
        <f>IF(BM2017=0,0,IF(BM2017&gt;2,1.25-0.125*BM2017,1))</f>
        <v>1</v>
      </c>
      <c r="BO2017" cm="1">
        <f t="array" ref="BO2017">IFERROR(INDEX(sheath_ecap_asd,MATCH(BS2017,sheath_mark,0),0)*BN2017,0)</f>
        <v>0</v>
      </c>
      <c r="BP2017" cm="1">
        <f t="array" ref="BP2017">IFERROR(INDEX(sheath_wcap_asd,MATCH(BS2017,sheath_mark,0),0)*BN2017,0)</f>
        <v>0</v>
      </c>
      <c r="BQ2017" cm="1">
        <f t="array" ref="BQ2017">IFERROR(INDEX(hd_cap,MATCH(BT2017,hd_mark,0),0),0)</f>
        <v>0</v>
      </c>
      <c r="BS2017" s="19"/>
      <c r="BT2017" s="19"/>
      <c r="BU2017" s="100"/>
    </row>
    <row r="2018" x14ac:dyDescent="0.25">
      <c r="P2018" s="93"/>
      <c r="Q2018" s="109"/>
      <c r="R2018" t="str">
        <f>$Q$1942</f>
        <v>L3</v>
      </c>
      <c r="S2018">
        <f>$E$22</f>
        <v>21.375</v>
      </c>
      <c r="T2018" cm="1">
        <f t="array" ref="T2018">IFERROR(IF(S2018=0,0,(INDEX($C$33:$C$38,MATCH($W$1958,$B$33:$B$38,0),0)*(S2021+$X$1958)+$T$1958*COUNTIF(S2018:S2020,"&gt;0")*$C$32+$V$1958*$C$31)*$R$1958),0)</f>
        <v>0</v>
      </c>
      <c r="U2018">
        <f>IF(S2018=0,0,-(COUNTIF(S2018:S2020,"&gt;0")*$T$1958*$C$32+$V$1958*$C$31)*$H$27*$R$1958)</f>
        <v>0</v>
      </c>
      <c r="V2018">
        <f>IF(S2018=0,0,$V$1958*$H$26*$R$1958)</f>
        <v>0</v>
      </c>
      <c r="W2018">
        <f>(0.6*T2018+0.7*U2018)*$R$1958/2</f>
        <v>0</v>
      </c>
      <c r="X2018">
        <f>T2018*$R$1958/2</f>
        <v>0</v>
      </c>
      <c r="Z2018">
        <f>IF(S2018=0,0,$AD$1958*$AP$1942)</f>
        <v>0</v>
      </c>
      <c r="AA2018">
        <f>IFERROR(Z2018/$R$1958,0)</f>
        <v>0</v>
      </c>
      <c r="AB2018">
        <f>Z2018*($F$22+IF($F$22=0,0,($C$14+$C$15+IF($C$13="single",1.5,3)+3)/12))</f>
        <v>0</v>
      </c>
      <c r="AC2018">
        <f>AB2018-W2018</f>
        <v>0</v>
      </c>
      <c r="AD2018" cm="1">
        <f t="array" ref="AD2018">IFERROR(IF(AC2018&lt;0,0,AC2018/($R$1958-INDEX(hd_off,MATCH(AQ2018,hd_mark,0),0)/12)),0)</f>
        <v>0</v>
      </c>
      <c r="AE2018">
        <f>IF(S2018=0,0,$AD$1958*$AM$1942)</f>
        <v>0</v>
      </c>
      <c r="AF2018">
        <f>IFERROR(AE2018/$R$1958,0)</f>
        <v>0</v>
      </c>
      <c r="AG2018">
        <f>AE2018*($F$22+IF($F$22=0,0,($C$14+$C$15+IF($C$13="single",1.5,3)+3)/12))</f>
        <v>0</v>
      </c>
      <c r="AH2018">
        <f>AG2018-X2018</f>
        <v>0</v>
      </c>
      <c r="AI2018" cm="1">
        <f t="array" ref="AI2018">IFERROR(IF(AH2018&lt;0,0,AH2018/($R$1958-INDEX(hd_off,MATCH(AQ2018,hd_mark,0),0)/12)),0)</f>
        <v>0</v>
      </c>
      <c r="AJ2018">
        <f>MAX($F$22,$Z$1958)/$Q$1972</f>
        <v>0.30172413793103448</v>
      </c>
      <c r="AK2018">
        <f t="shared" ref="AK2018:AK2021" si="1247">IF(AJ2018=0,0,IF(AJ2018&gt;2,1.25-0.125*AJ2018,1))</f>
        <v>1</v>
      </c>
      <c r="AL2018" cm="1">
        <f t="array" ref="AL2018">IFERROR(INDEX(sheath_ecap_asd,MATCH(AP2018,sheath_mark,0),0)*AK2018,0)</f>
        <v>0</v>
      </c>
      <c r="AM2018" cm="1">
        <f t="array" ref="AM2018">IFERROR(INDEX(sheath_wcap_asd,MATCH(AP2018,sheath_mark,0),0)*AK2018,0)</f>
        <v>0</v>
      </c>
      <c r="AN2018" cm="1">
        <f t="array" ref="AN2018">IFERROR(INDEX(hd_cap,MATCH(AQ2018,hd_mark,0),0),0)</f>
        <v>0</v>
      </c>
      <c r="AP2018" s="19"/>
      <c r="AQ2018" s="19"/>
      <c r="AR2018" s="100"/>
      <c r="AS2018" s="93"/>
      <c r="AT2018" s="109"/>
      <c r="AU2018" t="str">
        <f>$Q$1942</f>
        <v>L3</v>
      </c>
      <c r="AV2018">
        <f>$E$22</f>
        <v>21.375</v>
      </c>
      <c r="AW2018" cm="1">
        <f t="array" ref="AW2018">IFERROR(IF(AV2018=0,0,(INDEX($C$33:$C$38,MATCH($AZ$1958,$B$33:$B$38,0),0)*(AV2021+$BA$1958)+$AW$1958*COUNTIF(AV2018:AV2020,"&gt;0")*$C$32+$AY$1958*$C$31)*$AU$1958),0)</f>
        <v>0</v>
      </c>
      <c r="AX2018">
        <f>IF(AV2018=0,0,-(COUNTIF(AV2018:AV2020,"&gt;0")*$AW$1958*$C$32+$AY$1958*$C$31)*$H$27*$AU$1958)</f>
        <v>0</v>
      </c>
      <c r="AY2018">
        <f>IF(AV2018=0,0,$AY$1958*$H$26*$AU$1958)</f>
        <v>0</v>
      </c>
      <c r="AZ2018">
        <f>(0.6*AW2018+0.7*AX2018)*$AU$1958/2</f>
        <v>0</v>
      </c>
      <c r="BA2018">
        <f>AW2018*$AU$1958/2</f>
        <v>0</v>
      </c>
      <c r="BC2018">
        <f>IF(AV2018=0,0,$BG$1958*$AP$1942)</f>
        <v>0</v>
      </c>
      <c r="BD2018">
        <f>IFERROR(BC2018/$AU$1958,0)</f>
        <v>0</v>
      </c>
      <c r="BE2018">
        <f>BC2018*($F$22+IF($F$22=0,0,($C$14+$C$15+IF($C$13="single",1.5,3)+3)/12))</f>
        <v>0</v>
      </c>
      <c r="BF2018">
        <f>BE2018-AZ2018</f>
        <v>0</v>
      </c>
      <c r="BG2018" cm="1">
        <f t="array" ref="BG2018">IFERROR(IF(BF2018&lt;0,0,BF2018/($AU$1958-INDEX(hd_off,MATCH(BT2018,hd_mark,0),0)/12)),0)</f>
        <v>0</v>
      </c>
      <c r="BH2018">
        <f>IF(AV2018=0,0,$BG$1958*$AM$1942)</f>
        <v>0</v>
      </c>
      <c r="BI2018">
        <f>IFERROR(BH2018/$AU$1958,0)</f>
        <v>0</v>
      </c>
      <c r="BJ2018">
        <f>BH2018*($F$22+IF($F$22=0,0,($C$14+$C$15+IF($C$13="single",1.5,3)+3)/12))</f>
        <v>0</v>
      </c>
      <c r="BK2018">
        <f>BJ2018-BA2018</f>
        <v>0</v>
      </c>
      <c r="BL2018" cm="1">
        <f t="array" ref="BL2018">IFERROR(IF(BK2018&lt;0,0,BK2018/($AU$1958-INDEX(hd_off,MATCH(BT2018,hd_mark,0),0)/12)),0)</f>
        <v>0</v>
      </c>
      <c r="BM2018">
        <f>MAX($F$22,$BC$1958)/$Q$1972</f>
        <v>0.30172413793103448</v>
      </c>
      <c r="BN2018">
        <f t="shared" ref="BN2018:BN2021" si="1248">IF(BM2018=0,0,IF(BM2018&gt;2,1.25-0.125*BM2018,1))</f>
        <v>1</v>
      </c>
      <c r="BO2018" cm="1">
        <f t="array" ref="BO2018">IFERROR(INDEX(sheath_ecap_asd,MATCH(BS2018,sheath_mark,0),0)*BN2018,0)</f>
        <v>0</v>
      </c>
      <c r="BP2018" cm="1">
        <f t="array" ref="BP2018">IFERROR(INDEX(sheath_wcap_asd,MATCH(BS2018,sheath_mark,0),0)*BN2018,0)</f>
        <v>0</v>
      </c>
      <c r="BQ2018" cm="1">
        <f t="array" ref="BQ2018">IFERROR(INDEX(hd_cap,MATCH(BT2018,hd_mark,0),0),0)</f>
        <v>0</v>
      </c>
      <c r="BS2018" s="19"/>
      <c r="BT2018" s="19"/>
      <c r="BU2018" s="100"/>
    </row>
    <row r="2019" x14ac:dyDescent="0.25">
      <c r="P2019" s="93"/>
      <c r="Q2019" s="109" t="s">
        <v>491</v>
      </c>
      <c r="R2019" t="str">
        <f>$Q$1943</f>
        <v>L4</v>
      </c>
      <c r="S2019">
        <f>$E$23</f>
        <v>0</v>
      </c>
      <c r="T2019" cm="1">
        <f t="array" ref="T2019">IFERROR(IF(S2019=0,0,(INDEX($C$33:$C$38,MATCH($W$1958,$B$33:$B$38,0),0)*(S2021+$X$1958)+$T$1958*COUNTIF(S2019:S2020,"&gt;0")*$C$32+$V$1958*$C$31)*$R$1958),0)</f>
        <v>0</v>
      </c>
      <c r="U2019">
        <f>IF(S2019=0,0,-(COUNTIF(S2019:S2020,"&gt;0")*$T$1958*$C$32+$V$1958*$C$31)*$H$27*$R$1958)</f>
        <v>0</v>
      </c>
      <c r="V2019">
        <f>IF(S2019=0,0,$V$1958*$H$26*$R$1958)</f>
        <v>0</v>
      </c>
      <c r="W2019">
        <f>(0.6*T2019+0.7*U2019)*$R$1958/2</f>
        <v>0</v>
      </c>
      <c r="X2019">
        <f>T2019*$R$1958/2</f>
        <v>0</v>
      </c>
      <c r="Z2019">
        <f>IF(S2019=0,0,$AD$1958*$AP$1943)</f>
        <v>0</v>
      </c>
      <c r="AA2019">
        <f>IFERROR(Z2019/$R$1958,0)</f>
        <v>0</v>
      </c>
      <c r="AB2019">
        <f>Z2019*($F$23+IF($F$23=0,0,($C$14+$C$15+IF($C$13="single",1.5,3)+3)/12))</f>
        <v>0</v>
      </c>
      <c r="AC2019">
        <f>AB2019-W2019</f>
        <v>0</v>
      </c>
      <c r="AD2019" cm="1">
        <f t="array" ref="AD2019">IFERROR(IF(AC2019&lt;0,0,AC2019/($R$1958-INDEX(hd_off,MATCH(AQ2019,hd_mark,0),0)/12)),0)</f>
        <v>0</v>
      </c>
      <c r="AE2019">
        <f>IF(S2019=0,0,$AD$1958*$AM$1943)</f>
        <v>0</v>
      </c>
      <c r="AF2019">
        <f>IFERROR(AE2019/$R$1958,0)</f>
        <v>0</v>
      </c>
      <c r="AG2019">
        <f>AE2019*($F$23+IF($F$23=0,0,($C$14+$C$15+IF($C$13="single",1.5,3)+3)/12))</f>
        <v>0</v>
      </c>
      <c r="AH2019">
        <f>AG2019-X2019</f>
        <v>0</v>
      </c>
      <c r="AI2019" cm="1">
        <f t="array" ref="AI2019">IFERROR(IF(AH2019&lt;0,0,AH2019/($R$1958-INDEX(hd_off,MATCH(AQ2019,hd_mark,0),0)/12)),0)</f>
        <v>0</v>
      </c>
      <c r="AJ2019">
        <f>MAX($F$23,$AA$1958)/$Q$1972</f>
        <v>0</v>
      </c>
      <c r="AK2019">
        <f t="shared" si="1247"/>
        <v>0</v>
      </c>
      <c r="AL2019" cm="1">
        <f t="array" ref="AL2019">IFERROR(INDEX(sheath_ecap_asd,MATCH(AP2019,sheath_mark,0),0)*AK2019,0)</f>
        <v>0</v>
      </c>
      <c r="AM2019" cm="1">
        <f t="array" ref="AM2019">IFERROR(INDEX(sheath_wcap_asd,MATCH(AP2019,sheath_mark,0),0)*AK2019,0)</f>
        <v>0</v>
      </c>
      <c r="AN2019" cm="1">
        <f t="array" ref="AN2019">IFERROR(INDEX(hd_cap,MATCH(AQ2019,hd_mark,0),0),0)</f>
        <v>0</v>
      </c>
      <c r="AP2019" s="19"/>
      <c r="AQ2019" s="19"/>
      <c r="AR2019" s="100"/>
      <c r="AS2019" s="93"/>
      <c r="AT2019" s="109" t="s">
        <v>491</v>
      </c>
      <c r="AU2019" t="str">
        <f>$Q$1943</f>
        <v>L4</v>
      </c>
      <c r="AV2019">
        <f>$E$23</f>
        <v>0</v>
      </c>
      <c r="AW2019" cm="1">
        <f t="array" ref="AW2019">IFERROR(IF(AV2019=0,0,(INDEX($C$33:$C$38,MATCH($AZ$1958,$B$33:$B$38,0),0)*(AV2021+$BA$1958)+$AW$1958*COUNTIF(AV2019:AV2020,"&gt;0")*$C$32+$AY$1958*$C$31)*$AU$1958),0)</f>
        <v>0</v>
      </c>
      <c r="AX2019">
        <f>IF(AV2019=0,0,-(COUNTIF(AV2019:AV2020,"&gt;0")*$AW$1958*$C$32+$AY$1958*$C$31)*$H$27*$AU$1958)</f>
        <v>0</v>
      </c>
      <c r="AY2019">
        <f>IF(AV2019=0,0,$AY$1958*$H$26*$AU$1958)</f>
        <v>0</v>
      </c>
      <c r="AZ2019">
        <f>(0.6*AW2019+0.7*AX2019)*$AU$1958/2</f>
        <v>0</v>
      </c>
      <c r="BA2019">
        <f>AW2019*$AU$1958/2</f>
        <v>0</v>
      </c>
      <c r="BC2019">
        <f>IF(AV2019=0,0,$BG$1958*$AP$1943)</f>
        <v>0</v>
      </c>
      <c r="BD2019">
        <f>IFERROR(BC2019/$AU$1958,0)</f>
        <v>0</v>
      </c>
      <c r="BE2019">
        <f>BC2019*($F$23+IF($F$23=0,0,($C$14+$C$15+IF($C$13="single",1.5,3)+3)/12))</f>
        <v>0</v>
      </c>
      <c r="BF2019">
        <f>BE2019-AZ2019</f>
        <v>0</v>
      </c>
      <c r="BG2019" cm="1">
        <f t="array" ref="BG2019">IFERROR(IF(BF2019&lt;0,0,BF2019/($AU$1958-INDEX(hd_off,MATCH(BT2019,hd_mark,0),0)/12)),0)</f>
        <v>0</v>
      </c>
      <c r="BH2019">
        <f>IF(AV2019=0,0,$BG$1958*$AM$1943)</f>
        <v>0</v>
      </c>
      <c r="BI2019">
        <f>IFERROR(BH2019/$AU$1958,0)</f>
        <v>0</v>
      </c>
      <c r="BJ2019">
        <f>BH2019*($F$23+IF($F$23=0,0,($C$14+$C$15+IF($C$13="single",1.5,3)+3)/12))</f>
        <v>0</v>
      </c>
      <c r="BK2019">
        <f>BJ2019-BA2019</f>
        <v>0</v>
      </c>
      <c r="BL2019" cm="1">
        <f t="array" ref="BL2019">IFERROR(IF(BK2019&lt;0,0,BK2019/($AU$1958-INDEX(hd_off,MATCH(BT2019,hd_mark,0),0)/12)),0)</f>
        <v>0</v>
      </c>
      <c r="BM2019">
        <f>MAX($F$23,$BD$1958)/$Q$1972</f>
        <v>0</v>
      </c>
      <c r="BN2019">
        <f t="shared" si="1248"/>
        <v>0</v>
      </c>
      <c r="BO2019" cm="1">
        <f t="array" ref="BO2019">IFERROR(INDEX(sheath_ecap_asd,MATCH(BS2019,sheath_mark,0),0)*BN2019,0)</f>
        <v>0</v>
      </c>
      <c r="BP2019" cm="1">
        <f t="array" ref="BP2019">IFERROR(INDEX(sheath_wcap_asd,MATCH(BS2019,sheath_mark,0),0)*BN2019,0)</f>
        <v>0</v>
      </c>
      <c r="BQ2019" cm="1">
        <f t="array" ref="BQ2019">IFERROR(INDEX(hd_cap,MATCH(BT2019,hd_mark,0),0),0)</f>
        <v>0</v>
      </c>
      <c r="BS2019" s="19"/>
      <c r="BT2019" s="19"/>
      <c r="BU2019" s="100"/>
    </row>
    <row r="2020" x14ac:dyDescent="0.25">
      <c r="P2020" s="93"/>
      <c r="Q2020" s="111">
        <f>$R$1958</f>
        <v>0</v>
      </c>
      <c r="R2020" t="str">
        <f>$Q$1944</f>
        <v>L5</v>
      </c>
      <c r="S2020">
        <f>$E$24</f>
        <v>0</v>
      </c>
      <c r="T2020" cm="1">
        <f t="array" ref="T2020">IFERROR(IF(S2020=0,0,(INDEX($C$33:$C$38,MATCH($W$1958,$B$33:$B$38,0),0)*(S2021+$X$1958)+$T$1958*COUNTIF(S2020:S2020,"&gt;0")*$C$32+$V$1958*$C$31)*$R$1958),0)</f>
        <v>0</v>
      </c>
      <c r="U2020">
        <f>IF(S2020=0,0,-(COUNTIF(S2020:S2020,"&gt;0")*$T$1958*$C$32+$V$1958*$C$31)*$H$27*$R$1958)</f>
        <v>0</v>
      </c>
      <c r="V2020">
        <f>IF(S2020=0,0,$V$1958*$H$26*$R$1958)</f>
        <v>0</v>
      </c>
      <c r="W2020">
        <f>(0.6*T2020+0.7*U2020)*$R$1958/2</f>
        <v>0</v>
      </c>
      <c r="X2020">
        <f>T2020*$R$1958/2</f>
        <v>0</v>
      </c>
      <c r="Z2020">
        <f>IF(S2020=0,0,$AD$1958*$AP$1944)</f>
        <v>0</v>
      </c>
      <c r="AA2020">
        <f>IFERROR(Z2020/$R$1958,0)</f>
        <v>0</v>
      </c>
      <c r="AB2020">
        <f>Z2020*($F$24+IF($F$24=0,0,($C$14+$C$15+IF($C$13="single",1.5,3)+3)/12))</f>
        <v>0</v>
      </c>
      <c r="AC2020">
        <f>AB2020-W2020</f>
        <v>0</v>
      </c>
      <c r="AD2020" cm="1">
        <f t="array" ref="AD2020">IFERROR(IF(AC2020&lt;0,0,AC2020/($R$1958-INDEX(hd_off,MATCH(AQ2020,hd_mark,0),0)/12)),0)</f>
        <v>0</v>
      </c>
      <c r="AE2020">
        <f>IF(S2020=0,0,$AD$1958*$AM$1944)</f>
        <v>0</v>
      </c>
      <c r="AF2020">
        <f>IFERROR(AE2020/$R$1958,0)</f>
        <v>0</v>
      </c>
      <c r="AG2020">
        <f>AE2020*($F$24+IF($F$24=0,0,($C$14+$C$15+IF($C$13="single",1.5,3)+3)/12))</f>
        <v>0</v>
      </c>
      <c r="AH2020">
        <f>AG2020-X2020</f>
        <v>0</v>
      </c>
      <c r="AI2020" cm="1">
        <f t="array" ref="AI2020">IFERROR(IF(AH2020&lt;0,0,AH2020/($R$1958-INDEX(hd_off,MATCH(AQ2020,hd_mark,0),0)/12)),0)</f>
        <v>0</v>
      </c>
      <c r="AJ2020">
        <f>MAX($F$24,$AB$1958)/$Q$1972</f>
        <v>0</v>
      </c>
      <c r="AK2020">
        <f t="shared" si="1247"/>
        <v>0</v>
      </c>
      <c r="AL2020" cm="1">
        <f t="array" ref="AL2020">IFERROR(INDEX(sheath_ecap_asd,MATCH(AP2020,sheath_mark,0),0)*AK2020,0)</f>
        <v>0</v>
      </c>
      <c r="AM2020" cm="1">
        <f t="array" ref="AM2020">IFERROR(INDEX(sheath_wcap_asd,MATCH(AP2020,sheath_mark,0),0)*AK2020,0)</f>
        <v>0</v>
      </c>
      <c r="AN2020" cm="1">
        <f t="array" ref="AN2020">IFERROR(INDEX(hd_cap,MATCH(AQ2020,hd_mark,0),0),0)</f>
        <v>0</v>
      </c>
      <c r="AP2020" s="19"/>
      <c r="AQ2020" s="19"/>
      <c r="AR2020" s="100"/>
      <c r="AS2020" s="93"/>
      <c r="AT2020" s="111">
        <f>$R$1958</f>
        <v>0</v>
      </c>
      <c r="AU2020" t="str">
        <f>$Q$1944</f>
        <v>L5</v>
      </c>
      <c r="AV2020">
        <f>$E$24</f>
        <v>0</v>
      </c>
      <c r="AW2020" cm="1">
        <f t="array" ref="AW2020">IFERROR(IF(AV2020=0,0,(INDEX($C$33:$C$38,MATCH($AZ$1958,$B$33:$B$38,0),0)*(AV2021+$BA$1958)+$AW$1958*COUNTIF(AV2020:AV2020,"&gt;0")*$C$32+$AY$1958*$C$31)*$AU$1958),0)</f>
        <v>0</v>
      </c>
      <c r="AX2020">
        <f>IF(AV2020=0,0,-(COUNTIF(AV2020:AV2020,"&gt;0")*$AW$1958*$C$32+$AY$1958*$C$31)*$H$27*$AU$1958)</f>
        <v>0</v>
      </c>
      <c r="AY2020">
        <f>IF(AV2020=0,0,$AY$1958*$H$26*$AU$1958)</f>
        <v>0</v>
      </c>
      <c r="AZ2020">
        <f>(0.6*AW2020+0.7*AX2020)*$AU$1958/2</f>
        <v>0</v>
      </c>
      <c r="BA2020">
        <f>AW2020*$AU$1958/2</f>
        <v>0</v>
      </c>
      <c r="BC2020">
        <f>IF(AV2020=0,0,$BG$1958*$AP$1944)</f>
        <v>0</v>
      </c>
      <c r="BD2020">
        <f>IFERROR(BC2020/$AU$1958,0)</f>
        <v>0</v>
      </c>
      <c r="BE2020">
        <f>BC2020*($F$24+IF($F$24=0,0,($C$14+$C$15+IF($C$13="single",1.5,3)+3)/12))</f>
        <v>0</v>
      </c>
      <c r="BF2020">
        <f>BE2020-AZ2020</f>
        <v>0</v>
      </c>
      <c r="BG2020" cm="1">
        <f t="array" ref="BG2020">IFERROR(IF(BF2020&lt;0,0,BF2020/($AU$1958-INDEX(hd_off,MATCH(BT2020,hd_mark,0),0)/12)),0)</f>
        <v>0</v>
      </c>
      <c r="BH2020">
        <f>IF(AV2020=0,0,$BG$1958*$AM$1944)</f>
        <v>0</v>
      </c>
      <c r="BI2020">
        <f>IFERROR(BH2020/$AU$1958,0)</f>
        <v>0</v>
      </c>
      <c r="BJ2020">
        <f>BH2020*($F$24+IF($F$24=0,0,($C$14+$C$15+IF($C$13="single",1.5,3)+3)/12))</f>
        <v>0</v>
      </c>
      <c r="BK2020">
        <f>BJ2020-BA2020</f>
        <v>0</v>
      </c>
      <c r="BL2020" cm="1">
        <f t="array" ref="BL2020">IFERROR(IF(BK2020&lt;0,0,BK2020/($AU$1958-INDEX(hd_off,MATCH(BT2020,hd_mark,0),0)/12)),0)</f>
        <v>0</v>
      </c>
      <c r="BM2020">
        <f>MAX($F$24,$BE$1958)/$Q$1972</f>
        <v>0</v>
      </c>
      <c r="BN2020">
        <f t="shared" si="1248"/>
        <v>0</v>
      </c>
      <c r="BO2020" cm="1">
        <f t="array" ref="BO2020">IFERROR(INDEX(sheath_ecap_asd,MATCH(BS2020,sheath_mark,0),0)*BN2020,0)</f>
        <v>0</v>
      </c>
      <c r="BP2020" cm="1">
        <f t="array" ref="BP2020">IFERROR(INDEX(sheath_wcap_asd,MATCH(BS2020,sheath_mark,0),0)*BN2020,0)</f>
        <v>0</v>
      </c>
      <c r="BQ2020" cm="1">
        <f t="array" ref="BQ2020">IFERROR(INDEX(hd_cap,MATCH(BT2020,hd_mark,0),0),0)</f>
        <v>0</v>
      </c>
      <c r="BS2020" s="19"/>
      <c r="BT2020" s="19"/>
      <c r="BU2020" s="100"/>
    </row>
    <row r="2021" x14ac:dyDescent="0.25">
      <c r="P2021" s="93"/>
      <c r="Q2021" s="109"/>
      <c r="R2021" t="str">
        <f>$Q$1945</f>
        <v>Roof</v>
      </c>
      <c r="S2021">
        <f>$E$25</f>
        <v>33.171875</v>
      </c>
      <c r="T2021" cm="1">
        <f t="array" ref="T2021">IFERROR(IF(S2021=0,0,(INDEX($C$33:$C$38,MATCH($W$1958,$B$33:$B$38,0),0)*(S2021+$X$1958)+$V$1958*$C$31)*$R$1958),0)</f>
        <v>0</v>
      </c>
      <c r="U2021">
        <f>IF(S2021=0,0,-$V$1958*$C$31*$H$27*$R$1958)</f>
        <v>0</v>
      </c>
      <c r="V2021">
        <f>IF(S2021=0,0,$V$1958*$H$26*$R$1958)</f>
        <v>0</v>
      </c>
      <c r="W2021">
        <f>(0.6*T2021+0.7*U2021)*$R$1958/2</f>
        <v>0</v>
      </c>
      <c r="X2021">
        <f>T2021*$R$1958/2</f>
        <v>0</v>
      </c>
      <c r="Z2021">
        <f>IF(S2021=0,0,$AD$1958*$AP$1945)</f>
        <v>0</v>
      </c>
      <c r="AA2021">
        <f>IFERROR(Z2021/$R$1958,0)</f>
        <v>0</v>
      </c>
      <c r="AB2021">
        <f>Z2021*($F$25+($C$16+$C$17+IF($C$13="single",1.5,3)+3)/12)</f>
        <v>0</v>
      </c>
      <c r="AC2021">
        <f>AB2021-W2021</f>
        <v>0</v>
      </c>
      <c r="AD2021" cm="1">
        <f t="array" ref="AD2021">IFERROR(IF(AC2021&lt;0,0,AC2021/($R$1958-INDEX(hd_off,MATCH(AQ2021,hd_mark,0),0)/12)),0)</f>
        <v>0</v>
      </c>
      <c r="AE2021">
        <f>IF(S2021=0,0,$AD$1958*$AM$1945)</f>
        <v>0</v>
      </c>
      <c r="AF2021">
        <f>IFERROR(AE2021/$R$1958,0)</f>
        <v>0</v>
      </c>
      <c r="AG2021">
        <f>AE2021*($F$25+($C$16+$C$17+IF($C$13="single",1.5,3)+3)/12)</f>
        <v>0</v>
      </c>
      <c r="AH2021">
        <f>AG2021-X2021</f>
        <v>0</v>
      </c>
      <c r="AI2021" cm="1">
        <f t="array" ref="AI2021">IFERROR(IF(AH2021&lt;0,0,AH2021/($R$1958-INDEX(hd_off,MATCH(AQ2021,hd_mark,0),0)/12)),0)</f>
        <v>0</v>
      </c>
      <c r="AJ2021">
        <f>MAX($F$25,$AC$1958)/$Q$1972</f>
        <v>0.29920977011494249</v>
      </c>
      <c r="AK2021">
        <f t="shared" si="1247"/>
        <v>1</v>
      </c>
      <c r="AL2021" cm="1">
        <f t="array" ref="AL2021">IFERROR(INDEX(sheath_ecap_asd,MATCH(AP2021,sheath_mark,0),0)*AK2021,0)</f>
        <v>0</v>
      </c>
      <c r="AM2021" cm="1">
        <f t="array" ref="AM2021">IFERROR(INDEX(sheath_wcap_asd,MATCH(AP2021,sheath_mark,0),0)*AK2021,0)</f>
        <v>0</v>
      </c>
      <c r="AN2021" cm="1">
        <f t="array" ref="AN2021">IFERROR(INDEX(hd_cap,MATCH(AQ2021,hd_mark,0),0),0)</f>
        <v>0</v>
      </c>
      <c r="AP2021" s="19"/>
      <c r="AQ2021" s="19"/>
      <c r="AR2021" s="100"/>
      <c r="AS2021" s="93"/>
      <c r="AT2021" s="109"/>
      <c r="AU2021" t="str">
        <f>$Q$1945</f>
        <v>Roof</v>
      </c>
      <c r="AV2021">
        <f>$E$25</f>
        <v>33.171875</v>
      </c>
      <c r="AW2021" cm="1">
        <f t="array" ref="AW2021">IFERROR(IF(AV2021=0,0,(INDEX($C$33:$C$38,MATCH($AZ$1958,$B$33:$B$38,0),0)*(AV2021+$BA$1958)+$AY$1958*$C$31)*$AU$1958),0)</f>
        <v>0</v>
      </c>
      <c r="AX2021">
        <f>IF(AV2021=0,0,-$AY$1958*$C$31*$H$27*$AU$1958)</f>
        <v>0</v>
      </c>
      <c r="AY2021">
        <f>IF(AV2021=0,0,$AY$1958*$H$26*$AU$1958)</f>
        <v>0</v>
      </c>
      <c r="AZ2021">
        <f>(0.6*AW2021+0.7*AX2021)*$AU$1958/2</f>
        <v>0</v>
      </c>
      <c r="BA2021">
        <f>AW2021*$AU$1958/2</f>
        <v>0</v>
      </c>
      <c r="BC2021">
        <f>IF(AV2021=0,0,$BG$1958*$AP$1945)</f>
        <v>0</v>
      </c>
      <c r="BD2021">
        <f>IFERROR(BC2021/$AU$1958,0)</f>
        <v>0</v>
      </c>
      <c r="BE2021">
        <f>BC2021*($F$25+($C$16+$C$17+IF($C$13="single",1.5,3)+3)/12)</f>
        <v>0</v>
      </c>
      <c r="BF2021">
        <f>BE2021-AZ2021</f>
        <v>0</v>
      </c>
      <c r="BG2021" cm="1">
        <f t="array" ref="BG2021">IFERROR(IF(BF2021&lt;0,0,BF2021/($AU$1958-INDEX(hd_off,MATCH(BT2021,hd_mark,0),0)/12)),0)</f>
        <v>0</v>
      </c>
      <c r="BH2021">
        <f>IF(AV2021=0,0,$BG$1958*$AM$1945)</f>
        <v>0</v>
      </c>
      <c r="BI2021">
        <f>IFERROR(BH2021/$AU$1958,0)</f>
        <v>0</v>
      </c>
      <c r="BJ2021">
        <f>BH2021*($F$25+($C$16+$C$17+IF($C$13="single",1.5,3)+3)/12)</f>
        <v>0</v>
      </c>
      <c r="BK2021">
        <f>BJ2021-BA2021</f>
        <v>0</v>
      </c>
      <c r="BL2021" cm="1">
        <f t="array" ref="BL2021">IFERROR(IF(BK2021&lt;0,0,BK2021/($AU$1958-INDEX(hd_off,MATCH(BT2021,hd_mark,0),0)/12)),0)</f>
        <v>0</v>
      </c>
      <c r="BM2021">
        <f>MAX($F$25,$BF$1958)/$Q$1972</f>
        <v>0.29920977011494249</v>
      </c>
      <c r="BN2021">
        <f t="shared" si="1248"/>
        <v>1</v>
      </c>
      <c r="BO2021" cm="1">
        <f t="array" ref="BO2021">IFERROR(INDEX(sheath_ecap_asd,MATCH(BS2021,sheath_mark,0),0)*BN2021,0)</f>
        <v>0</v>
      </c>
      <c r="BP2021" cm="1">
        <f t="array" ref="BP2021">IFERROR(INDEX(sheath_wcap_asd,MATCH(BS2021,sheath_mark,0),0)*BN2021,0)</f>
        <v>0</v>
      </c>
      <c r="BQ2021" cm="1">
        <f t="array" ref="BQ2021">IFERROR(INDEX(hd_cap,MATCH(BT2021,hd_mark,0),0),0)</f>
        <v>0</v>
      </c>
      <c r="BS2021" s="19"/>
      <c r="BT2021" s="19"/>
      <c r="BU2021" s="100"/>
    </row>
    <row r="2022" x14ac:dyDescent="0.25">
      <c r="P2022" s="93"/>
      <c r="AR2022" s="100"/>
      <c r="AS2022" s="93"/>
      <c r="BU2022" s="100"/>
    </row>
    <row r="2023" x14ac:dyDescent="0.25">
      <c r="P2023" s="93"/>
      <c r="Q2023" s="110" t="str">
        <f>$Q$1959</f>
        <v>A.10</v>
      </c>
      <c r="R2023" t="str">
        <f>$Q$1941</f>
        <v>L2</v>
      </c>
      <c r="S2023">
        <f>$E$21</f>
        <v>10.6875</v>
      </c>
      <c r="T2023" cm="1">
        <f t="array" ref="T2023">IFERROR(IF(S2023=0,0,(INDEX($C$33:$C$38,MATCH($W$1959,$B$33:$B$38,0),0)*(S2027+$X$1959)+$T$1959*COUNTIF(S2023:S2026,"&gt;0")*$C$32+$V$1959*$C$31)*$R$1959),0)</f>
        <v>0</v>
      </c>
      <c r="U2023">
        <f>IF(S2023=0,0,-(COUNTIF(S2023:S2026,"&gt;0")*$T$1959*$C$32+$V$1959*$C$31)*$H$27*$R$1959)</f>
        <v>0</v>
      </c>
      <c r="V2023">
        <f>IF(S2023=0,0,$V$1959*$H$26*$R$1959)</f>
        <v>0</v>
      </c>
      <c r="W2023">
        <f>(0.6*T2023+0.7*U2023)*$R$1959/2</f>
        <v>0</v>
      </c>
      <c r="X2023">
        <f>(0.6*T2023+0.6*V2023)*$R$1959/2</f>
        <v>0</v>
      </c>
      <c r="Z2023">
        <f>IF(S2023=0,0,$AD$1959*$AP$1941)</f>
        <v>0</v>
      </c>
      <c r="AA2023">
        <f>IFERROR(Z2023/$R$1959,0)</f>
        <v>0</v>
      </c>
      <c r="AB2023">
        <f>Z2023*($F$21+IF($F$21=0,0,($C$14+$C$15+IF($C$13="single",1.5,3)+3)/12))</f>
        <v>0</v>
      </c>
      <c r="AC2023">
        <f>AB2023-W2023</f>
        <v>0</v>
      </c>
      <c r="AD2023" cm="1">
        <f t="array" ref="AD2023">IFERROR(IF(AC2023&lt;0,0,AC2023/($R$1959-INDEX(hd_off,MATCH(AQ2023,hd_mark,0),0)/12)),0)</f>
        <v>0</v>
      </c>
      <c r="AE2023">
        <f>IF(S2023=0,0,$AD$1959*$AM$1941)</f>
        <v>0</v>
      </c>
      <c r="AF2023">
        <f>IFERROR(AE2023/$R$1959,0)</f>
        <v>0</v>
      </c>
      <c r="AG2023">
        <f>AE2023*($F$21+IF($F$21=0,0,($C$14+$C$15+IF($C$13="single",1.5,3)+3)/12))</f>
        <v>0</v>
      </c>
      <c r="AH2023">
        <f>AG2023-X2023</f>
        <v>0</v>
      </c>
      <c r="AI2023" cm="1">
        <f t="array" ref="AI2023">IFERROR(IF(AH2023&lt;0,0,AH2023/($R$1959-INDEX(hd_off,MATCH(AQ2023,hd_mark,0),0)/12)),0)</f>
        <v>0</v>
      </c>
      <c r="AJ2023">
        <f>MAX($F$21,$Y$1959)/$Q$1972</f>
        <v>0.30172413793103448</v>
      </c>
      <c r="AK2023">
        <f>IF(AJ2023=0,0,IF(AJ2023&gt;2,1.25-0.125*AJ2023,1))</f>
        <v>1</v>
      </c>
      <c r="AL2023" cm="1">
        <f t="array" ref="AL2023">IFERROR(INDEX(sheath_ecap_asd,MATCH(AP2023,sheath_mark,0),0)*AK2023,0)</f>
        <v>0</v>
      </c>
      <c r="AM2023" cm="1">
        <f t="array" ref="AM2023">IFERROR(INDEX(sheath_wcap_asd,MATCH(AP2023,sheath_mark,0),0)*AK2023,0)</f>
        <v>0</v>
      </c>
      <c r="AN2023" cm="1">
        <f t="array" ref="AN2023">IFERROR(INDEX(hd_cap,MATCH(AQ2023,hd_mark,0),0),0)</f>
        <v>0</v>
      </c>
      <c r="AP2023" s="19"/>
      <c r="AQ2023" s="19"/>
      <c r="AR2023" s="100"/>
      <c r="AS2023" s="93"/>
      <c r="AT2023" s="110" t="str">
        <f>$AT$1959</f>
        <v>1.10</v>
      </c>
      <c r="AU2023" t="str">
        <f>$Q$1941</f>
        <v>L2</v>
      </c>
      <c r="AV2023">
        <f>$E$21</f>
        <v>10.6875</v>
      </c>
      <c r="AW2023" cm="1">
        <f t="array" ref="AW2023">IFERROR(IF(AV2023=0,0,(INDEX($C$33:$C$38,MATCH($AZ$1959,$B$33:$B$38,0),0)*(AV2027+$BA$1959)+$AW$1959*COUNTIF(AV2023:AV2026,"&gt;0")*$C$32+$AY$1959*$C$31)*$AU$1959),0)</f>
        <v>0</v>
      </c>
      <c r="AX2023">
        <f>IF(AV2023=0,0,-(COUNTIF(AV2023:AV2026,"&gt;0")*$AW$1959*$C$32+$AY$1959*$C$31)*$H$27*$AU$1959)</f>
        <v>0</v>
      </c>
      <c r="AY2023">
        <f>IF(AV2023=0,0,$AY$1959*$H$26*$AU$1959)</f>
        <v>0</v>
      </c>
      <c r="AZ2023">
        <f>(0.6*AW2023+0.7*AX2023)*$AU$1959/2</f>
        <v>0</v>
      </c>
      <c r="BA2023">
        <f>(0.6*AW2023+0.6*AY2023)*$AU$1959/2</f>
        <v>0</v>
      </c>
      <c r="BC2023">
        <f>IF(AV2023=0,0,$BG$1959*$AP$1941)</f>
        <v>0</v>
      </c>
      <c r="BD2023">
        <f>IFERROR(BC2023/$AU$1959,0)</f>
        <v>0</v>
      </c>
      <c r="BE2023">
        <f>BC2023*($F$21+IF($F$21=0,0,($C$14+$C$15+IF($C$13="single",1.5,3)+3)/12))</f>
        <v>0</v>
      </c>
      <c r="BF2023">
        <f>BE2023-AZ2023</f>
        <v>0</v>
      </c>
      <c r="BG2023" cm="1">
        <f t="array" ref="BG2023">IFERROR(IF(BF2023&lt;0,0,BF2023/($AU$1959-INDEX(hd_off,MATCH(BT2023,hd_mark,0),0)/12)),0)</f>
        <v>0</v>
      </c>
      <c r="BH2023">
        <f>IF(AV2023=0,0,$BG$1959*$AM$1941)</f>
        <v>0</v>
      </c>
      <c r="BI2023">
        <f>IFERROR(BH2023/$AU$1959,0)</f>
        <v>0</v>
      </c>
      <c r="BJ2023">
        <f>BH2023*($F$21+IF($F$21=0,0,($C$14+$C$15+IF($C$13="single",1.5,3)+3)/12))</f>
        <v>0</v>
      </c>
      <c r="BK2023">
        <f>BJ2023-BA2023</f>
        <v>0</v>
      </c>
      <c r="BL2023" cm="1">
        <f t="array" ref="BL2023">IFERROR(IF(BK2023&lt;0,0,BK2023/($AU$1959-INDEX(hd_off,MATCH(BT2023,hd_mark,0),0)/12)),0)</f>
        <v>0</v>
      </c>
      <c r="BM2023">
        <f>MAX($F$21,$BB$1959)/$Q$1972</f>
        <v>0.30172413793103448</v>
      </c>
      <c r="BN2023">
        <f>IF(BM2023=0,0,IF(BM2023&gt;2,1.25-0.125*BM2023,1))</f>
        <v>1</v>
      </c>
      <c r="BO2023" cm="1">
        <f t="array" ref="BO2023">IFERROR(INDEX(sheath_ecap_asd,MATCH(BS2023,sheath_mark,0),0)*BN2023,0)</f>
        <v>0</v>
      </c>
      <c r="BP2023" cm="1">
        <f t="array" ref="BP2023">IFERROR(INDEX(sheath_wcap_asd,MATCH(BS2023,sheath_mark,0),0)*BN2023,0)</f>
        <v>0</v>
      </c>
      <c r="BQ2023" cm="1">
        <f t="array" ref="BQ2023">IFERROR(INDEX(hd_cap,MATCH(BT2023,hd_mark,0),0),0)</f>
        <v>0</v>
      </c>
      <c r="BS2023" s="19"/>
      <c r="BT2023" s="19"/>
      <c r="BU2023" s="100"/>
    </row>
    <row r="2024" x14ac:dyDescent="0.25">
      <c r="P2024" s="93"/>
      <c r="Q2024" s="109"/>
      <c r="R2024" t="str">
        <f>$Q$1942</f>
        <v>L3</v>
      </c>
      <c r="S2024">
        <f>$E$22</f>
        <v>21.375</v>
      </c>
      <c r="T2024" cm="1">
        <f t="array" ref="T2024">IFERROR(IF(S2024=0,0,(INDEX($C$33:$C$38,MATCH($W$1959,$B$33:$B$38,0),0)*(S2027+$X$1959)+$T$1959*COUNTIF(S2024:S2026,"&gt;0")*$C$32+$V$1959*$C$31)*$R$1959),0)</f>
        <v>0</v>
      </c>
      <c r="U2024">
        <f>IF(S2024=0,0,-(COUNTIF(S2024:S2026,"&gt;0")*$T$1959*$C$32+$V$1959*$C$31)*$H$27*$R$1959)</f>
        <v>0</v>
      </c>
      <c r="V2024">
        <f>IF(S2024=0,0,$V$1959*$H$26*$R$1959)</f>
        <v>0</v>
      </c>
      <c r="W2024">
        <f>(0.6*T2024+0.7*U2024)*$R$1959/2</f>
        <v>0</v>
      </c>
      <c r="X2024">
        <f>T2024*$R$1959/2</f>
        <v>0</v>
      </c>
      <c r="Z2024">
        <f>IF(S2024=0,0,$AD$1959*$AP$1942)</f>
        <v>0</v>
      </c>
      <c r="AA2024">
        <f>IFERROR(Z2024/$R$1959,0)</f>
        <v>0</v>
      </c>
      <c r="AB2024">
        <f>Z2024*($F$22+IF($F$22=0,0,($C$14+$C$15+IF($C$13="single",1.5,3)+3)/12))</f>
        <v>0</v>
      </c>
      <c r="AC2024">
        <f>AB2024-W2024</f>
        <v>0</v>
      </c>
      <c r="AD2024" cm="1">
        <f t="array" ref="AD2024">IFERROR(IF(AC2024&lt;0,0,AC2024/($R$1959-INDEX(hd_off,MATCH(AQ2024,hd_mark,0),0)/12)),0)</f>
        <v>0</v>
      </c>
      <c r="AE2024">
        <f>IF(S2024=0,0,$AD$1959*$AM$1942)</f>
        <v>0</v>
      </c>
      <c r="AF2024">
        <f>IFERROR(AE2024/$R$1959,0)</f>
        <v>0</v>
      </c>
      <c r="AG2024">
        <f>AE2024*($F$22+IF($F$22=0,0,($C$14+$C$15+IF($C$13="single",1.5,3)+3)/12))</f>
        <v>0</v>
      </c>
      <c r="AH2024">
        <f>AG2024-X2024</f>
        <v>0</v>
      </c>
      <c r="AI2024" cm="1">
        <f t="array" ref="AI2024">IFERROR(IF(AH2024&lt;0,0,AH2024/($R$1959-INDEX(hd_off,MATCH(AQ2024,hd_mark,0),0)/12)),0)</f>
        <v>0</v>
      </c>
      <c r="AJ2024">
        <f>MAX($F$22,$Z$1959)/$Q$1972</f>
        <v>0.30172413793103448</v>
      </c>
      <c r="AK2024">
        <f t="shared" ref="AK2024:AK2027" si="1249">IF(AJ2024=0,0,IF(AJ2024&gt;2,1.25-0.125*AJ2024,1))</f>
        <v>1</v>
      </c>
      <c r="AL2024" cm="1">
        <f t="array" ref="AL2024">IFERROR(INDEX(sheath_ecap_asd,MATCH(AP2024,sheath_mark,0),0)*AK2024,0)</f>
        <v>0</v>
      </c>
      <c r="AM2024" cm="1">
        <f t="array" ref="AM2024">IFERROR(INDEX(sheath_wcap_asd,MATCH(AP2024,sheath_mark,0),0)*AK2024,0)</f>
        <v>0</v>
      </c>
      <c r="AN2024" cm="1">
        <f t="array" ref="AN2024">IFERROR(INDEX(hd_cap,MATCH(AQ2024,hd_mark,0),0),0)</f>
        <v>0</v>
      </c>
      <c r="AP2024" s="19"/>
      <c r="AQ2024" s="19"/>
      <c r="AR2024" s="100"/>
      <c r="AS2024" s="93"/>
      <c r="AT2024" s="109"/>
      <c r="AU2024" t="str">
        <f>$Q$1942</f>
        <v>L3</v>
      </c>
      <c r="AV2024">
        <f>$E$22</f>
        <v>21.375</v>
      </c>
      <c r="AW2024" cm="1">
        <f t="array" ref="AW2024">IFERROR(IF(AV2024=0,0,(INDEX($C$33:$C$38,MATCH($AZ$1959,$B$33:$B$38,0),0)*(AV2027+$BA$1959)+$AW$1959*COUNTIF(AV2024:AV2026,"&gt;0")*$C$32+$AY$1959*$C$31)*$AU$1959),0)</f>
        <v>0</v>
      </c>
      <c r="AX2024">
        <f>IF(AV2024=0,0,-(COUNTIF(AV2024:AV2026,"&gt;0")*$AW$1959*$C$32+$AY$1959*$C$31)*$H$27*$AU$1959)</f>
        <v>0</v>
      </c>
      <c r="AY2024">
        <f>IF(AV2024=0,0,$AY$1959*$H$26*$AU$1959)</f>
        <v>0</v>
      </c>
      <c r="AZ2024">
        <f>(0.6*AW2024+0.7*AX2024)*$AU$1959/2</f>
        <v>0</v>
      </c>
      <c r="BA2024">
        <f>AW2024*$AU$1959/2</f>
        <v>0</v>
      </c>
      <c r="BC2024">
        <f>IF(AV2024=0,0,$BG$1959*$AP$1942)</f>
        <v>0</v>
      </c>
      <c r="BD2024">
        <f>IFERROR(BC2024/$AU$1959,0)</f>
        <v>0</v>
      </c>
      <c r="BE2024">
        <f>BC2024*($F$22+IF($F$22=0,0,($C$14+$C$15+IF($C$13="single",1.5,3)+3)/12))</f>
        <v>0</v>
      </c>
      <c r="BF2024">
        <f>BE2024-AZ2024</f>
        <v>0</v>
      </c>
      <c r="BG2024" cm="1">
        <f t="array" ref="BG2024">IFERROR(IF(BF2024&lt;0,0,BF2024/($AU$1959-INDEX(hd_off,MATCH(BT2024,hd_mark,0),0)/12)),0)</f>
        <v>0</v>
      </c>
      <c r="BH2024">
        <f>IF(AV2024=0,0,$BG$1959*$AM$1942)</f>
        <v>0</v>
      </c>
      <c r="BI2024">
        <f>IFERROR(BH2024/$AU$1959,0)</f>
        <v>0</v>
      </c>
      <c r="BJ2024">
        <f>BH2024*($F$22+IF($F$22=0,0,($C$14+$C$15+IF($C$13="single",1.5,3)+3)/12))</f>
        <v>0</v>
      </c>
      <c r="BK2024">
        <f>BJ2024-BA2024</f>
        <v>0</v>
      </c>
      <c r="BL2024" cm="1">
        <f t="array" ref="BL2024">IFERROR(IF(BK2024&lt;0,0,BK2024/($AU$1959-INDEX(hd_off,MATCH(BT2024,hd_mark,0),0)/12)),0)</f>
        <v>0</v>
      </c>
      <c r="BM2024">
        <f>MAX($F$22,$BC$1959)/$Q$1972</f>
        <v>0.30172413793103448</v>
      </c>
      <c r="BN2024">
        <f t="shared" ref="BN2024:BN2027" si="1250">IF(BM2024=0,0,IF(BM2024&gt;2,1.25-0.125*BM2024,1))</f>
        <v>1</v>
      </c>
      <c r="BO2024" cm="1">
        <f t="array" ref="BO2024">IFERROR(INDEX(sheath_ecap_asd,MATCH(BS2024,sheath_mark,0),0)*BN2024,0)</f>
        <v>0</v>
      </c>
      <c r="BP2024" cm="1">
        <f t="array" ref="BP2024">IFERROR(INDEX(sheath_wcap_asd,MATCH(BS2024,sheath_mark,0),0)*BN2024,0)</f>
        <v>0</v>
      </c>
      <c r="BQ2024" cm="1">
        <f t="array" ref="BQ2024">IFERROR(INDEX(hd_cap,MATCH(BT2024,hd_mark,0),0),0)</f>
        <v>0</v>
      </c>
      <c r="BS2024" s="19"/>
      <c r="BT2024" s="19"/>
      <c r="BU2024" s="100"/>
    </row>
    <row r="2025" x14ac:dyDescent="0.25">
      <c r="P2025" s="93"/>
      <c r="Q2025" s="109" t="s">
        <v>491</v>
      </c>
      <c r="R2025" t="str">
        <f>$Q$1943</f>
        <v>L4</v>
      </c>
      <c r="S2025">
        <f>$E$23</f>
        <v>0</v>
      </c>
      <c r="T2025" cm="1">
        <f t="array" ref="T2025">IFERROR(IF(S2025=0,0,(INDEX($C$33:$C$38,MATCH($W$1959,$B$33:$B$38,0),0)*(S2027+$X$1959)+$T$1959*COUNTIF(S2025:S2026,"&gt;0")*$C$32+$V$1959*$C$31)*$R$1959),0)</f>
        <v>0</v>
      </c>
      <c r="U2025">
        <f>IF(S2025=0,0,-(COUNTIF(S2025:S2026,"&gt;0")*$T$1959*$C$32+$V$1959*$C$31)*$H$27*$R$1959)</f>
        <v>0</v>
      </c>
      <c r="V2025">
        <f>IF(S2025=0,0,$V$1959*$H$26*$R$1959)</f>
        <v>0</v>
      </c>
      <c r="W2025">
        <f>(0.6*T2025+0.7*U2025)*$R$1959/2</f>
        <v>0</v>
      </c>
      <c r="X2025">
        <f>T2025*$R$1959/2</f>
        <v>0</v>
      </c>
      <c r="Z2025">
        <f>IF(S2025=0,0,$AD$1959*$AP$1943)</f>
        <v>0</v>
      </c>
      <c r="AA2025">
        <f>IFERROR(Z2025/$R$1959,0)</f>
        <v>0</v>
      </c>
      <c r="AB2025">
        <f>Z2025*($F$23+IF($F$23=0,0,($C$14+$C$15+IF($C$13="single",1.5,3)+3)/12))</f>
        <v>0</v>
      </c>
      <c r="AC2025">
        <f>AB2025-W2025</f>
        <v>0</v>
      </c>
      <c r="AD2025" cm="1">
        <f t="array" ref="AD2025">IFERROR(IF(AC2025&lt;0,0,AC2025/($R$1959-INDEX(hd_off,MATCH(AQ2025,hd_mark,0),0)/12)),0)</f>
        <v>0</v>
      </c>
      <c r="AE2025">
        <f>IF(S2025=0,0,$AD$1959*$AM$1943)</f>
        <v>0</v>
      </c>
      <c r="AF2025">
        <f>IFERROR(AE2025/$R$1959,0)</f>
        <v>0</v>
      </c>
      <c r="AG2025">
        <f>AE2025*($F$23+IF($F$23=0,0,($C$14+$C$15+IF($C$13="single",1.5,3)+3)/12))</f>
        <v>0</v>
      </c>
      <c r="AH2025">
        <f>AG2025-X2025</f>
        <v>0</v>
      </c>
      <c r="AI2025" cm="1">
        <f t="array" ref="AI2025">IFERROR(IF(AH2025&lt;0,0,AH2025/($R$1959-INDEX(hd_off,MATCH(AQ2025,hd_mark,0),0)/12)),0)</f>
        <v>0</v>
      </c>
      <c r="AJ2025">
        <f>MAX($F$23,$AA$1959)/$Q$1972</f>
        <v>0</v>
      </c>
      <c r="AK2025">
        <f t="shared" si="1249"/>
        <v>0</v>
      </c>
      <c r="AL2025" cm="1">
        <f t="array" ref="AL2025">IFERROR(INDEX(sheath_ecap_asd,MATCH(AP2025,sheath_mark,0),0)*AK2025,0)</f>
        <v>0</v>
      </c>
      <c r="AM2025" cm="1">
        <f t="array" ref="AM2025">IFERROR(INDEX(sheath_wcap_asd,MATCH(AP2025,sheath_mark,0),0)*AK2025,0)</f>
        <v>0</v>
      </c>
      <c r="AN2025" cm="1">
        <f t="array" ref="AN2025">IFERROR(INDEX(hd_cap,MATCH(AQ2025,hd_mark,0),0),0)</f>
        <v>0</v>
      </c>
      <c r="AP2025" s="19"/>
      <c r="AQ2025" s="19"/>
      <c r="AR2025" s="100"/>
      <c r="AS2025" s="93"/>
      <c r="AT2025" s="109" t="s">
        <v>491</v>
      </c>
      <c r="AU2025" t="str">
        <f>$Q$1943</f>
        <v>L4</v>
      </c>
      <c r="AV2025">
        <f>$E$23</f>
        <v>0</v>
      </c>
      <c r="AW2025" cm="1">
        <f t="array" ref="AW2025">IFERROR(IF(AV2025=0,0,(INDEX($C$33:$C$38,MATCH($AZ$1959,$B$33:$B$38,0),0)*(AV2027+$BA$1959)+$AW$1959*COUNTIF(AV2025:AV2026,"&gt;0")*$C$32+$AY$1959*$C$31)*$AU$1959),0)</f>
        <v>0</v>
      </c>
      <c r="AX2025">
        <f>IF(AV2025=0,0,-(COUNTIF(AV2025:AV2026,"&gt;0")*$AW$1959*$C$32+$AY$1959*$C$31)*$H$27*$AU$1959)</f>
        <v>0</v>
      </c>
      <c r="AY2025">
        <f>IF(AV2025=0,0,$AY$1959*$H$26*$AU$1959)</f>
        <v>0</v>
      </c>
      <c r="AZ2025">
        <f>(0.6*AW2025+0.7*AX2025)*$AU$1959/2</f>
        <v>0</v>
      </c>
      <c r="BA2025">
        <f>AW2025*$AU$1959/2</f>
        <v>0</v>
      </c>
      <c r="BC2025">
        <f>IF(AV2025=0,0,$BG$1959*$AP$1943)</f>
        <v>0</v>
      </c>
      <c r="BD2025">
        <f>IFERROR(BC2025/$AU$1959,0)</f>
        <v>0</v>
      </c>
      <c r="BE2025">
        <f>BC2025*($F$23+IF($F$23=0,0,($C$14+$C$15+IF($C$13="single",1.5,3)+3)/12))</f>
        <v>0</v>
      </c>
      <c r="BF2025">
        <f>BE2025-AZ2025</f>
        <v>0</v>
      </c>
      <c r="BG2025" cm="1">
        <f t="array" ref="BG2025">IFERROR(IF(BF2025&lt;0,0,BF2025/($AU$1959-INDEX(hd_off,MATCH(BT2025,hd_mark,0),0)/12)),0)</f>
        <v>0</v>
      </c>
      <c r="BH2025">
        <f>IF(AV2025=0,0,$BG$1959*$AM$1943)</f>
        <v>0</v>
      </c>
      <c r="BI2025">
        <f>IFERROR(BH2025/$AU$1959,0)</f>
        <v>0</v>
      </c>
      <c r="BJ2025">
        <f>BH2025*($F$23+IF($F$23=0,0,($C$14+$C$15+IF($C$13="single",1.5,3)+3)/12))</f>
        <v>0</v>
      </c>
      <c r="BK2025">
        <f>BJ2025-BA2025</f>
        <v>0</v>
      </c>
      <c r="BL2025" cm="1">
        <f t="array" ref="BL2025">IFERROR(IF(BK2025&lt;0,0,BK2025/($AU$1959-INDEX(hd_off,MATCH(BT2025,hd_mark,0),0)/12)),0)</f>
        <v>0</v>
      </c>
      <c r="BM2025">
        <f>MAX($F$23,$BD$1959)/$Q$1972</f>
        <v>0</v>
      </c>
      <c r="BN2025">
        <f t="shared" si="1250"/>
        <v>0</v>
      </c>
      <c r="BO2025" cm="1">
        <f t="array" ref="BO2025">IFERROR(INDEX(sheath_ecap_asd,MATCH(BS2025,sheath_mark,0),0)*BN2025,0)</f>
        <v>0</v>
      </c>
      <c r="BP2025" cm="1">
        <f t="array" ref="BP2025">IFERROR(INDEX(sheath_wcap_asd,MATCH(BS2025,sheath_mark,0),0)*BN2025,0)</f>
        <v>0</v>
      </c>
      <c r="BQ2025" cm="1">
        <f t="array" ref="BQ2025">IFERROR(INDEX(hd_cap,MATCH(BT2025,hd_mark,0),0),0)</f>
        <v>0</v>
      </c>
      <c r="BS2025" s="19"/>
      <c r="BT2025" s="19"/>
      <c r="BU2025" s="100"/>
    </row>
    <row r="2026" x14ac:dyDescent="0.25">
      <c r="P2026" s="93"/>
      <c r="Q2026" s="111">
        <f>$R$1959</f>
        <v>0</v>
      </c>
      <c r="R2026" t="str">
        <f>$Q$1944</f>
        <v>L5</v>
      </c>
      <c r="S2026">
        <f>$E$24</f>
        <v>0</v>
      </c>
      <c r="T2026" cm="1">
        <f t="array" ref="T2026">IFERROR(IF(S2026=0,0,(INDEX($C$33:$C$38,MATCH($W$1959,$B$33:$B$38,0),0)*(S2027+$X$1959)+$T$1959*COUNTIF(S2026:S2026,"&gt;0")*$C$32+$V$1959*$C$31)*$R$1959),0)</f>
        <v>0</v>
      </c>
      <c r="U2026">
        <f>IF(S2026=0,0,-(COUNTIF(S2026:S2026,"&gt;0")*$T$1959*$C$32+$V$1959*$C$31)*$H$27*$R$1959)</f>
        <v>0</v>
      </c>
      <c r="V2026">
        <f>IF(S2026=0,0,$V$1959*$H$26*$R$1959)</f>
        <v>0</v>
      </c>
      <c r="W2026">
        <f>(0.6*T2026+0.7*U2026)*$R$1959/2</f>
        <v>0</v>
      </c>
      <c r="X2026">
        <f>T2026*$R$1959/2</f>
        <v>0</v>
      </c>
      <c r="Z2026">
        <f>IF(S2026=0,0,$AD$1959*$AP$1944)</f>
        <v>0</v>
      </c>
      <c r="AA2026">
        <f>IFERROR(Z2026/$R$1959,0)</f>
        <v>0</v>
      </c>
      <c r="AB2026">
        <f>Z2026*($F$24+IF($F$24=0,0,($C$14+$C$15+IF($C$13="single",1.5,3)+3)/12))</f>
        <v>0</v>
      </c>
      <c r="AC2026">
        <f>AB2026-W2026</f>
        <v>0</v>
      </c>
      <c r="AD2026" cm="1">
        <f t="array" ref="AD2026">IFERROR(IF(AC2026&lt;0,0,AC2026/($R$1959-INDEX(hd_off,MATCH(AQ2026,hd_mark,0),0)/12)),0)</f>
        <v>0</v>
      </c>
      <c r="AE2026">
        <f>IF(S2026=0,0,$AD$1959*$AM$1944)</f>
        <v>0</v>
      </c>
      <c r="AF2026">
        <f>IFERROR(AE2026/$R$1959,0)</f>
        <v>0</v>
      </c>
      <c r="AG2026">
        <f>AE2026*($F$24+IF($F$24=0,0,($C$14+$C$15+IF($C$13="single",1.5,3)+3)/12))</f>
        <v>0</v>
      </c>
      <c r="AH2026">
        <f>AG2026-X2026</f>
        <v>0</v>
      </c>
      <c r="AI2026" cm="1">
        <f t="array" ref="AI2026">IFERROR(IF(AH2026&lt;0,0,AH2026/($R$1959-INDEX(hd_off,MATCH(AQ2026,hd_mark,0),0)/12)),0)</f>
        <v>0</v>
      </c>
      <c r="AJ2026">
        <f>MAX($F$24,$AB$1959)/$Q$1972</f>
        <v>0</v>
      </c>
      <c r="AK2026">
        <f t="shared" si="1249"/>
        <v>0</v>
      </c>
      <c r="AL2026" cm="1">
        <f t="array" ref="AL2026">IFERROR(INDEX(sheath_ecap_asd,MATCH(AP2026,sheath_mark,0),0)*AK2026,0)</f>
        <v>0</v>
      </c>
      <c r="AM2026" cm="1">
        <f t="array" ref="AM2026">IFERROR(INDEX(sheath_wcap_asd,MATCH(AP2026,sheath_mark,0),0)*AK2026,0)</f>
        <v>0</v>
      </c>
      <c r="AN2026" cm="1">
        <f t="array" ref="AN2026">IFERROR(INDEX(hd_cap,MATCH(AQ2026,hd_mark,0),0),0)</f>
        <v>0</v>
      </c>
      <c r="AP2026" s="19"/>
      <c r="AQ2026" s="19"/>
      <c r="AR2026" s="100"/>
      <c r="AS2026" s="93"/>
      <c r="AT2026" s="111">
        <f>$R$1959</f>
        <v>0</v>
      </c>
      <c r="AU2026" t="str">
        <f>$Q$1944</f>
        <v>L5</v>
      </c>
      <c r="AV2026">
        <f>$E$24</f>
        <v>0</v>
      </c>
      <c r="AW2026" cm="1">
        <f t="array" ref="AW2026">IFERROR(IF(AV2026=0,0,(INDEX($C$33:$C$38,MATCH($AZ$1959,$B$33:$B$38,0),0)*(AV2027+$BA$1959)+$AW$1959*COUNTIF(AV2026:AV2026,"&gt;0")*$C$32+$AY$1959*$C$31)*$AU$1959),0)</f>
        <v>0</v>
      </c>
      <c r="AX2026">
        <f>IF(AV2026=0,0,-(COUNTIF(AV2026:AV2026,"&gt;0")*$AW$1959*$C$32+$AY$1959*$C$31)*$H$27*$AU$1959)</f>
        <v>0</v>
      </c>
      <c r="AY2026">
        <f>IF(AV2026=0,0,$AY$1959*$H$26*$AU$1959)</f>
        <v>0</v>
      </c>
      <c r="AZ2026">
        <f>(0.6*AW2026+0.7*AX2026)*$AU$1959/2</f>
        <v>0</v>
      </c>
      <c r="BA2026">
        <f>AW2026*$AU$1959/2</f>
        <v>0</v>
      </c>
      <c r="BC2026">
        <f>IF(AV2026=0,0,$BG$1959*$AP$1944)</f>
        <v>0</v>
      </c>
      <c r="BD2026">
        <f>IFERROR(BC2026/$AU$1959,0)</f>
        <v>0</v>
      </c>
      <c r="BE2026">
        <f>BC2026*($F$24+IF($F$24=0,0,($C$14+$C$15+IF($C$13="single",1.5,3)+3)/12))</f>
        <v>0</v>
      </c>
      <c r="BF2026">
        <f>BE2026-AZ2026</f>
        <v>0</v>
      </c>
      <c r="BG2026" cm="1">
        <f t="array" ref="BG2026">IFERROR(IF(BF2026&lt;0,0,BF2026/($AU$1959-INDEX(hd_off,MATCH(BT2026,hd_mark,0),0)/12)),0)</f>
        <v>0</v>
      </c>
      <c r="BH2026">
        <f>IF(AV2026=0,0,$BG$1959*$AM$1944)</f>
        <v>0</v>
      </c>
      <c r="BI2026">
        <f>IFERROR(BH2026/$AU$1959,0)</f>
        <v>0</v>
      </c>
      <c r="BJ2026">
        <f>BH2026*($F$24+IF($F$24=0,0,($C$14+$C$15+IF($C$13="single",1.5,3)+3)/12))</f>
        <v>0</v>
      </c>
      <c r="BK2026">
        <f>BJ2026-BA2026</f>
        <v>0</v>
      </c>
      <c r="BL2026" cm="1">
        <f t="array" ref="BL2026">IFERROR(IF(BK2026&lt;0,0,BK2026/($AU$1959-INDEX(hd_off,MATCH(BT2026,hd_mark,0),0)/12)),0)</f>
        <v>0</v>
      </c>
      <c r="BM2026">
        <f>MAX($F$24,$BE$1959)/$Q$1972</f>
        <v>0</v>
      </c>
      <c r="BN2026">
        <f t="shared" si="1250"/>
        <v>0</v>
      </c>
      <c r="BO2026" cm="1">
        <f t="array" ref="BO2026">IFERROR(INDEX(sheath_ecap_asd,MATCH(BS2026,sheath_mark,0),0)*BN2026,0)</f>
        <v>0</v>
      </c>
      <c r="BP2026" cm="1">
        <f t="array" ref="BP2026">IFERROR(INDEX(sheath_wcap_asd,MATCH(BS2026,sheath_mark,0),0)*BN2026,0)</f>
        <v>0</v>
      </c>
      <c r="BQ2026" cm="1">
        <f t="array" ref="BQ2026">IFERROR(INDEX(hd_cap,MATCH(BT2026,hd_mark,0),0),0)</f>
        <v>0</v>
      </c>
      <c r="BS2026" s="19"/>
      <c r="BT2026" s="19"/>
      <c r="BU2026" s="100"/>
    </row>
    <row r="2027" x14ac:dyDescent="0.25">
      <c r="P2027" s="93"/>
      <c r="Q2027" s="109"/>
      <c r="R2027" t="str">
        <f>$Q$1945</f>
        <v>Roof</v>
      </c>
      <c r="S2027">
        <f>$E$25</f>
        <v>33.171875</v>
      </c>
      <c r="T2027" cm="1">
        <f t="array" ref="T2027">IFERROR(IF(S2027=0,0,(INDEX($C$33:$C$38,MATCH($W$1959,$B$33:$B$38,0),0)*(S2027+$X$1959)+$V$1959*$C$31)*$R$1959),0)</f>
        <v>0</v>
      </c>
      <c r="U2027">
        <f>IF(S2027=0,0,-$V$1959*$C$31*$H$27*$R$1959)</f>
        <v>0</v>
      </c>
      <c r="V2027">
        <f>IF(S2027=0,0,$V$1959*$H$26*$R$1959)</f>
        <v>0</v>
      </c>
      <c r="W2027">
        <f>(0.6*T2027+0.7*U2027)*$R$1959/2</f>
        <v>0</v>
      </c>
      <c r="X2027">
        <f>T2027*$R$1959/2</f>
        <v>0</v>
      </c>
      <c r="Z2027">
        <f>IF(S2027=0,0,$AD$1959*$AP$1945)</f>
        <v>0</v>
      </c>
      <c r="AA2027">
        <f>IFERROR(Z2027/$R$1959,0)</f>
        <v>0</v>
      </c>
      <c r="AB2027">
        <f>Z2027*($F$25+($C$16+$C$17+IF($C$13="single",1.5,3)+3)/12)</f>
        <v>0</v>
      </c>
      <c r="AC2027">
        <f>AB2027-W2027</f>
        <v>0</v>
      </c>
      <c r="AD2027" cm="1">
        <f t="array" ref="AD2027">IFERROR(IF(AC2027&lt;0,0,AC2027/($R$1959-INDEX(hd_off,MATCH(AQ2027,hd_mark,0),0)/12)),0)</f>
        <v>0</v>
      </c>
      <c r="AE2027">
        <f>IF(S2027=0,0,$AD$1959*$AM$1945)</f>
        <v>0</v>
      </c>
      <c r="AF2027">
        <f>IFERROR(AE2027/$R$1959,0)</f>
        <v>0</v>
      </c>
      <c r="AG2027">
        <f>AE2027*($F$25+($C$16+$C$17+IF($C$13="single",1.5,3)+3)/12)</f>
        <v>0</v>
      </c>
      <c r="AH2027">
        <f>AG2027-X2027</f>
        <v>0</v>
      </c>
      <c r="AI2027" cm="1">
        <f t="array" ref="AI2027">IFERROR(IF(AH2027&lt;0,0,AH2027/($R$1959-INDEX(hd_off,MATCH(AQ2027,hd_mark,0),0)/12)),0)</f>
        <v>0</v>
      </c>
      <c r="AJ2027">
        <f>MAX($F$25,$AC$1959)/$Q$1972</f>
        <v>0.29920977011494249</v>
      </c>
      <c r="AK2027">
        <f t="shared" si="1249"/>
        <v>1</v>
      </c>
      <c r="AL2027" cm="1">
        <f t="array" ref="AL2027">IFERROR(INDEX(sheath_ecap_asd,MATCH(AP2027,sheath_mark,0),0)*AK2027,0)</f>
        <v>0</v>
      </c>
      <c r="AM2027" cm="1">
        <f t="array" ref="AM2027">IFERROR(INDEX(sheath_wcap_asd,MATCH(AP2027,sheath_mark,0),0)*AK2027,0)</f>
        <v>0</v>
      </c>
      <c r="AN2027" cm="1">
        <f t="array" ref="AN2027">IFERROR(INDEX(hd_cap,MATCH(AQ2027,hd_mark,0),0),0)</f>
        <v>0</v>
      </c>
      <c r="AP2027" s="19"/>
      <c r="AQ2027" s="19"/>
      <c r="AR2027" s="100"/>
      <c r="AS2027" s="93"/>
      <c r="AT2027" s="109"/>
      <c r="AU2027" t="str">
        <f>$Q$1945</f>
        <v>Roof</v>
      </c>
      <c r="AV2027">
        <f>$E$25</f>
        <v>33.171875</v>
      </c>
      <c r="AW2027" cm="1">
        <f t="array" ref="AW2027">IFERROR(IF(AV2027=0,0,(INDEX($C$33:$C$38,MATCH($AZ$1959,$B$33:$B$38,0),0)*(AV2027+$BA$1959)+$AY$1959*$C$31)*$AU$1959),0)</f>
        <v>0</v>
      </c>
      <c r="AX2027">
        <f>IF(AV2027=0,0,-$AY$1959*$C$31*$H$27*$AU$1959)</f>
        <v>0</v>
      </c>
      <c r="AY2027">
        <f>IF(AV2027=0,0,$AY$1959*$H$26*$AU$1959)</f>
        <v>0</v>
      </c>
      <c r="AZ2027">
        <f>(0.6*AW2027+0.7*AX2027)*$AU$1959/2</f>
        <v>0</v>
      </c>
      <c r="BA2027">
        <f>AW2027*$AU$1959/2</f>
        <v>0</v>
      </c>
      <c r="BC2027">
        <f>IF(AV2027=0,0,$BG$1959*$AP$1945)</f>
        <v>0</v>
      </c>
      <c r="BD2027">
        <f>IFERROR(BC2027/$AU$1959,0)</f>
        <v>0</v>
      </c>
      <c r="BE2027">
        <f>BC2027*($F$25+($C$16+$C$17+IF($C$13="single",1.5,3)+3)/12)</f>
        <v>0</v>
      </c>
      <c r="BF2027">
        <f>BE2027-AZ2027</f>
        <v>0</v>
      </c>
      <c r="BG2027" cm="1">
        <f t="array" ref="BG2027">IFERROR(IF(BF2027&lt;0,0,BF2027/($AU$1959-INDEX(hd_off,MATCH(BT2027,hd_mark,0),0)/12)),0)</f>
        <v>0</v>
      </c>
      <c r="BH2027">
        <f>IF(AV2027=0,0,$BG$1959*$AM$1945)</f>
        <v>0</v>
      </c>
      <c r="BI2027">
        <f>IFERROR(BH2027/$AU$1959,0)</f>
        <v>0</v>
      </c>
      <c r="BJ2027">
        <f>BH2027*($F$25+($C$16+$C$17+IF($C$13="single",1.5,3)+3)/12)</f>
        <v>0</v>
      </c>
      <c r="BK2027">
        <f>BJ2027-BA2027</f>
        <v>0</v>
      </c>
      <c r="BL2027" cm="1">
        <f t="array" ref="BL2027">IFERROR(IF(BK2027&lt;0,0,BK2027/($AU$1959-INDEX(hd_off,MATCH(BT2027,hd_mark,0),0)/12)),0)</f>
        <v>0</v>
      </c>
      <c r="BM2027">
        <f>MAX($F$25,$BF$1959)/$Q$1972</f>
        <v>0.29920977011494249</v>
      </c>
      <c r="BN2027">
        <f t="shared" si="1250"/>
        <v>1</v>
      </c>
      <c r="BO2027" cm="1">
        <f t="array" ref="BO2027">IFERROR(INDEX(sheath_ecap_asd,MATCH(BS2027,sheath_mark,0),0)*BN2027,0)</f>
        <v>0</v>
      </c>
      <c r="BP2027" cm="1">
        <f t="array" ref="BP2027">IFERROR(INDEX(sheath_wcap_asd,MATCH(BS2027,sheath_mark,0),0)*BN2027,0)</f>
        <v>0</v>
      </c>
      <c r="BQ2027" cm="1">
        <f t="array" ref="BQ2027">IFERROR(INDEX(hd_cap,MATCH(BT2027,hd_mark,0),0),0)</f>
        <v>0</v>
      </c>
      <c r="BS2027" s="19"/>
      <c r="BT2027" s="19"/>
      <c r="BU2027" s="100"/>
    </row>
    <row r="2028" x14ac:dyDescent="0.25">
      <c r="P2028" s="93"/>
      <c r="AR2028" s="100"/>
      <c r="AS2028" s="93"/>
      <c r="BU2028" s="100"/>
    </row>
    <row r="2029" x14ac:dyDescent="0.25">
      <c r="P2029" s="93"/>
      <c r="Q2029" s="110" t="str">
        <f>$Q$1960</f>
        <v>A.11</v>
      </c>
      <c r="R2029" t="str">
        <f>$Q$1941</f>
        <v>L2</v>
      </c>
      <c r="S2029">
        <f>$E$21</f>
        <v>10.6875</v>
      </c>
      <c r="T2029" cm="1">
        <f t="array" ref="T2029">IFERROR(IF(S2029=0,0,(INDEX($C$33:$C$38,MATCH($W$1960,$B$33:$B$38,0),0)*(S2033+$X$1960)+$T$1960*COUNTIF(S2029:S2032,"&gt;0")*$C$32+$V$1960*$C$31)*$R$1960),0)</f>
        <v>0</v>
      </c>
      <c r="U2029">
        <f>IF(S2029=0,0,-(COUNTIF(S2029:S2032,"&gt;0")*$T$1960*$C$32+$V$1960*$C$31)*$H$27*$R$1960)</f>
        <v>0</v>
      </c>
      <c r="V2029">
        <f>IF(S2029=0,0,$V$1960*$H$26*$R$1960)</f>
        <v>0</v>
      </c>
      <c r="W2029">
        <f>(0.6*T2029+0.7*U2029)*$R$1960/2</f>
        <v>0</v>
      </c>
      <c r="X2029">
        <f>(0.6*T2029+0.6*V2029)*$R$1960/2</f>
        <v>0</v>
      </c>
      <c r="Z2029">
        <f>IF(S2029=0,0,$AD$1960*$AP$1941)</f>
        <v>0</v>
      </c>
      <c r="AA2029">
        <f>IFERROR(Z2029/$R$1960,0)</f>
        <v>0</v>
      </c>
      <c r="AB2029">
        <f>Z2029*($F$21+IF($F$21=0,0,($C$14+$C$15+IF($C$13="single",1.5,3)+3)/12))</f>
        <v>0</v>
      </c>
      <c r="AC2029">
        <f>AB2029-W2029</f>
        <v>0</v>
      </c>
      <c r="AD2029" cm="1">
        <f t="array" ref="AD2029">IFERROR(IF(AC2029&lt;0,0,AC2029/($R$1960-INDEX(hd_off,MATCH(AQ2029,hd_mark,0),0)/12)),0)</f>
        <v>0</v>
      </c>
      <c r="AE2029">
        <f>IF(S2029=0,0,$AD$1960*$AM$1941)</f>
        <v>0</v>
      </c>
      <c r="AF2029">
        <f>IFERROR(AE2029/$R$1960,0)</f>
        <v>0</v>
      </c>
      <c r="AG2029">
        <f>AE2029*($F$21+IF($F$21=0,0,($C$14+$C$15+IF($C$13="single",1.5,3)+3)/12))</f>
        <v>0</v>
      </c>
      <c r="AH2029">
        <f>AG2029-X2029</f>
        <v>0</v>
      </c>
      <c r="AI2029" cm="1">
        <f t="array" ref="AI2029">IFERROR(IF(AH2029&lt;0,0,AH2029/($R$1960-INDEX(hd_off,MATCH(AQ2029,hd_mark,0),0)/12)),0)</f>
        <v>0</v>
      </c>
      <c r="AJ2029">
        <f>MAX($F$21,$Y$1960)/$Q$1972</f>
        <v>0.30172413793103448</v>
      </c>
      <c r="AK2029">
        <f>IF(AJ2029=0,0,IF(AJ2029&gt;2,1.25-0.125*AJ2029,1))</f>
        <v>1</v>
      </c>
      <c r="AL2029" cm="1">
        <f t="array" ref="AL2029">IFERROR(INDEX(sheath_ecap_asd,MATCH(AP2029,sheath_mark,0),0)*AK2029,0)</f>
        <v>0</v>
      </c>
      <c r="AM2029" cm="1">
        <f t="array" ref="AM2029">IFERROR(INDEX(sheath_wcap_asd,MATCH(AP2029,sheath_mark,0),0)*AK2029,0)</f>
        <v>0</v>
      </c>
      <c r="AN2029" cm="1">
        <f t="array" ref="AN2029">IFERROR(INDEX(hd_cap,MATCH(AQ2029,hd_mark,0),0),0)</f>
        <v>0</v>
      </c>
      <c r="AP2029" s="19"/>
      <c r="AQ2029" s="19"/>
      <c r="AR2029" s="100"/>
      <c r="AS2029" s="93"/>
      <c r="AT2029" s="110" t="str">
        <f>$AT$1960</f>
        <v>1.11</v>
      </c>
      <c r="AU2029" t="str">
        <f>$Q$1941</f>
        <v>L2</v>
      </c>
      <c r="AV2029">
        <f>$E$21</f>
        <v>10.6875</v>
      </c>
      <c r="AW2029" cm="1">
        <f t="array" ref="AW2029">IFERROR(IF(AV2029=0,0,(INDEX($C$33:$C$38,MATCH($AZ$1960,$B$33:$B$38,0),0)*(AV2033+$BA$1960)+$AW$1960*COUNTIF(AV2029:AV2032,"&gt;0")*$C$32+$AY$1960*$C$31)*$AU$1960),0)</f>
        <v>0</v>
      </c>
      <c r="AX2029">
        <f>IF(AV2029=0,0,-(COUNTIF(AV2029:AV2032,"&gt;0")*$AW$1960*$C$32+$AY$1960*$C$31)*$H$27*$AU$1960)</f>
        <v>0</v>
      </c>
      <c r="AY2029">
        <f>IF(AV2029=0,0,$AY$1960*$H$26*$AU$1960)</f>
        <v>0</v>
      </c>
      <c r="AZ2029">
        <f>(0.6*AW2029+0.7*AX2029)*$AU$1960/2</f>
        <v>0</v>
      </c>
      <c r="BA2029">
        <f>(0.6*AW2029+0.6*AY2029)*$AU$1960/2</f>
        <v>0</v>
      </c>
      <c r="BC2029">
        <f>IF(AV2029=0,0,$BG$1960*$AP$1941)</f>
        <v>0</v>
      </c>
      <c r="BD2029">
        <f>IFERROR(BC2029/$AU$1960,0)</f>
        <v>0</v>
      </c>
      <c r="BE2029">
        <f>BC2029*($F$21+IF($F$21=0,0,($C$14+$C$15+IF($C$13="single",1.5,3)+3)/12))</f>
        <v>0</v>
      </c>
      <c r="BF2029">
        <f>BE2029-AZ2029</f>
        <v>0</v>
      </c>
      <c r="BG2029" cm="1">
        <f t="array" ref="BG2029">IFERROR(IF(BF2029&lt;0,0,BF2029/($AU$1960-INDEX(hd_off,MATCH(BT2029,hd_mark,0),0)/12)),0)</f>
        <v>0</v>
      </c>
      <c r="BH2029">
        <f>IF(AV2029=0,0,$BG$1960*$AM$1941)</f>
        <v>0</v>
      </c>
      <c r="BI2029">
        <f>IFERROR(BH2029/$AU$1960,0)</f>
        <v>0</v>
      </c>
      <c r="BJ2029">
        <f>BH2029*($F$21+IF($F$21=0,0,($C$14+$C$15+IF($C$13="single",1.5,3)+3)/12))</f>
        <v>0</v>
      </c>
      <c r="BK2029">
        <f>BJ2029-BA2029</f>
        <v>0</v>
      </c>
      <c r="BL2029" cm="1">
        <f t="array" ref="BL2029">IFERROR(IF(BK2029&lt;0,0,BK2029/($AU$1960-INDEX(hd_off,MATCH(BT2029,hd_mark,0),0)/12)),0)</f>
        <v>0</v>
      </c>
      <c r="BM2029">
        <f>MAX($F$21,$BB$1960)/$Q$1972</f>
        <v>0.30172413793103448</v>
      </c>
      <c r="BN2029">
        <f>IF(BM2029=0,0,IF(BM2029&gt;2,1.25-0.125*BM2029,1))</f>
        <v>1</v>
      </c>
      <c r="BO2029" cm="1">
        <f t="array" ref="BO2029">IFERROR(INDEX(sheath_ecap_asd,MATCH(BS2029,sheath_mark,0),0)*BN2029,0)</f>
        <v>0</v>
      </c>
      <c r="BP2029" cm="1">
        <f t="array" ref="BP2029">IFERROR(INDEX(sheath_wcap_asd,MATCH(BS2029,sheath_mark,0),0)*BN2029,0)</f>
        <v>0</v>
      </c>
      <c r="BQ2029" cm="1">
        <f t="array" ref="BQ2029">IFERROR(INDEX(hd_cap,MATCH(BT2029,hd_mark,0),0),0)</f>
        <v>0</v>
      </c>
      <c r="BS2029" s="19"/>
      <c r="BT2029" s="19"/>
      <c r="BU2029" s="100"/>
    </row>
    <row r="2030" x14ac:dyDescent="0.25">
      <c r="P2030" s="93"/>
      <c r="Q2030" s="109"/>
      <c r="R2030" t="str">
        <f>$Q$1942</f>
        <v>L3</v>
      </c>
      <c r="S2030">
        <f>$E$22</f>
        <v>21.375</v>
      </c>
      <c r="T2030" cm="1">
        <f t="array" ref="T2030">IFERROR(IF(S2030=0,0,(INDEX($C$33:$C$38,MATCH($W$1960,$B$33:$B$38,0),0)*(S2033+$X$1960)+$T$1960*COUNTIF(S2030:S2032,"&gt;0")*$C$32+$V$1960*$C$31)*$R$1960),0)</f>
        <v>0</v>
      </c>
      <c r="U2030">
        <f>IF(S2030=0,0,-(COUNTIF(S2030:S2032,"&gt;0")*$T$1960*$C$32+$V$1960*$C$31)*$H$27*$R$1960)</f>
        <v>0</v>
      </c>
      <c r="V2030">
        <f>IF(S2030=0,0,$V$1960*$H$26*$R$1960)</f>
        <v>0</v>
      </c>
      <c r="W2030">
        <f>(0.6*T2030+0.7*U2030)*$R$1960/2</f>
        <v>0</v>
      </c>
      <c r="X2030">
        <f>T2030*$R$1960/2</f>
        <v>0</v>
      </c>
      <c r="Z2030">
        <f>IF(S2030=0,0,$AD$1960*$AP$1942)</f>
        <v>0</v>
      </c>
      <c r="AA2030">
        <f>IFERROR(Z2030/$R$1960,0)</f>
        <v>0</v>
      </c>
      <c r="AB2030">
        <f>Z2030*($F$22+IF($F$22=0,0,($C$14+$C$15+IF($C$13="single",1.5,3)+3)/12))</f>
        <v>0</v>
      </c>
      <c r="AC2030">
        <f>AB2030-W2030</f>
        <v>0</v>
      </c>
      <c r="AD2030" cm="1">
        <f t="array" ref="AD2030">IFERROR(IF(AC2030&lt;0,0,AC2030/($R$1960-INDEX(hd_off,MATCH(AQ2030,hd_mark,0),0)/12)),0)</f>
        <v>0</v>
      </c>
      <c r="AE2030">
        <f>IF(S2030=0,0,$AD$1960*$AM$1942)</f>
        <v>0</v>
      </c>
      <c r="AF2030">
        <f>IFERROR(AE2030/$R$1960,0)</f>
        <v>0</v>
      </c>
      <c r="AG2030">
        <f>AE2030*($F$22+IF($F$22=0,0,($C$14+$C$15+IF($C$13="single",1.5,3)+3)/12))</f>
        <v>0</v>
      </c>
      <c r="AH2030">
        <f>AG2030-X2030</f>
        <v>0</v>
      </c>
      <c r="AI2030" cm="1">
        <f t="array" ref="AI2030">IFERROR(IF(AH2030&lt;0,0,AH2030/($R$1960-INDEX(hd_off,MATCH(AQ2030,hd_mark,0),0)/12)),0)</f>
        <v>0</v>
      </c>
      <c r="AJ2030">
        <f>MAX($F$22,$Z$1960)/$Q$1972</f>
        <v>0.30172413793103448</v>
      </c>
      <c r="AK2030">
        <f t="shared" ref="AK2030:AK2033" si="1251">IF(AJ2030=0,0,IF(AJ2030&gt;2,1.25-0.125*AJ2030,1))</f>
        <v>1</v>
      </c>
      <c r="AL2030" cm="1">
        <f t="array" ref="AL2030">IFERROR(INDEX(sheath_ecap_asd,MATCH(AP2030,sheath_mark,0),0)*AK2030,0)</f>
        <v>0</v>
      </c>
      <c r="AM2030" cm="1">
        <f t="array" ref="AM2030">IFERROR(INDEX(sheath_wcap_asd,MATCH(AP2030,sheath_mark,0),0)*AK2030,0)</f>
        <v>0</v>
      </c>
      <c r="AN2030" cm="1">
        <f t="array" ref="AN2030">IFERROR(INDEX(hd_cap,MATCH(AQ2030,hd_mark,0),0),0)</f>
        <v>0</v>
      </c>
      <c r="AP2030" s="19"/>
      <c r="AQ2030" s="19"/>
      <c r="AR2030" s="100"/>
      <c r="AS2030" s="93"/>
      <c r="AT2030" s="109"/>
      <c r="AU2030" t="str">
        <f>$Q$1942</f>
        <v>L3</v>
      </c>
      <c r="AV2030">
        <f>$E$22</f>
        <v>21.375</v>
      </c>
      <c r="AW2030" cm="1">
        <f t="array" ref="AW2030">IFERROR(IF(AV2030=0,0,(INDEX($C$33:$C$38,MATCH($AZ$1960,$B$33:$B$38,0),0)*(AV2033+$BA$1960)+$AW$1960*COUNTIF(AV2030:AV2032,"&gt;0")*$C$32+$AY$1960*$C$31)*$AU$1960),0)</f>
        <v>0</v>
      </c>
      <c r="AX2030">
        <f>IF(AV2030=0,0,-(COUNTIF(AV2030:AV2032,"&gt;0")*$AW$1960*$C$32+$AY$1960*$C$31)*$H$27*$AU$1960)</f>
        <v>0</v>
      </c>
      <c r="AY2030">
        <f>IF(AV2030=0,0,$AY$1960*$H$26*$AU$1960)</f>
        <v>0</v>
      </c>
      <c r="AZ2030">
        <f>(0.6*AW2030+0.7*AX2030)*$AU$1960/2</f>
        <v>0</v>
      </c>
      <c r="BA2030">
        <f>AW2030*$AU$1960/2</f>
        <v>0</v>
      </c>
      <c r="BC2030">
        <f>IF(AV2030=0,0,$BG$1960*$AP$1942)</f>
        <v>0</v>
      </c>
      <c r="BD2030">
        <f>IFERROR(BC2030/$AU$1960,0)</f>
        <v>0</v>
      </c>
      <c r="BE2030">
        <f>BC2030*($F$22+IF($F$22=0,0,($C$14+$C$15+IF($C$13="single",1.5,3)+3)/12))</f>
        <v>0</v>
      </c>
      <c r="BF2030">
        <f>BE2030-AZ2030</f>
        <v>0</v>
      </c>
      <c r="BG2030" cm="1">
        <f t="array" ref="BG2030">IFERROR(IF(BF2030&lt;0,0,BF2030/($AU$1960-INDEX(hd_off,MATCH(BT2030,hd_mark,0),0)/12)),0)</f>
        <v>0</v>
      </c>
      <c r="BH2030">
        <f>IF(AV2030=0,0,$BG$1960*$AM$1942)</f>
        <v>0</v>
      </c>
      <c r="BI2030">
        <f>IFERROR(BH2030/$AU$1960,0)</f>
        <v>0</v>
      </c>
      <c r="BJ2030">
        <f>BH2030*($F$22+IF($F$22=0,0,($C$14+$C$15+IF($C$13="single",1.5,3)+3)/12))</f>
        <v>0</v>
      </c>
      <c r="BK2030">
        <f>BJ2030-BA2030</f>
        <v>0</v>
      </c>
      <c r="BL2030" cm="1">
        <f t="array" ref="BL2030">IFERROR(IF(BK2030&lt;0,0,BK2030/($AU$1960-INDEX(hd_off,MATCH(BT2030,hd_mark,0),0)/12)),0)</f>
        <v>0</v>
      </c>
      <c r="BM2030">
        <f>MAX($F$22,$BC$1960)/$Q$1972</f>
        <v>0.30172413793103448</v>
      </c>
      <c r="BN2030">
        <f t="shared" ref="BN2030:BN2033" si="1252">IF(BM2030=0,0,IF(BM2030&gt;2,1.25-0.125*BM2030,1))</f>
        <v>1</v>
      </c>
      <c r="BO2030" cm="1">
        <f t="array" ref="BO2030">IFERROR(INDEX(sheath_ecap_asd,MATCH(BS2030,sheath_mark,0),0)*BN2030,0)</f>
        <v>0</v>
      </c>
      <c r="BP2030" cm="1">
        <f t="array" ref="BP2030">IFERROR(INDEX(sheath_wcap_asd,MATCH(BS2030,sheath_mark,0),0)*BN2030,0)</f>
        <v>0</v>
      </c>
      <c r="BQ2030" cm="1">
        <f t="array" ref="BQ2030">IFERROR(INDEX(hd_cap,MATCH(BT2030,hd_mark,0),0),0)</f>
        <v>0</v>
      </c>
      <c r="BS2030" s="19"/>
      <c r="BT2030" s="19"/>
      <c r="BU2030" s="100"/>
    </row>
    <row r="2031" x14ac:dyDescent="0.25">
      <c r="P2031" s="93"/>
      <c r="Q2031" s="109" t="s">
        <v>491</v>
      </c>
      <c r="R2031" t="str">
        <f>$Q$1943</f>
        <v>L4</v>
      </c>
      <c r="S2031">
        <f>$E$23</f>
        <v>0</v>
      </c>
      <c r="T2031" cm="1">
        <f t="array" ref="T2031">IFERROR(IF(S2031=0,0,(INDEX($C$33:$C$38,MATCH($W$1960,$B$33:$B$38,0),0)*(S2033+$X$1960)+$T$1960*COUNTIF(S2031:S2032,"&gt;0")*$C$32+$V$1960*$C$31)*$R$1960),0)</f>
        <v>0</v>
      </c>
      <c r="U2031">
        <f>IF(S2031=0,0,-(COUNTIF(S2031:S2032,"&gt;0")*$T$1960*$C$32+$V$1960*$C$31)*$H$27*$R$1960)</f>
        <v>0</v>
      </c>
      <c r="V2031">
        <f>IF(S2031=0,0,$V$1960*$H$26*$R$1960)</f>
        <v>0</v>
      </c>
      <c r="W2031">
        <f>(0.6*T2031+0.7*U2031)*$R$1960/2</f>
        <v>0</v>
      </c>
      <c r="X2031">
        <f>T2031*$R$1960/2</f>
        <v>0</v>
      </c>
      <c r="Z2031">
        <f>IF(S2031=0,0,$AD$1960*$AP$1943)</f>
        <v>0</v>
      </c>
      <c r="AA2031">
        <f>IFERROR(Z2031/$R$1960,0)</f>
        <v>0</v>
      </c>
      <c r="AB2031">
        <f>Z2031*($F$23+IF($F$23=0,0,($C$14+$C$15+IF($C$13="single",1.5,3)+3)/12))</f>
        <v>0</v>
      </c>
      <c r="AC2031">
        <f>AB2031-W2031</f>
        <v>0</v>
      </c>
      <c r="AD2031" cm="1">
        <f t="array" ref="AD2031">IFERROR(IF(AC2031&lt;0,0,AC2031/($R$1960-INDEX(hd_off,MATCH(AQ2031,hd_mark,0),0)/12)),0)</f>
        <v>0</v>
      </c>
      <c r="AE2031">
        <f>IF(S2031=0,0,$AD$1960*$AM$1943)</f>
        <v>0</v>
      </c>
      <c r="AF2031">
        <f>IFERROR(AE2031/$R$1960,0)</f>
        <v>0</v>
      </c>
      <c r="AG2031">
        <f>AE2031*($F$23+IF($F$23=0,0,($C$14+$C$15+IF($C$13="single",1.5,3)+3)/12))</f>
        <v>0</v>
      </c>
      <c r="AH2031">
        <f>AG2031-X2031</f>
        <v>0</v>
      </c>
      <c r="AI2031" cm="1">
        <f t="array" ref="AI2031">IFERROR(IF(AH2031&lt;0,0,AH2031/($R$1960-INDEX(hd_off,MATCH(AQ2031,hd_mark,0),0)/12)),0)</f>
        <v>0</v>
      </c>
      <c r="AJ2031">
        <f>MAX($F$23,$AA$1960)/$Q$1972</f>
        <v>0</v>
      </c>
      <c r="AK2031">
        <f t="shared" si="1251"/>
        <v>0</v>
      </c>
      <c r="AL2031" cm="1">
        <f t="array" ref="AL2031">IFERROR(INDEX(sheath_ecap_asd,MATCH(AP2031,sheath_mark,0),0)*AK2031,0)</f>
        <v>0</v>
      </c>
      <c r="AM2031" cm="1">
        <f t="array" ref="AM2031">IFERROR(INDEX(sheath_wcap_asd,MATCH(AP2031,sheath_mark,0),0)*AK2031,0)</f>
        <v>0</v>
      </c>
      <c r="AN2031" cm="1">
        <f t="array" ref="AN2031">IFERROR(INDEX(hd_cap,MATCH(AQ2031,hd_mark,0),0),0)</f>
        <v>0</v>
      </c>
      <c r="AP2031" s="19"/>
      <c r="AQ2031" s="19"/>
      <c r="AR2031" s="100"/>
      <c r="AS2031" s="93"/>
      <c r="AT2031" s="109" t="s">
        <v>491</v>
      </c>
      <c r="AU2031" t="str">
        <f>$Q$1943</f>
        <v>L4</v>
      </c>
      <c r="AV2031">
        <f>$E$23</f>
        <v>0</v>
      </c>
      <c r="AW2031" cm="1">
        <f t="array" ref="AW2031">IFERROR(IF(AV2031=0,0,(INDEX($C$33:$C$38,MATCH($AZ$1960,$B$33:$B$38,0),0)*(AV2033+$BA$1960)+$AW$1960*COUNTIF(AV2031:AV2032,"&gt;0")*$C$32+$AY$1960*$C$31)*$AU$1960),0)</f>
        <v>0</v>
      </c>
      <c r="AX2031">
        <f>IF(AV2031=0,0,-(COUNTIF(AV2031:AV2032,"&gt;0")*$AW$1960*$C$32+$AY$1960*$C$31)*$H$27*$AU$1960)</f>
        <v>0</v>
      </c>
      <c r="AY2031">
        <f>IF(AV2031=0,0,$AY$1960*$H$26*$AU$1960)</f>
        <v>0</v>
      </c>
      <c r="AZ2031">
        <f>(0.6*AW2031+0.7*AX2031)*$AU$1960/2</f>
        <v>0</v>
      </c>
      <c r="BA2031">
        <f>AW2031*$AU$1960/2</f>
        <v>0</v>
      </c>
      <c r="BC2031">
        <f>IF(AV2031=0,0,$BG$1960*$AP$1943)</f>
        <v>0</v>
      </c>
      <c r="BD2031">
        <f>IFERROR(BC2031/$AU$1960,0)</f>
        <v>0</v>
      </c>
      <c r="BE2031">
        <f>BC2031*($F$23+IF($F$23=0,0,($C$14+$C$15+IF($C$13="single",1.5,3)+3)/12))</f>
        <v>0</v>
      </c>
      <c r="BF2031">
        <f>BE2031-AZ2031</f>
        <v>0</v>
      </c>
      <c r="BG2031" cm="1">
        <f t="array" ref="BG2031">IFERROR(IF(BF2031&lt;0,0,BF2031/($AU$1960-INDEX(hd_off,MATCH(BT2031,hd_mark,0),0)/12)),0)</f>
        <v>0</v>
      </c>
      <c r="BH2031">
        <f>IF(AV2031=0,0,$BG$1960*$AM$1943)</f>
        <v>0</v>
      </c>
      <c r="BI2031">
        <f>IFERROR(BH2031/$AU$1960,0)</f>
        <v>0</v>
      </c>
      <c r="BJ2031">
        <f>BH2031*($F$23+IF($F$23=0,0,($C$14+$C$15+IF($C$13="single",1.5,3)+3)/12))</f>
        <v>0</v>
      </c>
      <c r="BK2031">
        <f>BJ2031-BA2031</f>
        <v>0</v>
      </c>
      <c r="BL2031" cm="1">
        <f t="array" ref="BL2031">IFERROR(IF(BK2031&lt;0,0,BK2031/($AU$1960-INDEX(hd_off,MATCH(BT2031,hd_mark,0),0)/12)),0)</f>
        <v>0</v>
      </c>
      <c r="BM2031">
        <f>MAX($F$23,$BD$1960)/$Q$1972</f>
        <v>0</v>
      </c>
      <c r="BN2031">
        <f t="shared" si="1252"/>
        <v>0</v>
      </c>
      <c r="BO2031" cm="1">
        <f t="array" ref="BO2031">IFERROR(INDEX(sheath_ecap_asd,MATCH(BS2031,sheath_mark,0),0)*BN2031,0)</f>
        <v>0</v>
      </c>
      <c r="BP2031" cm="1">
        <f t="array" ref="BP2031">IFERROR(INDEX(sheath_wcap_asd,MATCH(BS2031,sheath_mark,0),0)*BN2031,0)</f>
        <v>0</v>
      </c>
      <c r="BQ2031" cm="1">
        <f t="array" ref="BQ2031">IFERROR(INDEX(hd_cap,MATCH(BT2031,hd_mark,0),0),0)</f>
        <v>0</v>
      </c>
      <c r="BS2031" s="19"/>
      <c r="BT2031" s="19"/>
      <c r="BU2031" s="100"/>
    </row>
    <row r="2032" x14ac:dyDescent="0.25">
      <c r="P2032" s="93"/>
      <c r="Q2032" s="111">
        <f>$R$1960</f>
        <v>0</v>
      </c>
      <c r="R2032" t="str">
        <f>$Q$1944</f>
        <v>L5</v>
      </c>
      <c r="S2032">
        <f>$E$24</f>
        <v>0</v>
      </c>
      <c r="T2032" cm="1">
        <f t="array" ref="T2032">IFERROR(IF(S2032=0,0,(INDEX($C$33:$C$38,MATCH($W$1960,$B$33:$B$38,0),0)*(S2033+$X$1960)+$T$1960*COUNTIF(S2032:S2032,"&gt;0")*$C$32+$V$1960*$C$31)*$R$1960),0)</f>
        <v>0</v>
      </c>
      <c r="U2032">
        <f>IF(S2032=0,0,-(COUNTIF(S2032:S2032,"&gt;0")*$T$1960*$C$32+$V$1960*$C$31)*$H$27*$R$1960)</f>
        <v>0</v>
      </c>
      <c r="V2032">
        <f>IF(S2032=0,0,$V$1960*$H$26*$R$1960)</f>
        <v>0</v>
      </c>
      <c r="W2032">
        <f>(0.6*T2032+0.7*U2032)*$R$1960/2</f>
        <v>0</v>
      </c>
      <c r="X2032">
        <f>T2032*$R$1960/2</f>
        <v>0</v>
      </c>
      <c r="Z2032">
        <f>IF(S2032=0,0,$AD$1960*$AP$1944)</f>
        <v>0</v>
      </c>
      <c r="AA2032">
        <f>IFERROR(Z2032/$R$1960,0)</f>
        <v>0</v>
      </c>
      <c r="AB2032">
        <f>Z2032*($F$24+IF($F$24=0,0,($C$14+$C$15+IF($C$13="single",1.5,3)+3)/12))</f>
        <v>0</v>
      </c>
      <c r="AC2032">
        <f>AB2032-W2032</f>
        <v>0</v>
      </c>
      <c r="AD2032" cm="1">
        <f t="array" ref="AD2032">IFERROR(IF(AC2032&lt;0,0,AC2032/($R$1960-INDEX(hd_off,MATCH(AQ2032,hd_mark,0),0)/12)),0)</f>
        <v>0</v>
      </c>
      <c r="AE2032">
        <f>IF(S2032=0,0,$AD$1960*$AM$1944)</f>
        <v>0</v>
      </c>
      <c r="AF2032">
        <f>IFERROR(AE2032/$R$1960,0)</f>
        <v>0</v>
      </c>
      <c r="AG2032">
        <f>AE2032*($F$24+IF($F$24=0,0,($C$14+$C$15+IF($C$13="single",1.5,3)+3)/12))</f>
        <v>0</v>
      </c>
      <c r="AH2032">
        <f>AG2032-X2032</f>
        <v>0</v>
      </c>
      <c r="AI2032" cm="1">
        <f t="array" ref="AI2032">IFERROR(IF(AH2032&lt;0,0,AH2032/($R$1960-INDEX(hd_off,MATCH(AQ2032,hd_mark,0),0)/12)),0)</f>
        <v>0</v>
      </c>
      <c r="AJ2032">
        <f>MAX($F$24,$AB$1960)/$Q$1972</f>
        <v>0</v>
      </c>
      <c r="AK2032">
        <f t="shared" si="1251"/>
        <v>0</v>
      </c>
      <c r="AL2032" cm="1">
        <f t="array" ref="AL2032">IFERROR(INDEX(sheath_ecap_asd,MATCH(AP2032,sheath_mark,0),0)*AK2032,0)</f>
        <v>0</v>
      </c>
      <c r="AM2032" cm="1">
        <f t="array" ref="AM2032">IFERROR(INDEX(sheath_wcap_asd,MATCH(AP2032,sheath_mark,0),0)*AK2032,0)</f>
        <v>0</v>
      </c>
      <c r="AN2032" cm="1">
        <f t="array" ref="AN2032">IFERROR(INDEX(hd_cap,MATCH(AQ2032,hd_mark,0),0),0)</f>
        <v>0</v>
      </c>
      <c r="AP2032" s="19"/>
      <c r="AQ2032" s="19"/>
      <c r="AR2032" s="100"/>
      <c r="AS2032" s="93"/>
      <c r="AT2032" s="111">
        <f>$R$1960</f>
        <v>0</v>
      </c>
      <c r="AU2032" t="str">
        <f>$Q$1944</f>
        <v>L5</v>
      </c>
      <c r="AV2032">
        <f>$E$24</f>
        <v>0</v>
      </c>
      <c r="AW2032" cm="1">
        <f t="array" ref="AW2032">IFERROR(IF(AV2032=0,0,(INDEX($C$33:$C$38,MATCH($AZ$1960,$B$33:$B$38,0),0)*(AV2033+$BA$1960)+$AW$1960*COUNTIF(AV2032:AV2032,"&gt;0")*$C$32+$AY$1960*$C$31)*$AU$1960),0)</f>
        <v>0</v>
      </c>
      <c r="AX2032">
        <f>IF(AV2032=0,0,-(COUNTIF(AV2032:AV2032,"&gt;0")*$AW$1960*$C$32+$AY$1960*$C$31)*$H$27*$AU$1960)</f>
        <v>0</v>
      </c>
      <c r="AY2032">
        <f>IF(AV2032=0,0,$AY$1960*$H$26*$AU$1960)</f>
        <v>0</v>
      </c>
      <c r="AZ2032">
        <f>(0.6*AW2032+0.7*AX2032)*$AU$1960/2</f>
        <v>0</v>
      </c>
      <c r="BA2032">
        <f>AW2032*$AU$1960/2</f>
        <v>0</v>
      </c>
      <c r="BC2032">
        <f>IF(AV2032=0,0,$BG$1960*$AP$1944)</f>
        <v>0</v>
      </c>
      <c r="BD2032">
        <f>IFERROR(BC2032/$AU$1960,0)</f>
        <v>0</v>
      </c>
      <c r="BE2032">
        <f>BC2032*($F$24+IF($F$24=0,0,($C$14+$C$15+IF($C$13="single",1.5,3)+3)/12))</f>
        <v>0</v>
      </c>
      <c r="BF2032">
        <f>BE2032-AZ2032</f>
        <v>0</v>
      </c>
      <c r="BG2032" cm="1">
        <f t="array" ref="BG2032">IFERROR(IF(BF2032&lt;0,0,BF2032/($AU$1960-INDEX(hd_off,MATCH(BT2032,hd_mark,0),0)/12)),0)</f>
        <v>0</v>
      </c>
      <c r="BH2032">
        <f>IF(AV2032=0,0,$BG$1960*$AM$1944)</f>
        <v>0</v>
      </c>
      <c r="BI2032">
        <f>IFERROR(BH2032/$AU$1960,0)</f>
        <v>0</v>
      </c>
      <c r="BJ2032">
        <f>BH2032*($F$24+IF($F$24=0,0,($C$14+$C$15+IF($C$13="single",1.5,3)+3)/12))</f>
        <v>0</v>
      </c>
      <c r="BK2032">
        <f>BJ2032-BA2032</f>
        <v>0</v>
      </c>
      <c r="BL2032" cm="1">
        <f t="array" ref="BL2032">IFERROR(IF(BK2032&lt;0,0,BK2032/($AU$1960-INDEX(hd_off,MATCH(BT2032,hd_mark,0),0)/12)),0)</f>
        <v>0</v>
      </c>
      <c r="BM2032">
        <f>MAX($F$24,$BE$1960)/$Q$1972</f>
        <v>0</v>
      </c>
      <c r="BN2032">
        <f t="shared" si="1252"/>
        <v>0</v>
      </c>
      <c r="BO2032" cm="1">
        <f t="array" ref="BO2032">IFERROR(INDEX(sheath_ecap_asd,MATCH(BS2032,sheath_mark,0),0)*BN2032,0)</f>
        <v>0</v>
      </c>
      <c r="BP2032" cm="1">
        <f t="array" ref="BP2032">IFERROR(INDEX(sheath_wcap_asd,MATCH(BS2032,sheath_mark,0),0)*BN2032,0)</f>
        <v>0</v>
      </c>
      <c r="BQ2032" cm="1">
        <f t="array" ref="BQ2032">IFERROR(INDEX(hd_cap,MATCH(BT2032,hd_mark,0),0),0)</f>
        <v>0</v>
      </c>
      <c r="BS2032" s="19"/>
      <c r="BT2032" s="19"/>
      <c r="BU2032" s="100"/>
    </row>
    <row r="2033" x14ac:dyDescent="0.25">
      <c r="P2033" s="93"/>
      <c r="Q2033" s="109"/>
      <c r="R2033" t="str">
        <f>$Q$1945</f>
        <v>Roof</v>
      </c>
      <c r="S2033">
        <f>$E$25</f>
        <v>33.171875</v>
      </c>
      <c r="T2033" cm="1">
        <f t="array" ref="T2033">IFERROR(IF(S2033=0,0,(INDEX($C$33:$C$38,MATCH($W$1960,$B$33:$B$38,0),0)*(S2033+$X$1960)+$V$1960*$C$31)*$R$1960),0)</f>
        <v>0</v>
      </c>
      <c r="U2033">
        <f>IF(S2033=0,0,-$V$1960*$C$31*$H$27*$R$1960)</f>
        <v>0</v>
      </c>
      <c r="V2033">
        <f>IF(S2033=0,0,$V$1960*$H$26*$R$1960)</f>
        <v>0</v>
      </c>
      <c r="W2033">
        <f>(0.6*T2033+0.7*U2033)*$R$1960/2</f>
        <v>0</v>
      </c>
      <c r="X2033">
        <f>T2033*$R$1960/2</f>
        <v>0</v>
      </c>
      <c r="Z2033">
        <f>IF(S2033=0,0,$AD$1960*$AP$1945)</f>
        <v>0</v>
      </c>
      <c r="AA2033">
        <f>IFERROR(Z2033/$R$1960,0)</f>
        <v>0</v>
      </c>
      <c r="AB2033">
        <f>Z2033*($F$25+($C$16+$C$17+IF($C$13="single",1.5,3)+3)/12)</f>
        <v>0</v>
      </c>
      <c r="AC2033">
        <f>AB2033-W2033</f>
        <v>0</v>
      </c>
      <c r="AD2033" cm="1">
        <f t="array" ref="AD2033">IFERROR(IF(AC2033&lt;0,0,AC2033/($R$1960-INDEX(hd_off,MATCH(AQ2033,hd_mark,0),0)/12)),0)</f>
        <v>0</v>
      </c>
      <c r="AE2033">
        <f>IF(S2033=0,0,$AD$1960*$AM$1945)</f>
        <v>0</v>
      </c>
      <c r="AF2033">
        <f>IFERROR(AE2033/$R$1960,0)</f>
        <v>0</v>
      </c>
      <c r="AG2033">
        <f>AE2033*($F$25+($C$16+$C$17+IF($C$13="single",1.5,3)+3)/12)</f>
        <v>0</v>
      </c>
      <c r="AH2033">
        <f>AG2033-X2033</f>
        <v>0</v>
      </c>
      <c r="AI2033" cm="1">
        <f t="array" ref="AI2033">IFERROR(IF(AH2033&lt;0,0,AH2033/($R$1960-INDEX(hd_off,MATCH(AQ2033,hd_mark,0),0)/12)),0)</f>
        <v>0</v>
      </c>
      <c r="AJ2033">
        <f>MAX($F$25,$AC$1960)/$Q$1972</f>
        <v>0.29920977011494249</v>
      </c>
      <c r="AK2033">
        <f t="shared" si="1251"/>
        <v>1</v>
      </c>
      <c r="AL2033" cm="1">
        <f t="array" ref="AL2033">IFERROR(INDEX(sheath_ecap_asd,MATCH(AP2033,sheath_mark,0),0)*AK2033,0)</f>
        <v>0</v>
      </c>
      <c r="AM2033" cm="1">
        <f t="array" ref="AM2033">IFERROR(INDEX(sheath_wcap_asd,MATCH(AP2033,sheath_mark,0),0)*AK2033,0)</f>
        <v>0</v>
      </c>
      <c r="AN2033" cm="1">
        <f t="array" ref="AN2033">IFERROR(INDEX(hd_cap,MATCH(AQ2033,hd_mark,0),0),0)</f>
        <v>0</v>
      </c>
      <c r="AP2033" s="19"/>
      <c r="AQ2033" s="19"/>
      <c r="AR2033" s="100"/>
      <c r="AS2033" s="93"/>
      <c r="AT2033" s="109"/>
      <c r="AU2033" t="str">
        <f>$Q$1945</f>
        <v>Roof</v>
      </c>
      <c r="AV2033">
        <f>$E$25</f>
        <v>33.171875</v>
      </c>
      <c r="AW2033" cm="1">
        <f t="array" ref="AW2033">IFERROR(IF(AV2033=0,0,(INDEX($C$33:$C$38,MATCH($AZ$1960,$B$33:$B$38,0),0)*(AV2033+$BA$1960)+$AY$1960*$C$31)*$AU$1960),0)</f>
        <v>0</v>
      </c>
      <c r="AX2033">
        <f>IF(AV2033=0,0,-$AY$1960*$C$31*$H$27*$AU$1960)</f>
        <v>0</v>
      </c>
      <c r="AY2033">
        <f>IF(AV2033=0,0,$AY$1960*$H$26*$AU$1960)</f>
        <v>0</v>
      </c>
      <c r="AZ2033">
        <f>(0.6*AW2033+0.7*AX2033)*$AU$1960/2</f>
        <v>0</v>
      </c>
      <c r="BA2033">
        <f>AW2033*$AU$1960/2</f>
        <v>0</v>
      </c>
      <c r="BC2033">
        <f>IF(AV2033=0,0,$BG$1960*$AP$1945)</f>
        <v>0</v>
      </c>
      <c r="BD2033">
        <f>IFERROR(BC2033/$AU$1960,0)</f>
        <v>0</v>
      </c>
      <c r="BE2033">
        <f>BC2033*($F$25+($C$16+$C$17+IF($C$13="single",1.5,3)+3)/12)</f>
        <v>0</v>
      </c>
      <c r="BF2033">
        <f>BE2033-AZ2033</f>
        <v>0</v>
      </c>
      <c r="BG2033" cm="1">
        <f t="array" ref="BG2033">IFERROR(IF(BF2033&lt;0,0,BF2033/($AU$1960-INDEX(hd_off,MATCH(BT2033,hd_mark,0),0)/12)),0)</f>
        <v>0</v>
      </c>
      <c r="BH2033">
        <f>IF(AV2033=0,0,$BG$1960*$AM$1945)</f>
        <v>0</v>
      </c>
      <c r="BI2033">
        <f>IFERROR(BH2033/$AU$1960,0)</f>
        <v>0</v>
      </c>
      <c r="BJ2033">
        <f>BH2033*($F$25+($C$16+$C$17+IF($C$13="single",1.5,3)+3)/12)</f>
        <v>0</v>
      </c>
      <c r="BK2033">
        <f>BJ2033-BA2033</f>
        <v>0</v>
      </c>
      <c r="BL2033" cm="1">
        <f t="array" ref="BL2033">IFERROR(IF(BK2033&lt;0,0,BK2033/($AU$1960-INDEX(hd_off,MATCH(BT2033,hd_mark,0),0)/12)),0)</f>
        <v>0</v>
      </c>
      <c r="BM2033">
        <f>MAX($F$25,$BF$1960)/$Q$1972</f>
        <v>0.29920977011494249</v>
      </c>
      <c r="BN2033">
        <f t="shared" si="1252"/>
        <v>1</v>
      </c>
      <c r="BO2033" cm="1">
        <f t="array" ref="BO2033">IFERROR(INDEX(sheath_ecap_asd,MATCH(BS2033,sheath_mark,0),0)*BN2033,0)</f>
        <v>0</v>
      </c>
      <c r="BP2033" cm="1">
        <f t="array" ref="BP2033">IFERROR(INDEX(sheath_wcap_asd,MATCH(BS2033,sheath_mark,0),0)*BN2033,0)</f>
        <v>0</v>
      </c>
      <c r="BQ2033" cm="1">
        <f t="array" ref="BQ2033">IFERROR(INDEX(hd_cap,MATCH(BT2033,hd_mark,0),0),0)</f>
        <v>0</v>
      </c>
      <c r="BS2033" s="19"/>
      <c r="BT2033" s="19"/>
      <c r="BU2033" s="100"/>
    </row>
    <row r="2034" x14ac:dyDescent="0.25">
      <c r="P2034" s="93"/>
      <c r="AR2034" s="100"/>
      <c r="AS2034" s="93"/>
      <c r="BU2034" s="100"/>
    </row>
    <row r="2035" x14ac:dyDescent="0.25">
      <c r="P2035" s="93"/>
      <c r="Q2035" s="110" t="str">
        <f>$Q$1961</f>
        <v>A.12</v>
      </c>
      <c r="R2035" t="str">
        <f>$Q$1941</f>
        <v>L2</v>
      </c>
      <c r="S2035">
        <f>$E$21</f>
        <v>10.6875</v>
      </c>
      <c r="T2035" cm="1">
        <f t="array" ref="T2035">IFERROR(IF(S2035=0,0,(INDEX($C$33:$C$38,MATCH($W$1961,$B$33:$B$38,0),0)*(S2039+$X$1961)+$T$1961*COUNTIF(S2035:S2038,"&gt;0")*$C$32+$V$1961*$C$31)*$R$1961),0)</f>
        <v>0</v>
      </c>
      <c r="U2035">
        <f>IF(S2035=0,0,-(COUNTIF(S2035:S2038,"&gt;0")*$T$1961*$C$32+$V$1961*$C$31)*$H$27*$R$1961)</f>
        <v>0</v>
      </c>
      <c r="V2035">
        <f>IF(S2035=0,0,$V$1961*$H$26*$R$1961)</f>
        <v>0</v>
      </c>
      <c r="W2035">
        <f>(0.6*T2035+0.7*U2035)*$R$1961/2</f>
        <v>0</v>
      </c>
      <c r="X2035">
        <f>(0.6*T2035+0.6*V2035)*$R$1961/2</f>
        <v>0</v>
      </c>
      <c r="Z2035">
        <f>IF(S2035=0,0,$AD$1961*$AP$1941)</f>
        <v>0</v>
      </c>
      <c r="AA2035">
        <f>IFERROR(Z2035/$R$1961,0)</f>
        <v>0</v>
      </c>
      <c r="AB2035">
        <f>Z2035*($F$21+IF($F$21=0,0,($C$14+$C$15+IF($C$13="single",1.5,3)+3)/12))</f>
        <v>0</v>
      </c>
      <c r="AC2035">
        <f>AB2035-W2035</f>
        <v>0</v>
      </c>
      <c r="AD2035" cm="1">
        <f t="array" ref="AD2035">IFERROR(IF(AC2035&lt;0,0,AC2035/($R$1961-INDEX(hd_off,MATCH(AQ2035,hd_mark,0),0)/12)),0)</f>
        <v>0</v>
      </c>
      <c r="AE2035">
        <f>IF(S2035=0,0,$AD$1961*$AM$1941)</f>
        <v>0</v>
      </c>
      <c r="AF2035">
        <f>IFERROR(AE2035/$R$1961,0)</f>
        <v>0</v>
      </c>
      <c r="AG2035">
        <f>AE2035*($F$21+IF($F$21=0,0,($C$14+$C$15+IF($C$13="single",1.5,3)+3)/12))</f>
        <v>0</v>
      </c>
      <c r="AH2035">
        <f>AG2035-X2035</f>
        <v>0</v>
      </c>
      <c r="AI2035" cm="1">
        <f t="array" ref="AI2035">IFERROR(IF(AH2035&lt;0,0,AH2035/($R$1961-INDEX(hd_off,MATCH(AQ2035,hd_mark,0),0)/12)),0)</f>
        <v>0</v>
      </c>
      <c r="AJ2035">
        <f>MAX($F$21,$Y$1961)/$Q$1972</f>
        <v>0.30172413793103448</v>
      </c>
      <c r="AK2035">
        <f>IF(AJ2035=0,0,IF(AJ2035&gt;2,1.25-0.125*AJ2035,1))</f>
        <v>1</v>
      </c>
      <c r="AL2035" cm="1">
        <f t="array" ref="AL2035">IFERROR(INDEX(sheath_ecap_asd,MATCH(AP2035,sheath_mark,0),0)*AK2035,0)</f>
        <v>0</v>
      </c>
      <c r="AM2035" cm="1">
        <f t="array" ref="AM2035">IFERROR(INDEX(sheath_wcap_asd,MATCH(AP2035,sheath_mark,0),0)*AK2035,0)</f>
        <v>0</v>
      </c>
      <c r="AN2035" cm="1">
        <f t="array" ref="AN2035">IFERROR(INDEX(hd_cap,MATCH(AQ2035,hd_mark,0),0),0)</f>
        <v>0</v>
      </c>
      <c r="AP2035" s="19"/>
      <c r="AQ2035" s="19"/>
      <c r="AR2035" s="100"/>
      <c r="AS2035" s="93"/>
      <c r="AT2035" s="110" t="str">
        <f>$AT$1961</f>
        <v>1.12</v>
      </c>
      <c r="AU2035" t="str">
        <f>$Q$1941</f>
        <v>L2</v>
      </c>
      <c r="AV2035">
        <f>$E$21</f>
        <v>10.6875</v>
      </c>
      <c r="AW2035" cm="1">
        <f t="array" ref="AW2035">IFERROR(IF(AV2035=0,0,(INDEX($C$33:$C$38,MATCH($AZ$1961,$B$33:$B$38,0),0)*(AV2039+$BA$1961)+$AW$1961*COUNTIF(AV2035:AV2038,"&gt;0")*$C$32+$AY$1961*$C$31)*$AU$1961),0)</f>
        <v>0</v>
      </c>
      <c r="AX2035">
        <f>IF(AV2035=0,0,-(COUNTIF(AV2035:AV2038,"&gt;0")*$AW$1961*$C$32+$AY$1961*$C$31)*$H$27*$AU$1961)</f>
        <v>0</v>
      </c>
      <c r="AY2035">
        <f>IF(AV2035=0,0,$AY$1961*$H$26*$AU$1961)</f>
        <v>0</v>
      </c>
      <c r="AZ2035">
        <f>(0.6*AW2035+0.7*AX2035)*$AU$1961/2</f>
        <v>0</v>
      </c>
      <c r="BA2035">
        <f>(0.6*AW2035+0.6*AY2035)*$AU$1961/2</f>
        <v>0</v>
      </c>
      <c r="BC2035">
        <f>IF(AV2035=0,0,$BG$1961*$AP$1941)</f>
        <v>0</v>
      </c>
      <c r="BD2035">
        <f>IFERROR(BC2035/$AU$1961,0)</f>
        <v>0</v>
      </c>
      <c r="BE2035">
        <f>BC2035*($F$21+IF($F$21=0,0,($C$14+$C$15+IF($C$13="single",1.5,3)+3)/12))</f>
        <v>0</v>
      </c>
      <c r="BF2035">
        <f>BE2035-AZ2035</f>
        <v>0</v>
      </c>
      <c r="BG2035" cm="1">
        <f t="array" ref="BG2035">IFERROR(IF(BF2035&lt;0,0,BF2035/($AU$1961-INDEX(hd_off,MATCH(BT2035,hd_mark,0),0)/12)),0)</f>
        <v>0</v>
      </c>
      <c r="BH2035">
        <f>IF(AV2035=0,0,$BG$1961*$AM$1941)</f>
        <v>0</v>
      </c>
      <c r="BI2035">
        <f>IFERROR(BH2035/$AU$1961,0)</f>
        <v>0</v>
      </c>
      <c r="BJ2035">
        <f>BH2035*($F$21+IF($F$21=0,0,($C$14+$C$15+IF($C$13="single",1.5,3)+3)/12))</f>
        <v>0</v>
      </c>
      <c r="BK2035">
        <f>BJ2035-BA2035</f>
        <v>0</v>
      </c>
      <c r="BL2035" cm="1">
        <f t="array" ref="BL2035">IFERROR(IF(BK2035&lt;0,0,BK2035/($AU$1961-INDEX(hd_off,MATCH(BT2035,hd_mark,0),0)/12)),0)</f>
        <v>0</v>
      </c>
      <c r="BM2035">
        <f>MAX($F$21,$BB$1961)/$Q$1972</f>
        <v>0.30172413793103448</v>
      </c>
      <c r="BN2035">
        <f>IF(BM2035=0,0,IF(BM2035&gt;2,1.25-0.125*BM2035,1))</f>
        <v>1</v>
      </c>
      <c r="BO2035" cm="1">
        <f t="array" ref="BO2035">IFERROR(INDEX(sheath_ecap_asd,MATCH(BS2035,sheath_mark,0),0)*BN2035,0)</f>
        <v>0</v>
      </c>
      <c r="BP2035" cm="1">
        <f t="array" ref="BP2035">IFERROR(INDEX(sheath_wcap_asd,MATCH(BS2035,sheath_mark,0),0)*BN2035,0)</f>
        <v>0</v>
      </c>
      <c r="BQ2035" cm="1">
        <f t="array" ref="BQ2035">IFERROR(INDEX(hd_cap,MATCH(BT2035,hd_mark,0),0),0)</f>
        <v>0</v>
      </c>
      <c r="BS2035" s="19"/>
      <c r="BT2035" s="19"/>
      <c r="BU2035" s="100"/>
    </row>
    <row r="2036" x14ac:dyDescent="0.25">
      <c r="P2036" s="93"/>
      <c r="Q2036" s="109"/>
      <c r="R2036" t="str">
        <f>$Q$1942</f>
        <v>L3</v>
      </c>
      <c r="S2036">
        <f>$E$22</f>
        <v>21.375</v>
      </c>
      <c r="T2036" cm="1">
        <f t="array" ref="T2036">IFERROR(IF(S2036=0,0,(INDEX($C$33:$C$38,MATCH($W$1961,$B$33:$B$38,0),0)*(S2039+$X$1961)+$T$1961*COUNTIF(S2036:S2038,"&gt;0")*$C$32+$V$1961*$C$31)*$R$1961),0)</f>
        <v>0</v>
      </c>
      <c r="U2036">
        <f>IF(S2036=0,0,-(COUNTIF(S2036:S2038,"&gt;0")*$T$1961*$C$32+$V$1961*$C$31)*$H$27*$R$1961)</f>
        <v>0</v>
      </c>
      <c r="V2036">
        <f>IF(S2036=0,0,$V$1961*$H$26*$R$1961)</f>
        <v>0</v>
      </c>
      <c r="W2036">
        <f>(0.6*T2036+0.7*U2036)*$R$1961/2</f>
        <v>0</v>
      </c>
      <c r="X2036">
        <f>T2036*$R$1961/2</f>
        <v>0</v>
      </c>
      <c r="Z2036">
        <f>IF(S2036=0,0,$AD$1961*$AP$1942)</f>
        <v>0</v>
      </c>
      <c r="AA2036">
        <f>IFERROR(Z2036/$R$1961,0)</f>
        <v>0</v>
      </c>
      <c r="AB2036">
        <f>Z2036*($F$22+IF($F$22=0,0,($C$14+$C$15+IF($C$13="single",1.5,3)+3)/12))</f>
        <v>0</v>
      </c>
      <c r="AC2036">
        <f>AB2036-W2036</f>
        <v>0</v>
      </c>
      <c r="AD2036" cm="1">
        <f t="array" ref="AD2036">IFERROR(IF(AC2036&lt;0,0,AC2036/($R$1961-INDEX(hd_off,MATCH(AQ2036,hd_mark,0),0)/12)),0)</f>
        <v>0</v>
      </c>
      <c r="AE2036">
        <f>IF(S2036=0,0,$AD$1961*$AM$1942)</f>
        <v>0</v>
      </c>
      <c r="AF2036">
        <f>IFERROR(AE2036/$R$1961,0)</f>
        <v>0</v>
      </c>
      <c r="AG2036">
        <f>AE2036*($F$22+IF($F$22=0,0,($C$14+$C$15+IF($C$13="single",1.5,3)+3)/12))</f>
        <v>0</v>
      </c>
      <c r="AH2036">
        <f>AG2036-X2036</f>
        <v>0</v>
      </c>
      <c r="AI2036" cm="1">
        <f t="array" ref="AI2036">IFERROR(IF(AH2036&lt;0,0,AH2036/($R$1961-INDEX(hd_off,MATCH(AQ2036,hd_mark,0),0)/12)),0)</f>
        <v>0</v>
      </c>
      <c r="AJ2036">
        <f>MAX($F$22,$Z$1961)/$Q$1972</f>
        <v>0.30172413793103448</v>
      </c>
      <c r="AK2036">
        <f t="shared" ref="AK2036:AK2039" si="1253">IF(AJ2036=0,0,IF(AJ2036&gt;2,1.25-0.125*AJ2036,1))</f>
        <v>1</v>
      </c>
      <c r="AL2036" cm="1">
        <f t="array" ref="AL2036">IFERROR(INDEX(sheath_ecap_asd,MATCH(AP2036,sheath_mark,0),0)*AK2036,0)</f>
        <v>0</v>
      </c>
      <c r="AM2036" cm="1">
        <f t="array" ref="AM2036">IFERROR(INDEX(sheath_wcap_asd,MATCH(AP2036,sheath_mark,0),0)*AK2036,0)</f>
        <v>0</v>
      </c>
      <c r="AN2036" cm="1">
        <f t="array" ref="AN2036">IFERROR(INDEX(hd_cap,MATCH(AQ2036,hd_mark,0),0),0)</f>
        <v>0</v>
      </c>
      <c r="AP2036" s="19"/>
      <c r="AQ2036" s="19"/>
      <c r="AR2036" s="100"/>
      <c r="AS2036" s="93"/>
      <c r="AT2036" s="109"/>
      <c r="AU2036" t="str">
        <f>$Q$1942</f>
        <v>L3</v>
      </c>
      <c r="AV2036">
        <f>$E$22</f>
        <v>21.375</v>
      </c>
      <c r="AW2036" cm="1">
        <f t="array" ref="AW2036">IFERROR(IF(AV2036=0,0,(INDEX($C$33:$C$38,MATCH($AZ$1961,$B$33:$B$38,0),0)*(AV2039+$BA$1961)+$AW$1961*COUNTIF(AV2036:AV2038,"&gt;0")*$C$32+$AY$1961*$C$31)*$AU$1961),0)</f>
        <v>0</v>
      </c>
      <c r="AX2036">
        <f>IF(AV2036=0,0,-(COUNTIF(AV2036:AV2038,"&gt;0")*$AW$1961*$C$32+$AY$1961*$C$31)*$H$27*$AU$1961)</f>
        <v>0</v>
      </c>
      <c r="AY2036">
        <f>IF(AV2036=0,0,$AY$1961*$H$26*$AU$1961)</f>
        <v>0</v>
      </c>
      <c r="AZ2036">
        <f>(0.6*AW2036+0.7*AX2036)*$AU$1961/2</f>
        <v>0</v>
      </c>
      <c r="BA2036">
        <f>AW2036*$AU$1961/2</f>
        <v>0</v>
      </c>
      <c r="BC2036">
        <f>IF(AV2036=0,0,$BG$1961*$AP$1942)</f>
        <v>0</v>
      </c>
      <c r="BD2036">
        <f>IFERROR(BC2036/$AU$1961,0)</f>
        <v>0</v>
      </c>
      <c r="BE2036">
        <f>BC2036*($F$22+IF($F$22=0,0,($C$14+$C$15+IF($C$13="single",1.5,3)+3)/12))</f>
        <v>0</v>
      </c>
      <c r="BF2036">
        <f>BE2036-AZ2036</f>
        <v>0</v>
      </c>
      <c r="BG2036" cm="1">
        <f t="array" ref="BG2036">IFERROR(IF(BF2036&lt;0,0,BF2036/($AU$1961-INDEX(hd_off,MATCH(BT2036,hd_mark,0),0)/12)),0)</f>
        <v>0</v>
      </c>
      <c r="BH2036">
        <f>IF(AV2036=0,0,$BG$1961*$AM$1942)</f>
        <v>0</v>
      </c>
      <c r="BI2036">
        <f>IFERROR(BH2036/$AU$1961,0)</f>
        <v>0</v>
      </c>
      <c r="BJ2036">
        <f>BH2036*($F$22+IF($F$22=0,0,($C$14+$C$15+IF($C$13="single",1.5,3)+3)/12))</f>
        <v>0</v>
      </c>
      <c r="BK2036">
        <f>BJ2036-BA2036</f>
        <v>0</v>
      </c>
      <c r="BL2036" cm="1">
        <f t="array" ref="BL2036">IFERROR(IF(BK2036&lt;0,0,BK2036/($AU$1961-INDEX(hd_off,MATCH(BT2036,hd_mark,0),0)/12)),0)</f>
        <v>0</v>
      </c>
      <c r="BM2036">
        <f>MAX($F$22,$BC$1961)/$Q$1972</f>
        <v>0.30172413793103448</v>
      </c>
      <c r="BN2036">
        <f t="shared" ref="BN2036:BN2039" si="1254">IF(BM2036=0,0,IF(BM2036&gt;2,1.25-0.125*BM2036,1))</f>
        <v>1</v>
      </c>
      <c r="BO2036" cm="1">
        <f t="array" ref="BO2036">IFERROR(INDEX(sheath_ecap_asd,MATCH(BS2036,sheath_mark,0),0)*BN2036,0)</f>
        <v>0</v>
      </c>
      <c r="BP2036" cm="1">
        <f t="array" ref="BP2036">IFERROR(INDEX(sheath_wcap_asd,MATCH(BS2036,sheath_mark,0),0)*BN2036,0)</f>
        <v>0</v>
      </c>
      <c r="BQ2036" cm="1">
        <f t="array" ref="BQ2036">IFERROR(INDEX(hd_cap,MATCH(BT2036,hd_mark,0),0),0)</f>
        <v>0</v>
      </c>
      <c r="BS2036" s="19"/>
      <c r="BT2036" s="19"/>
      <c r="BU2036" s="100"/>
    </row>
    <row r="2037" x14ac:dyDescent="0.25">
      <c r="P2037" s="93"/>
      <c r="Q2037" s="109" t="s">
        <v>491</v>
      </c>
      <c r="R2037" t="str">
        <f>$Q$1943</f>
        <v>L4</v>
      </c>
      <c r="S2037">
        <f>$E$23</f>
        <v>0</v>
      </c>
      <c r="T2037" cm="1">
        <f t="array" ref="T2037">IFERROR(IF(S2037=0,0,(INDEX($C$33:$C$38,MATCH($W$1961,$B$33:$B$38,0),0)*(S2039+$X$1961)+$T$1961*COUNTIF(S2037:S2038,"&gt;0")*$C$32+$V$1961*$C$31)*$R$1961),0)</f>
        <v>0</v>
      </c>
      <c r="U2037">
        <f>IF(S2037=0,0,-(COUNTIF(S2037:S2038,"&gt;0")*$T$1961*$C$32+$V$1961*$C$31)*$H$27*$R$1961)</f>
        <v>0</v>
      </c>
      <c r="V2037">
        <f>IF(S2037=0,0,$V$1961*$H$26*$R$1961)</f>
        <v>0</v>
      </c>
      <c r="W2037">
        <f>(0.6*T2037+0.7*U2037)*$R$1961/2</f>
        <v>0</v>
      </c>
      <c r="X2037">
        <f>T2037*$R$1961/2</f>
        <v>0</v>
      </c>
      <c r="Z2037">
        <f>IF(S2037=0,0,$AD$1961*$AP$1943)</f>
        <v>0</v>
      </c>
      <c r="AA2037">
        <f>IFERROR(Z2037/$R$1961,0)</f>
        <v>0</v>
      </c>
      <c r="AB2037">
        <f>Z2037*($F$23+IF($F$23=0,0,($C$14+$C$15+IF($C$13="single",1.5,3)+3)/12))</f>
        <v>0</v>
      </c>
      <c r="AC2037">
        <f>AB2037-W2037</f>
        <v>0</v>
      </c>
      <c r="AD2037" cm="1">
        <f t="array" ref="AD2037">IFERROR(IF(AC2037&lt;0,0,AC2037/($R$1961-INDEX(hd_off,MATCH(AQ2037,hd_mark,0),0)/12)),0)</f>
        <v>0</v>
      </c>
      <c r="AE2037">
        <f>IF(S2037=0,0,$AD$1961*$AM$1943)</f>
        <v>0</v>
      </c>
      <c r="AF2037">
        <f>IFERROR(AE2037/$R$1961,0)</f>
        <v>0</v>
      </c>
      <c r="AG2037">
        <f>AE2037*($F$23+IF($F$23=0,0,($C$14+$C$15+IF($C$13="single",1.5,3)+3)/12))</f>
        <v>0</v>
      </c>
      <c r="AH2037">
        <f>AG2037-X2037</f>
        <v>0</v>
      </c>
      <c r="AI2037" cm="1">
        <f t="array" ref="AI2037">IFERROR(IF(AH2037&lt;0,0,AH2037/($R$1961-INDEX(hd_off,MATCH(AQ2037,hd_mark,0),0)/12)),0)</f>
        <v>0</v>
      </c>
      <c r="AJ2037">
        <f>MAX($F$23,$AA$1961)/$Q$1972</f>
        <v>0</v>
      </c>
      <c r="AK2037">
        <f t="shared" si="1253"/>
        <v>0</v>
      </c>
      <c r="AL2037" cm="1">
        <f t="array" ref="AL2037">IFERROR(INDEX(sheath_ecap_asd,MATCH(AP2037,sheath_mark,0),0)*AK2037,0)</f>
        <v>0</v>
      </c>
      <c r="AM2037" cm="1">
        <f t="array" ref="AM2037">IFERROR(INDEX(sheath_wcap_asd,MATCH(AP2037,sheath_mark,0),0)*AK2037,0)</f>
        <v>0</v>
      </c>
      <c r="AN2037" cm="1">
        <f t="array" ref="AN2037">IFERROR(INDEX(hd_cap,MATCH(AQ2037,hd_mark,0),0),0)</f>
        <v>0</v>
      </c>
      <c r="AP2037" s="19"/>
      <c r="AQ2037" s="19"/>
      <c r="AR2037" s="100"/>
      <c r="AS2037" s="93"/>
      <c r="AT2037" s="109" t="s">
        <v>491</v>
      </c>
      <c r="AU2037" t="str">
        <f>$Q$1943</f>
        <v>L4</v>
      </c>
      <c r="AV2037">
        <f>$E$23</f>
        <v>0</v>
      </c>
      <c r="AW2037" cm="1">
        <f t="array" ref="AW2037">IFERROR(IF(AV2037=0,0,(INDEX($C$33:$C$38,MATCH($AZ$1961,$B$33:$B$38,0),0)*(AV2039+$BA$1961)+$AW$1961*COUNTIF(AV2037:AV2038,"&gt;0")*$C$32+$AY$1961*$C$31)*$AU$1961),0)</f>
        <v>0</v>
      </c>
      <c r="AX2037">
        <f>IF(AV2037=0,0,-(COUNTIF(AV2037:AV2038,"&gt;0")*$AW$1961*$C$32+$AY$1961*$C$31)*$H$27*$AU$1961)</f>
        <v>0</v>
      </c>
      <c r="AY2037">
        <f>IF(AV2037=0,0,$AY$1961*$H$26*$AU$1961)</f>
        <v>0</v>
      </c>
      <c r="AZ2037">
        <f>(0.6*AW2037+0.7*AX2037)*$AU$1961/2</f>
        <v>0</v>
      </c>
      <c r="BA2037">
        <f>AW2037*$AU$1961/2</f>
        <v>0</v>
      </c>
      <c r="BC2037">
        <f>IF(AV2037=0,0,$BG$1961*$AP$1943)</f>
        <v>0</v>
      </c>
      <c r="BD2037">
        <f>IFERROR(BC2037/$AU$1961,0)</f>
        <v>0</v>
      </c>
      <c r="BE2037">
        <f>BC2037*($F$23+IF($F$23=0,0,($C$14+$C$15+IF($C$13="single",1.5,3)+3)/12))</f>
        <v>0</v>
      </c>
      <c r="BF2037">
        <f>BE2037-AZ2037</f>
        <v>0</v>
      </c>
      <c r="BG2037" cm="1">
        <f t="array" ref="BG2037">IFERROR(IF(BF2037&lt;0,0,BF2037/($AU$1961-INDEX(hd_off,MATCH(BT2037,hd_mark,0),0)/12)),0)</f>
        <v>0</v>
      </c>
      <c r="BH2037">
        <f>IF(AV2037=0,0,$BG$1961*$AM$1943)</f>
        <v>0</v>
      </c>
      <c r="BI2037">
        <f>IFERROR(BH2037/$AU$1961,0)</f>
        <v>0</v>
      </c>
      <c r="BJ2037">
        <f>BH2037*($F$23+IF($F$23=0,0,($C$14+$C$15+IF($C$13="single",1.5,3)+3)/12))</f>
        <v>0</v>
      </c>
      <c r="BK2037">
        <f>BJ2037-BA2037</f>
        <v>0</v>
      </c>
      <c r="BL2037" cm="1">
        <f t="array" ref="BL2037">IFERROR(IF(BK2037&lt;0,0,BK2037/($AU$1961-INDEX(hd_off,MATCH(BT2037,hd_mark,0),0)/12)),0)</f>
        <v>0</v>
      </c>
      <c r="BM2037">
        <f>MAX($F$23,$BD$1961)/$Q$1972</f>
        <v>0</v>
      </c>
      <c r="BN2037">
        <f t="shared" si="1254"/>
        <v>0</v>
      </c>
      <c r="BO2037" cm="1">
        <f t="array" ref="BO2037">IFERROR(INDEX(sheath_ecap_asd,MATCH(BS2037,sheath_mark,0),0)*BN2037,0)</f>
        <v>0</v>
      </c>
      <c r="BP2037" cm="1">
        <f t="array" ref="BP2037">IFERROR(INDEX(sheath_wcap_asd,MATCH(BS2037,sheath_mark,0),0)*BN2037,0)</f>
        <v>0</v>
      </c>
      <c r="BQ2037" cm="1">
        <f t="array" ref="BQ2037">IFERROR(INDEX(hd_cap,MATCH(BT2037,hd_mark,0),0),0)</f>
        <v>0</v>
      </c>
      <c r="BS2037" s="19"/>
      <c r="BT2037" s="19"/>
      <c r="BU2037" s="100"/>
    </row>
    <row r="2038" x14ac:dyDescent="0.25">
      <c r="P2038" s="93"/>
      <c r="Q2038" s="111">
        <f>$R$1961</f>
        <v>0</v>
      </c>
      <c r="R2038" t="str">
        <f>$Q$1944</f>
        <v>L5</v>
      </c>
      <c r="S2038">
        <f>$E$24</f>
        <v>0</v>
      </c>
      <c r="T2038" cm="1">
        <f t="array" ref="T2038">IFERROR(IF(S2038=0,0,(INDEX($C$33:$C$38,MATCH($W$1961,$B$33:$B$38,0),0)*(S2039+$X$1961)+$T$1961*COUNTIF(S2038:S2038,"&gt;0")*$C$32+$V$1961*$C$31)*$R$1961),0)</f>
        <v>0</v>
      </c>
      <c r="U2038">
        <f>IF(S2038=0,0,-(COUNTIF(S2038:S2038,"&gt;0")*$T$1961*$C$32+$V$1961*$C$31)*$H$27*$R$1961)</f>
        <v>0</v>
      </c>
      <c r="V2038">
        <f>IF(S2038=0,0,$V$1961*$H$26*$R$1961)</f>
        <v>0</v>
      </c>
      <c r="W2038">
        <f>(0.6*T2038+0.7*U2038)*$R$1961/2</f>
        <v>0</v>
      </c>
      <c r="X2038">
        <f>T2038*$R$1961/2</f>
        <v>0</v>
      </c>
      <c r="Z2038">
        <f>IF(S2038=0,0,$AD$1961*$AP$1944)</f>
        <v>0</v>
      </c>
      <c r="AA2038">
        <f>IFERROR(Z2038/$R$1961,0)</f>
        <v>0</v>
      </c>
      <c r="AB2038">
        <f>Z2038*($F$24+IF($F$24=0,0,($C$14+$C$15+IF($C$13="single",1.5,3)+3)/12))</f>
        <v>0</v>
      </c>
      <c r="AC2038">
        <f>AB2038-W2038</f>
        <v>0</v>
      </c>
      <c r="AD2038" cm="1">
        <f t="array" ref="AD2038">IFERROR(IF(AC2038&lt;0,0,AC2038/($R$1961-INDEX(hd_off,MATCH(AQ2038,hd_mark,0),0)/12)),0)</f>
        <v>0</v>
      </c>
      <c r="AE2038">
        <f>IF(S2038=0,0,$AD$1961*$AM$1944)</f>
        <v>0</v>
      </c>
      <c r="AF2038">
        <f>IFERROR(AE2038/$R$1961,0)</f>
        <v>0</v>
      </c>
      <c r="AG2038">
        <f>AE2038*($F$24+IF($F$24=0,0,($C$14+$C$15+IF($C$13="single",1.5,3)+3)/12))</f>
        <v>0</v>
      </c>
      <c r="AH2038">
        <f>AG2038-X2038</f>
        <v>0</v>
      </c>
      <c r="AI2038" cm="1">
        <f t="array" ref="AI2038">IFERROR(IF(AH2038&lt;0,0,AH2038/($R$1961-INDEX(hd_off,MATCH(AQ2038,hd_mark,0),0)/12)),0)</f>
        <v>0</v>
      </c>
      <c r="AJ2038">
        <f>MAX($F$24,$AB$1961)/$Q$1972</f>
        <v>0</v>
      </c>
      <c r="AK2038">
        <f t="shared" si="1253"/>
        <v>0</v>
      </c>
      <c r="AL2038" cm="1">
        <f t="array" ref="AL2038">IFERROR(INDEX(sheath_ecap_asd,MATCH(AP2038,sheath_mark,0),0)*AK2038,0)</f>
        <v>0</v>
      </c>
      <c r="AM2038" cm="1">
        <f t="array" ref="AM2038">IFERROR(INDEX(sheath_wcap_asd,MATCH(AP2038,sheath_mark,0),0)*AK2038,0)</f>
        <v>0</v>
      </c>
      <c r="AN2038" cm="1">
        <f t="array" ref="AN2038">IFERROR(INDEX(hd_cap,MATCH(AQ2038,hd_mark,0),0),0)</f>
        <v>0</v>
      </c>
      <c r="AP2038" s="19"/>
      <c r="AQ2038" s="19"/>
      <c r="AR2038" s="100"/>
      <c r="AS2038" s="93"/>
      <c r="AT2038" s="111">
        <f>$R$1961</f>
        <v>0</v>
      </c>
      <c r="AU2038" t="str">
        <f>$Q$1944</f>
        <v>L5</v>
      </c>
      <c r="AV2038">
        <f>$E$24</f>
        <v>0</v>
      </c>
      <c r="AW2038" cm="1">
        <f t="array" ref="AW2038">IFERROR(IF(AV2038=0,0,(INDEX($C$33:$C$38,MATCH($AZ$1961,$B$33:$B$38,0),0)*(AV2039+$BA$1961)+$AW$1961*COUNTIF(AV2038:AV2038,"&gt;0")*$C$32+$AY$1961*$C$31)*$AU$1961),0)</f>
        <v>0</v>
      </c>
      <c r="AX2038">
        <f>IF(AV2038=0,0,-(COUNTIF(AV2038:AV2038,"&gt;0")*$AW$1961*$C$32+$AY$1961*$C$31)*$H$27*$AU$1961)</f>
        <v>0</v>
      </c>
      <c r="AY2038">
        <f>IF(AV2038=0,0,$AY$1961*$H$26*$AU$1961)</f>
        <v>0</v>
      </c>
      <c r="AZ2038">
        <f>(0.6*AW2038+0.7*AX2038)*$AU$1961/2</f>
        <v>0</v>
      </c>
      <c r="BA2038">
        <f>AW2038*$AU$1961/2</f>
        <v>0</v>
      </c>
      <c r="BC2038">
        <f>IF(AV2038=0,0,$BG$1961*$AP$1944)</f>
        <v>0</v>
      </c>
      <c r="BD2038">
        <f>IFERROR(BC2038/$AU$1961,0)</f>
        <v>0</v>
      </c>
      <c r="BE2038">
        <f>BC2038*($F$24+IF($F$24=0,0,($C$14+$C$15+IF($C$13="single",1.5,3)+3)/12))</f>
        <v>0</v>
      </c>
      <c r="BF2038">
        <f>BE2038-AZ2038</f>
        <v>0</v>
      </c>
      <c r="BG2038" cm="1">
        <f t="array" ref="BG2038">IFERROR(IF(BF2038&lt;0,0,BF2038/($AU$1961-INDEX(hd_off,MATCH(BT2038,hd_mark,0),0)/12)),0)</f>
        <v>0</v>
      </c>
      <c r="BH2038">
        <f>IF(AV2038=0,0,$BG$1961*$AM$1944)</f>
        <v>0</v>
      </c>
      <c r="BI2038">
        <f>IFERROR(BH2038/$AU$1961,0)</f>
        <v>0</v>
      </c>
      <c r="BJ2038">
        <f>BH2038*($F$24+IF($F$24=0,0,($C$14+$C$15+IF($C$13="single",1.5,3)+3)/12))</f>
        <v>0</v>
      </c>
      <c r="BK2038">
        <f>BJ2038-BA2038</f>
        <v>0</v>
      </c>
      <c r="BL2038" cm="1">
        <f t="array" ref="BL2038">IFERROR(IF(BK2038&lt;0,0,BK2038/($AU$1961-INDEX(hd_off,MATCH(BT2038,hd_mark,0),0)/12)),0)</f>
        <v>0</v>
      </c>
      <c r="BM2038">
        <f>MAX($F$24,$BE$1961)/$Q$1972</f>
        <v>0</v>
      </c>
      <c r="BN2038">
        <f t="shared" si="1254"/>
        <v>0</v>
      </c>
      <c r="BO2038" cm="1">
        <f t="array" ref="BO2038">IFERROR(INDEX(sheath_ecap_asd,MATCH(BS2038,sheath_mark,0),0)*BN2038,0)</f>
        <v>0</v>
      </c>
      <c r="BP2038" cm="1">
        <f t="array" ref="BP2038">IFERROR(INDEX(sheath_wcap_asd,MATCH(BS2038,sheath_mark,0),0)*BN2038,0)</f>
        <v>0</v>
      </c>
      <c r="BQ2038" cm="1">
        <f t="array" ref="BQ2038">IFERROR(INDEX(hd_cap,MATCH(BT2038,hd_mark,0),0),0)</f>
        <v>0</v>
      </c>
      <c r="BS2038" s="19"/>
      <c r="BT2038" s="19"/>
      <c r="BU2038" s="100"/>
    </row>
    <row r="2039" x14ac:dyDescent="0.25">
      <c r="P2039" s="93"/>
      <c r="Q2039" s="109"/>
      <c r="R2039" t="str">
        <f>$Q$1945</f>
        <v>Roof</v>
      </c>
      <c r="S2039">
        <f>$E$25</f>
        <v>33.171875</v>
      </c>
      <c r="T2039" cm="1">
        <f t="array" ref="T2039">IFERROR(IF(S2039=0,0,(INDEX($C$33:$C$38,MATCH($W$1961,$B$33:$B$38,0),0)*(S2039+$X$1961)+$V$1961*$C$31)*$R$1961),0)</f>
        <v>0</v>
      </c>
      <c r="U2039">
        <f>IF(S2039=0,0,-$V$1961*$C$31*$H$27*$R$1961)</f>
        <v>0</v>
      </c>
      <c r="V2039">
        <f>IF(S2039=0,0,$V$1961*$H$26*$R$1961)</f>
        <v>0</v>
      </c>
      <c r="W2039">
        <f>(0.6*T2039+0.7*U2039)*$R$1961/2</f>
        <v>0</v>
      </c>
      <c r="X2039">
        <f>T2039*$R$1961/2</f>
        <v>0</v>
      </c>
      <c r="Z2039">
        <f>IF(S2039=0,0,$AD$1961*$AP$1945)</f>
        <v>0</v>
      </c>
      <c r="AA2039">
        <f>IFERROR(Z2039/$R$1961,0)</f>
        <v>0</v>
      </c>
      <c r="AB2039">
        <f>Z2039*($F$25+($C$16+$C$17+IF($C$13="single",1.5,3)+3)/12)</f>
        <v>0</v>
      </c>
      <c r="AC2039">
        <f>AB2039-W2039</f>
        <v>0</v>
      </c>
      <c r="AD2039" cm="1">
        <f t="array" ref="AD2039">IFERROR(IF(AC2039&lt;0,0,AC2039/($R$1961-INDEX(hd_off,MATCH(AQ2039,hd_mark,0),0)/12)),0)</f>
        <v>0</v>
      </c>
      <c r="AE2039">
        <f>IF(S2039=0,0,$AD$1961*$AM$1945)</f>
        <v>0</v>
      </c>
      <c r="AF2039">
        <f>IFERROR(AE2039/$R$1961,0)</f>
        <v>0</v>
      </c>
      <c r="AG2039">
        <f>AE2039*($F$25+($C$16+$C$17+IF($C$13="single",1.5,3)+3)/12)</f>
        <v>0</v>
      </c>
      <c r="AH2039">
        <f>AG2039-X2039</f>
        <v>0</v>
      </c>
      <c r="AI2039" cm="1">
        <f t="array" ref="AI2039">IFERROR(IF(AH2039&lt;0,0,AH2039/($R$1961-INDEX(hd_off,MATCH(AQ2039,hd_mark,0),0)/12)),0)</f>
        <v>0</v>
      </c>
      <c r="AJ2039">
        <f>MAX($F$25,$AC$1961)/$Q$1972</f>
        <v>0.29920977011494249</v>
      </c>
      <c r="AK2039">
        <f t="shared" si="1253"/>
        <v>1</v>
      </c>
      <c r="AL2039" cm="1">
        <f t="array" ref="AL2039">IFERROR(INDEX(sheath_ecap_asd,MATCH(AP2039,sheath_mark,0),0)*AK2039,0)</f>
        <v>0</v>
      </c>
      <c r="AM2039" cm="1">
        <f t="array" ref="AM2039">IFERROR(INDEX(sheath_wcap_asd,MATCH(AP2039,sheath_mark,0),0)*AK2039,0)</f>
        <v>0</v>
      </c>
      <c r="AN2039" cm="1">
        <f t="array" ref="AN2039">IFERROR(INDEX(hd_cap,MATCH(AQ2039,hd_mark,0),0),0)</f>
        <v>0</v>
      </c>
      <c r="AP2039" s="19"/>
      <c r="AQ2039" s="19"/>
      <c r="AR2039" s="100"/>
      <c r="AS2039" s="93"/>
      <c r="AT2039" s="109"/>
      <c r="AU2039" t="str">
        <f>$Q$1945</f>
        <v>Roof</v>
      </c>
      <c r="AV2039">
        <f>$E$25</f>
        <v>33.171875</v>
      </c>
      <c r="AW2039" cm="1">
        <f t="array" ref="AW2039">IFERROR(IF(AV2039=0,0,(INDEX($C$33:$C$38,MATCH($AZ$1961,$B$33:$B$38,0),0)*(AV2039+$BA$1961)+$AY$1961*$C$31)*$AU$1961),0)</f>
        <v>0</v>
      </c>
      <c r="AX2039">
        <f>IF(AV2039=0,0,-$AY$1961*$C$31*$H$27*$AU$1961)</f>
        <v>0</v>
      </c>
      <c r="AY2039">
        <f>IF(AV2039=0,0,$AY$1961*$H$26*$AU$1961)</f>
        <v>0</v>
      </c>
      <c r="AZ2039">
        <f>(0.6*AW2039+0.7*AX2039)*$AU$1961/2</f>
        <v>0</v>
      </c>
      <c r="BA2039">
        <f>AW2039*$AU$1961/2</f>
        <v>0</v>
      </c>
      <c r="BC2039">
        <f>IF(AV2039=0,0,$BG$1961*$AP$1945)</f>
        <v>0</v>
      </c>
      <c r="BD2039">
        <f>IFERROR(BC2039/$AU$1961,0)</f>
        <v>0</v>
      </c>
      <c r="BE2039">
        <f>BC2039*($F$25+($C$16+$C$17+IF($C$13="single",1.5,3)+3)/12)</f>
        <v>0</v>
      </c>
      <c r="BF2039">
        <f>BE2039-AZ2039</f>
        <v>0</v>
      </c>
      <c r="BG2039" cm="1">
        <f t="array" ref="BG2039">IFERROR(IF(BF2039&lt;0,0,BF2039/($AU$1961-INDEX(hd_off,MATCH(BT2039,hd_mark,0),0)/12)),0)</f>
        <v>0</v>
      </c>
      <c r="BH2039">
        <f>IF(AV2039=0,0,$BG$1961*$AM$1945)</f>
        <v>0</v>
      </c>
      <c r="BI2039">
        <f>IFERROR(BH2039/$AU$1961,0)</f>
        <v>0</v>
      </c>
      <c r="BJ2039">
        <f>BH2039*($F$25+($C$16+$C$17+IF($C$13="single",1.5,3)+3)/12)</f>
        <v>0</v>
      </c>
      <c r="BK2039">
        <f>BJ2039-BA2039</f>
        <v>0</v>
      </c>
      <c r="BL2039" cm="1">
        <f t="array" ref="BL2039">IFERROR(IF(BK2039&lt;0,0,BK2039/($AU$1961-INDEX(hd_off,MATCH(BT2039,hd_mark,0),0)/12)),0)</f>
        <v>0</v>
      </c>
      <c r="BM2039">
        <f>MAX($F$25,$BF$1961)/$Q$1972</f>
        <v>0.29920977011494249</v>
      </c>
      <c r="BN2039">
        <f t="shared" si="1254"/>
        <v>1</v>
      </c>
      <c r="BO2039" cm="1">
        <f t="array" ref="BO2039">IFERROR(INDEX(sheath_ecap_asd,MATCH(BS2039,sheath_mark,0),0)*BN2039,0)</f>
        <v>0</v>
      </c>
      <c r="BP2039" cm="1">
        <f t="array" ref="BP2039">IFERROR(INDEX(sheath_wcap_asd,MATCH(BS2039,sheath_mark,0),0)*BN2039,0)</f>
        <v>0</v>
      </c>
      <c r="BQ2039" cm="1">
        <f t="array" ref="BQ2039">IFERROR(INDEX(hd_cap,MATCH(BT2039,hd_mark,0),0),0)</f>
        <v>0</v>
      </c>
      <c r="BS2039" s="19"/>
      <c r="BT2039" s="19"/>
      <c r="BU2039" s="100"/>
    </row>
    <row r="2040" x14ac:dyDescent="0.25">
      <c r="P2040" s="93"/>
      <c r="AR2040" s="100"/>
      <c r="AS2040" s="93"/>
      <c r="BU2040" s="100"/>
    </row>
    <row r="2041" x14ac:dyDescent="0.25">
      <c r="P2041" s="93"/>
      <c r="Q2041" s="110" t="str">
        <f>$Q$1962</f>
        <v>A.13</v>
      </c>
      <c r="R2041" t="str">
        <f>$Q$1941</f>
        <v>L2</v>
      </c>
      <c r="S2041">
        <f>$E$21</f>
        <v>10.6875</v>
      </c>
      <c r="T2041" cm="1">
        <f t="array" ref="T2041">IFERROR(IF(S2041=0,0,(INDEX($C$33:$C$38,MATCH($W$1962,$B$33:$B$38,0),0)*(S2045+$X$1962)+$T$1962*COUNTIF(S2041:S2044,"&gt;0")*$C$32+$V$1962*$C$31)*$R$1962),0)</f>
        <v>0</v>
      </c>
      <c r="U2041">
        <f>IF(S2041=0,0,-(COUNTIF(S2041:S2044,"&gt;0")*$T$1962*$C$32+$V$1962*$C$31)*$H$27*$R$1962)</f>
        <v>0</v>
      </c>
      <c r="V2041">
        <f>IF(S2041=0,0,$V$1962*$H$26*$R$1962)</f>
        <v>0</v>
      </c>
      <c r="W2041">
        <f>(0.6*T2041+0.7*U2041)*$R$1962/2</f>
        <v>0</v>
      </c>
      <c r="X2041">
        <f>(0.6*T2041+0.6*V2041)*$R$1962/2</f>
        <v>0</v>
      </c>
      <c r="Z2041">
        <f>IF(S2041=0,0,$AD$1962*$AP$1941)</f>
        <v>0</v>
      </c>
      <c r="AA2041">
        <f>IFERROR(Z2041/$R$1962,0)</f>
        <v>0</v>
      </c>
      <c r="AB2041">
        <f>Z2041*($F$21+IF($F$21=0,0,($C$14+$C$15+IF($C$13="single",1.5,3)+3)/12))</f>
        <v>0</v>
      </c>
      <c r="AC2041">
        <f>AB2041-W2041</f>
        <v>0</v>
      </c>
      <c r="AD2041" cm="1">
        <f t="array" ref="AD2041">IFERROR(IF(AC2041&lt;0,0,AC2041/($R$1962-INDEX(hd_off,MATCH(AQ2041,hd_mark,0),0)/12)),0)</f>
        <v>0</v>
      </c>
      <c r="AE2041">
        <f>IF(S2041=0,0,$AD$1962*$AM$1941)</f>
        <v>0</v>
      </c>
      <c r="AF2041">
        <f>IFERROR(AE2041/$R$1962,0)</f>
        <v>0</v>
      </c>
      <c r="AG2041">
        <f>AE2041*($F$21+IF($F$21=0,0,($C$14+$C$15+IF($C$13="single",1.5,3)+3)/12))</f>
        <v>0</v>
      </c>
      <c r="AH2041">
        <f>AG2041-X2041</f>
        <v>0</v>
      </c>
      <c r="AI2041" cm="1">
        <f t="array" ref="AI2041">IFERROR(IF(AH2041&lt;0,0,AH2041/($R$1962-INDEX(hd_off,MATCH(AQ2041,hd_mark,0),0)/12)),0)</f>
        <v>0</v>
      </c>
      <c r="AJ2041">
        <f>MAX($F$21,$Y$1962)/$Q$1972</f>
        <v>0.30172413793103448</v>
      </c>
      <c r="AK2041">
        <f>IF(AJ2041=0,0,IF(AJ2041&gt;2,1.25-0.125*AJ2041,1))</f>
        <v>1</v>
      </c>
      <c r="AL2041" cm="1">
        <f t="array" ref="AL2041">IFERROR(INDEX(sheath_ecap_asd,MATCH(AP2041,sheath_mark,0),0)*AK2041,0)</f>
        <v>0</v>
      </c>
      <c r="AM2041" cm="1">
        <f t="array" ref="AM2041">IFERROR(INDEX(sheath_wcap_asd,MATCH(AP2041,sheath_mark,0),0)*AK2041,0)</f>
        <v>0</v>
      </c>
      <c r="AN2041" cm="1">
        <f t="array" ref="AN2041">IFERROR(INDEX(hd_cap,MATCH(AQ2041,hd_mark,0),0),0)</f>
        <v>0</v>
      </c>
      <c r="AP2041" s="19"/>
      <c r="AQ2041" s="19"/>
      <c r="AR2041" s="100"/>
      <c r="AS2041" s="93"/>
      <c r="AT2041" s="110" t="str">
        <f>$AT$1962</f>
        <v>1.13</v>
      </c>
      <c r="AU2041" t="str">
        <f>$Q$1941</f>
        <v>L2</v>
      </c>
      <c r="AV2041">
        <f>$E$21</f>
        <v>10.6875</v>
      </c>
      <c r="AW2041" cm="1">
        <f t="array" ref="AW2041">IFERROR(IF(AV2041=0,0,(INDEX($C$33:$C$38,MATCH($AZ$1962,$B$33:$B$38,0),0)*(AV2045+$BA$1962)+$AW$1962*COUNTIF(AV2041:AV2044,"&gt;0")*$C$32+$AY$1962*$C$31)*$AU$1962),0)</f>
        <v>0</v>
      </c>
      <c r="AX2041">
        <f>IF(AV2041=0,0,-(COUNTIF(AV2041:AV2044,"&gt;0")*$AW$1962*$C$32+$AY$1962*$C$31)*$H$27*$AU$1962)</f>
        <v>0</v>
      </c>
      <c r="AY2041">
        <f>IF(AV2041=0,0,$AY$1962*$H$26*$AU$1962)</f>
        <v>0</v>
      </c>
      <c r="AZ2041">
        <f>(0.6*AW2041+0.7*AX2041)*$AU$1962/2</f>
        <v>0</v>
      </c>
      <c r="BA2041">
        <f>(0.6*AW2041+0.6*AY2041)*$AU$1962/2</f>
        <v>0</v>
      </c>
      <c r="BC2041">
        <f>IF(AV2041=0,0,$BG$1962*$AP$1941)</f>
        <v>0</v>
      </c>
      <c r="BD2041">
        <f>IFERROR(BC2041/$AU$1962,0)</f>
        <v>0</v>
      </c>
      <c r="BE2041">
        <f>BC2041*($F$21+IF($F$21=0,0,($C$14+$C$15+IF($C$13="single",1.5,3)+3)/12))</f>
        <v>0</v>
      </c>
      <c r="BF2041">
        <f>BE2041-AZ2041</f>
        <v>0</v>
      </c>
      <c r="BG2041" cm="1">
        <f t="array" ref="BG2041">IFERROR(IF(BF2041&lt;0,0,BF2041/($AU$1962-INDEX(hd_off,MATCH(BT2041,hd_mark,0),0)/12)),0)</f>
        <v>0</v>
      </c>
      <c r="BH2041">
        <f>IF(AV2041=0,0,$BG$1962*$AM$1941)</f>
        <v>0</v>
      </c>
      <c r="BI2041">
        <f>IFERROR(BH2041/$AU$1962,0)</f>
        <v>0</v>
      </c>
      <c r="BJ2041">
        <f>BH2041*($F$21+IF($F$21=0,0,($C$14+$C$15+IF($C$13="single",1.5,3)+3)/12))</f>
        <v>0</v>
      </c>
      <c r="BK2041">
        <f>BJ2041-BA2041</f>
        <v>0</v>
      </c>
      <c r="BL2041" cm="1">
        <f t="array" ref="BL2041">IFERROR(IF(BK2041&lt;0,0,BK2041/($AU$1962-INDEX(hd_off,MATCH(BT2041,hd_mark,0),0)/12)),0)</f>
        <v>0</v>
      </c>
      <c r="BM2041">
        <f>MAX($F$21,$BB$1962)/$Q$1972</f>
        <v>0.30172413793103448</v>
      </c>
      <c r="BN2041">
        <f>IF(BM2041=0,0,IF(BM2041&gt;2,1.25-0.125*BM2041,1))</f>
        <v>1</v>
      </c>
      <c r="BO2041" cm="1">
        <f t="array" ref="BO2041">IFERROR(INDEX(sheath_ecap_asd,MATCH(BS2041,sheath_mark,0),0)*BN2041,0)</f>
        <v>0</v>
      </c>
      <c r="BP2041" cm="1">
        <f t="array" ref="BP2041">IFERROR(INDEX(sheath_wcap_asd,MATCH(BS2041,sheath_mark,0),0)*BN2041,0)</f>
        <v>0</v>
      </c>
      <c r="BQ2041" cm="1">
        <f t="array" ref="BQ2041">IFERROR(INDEX(hd_cap,MATCH(BT2041,hd_mark,0),0),0)</f>
        <v>0</v>
      </c>
      <c r="BS2041" s="19"/>
      <c r="BT2041" s="19"/>
      <c r="BU2041" s="100"/>
    </row>
    <row r="2042" x14ac:dyDescent="0.25">
      <c r="P2042" s="93"/>
      <c r="Q2042" s="109"/>
      <c r="R2042" t="str">
        <f>$Q$1942</f>
        <v>L3</v>
      </c>
      <c r="S2042">
        <f>$E$22</f>
        <v>21.375</v>
      </c>
      <c r="T2042" cm="1">
        <f t="array" ref="T2042">IFERROR(IF(S2042=0,0,(INDEX($C$33:$C$38,MATCH($W$1962,$B$33:$B$38,0),0)*(S2045+$X$1962)+$T$1962*COUNTIF(S2042:S2044,"&gt;0")*$C$32+$V$1962*$C$31)*$R$1962),0)</f>
        <v>0</v>
      </c>
      <c r="U2042">
        <f>IF(S2042=0,0,-(COUNTIF(S2042:S2044,"&gt;0")*$T$1962*$C$32+$V$1962*$C$31)*$H$27*$R$1962)</f>
        <v>0</v>
      </c>
      <c r="V2042">
        <f>IF(S2042=0,0,$V$1962*$H$26*$R$1962)</f>
        <v>0</v>
      </c>
      <c r="W2042">
        <f>(0.6*T2042+0.7*U2042)*$R$1962/2</f>
        <v>0</v>
      </c>
      <c r="X2042">
        <f>T2042*$R$1962/2</f>
        <v>0</v>
      </c>
      <c r="Z2042">
        <f>IF(S2042=0,0,$AD$1962*$AP$1942)</f>
        <v>0</v>
      </c>
      <c r="AA2042">
        <f>IFERROR(Z2042/$R$1962,0)</f>
        <v>0</v>
      </c>
      <c r="AB2042">
        <f>Z2042*($F$22+IF($F$22=0,0,($C$14+$C$15+IF($C$13="single",1.5,3)+3)/12))</f>
        <v>0</v>
      </c>
      <c r="AC2042">
        <f>AB2042-W2042</f>
        <v>0</v>
      </c>
      <c r="AD2042" cm="1">
        <f t="array" ref="AD2042">IFERROR(IF(AC2042&lt;0,0,AC2042/($R$1962-INDEX(hd_off,MATCH(AQ2042,hd_mark,0),0)/12)),0)</f>
        <v>0</v>
      </c>
      <c r="AE2042">
        <f>IF(S2042=0,0,$AD$1962*$AM$1942)</f>
        <v>0</v>
      </c>
      <c r="AF2042">
        <f>IFERROR(AE2042/$R$1962,0)</f>
        <v>0</v>
      </c>
      <c r="AG2042">
        <f>AE2042*($F$22+IF($F$22=0,0,($C$14+$C$15+IF($C$13="single",1.5,3)+3)/12))</f>
        <v>0</v>
      </c>
      <c r="AH2042">
        <f>AG2042-X2042</f>
        <v>0</v>
      </c>
      <c r="AI2042" cm="1">
        <f t="array" ref="AI2042">IFERROR(IF(AH2042&lt;0,0,AH2042/($R$1962-INDEX(hd_off,MATCH(AQ2042,hd_mark,0),0)/12)),0)</f>
        <v>0</v>
      </c>
      <c r="AJ2042">
        <f>MAX($F$22,$Z$1962)/$Q$1972</f>
        <v>0.30172413793103448</v>
      </c>
      <c r="AK2042">
        <f t="shared" ref="AK2042:AK2045" si="1255">IF(AJ2042=0,0,IF(AJ2042&gt;2,1.25-0.125*AJ2042,1))</f>
        <v>1</v>
      </c>
      <c r="AL2042" cm="1">
        <f t="array" ref="AL2042">IFERROR(INDEX(sheath_ecap_asd,MATCH(AP2042,sheath_mark,0),0)*AK2042,0)</f>
        <v>0</v>
      </c>
      <c r="AM2042" cm="1">
        <f t="array" ref="AM2042">IFERROR(INDEX(sheath_wcap_asd,MATCH(AP2042,sheath_mark,0),0)*AK2042,0)</f>
        <v>0</v>
      </c>
      <c r="AN2042" cm="1">
        <f t="array" ref="AN2042">IFERROR(INDEX(hd_cap,MATCH(AQ2042,hd_mark,0),0),0)</f>
        <v>0</v>
      </c>
      <c r="AP2042" s="19"/>
      <c r="AQ2042" s="19"/>
      <c r="AR2042" s="100"/>
      <c r="AS2042" s="93"/>
      <c r="AT2042" s="109"/>
      <c r="AU2042" t="str">
        <f>$Q$1942</f>
        <v>L3</v>
      </c>
      <c r="AV2042">
        <f>$E$22</f>
        <v>21.375</v>
      </c>
      <c r="AW2042" cm="1">
        <f t="array" ref="AW2042">IFERROR(IF(AV2042=0,0,(INDEX($C$33:$C$38,MATCH($AZ$1962,$B$33:$B$38,0),0)*(AV2045+$BA$1962)+$AW$1962*COUNTIF(AV2042:AV2044,"&gt;0")*$C$32+$AY$1962*$C$31)*$AU$1962),0)</f>
        <v>0</v>
      </c>
      <c r="AX2042">
        <f>IF(AV2042=0,0,-(COUNTIF(AV2042:AV2044,"&gt;0")*$AW$1962*$C$32+$AY$1962*$C$31)*$H$27*$AU$1962)</f>
        <v>0</v>
      </c>
      <c r="AY2042">
        <f>IF(AV2042=0,0,$AY$1962*$H$26*$AU$1962)</f>
        <v>0</v>
      </c>
      <c r="AZ2042">
        <f>(0.6*AW2042+0.7*AX2042)*$AU$1962/2</f>
        <v>0</v>
      </c>
      <c r="BA2042">
        <f>AW2042*$AU$1962/2</f>
        <v>0</v>
      </c>
      <c r="BC2042">
        <f>IF(AV2042=0,0,$BG$1962*$AP$1942)</f>
        <v>0</v>
      </c>
      <c r="BD2042">
        <f>IFERROR(BC2042/$AU$1962,0)</f>
        <v>0</v>
      </c>
      <c r="BE2042">
        <f>BC2042*($F$22+IF($F$22=0,0,($C$14+$C$15+IF($C$13="single",1.5,3)+3)/12))</f>
        <v>0</v>
      </c>
      <c r="BF2042">
        <f>BE2042-AZ2042</f>
        <v>0</v>
      </c>
      <c r="BG2042" cm="1">
        <f t="array" ref="BG2042">IFERROR(IF(BF2042&lt;0,0,BF2042/($AU$1962-INDEX(hd_off,MATCH(BT2042,hd_mark,0),0)/12)),0)</f>
        <v>0</v>
      </c>
      <c r="BH2042">
        <f>IF(AV2042=0,0,$BG$1962*$AM$1942)</f>
        <v>0</v>
      </c>
      <c r="BI2042">
        <f>IFERROR(BH2042/$AU$1962,0)</f>
        <v>0</v>
      </c>
      <c r="BJ2042">
        <f>BH2042*($F$22+IF($F$22=0,0,($C$14+$C$15+IF($C$13="single",1.5,3)+3)/12))</f>
        <v>0</v>
      </c>
      <c r="BK2042">
        <f>BJ2042-BA2042</f>
        <v>0</v>
      </c>
      <c r="BL2042" cm="1">
        <f t="array" ref="BL2042">IFERROR(IF(BK2042&lt;0,0,BK2042/($AU$1962-INDEX(hd_off,MATCH(BT2042,hd_mark,0),0)/12)),0)</f>
        <v>0</v>
      </c>
      <c r="BM2042">
        <f>MAX($F$22,$BC$1962)/$Q$1972</f>
        <v>0.30172413793103448</v>
      </c>
      <c r="BN2042">
        <f t="shared" ref="BN2042:BN2045" si="1256">IF(BM2042=0,0,IF(BM2042&gt;2,1.25-0.125*BM2042,1))</f>
        <v>1</v>
      </c>
      <c r="BO2042" cm="1">
        <f t="array" ref="BO2042">IFERROR(INDEX(sheath_ecap_asd,MATCH(BS2042,sheath_mark,0),0)*BN2042,0)</f>
        <v>0</v>
      </c>
      <c r="BP2042" cm="1">
        <f t="array" ref="BP2042">IFERROR(INDEX(sheath_wcap_asd,MATCH(BS2042,sheath_mark,0),0)*BN2042,0)</f>
        <v>0</v>
      </c>
      <c r="BQ2042" cm="1">
        <f t="array" ref="BQ2042">IFERROR(INDEX(hd_cap,MATCH(BT2042,hd_mark,0),0),0)</f>
        <v>0</v>
      </c>
      <c r="BS2042" s="19"/>
      <c r="BT2042" s="19"/>
      <c r="BU2042" s="100"/>
    </row>
    <row r="2043" x14ac:dyDescent="0.25">
      <c r="P2043" s="93"/>
      <c r="Q2043" s="109" t="s">
        <v>491</v>
      </c>
      <c r="R2043" t="str">
        <f>$Q$1943</f>
        <v>L4</v>
      </c>
      <c r="S2043">
        <f>$E$23</f>
        <v>0</v>
      </c>
      <c r="T2043" cm="1">
        <f t="array" ref="T2043">IFERROR(IF(S2043=0,0,(INDEX($C$33:$C$38,MATCH($W$1962,$B$33:$B$38,0),0)*(S2045+$X$1962)+$T$1962*COUNTIF(S2043:S2044,"&gt;0")*$C$32+$V$1962*$C$31)*$R$1962),0)</f>
        <v>0</v>
      </c>
      <c r="U2043">
        <f>IF(S2043=0,0,-(COUNTIF(S2043:S2044,"&gt;0")*$T$1962*$C$32+$V$1962*$C$31)*$H$27*$R$1962)</f>
        <v>0</v>
      </c>
      <c r="V2043">
        <f>IF(S2043=0,0,$V$1962*$H$26*$R$1962)</f>
        <v>0</v>
      </c>
      <c r="W2043">
        <f>(0.6*T2043+0.7*U2043)*$R$1962/2</f>
        <v>0</v>
      </c>
      <c r="X2043">
        <f>T2043*$R$1962/2</f>
        <v>0</v>
      </c>
      <c r="Z2043">
        <f>IF(S2043=0,0,$AD$1962*$AP$1943)</f>
        <v>0</v>
      </c>
      <c r="AA2043">
        <f>IFERROR(Z2043/$R$1962,0)</f>
        <v>0</v>
      </c>
      <c r="AB2043">
        <f>Z2043*($F$23+IF($F$23=0,0,($C$14+$C$15+IF($C$13="single",1.5,3)+3)/12))</f>
        <v>0</v>
      </c>
      <c r="AC2043">
        <f>AB2043-W2043</f>
        <v>0</v>
      </c>
      <c r="AD2043" cm="1">
        <f t="array" ref="AD2043">IFERROR(IF(AC2043&lt;0,0,AC2043/($R$1962-INDEX(hd_off,MATCH(AQ2043,hd_mark,0),0)/12)),0)</f>
        <v>0</v>
      </c>
      <c r="AE2043">
        <f>IF(S2043=0,0,$AD$1962*$AM$1943)</f>
        <v>0</v>
      </c>
      <c r="AF2043">
        <f>IFERROR(AE2043/$R$1962,0)</f>
        <v>0</v>
      </c>
      <c r="AG2043">
        <f>AE2043*($F$23+IF($F$23=0,0,($C$14+$C$15+IF($C$13="single",1.5,3)+3)/12))</f>
        <v>0</v>
      </c>
      <c r="AH2043">
        <f>AG2043-X2043</f>
        <v>0</v>
      </c>
      <c r="AI2043" cm="1">
        <f t="array" ref="AI2043">IFERROR(IF(AH2043&lt;0,0,AH2043/($R$1962-INDEX(hd_off,MATCH(AQ2043,hd_mark,0),0)/12)),0)</f>
        <v>0</v>
      </c>
      <c r="AJ2043">
        <f>MAX($F$23,$AA$1962)/$Q$1972</f>
        <v>0</v>
      </c>
      <c r="AK2043">
        <f t="shared" si="1255"/>
        <v>0</v>
      </c>
      <c r="AL2043" cm="1">
        <f t="array" ref="AL2043">IFERROR(INDEX(sheath_ecap_asd,MATCH(AP2043,sheath_mark,0),0)*AK2043,0)</f>
        <v>0</v>
      </c>
      <c r="AM2043" cm="1">
        <f t="array" ref="AM2043">IFERROR(INDEX(sheath_wcap_asd,MATCH(AP2043,sheath_mark,0),0)*AK2043,0)</f>
        <v>0</v>
      </c>
      <c r="AN2043" cm="1">
        <f t="array" ref="AN2043">IFERROR(INDEX(hd_cap,MATCH(AQ2043,hd_mark,0),0),0)</f>
        <v>0</v>
      </c>
      <c r="AP2043" s="19"/>
      <c r="AQ2043" s="19"/>
      <c r="AR2043" s="100"/>
      <c r="AS2043" s="93"/>
      <c r="AT2043" s="109" t="s">
        <v>491</v>
      </c>
      <c r="AU2043" t="str">
        <f>$Q$1943</f>
        <v>L4</v>
      </c>
      <c r="AV2043">
        <f>$E$23</f>
        <v>0</v>
      </c>
      <c r="AW2043" cm="1">
        <f t="array" ref="AW2043">IFERROR(IF(AV2043=0,0,(INDEX($C$33:$C$38,MATCH($AZ$1962,$B$33:$B$38,0),0)*(AV2045+$BA$1962)+$AW$1962*COUNTIF(AV2043:AV2044,"&gt;0")*$C$32+$AY$1962*$C$31)*$AU$1962),0)</f>
        <v>0</v>
      </c>
      <c r="AX2043">
        <f>IF(AV2043=0,0,-(COUNTIF(AV2043:AV2044,"&gt;0")*$AW$1962*$C$32+$AY$1962*$C$31)*$H$27*$AU$1962)</f>
        <v>0</v>
      </c>
      <c r="AY2043">
        <f>IF(AV2043=0,0,$AY$1962*$H$26*$AU$1962)</f>
        <v>0</v>
      </c>
      <c r="AZ2043">
        <f>(0.6*AW2043+0.7*AX2043)*$AU$1962/2</f>
        <v>0</v>
      </c>
      <c r="BA2043">
        <f>AW2043*$AU$1962/2</f>
        <v>0</v>
      </c>
      <c r="BC2043">
        <f>IF(AV2043=0,0,$BG$1962*$AP$1943)</f>
        <v>0</v>
      </c>
      <c r="BD2043">
        <f>IFERROR(BC2043/$AU$1962,0)</f>
        <v>0</v>
      </c>
      <c r="BE2043">
        <f>BC2043*($F$23+IF($F$23=0,0,($C$14+$C$15+IF($C$13="single",1.5,3)+3)/12))</f>
        <v>0</v>
      </c>
      <c r="BF2043">
        <f>BE2043-AZ2043</f>
        <v>0</v>
      </c>
      <c r="BG2043" cm="1">
        <f t="array" ref="BG2043">IFERROR(IF(BF2043&lt;0,0,BF2043/($AU$1962-INDEX(hd_off,MATCH(BT2043,hd_mark,0),0)/12)),0)</f>
        <v>0</v>
      </c>
      <c r="BH2043">
        <f>IF(AV2043=0,0,$BG$1962*$AM$1943)</f>
        <v>0</v>
      </c>
      <c r="BI2043">
        <f>IFERROR(BH2043/$AU$1962,0)</f>
        <v>0</v>
      </c>
      <c r="BJ2043">
        <f>BH2043*($F$23+IF($F$23=0,0,($C$14+$C$15+IF($C$13="single",1.5,3)+3)/12))</f>
        <v>0</v>
      </c>
      <c r="BK2043">
        <f>BJ2043-BA2043</f>
        <v>0</v>
      </c>
      <c r="BL2043" cm="1">
        <f t="array" ref="BL2043">IFERROR(IF(BK2043&lt;0,0,BK2043/($AU$1962-INDEX(hd_off,MATCH(BT2043,hd_mark,0),0)/12)),0)</f>
        <v>0</v>
      </c>
      <c r="BM2043">
        <f>MAX($F$23,$BD$1962)/$Q$1972</f>
        <v>0</v>
      </c>
      <c r="BN2043">
        <f t="shared" si="1256"/>
        <v>0</v>
      </c>
      <c r="BO2043" cm="1">
        <f t="array" ref="BO2043">IFERROR(INDEX(sheath_ecap_asd,MATCH(BS2043,sheath_mark,0),0)*BN2043,0)</f>
        <v>0</v>
      </c>
      <c r="BP2043" cm="1">
        <f t="array" ref="BP2043">IFERROR(INDEX(sheath_wcap_asd,MATCH(BS2043,sheath_mark,0),0)*BN2043,0)</f>
        <v>0</v>
      </c>
      <c r="BQ2043" cm="1">
        <f t="array" ref="BQ2043">IFERROR(INDEX(hd_cap,MATCH(BT2043,hd_mark,0),0),0)</f>
        <v>0</v>
      </c>
      <c r="BS2043" s="19"/>
      <c r="BT2043" s="19"/>
      <c r="BU2043" s="100"/>
    </row>
    <row r="2044" x14ac:dyDescent="0.25">
      <c r="P2044" s="93"/>
      <c r="Q2044" s="111">
        <f>$R$1962</f>
        <v>0</v>
      </c>
      <c r="R2044" t="str">
        <f>$Q$1944</f>
        <v>L5</v>
      </c>
      <c r="S2044">
        <f>$E$24</f>
        <v>0</v>
      </c>
      <c r="T2044" cm="1">
        <f t="array" ref="T2044">IFERROR(IF(S2044=0,0,(INDEX($C$33:$C$38,MATCH($W$1962,$B$33:$B$38,0),0)*(S2045+$X$1962)+$T$1962*COUNTIF(S2044:S2044,"&gt;0")*$C$32+$V$1962*$C$31)*$R$1962),0)</f>
        <v>0</v>
      </c>
      <c r="U2044">
        <f>IF(S2044=0,0,-(COUNTIF(S2044:S2044,"&gt;0")*$T$1962*$C$32+$V$1962*$C$31)*$H$27*$R$1962)</f>
        <v>0</v>
      </c>
      <c r="V2044">
        <f>IF(S2044=0,0,$V$1962*$H$26*$R$1962)</f>
        <v>0</v>
      </c>
      <c r="W2044">
        <f>(0.6*T2044+0.7*U2044)*$R$1962/2</f>
        <v>0</v>
      </c>
      <c r="X2044">
        <f>T2044*$R$1962/2</f>
        <v>0</v>
      </c>
      <c r="Z2044">
        <f>IF(S2044=0,0,$AD$1962*$AP$1944)</f>
        <v>0</v>
      </c>
      <c r="AA2044">
        <f>IFERROR(Z2044/$R$1962,0)</f>
        <v>0</v>
      </c>
      <c r="AB2044">
        <f>Z2044*($F$24+IF($F$24=0,0,($C$14+$C$15+IF($C$13="single",1.5,3)+3)/12))</f>
        <v>0</v>
      </c>
      <c r="AC2044">
        <f>AB2044-W2044</f>
        <v>0</v>
      </c>
      <c r="AD2044" cm="1">
        <f t="array" ref="AD2044">IFERROR(IF(AC2044&lt;0,0,AC2044/($R$1962-INDEX(hd_off,MATCH(AQ2044,hd_mark,0),0)/12)),0)</f>
        <v>0</v>
      </c>
      <c r="AE2044">
        <f>IF(S2044=0,0,$AD$1962*$AM$1944)</f>
        <v>0</v>
      </c>
      <c r="AF2044">
        <f>IFERROR(AE2044/$R$1962,0)</f>
        <v>0</v>
      </c>
      <c r="AG2044">
        <f>AE2044*($F$24+IF($F$24=0,0,($C$14+$C$15+IF($C$13="single",1.5,3)+3)/12))</f>
        <v>0</v>
      </c>
      <c r="AH2044">
        <f>AG2044-X2044</f>
        <v>0</v>
      </c>
      <c r="AI2044" cm="1">
        <f t="array" ref="AI2044">IFERROR(IF(AH2044&lt;0,0,AH2044/($R$1962-INDEX(hd_off,MATCH(AQ2044,hd_mark,0),0)/12)),0)</f>
        <v>0</v>
      </c>
      <c r="AJ2044">
        <f>MAX($F$24,$AB$1962)/$Q$1972</f>
        <v>0</v>
      </c>
      <c r="AK2044">
        <f t="shared" si="1255"/>
        <v>0</v>
      </c>
      <c r="AL2044" cm="1">
        <f t="array" ref="AL2044">IFERROR(INDEX(sheath_ecap_asd,MATCH(AP2044,sheath_mark,0),0)*AK2044,0)</f>
        <v>0</v>
      </c>
      <c r="AM2044" cm="1">
        <f t="array" ref="AM2044">IFERROR(INDEX(sheath_wcap_asd,MATCH(AP2044,sheath_mark,0),0)*AK2044,0)</f>
        <v>0</v>
      </c>
      <c r="AN2044" cm="1">
        <f t="array" ref="AN2044">IFERROR(INDEX(hd_cap,MATCH(AQ2044,hd_mark,0),0),0)</f>
        <v>0</v>
      </c>
      <c r="AP2044" s="19"/>
      <c r="AQ2044" s="19"/>
      <c r="AR2044" s="100"/>
      <c r="AS2044" s="93"/>
      <c r="AT2044" s="111">
        <f>$R$1962</f>
        <v>0</v>
      </c>
      <c r="AU2044" t="str">
        <f>$Q$1944</f>
        <v>L5</v>
      </c>
      <c r="AV2044">
        <f>$E$24</f>
        <v>0</v>
      </c>
      <c r="AW2044" cm="1">
        <f t="array" ref="AW2044">IFERROR(IF(AV2044=0,0,(INDEX($C$33:$C$38,MATCH($AZ$1962,$B$33:$B$38,0),0)*(AV2045+$BA$1962)+$AW$1962*COUNTIF(AV2044:AV2044,"&gt;0")*$C$32+$AY$1962*$C$31)*$AU$1962),0)</f>
        <v>0</v>
      </c>
      <c r="AX2044">
        <f>IF(AV2044=0,0,-(COUNTIF(AV2044:AV2044,"&gt;0")*$AW$1962*$C$32+$AY$1962*$C$31)*$H$27*$AU$1962)</f>
        <v>0</v>
      </c>
      <c r="AY2044">
        <f>IF(AV2044=0,0,$AY$1962*$H$26*$AU$1962)</f>
        <v>0</v>
      </c>
      <c r="AZ2044">
        <f>(0.6*AW2044+0.7*AX2044)*$AU$1962/2</f>
        <v>0</v>
      </c>
      <c r="BA2044">
        <f>AW2044*$AU$1962/2</f>
        <v>0</v>
      </c>
      <c r="BC2044">
        <f>IF(AV2044=0,0,$BG$1962*$AP$1944)</f>
        <v>0</v>
      </c>
      <c r="BD2044">
        <f>IFERROR(BC2044/$AU$1962,0)</f>
        <v>0</v>
      </c>
      <c r="BE2044">
        <f>BC2044*($F$24+IF($F$24=0,0,($C$14+$C$15+IF($C$13="single",1.5,3)+3)/12))</f>
        <v>0</v>
      </c>
      <c r="BF2044">
        <f>BE2044-AZ2044</f>
        <v>0</v>
      </c>
      <c r="BG2044" cm="1">
        <f t="array" ref="BG2044">IFERROR(IF(BF2044&lt;0,0,BF2044/($AU$1962-INDEX(hd_off,MATCH(BT2044,hd_mark,0),0)/12)),0)</f>
        <v>0</v>
      </c>
      <c r="BH2044">
        <f>IF(AV2044=0,0,$BG$1962*$AM$1944)</f>
        <v>0</v>
      </c>
      <c r="BI2044">
        <f>IFERROR(BH2044/$AU$1962,0)</f>
        <v>0</v>
      </c>
      <c r="BJ2044">
        <f>BH2044*($F$24+IF($F$24=0,0,($C$14+$C$15+IF($C$13="single",1.5,3)+3)/12))</f>
        <v>0</v>
      </c>
      <c r="BK2044">
        <f>BJ2044-BA2044</f>
        <v>0</v>
      </c>
      <c r="BL2044" cm="1">
        <f t="array" ref="BL2044">IFERROR(IF(BK2044&lt;0,0,BK2044/($AU$1962-INDEX(hd_off,MATCH(BT2044,hd_mark,0),0)/12)),0)</f>
        <v>0</v>
      </c>
      <c r="BM2044">
        <f>MAX($F$24,$BE$1962)/$Q$1972</f>
        <v>0</v>
      </c>
      <c r="BN2044">
        <f t="shared" si="1256"/>
        <v>0</v>
      </c>
      <c r="BO2044" cm="1">
        <f t="array" ref="BO2044">IFERROR(INDEX(sheath_ecap_asd,MATCH(BS2044,sheath_mark,0),0)*BN2044,0)</f>
        <v>0</v>
      </c>
      <c r="BP2044" cm="1">
        <f t="array" ref="BP2044">IFERROR(INDEX(sheath_wcap_asd,MATCH(BS2044,sheath_mark,0),0)*BN2044,0)</f>
        <v>0</v>
      </c>
      <c r="BQ2044" cm="1">
        <f t="array" ref="BQ2044">IFERROR(INDEX(hd_cap,MATCH(BT2044,hd_mark,0),0),0)</f>
        <v>0</v>
      </c>
      <c r="BS2044" s="19"/>
      <c r="BT2044" s="19"/>
      <c r="BU2044" s="100"/>
    </row>
    <row r="2045" x14ac:dyDescent="0.25">
      <c r="P2045" s="93"/>
      <c r="Q2045" s="109"/>
      <c r="R2045" t="str">
        <f>$Q$1945</f>
        <v>Roof</v>
      </c>
      <c r="S2045">
        <f>$E$25</f>
        <v>33.171875</v>
      </c>
      <c r="T2045" cm="1">
        <f t="array" ref="T2045">IFERROR(IF(S2045=0,0,(INDEX($C$33:$C$38,MATCH($W$1962,$B$33:$B$38,0),0)*(S2045+$X$1962)+$V$1962*$C$31)*$R$1962),0)</f>
        <v>0</v>
      </c>
      <c r="U2045">
        <f>IF(S2045=0,0,-$V$1962*$C$31*$H$27*$R$1962)</f>
        <v>0</v>
      </c>
      <c r="V2045">
        <f>IF(S2045=0,0,$V$1962*$H$26*$R$1962)</f>
        <v>0</v>
      </c>
      <c r="W2045">
        <f>(0.6*T2045+0.7*U2045)*$R$1962/2</f>
        <v>0</v>
      </c>
      <c r="X2045">
        <f>T2045*$R$1962/2</f>
        <v>0</v>
      </c>
      <c r="Z2045">
        <f>IF(S2045=0,0,$AD$1962*$AP$1945)</f>
        <v>0</v>
      </c>
      <c r="AA2045">
        <f>IFERROR(Z2045/$R$1962,0)</f>
        <v>0</v>
      </c>
      <c r="AB2045">
        <f>Z2045*($F$25+($C$16+$C$17+IF($C$13="single",1.5,3)+3)/12)</f>
        <v>0</v>
      </c>
      <c r="AC2045">
        <f>AB2045-W2045</f>
        <v>0</v>
      </c>
      <c r="AD2045" cm="1">
        <f t="array" ref="AD2045">IFERROR(IF(AC2045&lt;0,0,AC2045/($R$1962-INDEX(hd_off,MATCH(AQ2045,hd_mark,0),0)/12)),0)</f>
        <v>0</v>
      </c>
      <c r="AE2045">
        <f>IF(S2045=0,0,$AD$1962*$AM$1945)</f>
        <v>0</v>
      </c>
      <c r="AF2045">
        <f>IFERROR(AE2045/$R$1962,0)</f>
        <v>0</v>
      </c>
      <c r="AG2045">
        <f>AE2045*($F$25+($C$16+$C$17+IF($C$13="single",1.5,3)+3)/12)</f>
        <v>0</v>
      </c>
      <c r="AH2045">
        <f>AG2045-X2045</f>
        <v>0</v>
      </c>
      <c r="AI2045" cm="1">
        <f t="array" ref="AI2045">IFERROR(IF(AH2045&lt;0,0,AH2045/($R$1962-INDEX(hd_off,MATCH(AQ2045,hd_mark,0),0)/12)),0)</f>
        <v>0</v>
      </c>
      <c r="AJ2045">
        <f>MAX($F$25,$AC$1962)/$Q$1972</f>
        <v>0.29920977011494249</v>
      </c>
      <c r="AK2045">
        <f t="shared" si="1255"/>
        <v>1</v>
      </c>
      <c r="AL2045" cm="1">
        <f t="array" ref="AL2045">IFERROR(INDEX(sheath_ecap_asd,MATCH(AP2045,sheath_mark,0),0)*AK2045,0)</f>
        <v>0</v>
      </c>
      <c r="AM2045" cm="1">
        <f t="array" ref="AM2045">IFERROR(INDEX(sheath_wcap_asd,MATCH(AP2045,sheath_mark,0),0)*AK2045,0)</f>
        <v>0</v>
      </c>
      <c r="AN2045" cm="1">
        <f t="array" ref="AN2045">IFERROR(INDEX(hd_cap,MATCH(AQ2045,hd_mark,0),0),0)</f>
        <v>0</v>
      </c>
      <c r="AP2045" s="19"/>
      <c r="AQ2045" s="19"/>
      <c r="AR2045" s="100"/>
      <c r="AS2045" s="93"/>
      <c r="AT2045" s="109"/>
      <c r="AU2045" t="str">
        <f>$Q$1945</f>
        <v>Roof</v>
      </c>
      <c r="AV2045">
        <f>$E$25</f>
        <v>33.171875</v>
      </c>
      <c r="AW2045" cm="1">
        <f t="array" ref="AW2045">IFERROR(IF(AV2045=0,0,(INDEX($C$33:$C$38,MATCH($AZ$1962,$B$33:$B$38,0),0)*(AV2045+$BA$1962)+$AY$1962*$C$31)*$AU$1962),0)</f>
        <v>0</v>
      </c>
      <c r="AX2045">
        <f>IF(AV2045=0,0,-$AY$1962*$C$31*$H$27*$AU$1962)</f>
        <v>0</v>
      </c>
      <c r="AY2045">
        <f>IF(AV2045=0,0,$AY$1962*$H$26*$AU$1962)</f>
        <v>0</v>
      </c>
      <c r="AZ2045">
        <f>(0.6*AW2045+0.7*AX2045)*$AU$1962/2</f>
        <v>0</v>
      </c>
      <c r="BA2045">
        <f>AW2045*$AU$1962/2</f>
        <v>0</v>
      </c>
      <c r="BC2045">
        <f>IF(AV2045=0,0,$BG$1962*$AP$1945)</f>
        <v>0</v>
      </c>
      <c r="BD2045">
        <f>IFERROR(BC2045/$AU$1962,0)</f>
        <v>0</v>
      </c>
      <c r="BE2045">
        <f>BC2045*($F$25+($C$16+$C$17+IF($C$13="single",1.5,3)+3)/12)</f>
        <v>0</v>
      </c>
      <c r="BF2045">
        <f>BE2045-AZ2045</f>
        <v>0</v>
      </c>
      <c r="BG2045" cm="1">
        <f t="array" ref="BG2045">IFERROR(IF(BF2045&lt;0,0,BF2045/($AU$1962-INDEX(hd_off,MATCH(BT2045,hd_mark,0),0)/12)),0)</f>
        <v>0</v>
      </c>
      <c r="BH2045">
        <f>IF(AV2045=0,0,$BG$1962*$AM$1945)</f>
        <v>0</v>
      </c>
      <c r="BI2045">
        <f>IFERROR(BH2045/$AU$1962,0)</f>
        <v>0</v>
      </c>
      <c r="BJ2045">
        <f>BH2045*($F$25+($C$16+$C$17+IF($C$13="single",1.5,3)+3)/12)</f>
        <v>0</v>
      </c>
      <c r="BK2045">
        <f>BJ2045-BA2045</f>
        <v>0</v>
      </c>
      <c r="BL2045" cm="1">
        <f t="array" ref="BL2045">IFERROR(IF(BK2045&lt;0,0,BK2045/($AU$1962-INDEX(hd_off,MATCH(BT2045,hd_mark,0),0)/12)),0)</f>
        <v>0</v>
      </c>
      <c r="BM2045">
        <f>MAX($F$25,$BF$1962)/$Q$1972</f>
        <v>0.29920977011494249</v>
      </c>
      <c r="BN2045">
        <f t="shared" si="1256"/>
        <v>1</v>
      </c>
      <c r="BO2045" cm="1">
        <f t="array" ref="BO2045">IFERROR(INDEX(sheath_ecap_asd,MATCH(BS2045,sheath_mark,0),0)*BN2045,0)</f>
        <v>0</v>
      </c>
      <c r="BP2045" cm="1">
        <f t="array" ref="BP2045">IFERROR(INDEX(sheath_wcap_asd,MATCH(BS2045,sheath_mark,0),0)*BN2045,0)</f>
        <v>0</v>
      </c>
      <c r="BQ2045" cm="1">
        <f t="array" ref="BQ2045">IFERROR(INDEX(hd_cap,MATCH(BT2045,hd_mark,0),0),0)</f>
        <v>0</v>
      </c>
      <c r="BS2045" s="19"/>
      <c r="BT2045" s="19"/>
      <c r="BU2045" s="100"/>
    </row>
    <row r="2046" x14ac:dyDescent="0.25">
      <c r="P2046" s="93"/>
      <c r="AR2046" s="100"/>
      <c r="AS2046" s="93"/>
      <c r="BU2046" s="100"/>
    </row>
    <row r="2047" x14ac:dyDescent="0.25">
      <c r="P2047" s="93"/>
      <c r="Q2047" s="110" t="str">
        <f>$Q$1963</f>
        <v>A.14</v>
      </c>
      <c r="R2047" t="str">
        <f>$Q$1941</f>
        <v>L2</v>
      </c>
      <c r="S2047">
        <f>$E$21</f>
        <v>10.6875</v>
      </c>
      <c r="T2047" cm="1">
        <f t="array" ref="T2047">IFERROR(IF(S2047=0,0,(INDEX($C$33:$C$38,MATCH($W$1963,$B$33:$B$38,0),0)*(S2051+$X$1963)+$T$1963*COUNTIF(S2047:S2063,"&gt;0")*$C$32+$V$1963*$C$31)*$R$1963),0)</f>
        <v>0</v>
      </c>
      <c r="U2047">
        <f>IF(S2047=0,0,-(COUNTIF(S2047:S2063,"&gt;0")*$T$1963*$C$32+$V$1963*$C$31)*$H$27*$R$1963)</f>
        <v>0</v>
      </c>
      <c r="V2047">
        <f>IF(S2047=0,0,$V$1963*$H$26*$R$1963)</f>
        <v>0</v>
      </c>
      <c r="W2047">
        <f>(0.6*T2047+0.7*U2047)*$R$1963/2</f>
        <v>0</v>
      </c>
      <c r="X2047">
        <f>(0.6*T2047+0.6*V2047)*$R$1963/2</f>
        <v>0</v>
      </c>
      <c r="Z2047">
        <f>IF(S2047=0,0,$AD$1963*$AP$1941)</f>
        <v>0</v>
      </c>
      <c r="AA2047">
        <f>IFERROR(Z2047/$R$1963,0)</f>
        <v>0</v>
      </c>
      <c r="AB2047">
        <f>Z2047*($F$21+IF($F$21=0,0,($C$14+$C$15+IF($C$13="single",1.5,3)+3)/12))</f>
        <v>0</v>
      </c>
      <c r="AC2047">
        <f>AB2047-W2047</f>
        <v>0</v>
      </c>
      <c r="AD2047" cm="1">
        <f t="array" ref="AD2047">IFERROR(IF(AC2047&lt;0,0,AC2047/($R$1963-INDEX(hd_off,MATCH(AQ2047,hd_mark,0),0)/12)),0)</f>
        <v>0</v>
      </c>
      <c r="AE2047">
        <f>IF(S2047=0,0,$AD$1963*$AM$1941)</f>
        <v>0</v>
      </c>
      <c r="AF2047">
        <f>IFERROR(AE2047/$R$1963,0)</f>
        <v>0</v>
      </c>
      <c r="AG2047">
        <f>AE2047*($F$21+IF($F$21=0,0,($C$14+$C$15+IF($C$13="single",1.5,3)+3)/12))</f>
        <v>0</v>
      </c>
      <c r="AH2047">
        <f>AG2047-X2047</f>
        <v>0</v>
      </c>
      <c r="AI2047" cm="1">
        <f t="array" ref="AI2047">IFERROR(IF(AH2047&lt;0,0,AH2047/($R$1963-INDEX(hd_off,MATCH(AQ2047,hd_mark,0),0)/12)),0)</f>
        <v>0</v>
      </c>
      <c r="AJ2047">
        <f>MAX($F$21,$Y$1963)/$Q$1972</f>
        <v>0.30172413793103448</v>
      </c>
      <c r="AK2047">
        <f>IF(AJ2047=0,0,IF(AJ2047&gt;2,1.25-0.125*AJ2047,1))</f>
        <v>1</v>
      </c>
      <c r="AL2047" cm="1">
        <f t="array" ref="AL2047">IFERROR(INDEX(sheath_ecap_asd,MATCH(AP2047,sheath_mark,0),0)*AK2047,0)</f>
        <v>0</v>
      </c>
      <c r="AM2047" cm="1">
        <f t="array" ref="AM2047">IFERROR(INDEX(sheath_wcap_asd,MATCH(AP2047,sheath_mark,0),0)*AK2047,0)</f>
        <v>0</v>
      </c>
      <c r="AN2047" cm="1">
        <f t="array" ref="AN2047">IFERROR(INDEX(hd_cap,MATCH(AQ2047,hd_mark,0),0),0)</f>
        <v>0</v>
      </c>
      <c r="AP2047" s="19"/>
      <c r="AQ2047" s="19"/>
      <c r="AR2047" s="100"/>
      <c r="AS2047" s="93"/>
      <c r="AT2047" s="110" t="str">
        <f>$AT$1963</f>
        <v>1.14</v>
      </c>
      <c r="AU2047" t="str">
        <f>$Q$1941</f>
        <v>L2</v>
      </c>
      <c r="AV2047">
        <f>$E$21</f>
        <v>10.6875</v>
      </c>
      <c r="AW2047" cm="1">
        <f t="array" ref="AW2047">IFERROR(IF(AV2047=0,0,(INDEX($C$33:$C$38,MATCH($AZ$1963,$B$33:$B$38,0),0)*(AV2051+$BA$1963)+$AW$1963*COUNTIF(AV2047:AV2063,"&gt;0")*$C$32+$AY$1963*$C$31)*$AU$1963),0)</f>
        <v>0</v>
      </c>
      <c r="AX2047">
        <f>IF(AV2047=0,0,-(COUNTIF(AV2047:AV2063,"&gt;0")*$AW$1963*$C$32+$AY$1963*$C$31)*$H$27*$AU$1963)</f>
        <v>0</v>
      </c>
      <c r="AY2047">
        <f>IF(AV2047=0,0,$AY$1963*$H$26*$AU$1963)</f>
        <v>0</v>
      </c>
      <c r="AZ2047">
        <f>(0.6*AW2047+0.7*AX2047)*$AU$1963/2</f>
        <v>0</v>
      </c>
      <c r="BA2047">
        <f>(0.6*AW2047+0.6*AY2047)*$AU$1963/2</f>
        <v>0</v>
      </c>
      <c r="BC2047">
        <f>IF(AV2047=0,0,$BG$1963*$AP$1941)</f>
        <v>0</v>
      </c>
      <c r="BD2047">
        <f>IFERROR(BC2047/$AU$1963,0)</f>
        <v>0</v>
      </c>
      <c r="BE2047">
        <f>BC2047*($F$21+IF($F$21=0,0,($C$14+$C$15+IF($C$13="single",1.5,3)+3)/12))</f>
        <v>0</v>
      </c>
      <c r="BF2047">
        <f>BE2047-AZ2047</f>
        <v>0</v>
      </c>
      <c r="BG2047" cm="1">
        <f t="array" ref="BG2047">IFERROR(IF(BF2047&lt;0,0,BF2047/($AU$1963-INDEX(hd_off,MATCH(BT2047,hd_mark,0),0)/12)),0)</f>
        <v>0</v>
      </c>
      <c r="BH2047">
        <f>IF(AV2047=0,0,$BG$1963*$AM$1941)</f>
        <v>0</v>
      </c>
      <c r="BI2047">
        <f>IFERROR(BH2047/$AU$1963,0)</f>
        <v>0</v>
      </c>
      <c r="BJ2047">
        <f>BH2047*($F$21+IF($F$21=0,0,($C$14+$C$15+IF($C$13="single",1.5,3)+3)/12))</f>
        <v>0</v>
      </c>
      <c r="BK2047">
        <f>BJ2047-BA2047</f>
        <v>0</v>
      </c>
      <c r="BL2047" cm="1">
        <f t="array" ref="BL2047">IFERROR(IF(BK2047&lt;0,0,BK2047/($AU$1963-INDEX(hd_off,MATCH(BT2047,hd_mark,0),0)/12)),0)</f>
        <v>0</v>
      </c>
      <c r="BM2047">
        <f>MAX($F$21,$BB$1963)/$Q$1972</f>
        <v>0.30172413793103448</v>
      </c>
      <c r="BN2047">
        <f>IF(BM2047=0,0,IF(BM2047&gt;2,1.25-0.125*BM2047,1))</f>
        <v>1</v>
      </c>
      <c r="BO2047" cm="1">
        <f t="array" ref="BO2047">IFERROR(INDEX(sheath_ecap_asd,MATCH(BS2047,sheath_mark,0),0)*BN2047,0)</f>
        <v>0</v>
      </c>
      <c r="BP2047" cm="1">
        <f t="array" ref="BP2047">IFERROR(INDEX(sheath_wcap_asd,MATCH(BS2047,sheath_mark,0),0)*BN2047,0)</f>
        <v>0</v>
      </c>
      <c r="BQ2047" cm="1">
        <f t="array" ref="BQ2047">IFERROR(INDEX(hd_cap,MATCH(BT2047,hd_mark,0),0),0)</f>
        <v>0</v>
      </c>
      <c r="BS2047" s="19"/>
      <c r="BT2047" s="19"/>
      <c r="BU2047" s="100"/>
    </row>
    <row r="2048" x14ac:dyDescent="0.25">
      <c r="P2048" s="93"/>
      <c r="Q2048" s="109"/>
      <c r="R2048" t="str">
        <f>$Q$1942</f>
        <v>L3</v>
      </c>
      <c r="S2048">
        <f>$E$22</f>
        <v>21.375</v>
      </c>
      <c r="T2048" cm="1">
        <f t="array" ref="T2048">IFERROR(IF(S2048=0,0,(INDEX($C$33:$C$38,MATCH($W$1963,$B$33:$B$38,0),0)*(S2051+$X$1963)+$T$1963*COUNTIF(S2048:S2063,"&gt;0")*$C$32+$V$1963*$C$31)*$R$1963),0)</f>
        <v>0</v>
      </c>
      <c r="U2048">
        <f>IF(S2048=0,0,-(COUNTIF(S2048:S2063,"&gt;0")*$T$1963*$C$32+$V$1963*$C$31)*$H$27*$R$1963)</f>
        <v>0</v>
      </c>
      <c r="V2048">
        <f>IF(S2048=0,0,$V$1963*$H$26*$R$1963)</f>
        <v>0</v>
      </c>
      <c r="W2048">
        <f>(0.6*T2048+0.7*U2048)*$R$1963/2</f>
        <v>0</v>
      </c>
      <c r="X2048">
        <f>T2048*$R$1963/2</f>
        <v>0</v>
      </c>
      <c r="Z2048">
        <f>IF(S2048=0,0,$AD$1963*$AP$1942)</f>
        <v>0</v>
      </c>
      <c r="AA2048">
        <f>IFERROR(Z2048/$R$1963,0)</f>
        <v>0</v>
      </c>
      <c r="AB2048">
        <f>Z2048*($F$22+IF($F$22=0,0,($C$14+$C$15+IF($C$13="single",1.5,3)+3)/12))</f>
        <v>0</v>
      </c>
      <c r="AC2048">
        <f>AB2048-W2048</f>
        <v>0</v>
      </c>
      <c r="AD2048" cm="1">
        <f t="array" ref="AD2048">IFERROR(IF(AC2048&lt;0,0,AC2048/($R$1963-INDEX(hd_off,MATCH(AQ2048,hd_mark,0),0)/12)),0)</f>
        <v>0</v>
      </c>
      <c r="AE2048">
        <f>IF(S2048=0,0,$AD$1963*$AM$1942)</f>
        <v>0</v>
      </c>
      <c r="AF2048">
        <f>IFERROR(AE2048/$R$1963,0)</f>
        <v>0</v>
      </c>
      <c r="AG2048">
        <f>AE2048*($F$22+IF($F$22=0,0,($C$14+$C$15+IF($C$13="single",1.5,3)+3)/12))</f>
        <v>0</v>
      </c>
      <c r="AH2048">
        <f>AG2048-X2048</f>
        <v>0</v>
      </c>
      <c r="AI2048" cm="1">
        <f t="array" ref="AI2048">IFERROR(IF(AH2048&lt;0,0,AH2048/($R$1963-INDEX(hd_off,MATCH(AQ2048,hd_mark,0),0)/12)),0)</f>
        <v>0</v>
      </c>
      <c r="AJ2048">
        <f>MAX($F$22,$Z$1963)/$Q$1972</f>
        <v>0.30172413793103448</v>
      </c>
      <c r="AK2048">
        <f t="shared" ref="AK2048:AK2051" si="1257">IF(AJ2048=0,0,IF(AJ2048&gt;2,1.25-0.125*AJ2048,1))</f>
        <v>1</v>
      </c>
      <c r="AL2048" cm="1">
        <f t="array" ref="AL2048">IFERROR(INDEX(sheath_ecap_asd,MATCH(AP2048,sheath_mark,0),0)*AK2048,0)</f>
        <v>0</v>
      </c>
      <c r="AM2048" cm="1">
        <f t="array" ref="AM2048">IFERROR(INDEX(sheath_wcap_asd,MATCH(AP2048,sheath_mark,0),0)*AK2048,0)</f>
        <v>0</v>
      </c>
      <c r="AN2048" cm="1">
        <f t="array" ref="AN2048">IFERROR(INDEX(hd_cap,MATCH(AQ2048,hd_mark,0),0),0)</f>
        <v>0</v>
      </c>
      <c r="AP2048" s="19"/>
      <c r="AQ2048" s="19"/>
      <c r="AR2048" s="100"/>
      <c r="AS2048" s="93"/>
      <c r="AT2048" s="109"/>
      <c r="AU2048" t="str">
        <f>$Q$1942</f>
        <v>L3</v>
      </c>
      <c r="AV2048">
        <f>$E$22</f>
        <v>21.375</v>
      </c>
      <c r="AW2048" cm="1">
        <f t="array" ref="AW2048">IFERROR(IF(AV2048=0,0,(INDEX($C$33:$C$38,MATCH($AZ$1963,$B$33:$B$38,0),0)*(AV2051+$BA$1963)+$AW$1963*COUNTIF(AV2048:AV2063,"&gt;0")*$C$32+$AY$1963*$C$31)*$AU$1963),0)</f>
        <v>0</v>
      </c>
      <c r="AX2048">
        <f>IF(AV2048=0,0,-(COUNTIF(AV2048:AV2063,"&gt;0")*$AW$1963*$C$32+$AY$1963*$C$31)*$H$27*$AU$1963)</f>
        <v>0</v>
      </c>
      <c r="AY2048">
        <f>IF(AV2048=0,0,$AY$1963*$H$26*$AU$1963)</f>
        <v>0</v>
      </c>
      <c r="AZ2048">
        <f>(0.6*AW2048+0.7*AX2048)*$AU$1963/2</f>
        <v>0</v>
      </c>
      <c r="BA2048">
        <f>AW2048*$AU$1963/2</f>
        <v>0</v>
      </c>
      <c r="BC2048">
        <f>IF(AV2048=0,0,$BG$1963*$AP$1942)</f>
        <v>0</v>
      </c>
      <c r="BD2048">
        <f>IFERROR(BC2048/$AU$1963,0)</f>
        <v>0</v>
      </c>
      <c r="BE2048">
        <f>BC2048*($F$22+IF($F$22=0,0,($C$14+$C$15+IF($C$13="single",1.5,3)+3)/12))</f>
        <v>0</v>
      </c>
      <c r="BF2048">
        <f>BE2048-AZ2048</f>
        <v>0</v>
      </c>
      <c r="BG2048" cm="1">
        <f t="array" ref="BG2048">IFERROR(IF(BF2048&lt;0,0,BF2048/($AU$1963-INDEX(hd_off,MATCH(BT2048,hd_mark,0),0)/12)),0)</f>
        <v>0</v>
      </c>
      <c r="BH2048">
        <f>IF(AV2048=0,0,$BG$1963*$AM$1942)</f>
        <v>0</v>
      </c>
      <c r="BI2048">
        <f>IFERROR(BH2048/$AU$1963,0)</f>
        <v>0</v>
      </c>
      <c r="BJ2048">
        <f>BH2048*($F$22+IF($F$22=0,0,($C$14+$C$15+IF($C$13="single",1.5,3)+3)/12))</f>
        <v>0</v>
      </c>
      <c r="BK2048">
        <f>BJ2048-BA2048</f>
        <v>0</v>
      </c>
      <c r="BL2048" cm="1">
        <f t="array" ref="BL2048">IFERROR(IF(BK2048&lt;0,0,BK2048/($AU$1963-INDEX(hd_off,MATCH(BT2048,hd_mark,0),0)/12)),0)</f>
        <v>0</v>
      </c>
      <c r="BM2048">
        <f>MAX($F$22,$BC$1963)/$Q$1972</f>
        <v>0.30172413793103448</v>
      </c>
      <c r="BN2048">
        <f t="shared" ref="BN2048:BN2049" si="1258">IF(BM2048=0,0,IF(BM2048&gt;2,1.25-0.125*BM2048,1))</f>
        <v>1</v>
      </c>
      <c r="BO2048" cm="1">
        <f t="array" ref="BO2048">IFERROR(INDEX(sheath_ecap_asd,MATCH(BS2048,sheath_mark,0),0)*BN2048,0)</f>
        <v>0</v>
      </c>
      <c r="BP2048" cm="1">
        <f t="array" ref="BP2048">IFERROR(INDEX(sheath_wcap_asd,MATCH(BS2048,sheath_mark,0),0)*BN2048,0)</f>
        <v>0</v>
      </c>
      <c r="BQ2048" cm="1">
        <f t="array" ref="BQ2048">IFERROR(INDEX(hd_cap,MATCH(BT2048,hd_mark,0),0),0)</f>
        <v>0</v>
      </c>
      <c r="BS2048" s="19"/>
      <c r="BT2048" s="19"/>
      <c r="BU2048" s="100"/>
    </row>
    <row r="2049" x14ac:dyDescent="0.25">
      <c r="P2049" s="93"/>
      <c r="Q2049" s="109" t="s">
        <v>491</v>
      </c>
      <c r="R2049" t="str">
        <f>$Q$1943</f>
        <v>L4</v>
      </c>
      <c r="S2049">
        <f>$E$23</f>
        <v>0</v>
      </c>
      <c r="T2049" cm="1">
        <f t="array" ref="T2049">IFERROR(IF(S2049=0,0,(INDEX($C$33:$C$38,MATCH($W$1963,$B$33:$B$38,0),0)*(S2051+$X$1963)+$T$1963*COUNTIF(S2049:S2063,"&gt;0")*$C$32+$V$1963*$C$31)*$R$1963),0)</f>
        <v>0</v>
      </c>
      <c r="U2049">
        <f>IF(S2049=0,0,-(COUNTIF(S2049:S2063,"&gt;0")*$T$1963*$C$32+$V$1963*$C$31)*$H$27*$R$1963)</f>
        <v>0</v>
      </c>
      <c r="V2049">
        <f>IF(S2049=0,0,$V$1963*$H$26*$R$1963)</f>
        <v>0</v>
      </c>
      <c r="W2049">
        <f>(0.6*T2049+0.7*U2049)*$R$1963/2</f>
        <v>0</v>
      </c>
      <c r="X2049">
        <f>T2049*$R$1963/2</f>
        <v>0</v>
      </c>
      <c r="Z2049">
        <f>IF(S2049=0,0,$AD$1963*$AP$1943)</f>
        <v>0</v>
      </c>
      <c r="AA2049">
        <f>IFERROR(Z2049/$R$1963,0)</f>
        <v>0</v>
      </c>
      <c r="AB2049">
        <f>Z2049*($F$23+IF($F$23=0,0,($C$14+$C$15+IF($C$13="single",1.5,3)+3)/12))</f>
        <v>0</v>
      </c>
      <c r="AC2049">
        <f>AB2049-W2049</f>
        <v>0</v>
      </c>
      <c r="AD2049" cm="1">
        <f t="array" ref="AD2049">IFERROR(IF(AC2049&lt;0,0,AC2049/($R$1963-INDEX(hd_off,MATCH(AQ2049,hd_mark,0),0)/12)),0)</f>
        <v>0</v>
      </c>
      <c r="AE2049">
        <f>IF(S2049=0,0,$AD$1963*$AM$1943)</f>
        <v>0</v>
      </c>
      <c r="AF2049">
        <f>IFERROR(AE2049/$R$1963,0)</f>
        <v>0</v>
      </c>
      <c r="AG2049">
        <f>AE2049*($F$23+IF($F$23=0,0,($C$14+$C$15+IF($C$13="single",1.5,3)+3)/12))</f>
        <v>0</v>
      </c>
      <c r="AH2049">
        <f>AG2049-X2049</f>
        <v>0</v>
      </c>
      <c r="AI2049" cm="1">
        <f t="array" ref="AI2049">IFERROR(IF(AH2049&lt;0,0,AH2049/($R$1963-INDEX(hd_off,MATCH(AQ2049,hd_mark,0),0)/12)),0)</f>
        <v>0</v>
      </c>
      <c r="AJ2049">
        <f>MAX($F$23,$AA$1963)/$Q$1972</f>
        <v>0</v>
      </c>
      <c r="AK2049">
        <f t="shared" si="1257"/>
        <v>0</v>
      </c>
      <c r="AL2049" cm="1">
        <f t="array" ref="AL2049">IFERROR(INDEX(sheath_ecap_asd,MATCH(AP2049,sheath_mark,0),0)*AK2049,0)</f>
        <v>0</v>
      </c>
      <c r="AM2049" cm="1">
        <f t="array" ref="AM2049">IFERROR(INDEX(sheath_wcap_asd,MATCH(AP2049,sheath_mark,0),0)*AK2049,0)</f>
        <v>0</v>
      </c>
      <c r="AN2049" cm="1">
        <f t="array" ref="AN2049">IFERROR(INDEX(hd_cap,MATCH(AQ2049,hd_mark,0),0),0)</f>
        <v>0</v>
      </c>
      <c r="AP2049" s="19"/>
      <c r="AQ2049" s="19"/>
      <c r="AR2049" s="100"/>
      <c r="AS2049" s="93"/>
      <c r="AT2049" s="109" t="s">
        <v>491</v>
      </c>
      <c r="AU2049" t="str">
        <f>$Q$1943</f>
        <v>L4</v>
      </c>
      <c r="AV2049">
        <f>$E$23</f>
        <v>0</v>
      </c>
      <c r="AW2049" cm="1">
        <f t="array" ref="AW2049">IFERROR(IF(AV2049=0,0,(INDEX($C$33:$C$38,MATCH($AZ$1963,$B$33:$B$38,0),0)*(AV2051+$BA$1963)+$AW$1963*COUNTIF(AV2049:AV2063,"&gt;0")*$C$32+$AY$1963*$C$31)*$AU$1963),0)</f>
        <v>0</v>
      </c>
      <c r="AX2049">
        <f>IF(AV2049=0,0,-(COUNTIF(AV2049:AV2063,"&gt;0")*$AW$1963*$C$32+$AY$1963*$C$31)*$H$27*$AU$1963)</f>
        <v>0</v>
      </c>
      <c r="AY2049">
        <f>IF(AV2049=0,0,$AY$1963*$H$26*$AU$1963)</f>
        <v>0</v>
      </c>
      <c r="AZ2049">
        <f>(0.6*AW2049+0.7*AX2049)*$AU$1963/2</f>
        <v>0</v>
      </c>
      <c r="BA2049">
        <f>AW2049*$AU$1963/2</f>
        <v>0</v>
      </c>
      <c r="BC2049">
        <f>IF(AV2049=0,0,$BG$1963*$AP$1943)</f>
        <v>0</v>
      </c>
      <c r="BD2049">
        <f>IFERROR(BC2049/$AU$1963,0)</f>
        <v>0</v>
      </c>
      <c r="BE2049">
        <f>BC2049*($F$23+IF($F$23=0,0,($C$14+$C$15+IF($C$13="single",1.5,3)+3)/12))</f>
        <v>0</v>
      </c>
      <c r="BF2049">
        <f>BE2049-AZ2049</f>
        <v>0</v>
      </c>
      <c r="BG2049" cm="1">
        <f t="array" ref="BG2049">IFERROR(IF(BF2049&lt;0,0,BF2049/($AU$1963-INDEX(hd_off,MATCH(BT2049,hd_mark,0),0)/12)),0)</f>
        <v>0</v>
      </c>
      <c r="BH2049">
        <f>IF(AV2049=0,0,$BG$1963*$AM$1943)</f>
        <v>0</v>
      </c>
      <c r="BI2049">
        <f>IFERROR(BH2049/$AU$1963,0)</f>
        <v>0</v>
      </c>
      <c r="BJ2049">
        <f>BH2049*($F$23+IF($F$23=0,0,($C$14+$C$15+IF($C$13="single",1.5,3)+3)/12))</f>
        <v>0</v>
      </c>
      <c r="BK2049">
        <f>BJ2049-BA2049</f>
        <v>0</v>
      </c>
      <c r="BL2049" cm="1">
        <f t="array" ref="BL2049">IFERROR(IF(BK2049&lt;0,0,BK2049/($AU$1963-INDEX(hd_off,MATCH(BT2049,hd_mark,0),0)/12)),0)</f>
        <v>0</v>
      </c>
      <c r="BM2049">
        <f>MAX($F$23,$BD$1963)/$Q$1972</f>
        <v>0</v>
      </c>
      <c r="BN2049">
        <f t="shared" si="1258"/>
        <v>0</v>
      </c>
      <c r="BO2049" cm="1">
        <f t="array" ref="BO2049">IFERROR(INDEX(sheath_ecap_asd,MATCH(BS2049,sheath_mark,0),0)*BN2049,0)</f>
        <v>0</v>
      </c>
      <c r="BP2049" cm="1">
        <f t="array" ref="BP2049">IFERROR(INDEX(sheath_wcap_asd,MATCH(BS2049,sheath_mark,0),0)*BN2049,0)</f>
        <v>0</v>
      </c>
      <c r="BQ2049" cm="1">
        <f t="array" ref="BQ2049">IFERROR(INDEX(hd_cap,MATCH(BT2049,hd_mark,0),0),0)</f>
        <v>0</v>
      </c>
      <c r="BS2049" s="19"/>
      <c r="BT2049" s="19"/>
      <c r="BU2049" s="100"/>
    </row>
    <row r="2050" x14ac:dyDescent="0.25">
      <c r="P2050" s="93"/>
      <c r="Q2050" s="111">
        <f>$R$1963</f>
        <v>0</v>
      </c>
      <c r="R2050" t="str">
        <f>$Q$1944</f>
        <v>L5</v>
      </c>
      <c r="S2050">
        <f>$E$24</f>
        <v>0</v>
      </c>
      <c r="T2050" cm="1">
        <f t="array" ref="T2050">IFERROR(IF(S2063=0,0,(INDEX($C$33:$C$38,MATCH($W$1963,$B$33:$B$38,0),0)*(S2051+$X$1963)+$T$1963*COUNTIF(S2063:S2063,"&gt;0")*$C$32+$V$1963*$C$31)*$R$1963),0)</f>
        <v>0</v>
      </c>
      <c r="U2050">
        <f>IF(S2063=0,0,-(COUNTIF(S2063:S2063,"&gt;0")*$T$1963*$C$32+$V$1963*$C$31)*$H$27*$R$1963)</f>
        <v>0</v>
      </c>
      <c r="V2050">
        <f>IF(S2063=0,0,$V$1963*$H$26*$R$1963)</f>
        <v>0</v>
      </c>
      <c r="W2050">
        <f>(0.6*T2063+0.7*U2063)*$R$1963/2</f>
        <v>0</v>
      </c>
      <c r="X2050">
        <f>T2063*$R$1963/2</f>
        <v>0</v>
      </c>
      <c r="Z2050">
        <f>IF(S2063=0,0,$AD$1963*$AP$1944)</f>
        <v>0</v>
      </c>
      <c r="AA2050">
        <f>IFERROR(Z2063/$R$1963,0)</f>
        <v>0</v>
      </c>
      <c r="AB2050">
        <f>Z2063*($F$24+IF($F$24=0,0,($C$14+$C$15+IF($C$13="single",1.5,3)+3)/12))</f>
        <v>0</v>
      </c>
      <c r="AC2050">
        <f>AB2063-W2063</f>
        <v>0</v>
      </c>
      <c r="AD2050" cm="1">
        <f t="array" ref="AD2050">IFERROR(IF(AC2063&lt;0,0,AC2063/($R$1963-INDEX(hd_off,MATCH(AQ2063,hd_mark,0),0)/12)),0)</f>
        <v>0</v>
      </c>
      <c r="AE2050">
        <f>IF(S2063=0,0,$AD$1963*$AM$1944)</f>
        <v>0</v>
      </c>
      <c r="AF2050">
        <f>IFERROR(AE2063/$R$1963,0)</f>
        <v>0</v>
      </c>
      <c r="AG2050">
        <f>AE2063*($F$24+IF($F$24=0,0,($C$14+$C$15+IF($C$13="single",1.5,3)+3)/12))</f>
        <v>0</v>
      </c>
      <c r="AH2050">
        <f>AG2063-X2063</f>
        <v>0</v>
      </c>
      <c r="AI2050" cm="1">
        <f t="array" ref="AI2050">IFERROR(IF(AH2063&lt;0,0,AH2063/($R$1963-INDEX(hd_off,MATCH(AQ2063,hd_mark,0),0)/12)),0)</f>
        <v>0</v>
      </c>
      <c r="AJ2050">
        <f>MAX($F$24,$AB$1963)/$Q$1972</f>
        <v>0</v>
      </c>
      <c r="AK2050">
        <f>IF(AJ2063=0,0,IF(AJ2063&gt;2,1.25-0.125*AJ2063,1))</f>
        <v>1</v>
      </c>
      <c r="AL2050" cm="1">
        <f t="array" ref="AL2050">IFERROR(INDEX(sheath_ecap_asd,MATCH(AP2063,sheath_mark,0),0)*AK2063,0)</f>
        <v>0</v>
      </c>
      <c r="AM2050" cm="1">
        <f t="array" ref="AM2050">IFERROR(INDEX(sheath_wcap_asd,MATCH(AP2063,sheath_mark,0),0)*AK2063,0)</f>
        <v>0</v>
      </c>
      <c r="AN2050" cm="1">
        <f t="array" ref="AN2050">IFERROR(INDEX(hd_cap,MATCH(AQ2063,hd_mark,0),0),0)</f>
        <v>0</v>
      </c>
      <c r="AP2050" s="19"/>
      <c r="AQ2050" s="19"/>
      <c r="AR2050" s="100"/>
      <c r="AS2050" s="93"/>
      <c r="AT2050" s="111">
        <f>$R$1963</f>
        <v>0</v>
      </c>
      <c r="AU2050" t="str">
        <f>$Q$1944</f>
        <v>L5</v>
      </c>
      <c r="AV2050">
        <f>$E$24</f>
        <v>0</v>
      </c>
      <c r="AW2050" cm="1">
        <f t="array" ref="AW2050">IFERROR(IF(AV2063=0,0,(INDEX($C$33:$C$38,MATCH($AZ$1963,$B$33:$B$38,0),0)*(AV2051+$BA$1963)+$AW$1963*COUNTIF(AV2063:AV2063,"&gt;0")*$C$32+$AY$1963*$C$31)*$AU$1963),0)</f>
        <v>0</v>
      </c>
      <c r="AX2050">
        <f>IF(AV2063=0,0,-(COUNTIF(AV2063:AV2063,"&gt;0")*$AW$1963*$C$32+$AY$1963*$C$31)*$H$27*$AU$1963)</f>
        <v>0</v>
      </c>
      <c r="AY2050">
        <f>IF(AV2063=0,0,$AY$1963*$H$26*$AU$1963)</f>
        <v>0</v>
      </c>
      <c r="AZ2050">
        <f>(0.6*AW2063+0.7*AX2063)*$AU$1963/2</f>
        <v>0</v>
      </c>
      <c r="BA2050">
        <f>AW2063*$AU$1963/2</f>
        <v>0</v>
      </c>
      <c r="BC2050">
        <f>IF(AV2063=0,0,$BG$1963*$AP$1944)</f>
        <v>0</v>
      </c>
      <c r="BD2050">
        <f>IFERROR(BC2063/$AU$1963,0)</f>
        <v>0</v>
      </c>
      <c r="BE2050">
        <f>BC2063*($F$24+IF($F$24=0,0,($C$14+$C$15+IF($C$13="single",1.5,3)+3)/12))</f>
        <v>0</v>
      </c>
      <c r="BF2050">
        <f>BE2063-AZ2063</f>
        <v>0</v>
      </c>
      <c r="BG2050" cm="1">
        <f t="array" ref="BG2050">IFERROR(IF(BF2063&lt;0,0,BF2063/($AU$1963-INDEX(hd_off,MATCH(BT2063,hd_mark,0),0)/12)),0)</f>
        <v>0</v>
      </c>
      <c r="BH2050">
        <f>IF(AV2063=0,0,$BG$1963*$AM$1944)</f>
        <v>0</v>
      </c>
      <c r="BI2050">
        <f>IFERROR(BH2063/$AU$1963,0)</f>
        <v>0</v>
      </c>
      <c r="BJ2050">
        <f>BH2063*($F$24+IF($F$24=0,0,($C$14+$C$15+IF($C$13="single",1.5,3)+3)/12))</f>
        <v>0</v>
      </c>
      <c r="BK2050">
        <f>BJ2063-BA2063</f>
        <v>0</v>
      </c>
      <c r="BL2050" cm="1">
        <f t="array" ref="BL2050">IFERROR(IF(BK2063&lt;0,0,BK2063/($AU$1963-INDEX(hd_off,MATCH(BT2063,hd_mark,0),0)/12)),0)</f>
        <v>0</v>
      </c>
      <c r="BM2050">
        <f>MAX($F$24,$BE$1963)/$Q$1972</f>
        <v>0</v>
      </c>
      <c r="BN2050">
        <f>IF(BM2063=0,0,IF(BM2063&gt;2,1.25-0.125*BM2063,1))</f>
        <v>0</v>
      </c>
      <c r="BO2050" cm="1">
        <f t="array" ref="BO2050">IFERROR(INDEX(sheath_ecap_asd,MATCH(BS2063,sheath_mark,0),0)*BN2063,0)</f>
        <v>0</v>
      </c>
      <c r="BP2050" cm="1">
        <f t="array" ref="BP2050">IFERROR(INDEX(sheath_wcap_asd,MATCH(BS2063,sheath_mark,0),0)*BN2063,0)</f>
        <v>0</v>
      </c>
      <c r="BQ2050" cm="1">
        <f t="array" ref="BQ2050">IFERROR(INDEX(hd_cap,MATCH(BT2063,hd_mark,0),0),0)</f>
        <v>0</v>
      </c>
      <c r="BS2050" s="19"/>
      <c r="BT2050" s="19"/>
      <c r="BU2050" s="100"/>
    </row>
    <row r="2051" x14ac:dyDescent="0.25">
      <c r="P2051" s="93"/>
      <c r="Q2051" s="109"/>
      <c r="R2051" t="str">
        <f>$Q$1945</f>
        <v>Roof</v>
      </c>
      <c r="S2051">
        <f>$E$25</f>
        <v>33.171875</v>
      </c>
      <c r="T2051" cm="1">
        <f t="array" ref="T2051">IFERROR(IF(S2051=0,0,(INDEX($C$33:$C$38,MATCH($W$1963,$B$33:$B$38,0),0)*(S2051+$X$1963)+$V$1963*$C$31)*$R$1963),0)</f>
        <v>0</v>
      </c>
      <c r="U2051">
        <f>IF(S2051=0,0,-$V$1963*$C$31*$H$27*$R$1963)</f>
        <v>0</v>
      </c>
      <c r="V2051">
        <f>IF(S2051=0,0,$V$1963*$H$26*$R$1963)</f>
        <v>0</v>
      </c>
      <c r="W2051">
        <f>(0.6*T2051+0.7*U2051)*$R$1963/2</f>
        <v>0</v>
      </c>
      <c r="X2051">
        <f>T2051*$R$1963/2</f>
        <v>0</v>
      </c>
      <c r="Z2051">
        <f>IF(S2051=0,0,$AD$1963*$AP$1945)</f>
        <v>0</v>
      </c>
      <c r="AA2051">
        <f>IFERROR(Z2051/$R$1963,0)</f>
        <v>0</v>
      </c>
      <c r="AB2051">
        <f>Z2051*($F$25+($C$16+$C$17+IF($C$13="single",1.5,3)+3)/12)</f>
        <v>0</v>
      </c>
      <c r="AC2051">
        <f>AB2051-W2051</f>
        <v>0</v>
      </c>
      <c r="AD2051" cm="1">
        <f t="array" ref="AD2051">IFERROR(IF(AC2051&lt;0,0,AC2051/($R$1963-INDEX(hd_off,MATCH(AQ2051,hd_mark,0),0)/12)),0)</f>
        <v>0</v>
      </c>
      <c r="AE2051">
        <f>IF(S2051=0,0,$AD$1963*$AM$1945)</f>
        <v>0</v>
      </c>
      <c r="AF2051">
        <f>IFERROR(AE2051/$R$1963,0)</f>
        <v>0</v>
      </c>
      <c r="AG2051">
        <f>AE2051*($F$25+($C$16+$C$17+IF($C$13="single",1.5,3)+3)/12)</f>
        <v>0</v>
      </c>
      <c r="AH2051">
        <f>AG2051-X2051</f>
        <v>0</v>
      </c>
      <c r="AI2051" cm="1">
        <f t="array" ref="AI2051">IFERROR(IF(AH2051&lt;0,0,AH2051/($R$1963-INDEX(hd_off,MATCH(AQ2051,hd_mark,0),0)/12)),0)</f>
        <v>0</v>
      </c>
      <c r="AJ2051">
        <f>MAX($F$25,$AC$1963)/$Q$1972</f>
        <v>0.29920977011494249</v>
      </c>
      <c r="AK2051">
        <f t="shared" si="1257"/>
        <v>1</v>
      </c>
      <c r="AL2051" cm="1">
        <f t="array" ref="AL2051">IFERROR(INDEX(sheath_ecap_asd,MATCH(AP2051,sheath_mark,0),0)*AK2051,0)</f>
        <v>0</v>
      </c>
      <c r="AM2051" cm="1">
        <f t="array" ref="AM2051">IFERROR(INDEX(sheath_wcap_asd,MATCH(AP2051,sheath_mark,0),0)*AK2051,0)</f>
        <v>0</v>
      </c>
      <c r="AN2051" cm="1">
        <f t="array" ref="AN2051">IFERROR(INDEX(hd_cap,MATCH(AQ2051,hd_mark,0),0),0)</f>
        <v>0</v>
      </c>
      <c r="AP2051" s="19"/>
      <c r="AQ2051" s="19"/>
      <c r="AR2051" s="100"/>
      <c r="AS2051" s="93"/>
      <c r="AT2051" s="109"/>
      <c r="AU2051" t="str">
        <f>$Q$1945</f>
        <v>Roof</v>
      </c>
      <c r="AV2051">
        <f>$E$25</f>
        <v>33.171875</v>
      </c>
      <c r="AW2051" cm="1">
        <f t="array" ref="AW2051">IFERROR(IF(AV2051=0,0,(INDEX($C$33:$C$38,MATCH($AZ$1963,$B$33:$B$38,0),0)*(AV2051+$BA$1963)+$AY$1963*$C$31)*$AU$1963),0)</f>
        <v>0</v>
      </c>
      <c r="AX2051">
        <f>IF(AV2051=0,0,-$AY$1963*$C$31*$H$27*$AU$1963)</f>
        <v>0</v>
      </c>
      <c r="AY2051">
        <f>IF(AV2051=0,0,$AY$1963*$H$26*$AU$1963)</f>
        <v>0</v>
      </c>
      <c r="AZ2051">
        <f>(0.6*AW2051+0.7*AX2051)*$AU$1963/2</f>
        <v>0</v>
      </c>
      <c r="BA2051">
        <f>AW2051*$AU$1963/2</f>
        <v>0</v>
      </c>
      <c r="BC2051">
        <f>IF(AV2051=0,0,$BG$1963*$AP$1945)</f>
        <v>0</v>
      </c>
      <c r="BD2051">
        <f>IFERROR(BC2051/$AU$1963,0)</f>
        <v>0</v>
      </c>
      <c r="BE2051">
        <f>BC2051*($F$25+($C$16+$C$17+IF($C$13="single",1.5,3)+3)/12)</f>
        <v>0</v>
      </c>
      <c r="BF2051">
        <f>BE2051-AZ2051</f>
        <v>0</v>
      </c>
      <c r="BG2051" cm="1">
        <f t="array" ref="BG2051">IFERROR(IF(BF2051&lt;0,0,BF2051/($AU$1963-INDEX(hd_off,MATCH(BT2051,hd_mark,0),0)/12)),0)</f>
        <v>0</v>
      </c>
      <c r="BH2051">
        <f>IF(AV2051=0,0,$BG$1963*$AM$1945)</f>
        <v>0</v>
      </c>
      <c r="BI2051">
        <f>IFERROR(BH2051/$AU$1963,0)</f>
        <v>0</v>
      </c>
      <c r="BJ2051">
        <f>BH2051*($F$25+($C$16+$C$17+IF($C$13="single",1.5,3)+3)/12)</f>
        <v>0</v>
      </c>
      <c r="BK2051">
        <f>BJ2051-BA2051</f>
        <v>0</v>
      </c>
      <c r="BL2051" cm="1">
        <f t="array" ref="BL2051">IFERROR(IF(BK2051&lt;0,0,BK2051/($AU$1963-INDEX(hd_off,MATCH(BT2051,hd_mark,0),0)/12)),0)</f>
        <v>0</v>
      </c>
      <c r="BM2051">
        <f>MAX($F$25,$BF$1963)/$Q$1972</f>
        <v>0.29920977011494249</v>
      </c>
      <c r="BN2051">
        <f t="shared" ref="BN2051" si="1259">IF(BM2051=0,0,IF(BM2051&gt;2,1.25-0.125*BM2051,1))</f>
        <v>1</v>
      </c>
      <c r="BO2051" cm="1">
        <f t="array" ref="BO2051">IFERROR(INDEX(sheath_ecap_asd,MATCH(BS2051,sheath_mark,0),0)*BN2051,0)</f>
        <v>0</v>
      </c>
      <c r="BP2051" cm="1">
        <f t="array" ref="BP2051">IFERROR(INDEX(sheath_wcap_asd,MATCH(BS2051,sheath_mark,0),0)*BN2051,0)</f>
        <v>0</v>
      </c>
      <c r="BQ2051" cm="1">
        <f t="array" ref="BQ2051">IFERROR(INDEX(hd_cap,MATCH(BT2051,hd_mark,0),0),0)</f>
        <v>0</v>
      </c>
      <c r="BS2051" s="19"/>
      <c r="BT2051" s="19"/>
      <c r="BU2051" s="100"/>
    </row>
    <row r="2052" x14ac:dyDescent="0.25">
      <c r="P2052" s="93"/>
      <c r="AR2052" s="100"/>
      <c r="AS2052" s="93"/>
      <c r="BU2052" s="100"/>
    </row>
    <row r="2053" x14ac:dyDescent="0.25">
      <c r="P2053" s="93"/>
      <c r="Q2053" s="110" t="str">
        <f>$Q$1964</f>
        <v>A.15</v>
      </c>
      <c r="R2053" t="str">
        <f>$Q$1941</f>
        <v>L2</v>
      </c>
      <c r="S2053">
        <f>$E$21</f>
        <v>10.6875</v>
      </c>
      <c r="T2053" cm="1">
        <f t="array" ref="T2053">IFERROR(IF(S2053=0,0,(INDEX($C$33:$C$38,MATCH($W$1964,$B$33:$B$38,0),0)*(S2057+$X$1964)+$T$1964*COUNTIF(S2053:S2056,"&gt;0")*$C$32+$V$1964*$C$31)*$R$1964),0)</f>
        <v>0</v>
      </c>
      <c r="U2053">
        <f>IF(S2053=0,0,-(COUNTIF(S2053:S2056,"&gt;0")*$T$1964*$C$32+$V$1964*$C$31)*$H$27*$R$1964)</f>
        <v>0</v>
      </c>
      <c r="V2053">
        <f>IF(S2053=0,0,$V$1964*$H$26*$R$1964)</f>
        <v>0</v>
      </c>
      <c r="W2053">
        <f>(0.6*T2053+0.7*U2053)*$R$1964/2</f>
        <v>0</v>
      </c>
      <c r="X2053">
        <f>(0.6*T2053+0.6*V2053)*$R$1964/2</f>
        <v>0</v>
      </c>
      <c r="Z2053">
        <f>IF(S2053=0,0,$AD$1964*$AP$1941)</f>
        <v>0</v>
      </c>
      <c r="AA2053">
        <f>IFERROR(Z2053/$R$1964,0)</f>
        <v>0</v>
      </c>
      <c r="AB2053">
        <f>Z2053*($F$21+IF($F$21=0,0,($C$14+$C$15+IF($C$13="single",1.5,3)+3)/12))</f>
        <v>0</v>
      </c>
      <c r="AC2053">
        <f>AB2053-W2053</f>
        <v>0</v>
      </c>
      <c r="AD2053" cm="1">
        <f t="array" ref="AD2053">IFERROR(IF(AC2053&lt;0,0,AC2053/($R$1964-INDEX(hd_off,MATCH(AQ2053,hd_mark,0),0)/12)),0)</f>
        <v>0</v>
      </c>
      <c r="AE2053">
        <f>IF(S2053=0,0,$AD$1964*$AM$1941)</f>
        <v>0</v>
      </c>
      <c r="AF2053">
        <f>IFERROR(AE2053/$R$1964,0)</f>
        <v>0</v>
      </c>
      <c r="AG2053">
        <f>AE2053*($F$21+IF($F$21=0,0,($C$14+$C$15+IF($C$13="single",1.5,3)+3)/12))</f>
        <v>0</v>
      </c>
      <c r="AH2053">
        <f>AG2053-X2053</f>
        <v>0</v>
      </c>
      <c r="AI2053" cm="1">
        <f t="array" ref="AI2053">IFERROR(IF(AH2053&lt;0,0,AH2053/($R$1964-INDEX(hd_off,MATCH(AQ2053,hd_mark,0),0)/12)),0)</f>
        <v>0</v>
      </c>
      <c r="AJ2053">
        <f>MAX($F$21,$Y$1964)/$Q$1972</f>
        <v>0.30172413793103448</v>
      </c>
      <c r="AK2053">
        <f>IF(AJ2053=0,0,IF(AJ2053&gt;2,1.25-0.125*AJ2053,1))</f>
        <v>1</v>
      </c>
      <c r="AL2053" cm="1">
        <f t="array" ref="AL2053">IFERROR(INDEX(sheath_ecap_asd,MATCH(AP2053,sheath_mark,0),0)*AK2053,0)</f>
        <v>0</v>
      </c>
      <c r="AM2053" cm="1">
        <f t="array" ref="AM2053">IFERROR(INDEX(sheath_wcap_asd,MATCH(AP2053,sheath_mark,0),0)*AK2053,0)</f>
        <v>0</v>
      </c>
      <c r="AN2053" cm="1">
        <f t="array" ref="AN2053">IFERROR(INDEX(hd_cap,MATCH(AQ2053,hd_mark,0),0),0)</f>
        <v>0</v>
      </c>
      <c r="AP2053" s="19"/>
      <c r="AQ2053" s="19"/>
      <c r="AR2053" s="100"/>
      <c r="AS2053" s="93"/>
      <c r="AT2053" s="110" t="str">
        <f>$AT$1964</f>
        <v>1.15</v>
      </c>
      <c r="AU2053" t="str">
        <f>$Q$1941</f>
        <v>L2</v>
      </c>
      <c r="AV2053">
        <f>$E$21</f>
        <v>10.6875</v>
      </c>
      <c r="AW2053" cm="1">
        <f t="array" ref="AW2053">IFERROR(IF(AV2053=0,0,(INDEX($C$33:$C$38,MATCH($AZ$1964,$B$33:$B$38,0),0)*(AV2057+$BA$1964)+$AW$1964*COUNTIF(AV2053:AV2056,"&gt;0")*$C$32+$AY$1964*$C$31)*$AU$1964),0)</f>
        <v>0</v>
      </c>
      <c r="AX2053">
        <f>IF(AV2053=0,0,-(COUNTIF(AV2053:AV2056,"&gt;0")*$AW$1964*$C$32+$AY$1964*$C$31)*$H$27*$AU$1964)</f>
        <v>0</v>
      </c>
      <c r="AY2053">
        <f>IF(AV2053=0,0,$AY$1964*$H$26*$AU$1964)</f>
        <v>0</v>
      </c>
      <c r="AZ2053">
        <f>(0.6*AW2053+0.7*AX2053)*$AU$1964/2</f>
        <v>0</v>
      </c>
      <c r="BA2053">
        <f>(0.6*AW2053+0.6*AY2053)*$AU$1964/2</f>
        <v>0</v>
      </c>
      <c r="BC2053">
        <f>IF(AV2053=0,0,$BG$1964*$AP$1941)</f>
        <v>0</v>
      </c>
      <c r="BD2053">
        <f>IFERROR(BC2053/$AU$1964,0)</f>
        <v>0</v>
      </c>
      <c r="BE2053">
        <f>BC2053*($F$21+IF($F$21=0,0,($C$14+$C$15+IF($C$13="single",1.5,3)+3)/12))</f>
        <v>0</v>
      </c>
      <c r="BF2053">
        <f>BE2053-AZ2053</f>
        <v>0</v>
      </c>
      <c r="BG2053" cm="1">
        <f t="array" ref="BG2053">IFERROR(IF(BF2053&lt;0,0,BF2053/($AU$1964-INDEX(hd_off,MATCH(BT2053,hd_mark,0),0)/12)),0)</f>
        <v>0</v>
      </c>
      <c r="BH2053">
        <f>IF(AV2053=0,0,$BG$1964*$AM$1941)</f>
        <v>0</v>
      </c>
      <c r="BI2053">
        <f>IFERROR(BH2053/$AU$1964,0)</f>
        <v>0</v>
      </c>
      <c r="BJ2053">
        <f>BH2053*($F$21+IF($F$21=0,0,($C$14+$C$15+IF($C$13="single",1.5,3)+3)/12))</f>
        <v>0</v>
      </c>
      <c r="BK2053">
        <f>BJ2053-BA2053</f>
        <v>0</v>
      </c>
      <c r="BL2053" cm="1">
        <f t="array" ref="BL2053">IFERROR(IF(BK2053&lt;0,0,BK2053/($AU$1964-INDEX(hd_off,MATCH(BT2053,hd_mark,0),0)/12)),0)</f>
        <v>0</v>
      </c>
      <c r="BM2053">
        <f>MAX($F$21,$BB$1964)/$Q$1972</f>
        <v>0.30172413793103448</v>
      </c>
      <c r="BN2053">
        <f>IF(BM2053=0,0,IF(BM2053&gt;2,1.25-0.125*BM2053,1))</f>
        <v>1</v>
      </c>
      <c r="BO2053" cm="1">
        <f t="array" ref="BO2053">IFERROR(INDEX(sheath_ecap_asd,MATCH(BS2053,sheath_mark,0),0)*BN2053,0)</f>
        <v>0</v>
      </c>
      <c r="BP2053" cm="1">
        <f t="array" ref="BP2053">IFERROR(INDEX(sheath_wcap_asd,MATCH(BS2053,sheath_mark,0),0)*BN2053,0)</f>
        <v>0</v>
      </c>
      <c r="BQ2053" cm="1">
        <f t="array" ref="BQ2053">IFERROR(INDEX(hd_cap,MATCH(BT2053,hd_mark,0),0),0)</f>
        <v>0</v>
      </c>
      <c r="BS2053" s="19"/>
      <c r="BT2053" s="19"/>
      <c r="BU2053" s="100"/>
    </row>
    <row r="2054" x14ac:dyDescent="0.25">
      <c r="P2054" s="93"/>
      <c r="Q2054" s="109"/>
      <c r="R2054" t="str">
        <f>$Q$1942</f>
        <v>L3</v>
      </c>
      <c r="S2054">
        <f>$E$22</f>
        <v>21.375</v>
      </c>
      <c r="T2054" cm="1">
        <f t="array" ref="T2054">IFERROR(IF(S2054=0,0,(INDEX($C$33:$C$38,MATCH($W$1964,$B$33:$B$38,0),0)*(S2057+$X$1964)+$T$1964*COUNTIF(S2054:S2056,"&gt;0")*$C$32+$V$1964*$C$31)*$R$1964),0)</f>
        <v>0</v>
      </c>
      <c r="U2054">
        <f>IF(S2054=0,0,-(COUNTIF(S2054:S2056,"&gt;0")*$T$1964*$C$32+$V$1964*$C$31)*$H$27*$R$1964)</f>
        <v>0</v>
      </c>
      <c r="V2054">
        <f>IF(S2054=0,0,$V$1964*$H$26*$R$1964)</f>
        <v>0</v>
      </c>
      <c r="W2054">
        <f>(0.6*T2054+0.7*U2054)*$R$1964/2</f>
        <v>0</v>
      </c>
      <c r="X2054">
        <f>T2054*$R$1964/2</f>
        <v>0</v>
      </c>
      <c r="Z2054">
        <f>IF(S2054=0,0,$AD$1964*$AP$1942)</f>
        <v>0</v>
      </c>
      <c r="AA2054">
        <f>IFERROR(Z2054/$R$1964,0)</f>
        <v>0</v>
      </c>
      <c r="AB2054">
        <f>Z2054*($F$22+IF($F$22=0,0,($C$14+$C$15+IF($C$13="single",1.5,3)+3)/12))</f>
        <v>0</v>
      </c>
      <c r="AC2054">
        <f>AB2054-W2054</f>
        <v>0</v>
      </c>
      <c r="AD2054" cm="1">
        <f t="array" ref="AD2054">IFERROR(IF(AC2054&lt;0,0,AC2054/($R$1964-INDEX(hd_off,MATCH(AQ2054,hd_mark,0),0)/12)),0)</f>
        <v>0</v>
      </c>
      <c r="AE2054">
        <f>IF(S2054=0,0,$AD$1964*$AM$1942)</f>
        <v>0</v>
      </c>
      <c r="AF2054">
        <f>IFERROR(AE2054/$R$1964,0)</f>
        <v>0</v>
      </c>
      <c r="AG2054">
        <f>AE2054*($F$22+IF($F$22=0,0,($C$14+$C$15+IF($C$13="single",1.5,3)+3)/12))</f>
        <v>0</v>
      </c>
      <c r="AH2054">
        <f>AG2054-X2054</f>
        <v>0</v>
      </c>
      <c r="AI2054" cm="1">
        <f t="array" ref="AI2054">IFERROR(IF(AH2054&lt;0,0,AH2054/($R$1964-INDEX(hd_off,MATCH(AQ2054,hd_mark,0),0)/12)),0)</f>
        <v>0</v>
      </c>
      <c r="AJ2054">
        <f>MAX($F$22,$Z$1964)/$Q$1972</f>
        <v>0.30172413793103448</v>
      </c>
      <c r="AK2054">
        <f t="shared" ref="AK2054:AK2057" si="1260">IF(AJ2054=0,0,IF(AJ2054&gt;2,1.25-0.125*AJ2054,1))</f>
        <v>1</v>
      </c>
      <c r="AL2054" cm="1">
        <f t="array" ref="AL2054">IFERROR(INDEX(sheath_ecap_asd,MATCH(AP2054,sheath_mark,0),0)*AK2054,0)</f>
        <v>0</v>
      </c>
      <c r="AM2054" cm="1">
        <f t="array" ref="AM2054">IFERROR(INDEX(sheath_wcap_asd,MATCH(AP2054,sheath_mark,0),0)*AK2054,0)</f>
        <v>0</v>
      </c>
      <c r="AN2054" cm="1">
        <f t="array" ref="AN2054">IFERROR(INDEX(hd_cap,MATCH(AQ2054,hd_mark,0),0),0)</f>
        <v>0</v>
      </c>
      <c r="AP2054" s="19"/>
      <c r="AQ2054" s="19"/>
      <c r="AR2054" s="100"/>
      <c r="AS2054" s="93"/>
      <c r="AT2054" s="109"/>
      <c r="AU2054" t="str">
        <f>$Q$1942</f>
        <v>L3</v>
      </c>
      <c r="AV2054">
        <f>$E$22</f>
        <v>21.375</v>
      </c>
      <c r="AW2054" cm="1">
        <f t="array" ref="AW2054">IFERROR(IF(AV2054=0,0,(INDEX($C$33:$C$38,MATCH($AZ$1964,$B$33:$B$38,0),0)*(AV2057+$BA$1964)+$AW$1964*COUNTIF(AV2054:AV2056,"&gt;0")*$C$32+$AY$1964*$C$31)*$AU$1964),0)</f>
        <v>0</v>
      </c>
      <c r="AX2054">
        <f>IF(AV2054=0,0,-(COUNTIF(AV2054:AV2056,"&gt;0")*$AW$1964*$C$32+$AY$1964*$C$31)*$H$27*$AU$1964)</f>
        <v>0</v>
      </c>
      <c r="AY2054">
        <f>IF(AV2054=0,0,$AY$1964*$H$26*$AU$1964)</f>
        <v>0</v>
      </c>
      <c r="AZ2054">
        <f>(0.6*AW2054+0.7*AX2054)*$AU$1964/2</f>
        <v>0</v>
      </c>
      <c r="BA2054">
        <f>AW2054*$AU$1964/2</f>
        <v>0</v>
      </c>
      <c r="BC2054">
        <f>IF(AV2054=0,0,$BG$1964*$AP$1942)</f>
        <v>0</v>
      </c>
      <c r="BD2054">
        <f>IFERROR(BC2054/$AU$1964,0)</f>
        <v>0</v>
      </c>
      <c r="BE2054">
        <f>BC2054*($F$22+IF($F$22=0,0,($C$14+$C$15+IF($C$13="single",1.5,3)+3)/12))</f>
        <v>0</v>
      </c>
      <c r="BF2054">
        <f>BE2054-AZ2054</f>
        <v>0</v>
      </c>
      <c r="BG2054" cm="1">
        <f t="array" ref="BG2054">IFERROR(IF(BF2054&lt;0,0,BF2054/($AU$1964-INDEX(hd_off,MATCH(BT2054,hd_mark,0),0)/12)),0)</f>
        <v>0</v>
      </c>
      <c r="BH2054">
        <f>IF(AV2054=0,0,$BG$1964*$AM$1942)</f>
        <v>0</v>
      </c>
      <c r="BI2054">
        <f>IFERROR(BH2054/$AU$1964,0)</f>
        <v>0</v>
      </c>
      <c r="BJ2054">
        <f>BH2054*($F$22+IF($F$22=0,0,($C$14+$C$15+IF($C$13="single",1.5,3)+3)/12))</f>
        <v>0</v>
      </c>
      <c r="BK2054">
        <f>BJ2054-BA2054</f>
        <v>0</v>
      </c>
      <c r="BL2054" cm="1">
        <f t="array" ref="BL2054">IFERROR(IF(BK2054&lt;0,0,BK2054/($AU$1964-INDEX(hd_off,MATCH(BT2054,hd_mark,0),0)/12)),0)</f>
        <v>0</v>
      </c>
      <c r="BM2054">
        <f>MAX($F$22,$BC$1964)/$Q$1972</f>
        <v>0.30172413793103448</v>
      </c>
      <c r="BN2054">
        <f t="shared" ref="BN2054:BN2057" si="1261">IF(BM2054=0,0,IF(BM2054&gt;2,1.25-0.125*BM2054,1))</f>
        <v>1</v>
      </c>
      <c r="BO2054" cm="1">
        <f t="array" ref="BO2054">IFERROR(INDEX(sheath_ecap_asd,MATCH(BS2054,sheath_mark,0),0)*BN2054,0)</f>
        <v>0</v>
      </c>
      <c r="BP2054" cm="1">
        <f t="array" ref="BP2054">IFERROR(INDEX(sheath_wcap_asd,MATCH(BS2054,sheath_mark,0),0)*BN2054,0)</f>
        <v>0</v>
      </c>
      <c r="BQ2054" cm="1">
        <f t="array" ref="BQ2054">IFERROR(INDEX(hd_cap,MATCH(BT2054,hd_mark,0),0),0)</f>
        <v>0</v>
      </c>
      <c r="BS2054" s="19"/>
      <c r="BT2054" s="19"/>
      <c r="BU2054" s="100"/>
    </row>
    <row r="2055" x14ac:dyDescent="0.25">
      <c r="P2055" s="93"/>
      <c r="Q2055" s="109" t="s">
        <v>491</v>
      </c>
      <c r="R2055" t="str">
        <f>$Q$1943</f>
        <v>L4</v>
      </c>
      <c r="S2055">
        <f>$E$23</f>
        <v>0</v>
      </c>
      <c r="T2055" cm="1">
        <f t="array" ref="T2055">IFERROR(IF(S2055=0,0,(INDEX($C$33:$C$38,MATCH($W$1964,$B$33:$B$38,0),0)*(S2057+$X$1964)+$T$1964*COUNTIF(S2055:S2056,"&gt;0")*$C$32+$V$1964*$C$31)*$R$1964),0)</f>
        <v>0</v>
      </c>
      <c r="U2055">
        <f>IF(S2055=0,0,-(COUNTIF(S2055:S2056,"&gt;0")*$T$1964*$C$32+$V$1964*$C$31)*$H$27*$R$1964)</f>
        <v>0</v>
      </c>
      <c r="V2055">
        <f>IF(S2055=0,0,$V$1964*$H$26*$R$1964)</f>
        <v>0</v>
      </c>
      <c r="W2055">
        <f>(0.6*T2055+0.7*U2055)*$R$1964/2</f>
        <v>0</v>
      </c>
      <c r="X2055">
        <f>T2055*$R$1964/2</f>
        <v>0</v>
      </c>
      <c r="Z2055">
        <f>IF(S2055=0,0,$AD$1964*$AP$1943)</f>
        <v>0</v>
      </c>
      <c r="AA2055">
        <f>IFERROR(Z2055/$R$1964,0)</f>
        <v>0</v>
      </c>
      <c r="AB2055">
        <f>Z2055*($F$23+IF($F$23=0,0,($C$14+$C$15+IF($C$13="single",1.5,3)+3)/12))</f>
        <v>0</v>
      </c>
      <c r="AC2055">
        <f>AB2055-W2055</f>
        <v>0</v>
      </c>
      <c r="AD2055" cm="1">
        <f t="array" ref="AD2055">IFERROR(IF(AC2055&lt;0,0,AC2055/($R$1964-INDEX(hd_off,MATCH(AQ2055,hd_mark,0),0)/12)),0)</f>
        <v>0</v>
      </c>
      <c r="AE2055">
        <f>IF(S2055=0,0,$AD$1964*$AM$1943)</f>
        <v>0</v>
      </c>
      <c r="AF2055">
        <f>IFERROR(AE2055/$R$1964,0)</f>
        <v>0</v>
      </c>
      <c r="AG2055">
        <f>AE2055*($F$23+IF($F$23=0,0,($C$14+$C$15+IF($C$13="single",1.5,3)+3)/12))</f>
        <v>0</v>
      </c>
      <c r="AH2055">
        <f>AG2055-X2055</f>
        <v>0</v>
      </c>
      <c r="AI2055" cm="1">
        <f t="array" ref="AI2055">IFERROR(IF(AH2055&lt;0,0,AH2055/($R$1964-INDEX(hd_off,MATCH(AQ2055,hd_mark,0),0)/12)),0)</f>
        <v>0</v>
      </c>
      <c r="AJ2055">
        <f>MAX($F$23,$AA$1964)/$Q$1972</f>
        <v>0</v>
      </c>
      <c r="AK2055">
        <f t="shared" si="1260"/>
        <v>0</v>
      </c>
      <c r="AL2055" cm="1">
        <f t="array" ref="AL2055">IFERROR(INDEX(sheath_ecap_asd,MATCH(AP2055,sheath_mark,0),0)*AK2055,0)</f>
        <v>0</v>
      </c>
      <c r="AM2055" cm="1">
        <f t="array" ref="AM2055">IFERROR(INDEX(sheath_wcap_asd,MATCH(AP2055,sheath_mark,0),0)*AK2055,0)</f>
        <v>0</v>
      </c>
      <c r="AN2055" cm="1">
        <f t="array" ref="AN2055">IFERROR(INDEX(hd_cap,MATCH(AQ2055,hd_mark,0),0),0)</f>
        <v>0</v>
      </c>
      <c r="AP2055" s="19"/>
      <c r="AQ2055" s="19"/>
      <c r="AR2055" s="100"/>
      <c r="AS2055" s="93"/>
      <c r="AT2055" s="109" t="s">
        <v>491</v>
      </c>
      <c r="AU2055" t="str">
        <f>$Q$1943</f>
        <v>L4</v>
      </c>
      <c r="AV2055">
        <f>$E$23</f>
        <v>0</v>
      </c>
      <c r="AW2055" cm="1">
        <f t="array" ref="AW2055">IFERROR(IF(AV2055=0,0,(INDEX($C$33:$C$38,MATCH($AZ$1964,$B$33:$B$38,0),0)*(AV2057+$BA$1964)+$AW$1964*COUNTIF(AV2055:AV2056,"&gt;0")*$C$32+$AY$1964*$C$31)*$AU$1964),0)</f>
        <v>0</v>
      </c>
      <c r="AX2055">
        <f>IF(AV2055=0,0,-(COUNTIF(AV2055:AV2056,"&gt;0")*$AW$1964*$C$32+$AY$1964*$C$31)*$H$27*$AU$1964)</f>
        <v>0</v>
      </c>
      <c r="AY2055">
        <f>IF(AV2055=0,0,$AY$1964*$H$26*$AU$1964)</f>
        <v>0</v>
      </c>
      <c r="AZ2055">
        <f>(0.6*AW2055+0.7*AX2055)*$AU$1964/2</f>
        <v>0</v>
      </c>
      <c r="BA2055">
        <f>AW2055*$AU$1964/2</f>
        <v>0</v>
      </c>
      <c r="BC2055">
        <f>IF(AV2055=0,0,$BG$1964*$AP$1943)</f>
        <v>0</v>
      </c>
      <c r="BD2055">
        <f>IFERROR(BC2055/$AU$1964,0)</f>
        <v>0</v>
      </c>
      <c r="BE2055">
        <f>BC2055*($F$23+IF($F$23=0,0,($C$14+$C$15+IF($C$13="single",1.5,3)+3)/12))</f>
        <v>0</v>
      </c>
      <c r="BF2055">
        <f>BE2055-AZ2055</f>
        <v>0</v>
      </c>
      <c r="BG2055" cm="1">
        <f t="array" ref="BG2055">IFERROR(IF(BF2055&lt;0,0,BF2055/($AU$1964-INDEX(hd_off,MATCH(BT2055,hd_mark,0),0)/12)),0)</f>
        <v>0</v>
      </c>
      <c r="BH2055">
        <f>IF(AV2055=0,0,$BG$1964*$AM$1943)</f>
        <v>0</v>
      </c>
      <c r="BI2055">
        <f>IFERROR(BH2055/$AU$1964,0)</f>
        <v>0</v>
      </c>
      <c r="BJ2055">
        <f>BH2055*($F$23+IF($F$23=0,0,($C$14+$C$15+IF($C$13="single",1.5,3)+3)/12))</f>
        <v>0</v>
      </c>
      <c r="BK2055">
        <f>BJ2055-BA2055</f>
        <v>0</v>
      </c>
      <c r="BL2055" cm="1">
        <f t="array" ref="BL2055">IFERROR(IF(BK2055&lt;0,0,BK2055/($AU$1964-INDEX(hd_off,MATCH(BT2055,hd_mark,0),0)/12)),0)</f>
        <v>0</v>
      </c>
      <c r="BM2055">
        <f>MAX($F$23,$BD$1964)/$Q$1972</f>
        <v>0</v>
      </c>
      <c r="BN2055">
        <f t="shared" si="1261"/>
        <v>0</v>
      </c>
      <c r="BO2055" cm="1">
        <f t="array" ref="BO2055">IFERROR(INDEX(sheath_ecap_asd,MATCH(BS2055,sheath_mark,0),0)*BN2055,0)</f>
        <v>0</v>
      </c>
      <c r="BP2055" cm="1">
        <f t="array" ref="BP2055">IFERROR(INDEX(sheath_wcap_asd,MATCH(BS2055,sheath_mark,0),0)*BN2055,0)</f>
        <v>0</v>
      </c>
      <c r="BQ2055" cm="1">
        <f t="array" ref="BQ2055">IFERROR(INDEX(hd_cap,MATCH(BT2055,hd_mark,0),0),0)</f>
        <v>0</v>
      </c>
      <c r="BS2055" s="19"/>
      <c r="BT2055" s="19"/>
      <c r="BU2055" s="100"/>
    </row>
    <row r="2056" x14ac:dyDescent="0.25">
      <c r="P2056" s="93"/>
      <c r="Q2056" s="111">
        <f>$R$1964</f>
        <v>0</v>
      </c>
      <c r="R2056" t="str">
        <f>$Q$1944</f>
        <v>L5</v>
      </c>
      <c r="S2056">
        <f>$E$24</f>
        <v>0</v>
      </c>
      <c r="T2056" cm="1">
        <f t="array" ref="T2056">IFERROR(IF(S2056=0,0,(INDEX($C$33:$C$38,MATCH($W$1964,$B$33:$B$38,0),0)*(S2057+$X$1964)+$T$1964*COUNTIF(S2056:S2056,"&gt;0")*$C$32+$V$1964*$C$31)*$R$1964),0)</f>
        <v>0</v>
      </c>
      <c r="U2056">
        <f>IF(S2056=0,0,-(COUNTIF(S2056:S2056,"&gt;0")*$T$1964*$C$32+$V$1964*$C$31)*$H$27*$R$1964)</f>
        <v>0</v>
      </c>
      <c r="V2056">
        <f>IF(S2056=0,0,$V$1964*$H$26*$R$1964)</f>
        <v>0</v>
      </c>
      <c r="W2056">
        <f>(0.6*T2056+0.7*U2056)*$R$1964/2</f>
        <v>0</v>
      </c>
      <c r="X2056">
        <f>T2056*$R$1964/2</f>
        <v>0</v>
      </c>
      <c r="Z2056">
        <f>IF(S2056=0,0,$AD$1964*$AP$1944)</f>
        <v>0</v>
      </c>
      <c r="AA2056">
        <f>IFERROR(Z2056/$R$1964,0)</f>
        <v>0</v>
      </c>
      <c r="AB2056">
        <f>Z2056*($F$24+IF($F$24=0,0,($C$14+$C$15+IF($C$13="single",1.5,3)+3)/12))</f>
        <v>0</v>
      </c>
      <c r="AC2056">
        <f>AB2056-W2056</f>
        <v>0</v>
      </c>
      <c r="AD2056" cm="1">
        <f t="array" ref="AD2056">IFERROR(IF(AC2056&lt;0,0,AC2056/($R$1964-INDEX(hd_off,MATCH(AQ2056,hd_mark,0),0)/12)),0)</f>
        <v>0</v>
      </c>
      <c r="AE2056">
        <f>IF(S2056=0,0,$AD$1964*$AM$1944)</f>
        <v>0</v>
      </c>
      <c r="AF2056">
        <f>IFERROR(AE2056/$R$1964,0)</f>
        <v>0</v>
      </c>
      <c r="AG2056">
        <f>AE2056*($F$24+IF($F$24=0,0,($C$14+$C$15+IF($C$13="single",1.5,3)+3)/12))</f>
        <v>0</v>
      </c>
      <c r="AH2056">
        <f>AG2056-X2056</f>
        <v>0</v>
      </c>
      <c r="AI2056" cm="1">
        <f t="array" ref="AI2056">IFERROR(IF(AH2056&lt;0,0,AH2056/($R$1964-INDEX(hd_off,MATCH(AQ2056,hd_mark,0),0)/12)),0)</f>
        <v>0</v>
      </c>
      <c r="AJ2056">
        <f>MAX($F$24,$AB$1964)/$Q$1972</f>
        <v>0</v>
      </c>
      <c r="AK2056">
        <f t="shared" si="1260"/>
        <v>0</v>
      </c>
      <c r="AL2056" cm="1">
        <f t="array" ref="AL2056">IFERROR(INDEX(sheath_ecap_asd,MATCH(AP2056,sheath_mark,0),0)*AK2056,0)</f>
        <v>0</v>
      </c>
      <c r="AM2056" cm="1">
        <f t="array" ref="AM2056">IFERROR(INDEX(sheath_wcap_asd,MATCH(AP2056,sheath_mark,0),0)*AK2056,0)</f>
        <v>0</v>
      </c>
      <c r="AN2056" cm="1">
        <f t="array" ref="AN2056">IFERROR(INDEX(hd_cap,MATCH(AQ2056,hd_mark,0),0),0)</f>
        <v>0</v>
      </c>
      <c r="AP2056" s="19"/>
      <c r="AQ2056" s="19"/>
      <c r="AR2056" s="100"/>
      <c r="AS2056" s="93"/>
      <c r="AT2056" s="111">
        <f>$R$1964</f>
        <v>0</v>
      </c>
      <c r="AU2056" t="str">
        <f>$Q$1944</f>
        <v>L5</v>
      </c>
      <c r="AV2056">
        <f>$E$24</f>
        <v>0</v>
      </c>
      <c r="AW2056" cm="1">
        <f t="array" ref="AW2056">IFERROR(IF(AV2056=0,0,(INDEX($C$33:$C$38,MATCH($AZ$1964,$B$33:$B$38,0),0)*(AV2057+$BA$1964)+$AW$1964*COUNTIF(AV2056:AV2056,"&gt;0")*$C$32+$AY$1964*$C$31)*$AU$1964),0)</f>
        <v>0</v>
      </c>
      <c r="AX2056">
        <f>IF(AV2056=0,0,-(COUNTIF(AV2056:AV2056,"&gt;0")*$AW$1964*$C$32+$AY$1964*$C$31)*$H$27*$AU$1964)</f>
        <v>0</v>
      </c>
      <c r="AY2056">
        <f>IF(AV2056=0,0,$AY$1964*$H$26*$AU$1964)</f>
        <v>0</v>
      </c>
      <c r="AZ2056">
        <f>(0.6*AW2056+0.7*AX2056)*$AU$1964/2</f>
        <v>0</v>
      </c>
      <c r="BA2056">
        <f>AW2056*$AU$1964/2</f>
        <v>0</v>
      </c>
      <c r="BC2056">
        <f>IF(AV2056=0,0,$BG$1964*$AP$1944)</f>
        <v>0</v>
      </c>
      <c r="BD2056">
        <f>IFERROR(BC2056/$AU$1964,0)</f>
        <v>0</v>
      </c>
      <c r="BE2056">
        <f>BC2056*($F$24+IF($F$24=0,0,($C$14+$C$15+IF($C$13="single",1.5,3)+3)/12))</f>
        <v>0</v>
      </c>
      <c r="BF2056">
        <f>BE2056-AZ2056</f>
        <v>0</v>
      </c>
      <c r="BG2056" cm="1">
        <f t="array" ref="BG2056">IFERROR(IF(BF2056&lt;0,0,BF2056/($AU$1964-INDEX(hd_off,MATCH(BT2056,hd_mark,0),0)/12)),0)</f>
        <v>0</v>
      </c>
      <c r="BH2056">
        <f>IF(AV2056=0,0,$BG$1964*$AM$1944)</f>
        <v>0</v>
      </c>
      <c r="BI2056">
        <f>IFERROR(BH2056/$AU$1964,0)</f>
        <v>0</v>
      </c>
      <c r="BJ2056">
        <f>BH2056*($F$24+IF($F$24=0,0,($C$14+$C$15+IF($C$13="single",1.5,3)+3)/12))</f>
        <v>0</v>
      </c>
      <c r="BK2056">
        <f>BJ2056-BA2056</f>
        <v>0</v>
      </c>
      <c r="BL2056" cm="1">
        <f t="array" ref="BL2056">IFERROR(IF(BK2056&lt;0,0,BK2056/($AU$1964-INDEX(hd_off,MATCH(BT2056,hd_mark,0),0)/12)),0)</f>
        <v>0</v>
      </c>
      <c r="BM2056">
        <f>MAX($F$24,$BE$1964)/$Q$1972</f>
        <v>0</v>
      </c>
      <c r="BN2056">
        <f t="shared" si="1261"/>
        <v>0</v>
      </c>
      <c r="BO2056" cm="1">
        <f t="array" ref="BO2056">IFERROR(INDEX(sheath_ecap_asd,MATCH(BS2056,sheath_mark,0),0)*BN2056,0)</f>
        <v>0</v>
      </c>
      <c r="BP2056" cm="1">
        <f t="array" ref="BP2056">IFERROR(INDEX(sheath_wcap_asd,MATCH(BS2056,sheath_mark,0),0)*BN2056,0)</f>
        <v>0</v>
      </c>
      <c r="BQ2056" cm="1">
        <f t="array" ref="BQ2056">IFERROR(INDEX(hd_cap,MATCH(BT2056,hd_mark,0),0),0)</f>
        <v>0</v>
      </c>
      <c r="BS2056" s="19"/>
      <c r="BT2056" s="19"/>
      <c r="BU2056" s="100"/>
    </row>
    <row r="2057" x14ac:dyDescent="0.25">
      <c r="P2057" s="93"/>
      <c r="Q2057" s="109"/>
      <c r="R2057" t="str">
        <f>$Q$1945</f>
        <v>Roof</v>
      </c>
      <c r="S2057">
        <f>$E$25</f>
        <v>33.171875</v>
      </c>
      <c r="T2057" cm="1">
        <f t="array" ref="T2057">IFERROR(IF(S2057=0,0,(INDEX($C$33:$C$38,MATCH($W$1964,$B$33:$B$38,0),0)*(S2057+$X$1964)+$V$1964*$C$31)*$R$1964),0)</f>
        <v>0</v>
      </c>
      <c r="U2057">
        <f>IF(S2057=0,0,-$V$1964*$C$31*$H$27*$R$1964)</f>
        <v>0</v>
      </c>
      <c r="V2057">
        <f>IF(S2057=0,0,$V$1964*$H$26*$R$1964)</f>
        <v>0</v>
      </c>
      <c r="W2057">
        <f>(0.6*T2057+0.7*U2057)*$R$1964/2</f>
        <v>0</v>
      </c>
      <c r="X2057">
        <f>T2057*$R$1964/2</f>
        <v>0</v>
      </c>
      <c r="Z2057">
        <f>IF(S2057=0,0,$AD$1964*$AP$1945)</f>
        <v>0</v>
      </c>
      <c r="AA2057">
        <f>IFERROR(Z2057/$R$1964,0)</f>
        <v>0</v>
      </c>
      <c r="AB2057">
        <f>Z2057*($F$25+($C$16+$C$17+IF($C$13="single",1.5,3)+3)/12)</f>
        <v>0</v>
      </c>
      <c r="AC2057">
        <f>AB2057-W2057</f>
        <v>0</v>
      </c>
      <c r="AD2057" cm="1">
        <f t="array" ref="AD2057">IFERROR(IF(AC2057&lt;0,0,AC2057/($R$1964-INDEX(hd_off,MATCH(AQ2057,hd_mark,0),0)/12)),0)</f>
        <v>0</v>
      </c>
      <c r="AE2057">
        <f>IF(S2057=0,0,$AD$1964*$AM$1945)</f>
        <v>0</v>
      </c>
      <c r="AF2057">
        <f>IFERROR(AE2057/$R$1964,0)</f>
        <v>0</v>
      </c>
      <c r="AG2057">
        <f>AE2057*($F$25+($C$16+$C$17+IF($C$13="single",1.5,3)+3)/12)</f>
        <v>0</v>
      </c>
      <c r="AH2057">
        <f>AG2057-X2057</f>
        <v>0</v>
      </c>
      <c r="AI2057" cm="1">
        <f t="array" ref="AI2057">IFERROR(IF(AH2057&lt;0,0,AH2057/($R$1964-INDEX(hd_off,MATCH(AQ2057,hd_mark,0),0)/12)),0)</f>
        <v>0</v>
      </c>
      <c r="AJ2057">
        <f>MAX($F$25,$AC$1964)/$Q$1972</f>
        <v>0.29920977011494249</v>
      </c>
      <c r="AK2057">
        <f t="shared" si="1260"/>
        <v>1</v>
      </c>
      <c r="AL2057" cm="1">
        <f t="array" ref="AL2057">IFERROR(INDEX(sheath_ecap_asd,MATCH(AP2057,sheath_mark,0),0)*AK2057,0)</f>
        <v>0</v>
      </c>
      <c r="AM2057" cm="1">
        <f t="array" ref="AM2057">IFERROR(INDEX(sheath_wcap_asd,MATCH(AP2057,sheath_mark,0),0)*AK2057,0)</f>
        <v>0</v>
      </c>
      <c r="AN2057" cm="1">
        <f t="array" ref="AN2057">IFERROR(INDEX(hd_cap,MATCH(AQ2057,hd_mark,0),0),0)</f>
        <v>0</v>
      </c>
      <c r="AP2057" s="19"/>
      <c r="AQ2057" s="19"/>
      <c r="AR2057" s="100"/>
      <c r="AS2057" s="93"/>
      <c r="AT2057" s="109"/>
      <c r="AU2057" t="str">
        <f>$Q$1945</f>
        <v>Roof</v>
      </c>
      <c r="AV2057">
        <f>$E$25</f>
        <v>33.171875</v>
      </c>
      <c r="AW2057" cm="1">
        <f t="array" ref="AW2057">IFERROR(IF(AV2057=0,0,(INDEX($C$33:$C$38,MATCH($AZ$1964,$B$33:$B$38,0),0)*(AV2057+$BA$1964)+$AY$1964*$C$31)*$AU$1964),0)</f>
        <v>0</v>
      </c>
      <c r="AX2057">
        <f>IF(AV2057=0,0,-$AY$1964*$C$31*$H$27*$AU$1964)</f>
        <v>0</v>
      </c>
      <c r="AY2057">
        <f>IF(AV2057=0,0,$AY$1964*$H$26*$AU$1964)</f>
        <v>0</v>
      </c>
      <c r="AZ2057">
        <f>(0.6*AW2057+0.7*AX2057)*$AU$1964/2</f>
        <v>0</v>
      </c>
      <c r="BA2057">
        <f>AW2057*$AU$1964/2</f>
        <v>0</v>
      </c>
      <c r="BC2057">
        <f>IF(AV2057=0,0,$BG$1964*$AP$1945)</f>
        <v>0</v>
      </c>
      <c r="BD2057">
        <f>IFERROR(BC2057/$AU$1964,0)</f>
        <v>0</v>
      </c>
      <c r="BE2057">
        <f>BC2057*($F$25+($C$16+$C$17+IF($C$13="single",1.5,3)+3)/12)</f>
        <v>0</v>
      </c>
      <c r="BF2057">
        <f>BE2057-AZ2057</f>
        <v>0</v>
      </c>
      <c r="BG2057" cm="1">
        <f t="array" ref="BG2057">IFERROR(IF(BF2057&lt;0,0,BF2057/($AU$1964-INDEX(hd_off,MATCH(BT2057,hd_mark,0),0)/12)),0)</f>
        <v>0</v>
      </c>
      <c r="BH2057">
        <f>IF(AV2057=0,0,$BG$1964*$AM$1945)</f>
        <v>0</v>
      </c>
      <c r="BI2057">
        <f>IFERROR(BH2057/$AU$1964,0)</f>
        <v>0</v>
      </c>
      <c r="BJ2057">
        <f>BH2057*($F$25+($C$16+$C$17+IF($C$13="single",1.5,3)+3)/12)</f>
        <v>0</v>
      </c>
      <c r="BK2057">
        <f>BJ2057-BA2057</f>
        <v>0</v>
      </c>
      <c r="BL2057" cm="1">
        <f t="array" ref="BL2057">IFERROR(IF(BK2057&lt;0,0,BK2057/($AU$1964-INDEX(hd_off,MATCH(BT2057,hd_mark,0),0)/12)),0)</f>
        <v>0</v>
      </c>
      <c r="BM2057">
        <f>MAX($F$25,$BF$1964)/$Q$1972</f>
        <v>0.29920977011494249</v>
      </c>
      <c r="BN2057">
        <f t="shared" si="1261"/>
        <v>1</v>
      </c>
      <c r="BO2057" cm="1">
        <f t="array" ref="BO2057">IFERROR(INDEX(sheath_ecap_asd,MATCH(BS2057,sheath_mark,0),0)*BN2057,0)</f>
        <v>0</v>
      </c>
      <c r="BP2057" cm="1">
        <f t="array" ref="BP2057">IFERROR(INDEX(sheath_wcap_asd,MATCH(BS2057,sheath_mark,0),0)*BN2057,0)</f>
        <v>0</v>
      </c>
      <c r="BQ2057" cm="1">
        <f t="array" ref="BQ2057">IFERROR(INDEX(hd_cap,MATCH(BT2057,hd_mark,0),0),0)</f>
        <v>0</v>
      </c>
      <c r="BS2057" s="19"/>
      <c r="BT2057" s="19"/>
      <c r="BU2057" s="100"/>
    </row>
    <row r="2058" x14ac:dyDescent="0.25">
      <c r="P2058" s="93"/>
      <c r="AR2058" s="100"/>
      <c r="AS2058" s="93"/>
      <c r="BU2058" s="100"/>
    </row>
    <row r="2059" x14ac:dyDescent="0.25">
      <c r="P2059" s="93"/>
      <c r="Q2059" s="110" t="str">
        <f>$Q$1965</f>
        <v>A.16</v>
      </c>
      <c r="R2059" t="str">
        <f>$Q$1941</f>
        <v>L2</v>
      </c>
      <c r="S2059">
        <f>$E$21</f>
        <v>10.6875</v>
      </c>
      <c r="T2059" cm="1">
        <f t="array" ref="T2059">IFERROR(IF(S2059=0,0,(INDEX($C$33:$C$38,MATCH($W$1965,$B$33:$B$38,0),0)*(S2063+$X$1965)+$T$1965*COUNTIF(S2059:S2062,"&gt;0")*$C$32+$V$1965*$C$31)*$R$1965),0)</f>
        <v>0</v>
      </c>
      <c r="U2059">
        <f>IF(S2059=0,0,-(COUNTIF(S2059:S2062,"&gt;0")*$T$1965*$C$32+$V$1965*$C$31)*$H$27*$R$1965)</f>
        <v>0</v>
      </c>
      <c r="V2059">
        <f>IF(S2059=0,0,$V$1965*$H$26*$R$1965)</f>
        <v>0</v>
      </c>
      <c r="W2059">
        <f>(0.6*T2059+0.7*U2059)*$R$1965/2</f>
        <v>0</v>
      </c>
      <c r="X2059">
        <f>(0.6*T2059+0.6*V2059)*$R$1965/2</f>
        <v>0</v>
      </c>
      <c r="Z2059">
        <f>IF(S2059=0,0,$AD$1965*$AP$1941)</f>
        <v>0</v>
      </c>
      <c r="AA2059">
        <f>IFERROR(Z2059/$R$1965,0)</f>
        <v>0</v>
      </c>
      <c r="AB2059">
        <f>Z2059*($F$21+IF($F$21=0,0,($C$14+$C$15+IF($C$13="single",1.5,3)+3)/12))</f>
        <v>0</v>
      </c>
      <c r="AC2059">
        <f>AB2059-W2059</f>
        <v>0</v>
      </c>
      <c r="AD2059" cm="1">
        <f t="array" ref="AD2059">IFERROR(IF(AC2059&lt;0,0,AC2059/($R$1965-INDEX(hd_off,MATCH(AQ2059,hd_mark,0),0)/12)),0)</f>
        <v>0</v>
      </c>
      <c r="AE2059">
        <f>IF(S2059=0,0,$AD$1965*$AM$1941)</f>
        <v>0</v>
      </c>
      <c r="AF2059">
        <f>IFERROR(AE2059/$R$1965,0)</f>
        <v>0</v>
      </c>
      <c r="AG2059">
        <f>AE2059*($F$21+IF($F$21=0,0,($C$14+$C$15+IF($C$13="single",1.5,3)+3)/12))</f>
        <v>0</v>
      </c>
      <c r="AH2059">
        <f>AG2059-X2059</f>
        <v>0</v>
      </c>
      <c r="AI2059" cm="1">
        <f t="array" ref="AI2059">IFERROR(IF(AH2059&lt;0,0,AH2059/($R$1965-INDEX(hd_off,MATCH(AQ2059,hd_mark,0),0)/12)),0)</f>
        <v>0</v>
      </c>
      <c r="AJ2059">
        <f>MAX($F$21,$Y$1965)/$Q$1972</f>
        <v>0.30172413793103448</v>
      </c>
      <c r="AK2059">
        <f>IF(AJ2059=0,0,IF(AJ2059&gt;2,1.25-0.125*AJ2059,1))</f>
        <v>1</v>
      </c>
      <c r="AL2059" cm="1">
        <f t="array" ref="AL2059">IFERROR(INDEX(sheath_ecap_asd,MATCH(AP2059,sheath_mark,0),0)*AK2059,0)</f>
        <v>0</v>
      </c>
      <c r="AM2059" cm="1">
        <f t="array" ref="AM2059">IFERROR(INDEX(sheath_wcap_asd,MATCH(AP2059,sheath_mark,0),0)*AK2059,0)</f>
        <v>0</v>
      </c>
      <c r="AN2059" cm="1">
        <f t="array" ref="AN2059">IFERROR(INDEX(hd_cap,MATCH(AQ2059,hd_mark,0),0),0)</f>
        <v>0</v>
      </c>
      <c r="AP2059" s="19"/>
      <c r="AQ2059" s="19"/>
      <c r="AR2059" s="100"/>
      <c r="AS2059" s="93"/>
      <c r="AT2059" s="110" t="str">
        <f>$AT$1965</f>
        <v>1.16</v>
      </c>
      <c r="AU2059" t="str">
        <f>$Q$1941</f>
        <v>L2</v>
      </c>
      <c r="AV2059">
        <f>$E$21</f>
        <v>10.6875</v>
      </c>
      <c r="AW2059" cm="1">
        <f t="array" ref="AW2059">IFERROR(IF(AV2059=0,0,(INDEX($C$33:$C$38,MATCH($AZ$1965,$B$33:$B$38,0),0)*(AV2063+$BA$1965)+$AW$1965*COUNTIF(AV2059:AV2062,"&gt;0")*$C$32+$AY$1965*$C$31)*$AU$1965),0)</f>
        <v>0</v>
      </c>
      <c r="AX2059">
        <f>IF(AV2059=0,0,-(COUNTIF(AV2059:AV2062,"&gt;0")*$AW$1965*$C$32+$AY$1965*$C$31)*$H$27*$AU$1965)</f>
        <v>0</v>
      </c>
      <c r="AY2059">
        <f>IF(AV2059=0,0,$AY$1965*$H$26*$AU$1965)</f>
        <v>0</v>
      </c>
      <c r="AZ2059">
        <f>(0.6*AW2059+0.7*AX2059)*$AU$1965/2</f>
        <v>0</v>
      </c>
      <c r="BA2059">
        <f>(0.6*AW2059+0.6*AY2059)*$AU$1965/2</f>
        <v>0</v>
      </c>
      <c r="BC2059">
        <f>IF(AV2059=0,0,$BG$1965*$AP$1941)</f>
        <v>0</v>
      </c>
      <c r="BD2059">
        <f>IFERROR(BC2059/$AU$1965,0)</f>
        <v>0</v>
      </c>
      <c r="BE2059">
        <f>BC2059*($F$21+IF($F$21=0,0,($C$14+$C$15+IF($C$13="single",1.5,3)+3)/12))</f>
        <v>0</v>
      </c>
      <c r="BF2059">
        <f>BE2059-AZ2059</f>
        <v>0</v>
      </c>
      <c r="BG2059" cm="1">
        <f t="array" ref="BG2059">IFERROR(IF(BF2059&lt;0,0,BF2059/($AU$1965-INDEX(hd_off,MATCH(BT2059,hd_mark,0),0)/12)),0)</f>
        <v>0</v>
      </c>
      <c r="BH2059">
        <f>IF(AV2059=0,0,$BG$1965*$AM$1941)</f>
        <v>0</v>
      </c>
      <c r="BI2059">
        <f>IFERROR(BH2059/$AU$1965,0)</f>
        <v>0</v>
      </c>
      <c r="BJ2059">
        <f>BH2059*($F$21+IF($F$21=0,0,($C$14+$C$15+IF($C$13="single",1.5,3)+3)/12))</f>
        <v>0</v>
      </c>
      <c r="BK2059">
        <f>BJ2059-BA2059</f>
        <v>0</v>
      </c>
      <c r="BL2059" cm="1">
        <f t="array" ref="BL2059">IFERROR(IF(BK2059&lt;0,0,BK2059/($AU$1965-INDEX(hd_off,MATCH(BT2059,hd_mark,0),0)/12)),0)</f>
        <v>0</v>
      </c>
      <c r="BM2059">
        <f>MAX($F$21,$BB$1965)/$Q$1972</f>
        <v>0.30172413793103448</v>
      </c>
      <c r="BN2059">
        <f>IF(BM2059=0,0,IF(BM2059&gt;2,1.25-0.125*BM2059,1))</f>
        <v>1</v>
      </c>
      <c r="BO2059" cm="1">
        <f t="array" ref="BO2059">IFERROR(INDEX(sheath_ecap_asd,MATCH(BS2059,sheath_mark,0),0)*BN2059,0)</f>
        <v>0</v>
      </c>
      <c r="BP2059" cm="1">
        <f t="array" ref="BP2059">IFERROR(INDEX(sheath_wcap_asd,MATCH(BS2059,sheath_mark,0),0)*BN2059,0)</f>
        <v>0</v>
      </c>
      <c r="BQ2059" cm="1">
        <f t="array" ref="BQ2059">IFERROR(INDEX(hd_cap,MATCH(BT2059,hd_mark,0),0),0)</f>
        <v>0</v>
      </c>
      <c r="BS2059" s="19"/>
      <c r="BT2059" s="19"/>
      <c r="BU2059" s="100"/>
    </row>
    <row r="2060" x14ac:dyDescent="0.25">
      <c r="P2060" s="93"/>
      <c r="Q2060" s="109"/>
      <c r="R2060" t="str">
        <f>$Q$1942</f>
        <v>L3</v>
      </c>
      <c r="S2060">
        <f>$E$22</f>
        <v>21.375</v>
      </c>
      <c r="T2060" cm="1">
        <f t="array" ref="T2060">IFERROR(IF(S2060=0,0,(INDEX($C$33:$C$38,MATCH($W$1965,$B$33:$B$38,0),0)*(S2063+$X$1965)+$T$1965*COUNTIF(S2060:S2062,"&gt;0")*$C$32+$V$1965*$C$31)*$R$1965),0)</f>
        <v>0</v>
      </c>
      <c r="U2060">
        <f>IF(S2060=0,0,-(COUNTIF(S2060:S2062,"&gt;0")*$T$1965*$C$32+$V$1965*$C$31)*$H$27*$R$1965)</f>
        <v>0</v>
      </c>
      <c r="V2060">
        <f>IF(S2060=0,0,$V$1965*$H$26*$R$1965)</f>
        <v>0</v>
      </c>
      <c r="W2060">
        <f>(0.6*T2060+0.7*U2060)*$R$1965/2</f>
        <v>0</v>
      </c>
      <c r="X2060">
        <f>T2060*$R$1965/2</f>
        <v>0</v>
      </c>
      <c r="Z2060">
        <f>IF(S2060=0,0,$AD$1965*$AP$1942)</f>
        <v>0</v>
      </c>
      <c r="AA2060">
        <f>IFERROR(Z2060/$R$1965,0)</f>
        <v>0</v>
      </c>
      <c r="AB2060">
        <f>Z2060*($F$22+IF($F$22=0,0,($C$14+$C$15+IF($C$13="single",1.5,3)+3)/12))</f>
        <v>0</v>
      </c>
      <c r="AC2060">
        <f>AB2060-W2060</f>
        <v>0</v>
      </c>
      <c r="AD2060" cm="1">
        <f t="array" ref="AD2060">IFERROR(IF(AC2060&lt;0,0,AC2060/($R$1965-INDEX(hd_off,MATCH(AQ2060,hd_mark,0),0)/12)),0)</f>
        <v>0</v>
      </c>
      <c r="AE2060">
        <f>IF(S2060=0,0,$AD$1965*$AM$1942)</f>
        <v>0</v>
      </c>
      <c r="AF2060">
        <f>IFERROR(AE2060/$R$1965,0)</f>
        <v>0</v>
      </c>
      <c r="AG2060">
        <f>AE2060*($F$22+IF($F$22=0,0,($C$14+$C$15+IF($C$13="single",1.5,3)+3)/12))</f>
        <v>0</v>
      </c>
      <c r="AH2060">
        <f>AG2060-X2060</f>
        <v>0</v>
      </c>
      <c r="AI2060" cm="1">
        <f t="array" ref="AI2060">IFERROR(IF(AH2060&lt;0,0,AH2060/($R$1965-INDEX(hd_off,MATCH(AQ2060,hd_mark,0),0)/12)),0)</f>
        <v>0</v>
      </c>
      <c r="AJ2060">
        <f>MAX($F$22,$Z$1965)/$Q$1972</f>
        <v>0.30172413793103448</v>
      </c>
      <c r="AK2060">
        <f t="shared" ref="AK2060:AK2063" si="1262">IF(AJ2060=0,0,IF(AJ2060&gt;2,1.25-0.125*AJ2060,1))</f>
        <v>1</v>
      </c>
      <c r="AL2060" cm="1">
        <f t="array" ref="AL2060">IFERROR(INDEX(sheath_ecap_asd,MATCH(AP2060,sheath_mark,0),0)*AK2060,0)</f>
        <v>0</v>
      </c>
      <c r="AM2060" cm="1">
        <f t="array" ref="AM2060">IFERROR(INDEX(sheath_wcap_asd,MATCH(AP2060,sheath_mark,0),0)*AK2060,0)</f>
        <v>0</v>
      </c>
      <c r="AN2060" cm="1">
        <f t="array" ref="AN2060">IFERROR(INDEX(hd_cap,MATCH(AQ2060,hd_mark,0),0),0)</f>
        <v>0</v>
      </c>
      <c r="AP2060" s="19"/>
      <c r="AQ2060" s="19"/>
      <c r="AR2060" s="100"/>
      <c r="AS2060" s="93"/>
      <c r="AT2060" s="109"/>
      <c r="AU2060" t="str">
        <f>$Q$1942</f>
        <v>L3</v>
      </c>
      <c r="AV2060">
        <f>$E$22</f>
        <v>21.375</v>
      </c>
      <c r="AW2060" cm="1">
        <f t="array" ref="AW2060">IFERROR(IF(AV2060=0,0,(INDEX($C$33:$C$38,MATCH($AZ$1965,$B$33:$B$38,0),0)*(AV2063+$BA$1965)+$AW$1965*COUNTIF(AV2060:AV2062,"&gt;0")*$C$32+$AY$1965*$C$31)*$AU$1965),0)</f>
        <v>0</v>
      </c>
      <c r="AX2060">
        <f>IF(AV2060=0,0,-(COUNTIF(AV2060:AV2062,"&gt;0")*$AW$1965*$C$32+$AY$1965*$C$31)*$H$27*$AU$1965)</f>
        <v>0</v>
      </c>
      <c r="AY2060">
        <f>IF(AV2060=0,0,$AY$1965*$H$26*$AU$1965)</f>
        <v>0</v>
      </c>
      <c r="AZ2060">
        <f>(0.6*AW2060+0.7*AX2060)*$AU$1965/2</f>
        <v>0</v>
      </c>
      <c r="BA2060">
        <f>AW2060*$AU$1965/2</f>
        <v>0</v>
      </c>
      <c r="BC2060">
        <f>IF(AV2060=0,0,$BG$1965*$AP$1942)</f>
        <v>0</v>
      </c>
      <c r="BD2060">
        <f>IFERROR(BC2060/$AU$1965,0)</f>
        <v>0</v>
      </c>
      <c r="BE2060">
        <f>BC2060*($F$22+IF($F$22=0,0,($C$14+$C$15+IF($C$13="single",1.5,3)+3)/12))</f>
        <v>0</v>
      </c>
      <c r="BF2060">
        <f>BE2060-AZ2060</f>
        <v>0</v>
      </c>
      <c r="BG2060" cm="1">
        <f t="array" ref="BG2060">IFERROR(IF(BF2060&lt;0,0,BF2060/($AU$1965-INDEX(hd_off,MATCH(BT2060,hd_mark,0),0)/12)),0)</f>
        <v>0</v>
      </c>
      <c r="BH2060">
        <f>IF(AV2060=0,0,$BG$1965*$AM$1942)</f>
        <v>0</v>
      </c>
      <c r="BI2060">
        <f>IFERROR(BH2060/$AU$1965,0)</f>
        <v>0</v>
      </c>
      <c r="BJ2060">
        <f>BH2060*($F$22+IF($F$22=0,0,($C$14+$C$15+IF($C$13="single",1.5,3)+3)/12))</f>
        <v>0</v>
      </c>
      <c r="BK2060">
        <f>BJ2060-BA2060</f>
        <v>0</v>
      </c>
      <c r="BL2060" cm="1">
        <f t="array" ref="BL2060">IFERROR(IF(BK2060&lt;0,0,BK2060/($AU$1965-INDEX(hd_off,MATCH(BT2060,hd_mark,0),0)/12)),0)</f>
        <v>0</v>
      </c>
      <c r="BM2060">
        <f>MAX($F$22,$BC$1965)/$Q$1972</f>
        <v>0.30172413793103448</v>
      </c>
      <c r="BN2060">
        <f t="shared" ref="BN2060:BN2062" si="1263">IF(BM2060=0,0,IF(BM2060&gt;2,1.25-0.125*BM2060,1))</f>
        <v>1</v>
      </c>
      <c r="BO2060" cm="1">
        <f t="array" ref="BO2060">IFERROR(INDEX(sheath_ecap_asd,MATCH(BS2060,sheath_mark,0),0)*BN2060,0)</f>
        <v>0</v>
      </c>
      <c r="BP2060" cm="1">
        <f t="array" ref="BP2060">IFERROR(INDEX(sheath_wcap_asd,MATCH(BS2060,sheath_mark,0),0)*BN2060,0)</f>
        <v>0</v>
      </c>
      <c r="BQ2060" cm="1">
        <f t="array" ref="BQ2060">IFERROR(INDEX(hd_cap,MATCH(BT2060,hd_mark,0),0),0)</f>
        <v>0</v>
      </c>
      <c r="BS2060" s="19"/>
      <c r="BT2060" s="19"/>
      <c r="BU2060" s="100"/>
    </row>
    <row r="2061" x14ac:dyDescent="0.25">
      <c r="P2061" s="93"/>
      <c r="Q2061" s="109" t="s">
        <v>491</v>
      </c>
      <c r="R2061" t="str">
        <f>$Q$1943</f>
        <v>L4</v>
      </c>
      <c r="S2061">
        <f>$E$23</f>
        <v>0</v>
      </c>
      <c r="T2061" cm="1">
        <f t="array" ref="T2061">IFERROR(IF(S2061=0,0,(INDEX($C$33:$C$38,MATCH($W$1965,$B$33:$B$38,0),0)*(S2063+$X$1965)+$T$1965*COUNTIF(S2061:S2062,"&gt;0")*$C$32+$V$1965*$C$31)*$R$1965),0)</f>
        <v>0</v>
      </c>
      <c r="U2061">
        <f>IF(S2061=0,0,-(COUNTIF(S2061:S2062,"&gt;0")*$T$1965*$C$32+$V$1965*$C$31)*$H$27*$R$1965)</f>
        <v>0</v>
      </c>
      <c r="V2061">
        <f>IF(S2061=0,0,$V$1965*$H$26*$R$1965)</f>
        <v>0</v>
      </c>
      <c r="W2061">
        <f>(0.6*T2061+0.7*U2061)*$R$1965/2</f>
        <v>0</v>
      </c>
      <c r="X2061">
        <f>T2061*$R$1965/2</f>
        <v>0</v>
      </c>
      <c r="Z2061">
        <f>IF(S2061=0,0,$AD$1965*$AP$1943)</f>
        <v>0</v>
      </c>
      <c r="AA2061">
        <f>IFERROR(Z2061/$R$1965,0)</f>
        <v>0</v>
      </c>
      <c r="AB2061">
        <f>Z2061*($F$23+IF($F$23=0,0,($C$14+$C$15+IF($C$13="single",1.5,3)+3)/12))</f>
        <v>0</v>
      </c>
      <c r="AC2061">
        <f>AB2061-W2061</f>
        <v>0</v>
      </c>
      <c r="AD2061" cm="1">
        <f t="array" ref="AD2061">IFERROR(IF(AC2061&lt;0,0,AC2061/($R$1965-INDEX(hd_off,MATCH(AQ2061,hd_mark,0),0)/12)),0)</f>
        <v>0</v>
      </c>
      <c r="AE2061">
        <f>IF(S2061=0,0,$AD$1965*$AM$1943)</f>
        <v>0</v>
      </c>
      <c r="AF2061">
        <f>IFERROR(AE2061/$R$1965,0)</f>
        <v>0</v>
      </c>
      <c r="AG2061">
        <f>AE2061*($F$23+IF($F$23=0,0,($C$14+$C$15+IF($C$13="single",1.5,3)+3)/12))</f>
        <v>0</v>
      </c>
      <c r="AH2061">
        <f>AG2061-X2061</f>
        <v>0</v>
      </c>
      <c r="AI2061" cm="1">
        <f t="array" ref="AI2061">IFERROR(IF(AH2061&lt;0,0,AH2061/($R$1965-INDEX(hd_off,MATCH(AQ2061,hd_mark,0),0)/12)),0)</f>
        <v>0</v>
      </c>
      <c r="AJ2061">
        <f>MAX($F$23,$AA$1965)/$Q$1972</f>
        <v>0</v>
      </c>
      <c r="AK2061">
        <f t="shared" si="1262"/>
        <v>0</v>
      </c>
      <c r="AL2061" cm="1">
        <f t="array" ref="AL2061">IFERROR(INDEX(sheath_ecap_asd,MATCH(AP2061,sheath_mark,0),0)*AK2061,0)</f>
        <v>0</v>
      </c>
      <c r="AM2061" cm="1">
        <f t="array" ref="AM2061">IFERROR(INDEX(sheath_wcap_asd,MATCH(AP2061,sheath_mark,0),0)*AK2061,0)</f>
        <v>0</v>
      </c>
      <c r="AN2061" cm="1">
        <f t="array" ref="AN2061">IFERROR(INDEX(hd_cap,MATCH(AQ2061,hd_mark,0),0),0)</f>
        <v>0</v>
      </c>
      <c r="AP2061" s="19"/>
      <c r="AQ2061" s="19"/>
      <c r="AR2061" s="100"/>
      <c r="AS2061" s="93"/>
      <c r="AT2061" s="109" t="s">
        <v>491</v>
      </c>
      <c r="AU2061" t="str">
        <f>$Q$1943</f>
        <v>L4</v>
      </c>
      <c r="AV2061">
        <f>$E$23</f>
        <v>0</v>
      </c>
      <c r="AW2061" cm="1">
        <f t="array" ref="AW2061">IFERROR(IF(AV2061=0,0,(INDEX($C$33:$C$38,MATCH($AZ$1965,$B$33:$B$38,0),0)*(AV2063+$BA$1965)+$AW$1965*COUNTIF(AV2061:AV2062,"&gt;0")*$C$32+$AY$1965*$C$31)*$AU$1965),0)</f>
        <v>0</v>
      </c>
      <c r="AX2061">
        <f>IF(AV2061=0,0,-(COUNTIF(AV2061:AV2062,"&gt;0")*$AW$1965*$C$32+$AY$1965*$C$31)*$H$27*$AU$1965)</f>
        <v>0</v>
      </c>
      <c r="AY2061">
        <f>IF(AV2061=0,0,$AY$1965*$H$26*$AU$1965)</f>
        <v>0</v>
      </c>
      <c r="AZ2061">
        <f>(0.6*AW2061+0.7*AX2061)*$AU$1965/2</f>
        <v>0</v>
      </c>
      <c r="BA2061">
        <f>AW2061*$AU$1965/2</f>
        <v>0</v>
      </c>
      <c r="BC2061">
        <f>IF(AV2061=0,0,$BG$1965*$AP$1943)</f>
        <v>0</v>
      </c>
      <c r="BD2061">
        <f>IFERROR(BC2061/$AU$1965,0)</f>
        <v>0</v>
      </c>
      <c r="BE2061">
        <f>BC2061*($F$23+IF($F$23=0,0,($C$14+$C$15+IF($C$13="single",1.5,3)+3)/12))</f>
        <v>0</v>
      </c>
      <c r="BF2061">
        <f>BE2061-AZ2061</f>
        <v>0</v>
      </c>
      <c r="BG2061" cm="1">
        <f t="array" ref="BG2061">IFERROR(IF(BF2061&lt;0,0,BF2061/($AU$1965-INDEX(hd_off,MATCH(BT2061,hd_mark,0),0)/12)),0)</f>
        <v>0</v>
      </c>
      <c r="BH2061">
        <f>IF(AV2061=0,0,$BG$1965*$AM$1943)</f>
        <v>0</v>
      </c>
      <c r="BI2061">
        <f>IFERROR(BH2061/$AU$1965,0)</f>
        <v>0</v>
      </c>
      <c r="BJ2061">
        <f>BH2061*($F$23+IF($F$23=0,0,($C$14+$C$15+IF($C$13="single",1.5,3)+3)/12))</f>
        <v>0</v>
      </c>
      <c r="BK2061">
        <f>BJ2061-BA2061</f>
        <v>0</v>
      </c>
      <c r="BL2061" cm="1">
        <f t="array" ref="BL2061">IFERROR(IF(BK2061&lt;0,0,BK2061/($AU$1965-INDEX(hd_off,MATCH(BT2061,hd_mark,0),0)/12)),0)</f>
        <v>0</v>
      </c>
      <c r="BM2061">
        <f>MAX($F$23,$BD$1965)/$Q$1972</f>
        <v>0</v>
      </c>
      <c r="BN2061">
        <f t="shared" si="1263"/>
        <v>0</v>
      </c>
      <c r="BO2061" cm="1">
        <f t="array" ref="BO2061">IFERROR(INDEX(sheath_ecap_asd,MATCH(BS2061,sheath_mark,0),0)*BN2061,0)</f>
        <v>0</v>
      </c>
      <c r="BP2061" cm="1">
        <f t="array" ref="BP2061">IFERROR(INDEX(sheath_wcap_asd,MATCH(BS2061,sheath_mark,0),0)*BN2061,0)</f>
        <v>0</v>
      </c>
      <c r="BQ2061" cm="1">
        <f t="array" ref="BQ2061">IFERROR(INDEX(hd_cap,MATCH(BT2061,hd_mark,0),0),0)</f>
        <v>0</v>
      </c>
      <c r="BS2061" s="19"/>
      <c r="BT2061" s="19"/>
      <c r="BU2061" s="100"/>
    </row>
    <row r="2062" x14ac:dyDescent="0.25">
      <c r="P2062" s="93"/>
      <c r="Q2062" s="111">
        <f>$R$1965</f>
        <v>0</v>
      </c>
      <c r="R2062" t="str">
        <f>$Q$1944</f>
        <v>L5</v>
      </c>
      <c r="S2062">
        <f>$E$24</f>
        <v>0</v>
      </c>
      <c r="T2062" cm="1">
        <f t="array" ref="T2062">IFERROR(IF(S2062=0,0,(INDEX($C$33:$C$38,MATCH($W$1965,$B$33:$B$38,0),0)*(S2063+$X$1965)+$T$1965*COUNTIF(S2062:S2062,"&gt;0")*$C$32+$V$1965*$C$31)*$R$1965),0)</f>
        <v>0</v>
      </c>
      <c r="U2062">
        <f>IF(S2062=0,0,-(COUNTIF(S2062:S2062,"&gt;0")*$T$1965*$C$32+$V$1965*$C$31)*$H$27*$R$1965)</f>
        <v>0</v>
      </c>
      <c r="V2062">
        <f>IF(S2062=0,0,$V$1965*$H$26*$R$1965)</f>
        <v>0</v>
      </c>
      <c r="W2062">
        <f>(0.6*T2062+0.7*U2062)*$R$1965/2</f>
        <v>0</v>
      </c>
      <c r="X2062">
        <f>T2062*$R$1965/2</f>
        <v>0</v>
      </c>
      <c r="Z2062">
        <f>IF(S2062=0,0,$AD$1965*$AP$1944)</f>
        <v>0</v>
      </c>
      <c r="AA2062">
        <f>IFERROR(Z2062/$R$1965,0)</f>
        <v>0</v>
      </c>
      <c r="AB2062">
        <f>Z2062*($F$24+IF($F$24=0,0,($C$14+$C$15+IF($C$13="single",1.5,3)+3)/12))</f>
        <v>0</v>
      </c>
      <c r="AC2062">
        <f>AB2062-W2062</f>
        <v>0</v>
      </c>
      <c r="AD2062" cm="1">
        <f t="array" ref="AD2062">IFERROR(IF(AC2062&lt;0,0,AC2062/($R$1965-INDEX(hd_off,MATCH(AQ2062,hd_mark,0),0)/12)),0)</f>
        <v>0</v>
      </c>
      <c r="AE2062">
        <f>IF(S2062=0,0,$AD$1965*$AM$1944)</f>
        <v>0</v>
      </c>
      <c r="AF2062">
        <f>IFERROR(AE2062/$R$1965,0)</f>
        <v>0</v>
      </c>
      <c r="AG2062">
        <f>AE2062*($F$24+IF($F$24=0,0,($C$14+$C$15+IF($C$13="single",1.5,3)+3)/12))</f>
        <v>0</v>
      </c>
      <c r="AH2062">
        <f>AG2062-X2062</f>
        <v>0</v>
      </c>
      <c r="AI2062" cm="1">
        <f t="array" ref="AI2062">IFERROR(IF(AH2062&lt;0,0,AH2062/($R$1965-INDEX(hd_off,MATCH(AQ2062,hd_mark,0),0)/12)),0)</f>
        <v>0</v>
      </c>
      <c r="AJ2062">
        <f>MAX($F$24,$AB$1965)/$Q$1972</f>
        <v>0</v>
      </c>
      <c r="AK2062">
        <f t="shared" si="1262"/>
        <v>0</v>
      </c>
      <c r="AL2062" cm="1">
        <f t="array" ref="AL2062">IFERROR(INDEX(sheath_ecap_asd,MATCH(AP2062,sheath_mark,0),0)*AK2062,0)</f>
        <v>0</v>
      </c>
      <c r="AM2062" cm="1">
        <f t="array" ref="AM2062">IFERROR(INDEX(sheath_wcap_asd,MATCH(AP2062,sheath_mark,0),0)*AK2062,0)</f>
        <v>0</v>
      </c>
      <c r="AN2062" cm="1">
        <f t="array" ref="AN2062">IFERROR(INDEX(hd_cap,MATCH(AQ2062,hd_mark,0),0),0)</f>
        <v>0</v>
      </c>
      <c r="AP2062" s="19"/>
      <c r="AQ2062" s="19"/>
      <c r="AR2062" s="100"/>
      <c r="AS2062" s="93"/>
      <c r="AT2062" s="111">
        <f>$R$1965</f>
        <v>0</v>
      </c>
      <c r="AU2062" t="str">
        <f>$Q$1944</f>
        <v>L5</v>
      </c>
      <c r="AV2062">
        <f>$E$24</f>
        <v>0</v>
      </c>
      <c r="AW2062" cm="1">
        <f t="array" ref="AW2062">IFERROR(IF(AV2062=0,0,(INDEX($C$33:$C$38,MATCH($AZ$1965,$B$33:$B$38,0),0)*(AV2063+$BA$1965)+$AW$1965*COUNTIF(AV2062:AV2062,"&gt;0")*$C$32+$AY$1965*$C$31)*$AU$1965),0)</f>
        <v>0</v>
      </c>
      <c r="AX2062">
        <f>IF(AV2062=0,0,-(COUNTIF(AV2062:AV2062,"&gt;0")*$AW$1965*$C$32+$AY$1965*$C$31)*$H$27*$AU$1965)</f>
        <v>0</v>
      </c>
      <c r="AY2062">
        <f>IF(AV2062=0,0,$AY$1965*$H$26*$AU$1965)</f>
        <v>0</v>
      </c>
      <c r="AZ2062">
        <f>(0.6*AW2062+0.7*AX2062)*$AU$1965/2</f>
        <v>0</v>
      </c>
      <c r="BA2062">
        <f>AW2062*$AU$1965/2</f>
        <v>0</v>
      </c>
      <c r="BC2062">
        <f>IF(AV2062=0,0,$BG$1965*$AP$1944)</f>
        <v>0</v>
      </c>
      <c r="BD2062">
        <f>IFERROR(BC2062/$AU$1965,0)</f>
        <v>0</v>
      </c>
      <c r="BE2062">
        <f>BC2062*($F$24+IF($F$24=0,0,($C$14+$C$15+IF($C$13="single",1.5,3)+3)/12))</f>
        <v>0</v>
      </c>
      <c r="BF2062">
        <f>BE2062-AZ2062</f>
        <v>0</v>
      </c>
      <c r="BG2062" cm="1">
        <f t="array" ref="BG2062">IFERROR(IF(BF2062&lt;0,0,BF2062/($AU$1965-INDEX(hd_off,MATCH(BT2062,hd_mark,0),0)/12)),0)</f>
        <v>0</v>
      </c>
      <c r="BH2062">
        <f>IF(AV2062=0,0,$BG$1965*$AM$1944)</f>
        <v>0</v>
      </c>
      <c r="BI2062">
        <f>IFERROR(BH2062/$AU$1965,0)</f>
        <v>0</v>
      </c>
      <c r="BJ2062">
        <f>BH2062*($F$24+IF($F$24=0,0,($C$14+$C$15+IF($C$13="single",1.5,3)+3)/12))</f>
        <v>0</v>
      </c>
      <c r="BK2062">
        <f>BJ2062-BA2062</f>
        <v>0</v>
      </c>
      <c r="BL2062" cm="1">
        <f t="array" ref="BL2062">IFERROR(IF(BK2062&lt;0,0,BK2062/($AU$1965-INDEX(hd_off,MATCH(BT2062,hd_mark,0),0)/12)),0)</f>
        <v>0</v>
      </c>
      <c r="BM2062">
        <f>MAX($F$24,$BE$1965)/$Q$1972</f>
        <v>0</v>
      </c>
      <c r="BN2062">
        <f t="shared" si="1263"/>
        <v>0</v>
      </c>
      <c r="BO2062" cm="1">
        <f t="array" ref="BO2062">IFERROR(INDEX(sheath_ecap_asd,MATCH(BS2062,sheath_mark,0),0)*BN2062,0)</f>
        <v>0</v>
      </c>
      <c r="BP2062" cm="1">
        <f t="array" ref="BP2062">IFERROR(INDEX(sheath_wcap_asd,MATCH(BS2062,sheath_mark,0),0)*BN2062,0)</f>
        <v>0</v>
      </c>
      <c r="BQ2062" cm="1">
        <f t="array" ref="BQ2062">IFERROR(INDEX(hd_cap,MATCH(BT2062,hd_mark,0),0),0)</f>
        <v>0</v>
      </c>
      <c r="BS2062" s="19"/>
      <c r="BT2062" s="19"/>
      <c r="BU2062" s="100"/>
    </row>
    <row r="2063" x14ac:dyDescent="0.25">
      <c r="P2063" s="93"/>
      <c r="Q2063" s="109"/>
      <c r="R2063" t="str">
        <f>$Q$1945</f>
        <v>Roof</v>
      </c>
      <c r="S2063">
        <f>$E$25</f>
        <v>33.171875</v>
      </c>
      <c r="T2063" cm="1">
        <f t="array" ref="T2063">IFERROR(IF(S2063=0,0,(INDEX($C$33:$C$38,MATCH($W$1965,$B$33:$B$38,0),0)*(S2063+$X$1965)+$V$1965*$C$31)*$R$1965),0)</f>
        <v>0</v>
      </c>
      <c r="U2063">
        <f>IF(S2063=0,0,-$V$1965*$C$31*$H$27*$R$1965)</f>
        <v>0</v>
      </c>
      <c r="V2063">
        <f>IF(S2063=0,0,$V$1965*$H$26*$R$1965)</f>
        <v>0</v>
      </c>
      <c r="W2063">
        <f>(0.6*T2063+0.7*U2063)*$R$1965/2</f>
        <v>0</v>
      </c>
      <c r="X2063">
        <f>T2063*$R$1965/2</f>
        <v>0</v>
      </c>
      <c r="Z2063">
        <f>IF(S2063=0,0,$AD$1965*$AP$1945)</f>
        <v>0</v>
      </c>
      <c r="AA2063">
        <f>IFERROR(Z2063/$R$1965,0)</f>
        <v>0</v>
      </c>
      <c r="AB2063">
        <f>Z2063*($F$25+($C$16+$C$17+IF($C$13="single",1.5,3)+3)/12)</f>
        <v>0</v>
      </c>
      <c r="AC2063">
        <f>AB2063-W2063</f>
        <v>0</v>
      </c>
      <c r="AD2063" cm="1">
        <f t="array" ref="AD2063">IFERROR(IF(AC2063&lt;0,0,AC2063/($R$1965-INDEX(hd_off,MATCH(AQ2063,hd_mark,0),0)/12)),0)</f>
        <v>0</v>
      </c>
      <c r="AE2063">
        <f>IF(S2063=0,0,$AD$1965*$AM$1945)</f>
        <v>0</v>
      </c>
      <c r="AF2063">
        <f>IFERROR(AE2063/$R$1965,0)</f>
        <v>0</v>
      </c>
      <c r="AG2063">
        <f>AE2063*($F$25+($C$16+$C$17+IF($C$13="single",1.5,3)+3)/12)</f>
        <v>0</v>
      </c>
      <c r="AH2063">
        <f>AG2063-X2063</f>
        <v>0</v>
      </c>
      <c r="AI2063" cm="1">
        <f t="array" ref="AI2063">IFERROR(IF(AH2063&lt;0,0,AH2063/($R$1965-INDEX(hd_off,MATCH(AQ2063,hd_mark,0),0)/12)),0)</f>
        <v>0</v>
      </c>
      <c r="AJ2063">
        <f>MAX($F$25,$AC$1965)/$Q$1972</f>
        <v>0.29920977011494249</v>
      </c>
      <c r="AK2063">
        <f t="shared" si="1262"/>
        <v>1</v>
      </c>
      <c r="AL2063" cm="1">
        <f t="array" ref="AL2063">IFERROR(INDEX(sheath_ecap_asd,MATCH(AP2063,sheath_mark,0),0)*AK2063,0)</f>
        <v>0</v>
      </c>
      <c r="AM2063" cm="1">
        <f t="array" ref="AM2063">IFERROR(INDEX(sheath_wcap_asd,MATCH(AP2063,sheath_mark,0),0)*AK2063,0)</f>
        <v>0</v>
      </c>
      <c r="AN2063" cm="1">
        <f t="array" ref="AN2063">IFERROR(INDEX(hd_cap,MATCH(AQ2063,hd_mark,0),0),0)</f>
        <v>0</v>
      </c>
      <c r="AP2063" s="19"/>
      <c r="AQ2063" s="19"/>
      <c r="AR2063" s="100"/>
      <c r="AS2063" s="93"/>
      <c r="BU2063" s="100"/>
    </row>
    <row r="2064" x14ac:dyDescent="0.25">
      <c r="B2064" s="1" t="s">
        <v>569</v>
      </c>
      <c r="C2064">
        <f>E16+H16*12</f>
        <v>32.4375</v>
      </c>
      <c r="E2064" s="19">
        <v>24</v>
      </c>
      <c r="F2064" s="19">
        <f>32+5.625/12</f>
        <v>32.46875</v>
      </c>
      <c r="G2064" s="19">
        <f>33+10.5/12</f>
        <v>33.875</v>
      </c>
      <c r="H2064">
        <f>(G16-F16)/2</f>
        <v>0.703125</v>
      </c>
      <c r="P2064" s="93"/>
      <c r="Q2064" t="s">
        <v>524</v>
      </c>
      <c r="R2064" s="2" t="str">
        <f>$B$58</f>
        <v>A</v>
      </c>
      <c r="AR2064" s="100"/>
      <c r="AS2064" s="93"/>
      <c r="AT2064" t="s">
        <v>524</v>
      </c>
      <c r="AU2064" s="2">
        <f>H58</f>
        <v>1</v>
      </c>
      <c r="BU2064" s="100"/>
    </row>
    <row r="2065" x14ac:dyDescent="0.25">
      <c r="B2065" s="1" t="s">
        <v>500</v>
      </c>
      <c r="C2065" s="19">
        <v>0.5</v>
      </c>
      <c r="P2065" s="93"/>
      <c r="AR2065" s="100"/>
      <c r="AS2065" s="93"/>
      <c r="BU2065" s="100"/>
    </row>
    <row r="2066" x14ac:dyDescent="0.25">
      <c r="P2066" s="93"/>
      <c r="R2066" t="s">
        <v>482</v>
      </c>
      <c r="Z2066" t="s">
        <v>483</v>
      </c>
      <c r="AH2066" t="s">
        <v>502</v>
      </c>
      <c r="AJ2066" t="s">
        <v>454</v>
      </c>
      <c r="AR2066" s="100"/>
      <c r="AS2066" s="93"/>
      <c r="AU2066" t="s">
        <v>482</v>
      </c>
      <c r="BC2066" t="s">
        <v>483</v>
      </c>
      <c r="BK2066" t="s">
        <v>502</v>
      </c>
      <c r="BM2066" t="s">
        <v>454</v>
      </c>
      <c r="BU2066" s="100"/>
    </row>
    <row r="2067" x14ac:dyDescent="0.25">
      <c r="B2067" t="s">
        <v>448</v>
      </c>
      <c r="C2067" t="s">
        <v>272</v>
      </c>
      <c r="D2067" t="s">
        <v>193</v>
      </c>
      <c r="E2067" s="70" t="s">
        <v>454</v>
      </c>
      <c r="F2067" s="71" t="s">
        <v>501</v>
      </c>
      <c r="H2067" t="s">
        <v>475</v>
      </c>
      <c r="J2067" t="s">
        <v>476</v>
      </c>
      <c r="P2067" s="93"/>
      <c r="R2067" t="s">
        <v>480</v>
      </c>
      <c r="S2067" t="s">
        <v>481</v>
      </c>
      <c r="T2067" t="s">
        <v>486</v>
      </c>
      <c r="U2067" t="s">
        <v>487</v>
      </c>
      <c r="V2067" t="s">
        <v>484</v>
      </c>
      <c r="W2067" t="s">
        <v>485</v>
      </c>
      <c r="X2067" t="s">
        <v>488</v>
      </c>
      <c r="Y2067" t="s">
        <v>489</v>
      </c>
      <c r="Z2067" t="s">
        <v>480</v>
      </c>
      <c r="AA2067" t="s">
        <v>481</v>
      </c>
      <c r="AB2067" t="s">
        <v>486</v>
      </c>
      <c r="AC2067" t="s">
        <v>487</v>
      </c>
      <c r="AD2067" t="s">
        <v>484</v>
      </c>
      <c r="AE2067" t="s">
        <v>485</v>
      </c>
      <c r="AF2067" t="s">
        <v>488</v>
      </c>
      <c r="AG2067" t="s">
        <v>489</v>
      </c>
      <c r="AH2067" t="s">
        <v>312</v>
      </c>
      <c r="AI2067" t="s">
        <v>258</v>
      </c>
      <c r="AJ2067" t="s">
        <v>486</v>
      </c>
      <c r="AK2067" t="s">
        <v>490</v>
      </c>
      <c r="AL2067" t="s">
        <v>487</v>
      </c>
      <c r="AM2067" t="s">
        <v>490</v>
      </c>
      <c r="AN2067" t="s">
        <v>488</v>
      </c>
      <c r="AO2067" t="s">
        <v>490</v>
      </c>
      <c r="AP2067" t="s">
        <v>489</v>
      </c>
      <c r="AQ2067" t="s">
        <v>490</v>
      </c>
      <c r="AR2067" s="100"/>
      <c r="AS2067" s="93"/>
      <c r="AU2067" t="s">
        <v>480</v>
      </c>
      <c r="AV2067" t="s">
        <v>481</v>
      </c>
      <c r="AW2067" t="s">
        <v>486</v>
      </c>
      <c r="AX2067" t="s">
        <v>487</v>
      </c>
      <c r="AY2067" t="s">
        <v>484</v>
      </c>
      <c r="AZ2067" t="s">
        <v>485</v>
      </c>
      <c r="BA2067" t="s">
        <v>488</v>
      </c>
      <c r="BB2067" t="s">
        <v>489</v>
      </c>
      <c r="BC2067" t="s">
        <v>480</v>
      </c>
      <c r="BD2067" t="s">
        <v>481</v>
      </c>
      <c r="BE2067" t="s">
        <v>486</v>
      </c>
      <c r="BF2067" t="s">
        <v>487</v>
      </c>
      <c r="BG2067" t="s">
        <v>484</v>
      </c>
      <c r="BH2067" t="s">
        <v>485</v>
      </c>
      <c r="BI2067" t="s">
        <v>488</v>
      </c>
      <c r="BJ2067" t="s">
        <v>489</v>
      </c>
      <c r="BK2067" t="s">
        <v>312</v>
      </c>
      <c r="BL2067" t="s">
        <v>258</v>
      </c>
      <c r="BM2067" t="s">
        <v>486</v>
      </c>
      <c r="BN2067" t="s">
        <v>490</v>
      </c>
      <c r="BO2067" t="s">
        <v>487</v>
      </c>
      <c r="BP2067" t="s">
        <v>490</v>
      </c>
      <c r="BQ2067" t="s">
        <v>488</v>
      </c>
      <c r="BR2067" t="s">
        <v>490</v>
      </c>
      <c r="BS2067" t="s">
        <v>489</v>
      </c>
      <c r="BT2067" t="s">
        <v>490</v>
      </c>
      <c r="BU2067" s="100"/>
    </row>
    <row r="2068" x14ac:dyDescent="0.25">
      <c r="B2068" t="s">
        <v>449</v>
      </c>
      <c r="C2068" s="19">
        <v>0</v>
      </c>
      <c r="D2068" s="19">
        <v>0</v>
      </c>
      <c r="E2068" s="66">
        <f>C20+D20/12</f>
        <v>0</v>
      </c>
      <c r="F2068" s="67">
        <v>0</v>
      </c>
      <c r="H2068" s="19">
        <v>0</v>
      </c>
      <c r="I2068" s="64" t="s">
        <v>196</v>
      </c>
      <c r="J2068" s="19">
        <v>0</v>
      </c>
      <c r="K2068" s="19">
        <v>0</v>
      </c>
      <c r="L2068" s="19">
        <v>0</v>
      </c>
      <c r="M2068" s="19">
        <v>0</v>
      </c>
      <c r="P2068" s="93"/>
      <c r="Q2068" t="s">
        <v>449</v>
      </c>
      <c r="R2068" s="19">
        <f>$H$20</f>
        <v>0</v>
      </c>
      <c r="S2068">
        <f>R2068*0.6</f>
        <v>0</v>
      </c>
      <c r="T2068">
        <f>$C$58/2*R2068</f>
        <v>0</v>
      </c>
      <c r="U2068">
        <f>T2068*0.6</f>
        <v>0</v>
      </c>
      <c r="V2068" s="19">
        <v>0</v>
      </c>
      <c r="W2068">
        <f>V2068*0.7</f>
        <v>0</v>
      </c>
      <c r="X2068">
        <f>$C$58/2*V2068</f>
        <v>0</v>
      </c>
      <c r="Y2068">
        <f>X2068*0.7</f>
        <v>0</v>
      </c>
      <c r="Z2068" s="19">
        <f>$H$20</f>
        <v>0</v>
      </c>
      <c r="AA2068">
        <f>Z2068*0.6</f>
        <v>0</v>
      </c>
      <c r="AB2068">
        <f>$D$58/2*Z2068</f>
        <v>0</v>
      </c>
      <c r="AC2068">
        <f t="shared" ref="AC2068:AC2074" si="1264">0.6*AB2068</f>
        <v>0</v>
      </c>
      <c r="AD2068" s="19">
        <v>0</v>
      </c>
      <c r="AE2068">
        <f>AD2068*0.7</f>
        <v>0</v>
      </c>
      <c r="AF2068">
        <f>$D$58/2*AD2068</f>
        <v>0</v>
      </c>
      <c r="AG2068">
        <f>AF2068*0.7</f>
        <v>0</v>
      </c>
      <c r="AH2068" s="19">
        <v>0</v>
      </c>
      <c r="AI2068" s="19">
        <v>0</v>
      </c>
      <c r="AJ2068" s="17">
        <f>T2068+AB2068+AH2068</f>
        <v>0</v>
      </c>
      <c r="AK2068" s="17">
        <f>AK2069+AJ2068</f>
        <v>13166</v>
      </c>
      <c r="AL2068" s="17">
        <f>AJ2068*0.6</f>
        <v>0</v>
      </c>
      <c r="AM2068" s="17">
        <f>AM2069+AL2068</f>
        <v>7899.5999999999995</v>
      </c>
      <c r="AN2068" s="17">
        <f>X2068+AF2068+AI2068</f>
        <v>0</v>
      </c>
      <c r="AO2068" s="17">
        <f t="shared" ref="AO2068:AQ2071" si="1265">AN2068+AO2069</f>
        <v>1302.0999999999999</v>
      </c>
      <c r="AP2068" s="17">
        <f>AN2068*0.7</f>
        <v>0</v>
      </c>
      <c r="AQ2068" s="17">
        <f>AP2068+AQ2069</f>
        <v>911.46999999999991</v>
      </c>
      <c r="AR2068" s="100"/>
      <c r="AS2068" s="93"/>
      <c r="AT2068" t="s">
        <v>449</v>
      </c>
      <c r="AU2068" s="19">
        <f>$H$20</f>
        <v>0</v>
      </c>
      <c r="AV2068">
        <f>AU2068*0.6</f>
        <v>0</v>
      </c>
      <c r="AW2068">
        <f t="shared" ref="AW2068:AW2074" si="1266">$I$58/2*AU2068</f>
        <v>0</v>
      </c>
      <c r="AX2068">
        <f>AW2068*0.6</f>
        <v>0</v>
      </c>
      <c r="AY2068" s="19">
        <v>0</v>
      </c>
      <c r="AZ2068">
        <f>AY2068*0.7</f>
        <v>0</v>
      </c>
      <c r="BA2068">
        <f t="shared" ref="BA2068:BA2073" si="1267">$I$58/2*AY2068</f>
        <v>0</v>
      </c>
      <c r="BB2068">
        <f>BA2068*0.7</f>
        <v>0</v>
      </c>
      <c r="BC2068" s="19">
        <f>$H$20</f>
        <v>0</v>
      </c>
      <c r="BD2068">
        <f>BC2068*0.6</f>
        <v>0</v>
      </c>
      <c r="BE2068">
        <f t="shared" ref="BE2068:BE2074" si="1268">$J$58/2*BC2068</f>
        <v>0</v>
      </c>
      <c r="BF2068">
        <f t="shared" ref="BF2068:BF2074" si="1269">0.6*BE2068</f>
        <v>0</v>
      </c>
      <c r="BG2068" s="19">
        <v>0</v>
      </c>
      <c r="BH2068">
        <f>BG2068*0.7</f>
        <v>0</v>
      </c>
      <c r="BI2068">
        <f t="shared" ref="BI2068:BI2073" si="1270">$J$58/2*BG2068</f>
        <v>0</v>
      </c>
      <c r="BJ2068">
        <f>BI2068*0.7</f>
        <v>0</v>
      </c>
      <c r="BK2068" s="19">
        <v>0</v>
      </c>
      <c r="BL2068" s="19">
        <v>0</v>
      </c>
      <c r="BM2068" s="17">
        <f>AW2068+BE2068+BK2068</f>
        <v>0</v>
      </c>
      <c r="BN2068" s="17">
        <f>BN2069+BM2068</f>
        <v>12258</v>
      </c>
      <c r="BO2068" s="17">
        <f>BM2068*0.6</f>
        <v>0</v>
      </c>
      <c r="BP2068" s="17">
        <f>BP2069+BO2068</f>
        <v>7354.7999999999993</v>
      </c>
      <c r="BQ2068" s="17">
        <f>BA2068+BI2068+BL2068</f>
        <v>0</v>
      </c>
      <c r="BR2068" s="17">
        <f t="shared" ref="BR2068:BR2071" si="1271">BQ2068+BR2069</f>
        <v>1212.3</v>
      </c>
      <c r="BS2068" s="17">
        <f>BQ2068*0.7</f>
        <v>0</v>
      </c>
      <c r="BT2068" s="17">
        <f>BS2068+BT2069</f>
        <v>848.6099999999999</v>
      </c>
      <c r="BU2068" s="100"/>
    </row>
    <row r="2069" x14ac:dyDescent="0.25">
      <c r="B2069" t="s">
        <v>450</v>
      </c>
      <c r="C2069" s="19">
        <v>10</v>
      </c>
      <c r="D2069" s="19">
        <v>8.25</v>
      </c>
      <c r="E2069" s="66">
        <f>C21+D21/12</f>
        <v>10.6875</v>
      </c>
      <c r="F2069" s="67">
        <f>IF(E21&gt;0,E21-(C15+C14+2*1.5+IF(C13="single",1.5,3))/12-_xlfn.XLOOKUP(E21,E20,E20,,-1),0)</f>
        <v>8.75</v>
      </c>
      <c r="H2069" s="19">
        <v>236</v>
      </c>
      <c r="I2069" s="64" t="s">
        <v>196</v>
      </c>
      <c r="J2069" s="19">
        <v>33.799999999999997</v>
      </c>
      <c r="K2069" s="19">
        <v>65.599999999999994</v>
      </c>
      <c r="L2069" s="19">
        <v>19.3</v>
      </c>
      <c r="M2069" s="19">
        <v>119.6</v>
      </c>
      <c r="P2069" s="93"/>
      <c r="Q2069" t="s">
        <v>450</v>
      </c>
      <c r="R2069" s="19">
        <f>$H$21</f>
        <v>236</v>
      </c>
      <c r="S2069">
        <f t="shared" ref="S2069:S2074" si="1272">R2069*0.6</f>
        <v>141.6</v>
      </c>
      <c r="T2069">
        <f t="shared" ref="T2069:T2073" si="1273">$C$58/2*R2069</f>
        <v>0</v>
      </c>
      <c r="U2069">
        <f>T2069*0.6</f>
        <v>0</v>
      </c>
      <c r="V2069" s="19">
        <v>33.799999999999997</v>
      </c>
      <c r="W2069">
        <f t="shared" ref="W2069:W2073" si="1274">V2069*0.7</f>
        <v>23.659999999999997</v>
      </c>
      <c r="X2069">
        <f t="shared" ref="X2069:X2073" si="1275">$C$58/2*V2069</f>
        <v>0</v>
      </c>
      <c r="Y2069">
        <f t="shared" ref="Y2069:Y2073" si="1276">X2069*0.7</f>
        <v>0</v>
      </c>
      <c r="Z2069" s="19">
        <f>$H$21</f>
        <v>236</v>
      </c>
      <c r="AA2069">
        <f t="shared" ref="AA2069:AA2073" si="1277">Z2069*0.6</f>
        <v>141.6</v>
      </c>
      <c r="AB2069">
        <f t="shared" ref="AB2069:AB2073" si="1278">$D$58/2*Z2069</f>
        <v>3422</v>
      </c>
      <c r="AC2069">
        <f t="shared" si="1264"/>
        <v>2053.1999999999998</v>
      </c>
      <c r="AD2069" s="19">
        <v>33.799999999999997</v>
      </c>
      <c r="AE2069">
        <f t="shared" ref="AE2069:AE2073" si="1279">AD2069*0.7</f>
        <v>23.659999999999997</v>
      </c>
      <c r="AF2069">
        <f t="shared" ref="AF2069:AF2073" si="1280">$D$58/2*AD2069</f>
        <v>490.09999999999997</v>
      </c>
      <c r="AG2069">
        <f t="shared" ref="AG2069:AG2073" si="1281">AF2069*0.7</f>
        <v>343.06999999999994</v>
      </c>
      <c r="AH2069" s="19">
        <v>0</v>
      </c>
      <c r="AI2069" s="19">
        <v>0</v>
      </c>
      <c r="AJ2069" s="17">
        <f>T2069+AB2069+AH2069</f>
        <v>3422</v>
      </c>
      <c r="AK2069" s="17">
        <f>AK2070+AJ2069</f>
        <v>13166</v>
      </c>
      <c r="AL2069" s="17">
        <f t="shared" ref="AL2069:AL2073" si="1282">AJ2069*0.6</f>
        <v>2053.1999999999998</v>
      </c>
      <c r="AM2069" s="17">
        <f t="shared" ref="AM2069:AM2071" si="1283">AM2070+AL2069</f>
        <v>7899.5999999999995</v>
      </c>
      <c r="AN2069" s="17">
        <f t="shared" ref="AN2069:AN2072" si="1284">X2069+AF2069+AI2069</f>
        <v>490.09999999999997</v>
      </c>
      <c r="AO2069" s="17">
        <f t="shared" si="1265"/>
        <v>1302.0999999999999</v>
      </c>
      <c r="AP2069" s="17">
        <f t="shared" ref="AP2069:AP2072" si="1285">AN2069*0.7</f>
        <v>343.06999999999994</v>
      </c>
      <c r="AQ2069" s="17">
        <f t="shared" si="1265"/>
        <v>911.46999999999991</v>
      </c>
      <c r="AR2069" s="100"/>
      <c r="AS2069" s="93"/>
      <c r="AT2069" t="s">
        <v>450</v>
      </c>
      <c r="AU2069" s="19">
        <f>$H$21</f>
        <v>236</v>
      </c>
      <c r="AV2069">
        <f t="shared" ref="AV2069:AV2074" si="1286">AU2069*0.6</f>
        <v>141.6</v>
      </c>
      <c r="AW2069">
        <f t="shared" si="1266"/>
        <v>0</v>
      </c>
      <c r="AX2069">
        <f>AW2069*0.6</f>
        <v>0</v>
      </c>
      <c r="AY2069" s="19">
        <v>33.799999999999997</v>
      </c>
      <c r="AZ2069">
        <f t="shared" ref="AZ2069:AZ2073" si="1287">AY2069*0.7</f>
        <v>23.659999999999997</v>
      </c>
      <c r="BA2069">
        <f t="shared" si="1267"/>
        <v>0</v>
      </c>
      <c r="BB2069">
        <f t="shared" ref="BB2069:BB2073" si="1288">BA2069*0.7</f>
        <v>0</v>
      </c>
      <c r="BC2069" s="19">
        <f>$H$21</f>
        <v>236</v>
      </c>
      <c r="BD2069">
        <f t="shared" ref="BD2069:BD2073" si="1289">BC2069*0.6</f>
        <v>141.6</v>
      </c>
      <c r="BE2069">
        <f t="shared" si="1268"/>
        <v>3186</v>
      </c>
      <c r="BF2069">
        <f t="shared" si="1269"/>
        <v>1911.6</v>
      </c>
      <c r="BG2069" s="19">
        <v>33.799999999999997</v>
      </c>
      <c r="BH2069">
        <f t="shared" ref="BH2069:BH2073" si="1290">BG2069*0.7</f>
        <v>23.659999999999997</v>
      </c>
      <c r="BI2069">
        <f t="shared" si="1270"/>
        <v>456.29999999999995</v>
      </c>
      <c r="BJ2069">
        <f t="shared" ref="BJ2069:BJ2073" si="1291">BI2069*0.7</f>
        <v>319.40999999999997</v>
      </c>
      <c r="BK2069" s="19">
        <v>0</v>
      </c>
      <c r="BL2069" s="19">
        <v>0</v>
      </c>
      <c r="BM2069" s="17">
        <f>AW2069+BE2069+BK2069</f>
        <v>3186</v>
      </c>
      <c r="BN2069" s="17">
        <f>BN2070+BM2069</f>
        <v>12258</v>
      </c>
      <c r="BO2069" s="17">
        <f t="shared" ref="BO2069" si="1292">BM2069*0.6</f>
        <v>1911.6</v>
      </c>
      <c r="BP2069" s="17">
        <f t="shared" ref="BP2069:BP2071" si="1293">BP2070+BO2069</f>
        <v>7354.7999999999993</v>
      </c>
      <c r="BQ2069" s="17">
        <f t="shared" ref="BQ2069:BQ2072" si="1294">BA2069+BI2069+BL2069</f>
        <v>456.29999999999995</v>
      </c>
      <c r="BR2069" s="17">
        <f t="shared" si="1271"/>
        <v>1212.3</v>
      </c>
      <c r="BS2069" s="17">
        <f t="shared" ref="BS2069:BS2072" si="1295">BQ2069*0.7</f>
        <v>319.40999999999997</v>
      </c>
      <c r="BT2069" s="17">
        <f t="shared" ref="BT2069:BT2071" si="1296">BS2069+BT2070</f>
        <v>848.6099999999999</v>
      </c>
      <c r="BU2069" s="100"/>
    </row>
    <row r="2070" x14ac:dyDescent="0.25">
      <c r="B2070" t="s">
        <v>451</v>
      </c>
      <c r="C2070" s="19">
        <v>21</v>
      </c>
      <c r="D2070" s="19">
        <v>4.5</v>
      </c>
      <c r="E2070" s="66">
        <f t="shared" ref="E22:E25" si="1297">C22+D22/12</f>
        <v>21.375</v>
      </c>
      <c r="F2070" s="67">
        <f>IF(E22&gt;0,E22-(C15+C14+2*1.5+IF(C13="single",1.5,3))/12-_xlfn.XLOOKUP(E22,E20:E21,E20:E21,,-1),0)</f>
        <v>8.75</v>
      </c>
      <c r="H2070" s="19">
        <v>229</v>
      </c>
      <c r="I2070" s="64" t="s">
        <v>196</v>
      </c>
      <c r="J2070" s="19">
        <v>37.1</v>
      </c>
      <c r="K2070" s="19">
        <v>71.8</v>
      </c>
      <c r="L2070" s="19">
        <v>21.1</v>
      </c>
      <c r="M2070" s="19">
        <v>131.1</v>
      </c>
      <c r="P2070" s="93"/>
      <c r="Q2070" t="s">
        <v>451</v>
      </c>
      <c r="R2070" s="19">
        <f>$H$22</f>
        <v>229</v>
      </c>
      <c r="S2070">
        <f t="shared" si="1272"/>
        <v>137.4</v>
      </c>
      <c r="T2070">
        <f t="shared" si="1273"/>
        <v>0</v>
      </c>
      <c r="U2070">
        <f t="shared" ref="U2070:U2074" si="1298">T2070*0.6</f>
        <v>0</v>
      </c>
      <c r="V2070" s="19">
        <v>37.1</v>
      </c>
      <c r="W2070">
        <f t="shared" si="1274"/>
        <v>25.97</v>
      </c>
      <c r="X2070">
        <f>$C$58/2*V2070</f>
        <v>0</v>
      </c>
      <c r="Y2070">
        <f t="shared" si="1276"/>
        <v>0</v>
      </c>
      <c r="Z2070" s="19">
        <f>$H$22</f>
        <v>229</v>
      </c>
      <c r="AA2070">
        <f t="shared" si="1277"/>
        <v>137.4</v>
      </c>
      <c r="AB2070">
        <f t="shared" si="1278"/>
        <v>3320.5</v>
      </c>
      <c r="AC2070">
        <f t="shared" si="1264"/>
        <v>1992.3</v>
      </c>
      <c r="AD2070" s="19">
        <v>37.1</v>
      </c>
      <c r="AE2070">
        <f t="shared" si="1279"/>
        <v>25.97</v>
      </c>
      <c r="AF2070">
        <f t="shared" si="1280"/>
        <v>537.95000000000005</v>
      </c>
      <c r="AG2070">
        <f t="shared" si="1281"/>
        <v>376.565</v>
      </c>
      <c r="AH2070" s="19">
        <v>0</v>
      </c>
      <c r="AI2070" s="19">
        <v>0</v>
      </c>
      <c r="AJ2070" s="17">
        <f t="shared" ref="AJ2070:AJ2072" si="1299">T2070+AB2070+AH2070</f>
        <v>3320.5</v>
      </c>
      <c r="AK2070" s="17">
        <f>AK2071+AJ2070</f>
        <v>9744</v>
      </c>
      <c r="AL2070" s="17">
        <f>AJ2070*0.6</f>
        <v>1992.3</v>
      </c>
      <c r="AM2070" s="17">
        <f t="shared" si="1283"/>
        <v>5846.4</v>
      </c>
      <c r="AN2070" s="17">
        <f t="shared" si="1284"/>
        <v>537.95000000000005</v>
      </c>
      <c r="AO2070" s="17">
        <f t="shared" si="1265"/>
        <v>812</v>
      </c>
      <c r="AP2070" s="17">
        <f t="shared" si="1285"/>
        <v>376.565</v>
      </c>
      <c r="AQ2070" s="17">
        <f t="shared" si="1265"/>
        <v>568.4</v>
      </c>
      <c r="AR2070" s="100"/>
      <c r="AS2070" s="93"/>
      <c r="AT2070" t="s">
        <v>451</v>
      </c>
      <c r="AU2070" s="19">
        <f>$H$22</f>
        <v>229</v>
      </c>
      <c r="AV2070">
        <f t="shared" si="1286"/>
        <v>137.4</v>
      </c>
      <c r="AW2070">
        <f t="shared" si="1266"/>
        <v>0</v>
      </c>
      <c r="AX2070">
        <f t="shared" ref="AX2070:AX2074" si="1300">AW2070*0.6</f>
        <v>0</v>
      </c>
      <c r="AY2070" s="19">
        <v>37.1</v>
      </c>
      <c r="AZ2070">
        <f t="shared" si="1287"/>
        <v>25.97</v>
      </c>
      <c r="BA2070">
        <f t="shared" si="1267"/>
        <v>0</v>
      </c>
      <c r="BB2070">
        <f t="shared" si="1288"/>
        <v>0</v>
      </c>
      <c r="BC2070" s="19">
        <f>$H$22</f>
        <v>229</v>
      </c>
      <c r="BD2070">
        <f t="shared" si="1289"/>
        <v>137.4</v>
      </c>
      <c r="BE2070">
        <f t="shared" si="1268"/>
        <v>3091.5</v>
      </c>
      <c r="BF2070">
        <f t="shared" si="1269"/>
        <v>1854.8999999999999</v>
      </c>
      <c r="BG2070" s="19">
        <v>37.1</v>
      </c>
      <c r="BH2070">
        <f t="shared" si="1290"/>
        <v>25.97</v>
      </c>
      <c r="BI2070">
        <f t="shared" si="1270"/>
        <v>500.85</v>
      </c>
      <c r="BJ2070">
        <f t="shared" si="1291"/>
        <v>350.59499999999997</v>
      </c>
      <c r="BK2070" s="19">
        <v>0</v>
      </c>
      <c r="BL2070" s="19">
        <v>0</v>
      </c>
      <c r="BM2070" s="17">
        <f t="shared" ref="BM2070:BM2072" si="1301">AW2070+BE2070+BK2070</f>
        <v>3091.5</v>
      </c>
      <c r="BN2070" s="17">
        <f>BN2071+BM2070</f>
        <v>9072</v>
      </c>
      <c r="BO2070" s="17">
        <f>BM2070*0.6</f>
        <v>1854.8999999999999</v>
      </c>
      <c r="BP2070" s="17">
        <f t="shared" si="1293"/>
        <v>5443.2</v>
      </c>
      <c r="BQ2070" s="17">
        <f t="shared" si="1294"/>
        <v>500.85</v>
      </c>
      <c r="BR2070" s="17">
        <f t="shared" si="1271"/>
        <v>756</v>
      </c>
      <c r="BS2070" s="17">
        <f t="shared" si="1295"/>
        <v>350.59499999999997</v>
      </c>
      <c r="BT2070" s="17">
        <f t="shared" si="1296"/>
        <v>529.19999999999993</v>
      </c>
      <c r="BU2070" s="100"/>
    </row>
    <row r="2071" x14ac:dyDescent="0.25">
      <c r="B2071" t="s">
        <v>452</v>
      </c>
      <c r="C2071" s="19">
        <v>0</v>
      </c>
      <c r="D2071" s="19">
        <v>0</v>
      </c>
      <c r="E2071" s="66">
        <f t="shared" si="1297"/>
        <v>0</v>
      </c>
      <c r="F2071" s="67">
        <f>IF(E23&gt;0,E23-(C15+C14+2*1.5+IF(C13="single",1.5,3))/12-_xlfn.XLOOKUP(E23,E20:E22,E20:E22,,-1),0)</f>
        <v>0</v>
      </c>
      <c r="H2071" s="19">
        <v>0</v>
      </c>
      <c r="I2071" s="64" t="s">
        <v>196</v>
      </c>
      <c r="J2071" s="19">
        <v>0</v>
      </c>
      <c r="K2071" s="19">
        <v>0</v>
      </c>
      <c r="L2071" s="19">
        <v>0</v>
      </c>
      <c r="M2071" s="19">
        <v>0</v>
      </c>
      <c r="P2071" s="93"/>
      <c r="Q2071" t="s">
        <v>452</v>
      </c>
      <c r="R2071" s="19">
        <f>$H$23</f>
        <v>0</v>
      </c>
      <c r="S2071">
        <f t="shared" si="1272"/>
        <v>0</v>
      </c>
      <c r="T2071">
        <f t="shared" si="1273"/>
        <v>0</v>
      </c>
      <c r="U2071">
        <f t="shared" si="1298"/>
        <v>0</v>
      </c>
      <c r="V2071" s="19">
        <v>0</v>
      </c>
      <c r="W2071">
        <f t="shared" si="1274"/>
        <v>0</v>
      </c>
      <c r="X2071">
        <f t="shared" si="1275"/>
        <v>0</v>
      </c>
      <c r="Y2071">
        <f t="shared" si="1276"/>
        <v>0</v>
      </c>
      <c r="Z2071" s="19">
        <f>$H$23</f>
        <v>0</v>
      </c>
      <c r="AA2071">
        <f t="shared" si="1277"/>
        <v>0</v>
      </c>
      <c r="AB2071">
        <f t="shared" si="1278"/>
        <v>0</v>
      </c>
      <c r="AC2071">
        <f t="shared" si="1264"/>
        <v>0</v>
      </c>
      <c r="AD2071" s="19">
        <v>0</v>
      </c>
      <c r="AE2071">
        <f t="shared" si="1279"/>
        <v>0</v>
      </c>
      <c r="AF2071">
        <f t="shared" si="1280"/>
        <v>0</v>
      </c>
      <c r="AG2071">
        <f t="shared" si="1281"/>
        <v>0</v>
      </c>
      <c r="AH2071" s="19">
        <v>0</v>
      </c>
      <c r="AI2071" s="19">
        <v>0</v>
      </c>
      <c r="AJ2071" s="17">
        <f t="shared" si="1299"/>
        <v>0</v>
      </c>
      <c r="AK2071" s="17">
        <f>AK2072+AJ2071</f>
        <v>6423.5</v>
      </c>
      <c r="AL2071" s="17">
        <f>AJ2071*0.6</f>
        <v>0</v>
      </c>
      <c r="AM2071" s="17">
        <f t="shared" si="1283"/>
        <v>3854.1</v>
      </c>
      <c r="AN2071" s="17">
        <f t="shared" si="1284"/>
        <v>0</v>
      </c>
      <c r="AO2071" s="17">
        <f t="shared" si="1265"/>
        <v>274.04999999999995</v>
      </c>
      <c r="AP2071" s="17">
        <f t="shared" si="1285"/>
        <v>0</v>
      </c>
      <c r="AQ2071" s="17">
        <f t="shared" si="1265"/>
        <v>191.83499999999995</v>
      </c>
      <c r="AR2071" s="100"/>
      <c r="AS2071" s="93"/>
      <c r="AT2071" t="s">
        <v>452</v>
      </c>
      <c r="AU2071" s="19">
        <f>$H$23</f>
        <v>0</v>
      </c>
      <c r="AV2071">
        <f t="shared" si="1286"/>
        <v>0</v>
      </c>
      <c r="AW2071">
        <f t="shared" si="1266"/>
        <v>0</v>
      </c>
      <c r="AX2071">
        <f t="shared" si="1300"/>
        <v>0</v>
      </c>
      <c r="AY2071" s="19">
        <v>0</v>
      </c>
      <c r="AZ2071">
        <f t="shared" si="1287"/>
        <v>0</v>
      </c>
      <c r="BA2071">
        <f t="shared" si="1267"/>
        <v>0</v>
      </c>
      <c r="BB2071">
        <f t="shared" si="1288"/>
        <v>0</v>
      </c>
      <c r="BC2071" s="19">
        <f>$H$23</f>
        <v>0</v>
      </c>
      <c r="BD2071">
        <f t="shared" si="1289"/>
        <v>0</v>
      </c>
      <c r="BE2071">
        <f t="shared" si="1268"/>
        <v>0</v>
      </c>
      <c r="BF2071">
        <f t="shared" si="1269"/>
        <v>0</v>
      </c>
      <c r="BG2071" s="19">
        <v>0</v>
      </c>
      <c r="BH2071">
        <f t="shared" si="1290"/>
        <v>0</v>
      </c>
      <c r="BI2071">
        <f t="shared" si="1270"/>
        <v>0</v>
      </c>
      <c r="BJ2071">
        <f t="shared" si="1291"/>
        <v>0</v>
      </c>
      <c r="BK2071" s="19">
        <v>0</v>
      </c>
      <c r="BL2071" s="19">
        <v>0</v>
      </c>
      <c r="BM2071" s="17">
        <f t="shared" si="1301"/>
        <v>0</v>
      </c>
      <c r="BN2071" s="17">
        <f>BN2072+BM2071</f>
        <v>5980.5</v>
      </c>
      <c r="BO2071" s="17">
        <f>BM2071*0.6</f>
        <v>0</v>
      </c>
      <c r="BP2071" s="17">
        <f t="shared" si="1293"/>
        <v>3588.2999999999997</v>
      </c>
      <c r="BQ2071" s="17">
        <f t="shared" si="1294"/>
        <v>0</v>
      </c>
      <c r="BR2071" s="17">
        <f t="shared" si="1271"/>
        <v>255.14999999999998</v>
      </c>
      <c r="BS2071" s="17">
        <f t="shared" si="1295"/>
        <v>0</v>
      </c>
      <c r="BT2071" s="17">
        <f t="shared" si="1296"/>
        <v>178.60499999999996</v>
      </c>
      <c r="BU2071" s="100"/>
    </row>
    <row r="2072" x14ac:dyDescent="0.25">
      <c r="B2072" t="s">
        <v>453</v>
      </c>
      <c r="C2072" s="19">
        <v>0</v>
      </c>
      <c r="D2072" s="19">
        <v>0</v>
      </c>
      <c r="E2072" s="66">
        <f t="shared" si="1297"/>
        <v>0</v>
      </c>
      <c r="F2072" s="67">
        <f>IF(E24&gt;0,E24-(C15+C14+2*1.5+IF(C13="single",1.5,3))/12-_xlfn.XLOOKUP(E24,E20:E23,E20:E23,,-1),0)</f>
        <v>0</v>
      </c>
      <c r="H2072" s="19">
        <v>0</v>
      </c>
      <c r="I2072" s="64" t="s">
        <v>196</v>
      </c>
      <c r="J2072" s="19">
        <v>0</v>
      </c>
      <c r="K2072" s="19">
        <v>0</v>
      </c>
      <c r="L2072" s="19">
        <v>0</v>
      </c>
      <c r="M2072" s="19">
        <v>0</v>
      </c>
      <c r="P2072" s="93"/>
      <c r="Q2072" t="s">
        <v>453</v>
      </c>
      <c r="R2072" s="19">
        <f>$H$24</f>
        <v>0</v>
      </c>
      <c r="S2072">
        <f t="shared" si="1272"/>
        <v>0</v>
      </c>
      <c r="T2072">
        <f t="shared" si="1273"/>
        <v>0</v>
      </c>
      <c r="U2072">
        <f t="shared" si="1298"/>
        <v>0</v>
      </c>
      <c r="V2072" s="19">
        <v>0</v>
      </c>
      <c r="W2072">
        <f t="shared" si="1274"/>
        <v>0</v>
      </c>
      <c r="X2072">
        <f t="shared" si="1275"/>
        <v>0</v>
      </c>
      <c r="Y2072">
        <f t="shared" si="1276"/>
        <v>0</v>
      </c>
      <c r="Z2072" s="19">
        <f>$H$24</f>
        <v>0</v>
      </c>
      <c r="AA2072">
        <f t="shared" si="1277"/>
        <v>0</v>
      </c>
      <c r="AB2072">
        <f t="shared" si="1278"/>
        <v>0</v>
      </c>
      <c r="AC2072">
        <f t="shared" si="1264"/>
        <v>0</v>
      </c>
      <c r="AD2072" s="19">
        <v>0</v>
      </c>
      <c r="AE2072">
        <f t="shared" si="1279"/>
        <v>0</v>
      </c>
      <c r="AF2072">
        <f t="shared" si="1280"/>
        <v>0</v>
      </c>
      <c r="AG2072">
        <f t="shared" si="1281"/>
        <v>0</v>
      </c>
      <c r="AH2072" s="19">
        <v>0</v>
      </c>
      <c r="AI2072" s="19">
        <v>0</v>
      </c>
      <c r="AJ2072" s="17">
        <f t="shared" si="1299"/>
        <v>0</v>
      </c>
      <c r="AK2072" s="17">
        <f>AK2073+IF(AJ2072=0,0,AJ2072)</f>
        <v>6423.5</v>
      </c>
      <c r="AL2072" s="17">
        <f t="shared" si="1282"/>
        <v>0</v>
      </c>
      <c r="AM2072" s="17">
        <f>AM2073+AL2072</f>
        <v>3854.1</v>
      </c>
      <c r="AN2072" s="17">
        <f t="shared" si="1284"/>
        <v>0</v>
      </c>
      <c r="AO2072" s="17">
        <f>AN2072+AO2073</f>
        <v>274.04999999999995</v>
      </c>
      <c r="AP2072" s="17">
        <f t="shared" si="1285"/>
        <v>0</v>
      </c>
      <c r="AQ2072" s="17">
        <f>AP2072+AQ2073</f>
        <v>191.83499999999995</v>
      </c>
      <c r="AR2072" s="100"/>
      <c r="AS2072" s="93"/>
      <c r="AT2072" t="s">
        <v>453</v>
      </c>
      <c r="AU2072" s="19">
        <f>$H$24</f>
        <v>0</v>
      </c>
      <c r="AV2072">
        <f t="shared" si="1286"/>
        <v>0</v>
      </c>
      <c r="AW2072">
        <f t="shared" si="1266"/>
        <v>0</v>
      </c>
      <c r="AX2072">
        <f t="shared" si="1300"/>
        <v>0</v>
      </c>
      <c r="AY2072" s="19">
        <v>0</v>
      </c>
      <c r="AZ2072">
        <f t="shared" si="1287"/>
        <v>0</v>
      </c>
      <c r="BA2072">
        <f t="shared" si="1267"/>
        <v>0</v>
      </c>
      <c r="BB2072">
        <f t="shared" si="1288"/>
        <v>0</v>
      </c>
      <c r="BC2072" s="19">
        <f>$H$24</f>
        <v>0</v>
      </c>
      <c r="BD2072">
        <f t="shared" si="1289"/>
        <v>0</v>
      </c>
      <c r="BE2072">
        <f t="shared" si="1268"/>
        <v>0</v>
      </c>
      <c r="BF2072">
        <f t="shared" si="1269"/>
        <v>0</v>
      </c>
      <c r="BG2072" s="19">
        <v>0</v>
      </c>
      <c r="BH2072">
        <f t="shared" si="1290"/>
        <v>0</v>
      </c>
      <c r="BI2072">
        <f t="shared" si="1270"/>
        <v>0</v>
      </c>
      <c r="BJ2072">
        <f t="shared" si="1291"/>
        <v>0</v>
      </c>
      <c r="BK2072" s="19">
        <v>0</v>
      </c>
      <c r="BL2072" s="19">
        <v>0</v>
      </c>
      <c r="BM2072" s="17">
        <f t="shared" si="1301"/>
        <v>0</v>
      </c>
      <c r="BN2072" s="17">
        <f>BN2073+IF(BM2072=0,0,BM2072)</f>
        <v>5980.5</v>
      </c>
      <c r="BO2072" s="17">
        <f t="shared" ref="BO2072:BO2073" si="1302">BM2072*0.6</f>
        <v>0</v>
      </c>
      <c r="BP2072" s="17">
        <f>BP2073+BO2072</f>
        <v>3588.2999999999997</v>
      </c>
      <c r="BQ2072" s="17">
        <f t="shared" si="1294"/>
        <v>0</v>
      </c>
      <c r="BR2072" s="17">
        <f>BQ2072+BR2073</f>
        <v>255.14999999999998</v>
      </c>
      <c r="BS2072" s="17">
        <f t="shared" si="1295"/>
        <v>0</v>
      </c>
      <c r="BT2072" s="17">
        <f>BS2072+BT2073</f>
        <v>178.60499999999996</v>
      </c>
      <c r="BU2072" s="100"/>
    </row>
    <row r="2073" x14ac:dyDescent="0.25">
      <c r="B2073" t="s">
        <v>275</v>
      </c>
      <c r="C2073" s="19">
        <f>(33+32)/2</f>
        <v>32.5</v>
      </c>
      <c r="D2073" s="19">
        <f>(10.5+5.625)/2</f>
        <v>8.0625</v>
      </c>
      <c r="E2073" s="68">
        <f t="shared" si="1297"/>
        <v>33.171875</v>
      </c>
      <c r="F2073" s="69">
        <f>E25-(C17+C16+2*1.5+IF(C13="single",1.5,3))/12-_xlfn.XLOOKUP(E25,E20:E24,E20:E24,,-1)</f>
        <v>8.6770833333333321</v>
      </c>
      <c r="H2073" s="19">
        <v>443</v>
      </c>
      <c r="I2073" s="64" t="s">
        <v>196</v>
      </c>
      <c r="J2073" s="19">
        <v>18.899999999999999</v>
      </c>
      <c r="K2073" s="19">
        <v>36.6</v>
      </c>
      <c r="L2073" s="19">
        <v>10.8</v>
      </c>
      <c r="M2073" s="19">
        <v>66.7</v>
      </c>
      <c r="P2073" s="93"/>
      <c r="Q2073" t="s">
        <v>275</v>
      </c>
      <c r="R2073" s="19">
        <f>$H$25</f>
        <v>443</v>
      </c>
      <c r="S2073">
        <f t="shared" si="1272"/>
        <v>265.8</v>
      </c>
      <c r="T2073">
        <f t="shared" si="1273"/>
        <v>0</v>
      </c>
      <c r="U2073">
        <f t="shared" si="1298"/>
        <v>0</v>
      </c>
      <c r="V2073" s="19">
        <v>18.899999999999999</v>
      </c>
      <c r="W2073">
        <f t="shared" si="1274"/>
        <v>13.229999999999999</v>
      </c>
      <c r="X2073">
        <f t="shared" si="1275"/>
        <v>0</v>
      </c>
      <c r="Y2073">
        <f t="shared" si="1276"/>
        <v>0</v>
      </c>
      <c r="Z2073" s="19">
        <f>$H$25</f>
        <v>443</v>
      </c>
      <c r="AA2073">
        <f t="shared" si="1277"/>
        <v>265.8</v>
      </c>
      <c r="AB2073">
        <f t="shared" si="1278"/>
        <v>6423.5</v>
      </c>
      <c r="AC2073">
        <f t="shared" si="1264"/>
        <v>3854.1</v>
      </c>
      <c r="AD2073" s="19">
        <v>18.899999999999999</v>
      </c>
      <c r="AE2073">
        <f t="shared" si="1279"/>
        <v>13.229999999999999</v>
      </c>
      <c r="AF2073">
        <f t="shared" si="1280"/>
        <v>274.04999999999995</v>
      </c>
      <c r="AG2073">
        <f t="shared" si="1281"/>
        <v>191.83499999999995</v>
      </c>
      <c r="AH2073" s="19">
        <v>0</v>
      </c>
      <c r="AI2073" s="19">
        <v>0</v>
      </c>
      <c r="AJ2073" s="17">
        <f>T2073+AB2073+AH2073</f>
        <v>6423.5</v>
      </c>
      <c r="AK2073" s="17">
        <f>AJ2073</f>
        <v>6423.5</v>
      </c>
      <c r="AL2073" s="17">
        <f t="shared" si="1282"/>
        <v>3854.1</v>
      </c>
      <c r="AM2073" s="17">
        <f>AL2073</f>
        <v>3854.1</v>
      </c>
      <c r="AN2073" s="17">
        <f>X2073+AF2073+AI2073</f>
        <v>274.04999999999995</v>
      </c>
      <c r="AO2073" s="17">
        <f>AN2073</f>
        <v>274.04999999999995</v>
      </c>
      <c r="AP2073" s="17">
        <f>AN2073*0.7</f>
        <v>191.83499999999995</v>
      </c>
      <c r="AQ2073" s="17">
        <f>AP2073</f>
        <v>191.83499999999995</v>
      </c>
      <c r="AR2073" s="100"/>
      <c r="AS2073" s="93"/>
      <c r="AT2073" t="s">
        <v>275</v>
      </c>
      <c r="AU2073" s="19">
        <f>$H$25</f>
        <v>443</v>
      </c>
      <c r="AV2073">
        <f t="shared" si="1286"/>
        <v>265.8</v>
      </c>
      <c r="AW2073">
        <f t="shared" si="1266"/>
        <v>0</v>
      </c>
      <c r="AX2073">
        <f t="shared" si="1300"/>
        <v>0</v>
      </c>
      <c r="AY2073" s="19">
        <v>18.899999999999999</v>
      </c>
      <c r="AZ2073">
        <f t="shared" si="1287"/>
        <v>13.229999999999999</v>
      </c>
      <c r="BA2073">
        <f t="shared" si="1267"/>
        <v>0</v>
      </c>
      <c r="BB2073">
        <f t="shared" si="1288"/>
        <v>0</v>
      </c>
      <c r="BC2073" s="19">
        <f>$H$25</f>
        <v>443</v>
      </c>
      <c r="BD2073">
        <f t="shared" si="1289"/>
        <v>265.8</v>
      </c>
      <c r="BE2073">
        <f t="shared" si="1268"/>
        <v>5980.5</v>
      </c>
      <c r="BF2073">
        <f t="shared" si="1269"/>
        <v>3588.2999999999997</v>
      </c>
      <c r="BG2073" s="19">
        <v>18.899999999999999</v>
      </c>
      <c r="BH2073">
        <f t="shared" si="1290"/>
        <v>13.229999999999999</v>
      </c>
      <c r="BI2073">
        <f t="shared" si="1270"/>
        <v>255.14999999999998</v>
      </c>
      <c r="BJ2073">
        <f t="shared" si="1291"/>
        <v>178.60499999999996</v>
      </c>
      <c r="BK2073" s="19">
        <v>0</v>
      </c>
      <c r="BL2073" s="19">
        <v>0</v>
      </c>
      <c r="BM2073" s="17">
        <f>AW2073+BE2073+BK2073</f>
        <v>5980.5</v>
      </c>
      <c r="BN2073" s="17">
        <f>BM2073</f>
        <v>5980.5</v>
      </c>
      <c r="BO2073" s="17">
        <f t="shared" si="1302"/>
        <v>3588.2999999999997</v>
      </c>
      <c r="BP2073" s="17">
        <f>BO2073</f>
        <v>3588.2999999999997</v>
      </c>
      <c r="BQ2073" s="17">
        <f>BA2073+BI2073+BL2073</f>
        <v>255.14999999999998</v>
      </c>
      <c r="BR2073" s="17">
        <f>BQ2073</f>
        <v>255.14999999999998</v>
      </c>
      <c r="BS2073" s="17">
        <f>BQ2073*0.7</f>
        <v>178.60499999999996</v>
      </c>
      <c r="BT2073" s="17">
        <f>BS2073</f>
        <v>178.60499999999996</v>
      </c>
      <c r="BU2073" s="100"/>
    </row>
    <row r="2074" x14ac:dyDescent="0.25">
      <c r="B2074" t="s">
        <v>530</v>
      </c>
      <c r="E2074" s="73"/>
      <c r="F2074" s="73"/>
      <c r="H2074" s="19">
        <v>-22.9</v>
      </c>
      <c r="I2074" s="64" t="s">
        <v>270</v>
      </c>
      <c r="P2074" s="93"/>
      <c r="R2074" s="19">
        <f>$H$26</f>
        <v>-22.9</v>
      </c>
      <c r="S2074">
        <f t="shared" si="1272"/>
        <v>-13.739999999999998</v>
      </c>
      <c r="T2074">
        <f>$I$58/2*R2074</f>
        <v>0</v>
      </c>
      <c r="U2074">
        <f t="shared" si="1298"/>
        <v>0</v>
      </c>
      <c r="Z2074" s="19">
        <f>$H$26</f>
        <v>-22.9</v>
      </c>
      <c r="AA2074">
        <f>Z2074*0.6</f>
        <v>-13.739999999999998</v>
      </c>
      <c r="AB2074">
        <f>$J$58/2*Z2074</f>
        <v>-309.14999999999998</v>
      </c>
      <c r="AC2074">
        <f t="shared" si="1264"/>
        <v>-185.48999999999998</v>
      </c>
      <c r="AR2074" s="100"/>
      <c r="AS2074" s="93"/>
      <c r="AU2074" s="19">
        <f>$H$26</f>
        <v>-22.9</v>
      </c>
      <c r="AV2074">
        <f t="shared" si="1286"/>
        <v>-13.739999999999998</v>
      </c>
      <c r="AW2074">
        <f t="shared" si="1266"/>
        <v>0</v>
      </c>
      <c r="AX2074">
        <f t="shared" si="1300"/>
        <v>0</v>
      </c>
      <c r="BC2074" s="19">
        <f>$H$26</f>
        <v>-22.9</v>
      </c>
      <c r="BD2074">
        <f>BC2074*0.6</f>
        <v>-13.739999999999998</v>
      </c>
      <c r="BE2074">
        <f t="shared" si="1268"/>
        <v>-309.14999999999998</v>
      </c>
      <c r="BF2074">
        <f t="shared" si="1269"/>
        <v>-185.48999999999998</v>
      </c>
      <c r="BU2074" s="100"/>
    </row>
    <row r="2075" x14ac:dyDescent="0.25">
      <c r="B2075" t="s">
        <v>531</v>
      </c>
      <c r="C2075" s="1" t="s">
        <v>533</v>
      </c>
      <c r="D2075" s="19">
        <v>0.18</v>
      </c>
      <c r="E2075" s="73"/>
      <c r="F2075" s="73"/>
      <c r="H2075">
        <f>0.2*D27</f>
        <v>3.5999999999999997E-2</v>
      </c>
      <c r="I2075" s="64" t="s">
        <v>534</v>
      </c>
      <c r="P2075" s="93"/>
      <c r="Q2075" s="1"/>
      <c r="AR2075" s="100"/>
      <c r="AS2075" s="93"/>
      <c r="AT2075" s="1"/>
      <c r="BU2075" s="100"/>
    </row>
    <row r="2076" x14ac:dyDescent="0.25">
      <c r="P2076" s="93"/>
      <c r="Y2076" s="112" t="s">
        <v>752</v>
      </c>
      <c r="Z2076" s="112"/>
      <c r="AA2076" s="112"/>
      <c r="AB2076" s="112"/>
      <c r="AC2076" s="112"/>
      <c r="AR2076" s="100"/>
      <c r="AS2076" s="93"/>
      <c r="BB2076" s="112" t="s">
        <v>752</v>
      </c>
      <c r="BC2076" s="112"/>
      <c r="BD2076" s="112"/>
      <c r="BE2076" s="112"/>
      <c r="BF2076" s="112"/>
      <c r="BU2076" s="100"/>
    </row>
    <row r="2077" x14ac:dyDescent="0.25">
      <c r="B2077" t="s">
        <v>513</v>
      </c>
      <c r="P2077" s="93"/>
      <c r="Q2077" t="s">
        <v>479</v>
      </c>
      <c r="R2077" t="s">
        <v>491</v>
      </c>
      <c r="S2077" t="s">
        <v>508</v>
      </c>
      <c r="T2077" t="s">
        <v>507</v>
      </c>
      <c r="U2077" t="s">
        <v>535</v>
      </c>
      <c r="V2077" t="s">
        <v>536</v>
      </c>
      <c r="W2077" t="s">
        <v>479</v>
      </c>
      <c r="X2077" t="s">
        <v>537</v>
      </c>
      <c r="Y2077" t="s">
        <v>450</v>
      </c>
      <c r="Z2077" t="s">
        <v>451</v>
      </c>
      <c r="AA2077" t="s">
        <v>452</v>
      </c>
      <c r="AB2077" t="s">
        <v>453</v>
      </c>
      <c r="AC2077" t="s">
        <v>753</v>
      </c>
      <c r="AD2077" t="s">
        <v>519</v>
      </c>
      <c r="AR2077" s="100"/>
      <c r="AS2077" s="93"/>
      <c r="AT2077" t="s">
        <v>479</v>
      </c>
      <c r="AU2077" t="s">
        <v>491</v>
      </c>
      <c r="AV2077" t="s">
        <v>508</v>
      </c>
      <c r="AW2077" t="s">
        <v>507</v>
      </c>
      <c r="AX2077" t="s">
        <v>535</v>
      </c>
      <c r="AY2077" t="s">
        <v>536</v>
      </c>
      <c r="AZ2077" t="s">
        <v>479</v>
      </c>
      <c r="BA2077" t="s">
        <v>537</v>
      </c>
      <c r="BB2077" t="s">
        <v>450</v>
      </c>
      <c r="BC2077" t="s">
        <v>451</v>
      </c>
      <c r="BD2077" t="s">
        <v>452</v>
      </c>
      <c r="BE2077" t="s">
        <v>453</v>
      </c>
      <c r="BF2077" t="s">
        <v>753</v>
      </c>
      <c r="BG2077" t="s">
        <v>519</v>
      </c>
      <c r="BU2077" s="100"/>
    </row>
    <row r="2078" x14ac:dyDescent="0.25">
      <c r="B2078" s="1" t="s">
        <v>275</v>
      </c>
      <c r="C2078" s="19">
        <v>20</v>
      </c>
      <c r="D2078" t="s">
        <v>567</v>
      </c>
      <c r="P2078" s="93"/>
      <c r="Q2078" s="109" t="str">
        <f>R2064&amp;".01"</f>
        <v>A.01</v>
      </c>
      <c r="R2078" s="19">
        <v>29</v>
      </c>
      <c r="S2078" s="19">
        <v>12</v>
      </c>
      <c r="T2078">
        <f>S2078/2</f>
        <v>6</v>
      </c>
      <c r="U2078" s="19">
        <v>4</v>
      </c>
      <c r="V2078">
        <f>U2078/2</f>
        <v>2</v>
      </c>
      <c r="W2078" s="19" t="s">
        <v>515</v>
      </c>
      <c r="X2078" s="19">
        <v>6</v>
      </c>
      <c r="Y2078" s="19"/>
      <c r="Z2078" s="19"/>
      <c r="AA2078" s="19"/>
      <c r="AB2078" s="19"/>
      <c r="AC2078" s="19"/>
      <c r="AD2078" s="108">
        <f>R2078/R2094</f>
        <v>1</v>
      </c>
      <c r="AR2078" s="100"/>
      <c r="AS2078" s="93"/>
      <c r="AT2078" s="109" t="str">
        <f>AU$2064&amp;".01"</f>
        <v>1.01</v>
      </c>
      <c r="AU2078" s="19">
        <v>29</v>
      </c>
      <c r="AV2078" s="19">
        <v>12</v>
      </c>
      <c r="AW2078">
        <f>AV2078/2</f>
        <v>6</v>
      </c>
      <c r="AX2078" s="19">
        <v>4</v>
      </c>
      <c r="AY2078">
        <f>AX2078/2</f>
        <v>2</v>
      </c>
      <c r="AZ2078" s="19" t="s">
        <v>515</v>
      </c>
      <c r="BA2078" s="19">
        <v>6</v>
      </c>
      <c r="BB2078" s="19"/>
      <c r="BC2078" s="19"/>
      <c r="BD2078" s="19"/>
      <c r="BE2078" s="19"/>
      <c r="BF2078" s="19"/>
      <c r="BG2078" s="108">
        <f>AU2078/AU2094</f>
        <v>1</v>
      </c>
      <c r="BU2078" s="100"/>
    </row>
    <row r="2079" x14ac:dyDescent="0.25">
      <c r="B2079" s="1"/>
      <c r="C2079">
        <f>0.9*C30</f>
        <v>18</v>
      </c>
      <c r="D2079" t="s">
        <v>532</v>
      </c>
      <c r="P2079" s="93"/>
      <c r="Q2079" s="109" t="str">
        <f>R2064&amp;".02"</f>
        <v>A.02</v>
      </c>
      <c r="R2079" s="19"/>
      <c r="S2079" s="19"/>
      <c r="T2079">
        <f t="shared" ref="T2079:T2093" si="1303">S2079/2</f>
        <v>0</v>
      </c>
      <c r="U2079" s="19"/>
      <c r="V2079">
        <f t="shared" ref="V2079:V2093" si="1304">U2079/2</f>
        <v>0</v>
      </c>
      <c r="W2079" s="19"/>
      <c r="X2079" s="19"/>
      <c r="Y2079" s="19"/>
      <c r="Z2079" s="19"/>
      <c r="AA2079" s="19"/>
      <c r="AB2079" s="19"/>
      <c r="AC2079" s="19"/>
      <c r="AR2079" s="100"/>
      <c r="AS2079" s="93"/>
      <c r="AT2079" s="109" t="str">
        <f>AU$2064&amp;".02"</f>
        <v>1.02</v>
      </c>
      <c r="AU2079" s="19"/>
      <c r="AV2079" s="19"/>
      <c r="AW2079">
        <f t="shared" ref="AW2079:AW2093" si="1305">AV2079/2</f>
        <v>0</v>
      </c>
      <c r="AX2079" s="19"/>
      <c r="AY2079">
        <f t="shared" ref="AY2079:AY2093" si="1306">AX2079/2</f>
        <v>0</v>
      </c>
      <c r="AZ2079" s="19"/>
      <c r="BA2079" s="19"/>
      <c r="BB2079" s="19"/>
      <c r="BC2079" s="19"/>
      <c r="BD2079" s="19"/>
      <c r="BE2079" s="19"/>
      <c r="BF2079" s="19"/>
      <c r="BU2079" s="100"/>
    </row>
    <row r="2080" x14ac:dyDescent="0.25">
      <c r="B2080" s="1" t="s">
        <v>514</v>
      </c>
      <c r="C2080" s="19">
        <v>26</v>
      </c>
      <c r="D2080" t="s">
        <v>512</v>
      </c>
      <c r="P2080" s="93"/>
      <c r="Q2080" s="109" t="str">
        <f>R2064&amp;".03"</f>
        <v>A.03</v>
      </c>
      <c r="R2080" s="19"/>
      <c r="S2080" s="19"/>
      <c r="T2080">
        <f t="shared" si="1303"/>
        <v>0</v>
      </c>
      <c r="U2080" s="19"/>
      <c r="V2080">
        <f t="shared" si="1304"/>
        <v>0</v>
      </c>
      <c r="W2080" s="19"/>
      <c r="X2080" s="19"/>
      <c r="Y2080" s="19"/>
      <c r="Z2080" s="19"/>
      <c r="AA2080" s="19"/>
      <c r="AB2080" s="19"/>
      <c r="AC2080" s="19"/>
      <c r="AR2080" s="100"/>
      <c r="AS2080" s="93"/>
      <c r="AT2080" s="109" t="str">
        <f>AU$2064&amp;".03"</f>
        <v>1.03</v>
      </c>
      <c r="AU2080" s="19"/>
      <c r="AV2080" s="19"/>
      <c r="AW2080">
        <f t="shared" si="1305"/>
        <v>0</v>
      </c>
      <c r="AX2080" s="19"/>
      <c r="AY2080">
        <f t="shared" si="1306"/>
        <v>0</v>
      </c>
      <c r="AZ2080" s="19"/>
      <c r="BA2080" s="19"/>
      <c r="BB2080" s="19"/>
      <c r="BC2080" s="19"/>
      <c r="BD2080" s="19"/>
      <c r="BE2080" s="19"/>
      <c r="BF2080" s="19"/>
      <c r="BU2080" s="100"/>
    </row>
    <row r="2081" x14ac:dyDescent="0.25">
      <c r="B2081" s="1" t="s">
        <v>477</v>
      </c>
      <c r="C2081" s="19">
        <v>11</v>
      </c>
      <c r="D2081" t="s">
        <v>509</v>
      </c>
      <c r="P2081" s="93"/>
      <c r="Q2081" s="109" t="str">
        <f>R2064&amp;".04"</f>
        <v>A.04</v>
      </c>
      <c r="R2081" s="19"/>
      <c r="S2081" s="19"/>
      <c r="T2081">
        <f t="shared" si="1303"/>
        <v>0</v>
      </c>
      <c r="U2081" s="19"/>
      <c r="V2081">
        <f t="shared" si="1304"/>
        <v>0</v>
      </c>
      <c r="W2081" s="19"/>
      <c r="X2081" s="19"/>
      <c r="Y2081" s="19"/>
      <c r="Z2081" s="19"/>
      <c r="AA2081" s="19"/>
      <c r="AB2081" s="19"/>
      <c r="AC2081" s="19"/>
      <c r="AR2081" s="100"/>
      <c r="AS2081" s="93"/>
      <c r="AT2081" s="109" t="str">
        <f>AU$2064&amp;".04"</f>
        <v>1.04</v>
      </c>
      <c r="AU2081" s="19"/>
      <c r="AV2081" s="19"/>
      <c r="AW2081">
        <f t="shared" si="1305"/>
        <v>0</v>
      </c>
      <c r="AX2081" s="19"/>
      <c r="AY2081">
        <f t="shared" si="1306"/>
        <v>0</v>
      </c>
      <c r="AZ2081" s="19"/>
      <c r="BA2081" s="19"/>
      <c r="BB2081" s="19"/>
      <c r="BC2081" s="19"/>
      <c r="BD2081" s="19"/>
      <c r="BE2081" s="19"/>
      <c r="BF2081" s="19"/>
      <c r="BU2081" s="100"/>
    </row>
    <row r="2082" x14ac:dyDescent="0.25">
      <c r="B2082" s="1" t="s">
        <v>478</v>
      </c>
      <c r="C2082" s="19">
        <v>13</v>
      </c>
      <c r="D2082" t="s">
        <v>510</v>
      </c>
      <c r="P2082" s="93"/>
      <c r="Q2082" s="109" t="str">
        <f>R2064&amp;".05"</f>
        <v>A.05</v>
      </c>
      <c r="R2082" s="19"/>
      <c r="S2082" s="19"/>
      <c r="T2082">
        <f t="shared" si="1303"/>
        <v>0</v>
      </c>
      <c r="U2082" s="19"/>
      <c r="V2082">
        <f t="shared" si="1304"/>
        <v>0</v>
      </c>
      <c r="W2082" s="19"/>
      <c r="X2082" s="19"/>
      <c r="Y2082" s="19"/>
      <c r="Z2082" s="19"/>
      <c r="AA2082" s="19"/>
      <c r="AB2082" s="19"/>
      <c r="AC2082" s="19"/>
      <c r="AR2082" s="100"/>
      <c r="AS2082" s="93"/>
      <c r="AT2082" s="109" t="str">
        <f>AU$2064&amp;".05"</f>
        <v>1.05</v>
      </c>
      <c r="AU2082" s="19"/>
      <c r="AV2082" s="19"/>
      <c r="AW2082">
        <f t="shared" si="1305"/>
        <v>0</v>
      </c>
      <c r="AX2082" s="19"/>
      <c r="AY2082">
        <f t="shared" si="1306"/>
        <v>0</v>
      </c>
      <c r="AZ2082" s="19"/>
      <c r="BA2082" s="19"/>
      <c r="BB2082" s="19"/>
      <c r="BC2082" s="19"/>
      <c r="BD2082" s="19"/>
      <c r="BE2082" s="19"/>
      <c r="BF2082" s="19"/>
      <c r="BU2082" s="100"/>
    </row>
    <row r="2083" x14ac:dyDescent="0.25">
      <c r="B2083" s="1" t="s">
        <v>515</v>
      </c>
      <c r="C2083" s="19">
        <v>18</v>
      </c>
      <c r="D2083" t="s">
        <v>511</v>
      </c>
      <c r="P2083" s="93"/>
      <c r="Q2083" s="109" t="str">
        <f>R2064&amp;".06"</f>
        <v>A.06</v>
      </c>
      <c r="R2083" s="19"/>
      <c r="S2083" s="19"/>
      <c r="T2083">
        <f t="shared" si="1303"/>
        <v>0</v>
      </c>
      <c r="U2083" s="19"/>
      <c r="V2083">
        <f t="shared" si="1304"/>
        <v>0</v>
      </c>
      <c r="W2083" s="19"/>
      <c r="X2083" s="19"/>
      <c r="Y2083" s="19"/>
      <c r="Z2083" s="19"/>
      <c r="AA2083" s="19"/>
      <c r="AB2083" s="19"/>
      <c r="AC2083" s="19"/>
      <c r="AR2083" s="100"/>
      <c r="AS2083" s="93"/>
      <c r="AT2083" s="109" t="str">
        <f>AU$2064&amp;".06"</f>
        <v>1.06</v>
      </c>
      <c r="AU2083" s="19"/>
      <c r="AV2083" s="19"/>
      <c r="AW2083">
        <f t="shared" si="1305"/>
        <v>0</v>
      </c>
      <c r="AX2083" s="19"/>
      <c r="AY2083">
        <f t="shared" si="1306"/>
        <v>0</v>
      </c>
      <c r="AZ2083" s="19"/>
      <c r="BA2083" s="19"/>
      <c r="BB2083" s="19"/>
      <c r="BC2083" s="19"/>
      <c r="BD2083" s="19"/>
      <c r="BE2083" s="19"/>
      <c r="BF2083" s="19"/>
      <c r="BU2083" s="100"/>
    </row>
    <row r="2084" x14ac:dyDescent="0.25">
      <c r="B2084" s="1" t="s">
        <v>516</v>
      </c>
      <c r="P2084" s="93"/>
      <c r="Q2084" s="109" t="str">
        <f>R2064&amp;".07"</f>
        <v>A.07</v>
      </c>
      <c r="R2084" s="19"/>
      <c r="S2084" s="19"/>
      <c r="T2084">
        <f t="shared" si="1303"/>
        <v>0</v>
      </c>
      <c r="U2084" s="19"/>
      <c r="V2084">
        <f t="shared" si="1304"/>
        <v>0</v>
      </c>
      <c r="W2084" s="19"/>
      <c r="X2084" s="19"/>
      <c r="Y2084" s="19"/>
      <c r="Z2084" s="19"/>
      <c r="AA2084" s="19"/>
      <c r="AB2084" s="19"/>
      <c r="AC2084" s="19"/>
      <c r="AF2084" s="109"/>
      <c r="AR2084" s="100"/>
      <c r="AS2084" s="93"/>
      <c r="AT2084" s="109" t="str">
        <f>AU$2064&amp;".07"</f>
        <v>1.07</v>
      </c>
      <c r="AU2084" s="19"/>
      <c r="AV2084" s="19"/>
      <c r="AW2084">
        <f t="shared" si="1305"/>
        <v>0</v>
      </c>
      <c r="AX2084" s="19"/>
      <c r="AY2084">
        <f t="shared" si="1306"/>
        <v>0</v>
      </c>
      <c r="AZ2084" s="19"/>
      <c r="BA2084" s="19"/>
      <c r="BB2084" s="19"/>
      <c r="BC2084" s="19"/>
      <c r="BD2084" s="19"/>
      <c r="BE2084" s="19"/>
      <c r="BF2084" s="19"/>
      <c r="BI2084" s="109"/>
      <c r="BU2084" s="100"/>
    </row>
    <row r="2085" x14ac:dyDescent="0.25">
      <c r="B2085" s="1" t="s">
        <v>517</v>
      </c>
      <c r="P2085" s="93"/>
      <c r="Q2085" s="109" t="str">
        <f>R2064&amp;".08"</f>
        <v>A.08</v>
      </c>
      <c r="R2085" s="19"/>
      <c r="S2085" s="19"/>
      <c r="T2085">
        <f t="shared" si="1303"/>
        <v>0</v>
      </c>
      <c r="U2085" s="19"/>
      <c r="V2085">
        <f t="shared" si="1304"/>
        <v>0</v>
      </c>
      <c r="W2085" s="19"/>
      <c r="X2085" s="19"/>
      <c r="Y2085" s="19"/>
      <c r="Z2085" s="19"/>
      <c r="AA2085" s="19"/>
      <c r="AB2085" s="19"/>
      <c r="AC2085" s="19"/>
      <c r="AF2085" s="109"/>
      <c r="AR2085" s="100"/>
      <c r="AS2085" s="93"/>
      <c r="AT2085" s="109" t="str">
        <f>AU$2064&amp;".08"</f>
        <v>1.08</v>
      </c>
      <c r="AU2085" s="19"/>
      <c r="AV2085" s="19"/>
      <c r="AW2085">
        <f t="shared" si="1305"/>
        <v>0</v>
      </c>
      <c r="AX2085" s="19"/>
      <c r="AY2085">
        <f t="shared" si="1306"/>
        <v>0</v>
      </c>
      <c r="AZ2085" s="19"/>
      <c r="BA2085" s="19"/>
      <c r="BB2085" s="19"/>
      <c r="BC2085" s="19"/>
      <c r="BD2085" s="19"/>
      <c r="BE2085" s="19"/>
      <c r="BF2085" s="19"/>
      <c r="BI2085" s="109"/>
      <c r="BU2085" s="100"/>
    </row>
    <row r="2086" x14ac:dyDescent="0.25">
      <c r="B2086" s="1" t="s">
        <v>518</v>
      </c>
      <c r="P2086" s="93"/>
      <c r="Q2086" s="109" t="str">
        <f>R2064&amp;".09"</f>
        <v>A.09</v>
      </c>
      <c r="R2086" s="19"/>
      <c r="S2086" s="19"/>
      <c r="T2086">
        <f t="shared" si="1303"/>
        <v>0</v>
      </c>
      <c r="U2086" s="19"/>
      <c r="V2086">
        <f t="shared" si="1304"/>
        <v>0</v>
      </c>
      <c r="W2086" s="19"/>
      <c r="X2086" s="19"/>
      <c r="Y2086" s="19"/>
      <c r="Z2086" s="19"/>
      <c r="AA2086" s="19"/>
      <c r="AB2086" s="19"/>
      <c r="AC2086" s="19"/>
      <c r="AF2086" s="109"/>
      <c r="AR2086" s="100"/>
      <c r="AS2086" s="93"/>
      <c r="AT2086" s="109" t="str">
        <f>AU$2064&amp;".09"</f>
        <v>1.09</v>
      </c>
      <c r="AU2086" s="19"/>
      <c r="AV2086" s="19"/>
      <c r="AW2086">
        <f t="shared" si="1305"/>
        <v>0</v>
      </c>
      <c r="AX2086" s="19"/>
      <c r="AY2086">
        <f t="shared" si="1306"/>
        <v>0</v>
      </c>
      <c r="AZ2086" s="19"/>
      <c r="BA2086" s="19"/>
      <c r="BB2086" s="19"/>
      <c r="BC2086" s="19"/>
      <c r="BD2086" s="19"/>
      <c r="BE2086" s="19"/>
      <c r="BF2086" s="19"/>
      <c r="BI2086" s="109"/>
      <c r="BU2086" s="100"/>
    </row>
    <row r="2087" x14ac:dyDescent="0.25">
      <c r="P2087" s="93"/>
      <c r="Q2087" s="109" t="str">
        <f>R2064&amp;".10"</f>
        <v>A.10</v>
      </c>
      <c r="R2087" s="19"/>
      <c r="S2087" s="19"/>
      <c r="T2087">
        <f t="shared" si="1303"/>
        <v>0</v>
      </c>
      <c r="U2087" s="19"/>
      <c r="V2087">
        <f t="shared" si="1304"/>
        <v>0</v>
      </c>
      <c r="W2087" s="19"/>
      <c r="X2087" s="19"/>
      <c r="Y2087" s="19"/>
      <c r="Z2087" s="19"/>
      <c r="AA2087" s="19"/>
      <c r="AB2087" s="19"/>
      <c r="AC2087" s="19"/>
      <c r="AF2087" s="109"/>
      <c r="AR2087" s="100"/>
      <c r="AS2087" s="93"/>
      <c r="AT2087" s="109" t="str">
        <f>AU$2064&amp;".10"</f>
        <v>1.10</v>
      </c>
      <c r="AU2087" s="19"/>
      <c r="AV2087" s="19"/>
      <c r="AW2087">
        <f t="shared" si="1305"/>
        <v>0</v>
      </c>
      <c r="AX2087" s="19"/>
      <c r="AY2087">
        <f t="shared" si="1306"/>
        <v>0</v>
      </c>
      <c r="AZ2087" s="19"/>
      <c r="BA2087" s="19"/>
      <c r="BB2087" s="19"/>
      <c r="BC2087" s="19"/>
      <c r="BD2087" s="19"/>
      <c r="BE2087" s="19"/>
      <c r="BF2087" s="19"/>
      <c r="BI2087" s="109"/>
      <c r="BU2087" s="100"/>
    </row>
    <row r="2088" x14ac:dyDescent="0.25">
      <c r="C2088" s="112" t="s">
        <v>495</v>
      </c>
      <c r="D2088" s="112"/>
      <c r="E2088" s="112"/>
      <c r="I2088" s="112" t="s">
        <v>495</v>
      </c>
      <c r="J2088" s="112"/>
      <c r="K2088" s="112"/>
      <c r="P2088" s="93"/>
      <c r="Q2088" s="109" t="str">
        <f>R2064&amp;".11"</f>
        <v>A.11</v>
      </c>
      <c r="R2088" s="19"/>
      <c r="S2088" s="19"/>
      <c r="T2088">
        <f t="shared" si="1303"/>
        <v>0</v>
      </c>
      <c r="U2088" s="19"/>
      <c r="V2088">
        <f t="shared" si="1304"/>
        <v>0</v>
      </c>
      <c r="W2088" s="19"/>
      <c r="X2088" s="19"/>
      <c r="Y2088" s="19"/>
      <c r="Z2088" s="19"/>
      <c r="AA2088" s="19"/>
      <c r="AB2088" s="19"/>
      <c r="AC2088" s="19"/>
      <c r="AF2088" s="109"/>
      <c r="AR2088" s="100"/>
      <c r="AS2088" s="93"/>
      <c r="AT2088" s="109" t="str">
        <f>AU$2064&amp;".11"</f>
        <v>1.11</v>
      </c>
      <c r="AU2088" s="19"/>
      <c r="AV2088" s="19"/>
      <c r="AW2088">
        <f t="shared" si="1305"/>
        <v>0</v>
      </c>
      <c r="AX2088" s="19"/>
      <c r="AY2088">
        <f t="shared" si="1306"/>
        <v>0</v>
      </c>
      <c r="AZ2088" s="19"/>
      <c r="BA2088" s="19"/>
      <c r="BB2088" s="19"/>
      <c r="BC2088" s="19"/>
      <c r="BD2088" s="19"/>
      <c r="BE2088" s="19"/>
      <c r="BF2088" s="19"/>
      <c r="BI2088" s="109"/>
      <c r="BU2088" s="100"/>
    </row>
    <row r="2089" x14ac:dyDescent="0.25">
      <c r="B2089" t="s">
        <v>474</v>
      </c>
      <c r="C2089" t="s">
        <v>492</v>
      </c>
      <c r="D2089" t="s">
        <v>493</v>
      </c>
      <c r="E2089" t="s">
        <v>494</v>
      </c>
      <c r="H2089" t="s">
        <v>455</v>
      </c>
      <c r="I2089" t="s">
        <v>492</v>
      </c>
      <c r="J2089" t="s">
        <v>493</v>
      </c>
      <c r="K2089" t="s">
        <v>494</v>
      </c>
      <c r="P2089" s="93"/>
      <c r="Q2089" s="109" t="str">
        <f>R2064&amp;".12"</f>
        <v>A.12</v>
      </c>
      <c r="R2089" s="19"/>
      <c r="S2089" s="19"/>
      <c r="T2089">
        <f t="shared" si="1303"/>
        <v>0</v>
      </c>
      <c r="U2089" s="19"/>
      <c r="V2089">
        <f t="shared" si="1304"/>
        <v>0</v>
      </c>
      <c r="W2089" s="19"/>
      <c r="X2089" s="19"/>
      <c r="Y2089" s="19"/>
      <c r="Z2089" s="19"/>
      <c r="AA2089" s="19"/>
      <c r="AB2089" s="19"/>
      <c r="AC2089" s="19"/>
      <c r="AF2089" s="109"/>
      <c r="AR2089" s="100"/>
      <c r="AS2089" s="93"/>
      <c r="AT2089" s="109" t="str">
        <f>AU$2064&amp;".12"</f>
        <v>1.12</v>
      </c>
      <c r="AU2089" s="19"/>
      <c r="AV2089" s="19"/>
      <c r="AW2089">
        <f t="shared" si="1305"/>
        <v>0</v>
      </c>
      <c r="AX2089" s="19"/>
      <c r="AY2089">
        <f t="shared" si="1306"/>
        <v>0</v>
      </c>
      <c r="AZ2089" s="19"/>
      <c r="BA2089" s="19"/>
      <c r="BB2089" s="19"/>
      <c r="BC2089" s="19"/>
      <c r="BD2089" s="19"/>
      <c r="BE2089" s="19"/>
      <c r="BF2089" s="19"/>
      <c r="BI2089" s="109"/>
      <c r="BU2089" s="100"/>
    </row>
    <row r="2090" x14ac:dyDescent="0.25">
      <c r="B2090" t="s">
        <v>274</v>
      </c>
      <c r="C2090" s="19">
        <v>0</v>
      </c>
      <c r="D2090" s="19">
        <v>29</v>
      </c>
      <c r="E2090">
        <f>C58+D58</f>
        <v>29</v>
      </c>
      <c r="H2090">
        <v>1</v>
      </c>
      <c r="I2090" s="19">
        <v>0</v>
      </c>
      <c r="J2090" s="19">
        <v>27</v>
      </c>
      <c r="K2090">
        <f>I58+J58</f>
        <v>27</v>
      </c>
      <c r="P2090" s="93"/>
      <c r="Q2090" s="109" t="str">
        <f>R2064&amp;".13"</f>
        <v>A.13</v>
      </c>
      <c r="R2090" s="19"/>
      <c r="S2090" s="19"/>
      <c r="T2090">
        <f t="shared" si="1303"/>
        <v>0</v>
      </c>
      <c r="U2090" s="19"/>
      <c r="V2090">
        <f t="shared" si="1304"/>
        <v>0</v>
      </c>
      <c r="W2090" s="19"/>
      <c r="X2090" s="19"/>
      <c r="Y2090" s="19"/>
      <c r="Z2090" s="19"/>
      <c r="AA2090" s="19"/>
      <c r="AB2090" s="19"/>
      <c r="AC2090" s="19"/>
      <c r="AF2090" s="109"/>
      <c r="AR2090" s="100"/>
      <c r="AS2090" s="93"/>
      <c r="AT2090" s="109" t="str">
        <f>AU$2064&amp;".13"</f>
        <v>1.13</v>
      </c>
      <c r="AU2090" s="19"/>
      <c r="AV2090" s="19"/>
      <c r="AW2090">
        <f t="shared" si="1305"/>
        <v>0</v>
      </c>
      <c r="AX2090" s="19"/>
      <c r="AY2090">
        <f t="shared" si="1306"/>
        <v>0</v>
      </c>
      <c r="AZ2090" s="19"/>
      <c r="BA2090" s="19"/>
      <c r="BB2090" s="19"/>
      <c r="BC2090" s="19"/>
      <c r="BD2090" s="19"/>
      <c r="BE2090" s="19"/>
      <c r="BF2090" s="19"/>
      <c r="BI2090" s="109"/>
      <c r="BU2090" s="100"/>
    </row>
    <row r="2091" x14ac:dyDescent="0.25">
      <c r="B2091" t="s">
        <v>279</v>
      </c>
      <c r="C2091" s="19">
        <v>29</v>
      </c>
      <c r="D2091" s="19">
        <v>6</v>
      </c>
      <c r="E2091">
        <f t="shared" ref="E43:E67" si="1307">C43+D43</f>
        <v>35</v>
      </c>
      <c r="H2091">
        <v>2</v>
      </c>
      <c r="I2091" s="19">
        <v>27</v>
      </c>
      <c r="J2091" s="19">
        <v>14</v>
      </c>
      <c r="K2091">
        <f t="shared" ref="K43:K67" si="1308">I43+J43</f>
        <v>41</v>
      </c>
      <c r="P2091" s="93"/>
      <c r="Q2091" s="109" t="str">
        <f>R2064&amp;".14"</f>
        <v>A.14</v>
      </c>
      <c r="R2091" s="19"/>
      <c r="S2091" s="19"/>
      <c r="T2091">
        <f t="shared" si="1303"/>
        <v>0</v>
      </c>
      <c r="U2091" s="19"/>
      <c r="V2091">
        <f t="shared" si="1304"/>
        <v>0</v>
      </c>
      <c r="W2091" s="19"/>
      <c r="X2091" s="19"/>
      <c r="Y2091" s="19"/>
      <c r="Z2091" s="19"/>
      <c r="AA2091" s="19"/>
      <c r="AB2091" s="19"/>
      <c r="AC2091" s="19"/>
      <c r="AF2091" s="109"/>
      <c r="AR2091" s="100"/>
      <c r="AS2091" s="93"/>
      <c r="AT2091" s="109" t="str">
        <f>AU$2064&amp;".14"</f>
        <v>1.14</v>
      </c>
      <c r="AU2091" s="19"/>
      <c r="AV2091" s="19"/>
      <c r="AW2091">
        <f t="shared" si="1305"/>
        <v>0</v>
      </c>
      <c r="AX2091" s="19"/>
      <c r="AY2091">
        <f t="shared" si="1306"/>
        <v>0</v>
      </c>
      <c r="AZ2091" s="19"/>
      <c r="BA2091" s="19"/>
      <c r="BB2091" s="19"/>
      <c r="BC2091" s="19"/>
      <c r="BD2091" s="19"/>
      <c r="BE2091" s="19"/>
      <c r="BF2091" s="19"/>
      <c r="BI2091" s="109"/>
      <c r="BU2091" s="100"/>
    </row>
    <row r="2092" x14ac:dyDescent="0.25">
      <c r="B2092" t="s">
        <v>283</v>
      </c>
      <c r="C2092" s="19">
        <v>6</v>
      </c>
      <c r="D2092" s="19">
        <v>29</v>
      </c>
      <c r="E2092">
        <f t="shared" si="1307"/>
        <v>35</v>
      </c>
      <c r="H2092">
        <v>3</v>
      </c>
      <c r="I2092" s="19">
        <v>14</v>
      </c>
      <c r="J2092" s="19">
        <v>13</v>
      </c>
      <c r="K2092">
        <f t="shared" si="1308"/>
        <v>27</v>
      </c>
      <c r="P2092" s="93"/>
      <c r="Q2092" s="109" t="str">
        <f>R2064&amp;".15"</f>
        <v>A.15</v>
      </c>
      <c r="R2092" s="19"/>
      <c r="S2092" s="19"/>
      <c r="T2092">
        <f t="shared" si="1303"/>
        <v>0</v>
      </c>
      <c r="U2092" s="19"/>
      <c r="V2092">
        <f t="shared" si="1304"/>
        <v>0</v>
      </c>
      <c r="W2092" s="19"/>
      <c r="X2092" s="19"/>
      <c r="Y2092" s="19"/>
      <c r="Z2092" s="19"/>
      <c r="AA2092" s="19"/>
      <c r="AB2092" s="19"/>
      <c r="AC2092" s="19"/>
      <c r="AF2092" s="109"/>
      <c r="AR2092" s="100"/>
      <c r="AS2092" s="93"/>
      <c r="AT2092" s="109" t="str">
        <f>AU$2064&amp;".15"</f>
        <v>1.15</v>
      </c>
      <c r="AU2092" s="19"/>
      <c r="AV2092" s="19"/>
      <c r="AW2092">
        <f t="shared" si="1305"/>
        <v>0</v>
      </c>
      <c r="AX2092" s="19"/>
      <c r="AY2092">
        <f t="shared" si="1306"/>
        <v>0</v>
      </c>
      <c r="AZ2092" s="19"/>
      <c r="BA2092" s="19"/>
      <c r="BB2092" s="19"/>
      <c r="BC2092" s="19"/>
      <c r="BD2092" s="19"/>
      <c r="BE2092" s="19"/>
      <c r="BF2092" s="19"/>
      <c r="BI2092" s="109"/>
      <c r="BU2092" s="100"/>
    </row>
    <row r="2093" x14ac:dyDescent="0.25">
      <c r="B2093" t="s">
        <v>287</v>
      </c>
      <c r="C2093" s="19">
        <v>26</v>
      </c>
      <c r="D2093" s="19">
        <v>26</v>
      </c>
      <c r="E2093">
        <f t="shared" si="1307"/>
        <v>52</v>
      </c>
      <c r="F2093" t="s">
        <v>506</v>
      </c>
      <c r="H2093">
        <v>4</v>
      </c>
      <c r="I2093" s="19">
        <v>13</v>
      </c>
      <c r="J2093" s="19">
        <v>27</v>
      </c>
      <c r="K2093">
        <f t="shared" si="1308"/>
        <v>40</v>
      </c>
      <c r="P2093" s="93"/>
      <c r="Q2093" s="109" t="str">
        <f>R2064&amp;".16"</f>
        <v>A.16</v>
      </c>
      <c r="R2093" s="19"/>
      <c r="S2093" s="19"/>
      <c r="T2093">
        <f t="shared" si="1303"/>
        <v>0</v>
      </c>
      <c r="U2093" s="19"/>
      <c r="V2093">
        <f t="shared" si="1304"/>
        <v>0</v>
      </c>
      <c r="W2093" s="19"/>
      <c r="X2093" s="19"/>
      <c r="Y2093" s="19"/>
      <c r="Z2093" s="19"/>
      <c r="AA2093" s="19"/>
      <c r="AB2093" s="19"/>
      <c r="AC2093" s="19"/>
      <c r="AF2093" s="109"/>
      <c r="AR2093" s="100"/>
      <c r="AS2093" s="93"/>
      <c r="AT2093" s="109" t="str">
        <f>AU$2064&amp;".16"</f>
        <v>1.16</v>
      </c>
      <c r="AU2093" s="19"/>
      <c r="AV2093" s="19"/>
      <c r="AW2093">
        <f t="shared" si="1305"/>
        <v>0</v>
      </c>
      <c r="AX2093" s="19"/>
      <c r="AY2093">
        <f t="shared" si="1306"/>
        <v>0</v>
      </c>
      <c r="AZ2093" s="19"/>
      <c r="BA2093" s="19"/>
      <c r="BB2093" s="19"/>
      <c r="BC2093" s="19"/>
      <c r="BD2093" s="19"/>
      <c r="BE2093" s="19"/>
      <c r="BF2093" s="19"/>
      <c r="BI2093" s="109"/>
      <c r="BU2093" s="100"/>
    </row>
    <row r="2094" x14ac:dyDescent="0.25">
      <c r="B2094" t="s">
        <v>288</v>
      </c>
      <c r="C2094" s="19">
        <v>29</v>
      </c>
      <c r="D2094" s="19">
        <v>0</v>
      </c>
      <c r="E2094">
        <f t="shared" si="1307"/>
        <v>29</v>
      </c>
      <c r="H2094">
        <v>5</v>
      </c>
      <c r="I2094" s="19">
        <v>27</v>
      </c>
      <c r="J2094" s="19">
        <v>11</v>
      </c>
      <c r="K2094">
        <f t="shared" si="1308"/>
        <v>38</v>
      </c>
      <c r="P2094" s="93"/>
      <c r="R2094">
        <f>SUM(R2078:R2093)</f>
        <v>29</v>
      </c>
      <c r="AR2094" s="100"/>
      <c r="AS2094" s="93"/>
      <c r="AU2094">
        <f>SUM(AU2078:AU2093)</f>
        <v>29</v>
      </c>
      <c r="BU2094" s="100"/>
    </row>
    <row r="2095" x14ac:dyDescent="0.25">
      <c r="B2095" t="s">
        <v>293</v>
      </c>
      <c r="C2095" s="19">
        <v>17</v>
      </c>
      <c r="D2095" s="19">
        <v>27</v>
      </c>
      <c r="E2095">
        <f t="shared" si="1307"/>
        <v>44</v>
      </c>
      <c r="H2095">
        <v>6</v>
      </c>
      <c r="I2095" s="19">
        <v>11</v>
      </c>
      <c r="J2095" s="19">
        <v>6</v>
      </c>
      <c r="K2095">
        <f t="shared" si="1308"/>
        <v>17</v>
      </c>
      <c r="P2095" s="93"/>
      <c r="AP2095" t="s">
        <v>746</v>
      </c>
      <c r="AR2095" s="100"/>
      <c r="AS2095" s="93"/>
      <c r="BS2095" t="s">
        <v>746</v>
      </c>
      <c r="BU2095" s="100"/>
    </row>
    <row r="2096" x14ac:dyDescent="0.25">
      <c r="B2096" t="s">
        <v>456</v>
      </c>
      <c r="C2096" s="19">
        <v>27</v>
      </c>
      <c r="D2096" s="19">
        <v>27</v>
      </c>
      <c r="E2096">
        <f t="shared" si="1307"/>
        <v>54</v>
      </c>
      <c r="H2096">
        <v>7</v>
      </c>
      <c r="I2096" s="19">
        <v>6</v>
      </c>
      <c r="J2096" s="19">
        <v>11</v>
      </c>
      <c r="K2096">
        <f t="shared" si="1308"/>
        <v>17</v>
      </c>
      <c r="P2096" s="93"/>
      <c r="Q2096" t="s">
        <v>525</v>
      </c>
      <c r="R2096" t="s">
        <v>263</v>
      </c>
      <c r="S2096" t="s">
        <v>526</v>
      </c>
      <c r="T2096" t="s">
        <v>570</v>
      </c>
      <c r="U2096" t="s">
        <v>571</v>
      </c>
      <c r="V2096" t="s">
        <v>572</v>
      </c>
      <c r="W2096" t="s">
        <v>539</v>
      </c>
      <c r="X2096" t="s">
        <v>538</v>
      </c>
      <c r="Z2096" t="s">
        <v>522</v>
      </c>
      <c r="AA2096" t="s">
        <v>523</v>
      </c>
      <c r="AB2096" t="s">
        <v>541</v>
      </c>
      <c r="AC2096" t="s">
        <v>540</v>
      </c>
      <c r="AD2096" t="s">
        <v>542</v>
      </c>
      <c r="AE2096" t="s">
        <v>520</v>
      </c>
      <c r="AF2096" t="s">
        <v>521</v>
      </c>
      <c r="AG2096" t="s">
        <v>527</v>
      </c>
      <c r="AH2096" t="s">
        <v>528</v>
      </c>
      <c r="AI2096" t="s">
        <v>543</v>
      </c>
      <c r="AJ2096" t="s">
        <v>744</v>
      </c>
      <c r="AK2096" t="s">
        <v>745</v>
      </c>
      <c r="AL2096" t="s">
        <v>749</v>
      </c>
      <c r="AM2096" t="s">
        <v>750</v>
      </c>
      <c r="AN2096" t="s">
        <v>751</v>
      </c>
      <c r="AP2096" t="s">
        <v>747</v>
      </c>
      <c r="AQ2096" t="s">
        <v>748</v>
      </c>
      <c r="AR2096" s="100"/>
      <c r="AS2096" s="93"/>
      <c r="AT2096" t="s">
        <v>525</v>
      </c>
      <c r="AU2096" t="s">
        <v>263</v>
      </c>
      <c r="AV2096" t="s">
        <v>526</v>
      </c>
      <c r="AW2096" t="s">
        <v>570</v>
      </c>
      <c r="AX2096" t="s">
        <v>571</v>
      </c>
      <c r="AY2096" t="s">
        <v>572</v>
      </c>
      <c r="AZ2096" t="s">
        <v>539</v>
      </c>
      <c r="BA2096" t="s">
        <v>538</v>
      </c>
      <c r="BC2096" t="s">
        <v>522</v>
      </c>
      <c r="BD2096" t="s">
        <v>523</v>
      </c>
      <c r="BE2096" t="s">
        <v>541</v>
      </c>
      <c r="BF2096" t="s">
        <v>540</v>
      </c>
      <c r="BG2096" t="s">
        <v>542</v>
      </c>
      <c r="BH2096" t="s">
        <v>520</v>
      </c>
      <c r="BI2096" t="s">
        <v>521</v>
      </c>
      <c r="BJ2096" t="s">
        <v>527</v>
      </c>
      <c r="BK2096" t="s">
        <v>528</v>
      </c>
      <c r="BL2096" t="s">
        <v>543</v>
      </c>
      <c r="BM2096" t="s">
        <v>744</v>
      </c>
      <c r="BN2096" t="s">
        <v>745</v>
      </c>
      <c r="BO2096" t="s">
        <v>749</v>
      </c>
      <c r="BP2096" t="s">
        <v>750</v>
      </c>
      <c r="BQ2096" t="s">
        <v>751</v>
      </c>
      <c r="BS2096" t="s">
        <v>747</v>
      </c>
      <c r="BT2096" t="s">
        <v>748</v>
      </c>
      <c r="BU2096" s="100"/>
    </row>
    <row r="2097" x14ac:dyDescent="0.25">
      <c r="B2097" t="s">
        <v>457</v>
      </c>
      <c r="C2097" s="19">
        <v>27</v>
      </c>
      <c r="D2097" s="19">
        <v>27</v>
      </c>
      <c r="E2097">
        <f t="shared" si="1307"/>
        <v>54</v>
      </c>
      <c r="H2097">
        <v>8</v>
      </c>
      <c r="I2097" s="19">
        <v>20</v>
      </c>
      <c r="J2097" s="19">
        <v>0</v>
      </c>
      <c r="K2097">
        <f t="shared" si="1308"/>
        <v>20</v>
      </c>
      <c r="L2097" t="s">
        <v>506</v>
      </c>
      <c r="P2097" s="93"/>
      <c r="Q2097" s="110" t="str">
        <f>$Q$2078</f>
        <v>A.01</v>
      </c>
      <c r="R2097" t="str">
        <f>$Q$2069</f>
        <v>L2</v>
      </c>
      <c r="S2097">
        <f>$E$21</f>
        <v>10.6875</v>
      </c>
      <c r="T2097" cm="1">
        <f t="array" ref="T2097">IFERROR(IF(S2097=0,0,(INDEX($C$33:$C$38,MATCH($W$2078,$B$33:$B$38,0),0)*(S2101+$X$2078)+$T$2078*COUNTIF(S2097:S2100,"&gt;0")*$C$32+$V$2078*$C$31)*$R$2078),0)</f>
        <v>30539.71875</v>
      </c>
      <c r="U2097">
        <f>IF(S2097=0,0,-(COUNTIF(S2097:S2100,"&gt;0")*$T$2078*$C$32+$V$2078*$C$31)*$H$27*$R$2078)</f>
        <v>-363.31199999999995</v>
      </c>
      <c r="V2097">
        <f>IF(S2097=0,0,$V$2078*$H$26*$R$2078)</f>
        <v>-1328.1999999999998</v>
      </c>
      <c r="W2097">
        <f>(0.6*T2097+0.7*U2097)*$R$2078/2</f>
        <v>262007.93632499999</v>
      </c>
      <c r="X2097">
        <f>(0.6*T2097+0.6*V2097)*$R$2078/2</f>
        <v>254140.21312500001</v>
      </c>
      <c r="Z2097">
        <f>IF(S2097=0,0,$AD$2078*$AP$2069)</f>
        <v>343.06999999999994</v>
      </c>
      <c r="AA2097">
        <f>IFERROR(Z2097/$R$2078,0)</f>
        <v>11.829999999999998</v>
      </c>
      <c r="AB2097">
        <f>Z2097*($F$21+IF($F$21=0,0,($C$14+$C$15+IF($C$13="single",1.5,3)+3)/12))</f>
        <v>3666.5606249999992</v>
      </c>
      <c r="AC2097">
        <f>AB2097-W2097</f>
        <v>-258341.37569999998</v>
      </c>
      <c r="AD2097" cm="1">
        <f t="array" ref="AD2097">IFERROR(IF(AC2097&lt;0,0,AC2097/($R$2078-INDEX(hd_off,MATCH(AQ2097,hd_mark,0),0)/12)),0)</f>
        <v>0</v>
      </c>
      <c r="AE2097">
        <f>IF(S2097=0,0,$AD$2078*$AM$2069)</f>
        <v>7899.5999999999995</v>
      </c>
      <c r="AF2097">
        <f>IFERROR(AE2097/$R$2078,0)</f>
        <v>272.39999999999998</v>
      </c>
      <c r="AG2097">
        <f>AE2097*($F$21+IF($F$21=0,0,($C$14+$C$15+IF($C$13="single",1.5,3)+3)/12))</f>
        <v>84426.974999999991</v>
      </c>
      <c r="AH2097">
        <f>AG2097-X2097</f>
        <v>-169713.23812500003</v>
      </c>
      <c r="AI2097" cm="1">
        <f t="array" ref="AI2097">IFERROR(IF(AH2097&lt;0,0,AH2097/($R$2078-INDEX(hd_off,MATCH(AQ2097,hd_mark,0),0)/12)),0)</f>
        <v>0</v>
      </c>
      <c r="AJ2097">
        <f>MAX($F$21,$Y$2078)/$Q$2100</f>
        <v>0.30172413793103448</v>
      </c>
      <c r="AK2097">
        <f>IF(AJ2097=0,0,IF(AJ2097&gt;2,1.25-0.125*AJ2097,1))</f>
        <v>1</v>
      </c>
      <c r="AL2097" cm="1">
        <f t="array" ref="AL2097">IFERROR(INDEX(sheath_ecap_asd,MATCH(AP2097,sheath_mark,0),0)*AK2097,0)</f>
        <v>239.85714285714286</v>
      </c>
      <c r="AM2097" cm="1">
        <f t="array" ref="AM2097">IFERROR(INDEX(sheath_wcap_asd,MATCH(AP2097,sheath_mark,0),0)*AK2097,0)</f>
        <v>335.8</v>
      </c>
      <c r="AN2097" cm="1">
        <f t="array" ref="AN2097">IFERROR(INDEX(hd_cap,MATCH(AQ2097,hd_mark,0),0),0)</f>
        <v>0</v>
      </c>
      <c r="AP2097" s="19">
        <v>21</v>
      </c>
      <c r="AQ2097" s="19"/>
      <c r="AR2097" s="100"/>
      <c r="AS2097" s="93"/>
      <c r="AT2097" s="110" t="str">
        <f>$AT$2078</f>
        <v>1.01</v>
      </c>
      <c r="AU2097" t="str">
        <f>$Q$2069</f>
        <v>L2</v>
      </c>
      <c r="AV2097">
        <f>$E$21</f>
        <v>10.6875</v>
      </c>
      <c r="AW2097" cm="1">
        <f t="array" ref="AW2097">IFERROR(IF(AV2097=0,0,(INDEX($C$33:$C$38,MATCH($AZ$2078,$B$33:$B$38,0),0)*(AV2101+$BA$2078)+$AW$2078*COUNTIF(AV2097:AV2100,"&gt;0")*$C$32+$AY$2078*$C$31)*$AU$2078),0)</f>
        <v>30539.71875</v>
      </c>
      <c r="AX2097">
        <f>IF(AV2097=0,0,-(COUNTIF(AV2097:AV2100,"&gt;0")*$AW$2078*$C$32+$AY$2078*$C$31)*$H$27*$AU$2078)</f>
        <v>-363.31199999999995</v>
      </c>
      <c r="AY2097">
        <f>IF(AV2097=0,0,$AY$2078*$H$26*$AU$2078)</f>
        <v>-1328.1999999999998</v>
      </c>
      <c r="AZ2097">
        <f>(0.6*AW2097+0.7*AX2097)*$AU$2078/2</f>
        <v>262007.93632499999</v>
      </c>
      <c r="BA2097">
        <f>(0.6*AW2097+0.6*AY2097)*$AU$2078/2</f>
        <v>254140.21312500001</v>
      </c>
      <c r="BC2097">
        <f>IF(AV2097=0,0,$BG$2078*$AP$2069)</f>
        <v>343.06999999999994</v>
      </c>
      <c r="BD2097">
        <f>IFERROR(BC2097/$AU$2078,0)</f>
        <v>11.829999999999998</v>
      </c>
      <c r="BE2097">
        <f>BC2097*($F$21+IF($F$21=0,0,($C$14+$C$15+IF($C$13="single",1.5,3)+3)/12))</f>
        <v>3666.5606249999992</v>
      </c>
      <c r="BF2097">
        <f>BE2097-AZ2097</f>
        <v>-258341.37569999998</v>
      </c>
      <c r="BG2097" cm="1">
        <f t="array" ref="BG2097">IFERROR(IF(BF2097&lt;0,0,BF2097/($AU$2078-INDEX(hd_off,MATCH(BT2097,hd_mark,0),0)/12)),0)</f>
        <v>0</v>
      </c>
      <c r="BH2097">
        <f>IF(AV2097=0,0,$BG$2078*$AM$2069)</f>
        <v>7899.5999999999995</v>
      </c>
      <c r="BI2097">
        <f>IFERROR(BH2097/$AU$2078,0)</f>
        <v>272.39999999999998</v>
      </c>
      <c r="BJ2097">
        <f>BH2097*($F$21+IF($F$21=0,0,($C$14+$C$15+IF($C$13="single",1.5,3)+3)/12))</f>
        <v>84426.974999999991</v>
      </c>
      <c r="BK2097">
        <f>BJ2097-BA2097</f>
        <v>-169713.23812500003</v>
      </c>
      <c r="BL2097" cm="1">
        <f t="array" ref="BL2097">IFERROR(IF(BK2097&lt;0,0,BK2097/($AU$2078-INDEX(hd_off,MATCH(BT2097,hd_mark,0),0)/12)),0)</f>
        <v>0</v>
      </c>
      <c r="BM2097">
        <f>MAX($F$21,$BB$2078)/$Q$2100</f>
        <v>0.30172413793103448</v>
      </c>
      <c r="BN2097">
        <f>IF(BM2097=0,0,IF(BM2097&gt;2,1.25-0.125*BM2097,1))</f>
        <v>1</v>
      </c>
      <c r="BO2097" cm="1">
        <f t="array" ref="BO2097">IFERROR(INDEX(sheath_ecap_asd,MATCH(BS2097,sheath_mark,0),0)*BN2097,0)</f>
        <v>239.85714285714286</v>
      </c>
      <c r="BP2097" cm="1">
        <f t="array" ref="BP2097">IFERROR(INDEX(sheath_wcap_asd,MATCH(BS2097,sheath_mark,0),0)*BN2097,0)</f>
        <v>335.8</v>
      </c>
      <c r="BQ2097" cm="1">
        <f t="array" ref="BQ2097">IFERROR(INDEX(hd_cap,MATCH(BT2097,hd_mark,0),0),0)</f>
        <v>0</v>
      </c>
      <c r="BS2097" s="19">
        <v>21</v>
      </c>
      <c r="BT2097" s="19"/>
      <c r="BU2097" s="100"/>
    </row>
    <row r="2098" x14ac:dyDescent="0.25">
      <c r="B2098" t="s">
        <v>458</v>
      </c>
      <c r="C2098" s="19">
        <v>27</v>
      </c>
      <c r="D2098" s="19">
        <v>27</v>
      </c>
      <c r="E2098">
        <f t="shared" si="1307"/>
        <v>54</v>
      </c>
      <c r="H2098">
        <v>9</v>
      </c>
      <c r="I2098" s="19">
        <v>30</v>
      </c>
      <c r="J2098" s="19">
        <v>0</v>
      </c>
      <c r="K2098">
        <f t="shared" si="1308"/>
        <v>30</v>
      </c>
      <c r="P2098" s="93"/>
      <c r="Q2098" s="109"/>
      <c r="R2098" t="str">
        <f>$Q$2070</f>
        <v>L3</v>
      </c>
      <c r="S2098">
        <f>$E$22</f>
        <v>21.375</v>
      </c>
      <c r="T2098" cm="1">
        <f t="array" ref="T2098">IFERROR(IF(S2098=0,0,(INDEX($C$33:$C$38,MATCH($W$2078,$B$33:$B$38,0),0)*(S2101+$X$2078)+$T$2078*COUNTIF(S2098:S2100,"&gt;0")*$C$32+$V$2078*$C$31)*$R$2078),0)</f>
        <v>26015.71875</v>
      </c>
      <c r="U2098">
        <f>IF(S2098=0,0,-(COUNTIF(S2098:S2100,"&gt;0")*$T$2078*$C$32+$V$2078*$C$31)*$H$27*$R$2078)</f>
        <v>-200.44799999999998</v>
      </c>
      <c r="V2098">
        <f>IF(S2098=0,0,$V$2078*$H$26*$R$2078)</f>
        <v>-1328.1999999999998</v>
      </c>
      <c r="W2098">
        <f t="shared" ref="W2098:W2100" si="1309">(0.6*T2098+0.7*U2098)*$R$2078/2</f>
        <v>224302.20592500002</v>
      </c>
      <c r="X2098">
        <f>T2098*$R$2078/2</f>
        <v>377227.921875</v>
      </c>
      <c r="Z2098">
        <f>IF(S2098=0,0,$AD$2078*$AP$2070)</f>
        <v>376.565</v>
      </c>
      <c r="AA2098">
        <f>IFERROR(Z2098/$R$2078,0)</f>
        <v>12.984999999999999</v>
      </c>
      <c r="AB2098">
        <f>Z2098*($F$22+IF($F$22=0,0,($C$14+$C$15+IF($C$13="single",1.5,3)+3)/12))</f>
        <v>4024.5384374999999</v>
      </c>
      <c r="AC2098">
        <f>AB2098-W2098</f>
        <v>-220277.6674875</v>
      </c>
      <c r="AD2098" cm="1">
        <f t="array" ref="AD2098">IFERROR(IF(AC2098&lt;0,0,AC2098/($R$2078-INDEX(hd_off,MATCH(AQ2098,hd_mark,0),0)/12)),0)</f>
        <v>0</v>
      </c>
      <c r="AE2098">
        <f>IF(S2098=0,0,$AD$2078*$AM$2070)</f>
        <v>5846.4</v>
      </c>
      <c r="AF2098">
        <f>IFERROR(AE2098/$R$2078,0)</f>
        <v>201.6</v>
      </c>
      <c r="AG2098">
        <f>AE2098*($F$22+IF($F$22=0,0,($C$14+$C$15+IF($C$13="single",1.5,3)+3)/12))</f>
        <v>62483.399999999994</v>
      </c>
      <c r="AH2098">
        <f>AG2098-X2098</f>
        <v>-314744.52187499998</v>
      </c>
      <c r="AI2098" cm="1">
        <f t="array" ref="AI2098">IFERROR(IF(AH2098&lt;0,0,AH2098/($R$2078-INDEX(hd_off,MATCH(AQ2098,hd_mark,0),0)/12)),0)</f>
        <v>0</v>
      </c>
      <c r="AJ2098">
        <f>MAX($F$22,$Z$2078)/$Q$2100</f>
        <v>0.30172413793103448</v>
      </c>
      <c r="AK2098">
        <f t="shared" ref="AK2098:AK2101" si="1310">IF(AJ2098=0,0,IF(AJ2098&gt;2,1.25-0.125*AJ2098,1))</f>
        <v>1</v>
      </c>
      <c r="AL2098" cm="1">
        <f t="array" ref="AL2098">IFERROR(INDEX(sheath_ecap_asd,MATCH(AP2098,sheath_mark,0),0)*AK2098,0)</f>
        <v>239.85714285714286</v>
      </c>
      <c r="AM2098" cm="1">
        <f t="array" ref="AM2098">IFERROR(INDEX(sheath_wcap_asd,MATCH(AP2098,sheath_mark,0),0)*AK2098,0)</f>
        <v>335.8</v>
      </c>
      <c r="AN2098" cm="1">
        <f t="array" ref="AN2098">IFERROR(INDEX(hd_cap,MATCH(AQ2098,hd_mark,0),0),0)</f>
        <v>0</v>
      </c>
      <c r="AP2098" s="19">
        <v>21</v>
      </c>
      <c r="AQ2098" s="19"/>
      <c r="AR2098" s="100"/>
      <c r="AS2098" s="93"/>
      <c r="AT2098" s="109"/>
      <c r="AU2098" t="str">
        <f>$Q$2070</f>
        <v>L3</v>
      </c>
      <c r="AV2098">
        <f>$E$22</f>
        <v>21.375</v>
      </c>
      <c r="AW2098" cm="1">
        <f t="array" ref="AW2098">IFERROR(IF(AV2098=0,0,(INDEX($C$33:$C$38,MATCH($AZ$2078,$B$33:$B$38,0),0)*(AV2101+$BA$2078)+$AW$2078*COUNTIF(AV2098:AV2100,"&gt;0")*$C$32+$AY$2078*$C$31)*$AU$2078),0)</f>
        <v>26015.71875</v>
      </c>
      <c r="AX2098">
        <f>IF(AV2098=0,0,-(COUNTIF(AV2098:AV2100,"&gt;0")*$AW$2078*$C$32+$AY$2078*$C$31)*$H$27*$AU$2078)</f>
        <v>-200.44799999999998</v>
      </c>
      <c r="AY2098">
        <f>IF(AV2098=0,0,$AY$2078*$H$26*$AU$2078)</f>
        <v>-1328.1999999999998</v>
      </c>
      <c r="AZ2098">
        <f>(0.6*AW2098+0.7*AX2098)*$AU$2078/2</f>
        <v>224302.20592500002</v>
      </c>
      <c r="BA2098">
        <f>AW2098*$AU$2078/2</f>
        <v>377227.921875</v>
      </c>
      <c r="BC2098">
        <f>IF(AV2098=0,0,$BG$2078*$AP$2070)</f>
        <v>376.565</v>
      </c>
      <c r="BD2098">
        <f>IFERROR(BC2098/$AU$2078,0)</f>
        <v>12.984999999999999</v>
      </c>
      <c r="BE2098">
        <f>BC2098*($F$22+IF($F$22=0,0,($C$14+$C$15+IF($C$13="single",1.5,3)+3)/12))</f>
        <v>4024.5384374999999</v>
      </c>
      <c r="BF2098">
        <f>BE2098-AZ2098</f>
        <v>-220277.6674875</v>
      </c>
      <c r="BG2098" cm="1">
        <f t="array" ref="BG2098">IFERROR(IF(BF2098&lt;0,0,BF2098/($AU$2078-INDEX(hd_off,MATCH(BT2098,hd_mark,0),0)/12)),0)</f>
        <v>0</v>
      </c>
      <c r="BH2098">
        <f>IF(AV2098=0,0,$BG$2078*$AM$2070)</f>
        <v>5846.4</v>
      </c>
      <c r="BI2098">
        <f>IFERROR(BH2098/$AU$2078,0)</f>
        <v>201.6</v>
      </c>
      <c r="BJ2098">
        <f>BH2098*($F$22+IF($F$22=0,0,($C$14+$C$15+IF($C$13="single",1.5,3)+3)/12))</f>
        <v>62483.399999999994</v>
      </c>
      <c r="BK2098">
        <f>BJ2098-BA2098</f>
        <v>-314744.52187499998</v>
      </c>
      <c r="BL2098" cm="1">
        <f t="array" ref="BL2098">IFERROR(IF(BK2098&lt;0,0,BK2098/($AU$2078-INDEX(hd_off,MATCH(BT2098,hd_mark,0),0)/12)),0)</f>
        <v>0</v>
      </c>
      <c r="BM2098">
        <f>MAX($F$22,$BC$2078)/$Q$2100</f>
        <v>0.30172413793103448</v>
      </c>
      <c r="BN2098">
        <f t="shared" ref="BN2098:BN2101" si="1311">IF(BM2098=0,0,IF(BM2098&gt;2,1.25-0.125*BM2098,1))</f>
        <v>1</v>
      </c>
      <c r="BO2098" cm="1">
        <f t="array" ref="BO2098">IFERROR(INDEX(sheath_ecap_asd,MATCH(BS2098,sheath_mark,0),0)*BN2098,0)</f>
        <v>239.85714285714286</v>
      </c>
      <c r="BP2098" cm="1">
        <f t="array" ref="BP2098">IFERROR(INDEX(sheath_wcap_asd,MATCH(BS2098,sheath_mark,0),0)*BN2098,0)</f>
        <v>335.8</v>
      </c>
      <c r="BQ2098" cm="1">
        <f t="array" ref="BQ2098">IFERROR(INDEX(hd_cap,MATCH(BT2098,hd_mark,0),0),0)</f>
        <v>0</v>
      </c>
      <c r="BS2098" s="19">
        <v>21</v>
      </c>
      <c r="BT2098" s="19"/>
      <c r="BU2098" s="100"/>
    </row>
    <row r="2099" x14ac:dyDescent="0.25">
      <c r="B2099" t="s">
        <v>459</v>
      </c>
      <c r="C2099" s="19">
        <v>27</v>
      </c>
      <c r="D2099" s="19">
        <v>41</v>
      </c>
      <c r="E2099">
        <f t="shared" si="1307"/>
        <v>68</v>
      </c>
      <c r="F2099" t="s">
        <v>506</v>
      </c>
      <c r="H2099">
        <v>10</v>
      </c>
      <c r="I2099" s="19">
        <v>30</v>
      </c>
      <c r="J2099" s="19">
        <v>0</v>
      </c>
      <c r="K2099">
        <f t="shared" si="1308"/>
        <v>30</v>
      </c>
      <c r="P2099" s="93"/>
      <c r="Q2099" s="109" t="s">
        <v>491</v>
      </c>
      <c r="R2099" t="str">
        <f>$Q$2071</f>
        <v>L4</v>
      </c>
      <c r="S2099">
        <f>$E$23</f>
        <v>0</v>
      </c>
      <c r="T2099" cm="1">
        <f t="array" ref="T2099">IFERROR(IF(S2099=0,0,(INDEX($C$33:$C$38,MATCH($W$2078,$B$33:$B$38,0),0)*(S2101+$X$2078)+$T$2078*COUNTIF(S2099:S2100,"&gt;0")*$C$32+$V$2078*$C$31)*$R$2078),0)</f>
        <v>0</v>
      </c>
      <c r="U2099">
        <f>IF(S2099=0,0,-(COUNTIF(S2099:S2100,"&gt;0")*$T$2078*$C$32+$V$2078*$C$31)*$H$27*$R$2078)</f>
        <v>0</v>
      </c>
      <c r="V2099">
        <f>IF(S2099=0,0,$V$2078*$H$26*$R$2078)</f>
        <v>0</v>
      </c>
      <c r="W2099">
        <f t="shared" si="1309"/>
        <v>0</v>
      </c>
      <c r="X2099">
        <f>T2099*$R$2078/2</f>
        <v>0</v>
      </c>
      <c r="Z2099">
        <f>IF(S2099=0,0,$AD$2078*$AP$2071)</f>
        <v>0</v>
      </c>
      <c r="AA2099">
        <f>IFERROR(Z2099/$R$2078,0)</f>
        <v>0</v>
      </c>
      <c r="AB2099">
        <f>Z2099*($F$23+IF($F$23=0,0,($C$14+$C$15+IF($C$13="single",1.5,3)+3)/12))</f>
        <v>0</v>
      </c>
      <c r="AC2099">
        <f>AB2099-W2099</f>
        <v>0</v>
      </c>
      <c r="AD2099" cm="1">
        <f t="array" ref="AD2099">IFERROR(IF(AC2099&lt;0,0,AC2099/($R$2078-INDEX(hd_off,MATCH(AQ2099,hd_mark,0),0)/12)),0)</f>
        <v>0</v>
      </c>
      <c r="AE2099">
        <f>IF(S2099=0,0,$AD$2078*$AM$2071)</f>
        <v>0</v>
      </c>
      <c r="AF2099">
        <f>IFERROR(AE2099/$R$2078,0)</f>
        <v>0</v>
      </c>
      <c r="AG2099">
        <f>AE2099*($F$23+IF($F$23=0,0,($C$14+$C$15+IF($C$13="single",1.5,3)+3)/12))</f>
        <v>0</v>
      </c>
      <c r="AH2099">
        <f>AG2099-X2099</f>
        <v>0</v>
      </c>
      <c r="AI2099" cm="1">
        <f t="array" ref="AI2099">IFERROR(IF(AH2099&lt;0,0,AH2099/($R$2078-INDEX(hd_off,MATCH(AQ2099,hd_mark,0),0)/12)),0)</f>
        <v>0</v>
      </c>
      <c r="AJ2099">
        <f>MAX($F$23,$AA$2078)/$Q$2100</f>
        <v>0</v>
      </c>
      <c r="AK2099">
        <f t="shared" si="1310"/>
        <v>0</v>
      </c>
      <c r="AL2099" cm="1">
        <f t="array" ref="AL2099">IFERROR(INDEX(sheath_ecap_asd,MATCH(AP2099,sheath_mark,0),0)*AK2099,0)</f>
        <v>0</v>
      </c>
      <c r="AM2099" cm="1">
        <f t="array" ref="AM2099">IFERROR(INDEX(sheath_wcap_asd,MATCH(AP2099,sheath_mark,0),0)*AK2099,0)</f>
        <v>0</v>
      </c>
      <c r="AN2099" cm="1">
        <f t="array" ref="AN2099">IFERROR(INDEX(hd_cap,MATCH(AQ2099,hd_mark,0),0),0)</f>
        <v>0</v>
      </c>
      <c r="AP2099" s="19"/>
      <c r="AQ2099" s="19"/>
      <c r="AR2099" s="100"/>
      <c r="AS2099" s="93"/>
      <c r="AT2099" s="109" t="s">
        <v>491</v>
      </c>
      <c r="AU2099" t="str">
        <f>$Q$2071</f>
        <v>L4</v>
      </c>
      <c r="AV2099">
        <f>$E$23</f>
        <v>0</v>
      </c>
      <c r="AW2099" cm="1">
        <f t="array" ref="AW2099">IFERROR(IF(AV2099=0,0,(INDEX($C$33:$C$38,MATCH($AZ$2078,$B$33:$B$38,0),0)*(AV2101+$BA$2078)+$AW$2078*COUNTIF(AV2099:AV2100,"&gt;0")*$C$32+$AY$2078*$C$31)*$AU$2078),0)</f>
        <v>0</v>
      </c>
      <c r="AX2099">
        <f>IF(AV2099=0,0,-(COUNTIF(AV2099:AV2100,"&gt;0")*$AW$2078*$C$32+$AY$2078*$C$31)*$H$27*$AU$2078)</f>
        <v>0</v>
      </c>
      <c r="AY2099">
        <f>IF(AV2099=0,0,$AY$2078*$H$26*$AU$2078)</f>
        <v>0</v>
      </c>
      <c r="AZ2099">
        <f>(0.6*AW2099+0.7*AX2099)*$AU$2078/2</f>
        <v>0</v>
      </c>
      <c r="BA2099">
        <f>AW2099*$AU$2078/2</f>
        <v>0</v>
      </c>
      <c r="BC2099">
        <f>IF(AV2099=0,0,$BG$2078*$AP$2071)</f>
        <v>0</v>
      </c>
      <c r="BD2099">
        <f>IFERROR(BC2099/$AU$2078,0)</f>
        <v>0</v>
      </c>
      <c r="BE2099">
        <f>BC2099*($F$23+IF($F$23=0,0,($C$14+$C$15+IF($C$13="single",1.5,3)+3)/12))</f>
        <v>0</v>
      </c>
      <c r="BF2099">
        <f>BE2099-AZ2099</f>
        <v>0</v>
      </c>
      <c r="BG2099" cm="1">
        <f t="array" ref="BG2099">IFERROR(IF(BF2099&lt;0,0,BF2099/($AU$2078-INDEX(hd_off,MATCH(BT2099,hd_mark,0),0)/12)),0)</f>
        <v>0</v>
      </c>
      <c r="BH2099">
        <f>IF(AV2099=0,0,$BG$2078*$AM$2071)</f>
        <v>0</v>
      </c>
      <c r="BI2099">
        <f>IFERROR(BH2099/$AU$2078,0)</f>
        <v>0</v>
      </c>
      <c r="BJ2099">
        <f>BH2099*($F$23+IF($F$23=0,0,($C$14+$C$15+IF($C$13="single",1.5,3)+3)/12))</f>
        <v>0</v>
      </c>
      <c r="BK2099">
        <f>BJ2099-BA2099</f>
        <v>0</v>
      </c>
      <c r="BL2099" cm="1">
        <f t="array" ref="BL2099">IFERROR(IF(BK2099&lt;0,0,BK2099/($AU$2078-INDEX(hd_off,MATCH(BT2099,hd_mark,0),0)/12)),0)</f>
        <v>0</v>
      </c>
      <c r="BM2099">
        <f>MAX($F$23,$BD$2078)/$Q$2100</f>
        <v>0</v>
      </c>
      <c r="BN2099">
        <f t="shared" si="1311"/>
        <v>0</v>
      </c>
      <c r="BO2099" cm="1">
        <f t="array" ref="BO2099">IFERROR(INDEX(sheath_ecap_asd,MATCH(BS2099,sheath_mark,0),0)*BN2099,0)</f>
        <v>0</v>
      </c>
      <c r="BP2099" cm="1">
        <f t="array" ref="BP2099">IFERROR(INDEX(sheath_wcap_asd,MATCH(BS2099,sheath_mark,0),0)*BN2099,0)</f>
        <v>0</v>
      </c>
      <c r="BQ2099" cm="1">
        <f t="array" ref="BQ2099">IFERROR(INDEX(hd_cap,MATCH(BT2099,hd_mark,0),0),0)</f>
        <v>0</v>
      </c>
      <c r="BS2099" s="19"/>
      <c r="BT2099" s="19"/>
      <c r="BU2099" s="100"/>
    </row>
    <row r="2100" x14ac:dyDescent="0.25">
      <c r="B2100" t="s">
        <v>171</v>
      </c>
      <c r="C2100" s="19">
        <v>0</v>
      </c>
      <c r="D2100" s="19">
        <v>29</v>
      </c>
      <c r="E2100">
        <f t="shared" si="1307"/>
        <v>29</v>
      </c>
      <c r="H2100">
        <v>11</v>
      </c>
      <c r="I2100" s="19">
        <v>0</v>
      </c>
      <c r="J2100" s="19">
        <v>27</v>
      </c>
      <c r="K2100">
        <f t="shared" si="1308"/>
        <v>27</v>
      </c>
      <c r="P2100" s="93"/>
      <c r="Q2100" s="111">
        <f>$R$2078</f>
        <v>29</v>
      </c>
      <c r="R2100" t="str">
        <f>$Q$2072</f>
        <v>L5</v>
      </c>
      <c r="S2100">
        <f>$E$24</f>
        <v>0</v>
      </c>
      <c r="T2100" cm="1">
        <f t="array" ref="T2100">IFERROR(IF(S2100=0,0,(INDEX($C$33:$C$38,MATCH($W$2078,$B$33:$B$38,0),0)*(S2101+$X$2078)+$T$2078*COUNTIF(S2100:S2100,"&gt;0")*$C$32+$V$2078*$C$31)*$R$2078),0)</f>
        <v>0</v>
      </c>
      <c r="U2100">
        <f>IF(S2100=0,0,-(COUNTIF(S2100:S2100,"&gt;0")*$T$2078*$C$32+$V$2078*$C$31)*$H$27*$R$2078)</f>
        <v>0</v>
      </c>
      <c r="V2100">
        <f>IF(S2100=0,0,$V$2078*$H$26*$R$2078)</f>
        <v>0</v>
      </c>
      <c r="W2100">
        <f t="shared" si="1309"/>
        <v>0</v>
      </c>
      <c r="X2100">
        <f>T2100*$R$2078/2</f>
        <v>0</v>
      </c>
      <c r="Z2100">
        <f>IF(S2100=0,0,$AD$2078*$AP$2072)</f>
        <v>0</v>
      </c>
      <c r="AA2100">
        <f>IFERROR(Z2100/$R$2078,0)</f>
        <v>0</v>
      </c>
      <c r="AB2100">
        <f>Z2100*($F$24+IF($F$24=0,0,($C$14+$C$15+IF($C$13="single",1.5,3)+3)/12))</f>
        <v>0</v>
      </c>
      <c r="AC2100">
        <f>AB2100-W2100</f>
        <v>0</v>
      </c>
      <c r="AD2100" cm="1">
        <f t="array" ref="AD2100">IFERROR(IF(AC2100&lt;0,0,AC2100/($R$2078-INDEX(hd_off,MATCH(AQ2100,hd_mark,0),0)/12)),0)</f>
        <v>0</v>
      </c>
      <c r="AE2100">
        <f>IF(S2100=0,0,$AD$2078*$AM$2072)</f>
        <v>0</v>
      </c>
      <c r="AF2100">
        <f>IFERROR(AE2100/$R$2078,0)</f>
        <v>0</v>
      </c>
      <c r="AG2100">
        <f>AE2100*($F$24+IF($F$24=0,0,($C$14+$C$15+IF($C$13="single",1.5,3)+3)/12))</f>
        <v>0</v>
      </c>
      <c r="AH2100">
        <f>AG2100-X2100</f>
        <v>0</v>
      </c>
      <c r="AI2100" cm="1">
        <f t="array" ref="AI2100">IFERROR(IF(AH2100&lt;0,0,AH2100/($R$2078-INDEX(hd_off,MATCH(AQ2100,hd_mark,0),0)/12)),0)</f>
        <v>0</v>
      </c>
      <c r="AJ2100">
        <f>MAX($F$24,$AB$2078)/$Q$2100</f>
        <v>0</v>
      </c>
      <c r="AK2100">
        <f t="shared" si="1310"/>
        <v>0</v>
      </c>
      <c r="AL2100" cm="1">
        <f t="array" ref="AL2100">IFERROR(INDEX(sheath_ecap_asd,MATCH(AP2100,sheath_mark,0),0)*AK2100,0)</f>
        <v>0</v>
      </c>
      <c r="AM2100" cm="1">
        <f t="array" ref="AM2100">IFERROR(INDEX(sheath_wcap_asd,MATCH(AP2100,sheath_mark,0),0)*AK2100,0)</f>
        <v>0</v>
      </c>
      <c r="AN2100" cm="1">
        <f t="array" ref="AN2100">IFERROR(INDEX(hd_cap,MATCH(AQ2100,hd_mark,0),0),0)</f>
        <v>0</v>
      </c>
      <c r="AP2100" s="19"/>
      <c r="AQ2100" s="19"/>
      <c r="AR2100" s="100"/>
      <c r="AS2100" s="93"/>
      <c r="AT2100" s="111">
        <f>$R$2078</f>
        <v>29</v>
      </c>
      <c r="AU2100" t="str">
        <f>$Q$2072</f>
        <v>L5</v>
      </c>
      <c r="AV2100">
        <f>$E$24</f>
        <v>0</v>
      </c>
      <c r="AW2100" cm="1">
        <f t="array" ref="AW2100">IFERROR(IF(AV2100=0,0,(INDEX($C$33:$C$38,MATCH($AZ$2078,$B$33:$B$38,0),0)*(AV2101+$BA$2078)+$AW$2078*COUNTIF(AV2100:AV2100,"&gt;0")*$C$32+$AY$2078*$C$31)*$AU$2078),0)</f>
        <v>0</v>
      </c>
      <c r="AX2100">
        <f>IF(AV2100=0,0,-(COUNTIF(AV2100:AV2100,"&gt;0")*$AW$2078*$C$32+$AY$2078*$C$31)*$H$27*$AU$2078)</f>
        <v>0</v>
      </c>
      <c r="AY2100">
        <f>IF(AV2100=0,0,$AY$2078*$H$26*$AU$2078)</f>
        <v>0</v>
      </c>
      <c r="AZ2100">
        <f>(0.6*AW2100+0.7*AX2100)*$AU$2078/2</f>
        <v>0</v>
      </c>
      <c r="BA2100">
        <f>AW2100*$AU$2078/2</f>
        <v>0</v>
      </c>
      <c r="BC2100">
        <f>IF(AV2100=0,0,$BG$2078*$AP$2072)</f>
        <v>0</v>
      </c>
      <c r="BD2100">
        <f>IFERROR(BC2100/$AU$2078,0)</f>
        <v>0</v>
      </c>
      <c r="BE2100">
        <f>BC2100*($F$24+IF($F$24=0,0,($C$14+$C$15+IF($C$13="single",1.5,3)+3)/12))</f>
        <v>0</v>
      </c>
      <c r="BF2100">
        <f>BE2100-AZ2100</f>
        <v>0</v>
      </c>
      <c r="BG2100" cm="1">
        <f t="array" ref="BG2100">IFERROR(IF(BF2100&lt;0,0,BF2100/($AU$2078-INDEX(hd_off,MATCH(BT2100,hd_mark,0),0)/12)),0)</f>
        <v>0</v>
      </c>
      <c r="BH2100">
        <f>IF(AV2100=0,0,$BG$2078*$AM$2072)</f>
        <v>0</v>
      </c>
      <c r="BI2100">
        <f>IFERROR(BH2100/$AU$2078,0)</f>
        <v>0</v>
      </c>
      <c r="BJ2100">
        <f>BH2100*($F$24+IF($F$24=0,0,($C$14+$C$15+IF($C$13="single",1.5,3)+3)/12))</f>
        <v>0</v>
      </c>
      <c r="BK2100">
        <f>BJ2100-BA2100</f>
        <v>0</v>
      </c>
      <c r="BL2100" cm="1">
        <f t="array" ref="BL2100">IFERROR(IF(BK2100&lt;0,0,BK2100/($AU$2078-INDEX(hd_off,MATCH(BT2100,hd_mark,0),0)/12)),0)</f>
        <v>0</v>
      </c>
      <c r="BM2100">
        <f>MAX($F$24,$BE$2078)/$Q$2100</f>
        <v>0</v>
      </c>
      <c r="BN2100">
        <f t="shared" si="1311"/>
        <v>0</v>
      </c>
      <c r="BO2100" cm="1">
        <f t="array" ref="BO2100">IFERROR(INDEX(sheath_ecap_asd,MATCH(BS2100,sheath_mark,0),0)*BN2100,0)</f>
        <v>0</v>
      </c>
      <c r="BP2100" cm="1">
        <f t="array" ref="BP2100">IFERROR(INDEX(sheath_wcap_asd,MATCH(BS2100,sheath_mark,0),0)*BN2100,0)</f>
        <v>0</v>
      </c>
      <c r="BQ2100" cm="1">
        <f t="array" ref="BQ2100">IFERROR(INDEX(hd_cap,MATCH(BT2100,hd_mark,0),0),0)</f>
        <v>0</v>
      </c>
      <c r="BS2100" s="19"/>
      <c r="BT2100" s="19"/>
      <c r="BU2100" s="100"/>
    </row>
    <row r="2101" x14ac:dyDescent="0.25">
      <c r="B2101" t="s">
        <v>460</v>
      </c>
      <c r="C2101" s="19">
        <v>29</v>
      </c>
      <c r="D2101" s="19">
        <v>6</v>
      </c>
      <c r="E2101">
        <f t="shared" si="1307"/>
        <v>35</v>
      </c>
      <c r="H2101">
        <v>12</v>
      </c>
      <c r="I2101" s="19">
        <v>27</v>
      </c>
      <c r="J2101" s="19">
        <v>14</v>
      </c>
      <c r="K2101">
        <f t="shared" si="1308"/>
        <v>41</v>
      </c>
      <c r="P2101" s="93"/>
      <c r="Q2101" s="109"/>
      <c r="R2101" t="str">
        <f>$Q$2073</f>
        <v>Roof</v>
      </c>
      <c r="S2101">
        <f>$E$25</f>
        <v>33.171875</v>
      </c>
      <c r="T2101" cm="1">
        <f t="array" ref="T2101">IFERROR(IF(S2101=0,0,(INDEX($C$33:$C$38,MATCH($W$2078,$B$33:$B$38,0),0)*(S2101+$X$2078)+$V$2078*$C$31)*$R$2078),0)</f>
        <v>21491.71875</v>
      </c>
      <c r="U2101">
        <f>IF(S2101=0,0,-$V$2078*$C$31*$H$27*$R$2078)</f>
        <v>-37.583999999999996</v>
      </c>
      <c r="V2101">
        <f>IF(S2101=0,0,$V$2078*$H$26*$R$2078)</f>
        <v>-1328.1999999999998</v>
      </c>
      <c r="W2101">
        <f>(0.6*T2101+0.7*U2101)*$R$2078/2</f>
        <v>186596.47552499999</v>
      </c>
      <c r="X2101">
        <f>T2101*$R$2078/2</f>
        <v>311629.921875</v>
      </c>
      <c r="Z2101">
        <f>IF(S2101=0,0,$AD$2078*$AP$2073)</f>
        <v>191.83499999999995</v>
      </c>
      <c r="AA2101">
        <f>IFERROR(Z2101/$R$2078,0)</f>
        <v>6.6149999999999984</v>
      </c>
      <c r="AB2101">
        <f>Z2101*($F$25+($C$16+$C$17+IF($C$13="single",1.5,3)+3)/12)</f>
        <v>2263.0535156249989</v>
      </c>
      <c r="AC2101">
        <f>AB2101-W2101</f>
        <v>-184333.42200937498</v>
      </c>
      <c r="AD2101" cm="1">
        <f t="array" ref="AD2101">IFERROR(IF(AC2101&lt;0,0,AC2101/($R$2078-INDEX(hd_off,MATCH(AQ2101,hd_mark,0),0)/12)),0)</f>
        <v>0</v>
      </c>
      <c r="AE2101">
        <f>IF(S2101=0,0,$AD$2078*$AM$2073)</f>
        <v>3854.1</v>
      </c>
      <c r="AF2101">
        <f>IFERROR(AE2101/$R$2078,0)</f>
        <v>132.9</v>
      </c>
      <c r="AG2101">
        <f>AE2101*($F$25+($C$16+$C$17+IF($C$13="single",1.5,3)+3)/12)</f>
        <v>45466.335937499993</v>
      </c>
      <c r="AH2101">
        <f>AG2101-X2101</f>
        <v>-266163.5859375</v>
      </c>
      <c r="AI2101" cm="1">
        <f t="array" ref="AI2101">IFERROR(IF(AH2101&lt;0,0,AH2101/($R$2078-INDEX(hd_off,MATCH(AQ2101,hd_mark,0),0)/12)),0)</f>
        <v>0</v>
      </c>
      <c r="AJ2101">
        <f>MAX($F$25,$AC$2078)/$Q$2100</f>
        <v>0.29920977011494249</v>
      </c>
      <c r="AK2101">
        <f t="shared" si="1310"/>
        <v>1</v>
      </c>
      <c r="AL2101" cm="1">
        <f t="array" ref="AL2101">IFERROR(INDEX(sheath_ecap_asd,MATCH(AP2101,sheath_mark,0),0)*AK2101,0)</f>
        <v>95.285714285714306</v>
      </c>
      <c r="AM2101" cm="1">
        <f t="array" ref="AM2101">IFERROR(INDEX(sheath_wcap_asd,MATCH(AP2101,sheath_mark,0),0)*AK2101,0)</f>
        <v>133.4</v>
      </c>
      <c r="AN2101" cm="1">
        <f t="array" ref="AN2101">IFERROR(INDEX(hd_cap,MATCH(AQ2101,hd_mark,0),0),0)</f>
        <v>0</v>
      </c>
      <c r="AP2101" s="19">
        <v>11</v>
      </c>
      <c r="AQ2101" s="19"/>
      <c r="AR2101" s="100"/>
      <c r="AS2101" s="93"/>
      <c r="AT2101" s="109"/>
      <c r="AU2101" t="str">
        <f>$Q$2073</f>
        <v>Roof</v>
      </c>
      <c r="AV2101">
        <f>$E$25</f>
        <v>33.171875</v>
      </c>
      <c r="AW2101" cm="1">
        <f t="array" ref="AW2101">IFERROR(IF(AV2101=0,0,(INDEX($C$33:$C$38,MATCH($AZ$2078,$B$33:$B$38,0),0)*(AV2101+$BA$2078)+$AY$2078*$C$31)*$AU$2078),0)</f>
        <v>21491.71875</v>
      </c>
      <c r="AX2101">
        <f>IF(AV2101=0,0,-$AY$2078*$C$31*$H$27*$AU$2078)</f>
        <v>-37.583999999999996</v>
      </c>
      <c r="AY2101">
        <f>IF(AV2101=0,0,$AY$2078*$H$26*$AU$2078)</f>
        <v>-1328.1999999999998</v>
      </c>
      <c r="AZ2101">
        <f>(0.6*AW2101+0.7*AX2101)*$AU$2078/2</f>
        <v>186596.47552499999</v>
      </c>
      <c r="BA2101">
        <f>AW2101*$AU$2078/2</f>
        <v>311629.921875</v>
      </c>
      <c r="BC2101">
        <f>IF(AV2101=0,0,$BG$2078*$AP$2073)</f>
        <v>191.83499999999995</v>
      </c>
      <c r="BD2101">
        <f>IFERROR(BC2101/$AU$2078,0)</f>
        <v>6.6149999999999984</v>
      </c>
      <c r="BE2101">
        <f>BC2101*($F$25+($C$16+$C$17+IF($C$13="single",1.5,3)+3)/12)</f>
        <v>2263.0535156249989</v>
      </c>
      <c r="BF2101">
        <f>BE2101-AZ2101</f>
        <v>-184333.42200937498</v>
      </c>
      <c r="BG2101" cm="1">
        <f t="array" ref="BG2101">IFERROR(IF(BF2101&lt;0,0,BF2101/($AU$2078-INDEX(hd_off,MATCH(BT2101,hd_mark,0),0)/12)),0)</f>
        <v>0</v>
      </c>
      <c r="BH2101">
        <f>IF(AV2101=0,0,$BG$2078*$AM$2073)</f>
        <v>3854.1</v>
      </c>
      <c r="BI2101">
        <f>IFERROR(BH2101/$AU$2078,0)</f>
        <v>132.9</v>
      </c>
      <c r="BJ2101">
        <f>BH2101*($F$25+($C$16+$C$17+IF($C$13="single",1.5,3)+3)/12)</f>
        <v>45466.335937499993</v>
      </c>
      <c r="BK2101">
        <f>BJ2101-BA2101</f>
        <v>-266163.5859375</v>
      </c>
      <c r="BL2101" cm="1">
        <f t="array" ref="BL2101">IFERROR(IF(BK2101&lt;0,0,BK2101/($AU$2078-INDEX(hd_off,MATCH(BT2101,hd_mark,0),0)/12)),0)</f>
        <v>0</v>
      </c>
      <c r="BM2101">
        <f>MAX($F$25,$BF$2078)/$Q$2100</f>
        <v>0.29920977011494249</v>
      </c>
      <c r="BN2101">
        <f t="shared" si="1311"/>
        <v>1</v>
      </c>
      <c r="BO2101" cm="1">
        <f t="array" ref="BO2101">IFERROR(INDEX(sheath_ecap_asd,MATCH(BS2101,sheath_mark,0),0)*BN2101,0)</f>
        <v>95.285714285714306</v>
      </c>
      <c r="BP2101" cm="1">
        <f t="array" ref="BP2101">IFERROR(INDEX(sheath_wcap_asd,MATCH(BS2101,sheath_mark,0),0)*BN2101,0)</f>
        <v>133.4</v>
      </c>
      <c r="BQ2101" cm="1">
        <f t="array" ref="BQ2101">IFERROR(INDEX(hd_cap,MATCH(BT2101,hd_mark,0),0),0)</f>
        <v>0</v>
      </c>
      <c r="BS2101" s="19">
        <v>11</v>
      </c>
      <c r="BT2101" s="19"/>
      <c r="BU2101" s="100"/>
    </row>
    <row r="2102" x14ac:dyDescent="0.25">
      <c r="B2102" t="s">
        <v>461</v>
      </c>
      <c r="C2102" s="19">
        <v>6</v>
      </c>
      <c r="D2102" s="19">
        <v>29</v>
      </c>
      <c r="E2102">
        <f t="shared" si="1307"/>
        <v>35</v>
      </c>
      <c r="H2102">
        <v>13</v>
      </c>
      <c r="I2102" s="19">
        <v>14</v>
      </c>
      <c r="J2102" s="19">
        <v>12</v>
      </c>
      <c r="K2102">
        <f t="shared" si="1308"/>
        <v>26</v>
      </c>
      <c r="P2102" s="93"/>
      <c r="Q2102" s="109"/>
      <c r="AR2102" s="100"/>
      <c r="AS2102" s="93"/>
      <c r="AT2102" s="109"/>
      <c r="BU2102" s="100"/>
    </row>
    <row r="2103" x14ac:dyDescent="0.25">
      <c r="B2103" t="s">
        <v>462</v>
      </c>
      <c r="C2103" s="19">
        <v>29</v>
      </c>
      <c r="D2103" s="19">
        <v>0</v>
      </c>
      <c r="E2103">
        <f t="shared" si="1307"/>
        <v>29</v>
      </c>
      <c r="H2103">
        <v>14</v>
      </c>
      <c r="I2103" s="19">
        <v>12</v>
      </c>
      <c r="J2103" s="19">
        <v>27</v>
      </c>
      <c r="K2103">
        <f t="shared" si="1308"/>
        <v>39</v>
      </c>
      <c r="P2103" s="93"/>
      <c r="Q2103" s="110" t="str">
        <f>$Q$2079</f>
        <v>A.02</v>
      </c>
      <c r="R2103" t="str">
        <f>$Q$2069</f>
        <v>L2</v>
      </c>
      <c r="S2103">
        <f>$E$21</f>
        <v>10.6875</v>
      </c>
      <c r="T2103" cm="1">
        <f t="array" ref="T2103">IFERROR(IF(S2103=0,0,(INDEX($C$33:$C$38,MATCH($W$2079,$B$33:$B$38,0),0)*(S2107+$X$2079)+$T$2079*COUNTIF(S2103:S2106,"&gt;0")*$C$32+$V$2079*$C$31)*$R$2079),0)</f>
        <v>0</v>
      </c>
      <c r="U2103">
        <f>IF(S2103=0,0,-(COUNTIF(S2103:S2106,"&gt;0")*$T$2079*$C$32+$V$2079*$C$31)*$H$27*$R$2079)</f>
        <v>0</v>
      </c>
      <c r="V2103">
        <f>IF(S2103=0,0,$V$2079*$H$26*$R$2079)</f>
        <v>0</v>
      </c>
      <c r="W2103">
        <f>(0.6*T2103+0.7*U2103)*$R$2079/2</f>
        <v>0</v>
      </c>
      <c r="X2103">
        <f>(0.6*T2103+0.6*V2103)*$R$2079/2</f>
        <v>0</v>
      </c>
      <c r="Z2103">
        <f>IF(S2103=0,0,$AD$2079*$AP$2069)</f>
        <v>0</v>
      </c>
      <c r="AA2103">
        <f>IFERROR(Z2103/$R$2079,0)</f>
        <v>0</v>
      </c>
      <c r="AB2103">
        <f>Z2103*($F$21+IF($F$21=0,0,($C$14+$C$15+IF($C$13="single",1.5,3)+3)/12))</f>
        <v>0</v>
      </c>
      <c r="AC2103">
        <f>AB2103-W2103</f>
        <v>0</v>
      </c>
      <c r="AD2103" cm="1">
        <f t="array" ref="AD2103">IFERROR(IF(AC2103&lt;0,0,AC2103/($R$2079-INDEX(hd_off,MATCH(AQ2103,hd_mark,0),0)/12)),0)</f>
        <v>0</v>
      </c>
      <c r="AE2103">
        <f>IF(S2103=0,0,$AD$2079*$AM$2069)</f>
        <v>0</v>
      </c>
      <c r="AF2103">
        <f>IFERROR(AE2103/$R$2079,0)</f>
        <v>0</v>
      </c>
      <c r="AG2103">
        <f>AE2103*($F$21+IF($F$21=0,0,($C$14+$C$15+IF($C$13="single",1.5,3)+3)/12))</f>
        <v>0</v>
      </c>
      <c r="AH2103">
        <f>AG2103-X2103</f>
        <v>0</v>
      </c>
      <c r="AI2103" cm="1">
        <f t="array" ref="AI2103">IFERROR(IF(AH2103&lt;0,0,AH2103/($R$2079-INDEX(hd_off,MATCH(AQ2103,hd_mark,0),0)/12)),0)</f>
        <v>0</v>
      </c>
      <c r="AJ2103">
        <f>MAX($F$21,$Y$2079)/$Q$2100</f>
        <v>0.30172413793103448</v>
      </c>
      <c r="AK2103">
        <f>IF(AJ2103=0,0,IF(AJ2103&gt;2,1.25-0.125*AJ2103,1))</f>
        <v>1</v>
      </c>
      <c r="AL2103" cm="1">
        <f t="array" ref="AL2103">IFERROR(INDEX(sheath_ecap_asd,MATCH(AP2103,sheath_mark,0),0)*AK2103,0)</f>
        <v>0</v>
      </c>
      <c r="AM2103" cm="1">
        <f t="array" ref="AM2103">IFERROR(INDEX(sheath_wcap_asd,MATCH(AP2103,sheath_mark,0),0)*AK2103,0)</f>
        <v>0</v>
      </c>
      <c r="AN2103" cm="1">
        <f t="array" ref="AN2103">IFERROR(INDEX(hd_cap,MATCH(AQ2103,hd_mark,0),0),0)</f>
        <v>0</v>
      </c>
      <c r="AP2103" s="19"/>
      <c r="AQ2103" s="19"/>
      <c r="AR2103" s="100"/>
      <c r="AS2103" s="93"/>
      <c r="AT2103" s="110" t="str">
        <f>$AT$2079</f>
        <v>1.02</v>
      </c>
      <c r="AU2103" t="str">
        <f>$Q$2069</f>
        <v>L2</v>
      </c>
      <c r="AV2103">
        <f>$E$21</f>
        <v>10.6875</v>
      </c>
      <c r="AW2103" cm="1">
        <f t="array" ref="AW2103">IFERROR(IF(AV2103=0,0,(INDEX($C$33:$C$38,MATCH($AZ$2079,$B$33:$B$38,0),0)*(AV2107+$BA$2079)+$AW$2079*COUNTIF(AV2103:AV2106,"&gt;0")*$C$32+$AY$2079*$C$31)*$AU$2079),0)</f>
        <v>0</v>
      </c>
      <c r="AX2103">
        <f>IF(AV2103=0,0,-(COUNTIF(AV2103:AV2106,"&gt;0")*$AW$2079*$C$32+$AY$2079*$C$31)*$H$27*$AU$2079)</f>
        <v>0</v>
      </c>
      <c r="AY2103">
        <f>IF(AV2103=0,0,$AY$2079*$H$26*$AU$2079)</f>
        <v>0</v>
      </c>
      <c r="AZ2103">
        <f>(0.6*AW2103+0.7*AX2103)*$AU$2079/2</f>
        <v>0</v>
      </c>
      <c r="BA2103">
        <f>(0.6*AW2103+0.6*AY2103)*$AU$2079/2</f>
        <v>0</v>
      </c>
      <c r="BC2103">
        <f>IF(AV2103=0,0,$BG$2079*$AP$2069)</f>
        <v>0</v>
      </c>
      <c r="BD2103">
        <f>IFERROR(BC2103/$AU$2079,0)</f>
        <v>0</v>
      </c>
      <c r="BE2103">
        <f>BC2103*($F$21+IF($F$21=0,0,($C$14+$C$15+IF($C$13="single",1.5,3)+3)/12))</f>
        <v>0</v>
      </c>
      <c r="BF2103">
        <f>BE2103-AZ2103</f>
        <v>0</v>
      </c>
      <c r="BG2103" cm="1">
        <f t="array" ref="BG2103">IFERROR(IF(BF2103&lt;0,0,BF2103/($AU$2079-INDEX(hd_off,MATCH(BT2103,hd_mark,0),0)/12)),0)</f>
        <v>0</v>
      </c>
      <c r="BH2103">
        <f>IF(AV2103=0,0,$BG$2079*$AM$2069)</f>
        <v>0</v>
      </c>
      <c r="BI2103">
        <f>IFERROR(BH2103/$AU$2079,0)</f>
        <v>0</v>
      </c>
      <c r="BJ2103">
        <f>BH2103*($F$21+IF($F$21=0,0,($C$14+$C$15+IF($C$13="single",1.5,3)+3)/12))</f>
        <v>0</v>
      </c>
      <c r="BK2103">
        <f>BJ2103-BA2103</f>
        <v>0</v>
      </c>
      <c r="BL2103" cm="1">
        <f t="array" ref="BL2103">IFERROR(IF(BK2103&lt;0,0,BK2103/($AU$2079-INDEX(hd_off,MATCH(BT2103,hd_mark,0),0)/12)),0)</f>
        <v>0</v>
      </c>
      <c r="BM2103">
        <f>MAX($F$21,$BB$2079)/$Q$2100</f>
        <v>0.30172413793103448</v>
      </c>
      <c r="BN2103">
        <f>IF(BM2103=0,0,IF(BM2103&gt;2,1.25-0.125*BM2103,1))</f>
        <v>1</v>
      </c>
      <c r="BO2103" cm="1">
        <f t="array" ref="BO2103">IFERROR(INDEX(sheath_ecap_asd,MATCH(BS2103,sheath_mark,0),0)*BN2103,0)</f>
        <v>0</v>
      </c>
      <c r="BP2103" cm="1">
        <f t="array" ref="BP2103">IFERROR(INDEX(sheath_wcap_asd,MATCH(BS2103,sheath_mark,0),0)*BN2103,0)</f>
        <v>0</v>
      </c>
      <c r="BQ2103" cm="1">
        <f t="array" ref="BQ2103">IFERROR(INDEX(hd_cap,MATCH(BT2103,hd_mark,0),0),0)</f>
        <v>0</v>
      </c>
      <c r="BS2103" s="19"/>
      <c r="BT2103" s="19"/>
      <c r="BU2103" s="100"/>
    </row>
    <row r="2104" x14ac:dyDescent="0.25">
      <c r="B2104" t="s">
        <v>463</v>
      </c>
      <c r="C2104" s="19"/>
      <c r="D2104" s="19"/>
      <c r="E2104">
        <f t="shared" si="1307"/>
        <v>0</v>
      </c>
      <c r="H2104">
        <v>15</v>
      </c>
      <c r="I2104" s="19">
        <v>27</v>
      </c>
      <c r="J2104" s="19">
        <v>18</v>
      </c>
      <c r="K2104">
        <f t="shared" si="1308"/>
        <v>45</v>
      </c>
      <c r="P2104" s="93"/>
      <c r="Q2104" s="109"/>
      <c r="R2104" t="str">
        <f>$Q$2070</f>
        <v>L3</v>
      </c>
      <c r="S2104">
        <f>$E$22</f>
        <v>21.375</v>
      </c>
      <c r="T2104" cm="1">
        <f t="array" ref="T2104">IFERROR(IF(S2104=0,0,(INDEX($C$33:$C$38,MATCH($W$2079,$B$33:$B$38,0),0)*(S2107+$X$2079)+$T$2079*COUNTIF(S2104:S2106,"&gt;0")*$C$32+$V$2079*$C$31)*$R$2079),0)</f>
        <v>0</v>
      </c>
      <c r="U2104">
        <f>IF(S2104=0,0,-(COUNTIF(S2104:S2106,"&gt;0")*$T$2079*$C$32+$V$2079*$C$31)*$H$27*$R$2079)</f>
        <v>0</v>
      </c>
      <c r="V2104">
        <f>IF(S2104=0,0,$V$2079*$H$26*$R$2079)</f>
        <v>0</v>
      </c>
      <c r="W2104">
        <f>(0.6*T2104+0.7*U2104)*$R$2079/2</f>
        <v>0</v>
      </c>
      <c r="X2104">
        <f>T2104*$R$2079/2</f>
        <v>0</v>
      </c>
      <c r="Z2104">
        <f>IF(S2104=0,0,$AD$2079*$AP$2070)</f>
        <v>0</v>
      </c>
      <c r="AA2104">
        <f>IFERROR(Z2104/$R$2079,0)</f>
        <v>0</v>
      </c>
      <c r="AB2104">
        <f>Z2104*($F$22+IF($F$22=0,0,($C$14+$C$15+IF($C$13="single",1.5,3)+3)/12))</f>
        <v>0</v>
      </c>
      <c r="AC2104">
        <f>AB2104-W2104</f>
        <v>0</v>
      </c>
      <c r="AD2104" cm="1">
        <f t="array" ref="AD2104">IFERROR(IF(AC2104&lt;0,0,AC2104/($R$2079-INDEX(hd_off,MATCH(AQ2104,hd_mark,0),0)/12)),0)</f>
        <v>0</v>
      </c>
      <c r="AE2104">
        <f>IF(S2104=0,0,$AD$2079*$AM$2070)</f>
        <v>0</v>
      </c>
      <c r="AF2104">
        <f>IFERROR(AE2104/$R$2079,0)</f>
        <v>0</v>
      </c>
      <c r="AG2104">
        <f>AE2104*($F$22+IF($F$22=0,0,($C$14+$C$15+IF($C$13="single",1.5,3)+3)/12))</f>
        <v>0</v>
      </c>
      <c r="AH2104">
        <f>AG2104-X2104</f>
        <v>0</v>
      </c>
      <c r="AI2104" cm="1">
        <f t="array" ref="AI2104">IFERROR(IF(AH2104&lt;0,0,AH2104/($R$2079-INDEX(hd_off,MATCH(AQ2104,hd_mark,0),0)/12)),0)</f>
        <v>0</v>
      </c>
      <c r="AJ2104">
        <f>MAX($F$22,$Z$2079)/$Q$2100</f>
        <v>0.30172413793103448</v>
      </c>
      <c r="AK2104">
        <f t="shared" ref="AK2104:AK2107" si="1312">IF(AJ2104=0,0,IF(AJ2104&gt;2,1.25-0.125*AJ2104,1))</f>
        <v>1</v>
      </c>
      <c r="AL2104" cm="1">
        <f t="array" ref="AL2104">IFERROR(INDEX(sheath_ecap_asd,MATCH(AP2104,sheath_mark,0),0)*AK2104,0)</f>
        <v>0</v>
      </c>
      <c r="AM2104" cm="1">
        <f t="array" ref="AM2104">IFERROR(INDEX(sheath_wcap_asd,MATCH(AP2104,sheath_mark,0),0)*AK2104,0)</f>
        <v>0</v>
      </c>
      <c r="AN2104" cm="1">
        <f t="array" ref="AN2104">IFERROR(INDEX(hd_cap,MATCH(AQ2104,hd_mark,0),0),0)</f>
        <v>0</v>
      </c>
      <c r="AP2104" s="19"/>
      <c r="AQ2104" s="19"/>
      <c r="AR2104" s="100"/>
      <c r="AS2104" s="93"/>
      <c r="AT2104" s="109"/>
      <c r="AU2104" t="str">
        <f>$Q$2070</f>
        <v>L3</v>
      </c>
      <c r="AV2104">
        <f>$E$22</f>
        <v>21.375</v>
      </c>
      <c r="AW2104" cm="1">
        <f t="array" ref="AW2104">IFERROR(IF(AV2104=0,0,(INDEX($C$33:$C$38,MATCH($AZ$2079,$B$33:$B$38,0),0)*(AV2107+$BA$2079)+$AW$2079*COUNTIF(AV2104:AV2106,"&gt;0")*$C$32+$AY$2079*$C$31)*$AU$2079),0)</f>
        <v>0</v>
      </c>
      <c r="AX2104">
        <f>IF(AV2104=0,0,-(COUNTIF(AV2104:AV2106,"&gt;0")*$AW$2079*$C$32+$AY$2079*$C$31)*$H$27*$AU$2079)</f>
        <v>0</v>
      </c>
      <c r="AY2104">
        <f>IF(AV2104=0,0,$AY$2079*$H$26*$AU$2079)</f>
        <v>0</v>
      </c>
      <c r="AZ2104">
        <f>(0.6*AW2104+0.7*AX2104)*$AU$2079/2</f>
        <v>0</v>
      </c>
      <c r="BA2104">
        <f>AW2104*$AU$2079/2</f>
        <v>0</v>
      </c>
      <c r="BC2104">
        <f>IF(AV2104=0,0,$BG$2079*$AP$2070)</f>
        <v>0</v>
      </c>
      <c r="BD2104">
        <f>IFERROR(BC2104/$AU$2079,0)</f>
        <v>0</v>
      </c>
      <c r="BE2104">
        <f>BC2104*($F$22+IF($F$22=0,0,($C$14+$C$15+IF($C$13="single",1.5,3)+3)/12))</f>
        <v>0</v>
      </c>
      <c r="BF2104">
        <f>BE2104-AZ2104</f>
        <v>0</v>
      </c>
      <c r="BG2104" cm="1">
        <f t="array" ref="BG2104">IFERROR(IF(BF2104&lt;0,0,BF2104/($AU$2079-INDEX(hd_off,MATCH(BT2104,hd_mark,0),0)/12)),0)</f>
        <v>0</v>
      </c>
      <c r="BH2104">
        <f>IF(AV2104=0,0,$BG$2079*$AM$2070)</f>
        <v>0</v>
      </c>
      <c r="BI2104">
        <f>IFERROR(BH2104/$AU$2079,0)</f>
        <v>0</v>
      </c>
      <c r="BJ2104">
        <f>BH2104*($F$22+IF($F$22=0,0,($C$14+$C$15+IF($C$13="single",1.5,3)+3)/12))</f>
        <v>0</v>
      </c>
      <c r="BK2104">
        <f>BJ2104-BA2104</f>
        <v>0</v>
      </c>
      <c r="BL2104" cm="1">
        <f t="array" ref="BL2104">IFERROR(IF(BK2104&lt;0,0,BK2104/($AU$2079-INDEX(hd_off,MATCH(BT2104,hd_mark,0),0)/12)),0)</f>
        <v>0</v>
      </c>
      <c r="BM2104">
        <f>MAX($F$22,$BC$2079)/$Q$2100</f>
        <v>0.30172413793103448</v>
      </c>
      <c r="BN2104">
        <f t="shared" ref="BN2104:BN2107" si="1313">IF(BM2104=0,0,IF(BM2104&gt;2,1.25-0.125*BM2104,1))</f>
        <v>1</v>
      </c>
      <c r="BO2104" cm="1">
        <f t="array" ref="BO2104">IFERROR(INDEX(sheath_ecap_asd,MATCH(BS2104,sheath_mark,0),0)*BN2104,0)</f>
        <v>0</v>
      </c>
      <c r="BP2104" cm="1">
        <f t="array" ref="BP2104">IFERROR(INDEX(sheath_wcap_asd,MATCH(BS2104,sheath_mark,0),0)*BN2104,0)</f>
        <v>0</v>
      </c>
      <c r="BQ2104" cm="1">
        <f t="array" ref="BQ2104">IFERROR(INDEX(hd_cap,MATCH(BT2104,hd_mark,0),0),0)</f>
        <v>0</v>
      </c>
      <c r="BS2104" s="19"/>
      <c r="BT2104" s="19"/>
      <c r="BU2104" s="100"/>
    </row>
    <row r="2105" x14ac:dyDescent="0.25">
      <c r="B2105" t="s">
        <v>464</v>
      </c>
      <c r="C2105" s="19"/>
      <c r="D2105" s="19"/>
      <c r="E2105">
        <f t="shared" si="1307"/>
        <v>0</v>
      </c>
      <c r="H2105">
        <v>16</v>
      </c>
      <c r="I2105" s="19"/>
      <c r="J2105" s="19"/>
      <c r="K2105">
        <f t="shared" si="1308"/>
        <v>0</v>
      </c>
      <c r="P2105" s="93"/>
      <c r="Q2105" s="109" t="s">
        <v>491</v>
      </c>
      <c r="R2105" t="str">
        <f>$Q$2071</f>
        <v>L4</v>
      </c>
      <c r="S2105">
        <f>$E$23</f>
        <v>0</v>
      </c>
      <c r="T2105" cm="1">
        <f t="array" ref="T2105">IFERROR(IF(S2105=0,0,(INDEX($C$33:$C$38,MATCH($W$2079,$B$33:$B$38,0),0)*(S2107+$X$2079)+$T$2079*COUNTIF(S2105:S2106,"&gt;0")*$C$32+$V$2079*$C$31)*$R$2079),0)</f>
        <v>0</v>
      </c>
      <c r="U2105">
        <f>IF(S2105=0,0,-(COUNTIF(S2105:S2106,"&gt;0")*$T$2079*$C$32+$V$2079*$C$31)*$H$27*$R$2079)</f>
        <v>0</v>
      </c>
      <c r="V2105">
        <f>IF(S2105=0,0,$V$2079*$H$26*$R$2079)</f>
        <v>0</v>
      </c>
      <c r="W2105">
        <f>(0.6*T2105+0.7*U2105)*$R$2079/2</f>
        <v>0</v>
      </c>
      <c r="X2105">
        <f>T2105*$R$2079/2</f>
        <v>0</v>
      </c>
      <c r="Z2105">
        <f>IF(S2105=0,0,$AD$2079*$AP$2071)</f>
        <v>0</v>
      </c>
      <c r="AA2105">
        <f>IFERROR(Z2105/$R$2079,0)</f>
        <v>0</v>
      </c>
      <c r="AB2105">
        <f>Z2105*($F$23+IF($F$23=0,0,($C$14+$C$15+IF($C$13="single",1.5,3)+3)/12))</f>
        <v>0</v>
      </c>
      <c r="AC2105">
        <f>AB2105-W2105</f>
        <v>0</v>
      </c>
      <c r="AD2105" cm="1">
        <f t="array" ref="AD2105">IFERROR(IF(AC2105&lt;0,0,AC2105/($R$2079-INDEX(hd_off,MATCH(AQ2105,hd_mark,0),0)/12)),0)</f>
        <v>0</v>
      </c>
      <c r="AE2105">
        <f>IF(S2105=0,0,$AD$2079*$AM$2071)</f>
        <v>0</v>
      </c>
      <c r="AF2105">
        <f>IFERROR(AE2105/$R$2079,0)</f>
        <v>0</v>
      </c>
      <c r="AG2105">
        <f>AE2105*($F$23+IF($F$23=0,0,($C$14+$C$15+IF($C$13="single",1.5,3)+3)/12))</f>
        <v>0</v>
      </c>
      <c r="AH2105">
        <f>AG2105-X2105</f>
        <v>0</v>
      </c>
      <c r="AI2105" cm="1">
        <f t="array" ref="AI2105">IFERROR(IF(AH2105&lt;0,0,AH2105/($R$2079-INDEX(hd_off,MATCH(AQ2105,hd_mark,0),0)/12)),0)</f>
        <v>0</v>
      </c>
      <c r="AJ2105">
        <f>MAX($F$23,$AA$2079)/$Q$2100</f>
        <v>0</v>
      </c>
      <c r="AK2105">
        <f t="shared" si="1312"/>
        <v>0</v>
      </c>
      <c r="AL2105" cm="1">
        <f t="array" ref="AL2105">IFERROR(INDEX(sheath_ecap_asd,MATCH(AP2105,sheath_mark,0),0)*AK2105,0)</f>
        <v>0</v>
      </c>
      <c r="AM2105" cm="1">
        <f t="array" ref="AM2105">IFERROR(INDEX(sheath_wcap_asd,MATCH(AP2105,sheath_mark,0),0)*AK2105,0)</f>
        <v>0</v>
      </c>
      <c r="AN2105" cm="1">
        <f t="array" ref="AN2105">IFERROR(INDEX(hd_cap,MATCH(AQ2105,hd_mark,0),0),0)</f>
        <v>0</v>
      </c>
      <c r="AP2105" s="19"/>
      <c r="AQ2105" s="19"/>
      <c r="AR2105" s="100"/>
      <c r="AS2105" s="93"/>
      <c r="AT2105" s="109" t="s">
        <v>491</v>
      </c>
      <c r="AU2105" t="str">
        <f>$Q$2071</f>
        <v>L4</v>
      </c>
      <c r="AV2105">
        <f>$E$23</f>
        <v>0</v>
      </c>
      <c r="AW2105" cm="1">
        <f t="array" ref="AW2105">IFERROR(IF(AV2105=0,0,(INDEX($C$33:$C$38,MATCH($AZ$2079,$B$33:$B$38,0),0)*(AV2107+$BA$2079)+$AW$2079*COUNTIF(AV2105:AV2106,"&gt;0")*$C$32+$AY$2079*$C$31)*$AU$2079),0)</f>
        <v>0</v>
      </c>
      <c r="AX2105">
        <f>IF(AV2105=0,0,-(COUNTIF(AV2105:AV2106,"&gt;0")*$AW$2079*$C$32+$AY$2079*$C$31)*$H$27*$AU$2079)</f>
        <v>0</v>
      </c>
      <c r="AY2105">
        <f>IF(AV2105=0,0,$AY$2079*$H$26*$AU$2079)</f>
        <v>0</v>
      </c>
      <c r="AZ2105">
        <f>(0.6*AW2105+0.7*AX2105)*$AU$2079/2</f>
        <v>0</v>
      </c>
      <c r="BA2105">
        <f>AW2105*$AU$2079/2</f>
        <v>0</v>
      </c>
      <c r="BC2105">
        <f>IF(AV2105=0,0,$BG$2079*$AP$2071)</f>
        <v>0</v>
      </c>
      <c r="BD2105">
        <f>IFERROR(BC2105/$AU$2079,0)</f>
        <v>0</v>
      </c>
      <c r="BE2105">
        <f>BC2105*($F$23+IF($F$23=0,0,($C$14+$C$15+IF($C$13="single",1.5,3)+3)/12))</f>
        <v>0</v>
      </c>
      <c r="BF2105">
        <f>BE2105-AZ2105</f>
        <v>0</v>
      </c>
      <c r="BG2105" cm="1">
        <f t="array" ref="BG2105">IFERROR(IF(BF2105&lt;0,0,BF2105/($AU$2079-INDEX(hd_off,MATCH(BT2105,hd_mark,0),0)/12)),0)</f>
        <v>0</v>
      </c>
      <c r="BH2105">
        <f>IF(AV2105=0,0,$BG$2079*$AM$2071)</f>
        <v>0</v>
      </c>
      <c r="BI2105">
        <f>IFERROR(BH2105/$AU$2079,0)</f>
        <v>0</v>
      </c>
      <c r="BJ2105">
        <f>BH2105*($F$23+IF($F$23=0,0,($C$14+$C$15+IF($C$13="single",1.5,3)+3)/12))</f>
        <v>0</v>
      </c>
      <c r="BK2105">
        <f>BJ2105-BA2105</f>
        <v>0</v>
      </c>
      <c r="BL2105" cm="1">
        <f t="array" ref="BL2105">IFERROR(IF(BK2105&lt;0,0,BK2105/($AU$2079-INDEX(hd_off,MATCH(BT2105,hd_mark,0),0)/12)),0)</f>
        <v>0</v>
      </c>
      <c r="BM2105">
        <f>MAX($F$23,$BD$2079)/$Q$2100</f>
        <v>0</v>
      </c>
      <c r="BN2105">
        <f t="shared" si="1313"/>
        <v>0</v>
      </c>
      <c r="BO2105" cm="1">
        <f t="array" ref="BO2105">IFERROR(INDEX(sheath_ecap_asd,MATCH(BS2105,sheath_mark,0),0)*BN2105,0)</f>
        <v>0</v>
      </c>
      <c r="BP2105" cm="1">
        <f t="array" ref="BP2105">IFERROR(INDEX(sheath_wcap_asd,MATCH(BS2105,sheath_mark,0),0)*BN2105,0)</f>
        <v>0</v>
      </c>
      <c r="BQ2105" cm="1">
        <f t="array" ref="BQ2105">IFERROR(INDEX(hd_cap,MATCH(BT2105,hd_mark,0),0),0)</f>
        <v>0</v>
      </c>
      <c r="BS2105" s="19"/>
      <c r="BT2105" s="19"/>
      <c r="BU2105" s="100"/>
    </row>
    <row r="2106" x14ac:dyDescent="0.25">
      <c r="B2106" t="s">
        <v>465</v>
      </c>
      <c r="C2106" s="19"/>
      <c r="D2106" s="19"/>
      <c r="E2106">
        <f t="shared" si="1307"/>
        <v>0</v>
      </c>
      <c r="H2106">
        <v>17</v>
      </c>
      <c r="I2106" s="19"/>
      <c r="J2106" s="19"/>
      <c r="K2106">
        <f t="shared" si="1308"/>
        <v>0</v>
      </c>
      <c r="P2106" s="93"/>
      <c r="Q2106" s="111">
        <f>$R$2079</f>
        <v>0</v>
      </c>
      <c r="R2106" t="str">
        <f>$Q$2072</f>
        <v>L5</v>
      </c>
      <c r="S2106">
        <f>$E$24</f>
        <v>0</v>
      </c>
      <c r="T2106" cm="1">
        <f t="array" ref="T2106">IFERROR(IF(S2106=0,0,(INDEX($C$33:$C$38,MATCH($W$2079,$B$33:$B$38,0),0)*(S2107+$X$2079)+$T$2079*COUNTIF(S2106:S2106,"&gt;0")*$C$32+$V$2079*$C$31)*$R$2079),0)</f>
        <v>0</v>
      </c>
      <c r="U2106">
        <f>IF(S2106=0,0,-(COUNTIF(S2106:S2106,"&gt;0")*$T$2079*$C$32+$V$2079*$C$31)*$H$27*$R$2079)</f>
        <v>0</v>
      </c>
      <c r="V2106">
        <f>IF(S2106=0,0,$V$2079*$H$26*$R$2079)</f>
        <v>0</v>
      </c>
      <c r="W2106">
        <f>(0.6*T2106+0.7*U2106)*$R$2079/2</f>
        <v>0</v>
      </c>
      <c r="X2106">
        <f>T2106*$R$2079/2</f>
        <v>0</v>
      </c>
      <c r="Z2106">
        <f>IF(S2106=0,0,$AD$2079*$AP$2072)</f>
        <v>0</v>
      </c>
      <c r="AA2106">
        <f>IFERROR(Z2106/$R$2079,0)</f>
        <v>0</v>
      </c>
      <c r="AB2106">
        <f>Z2106*($F$24+IF($F$24=0,0,($C$14+$C$15+IF($C$13="single",1.5,3)+3)/12))</f>
        <v>0</v>
      </c>
      <c r="AC2106">
        <f>AB2106-W2106</f>
        <v>0</v>
      </c>
      <c r="AD2106" cm="1">
        <f t="array" ref="AD2106">IFERROR(IF(AC2106&lt;0,0,AC2106/($R$2079-INDEX(hd_off,MATCH(AQ2106,hd_mark,0),0)/12)),0)</f>
        <v>0</v>
      </c>
      <c r="AE2106">
        <f>IF(S2106=0,0,$AD$2079*$AM$2072)</f>
        <v>0</v>
      </c>
      <c r="AF2106">
        <f>IFERROR(AE2106/$R$2079,0)</f>
        <v>0</v>
      </c>
      <c r="AG2106">
        <f>AE2106*($F$24+IF($F$24=0,0,($C$14+$C$15+IF($C$13="single",1.5,3)+3)/12))</f>
        <v>0</v>
      </c>
      <c r="AH2106">
        <f>AG2106-X2106</f>
        <v>0</v>
      </c>
      <c r="AI2106" cm="1">
        <f t="array" ref="AI2106">IFERROR(IF(AH2106&lt;0,0,AH2106/($R$2079-INDEX(hd_off,MATCH(AQ2106,hd_mark,0),0)/12)),0)</f>
        <v>0</v>
      </c>
      <c r="AJ2106">
        <f>MAX($F$24,$AB$2079)/$Q$2100</f>
        <v>0</v>
      </c>
      <c r="AK2106">
        <f t="shared" si="1312"/>
        <v>0</v>
      </c>
      <c r="AL2106" cm="1">
        <f t="array" ref="AL2106">IFERROR(INDEX(sheath_ecap_asd,MATCH(AP2106,sheath_mark,0),0)*AK2106,0)</f>
        <v>0</v>
      </c>
      <c r="AM2106" cm="1">
        <f t="array" ref="AM2106">IFERROR(INDEX(sheath_wcap_asd,MATCH(AP2106,sheath_mark,0),0)*AK2106,0)</f>
        <v>0</v>
      </c>
      <c r="AN2106" cm="1">
        <f t="array" ref="AN2106">IFERROR(INDEX(hd_cap,MATCH(AQ2106,hd_mark,0),0),0)</f>
        <v>0</v>
      </c>
      <c r="AP2106" s="19"/>
      <c r="AQ2106" s="19"/>
      <c r="AR2106" s="100"/>
      <c r="AS2106" s="93"/>
      <c r="AT2106" s="111">
        <f>$R$2079</f>
        <v>0</v>
      </c>
      <c r="AU2106" t="str">
        <f>$Q$2072</f>
        <v>L5</v>
      </c>
      <c r="AV2106">
        <f>$E$24</f>
        <v>0</v>
      </c>
      <c r="AW2106" cm="1">
        <f t="array" ref="AW2106">IFERROR(IF(AV2106=0,0,(INDEX($C$33:$C$38,MATCH($AZ$2079,$B$33:$B$38,0),0)*(AV2107+$BA$2079)+$AW$2079*COUNTIF(AV2106:AV2106,"&gt;0")*$C$32+$AY$2079*$C$31)*$AU$2079),0)</f>
        <v>0</v>
      </c>
      <c r="AX2106">
        <f>IF(AV2106=0,0,-(COUNTIF(AV2106:AV2106,"&gt;0")*$AW$2079*$C$32+$AY$2079*$C$31)*$H$27*$AU$2079)</f>
        <v>0</v>
      </c>
      <c r="AY2106">
        <f>IF(AV2106=0,0,$AY$2079*$H$26*$AU$2079)</f>
        <v>0</v>
      </c>
      <c r="AZ2106">
        <f>(0.6*AW2106+0.7*AX2106)*$AU$2079/2</f>
        <v>0</v>
      </c>
      <c r="BA2106">
        <f>AW2106*$AU$2079/2</f>
        <v>0</v>
      </c>
      <c r="BC2106">
        <f>IF(AV2106=0,0,$BG$2079*$AP$2072)</f>
        <v>0</v>
      </c>
      <c r="BD2106">
        <f>IFERROR(BC2106/$AU$2079,0)</f>
        <v>0</v>
      </c>
      <c r="BE2106">
        <f>BC2106*($F$24+IF($F$24=0,0,($C$14+$C$15+IF($C$13="single",1.5,3)+3)/12))</f>
        <v>0</v>
      </c>
      <c r="BF2106">
        <f>BE2106-AZ2106</f>
        <v>0</v>
      </c>
      <c r="BG2106" cm="1">
        <f t="array" ref="BG2106">IFERROR(IF(BF2106&lt;0,0,BF2106/($AU$2079-INDEX(hd_off,MATCH(BT2106,hd_mark,0),0)/12)),0)</f>
        <v>0</v>
      </c>
      <c r="BH2106">
        <f>IF(AV2106=0,0,$BG$2079*$AM$2072)</f>
        <v>0</v>
      </c>
      <c r="BI2106">
        <f>IFERROR(BH2106/$AU$2079,0)</f>
        <v>0</v>
      </c>
      <c r="BJ2106">
        <f>BH2106*($F$24+IF($F$24=0,0,($C$14+$C$15+IF($C$13="single",1.5,3)+3)/12))</f>
        <v>0</v>
      </c>
      <c r="BK2106">
        <f>BJ2106-BA2106</f>
        <v>0</v>
      </c>
      <c r="BL2106" cm="1">
        <f t="array" ref="BL2106">IFERROR(IF(BK2106&lt;0,0,BK2106/($AU$2079-INDEX(hd_off,MATCH(BT2106,hd_mark,0),0)/12)),0)</f>
        <v>0</v>
      </c>
      <c r="BM2106">
        <f>MAX($F$24,$BE$2079)/$Q$2100</f>
        <v>0</v>
      </c>
      <c r="BN2106">
        <f t="shared" si="1313"/>
        <v>0</v>
      </c>
      <c r="BO2106" cm="1">
        <f t="array" ref="BO2106">IFERROR(INDEX(sheath_ecap_asd,MATCH(BS2106,sheath_mark,0),0)*BN2106,0)</f>
        <v>0</v>
      </c>
      <c r="BP2106" cm="1">
        <f t="array" ref="BP2106">IFERROR(INDEX(sheath_wcap_asd,MATCH(BS2106,sheath_mark,0),0)*BN2106,0)</f>
        <v>0</v>
      </c>
      <c r="BQ2106" cm="1">
        <f t="array" ref="BQ2106">IFERROR(INDEX(hd_cap,MATCH(BT2106,hd_mark,0),0),0)</f>
        <v>0</v>
      </c>
      <c r="BS2106" s="19"/>
      <c r="BT2106" s="19"/>
      <c r="BU2106" s="100"/>
    </row>
    <row r="2107" x14ac:dyDescent="0.25">
      <c r="B2107" t="s">
        <v>466</v>
      </c>
      <c r="C2107" s="19"/>
      <c r="D2107" s="19"/>
      <c r="E2107">
        <f t="shared" si="1307"/>
        <v>0</v>
      </c>
      <c r="H2107">
        <v>18</v>
      </c>
      <c r="I2107" s="19"/>
      <c r="J2107" s="19"/>
      <c r="K2107">
        <f t="shared" si="1308"/>
        <v>0</v>
      </c>
      <c r="P2107" s="93"/>
      <c r="Q2107" s="109"/>
      <c r="R2107" t="str">
        <f>$Q$2073</f>
        <v>Roof</v>
      </c>
      <c r="S2107">
        <f>$E$25</f>
        <v>33.171875</v>
      </c>
      <c r="T2107" cm="1">
        <f t="array" ref="T2107">IFERROR(IF(S2107=0,0,(INDEX($C$33:$C$38,MATCH($W$2079,$B$33:$B$38,0),0)*(S2107+$X$2079)+$V$2079*$C$31)*$R$2079),0)</f>
        <v>0</v>
      </c>
      <c r="U2107">
        <f>IF(S2107=0,0,-$V$2079*$C$31*$H$27*$R$2079)</f>
        <v>0</v>
      </c>
      <c r="V2107">
        <f>IF(S2107=0,0,$V$2079*$H$26*$R$2079)</f>
        <v>0</v>
      </c>
      <c r="W2107">
        <f>(0.6*T2107+0.7*U2107)*$R$2079/2</f>
        <v>0</v>
      </c>
      <c r="X2107">
        <f>T2107*$R$2079/2</f>
        <v>0</v>
      </c>
      <c r="Z2107">
        <f>IF(S2107=0,0,$AD$2079*$AP$2073)</f>
        <v>0</v>
      </c>
      <c r="AA2107">
        <f>IFERROR(Z2107/$R$2079,0)</f>
        <v>0</v>
      </c>
      <c r="AB2107">
        <f>Z2107*($F$25+($C$16+$C$17+IF($C$13="single",1.5,3)+3)/12)</f>
        <v>0</v>
      </c>
      <c r="AC2107">
        <f>AB2107-W2107</f>
        <v>0</v>
      </c>
      <c r="AD2107" cm="1">
        <f t="array" ref="AD2107">IFERROR(IF(AC2107&lt;0,0,AC2107/($R$2079-INDEX(hd_off,MATCH(AQ2107,hd_mark,0),0)/12)),0)</f>
        <v>0</v>
      </c>
      <c r="AE2107">
        <f>IF(S2107=0,0,$AD$2079*$AM$2073)</f>
        <v>0</v>
      </c>
      <c r="AF2107">
        <f>IFERROR(AE2107/$R$2079,0)</f>
        <v>0</v>
      </c>
      <c r="AG2107">
        <f>AE2107*($F$25+($C$16+$C$17+IF($C$13="single",1.5,3)+3)/12)</f>
        <v>0</v>
      </c>
      <c r="AH2107">
        <f>AG2107-X2107</f>
        <v>0</v>
      </c>
      <c r="AI2107" cm="1">
        <f t="array" ref="AI2107">IFERROR(IF(AH2107&lt;0,0,AH2107/($R$2079-INDEX(hd_off,MATCH(AQ2107,hd_mark,0),0)/12)),0)</f>
        <v>0</v>
      </c>
      <c r="AJ2107">
        <f>MAX($F$25,$AC$2079)/$Q$2100</f>
        <v>0.29920977011494249</v>
      </c>
      <c r="AK2107">
        <f t="shared" si="1312"/>
        <v>1</v>
      </c>
      <c r="AL2107" cm="1">
        <f t="array" ref="AL2107">IFERROR(INDEX(sheath_ecap_asd,MATCH(AP2107,sheath_mark,0),0)*AK2107,0)</f>
        <v>0</v>
      </c>
      <c r="AM2107" cm="1">
        <f t="array" ref="AM2107">IFERROR(INDEX(sheath_wcap_asd,MATCH(AP2107,sheath_mark,0),0)*AK2107,0)</f>
        <v>0</v>
      </c>
      <c r="AN2107" cm="1">
        <f t="array" ref="AN2107">IFERROR(INDEX(hd_cap,MATCH(AQ2107,hd_mark,0),0),0)</f>
        <v>0</v>
      </c>
      <c r="AP2107" s="19"/>
      <c r="AQ2107" s="19"/>
      <c r="AR2107" s="100"/>
      <c r="AS2107" s="93"/>
      <c r="AT2107" s="109"/>
      <c r="AU2107" t="str">
        <f>$Q$2073</f>
        <v>Roof</v>
      </c>
      <c r="AV2107">
        <f>$E$25</f>
        <v>33.171875</v>
      </c>
      <c r="AW2107" cm="1">
        <f t="array" ref="AW2107">IFERROR(IF(AV2107=0,0,(INDEX($C$33:$C$38,MATCH($AZ$2079,$B$33:$B$38,0),0)*(AV2107+$BA$2079)+$AY$2079*$C$31)*$AU$2079),0)</f>
        <v>0</v>
      </c>
      <c r="AX2107">
        <f>IF(AV2107=0,0,-$AY$2079*$C$31*$H$27*$AU$2079)</f>
        <v>0</v>
      </c>
      <c r="AY2107">
        <f>IF(AV2107=0,0,$AY$2079*$H$26*$AU$2079)</f>
        <v>0</v>
      </c>
      <c r="AZ2107">
        <f>(0.6*AW2107+0.7*AX2107)*$AU$2079/2</f>
        <v>0</v>
      </c>
      <c r="BA2107">
        <f>AW2107*$AU$2079/2</f>
        <v>0</v>
      </c>
      <c r="BC2107">
        <f>IF(AV2107=0,0,$BG$2079*$AP$2073)</f>
        <v>0</v>
      </c>
      <c r="BD2107">
        <f>IFERROR(BC2107/$AU$2079,0)</f>
        <v>0</v>
      </c>
      <c r="BE2107">
        <f>BC2107*($F$25+($C$16+$C$17+IF($C$13="single",1.5,3)+3)/12)</f>
        <v>0</v>
      </c>
      <c r="BF2107">
        <f>BE2107-AZ2107</f>
        <v>0</v>
      </c>
      <c r="BG2107" cm="1">
        <f t="array" ref="BG2107">IFERROR(IF(BF2107&lt;0,0,BF2107/($AU$2079-INDEX(hd_off,MATCH(BT2107,hd_mark,0),0)/12)),0)</f>
        <v>0</v>
      </c>
      <c r="BH2107">
        <f>IF(AV2107=0,0,$BG$2079*$AM$2073)</f>
        <v>0</v>
      </c>
      <c r="BI2107">
        <f>IFERROR(BH2107/$AU$2079,0)</f>
        <v>0</v>
      </c>
      <c r="BJ2107">
        <f>BH2107*($F$25+($C$16+$C$17+IF($C$13="single",1.5,3)+3)/12)</f>
        <v>0</v>
      </c>
      <c r="BK2107">
        <f>BJ2107-BA2107</f>
        <v>0</v>
      </c>
      <c r="BL2107" cm="1">
        <f t="array" ref="BL2107">IFERROR(IF(BK2107&lt;0,0,BK2107/($AU$2079-INDEX(hd_off,MATCH(BT2107,hd_mark,0),0)/12)),0)</f>
        <v>0</v>
      </c>
      <c r="BM2107">
        <f>MAX($F$25,$BF$2079)/$Q$2100</f>
        <v>0.29920977011494249</v>
      </c>
      <c r="BN2107">
        <f t="shared" si="1313"/>
        <v>1</v>
      </c>
      <c r="BO2107" cm="1">
        <f t="array" ref="BO2107">IFERROR(INDEX(sheath_ecap_asd,MATCH(BS2107,sheath_mark,0),0)*BN2107,0)</f>
        <v>0</v>
      </c>
      <c r="BP2107" cm="1">
        <f t="array" ref="BP2107">IFERROR(INDEX(sheath_wcap_asd,MATCH(BS2107,sheath_mark,0),0)*BN2107,0)</f>
        <v>0</v>
      </c>
      <c r="BQ2107" cm="1">
        <f t="array" ref="BQ2107">IFERROR(INDEX(hd_cap,MATCH(BT2107,hd_mark,0),0),0)</f>
        <v>0</v>
      </c>
      <c r="BS2107" s="19"/>
      <c r="BT2107" s="19"/>
      <c r="BU2107" s="100"/>
    </row>
    <row r="2108" x14ac:dyDescent="0.25">
      <c r="B2108" t="s">
        <v>467</v>
      </c>
      <c r="C2108" s="19"/>
      <c r="D2108" s="19"/>
      <c r="E2108">
        <f t="shared" si="1307"/>
        <v>0</v>
      </c>
      <c r="H2108">
        <v>19</v>
      </c>
      <c r="I2108" s="19"/>
      <c r="J2108" s="19"/>
      <c r="K2108">
        <f t="shared" si="1308"/>
        <v>0</v>
      </c>
      <c r="P2108" s="93"/>
      <c r="AR2108" s="100"/>
      <c r="AS2108" s="93"/>
      <c r="BU2108" s="100"/>
    </row>
    <row r="2109" x14ac:dyDescent="0.25">
      <c r="B2109" t="s">
        <v>468</v>
      </c>
      <c r="C2109" s="19"/>
      <c r="D2109" s="19"/>
      <c r="E2109">
        <f t="shared" si="1307"/>
        <v>0</v>
      </c>
      <c r="H2109">
        <v>20</v>
      </c>
      <c r="I2109" s="19"/>
      <c r="J2109" s="19"/>
      <c r="K2109">
        <f t="shared" si="1308"/>
        <v>0</v>
      </c>
      <c r="P2109" s="93"/>
      <c r="Q2109" s="110" t="str">
        <f>$Q$2080</f>
        <v>A.03</v>
      </c>
      <c r="R2109" t="str">
        <f>$Q$2069</f>
        <v>L2</v>
      </c>
      <c r="S2109">
        <f>$E$21</f>
        <v>10.6875</v>
      </c>
      <c r="T2109" cm="1">
        <f t="array" ref="T2109">IFERROR(IF(S2109=0,0,(INDEX($C$33:$C$38,MATCH($W$2080,$B$33:$B$38,0),0)*(S2113+$X$2080)+$T$2080*COUNTIF(S2109:S2112,"&gt;0")*$C$32+$V$2080*$C$31)*$R$2080),0)</f>
        <v>0</v>
      </c>
      <c r="U2109">
        <f>IF(S2109=0,0,-(COUNTIF(S2109:S2112,"&gt;0")*$T$2080*$C$32+$V$2080*$C$31)*$H$27*$R$2080)</f>
        <v>0</v>
      </c>
      <c r="V2109">
        <f>IF(S2109=0,0,$V$2080*$H$26*$R$2080)</f>
        <v>0</v>
      </c>
      <c r="W2109">
        <f>(0.6*T2109+0.7*U2109)*$R$2080/2</f>
        <v>0</v>
      </c>
      <c r="X2109">
        <f>(0.6*T2109+0.6*V2109)*$R$2080/2</f>
        <v>0</v>
      </c>
      <c r="Z2109">
        <f>IF(S2109=0,0,$AD$2080*$AP$2069)</f>
        <v>0</v>
      </c>
      <c r="AA2109">
        <f>IFERROR(Z2109/$R$2080,0)</f>
        <v>0</v>
      </c>
      <c r="AB2109">
        <f>Z2109*($F$21+IF($F$21=0,0,($C$14+$C$15+IF($C$13="single",1.5,3)+3)/12))</f>
        <v>0</v>
      </c>
      <c r="AC2109">
        <f>AB2109-W2109</f>
        <v>0</v>
      </c>
      <c r="AD2109" cm="1">
        <f t="array" ref="AD2109">IFERROR(IF(AC2109&lt;0,0,AC2109/($R$2080-INDEX(hd_off,MATCH(AQ2109,hd_mark,0),0)/12)),0)</f>
        <v>0</v>
      </c>
      <c r="AE2109">
        <f>IF(S2109=0,0,$AD$2080*$AM$2069)</f>
        <v>0</v>
      </c>
      <c r="AF2109">
        <f>IFERROR(AE2109/$R$2080,0)</f>
        <v>0</v>
      </c>
      <c r="AG2109">
        <f>AE2109*($F$21+IF($F$21=0,0,($C$14+$C$15+IF($C$13="single",1.5,3)+3)/12))</f>
        <v>0</v>
      </c>
      <c r="AH2109">
        <f>AG2109-X2109</f>
        <v>0</v>
      </c>
      <c r="AI2109" cm="1">
        <f t="array" ref="AI2109">IFERROR(IF(AH2109&lt;0,0,AH2109/($R$2080-INDEX(hd_off,MATCH(AQ2109,hd_mark,0),0)/12)),0)</f>
        <v>0</v>
      </c>
      <c r="AJ2109">
        <f>MAX($F$21,$Y$2080)/$Q$2100</f>
        <v>0.30172413793103448</v>
      </c>
      <c r="AK2109">
        <f>IF(AJ2109=0,0,IF(AJ2109&gt;2,1.25-0.125*AJ2109,1))</f>
        <v>1</v>
      </c>
      <c r="AL2109" cm="1">
        <f t="array" ref="AL2109">IFERROR(INDEX(sheath_ecap_asd,MATCH(AP2109,sheath_mark,0),0)*AK2109,0)</f>
        <v>0</v>
      </c>
      <c r="AM2109" cm="1">
        <f t="array" ref="AM2109">IFERROR(INDEX(sheath_wcap_asd,MATCH(AP2109,sheath_mark,0),0)*AK2109,0)</f>
        <v>0</v>
      </c>
      <c r="AN2109" cm="1">
        <f t="array" ref="AN2109">IFERROR(INDEX(hd_cap,MATCH(AQ2109,hd_mark,0),0),0)</f>
        <v>0</v>
      </c>
      <c r="AP2109" s="19"/>
      <c r="AQ2109" s="19"/>
      <c r="AR2109" s="100"/>
      <c r="AS2109" s="93"/>
      <c r="AT2109" s="110" t="str">
        <f>$AT$2080</f>
        <v>1.03</v>
      </c>
      <c r="AU2109" t="str">
        <f>$Q$2069</f>
        <v>L2</v>
      </c>
      <c r="AV2109">
        <f>$E$21</f>
        <v>10.6875</v>
      </c>
      <c r="AW2109" cm="1">
        <f t="array" ref="AW2109">IFERROR(IF(AV2109=0,0,(INDEX($C$33:$C$38,MATCH($AZ$2080,$B$33:$B$38,0),0)*(AV2113+$BA$2080)+$AW$2080*COUNTIF(AV2109:AV2112,"&gt;0")*$C$32+$AY$2080*$C$31)*$AU$2080),0)</f>
        <v>0</v>
      </c>
      <c r="AX2109">
        <f>IF(AV2109=0,0,-(COUNTIF(AV2109:AV2112,"&gt;0")*$AW$2080*$C$32+$AY$2080*$C$31)*$H$27*$AU$2080)</f>
        <v>0</v>
      </c>
      <c r="AY2109">
        <f>IF(AV2109=0,0,$AY$2080*$H$26*$AU$2080)</f>
        <v>0</v>
      </c>
      <c r="AZ2109">
        <f>(0.6*AW2109+0.7*AX2109)*$AU$2080/2</f>
        <v>0</v>
      </c>
      <c r="BA2109">
        <f>(0.6*AW2109+0.6*AY2109)*$AU$2080/2</f>
        <v>0</v>
      </c>
      <c r="BC2109">
        <f>IF(AV2109=0,0,$BG$2080*$AP$2069)</f>
        <v>0</v>
      </c>
      <c r="BD2109">
        <f>IFERROR(BC2109/$AU$2080,0)</f>
        <v>0</v>
      </c>
      <c r="BE2109">
        <f>BC2109*($F$21+IF($F$21=0,0,($C$14+$C$15+IF($C$13="single",1.5,3)+3)/12))</f>
        <v>0</v>
      </c>
      <c r="BF2109">
        <f>BE2109-AZ2109</f>
        <v>0</v>
      </c>
      <c r="BG2109" cm="1">
        <f t="array" ref="BG2109">IFERROR(IF(BF2109&lt;0,0,BF2109/($AU$2080-INDEX(hd_off,MATCH(BT2109,hd_mark,0),0)/12)),0)</f>
        <v>0</v>
      </c>
      <c r="BH2109">
        <f>IF(AV2109=0,0,$BG$2080*$AM$2069)</f>
        <v>0</v>
      </c>
      <c r="BI2109">
        <f>IFERROR(BH2109/$AU$2080,0)</f>
        <v>0</v>
      </c>
      <c r="BJ2109">
        <f>BH2109*($F$21+IF($F$21=0,0,($C$14+$C$15+IF($C$13="single",1.5,3)+3)/12))</f>
        <v>0</v>
      </c>
      <c r="BK2109">
        <f>BJ2109-BA2109</f>
        <v>0</v>
      </c>
      <c r="BL2109" cm="1">
        <f t="array" ref="BL2109">IFERROR(IF(BK2109&lt;0,0,BK2109/($AU$2080-INDEX(hd_off,MATCH(BT2109,hd_mark,0),0)/12)),0)</f>
        <v>0</v>
      </c>
      <c r="BM2109">
        <f>MAX($F$21,$BB$2080)/$Q$2100</f>
        <v>0.30172413793103448</v>
      </c>
      <c r="BN2109">
        <f>IF(BM2109=0,0,IF(BM2109&gt;2,1.25-0.125*BM2109,1))</f>
        <v>1</v>
      </c>
      <c r="BO2109" cm="1">
        <f t="array" ref="BO2109">IFERROR(INDEX(sheath_ecap_asd,MATCH(BS2109,sheath_mark,0),0)*BN2109,0)</f>
        <v>0</v>
      </c>
      <c r="BP2109" cm="1">
        <f t="array" ref="BP2109">IFERROR(INDEX(sheath_wcap_asd,MATCH(BS2109,sheath_mark,0),0)*BN2109,0)</f>
        <v>0</v>
      </c>
      <c r="BQ2109" cm="1">
        <f t="array" ref="BQ2109">IFERROR(INDEX(hd_cap,MATCH(BT2109,hd_mark,0),0),0)</f>
        <v>0</v>
      </c>
      <c r="BS2109" s="19"/>
      <c r="BT2109" s="19"/>
      <c r="BU2109" s="100"/>
    </row>
    <row r="2110" x14ac:dyDescent="0.25">
      <c r="B2110" t="s">
        <v>469</v>
      </c>
      <c r="C2110" s="19"/>
      <c r="D2110" s="19"/>
      <c r="E2110">
        <f t="shared" si="1307"/>
        <v>0</v>
      </c>
      <c r="H2110">
        <v>21</v>
      </c>
      <c r="I2110" s="19"/>
      <c r="J2110" s="19"/>
      <c r="K2110">
        <f t="shared" si="1308"/>
        <v>0</v>
      </c>
      <c r="P2110" s="93"/>
      <c r="Q2110" s="109"/>
      <c r="R2110" t="str">
        <f>$Q$2070</f>
        <v>L3</v>
      </c>
      <c r="S2110">
        <f>$E$22</f>
        <v>21.375</v>
      </c>
      <c r="T2110" cm="1">
        <f t="array" ref="T2110">IFERROR(IF(S2110=0,0,(INDEX($C$33:$C$38,MATCH($W$2080,$B$33:$B$38,0),0)*(S2113+$X$2080)+$T$2080*COUNTIF(S2110:S2112,"&gt;0")*$C$32+$V$2080*$C$31)*$R$2080),0)</f>
        <v>0</v>
      </c>
      <c r="U2110">
        <f>IF(S2110=0,0,-(COUNTIF(S2110:S2112,"&gt;0")*$T$2080*$C$32+$V$2080*$C$31)*$H$27*$R$2080)</f>
        <v>0</v>
      </c>
      <c r="V2110">
        <f>IF(S2110=0,0,$V$2080*$H$26*$R$2080)</f>
        <v>0</v>
      </c>
      <c r="W2110">
        <f>(0.6*T2110+0.7*U2110)*$R$2080/2</f>
        <v>0</v>
      </c>
      <c r="X2110">
        <f>T2110*$R$2080/2</f>
        <v>0</v>
      </c>
      <c r="Z2110">
        <f>IF(S2110=0,0,$AD$2080*$AP$2070)</f>
        <v>0</v>
      </c>
      <c r="AA2110">
        <f>IFERROR(Z2110/$R$2080,0)</f>
        <v>0</v>
      </c>
      <c r="AB2110">
        <f>Z2110*($F$22+IF($F$22=0,0,($C$14+$C$15+IF($C$13="single",1.5,3)+3)/12))</f>
        <v>0</v>
      </c>
      <c r="AC2110">
        <f>AB2110-W2110</f>
        <v>0</v>
      </c>
      <c r="AD2110" cm="1">
        <f t="array" ref="AD2110">IFERROR(IF(AC2110&lt;0,0,AC2110/($R$2080-INDEX(hd_off,MATCH(AQ2110,hd_mark,0),0)/12)),0)</f>
        <v>0</v>
      </c>
      <c r="AE2110">
        <f>IF(S2110=0,0,$AD$2080*$AM$2070)</f>
        <v>0</v>
      </c>
      <c r="AF2110">
        <f>IFERROR(AE2110/$R$2080,0)</f>
        <v>0</v>
      </c>
      <c r="AG2110">
        <f>AE2110*($F$22+IF($F$22=0,0,($C$14+$C$15+IF($C$13="single",1.5,3)+3)/12))</f>
        <v>0</v>
      </c>
      <c r="AH2110">
        <f>AG2110-X2110</f>
        <v>0</v>
      </c>
      <c r="AI2110" cm="1">
        <f t="array" ref="AI2110">IFERROR(IF(AH2110&lt;0,0,AH2110/($R$2080-INDEX(hd_off,MATCH(AQ2110,hd_mark,0),0)/12)),0)</f>
        <v>0</v>
      </c>
      <c r="AJ2110">
        <f>MAX($F$22,$Z$2080)/$Q$2100</f>
        <v>0.30172413793103448</v>
      </c>
      <c r="AK2110">
        <f t="shared" ref="AK2110:AK2113" si="1314">IF(AJ2110=0,0,IF(AJ2110&gt;2,1.25-0.125*AJ2110,1))</f>
        <v>1</v>
      </c>
      <c r="AL2110" cm="1">
        <f t="array" ref="AL2110">IFERROR(INDEX(sheath_ecap_asd,MATCH(AP2110,sheath_mark,0),0)*AK2110,0)</f>
        <v>0</v>
      </c>
      <c r="AM2110" cm="1">
        <f t="array" ref="AM2110">IFERROR(INDEX(sheath_wcap_asd,MATCH(AP2110,sheath_mark,0),0)*AK2110,0)</f>
        <v>0</v>
      </c>
      <c r="AN2110" cm="1">
        <f t="array" ref="AN2110">IFERROR(INDEX(hd_cap,MATCH(AQ2110,hd_mark,0),0),0)</f>
        <v>0</v>
      </c>
      <c r="AP2110" s="19"/>
      <c r="AQ2110" s="19"/>
      <c r="AR2110" s="100"/>
      <c r="AS2110" s="93"/>
      <c r="AT2110" s="109"/>
      <c r="AU2110" t="str">
        <f>$Q$2070</f>
        <v>L3</v>
      </c>
      <c r="AV2110">
        <f>$E$22</f>
        <v>21.375</v>
      </c>
      <c r="AW2110" cm="1">
        <f t="array" ref="AW2110">IFERROR(IF(AV2110=0,0,(INDEX($C$33:$C$38,MATCH($AZ$2080,$B$33:$B$38,0),0)*(AV2113+$BA$2080)+$AW$2080*COUNTIF(AV2110:AV2112,"&gt;0")*$C$32+$AY$2080*$C$31)*$AU$2080),0)</f>
        <v>0</v>
      </c>
      <c r="AX2110">
        <f>IF(AV2110=0,0,-(COUNTIF(AV2110:AV2112,"&gt;0")*$AW$2080*$C$32+$AY$2080*$C$31)*$H$27*$AU$2080)</f>
        <v>0</v>
      </c>
      <c r="AY2110">
        <f>IF(AV2110=0,0,$AY$2080*$H$26*$AU$2080)</f>
        <v>0</v>
      </c>
      <c r="AZ2110">
        <f>(0.6*AW2110+0.7*AX2110)*$AU$2080/2</f>
        <v>0</v>
      </c>
      <c r="BA2110">
        <f>AW2110*$AU$2080/2</f>
        <v>0</v>
      </c>
      <c r="BC2110">
        <f>IF(AV2110=0,0,$BG$2080*$AP$2070)</f>
        <v>0</v>
      </c>
      <c r="BD2110">
        <f>IFERROR(BC2110/$AU$2080,0)</f>
        <v>0</v>
      </c>
      <c r="BE2110">
        <f>BC2110*($F$22+IF($F$22=0,0,($C$14+$C$15+IF($C$13="single",1.5,3)+3)/12))</f>
        <v>0</v>
      </c>
      <c r="BF2110">
        <f>BE2110-AZ2110</f>
        <v>0</v>
      </c>
      <c r="BG2110" cm="1">
        <f t="array" ref="BG2110">IFERROR(IF(BF2110&lt;0,0,BF2110/($AU$2080-INDEX(hd_off,MATCH(BT2110,hd_mark,0),0)/12)),0)</f>
        <v>0</v>
      </c>
      <c r="BH2110">
        <f>IF(AV2110=0,0,$BG$2080*$AM$2070)</f>
        <v>0</v>
      </c>
      <c r="BI2110">
        <f>IFERROR(BH2110/$AU$2080,0)</f>
        <v>0</v>
      </c>
      <c r="BJ2110">
        <f>BH2110*($F$22+IF($F$22=0,0,($C$14+$C$15+IF($C$13="single",1.5,3)+3)/12))</f>
        <v>0</v>
      </c>
      <c r="BK2110">
        <f>BJ2110-BA2110</f>
        <v>0</v>
      </c>
      <c r="BL2110" cm="1">
        <f t="array" ref="BL2110">IFERROR(IF(BK2110&lt;0,0,BK2110/($AU$2080-INDEX(hd_off,MATCH(BT2110,hd_mark,0),0)/12)),0)</f>
        <v>0</v>
      </c>
      <c r="BM2110">
        <f>MAX($F$22,$BC$2080)/$Q$2100</f>
        <v>0.30172413793103448</v>
      </c>
      <c r="BN2110">
        <f t="shared" ref="BN2110:BN2113" si="1315">IF(BM2110=0,0,IF(BM2110&gt;2,1.25-0.125*BM2110,1))</f>
        <v>1</v>
      </c>
      <c r="BO2110" cm="1">
        <f t="array" ref="BO2110">IFERROR(INDEX(sheath_ecap_asd,MATCH(BS2110,sheath_mark,0),0)*BN2110,0)</f>
        <v>0</v>
      </c>
      <c r="BP2110" cm="1">
        <f t="array" ref="BP2110">IFERROR(INDEX(sheath_wcap_asd,MATCH(BS2110,sheath_mark,0),0)*BN2110,0)</f>
        <v>0</v>
      </c>
      <c r="BQ2110" cm="1">
        <f t="array" ref="BQ2110">IFERROR(INDEX(hd_cap,MATCH(BT2110,hd_mark,0),0),0)</f>
        <v>0</v>
      </c>
      <c r="BS2110" s="19"/>
      <c r="BT2110" s="19"/>
      <c r="BU2110" s="100"/>
    </row>
    <row r="2111" x14ac:dyDescent="0.25">
      <c r="B2111" t="s">
        <v>285</v>
      </c>
      <c r="C2111" s="19"/>
      <c r="D2111" s="19"/>
      <c r="E2111">
        <f t="shared" si="1307"/>
        <v>0</v>
      </c>
      <c r="H2111">
        <v>22</v>
      </c>
      <c r="I2111" s="19"/>
      <c r="J2111" s="19"/>
      <c r="K2111">
        <f t="shared" si="1308"/>
        <v>0</v>
      </c>
      <c r="P2111" s="93"/>
      <c r="Q2111" s="109" t="s">
        <v>491</v>
      </c>
      <c r="R2111" t="str">
        <f>$Q$2071</f>
        <v>L4</v>
      </c>
      <c r="S2111">
        <f>$E$23</f>
        <v>0</v>
      </c>
      <c r="T2111" cm="1">
        <f t="array" ref="T2111">IFERROR(IF(S2111=0,0,(INDEX($C$33:$C$38,MATCH($W$2080,$B$33:$B$38,0),0)*(S2113+$X$2080)+$T$2080*COUNTIF(S2111:S2112,"&gt;0")*$C$32+$V$2080*$C$31)*$R$2080),0)</f>
        <v>0</v>
      </c>
      <c r="U2111">
        <f>IF(S2111=0,0,-(COUNTIF(S2111:S2112,"&gt;0")*$T$2080*$C$32+$V$2080*$C$31)*$H$27*$R$2080)</f>
        <v>0</v>
      </c>
      <c r="V2111">
        <f>IF(S2111=0,0,$V$2080*$H$26*$R$2080)</f>
        <v>0</v>
      </c>
      <c r="W2111">
        <f>(0.6*T2111+0.7*U2111)*$R$2080/2</f>
        <v>0</v>
      </c>
      <c r="X2111">
        <f>T2111*$R$2080/2</f>
        <v>0</v>
      </c>
      <c r="Z2111">
        <f>IF(S2111=0,0,$AD$2080*$AP$2071)</f>
        <v>0</v>
      </c>
      <c r="AA2111">
        <f>IFERROR(Z2111/$R$2080,0)</f>
        <v>0</v>
      </c>
      <c r="AB2111">
        <f>Z2111*($F$23+IF($F$23=0,0,($C$14+$C$15+IF($C$13="single",1.5,3)+3)/12))</f>
        <v>0</v>
      </c>
      <c r="AC2111">
        <f>AB2111-W2111</f>
        <v>0</v>
      </c>
      <c r="AD2111" cm="1">
        <f t="array" ref="AD2111">IFERROR(IF(AC2111&lt;0,0,AC2111/($R$2080-INDEX(hd_off,MATCH(AQ2111,hd_mark,0),0)/12)),0)</f>
        <v>0</v>
      </c>
      <c r="AE2111">
        <f>IF(S2111=0,0,$AD$2080*$AM$2071)</f>
        <v>0</v>
      </c>
      <c r="AF2111">
        <f>IFERROR(AE2111/$R$2080,0)</f>
        <v>0</v>
      </c>
      <c r="AG2111">
        <f>AE2111*($F$23+IF($F$23=0,0,($C$14+$C$15+IF($C$13="single",1.5,3)+3)/12))</f>
        <v>0</v>
      </c>
      <c r="AH2111">
        <f>AG2111-X2111</f>
        <v>0</v>
      </c>
      <c r="AI2111" cm="1">
        <f t="array" ref="AI2111">IFERROR(IF(AH2111&lt;0,0,AH2111/($R$2080-INDEX(hd_off,MATCH(AQ2111,hd_mark,0),0)/12)),0)</f>
        <v>0</v>
      </c>
      <c r="AJ2111">
        <f>MAX($F$23,$AA$2080)/$Q$2100</f>
        <v>0</v>
      </c>
      <c r="AK2111">
        <f t="shared" si="1314"/>
        <v>0</v>
      </c>
      <c r="AL2111" cm="1">
        <f t="array" ref="AL2111">IFERROR(INDEX(sheath_ecap_asd,MATCH(AP2111,sheath_mark,0),0)*AK2111,0)</f>
        <v>0</v>
      </c>
      <c r="AM2111" cm="1">
        <f t="array" ref="AM2111">IFERROR(INDEX(sheath_wcap_asd,MATCH(AP2111,sheath_mark,0),0)*AK2111,0)</f>
        <v>0</v>
      </c>
      <c r="AN2111" cm="1">
        <f t="array" ref="AN2111">IFERROR(INDEX(hd_cap,MATCH(AQ2111,hd_mark,0),0),0)</f>
        <v>0</v>
      </c>
      <c r="AP2111" s="19"/>
      <c r="AQ2111" s="19"/>
      <c r="AR2111" s="100"/>
      <c r="AS2111" s="93"/>
      <c r="AT2111" s="109" t="s">
        <v>491</v>
      </c>
      <c r="AU2111" t="str">
        <f>$Q$2071</f>
        <v>L4</v>
      </c>
      <c r="AV2111">
        <f>$E$23</f>
        <v>0</v>
      </c>
      <c r="AW2111" cm="1">
        <f t="array" ref="AW2111">IFERROR(IF(AV2111=0,0,(INDEX($C$33:$C$38,MATCH($AZ$2080,$B$33:$B$38,0),0)*(AV2113+$BA$2080)+$AW$2080*COUNTIF(AV2111:AV2112,"&gt;0")*$C$32+$AY$2080*$C$31)*$AU$2080),0)</f>
        <v>0</v>
      </c>
      <c r="AX2111">
        <f>IF(AV2111=0,0,-(COUNTIF(AV2111:AV2112,"&gt;0")*$AW$2080*$C$32+$AY$2080*$C$31)*$H$27*$AU$2080)</f>
        <v>0</v>
      </c>
      <c r="AY2111">
        <f>IF(AV2111=0,0,$AY$2080*$H$26*$AU$2080)</f>
        <v>0</v>
      </c>
      <c r="AZ2111">
        <f>(0.6*AW2111+0.7*AX2111)*$AU$2080/2</f>
        <v>0</v>
      </c>
      <c r="BA2111">
        <f>AW2111*$AU$2080/2</f>
        <v>0</v>
      </c>
      <c r="BC2111">
        <f>IF(AV2111=0,0,$BG$2080*$AP$2071)</f>
        <v>0</v>
      </c>
      <c r="BD2111">
        <f>IFERROR(BC2111/$AU$2080,0)</f>
        <v>0</v>
      </c>
      <c r="BE2111">
        <f>BC2111*($F$23+IF($F$23=0,0,($C$14+$C$15+IF($C$13="single",1.5,3)+3)/12))</f>
        <v>0</v>
      </c>
      <c r="BF2111">
        <f>BE2111-AZ2111</f>
        <v>0</v>
      </c>
      <c r="BG2111" cm="1">
        <f t="array" ref="BG2111">IFERROR(IF(BF2111&lt;0,0,BF2111/($AU$2080-INDEX(hd_off,MATCH(BT2111,hd_mark,0),0)/12)),0)</f>
        <v>0</v>
      </c>
      <c r="BH2111">
        <f>IF(AV2111=0,0,$BG$2080*$AM$2071)</f>
        <v>0</v>
      </c>
      <c r="BI2111">
        <f>IFERROR(BH2111/$AU$2080,0)</f>
        <v>0</v>
      </c>
      <c r="BJ2111">
        <f>BH2111*($F$23+IF($F$23=0,0,($C$14+$C$15+IF($C$13="single",1.5,3)+3)/12))</f>
        <v>0</v>
      </c>
      <c r="BK2111">
        <f>BJ2111-BA2111</f>
        <v>0</v>
      </c>
      <c r="BL2111" cm="1">
        <f t="array" ref="BL2111">IFERROR(IF(BK2111&lt;0,0,BK2111/($AU$2080-INDEX(hd_off,MATCH(BT2111,hd_mark,0),0)/12)),0)</f>
        <v>0</v>
      </c>
      <c r="BM2111">
        <f>MAX($F$23,$BD$2080)/$Q$2100</f>
        <v>0</v>
      </c>
      <c r="BN2111">
        <f t="shared" si="1315"/>
        <v>0</v>
      </c>
      <c r="BO2111" cm="1">
        <f t="array" ref="BO2111">IFERROR(INDEX(sheath_ecap_asd,MATCH(BS2111,sheath_mark,0),0)*BN2111,0)</f>
        <v>0</v>
      </c>
      <c r="BP2111" cm="1">
        <f t="array" ref="BP2111">IFERROR(INDEX(sheath_wcap_asd,MATCH(BS2111,sheath_mark,0),0)*BN2111,0)</f>
        <v>0</v>
      </c>
      <c r="BQ2111" cm="1">
        <f t="array" ref="BQ2111">IFERROR(INDEX(hd_cap,MATCH(BT2111,hd_mark,0),0),0)</f>
        <v>0</v>
      </c>
      <c r="BS2111" s="19"/>
      <c r="BT2111" s="19"/>
      <c r="BU2111" s="100"/>
    </row>
    <row r="2112" x14ac:dyDescent="0.25">
      <c r="B2112" t="s">
        <v>470</v>
      </c>
      <c r="C2112" s="19"/>
      <c r="D2112" s="19"/>
      <c r="E2112">
        <f t="shared" si="1307"/>
        <v>0</v>
      </c>
      <c r="H2112">
        <v>23</v>
      </c>
      <c r="I2112" s="19"/>
      <c r="J2112" s="19"/>
      <c r="K2112">
        <f t="shared" si="1308"/>
        <v>0</v>
      </c>
      <c r="P2112" s="93"/>
      <c r="Q2112" s="111">
        <f>$R$2080</f>
        <v>0</v>
      </c>
      <c r="R2112" t="str">
        <f>$Q$2072</f>
        <v>L5</v>
      </c>
      <c r="S2112">
        <f>$E$24</f>
        <v>0</v>
      </c>
      <c r="T2112" cm="1">
        <f t="array" ref="T2112">IFERROR(IF(S2112=0,0,(INDEX($C$33:$C$38,MATCH($W$2080,$B$33:$B$38,0),0)*(S2113+$X$2080)+$T$2080*COUNTIF(S2112:S2112,"&gt;0")*$C$32+$V$2080*$C$31)*$R$2080),0)</f>
        <v>0</v>
      </c>
      <c r="U2112">
        <f>IF(S2112=0,0,-(COUNTIF(S2112:S2112,"&gt;0")*$T$2080*$C$32+$V$2080*$C$31)*$H$27*$R$2080)</f>
        <v>0</v>
      </c>
      <c r="V2112">
        <f>IF(S2112=0,0,$V$2080*$H$26*$R$2080)</f>
        <v>0</v>
      </c>
      <c r="W2112">
        <f>(0.6*T2112+0.7*U2112)*$R$2080/2</f>
        <v>0</v>
      </c>
      <c r="X2112">
        <f>T2112*$R$2080/2</f>
        <v>0</v>
      </c>
      <c r="Z2112">
        <f>IF(S2112=0,0,$AD$2080*$AP$2072)</f>
        <v>0</v>
      </c>
      <c r="AA2112">
        <f>IFERROR(Z2112/$R$2080,0)</f>
        <v>0</v>
      </c>
      <c r="AB2112">
        <f>Z2112*($F$24+IF($F$24=0,0,($C$14+$C$15+IF($C$13="single",1.5,3)+3)/12))</f>
        <v>0</v>
      </c>
      <c r="AC2112">
        <f>AB2112-W2112</f>
        <v>0</v>
      </c>
      <c r="AD2112" cm="1">
        <f t="array" ref="AD2112">IFERROR(IF(AC2112&lt;0,0,AC2112/($R$2080-INDEX(hd_off,MATCH(AQ2112,hd_mark,0),0)/12)),0)</f>
        <v>0</v>
      </c>
      <c r="AE2112">
        <f>IF(S2112=0,0,$AD$2080*$AM$2072)</f>
        <v>0</v>
      </c>
      <c r="AF2112">
        <f>IFERROR(AE2112/$R$2080,0)</f>
        <v>0</v>
      </c>
      <c r="AG2112">
        <f>AE2112*($F$24+IF($F$24=0,0,($C$14+$C$15+IF($C$13="single",1.5,3)+3)/12))</f>
        <v>0</v>
      </c>
      <c r="AH2112">
        <f>AG2112-X2112</f>
        <v>0</v>
      </c>
      <c r="AI2112" cm="1">
        <f t="array" ref="AI2112">IFERROR(IF(AH2112&lt;0,0,AH2112/($R$2080-INDEX(hd_off,MATCH(AQ2112,hd_mark,0),0)/12)),0)</f>
        <v>0</v>
      </c>
      <c r="AJ2112">
        <f>MAX($F$24,$AB$2080)/$Q$2100</f>
        <v>0</v>
      </c>
      <c r="AK2112">
        <f t="shared" si="1314"/>
        <v>0</v>
      </c>
      <c r="AL2112" cm="1">
        <f t="array" ref="AL2112">IFERROR(INDEX(sheath_ecap_asd,MATCH(AP2112,sheath_mark,0),0)*AK2112,0)</f>
        <v>0</v>
      </c>
      <c r="AM2112" cm="1">
        <f t="array" ref="AM2112">IFERROR(INDEX(sheath_wcap_asd,MATCH(AP2112,sheath_mark,0),0)*AK2112,0)</f>
        <v>0</v>
      </c>
      <c r="AN2112" cm="1">
        <f t="array" ref="AN2112">IFERROR(INDEX(hd_cap,MATCH(AQ2112,hd_mark,0),0),0)</f>
        <v>0</v>
      </c>
      <c r="AP2112" s="19"/>
      <c r="AQ2112" s="19"/>
      <c r="AR2112" s="100"/>
      <c r="AS2112" s="93"/>
      <c r="AT2112" s="111">
        <f>$R$2080</f>
        <v>0</v>
      </c>
      <c r="AU2112" t="str">
        <f>$Q$2072</f>
        <v>L5</v>
      </c>
      <c r="AV2112">
        <f>$E$24</f>
        <v>0</v>
      </c>
      <c r="AW2112" cm="1">
        <f t="array" ref="AW2112">IFERROR(IF(AV2112=0,0,(INDEX($C$33:$C$38,MATCH($AZ$2080,$B$33:$B$38,0),0)*(AV2113+$BA$2080)+$AW$2080*COUNTIF(AV2112:AV2112,"&gt;0")*$C$32+$AY$2080*$C$31)*$AU$2080),0)</f>
        <v>0</v>
      </c>
      <c r="AX2112">
        <f>IF(AV2112=0,0,-(COUNTIF(AV2112:AV2112,"&gt;0")*$AW$2080*$C$32+$AY$2080*$C$31)*$H$27*$AU$2080)</f>
        <v>0</v>
      </c>
      <c r="AY2112">
        <f>IF(AV2112=0,0,$AY$2080*$H$26*$AU$2080)</f>
        <v>0</v>
      </c>
      <c r="AZ2112">
        <f>(0.6*AW2112+0.7*AX2112)*$AU$2080/2</f>
        <v>0</v>
      </c>
      <c r="BA2112">
        <f>AW2112*$AU$2080/2</f>
        <v>0</v>
      </c>
      <c r="BC2112">
        <f>IF(AV2112=0,0,$BG$2080*$AP$2072)</f>
        <v>0</v>
      </c>
      <c r="BD2112">
        <f>IFERROR(BC2112/$AU$2080,0)</f>
        <v>0</v>
      </c>
      <c r="BE2112">
        <f>BC2112*($F$24+IF($F$24=0,0,($C$14+$C$15+IF($C$13="single",1.5,3)+3)/12))</f>
        <v>0</v>
      </c>
      <c r="BF2112">
        <f>BE2112-AZ2112</f>
        <v>0</v>
      </c>
      <c r="BG2112" cm="1">
        <f t="array" ref="BG2112">IFERROR(IF(BF2112&lt;0,0,BF2112/($AU$2080-INDEX(hd_off,MATCH(BT2112,hd_mark,0),0)/12)),0)</f>
        <v>0</v>
      </c>
      <c r="BH2112">
        <f>IF(AV2112=0,0,$BG$2080*$AM$2072)</f>
        <v>0</v>
      </c>
      <c r="BI2112">
        <f>IFERROR(BH2112/$AU$2080,0)</f>
        <v>0</v>
      </c>
      <c r="BJ2112">
        <f>BH2112*($F$24+IF($F$24=0,0,($C$14+$C$15+IF($C$13="single",1.5,3)+3)/12))</f>
        <v>0</v>
      </c>
      <c r="BK2112">
        <f>BJ2112-BA2112</f>
        <v>0</v>
      </c>
      <c r="BL2112" cm="1">
        <f t="array" ref="BL2112">IFERROR(IF(BK2112&lt;0,0,BK2112/($AU$2080-INDEX(hd_off,MATCH(BT2112,hd_mark,0),0)/12)),0)</f>
        <v>0</v>
      </c>
      <c r="BM2112">
        <f>MAX($F$24,$BE$2080)/$Q$2100</f>
        <v>0</v>
      </c>
      <c r="BN2112">
        <f t="shared" si="1315"/>
        <v>0</v>
      </c>
      <c r="BO2112" cm="1">
        <f t="array" ref="BO2112">IFERROR(INDEX(sheath_ecap_asd,MATCH(BS2112,sheath_mark,0),0)*BN2112,0)</f>
        <v>0</v>
      </c>
      <c r="BP2112" cm="1">
        <f t="array" ref="BP2112">IFERROR(INDEX(sheath_wcap_asd,MATCH(BS2112,sheath_mark,0),0)*BN2112,0)</f>
        <v>0</v>
      </c>
      <c r="BQ2112" cm="1">
        <f t="array" ref="BQ2112">IFERROR(INDEX(hd_cap,MATCH(BT2112,hd_mark,0),0),0)</f>
        <v>0</v>
      </c>
      <c r="BS2112" s="19"/>
      <c r="BT2112" s="19"/>
      <c r="BU2112" s="100"/>
    </row>
    <row r="2113" x14ac:dyDescent="0.25">
      <c r="B2113" t="s">
        <v>471</v>
      </c>
      <c r="C2113" s="19"/>
      <c r="D2113" s="19"/>
      <c r="E2113">
        <f t="shared" si="1307"/>
        <v>0</v>
      </c>
      <c r="H2113">
        <v>24</v>
      </c>
      <c r="I2113" s="19"/>
      <c r="J2113" s="19"/>
      <c r="K2113">
        <f t="shared" si="1308"/>
        <v>0</v>
      </c>
      <c r="P2113" s="93"/>
      <c r="Q2113" s="109"/>
      <c r="R2113" t="str">
        <f>$Q$2073</f>
        <v>Roof</v>
      </c>
      <c r="S2113">
        <f>$E$25</f>
        <v>33.171875</v>
      </c>
      <c r="T2113" cm="1">
        <f t="array" ref="T2113">IFERROR(IF(S2113=0,0,(INDEX($C$33:$C$38,MATCH($W$2080,$B$33:$B$38,0),0)*(S2113+$X$2080)+$V$2080*$C$31)*$R$2080),0)</f>
        <v>0</v>
      </c>
      <c r="U2113">
        <f>IF(S2113=0,0,-$V$2080*$C$31*$H$27*$R$2080)</f>
        <v>0</v>
      </c>
      <c r="V2113">
        <f>IF(S2113=0,0,$V$2080*$H$26*$R$2080)</f>
        <v>0</v>
      </c>
      <c r="W2113">
        <f>(0.6*T2113+0.7*U2113)*$R$2080/2</f>
        <v>0</v>
      </c>
      <c r="X2113">
        <f>T2113*$R$2080/2</f>
        <v>0</v>
      </c>
      <c r="Z2113">
        <f>IF(S2113=0,0,$AD$2080*$AP$2073)</f>
        <v>0</v>
      </c>
      <c r="AA2113">
        <f>IFERROR(Z2113/$R$2080,0)</f>
        <v>0</v>
      </c>
      <c r="AB2113">
        <f>Z2113*($F$25+($C$16+$C$17+IF($C$13="single",1.5,3)+3)/12)</f>
        <v>0</v>
      </c>
      <c r="AC2113">
        <f>AB2113-W2113</f>
        <v>0</v>
      </c>
      <c r="AD2113" cm="1">
        <f t="array" ref="AD2113">IFERROR(IF(AC2113&lt;0,0,AC2113/($R$2080-INDEX(hd_off,MATCH(AQ2113,hd_mark,0),0)/12)),0)</f>
        <v>0</v>
      </c>
      <c r="AE2113">
        <f>IF(S2113=0,0,$AD$2080*$AM$2073)</f>
        <v>0</v>
      </c>
      <c r="AF2113">
        <f>IFERROR(AE2113/$R$2080,0)</f>
        <v>0</v>
      </c>
      <c r="AG2113">
        <f>AE2113*($F$25+($C$16+$C$17+IF($C$13="single",1.5,3)+3)/12)</f>
        <v>0</v>
      </c>
      <c r="AH2113">
        <f>AG2113-X2113</f>
        <v>0</v>
      </c>
      <c r="AI2113" cm="1">
        <f t="array" ref="AI2113">IFERROR(IF(AH2113&lt;0,0,AH2113/($R$2080-INDEX(hd_off,MATCH(AQ2113,hd_mark,0),0)/12)),0)</f>
        <v>0</v>
      </c>
      <c r="AJ2113">
        <f>MAX($F$25,$AC$2080)/$Q$2100</f>
        <v>0.29920977011494249</v>
      </c>
      <c r="AK2113">
        <f t="shared" si="1314"/>
        <v>1</v>
      </c>
      <c r="AL2113" cm="1">
        <f t="array" ref="AL2113">IFERROR(INDEX(sheath_ecap_asd,MATCH(AP2113,sheath_mark,0),0)*AK2113,0)</f>
        <v>0</v>
      </c>
      <c r="AM2113" cm="1">
        <f t="array" ref="AM2113">IFERROR(INDEX(sheath_wcap_asd,MATCH(AP2113,sheath_mark,0),0)*AK2113,0)</f>
        <v>0</v>
      </c>
      <c r="AN2113" cm="1">
        <f t="array" ref="AN2113">IFERROR(INDEX(hd_cap,MATCH(AQ2113,hd_mark,0),0),0)</f>
        <v>0</v>
      </c>
      <c r="AP2113" s="19"/>
      <c r="AQ2113" s="19"/>
      <c r="AR2113" s="100"/>
      <c r="AS2113" s="93"/>
      <c r="AT2113" s="109"/>
      <c r="AU2113" t="str">
        <f>$Q$2073</f>
        <v>Roof</v>
      </c>
      <c r="AV2113">
        <f>$E$25</f>
        <v>33.171875</v>
      </c>
      <c r="AW2113" cm="1">
        <f t="array" ref="AW2113">IFERROR(IF(AV2113=0,0,(INDEX($C$33:$C$38,MATCH($AZ$2080,$B$33:$B$38,0),0)*(AV2113+$BA$2080)+$AY$2080*$C$31)*$AU$2080),0)</f>
        <v>0</v>
      </c>
      <c r="AX2113">
        <f>IF(AV2113=0,0,-$AY$2080*$C$31*$H$27*$AU$2080)</f>
        <v>0</v>
      </c>
      <c r="AY2113">
        <f>IF(AV2113=0,0,$AY$2080*$H$26*$AU$2080)</f>
        <v>0</v>
      </c>
      <c r="AZ2113">
        <f>(0.6*AW2113+0.7*AX2113)*$AU$2080/2</f>
        <v>0</v>
      </c>
      <c r="BA2113">
        <f>AW2113*$AU$2080/2</f>
        <v>0</v>
      </c>
      <c r="BC2113">
        <f>IF(AV2113=0,0,$BG$2080*$AP$2073)</f>
        <v>0</v>
      </c>
      <c r="BD2113">
        <f>IFERROR(BC2113/$AU$2080,0)</f>
        <v>0</v>
      </c>
      <c r="BE2113">
        <f>BC2113*($F$25+($C$16+$C$17+IF($C$13="single",1.5,3)+3)/12)</f>
        <v>0</v>
      </c>
      <c r="BF2113">
        <f>BE2113-AZ2113</f>
        <v>0</v>
      </c>
      <c r="BG2113" cm="1">
        <f t="array" ref="BG2113">IFERROR(IF(BF2113&lt;0,0,BF2113/($AU$2080-INDEX(hd_off,MATCH(BT2113,hd_mark,0),0)/12)),0)</f>
        <v>0</v>
      </c>
      <c r="BH2113">
        <f>IF(AV2113=0,0,$BG$2080*$AM$2073)</f>
        <v>0</v>
      </c>
      <c r="BI2113">
        <f>IFERROR(BH2113/$AU$2080,0)</f>
        <v>0</v>
      </c>
      <c r="BJ2113">
        <f>BH2113*($F$25+($C$16+$C$17+IF($C$13="single",1.5,3)+3)/12)</f>
        <v>0</v>
      </c>
      <c r="BK2113">
        <f>BJ2113-BA2113</f>
        <v>0</v>
      </c>
      <c r="BL2113" cm="1">
        <f t="array" ref="BL2113">IFERROR(IF(BK2113&lt;0,0,BK2113/($AU$2080-INDEX(hd_off,MATCH(BT2113,hd_mark,0),0)/12)),0)</f>
        <v>0</v>
      </c>
      <c r="BM2113">
        <f>MAX($F$25,$BF$2080)/$Q$2100</f>
        <v>0.29920977011494249</v>
      </c>
      <c r="BN2113">
        <f t="shared" si="1315"/>
        <v>1</v>
      </c>
      <c r="BO2113" cm="1">
        <f t="array" ref="BO2113">IFERROR(INDEX(sheath_ecap_asd,MATCH(BS2113,sheath_mark,0),0)*BN2113,0)</f>
        <v>0</v>
      </c>
      <c r="BP2113" cm="1">
        <f t="array" ref="BP2113">IFERROR(INDEX(sheath_wcap_asd,MATCH(BS2113,sheath_mark,0),0)*BN2113,0)</f>
        <v>0</v>
      </c>
      <c r="BQ2113" cm="1">
        <f t="array" ref="BQ2113">IFERROR(INDEX(hd_cap,MATCH(BT2113,hd_mark,0),0),0)</f>
        <v>0</v>
      </c>
      <c r="BS2113" s="19"/>
      <c r="BT2113" s="19"/>
      <c r="BU2113" s="100"/>
    </row>
    <row r="2114" x14ac:dyDescent="0.25">
      <c r="B2114" t="s">
        <v>472</v>
      </c>
      <c r="C2114" s="19"/>
      <c r="D2114" s="19"/>
      <c r="E2114">
        <f t="shared" si="1307"/>
        <v>0</v>
      </c>
      <c r="H2114">
        <v>25</v>
      </c>
      <c r="I2114" s="19"/>
      <c r="J2114" s="19"/>
      <c r="K2114">
        <f t="shared" si="1308"/>
        <v>0</v>
      </c>
      <c r="P2114" s="93"/>
      <c r="AR2114" s="100"/>
      <c r="AS2114" s="93"/>
      <c r="BU2114" s="100"/>
    </row>
    <row r="2115" x14ac:dyDescent="0.25">
      <c r="B2115" t="s">
        <v>473</v>
      </c>
      <c r="C2115" s="19"/>
      <c r="D2115" s="19"/>
      <c r="E2115">
        <f t="shared" si="1307"/>
        <v>0</v>
      </c>
      <c r="H2115">
        <v>26</v>
      </c>
      <c r="I2115" s="19"/>
      <c r="J2115" s="19"/>
      <c r="K2115">
        <f t="shared" si="1308"/>
        <v>0</v>
      </c>
      <c r="P2115" s="93"/>
      <c r="Q2115" s="110" t="str">
        <f>$Q$2081</f>
        <v>A.04</v>
      </c>
      <c r="R2115" t="str">
        <f>$Q$2069</f>
        <v>L2</v>
      </c>
      <c r="S2115">
        <f>$E$21</f>
        <v>10.6875</v>
      </c>
      <c r="T2115" cm="1">
        <f t="array" ref="T2115">IFERROR(IF(S2115=0,0,(INDEX($C$33:$C$38,MATCH($W$2081,$B$33:$B$38,0),0)*(S2119+$X$2081)+$T$2081*COUNTIF(S2115:S2118,"&gt;0")*$C$32+$V$2081*$C$31)*$R$2081),0)</f>
        <v>0</v>
      </c>
      <c r="U2115">
        <f>IF(S2115=0,0,-(COUNTIF(S2115:S2118,"&gt;0")*$T$2081*$C$32+$V$2081*$C$31)*$H$27*$R$2081)</f>
        <v>0</v>
      </c>
      <c r="V2115">
        <f>IF(S2115=0,0,$V$2081*$H$26*$R$2081)</f>
        <v>0</v>
      </c>
      <c r="W2115">
        <f>(0.6*T2115+0.7*U2115)*$R$2081/2</f>
        <v>0</v>
      </c>
      <c r="X2115">
        <f>(0.6*T2115+0.6*V2115)*$R$2081/2</f>
        <v>0</v>
      </c>
      <c r="Z2115">
        <f>IF(S2115=0,0,$AD$2081*$AP$2069)</f>
        <v>0</v>
      </c>
      <c r="AA2115">
        <f>IFERROR(Z2115/$R$2081,0)</f>
        <v>0</v>
      </c>
      <c r="AB2115">
        <f>Z2115*($F$21+IF($F$21=0,0,($C$14+$C$15+IF($C$13="single",1.5,3)+3)/12))</f>
        <v>0</v>
      </c>
      <c r="AC2115">
        <f>AB2115-W2115</f>
        <v>0</v>
      </c>
      <c r="AD2115" cm="1">
        <f t="array" ref="AD2115">IFERROR(IF(AC2115&lt;0,0,AC2115/($R$2081-INDEX(hd_off,MATCH(AQ2115,hd_mark,0),0)/12)),0)</f>
        <v>0</v>
      </c>
      <c r="AE2115">
        <f>IF(S2115=0,0,$AD$2081*$AM$2069)</f>
        <v>0</v>
      </c>
      <c r="AF2115">
        <f>IFERROR(AE2115/$R$2081,0)</f>
        <v>0</v>
      </c>
      <c r="AG2115">
        <f>AE2115*($F$21+IF($F$21=0,0,($C$14+$C$15+IF($C$13="single",1.5,3)+3)/12))</f>
        <v>0</v>
      </c>
      <c r="AH2115">
        <f>AG2115-X2115</f>
        <v>0</v>
      </c>
      <c r="AI2115" cm="1">
        <f t="array" ref="AI2115">IFERROR(IF(AH2115&lt;0,0,AH2115/($R$2081-INDEX(hd_off,MATCH(AQ2115,hd_mark,0),0)/12)),0)</f>
        <v>0</v>
      </c>
      <c r="AJ2115">
        <f>MAX($F$21,$Y$2081)/$Q$2100</f>
        <v>0.30172413793103448</v>
      </c>
      <c r="AK2115">
        <f>IF(AJ2115=0,0,IF(AJ2115&gt;2,1.25-0.125*AJ2115,1))</f>
        <v>1</v>
      </c>
      <c r="AL2115" cm="1">
        <f t="array" ref="AL2115">IFERROR(INDEX(sheath_ecap_asd,MATCH(AP2115,sheath_mark,0),0)*AK2115,0)</f>
        <v>0</v>
      </c>
      <c r="AM2115" cm="1">
        <f t="array" ref="AM2115">IFERROR(INDEX(sheath_wcap_asd,MATCH(AP2115,sheath_mark,0),0)*AK2115,0)</f>
        <v>0</v>
      </c>
      <c r="AN2115" cm="1">
        <f t="array" ref="AN2115">IFERROR(INDEX(hd_cap,MATCH(AQ2115,hd_mark,0),0),0)</f>
        <v>0</v>
      </c>
      <c r="AP2115" s="19"/>
      <c r="AQ2115" s="19"/>
      <c r="AR2115" s="100"/>
      <c r="AS2115" s="93"/>
      <c r="AT2115" s="110" t="str">
        <f>$AT$2081</f>
        <v>1.04</v>
      </c>
      <c r="AU2115" t="str">
        <f>$Q$2069</f>
        <v>L2</v>
      </c>
      <c r="AV2115">
        <f>$E$21</f>
        <v>10.6875</v>
      </c>
      <c r="AW2115" cm="1">
        <f t="array" ref="AW2115">IFERROR(IF(AV2115=0,0,(INDEX($C$33:$C$38,MATCH($AZ$2081,$B$33:$B$38,0),0)*(AV2119+$BA$2081)+$AW$2081*COUNTIF(AV2115:AV2118,"&gt;0")*$C$32+$AY$2081*$C$31)*$AU$2081),0)</f>
        <v>0</v>
      </c>
      <c r="AX2115">
        <f>IF(AV2115=0,0,-(COUNTIF(AV2115:AV2118,"&gt;0")*$AW$2081*$C$32+$AY$2081*$C$31)*$H$27*$AU$2081)</f>
        <v>0</v>
      </c>
      <c r="AY2115">
        <f>IF(AV2115=0,0,$AY$2081*$H$26*$AU$2081)</f>
        <v>0</v>
      </c>
      <c r="AZ2115">
        <f>(0.6*AW2115+0.7*AX2115)*$AU$2081/2</f>
        <v>0</v>
      </c>
      <c r="BA2115">
        <f>(0.6*AW2115+0.6*AY2115)*$AU$2081/2</f>
        <v>0</v>
      </c>
      <c r="BC2115">
        <f>IF(AV2115=0,0,$BG$2081*$AP$2069)</f>
        <v>0</v>
      </c>
      <c r="BD2115">
        <f>IFERROR(BC2115/$AU$2081,0)</f>
        <v>0</v>
      </c>
      <c r="BE2115">
        <f>BC2115*($F$21+IF($F$21=0,0,($C$14+$C$15+IF($C$13="single",1.5,3)+3)/12))</f>
        <v>0</v>
      </c>
      <c r="BF2115">
        <f>BE2115-AZ2115</f>
        <v>0</v>
      </c>
      <c r="BG2115" cm="1">
        <f t="array" ref="BG2115">IFERROR(IF(BF2115&lt;0,0,BF2115/($AU$2081-INDEX(hd_off,MATCH(BT2115,hd_mark,0),0)/12)),0)</f>
        <v>0</v>
      </c>
      <c r="BH2115">
        <f>IF(AV2115=0,0,$BG$2081*$AM$2069)</f>
        <v>0</v>
      </c>
      <c r="BI2115">
        <f>IFERROR(BH2115/$AU$2081,0)</f>
        <v>0</v>
      </c>
      <c r="BJ2115">
        <f>BH2115*($F$21+IF($F$21=0,0,($C$14+$C$15+IF($C$13="single",1.5,3)+3)/12))</f>
        <v>0</v>
      </c>
      <c r="BK2115">
        <f>BJ2115-BA2115</f>
        <v>0</v>
      </c>
      <c r="BL2115" cm="1">
        <f t="array" ref="BL2115">IFERROR(IF(BK2115&lt;0,0,BK2115/($AU$2081-INDEX(hd_off,MATCH(BT2115,hd_mark,0),0)/12)),0)</f>
        <v>0</v>
      </c>
      <c r="BM2115">
        <f>MAX($F$21,$BB$2081)/$Q$2100</f>
        <v>0.30172413793103448</v>
      </c>
      <c r="BN2115">
        <f>IF(BM2115=0,0,IF(BM2115&gt;2,1.25-0.125*BM2115,1))</f>
        <v>1</v>
      </c>
      <c r="BO2115" cm="1">
        <f t="array" ref="BO2115">IFERROR(INDEX(sheath_ecap_asd,MATCH(BS2115,sheath_mark,0),0)*BN2115,0)</f>
        <v>0</v>
      </c>
      <c r="BP2115" cm="1">
        <f t="array" ref="BP2115">IFERROR(INDEX(sheath_wcap_asd,MATCH(BS2115,sheath_mark,0),0)*BN2115,0)</f>
        <v>0</v>
      </c>
      <c r="BQ2115" cm="1">
        <f t="array" ref="BQ2115">IFERROR(INDEX(hd_cap,MATCH(BT2115,hd_mark,0),0),0)</f>
        <v>0</v>
      </c>
      <c r="BS2115" s="19"/>
      <c r="BT2115" s="19"/>
      <c r="BU2115" s="100"/>
    </row>
    <row r="2116" x14ac:dyDescent="0.25">
      <c r="P2116" s="93"/>
      <c r="Q2116" s="109"/>
      <c r="R2116" t="str">
        <f>$Q$2070</f>
        <v>L3</v>
      </c>
      <c r="S2116">
        <f>$E$22</f>
        <v>21.375</v>
      </c>
      <c r="T2116" cm="1">
        <f t="array" ref="T2116">IFERROR(IF(S2116=0,0,(INDEX($C$33:$C$38,MATCH($W$2081,$B$33:$B$38,0),0)*(S2119+$X$2081)+$T$2081*COUNTIF(S2116:S2118,"&gt;0")*$C$32+$V$2081*$C$31)*$R$2081),0)</f>
        <v>0</v>
      </c>
      <c r="U2116">
        <f>IF(S2116=0,0,-(COUNTIF(S2116:S2118,"&gt;0")*$T$2081*$C$32+$V$2081*$C$31)*$H$27*$R$2081)</f>
        <v>0</v>
      </c>
      <c r="V2116">
        <f>IF(S2116=0,0,$V$2081*$H$26*$R$2081)</f>
        <v>0</v>
      </c>
      <c r="W2116">
        <f>(0.6*T2116+0.7*U2116)*$R$2081/2</f>
        <v>0</v>
      </c>
      <c r="X2116">
        <f>T2116*$R$2081/2</f>
        <v>0</v>
      </c>
      <c r="Z2116">
        <f>IF(S2116=0,0,$AD$2081*$AP$2070)</f>
        <v>0</v>
      </c>
      <c r="AA2116">
        <f>IFERROR(Z2116/$R$2081,0)</f>
        <v>0</v>
      </c>
      <c r="AB2116">
        <f>Z2116*($F$22+IF($F$22=0,0,($C$14+$C$15+IF($C$13="single",1.5,3)+3)/12))</f>
        <v>0</v>
      </c>
      <c r="AC2116">
        <f>AB2116-W2116</f>
        <v>0</v>
      </c>
      <c r="AD2116" cm="1">
        <f t="array" ref="AD2116">IFERROR(IF(AC2116&lt;0,0,AC2116/($R$2081-INDEX(hd_off,MATCH(AQ2116,hd_mark,0),0)/12)),0)</f>
        <v>0</v>
      </c>
      <c r="AE2116">
        <f>IF(S2116=0,0,$AD$2081*$AM$2070)</f>
        <v>0</v>
      </c>
      <c r="AF2116">
        <f>IFERROR(AE2116/$R$2081,0)</f>
        <v>0</v>
      </c>
      <c r="AG2116">
        <f>AE2116*($F$22+IF($F$22=0,0,($C$14+$C$15+IF($C$13="single",1.5,3)+3)/12))</f>
        <v>0</v>
      </c>
      <c r="AH2116">
        <f>AG2116-X2116</f>
        <v>0</v>
      </c>
      <c r="AI2116" cm="1">
        <f t="array" ref="AI2116">IFERROR(IF(AH2116&lt;0,0,AH2116/($R$2081-INDEX(hd_off,MATCH(AQ2116,hd_mark,0),0)/12)),0)</f>
        <v>0</v>
      </c>
      <c r="AJ2116">
        <f>MAX($F$22,$Z$2081)/$Q$2100</f>
        <v>0.30172413793103448</v>
      </c>
      <c r="AK2116">
        <f t="shared" ref="AK2116:AK2119" si="1316">IF(AJ2116=0,0,IF(AJ2116&gt;2,1.25-0.125*AJ2116,1))</f>
        <v>1</v>
      </c>
      <c r="AL2116" cm="1">
        <f t="array" ref="AL2116">IFERROR(INDEX(sheath_ecap_asd,MATCH(AP2116,sheath_mark,0),0)*AK2116,0)</f>
        <v>0</v>
      </c>
      <c r="AM2116" cm="1">
        <f t="array" ref="AM2116">IFERROR(INDEX(sheath_wcap_asd,MATCH(AP2116,sheath_mark,0),0)*AK2116,0)</f>
        <v>0</v>
      </c>
      <c r="AN2116" cm="1">
        <f t="array" ref="AN2116">IFERROR(INDEX(hd_cap,MATCH(AQ2116,hd_mark,0),0),0)</f>
        <v>0</v>
      </c>
      <c r="AP2116" s="19"/>
      <c r="AQ2116" s="19"/>
      <c r="AR2116" s="100"/>
      <c r="AS2116" s="93"/>
      <c r="AT2116" s="109"/>
      <c r="AU2116" t="str">
        <f>$Q$2070</f>
        <v>L3</v>
      </c>
      <c r="AV2116">
        <f>$E$22</f>
        <v>21.375</v>
      </c>
      <c r="AW2116" cm="1">
        <f t="array" ref="AW2116">IFERROR(IF(AV2116=0,0,(INDEX($C$33:$C$38,MATCH($AZ$2081,$B$33:$B$38,0),0)*(AV2119+$BA$2081)+$AW$2081*COUNTIF(AV2116:AV2118,"&gt;0")*$C$32+$AY$2081*$C$31)*$AU$2081),0)</f>
        <v>0</v>
      </c>
      <c r="AX2116">
        <f>IF(AV2116=0,0,-(COUNTIF(AV2116:AV2118,"&gt;0")*$AW$2081*$C$32+$AY$2081*$C$31)*$H$27*$AU$2081)</f>
        <v>0</v>
      </c>
      <c r="AY2116">
        <f>IF(AV2116=0,0,$AY$2081*$H$26*$AU$2081)</f>
        <v>0</v>
      </c>
      <c r="AZ2116">
        <f>(0.6*AW2116+0.7*AX2116)*$AU$2081/2</f>
        <v>0</v>
      </c>
      <c r="BA2116">
        <f>AW2116*$AU$2081/2</f>
        <v>0</v>
      </c>
      <c r="BC2116">
        <f>IF(AV2116=0,0,$BG$2081*$AP$2070)</f>
        <v>0</v>
      </c>
      <c r="BD2116">
        <f>IFERROR(BC2116/$AU$2081,0)</f>
        <v>0</v>
      </c>
      <c r="BE2116">
        <f>BC2116*($F$22+IF($F$22=0,0,($C$14+$C$15+IF($C$13="single",1.5,3)+3)/12))</f>
        <v>0</v>
      </c>
      <c r="BF2116">
        <f>BE2116-AZ2116</f>
        <v>0</v>
      </c>
      <c r="BG2116" cm="1">
        <f t="array" ref="BG2116">IFERROR(IF(BF2116&lt;0,0,BF2116/($AU$2081-INDEX(hd_off,MATCH(BT2116,hd_mark,0),0)/12)),0)</f>
        <v>0</v>
      </c>
      <c r="BH2116">
        <f>IF(AV2116=0,0,$BG$2081*$AM$2070)</f>
        <v>0</v>
      </c>
      <c r="BI2116">
        <f>IFERROR(BH2116/$AU$2081,0)</f>
        <v>0</v>
      </c>
      <c r="BJ2116">
        <f>BH2116*($F$22+IF($F$22=0,0,($C$14+$C$15+IF($C$13="single",1.5,3)+3)/12))</f>
        <v>0</v>
      </c>
      <c r="BK2116">
        <f>BJ2116-BA2116</f>
        <v>0</v>
      </c>
      <c r="BL2116" cm="1">
        <f t="array" ref="BL2116">IFERROR(IF(BK2116&lt;0,0,BK2116/($AU$2081-INDEX(hd_off,MATCH(BT2116,hd_mark,0),0)/12)),0)</f>
        <v>0</v>
      </c>
      <c r="BM2116">
        <f>MAX($F$22,$BC$2081)/$Q$2100</f>
        <v>0.30172413793103448</v>
      </c>
      <c r="BN2116">
        <f t="shared" ref="BN2116:BN2119" si="1317">IF(BM2116=0,0,IF(BM2116&gt;2,1.25-0.125*BM2116,1))</f>
        <v>1</v>
      </c>
      <c r="BO2116" cm="1">
        <f t="array" ref="BO2116">IFERROR(INDEX(sheath_ecap_asd,MATCH(BS2116,sheath_mark,0),0)*BN2116,0)</f>
        <v>0</v>
      </c>
      <c r="BP2116" cm="1">
        <f t="array" ref="BP2116">IFERROR(INDEX(sheath_wcap_asd,MATCH(BS2116,sheath_mark,0),0)*BN2116,0)</f>
        <v>0</v>
      </c>
      <c r="BQ2116" cm="1">
        <f t="array" ref="BQ2116">IFERROR(INDEX(hd_cap,MATCH(BT2116,hd_mark,0),0),0)</f>
        <v>0</v>
      </c>
      <c r="BS2116" s="19"/>
      <c r="BT2116" s="19"/>
      <c r="BU2116" s="100"/>
    </row>
    <row r="2117" x14ac:dyDescent="0.25">
      <c r="B2117" s="1"/>
      <c r="P2117" s="93"/>
      <c r="Q2117" s="109" t="s">
        <v>491</v>
      </c>
      <c r="R2117" t="str">
        <f>$Q$2071</f>
        <v>L4</v>
      </c>
      <c r="S2117">
        <f>$E$23</f>
        <v>0</v>
      </c>
      <c r="T2117" cm="1">
        <f t="array" ref="T2117">IFERROR(IF(S2117=0,0,(INDEX($C$33:$C$38,MATCH($W$2081,$B$33:$B$38,0),0)*(S2119+$X$2081)+$T$2081*COUNTIF(S2117:S2118,"&gt;0")*$C$32+$V$2081*$C$31)*$R$2081),0)</f>
        <v>0</v>
      </c>
      <c r="U2117">
        <f>IF(S2117=0,0,-(COUNTIF(S2117:S2118,"&gt;0")*$T$2081*$C$32+$V$2081*$C$31)*$H$27*$R$2081)</f>
        <v>0</v>
      </c>
      <c r="V2117">
        <f>IF(S2117=0,0,$V$2081*$H$26*$R$2081)</f>
        <v>0</v>
      </c>
      <c r="W2117">
        <f>(0.6*T2117+0.7*U2117)*$R$2081/2</f>
        <v>0</v>
      </c>
      <c r="X2117">
        <f>T2117*$R$2081/2</f>
        <v>0</v>
      </c>
      <c r="Z2117">
        <f>IF(S2117=0,0,$AD$2081*$AP$2071)</f>
        <v>0</v>
      </c>
      <c r="AA2117">
        <f>IFERROR(Z2117/$R$2081,0)</f>
        <v>0</v>
      </c>
      <c r="AB2117">
        <f>Z2117*($F$23+IF($F$23=0,0,($C$14+$C$15+IF($C$13="single",1.5,3)+3)/12))</f>
        <v>0</v>
      </c>
      <c r="AC2117">
        <f>AB2117-W2117</f>
        <v>0</v>
      </c>
      <c r="AD2117" cm="1">
        <f t="array" ref="AD2117">IFERROR(IF(AC2117&lt;0,0,AC2117/($R$2081-INDEX(hd_off,MATCH(AQ2117,hd_mark,0),0)/12)),0)</f>
        <v>0</v>
      </c>
      <c r="AE2117">
        <f>IF(S2117=0,0,$AD$2081*$AM$2071)</f>
        <v>0</v>
      </c>
      <c r="AF2117">
        <f>IFERROR(AE2117/$R$2081,0)</f>
        <v>0</v>
      </c>
      <c r="AG2117">
        <f>AE2117*($F$23+IF($F$23=0,0,($C$14+$C$15+IF($C$13="single",1.5,3)+3)/12))</f>
        <v>0</v>
      </c>
      <c r="AH2117">
        <f>AG2117-X2117</f>
        <v>0</v>
      </c>
      <c r="AI2117" cm="1">
        <f t="array" ref="AI2117">IFERROR(IF(AH2117&lt;0,0,AH2117/($R$2081-INDEX(hd_off,MATCH(AQ2117,hd_mark,0),0)/12)),0)</f>
        <v>0</v>
      </c>
      <c r="AJ2117">
        <f>MAX($F$23,$AA$2081)/$Q$2100</f>
        <v>0</v>
      </c>
      <c r="AK2117">
        <f t="shared" si="1316"/>
        <v>0</v>
      </c>
      <c r="AL2117" cm="1">
        <f t="array" ref="AL2117">IFERROR(INDEX(sheath_ecap_asd,MATCH(AP2117,sheath_mark,0),0)*AK2117,0)</f>
        <v>0</v>
      </c>
      <c r="AM2117" cm="1">
        <f t="array" ref="AM2117">IFERROR(INDEX(sheath_wcap_asd,MATCH(AP2117,sheath_mark,0),0)*AK2117,0)</f>
        <v>0</v>
      </c>
      <c r="AN2117" cm="1">
        <f t="array" ref="AN2117">IFERROR(INDEX(hd_cap,MATCH(AQ2117,hd_mark,0),0),0)</f>
        <v>0</v>
      </c>
      <c r="AP2117" s="19"/>
      <c r="AQ2117" s="19"/>
      <c r="AR2117" s="100"/>
      <c r="AS2117" s="93"/>
      <c r="AT2117" s="109" t="s">
        <v>491</v>
      </c>
      <c r="AU2117" t="str">
        <f>$Q$2071</f>
        <v>L4</v>
      </c>
      <c r="AV2117">
        <f>$E$23</f>
        <v>0</v>
      </c>
      <c r="AW2117" cm="1">
        <f t="array" ref="AW2117">IFERROR(IF(AV2117=0,0,(INDEX($C$33:$C$38,MATCH($AZ$2081,$B$33:$B$38,0),0)*(AV2119+$BA$2081)+$AW$2081*COUNTIF(AV2117:AV2118,"&gt;0")*$C$32+$AY$2081*$C$31)*$AU$2081),0)</f>
        <v>0</v>
      </c>
      <c r="AX2117">
        <f>IF(AV2117=0,0,-(COUNTIF(AV2117:AV2118,"&gt;0")*$AW$2081*$C$32+$AY$2081*$C$31)*$H$27*$AU$2081)</f>
        <v>0</v>
      </c>
      <c r="AY2117">
        <f>IF(AV2117=0,0,$AY$2081*$H$26*$AU$2081)</f>
        <v>0</v>
      </c>
      <c r="AZ2117">
        <f>(0.6*AW2117+0.7*AX2117)*$AU$2081/2</f>
        <v>0</v>
      </c>
      <c r="BA2117">
        <f>AW2117*$AU$2081/2</f>
        <v>0</v>
      </c>
      <c r="BC2117">
        <f>IF(AV2117=0,0,$BG$2081*$AP$2071)</f>
        <v>0</v>
      </c>
      <c r="BD2117">
        <f>IFERROR(BC2117/$AU$2081,0)</f>
        <v>0</v>
      </c>
      <c r="BE2117">
        <f>BC2117*($F$23+IF($F$23=0,0,($C$14+$C$15+IF($C$13="single",1.5,3)+3)/12))</f>
        <v>0</v>
      </c>
      <c r="BF2117">
        <f>BE2117-AZ2117</f>
        <v>0</v>
      </c>
      <c r="BG2117" cm="1">
        <f t="array" ref="BG2117">IFERROR(IF(BF2117&lt;0,0,BF2117/($AU$2081-INDEX(hd_off,MATCH(BT2117,hd_mark,0),0)/12)),0)</f>
        <v>0</v>
      </c>
      <c r="BH2117">
        <f>IF(AV2117=0,0,$BG$2081*$AM$2071)</f>
        <v>0</v>
      </c>
      <c r="BI2117">
        <f>IFERROR(BH2117/$AU$2081,0)</f>
        <v>0</v>
      </c>
      <c r="BJ2117">
        <f>BH2117*($F$23+IF($F$23=0,0,($C$14+$C$15+IF($C$13="single",1.5,3)+3)/12))</f>
        <v>0</v>
      </c>
      <c r="BK2117">
        <f>BJ2117-BA2117</f>
        <v>0</v>
      </c>
      <c r="BL2117" cm="1">
        <f t="array" ref="BL2117">IFERROR(IF(BK2117&lt;0,0,BK2117/($AU$2081-INDEX(hd_off,MATCH(BT2117,hd_mark,0),0)/12)),0)</f>
        <v>0</v>
      </c>
      <c r="BM2117">
        <f>MAX($F$23,$BD$2081)/$Q$2100</f>
        <v>0</v>
      </c>
      <c r="BN2117">
        <f t="shared" si="1317"/>
        <v>0</v>
      </c>
      <c r="BO2117" cm="1">
        <f t="array" ref="BO2117">IFERROR(INDEX(sheath_ecap_asd,MATCH(BS2117,sheath_mark,0),0)*BN2117,0)</f>
        <v>0</v>
      </c>
      <c r="BP2117" cm="1">
        <f t="array" ref="BP2117">IFERROR(INDEX(sheath_wcap_asd,MATCH(BS2117,sheath_mark,0),0)*BN2117,0)</f>
        <v>0</v>
      </c>
      <c r="BQ2117" cm="1">
        <f t="array" ref="BQ2117">IFERROR(INDEX(hd_cap,MATCH(BT2117,hd_mark,0),0),0)</f>
        <v>0</v>
      </c>
      <c r="BS2117" s="19"/>
      <c r="BT2117" s="19"/>
      <c r="BU2117" s="100"/>
    </row>
    <row r="2118" x14ac:dyDescent="0.25">
      <c r="P2118" s="93"/>
      <c r="Q2118" s="111">
        <f>$R$2081</f>
        <v>0</v>
      </c>
      <c r="R2118" t="str">
        <f>$Q$2072</f>
        <v>L5</v>
      </c>
      <c r="S2118">
        <f>$E$24</f>
        <v>0</v>
      </c>
      <c r="T2118" cm="1">
        <f t="array" ref="T2118">IFERROR(IF(S2118=0,0,(INDEX($C$33:$C$38,MATCH($W$2081,$B$33:$B$38,0),0)*(S2119+$X$2081)+$T$2081*COUNTIF(S2118:S2118,"&gt;0")*$C$32+$V$2081*$C$31)*$R$2081),0)</f>
        <v>0</v>
      </c>
      <c r="U2118">
        <f>IF(S2118=0,0,-(COUNTIF(S2118:S2118,"&gt;0")*$T$2081*$C$32+$V$2081*$C$31)*$H$27*$R$2081)</f>
        <v>0</v>
      </c>
      <c r="V2118">
        <f>IF(S2118=0,0,$V$2081*$H$26*$R$2081)</f>
        <v>0</v>
      </c>
      <c r="W2118">
        <f>(0.6*T2118+0.7*U2118)*$R$2081/2</f>
        <v>0</v>
      </c>
      <c r="X2118">
        <f>T2118*$R$2081/2</f>
        <v>0</v>
      </c>
      <c r="Z2118">
        <f>IF(S2118=0,0,$AD$2081*$AP$2072)</f>
        <v>0</v>
      </c>
      <c r="AA2118">
        <f>IFERROR(Z2118/$R$2081,0)</f>
        <v>0</v>
      </c>
      <c r="AB2118">
        <f>Z2118*($F$24+IF($F$24=0,0,($C$14+$C$15+IF($C$13="single",1.5,3)+3)/12))</f>
        <v>0</v>
      </c>
      <c r="AC2118">
        <f>AB2118-W2118</f>
        <v>0</v>
      </c>
      <c r="AD2118" cm="1">
        <f t="array" ref="AD2118">IFERROR(IF(AC2118&lt;0,0,AC2118/($R$2081-INDEX(hd_off,MATCH(AQ2118,hd_mark,0),0)/12)),0)</f>
        <v>0</v>
      </c>
      <c r="AE2118">
        <f>IF(S2118=0,0,$AD$2081*$AM$2072)</f>
        <v>0</v>
      </c>
      <c r="AF2118">
        <f>IFERROR(AE2118/$R$2081,0)</f>
        <v>0</v>
      </c>
      <c r="AG2118">
        <f>AE2118*($F$24+IF($F$24=0,0,($C$14+$C$15+IF($C$13="single",1.5,3)+3)/12))</f>
        <v>0</v>
      </c>
      <c r="AH2118">
        <f>AG2118-X2118</f>
        <v>0</v>
      </c>
      <c r="AI2118" cm="1">
        <f t="array" ref="AI2118">IFERROR(IF(AH2118&lt;0,0,AH2118/($R$2081-INDEX(hd_off,MATCH(AQ2118,hd_mark,0),0)/12)),0)</f>
        <v>0</v>
      </c>
      <c r="AJ2118">
        <f>MAX($F$24,$AB$2081)/$Q$2100</f>
        <v>0</v>
      </c>
      <c r="AK2118">
        <f t="shared" si="1316"/>
        <v>0</v>
      </c>
      <c r="AL2118" cm="1">
        <f t="array" ref="AL2118">IFERROR(INDEX(sheath_ecap_asd,MATCH(AP2118,sheath_mark,0),0)*AK2118,0)</f>
        <v>0</v>
      </c>
      <c r="AM2118" cm="1">
        <f t="array" ref="AM2118">IFERROR(INDEX(sheath_wcap_asd,MATCH(AP2118,sheath_mark,0),0)*AK2118,0)</f>
        <v>0</v>
      </c>
      <c r="AN2118" cm="1">
        <f t="array" ref="AN2118">IFERROR(INDEX(hd_cap,MATCH(AQ2118,hd_mark,0),0),0)</f>
        <v>0</v>
      </c>
      <c r="AP2118" s="19"/>
      <c r="AQ2118" s="19"/>
      <c r="AR2118" s="100"/>
      <c r="AS2118" s="93"/>
      <c r="AT2118" s="111">
        <f>$R$2081</f>
        <v>0</v>
      </c>
      <c r="AU2118" t="str">
        <f>$Q$2072</f>
        <v>L5</v>
      </c>
      <c r="AV2118">
        <f>$E$24</f>
        <v>0</v>
      </c>
      <c r="AW2118" cm="1">
        <f t="array" ref="AW2118">IFERROR(IF(AV2118=0,0,(INDEX($C$33:$C$38,MATCH($AZ$2081,$B$33:$B$38,0),0)*(AV2119+$BA$2081)+$AW$2081*COUNTIF(AV2118:AV2118,"&gt;0")*$C$32+$AY$2081*$C$31)*$AU$2081),0)</f>
        <v>0</v>
      </c>
      <c r="AX2118">
        <f>IF(AV2118=0,0,-(COUNTIF(AV2118:AV2118,"&gt;0")*$AW$2081*$C$32+$AY$2081*$C$31)*$H$27*$AU$2081)</f>
        <v>0</v>
      </c>
      <c r="AY2118">
        <f>IF(AV2118=0,0,$AY$2081*$H$26*$AU$2081)</f>
        <v>0</v>
      </c>
      <c r="AZ2118">
        <f>(0.6*AW2118+0.7*AX2118)*$AU$2081/2</f>
        <v>0</v>
      </c>
      <c r="BA2118">
        <f>AW2118*$AU$2081/2</f>
        <v>0</v>
      </c>
      <c r="BC2118">
        <f>IF(AV2118=0,0,$BG$2081*$AP$2072)</f>
        <v>0</v>
      </c>
      <c r="BD2118">
        <f>IFERROR(BC2118/$AU$2081,0)</f>
        <v>0</v>
      </c>
      <c r="BE2118">
        <f>BC2118*($F$24+IF($F$24=0,0,($C$14+$C$15+IF($C$13="single",1.5,3)+3)/12))</f>
        <v>0</v>
      </c>
      <c r="BF2118">
        <f>BE2118-AZ2118</f>
        <v>0</v>
      </c>
      <c r="BG2118" cm="1">
        <f t="array" ref="BG2118">IFERROR(IF(BF2118&lt;0,0,BF2118/($AU$2081-INDEX(hd_off,MATCH(BT2118,hd_mark,0),0)/12)),0)</f>
        <v>0</v>
      </c>
      <c r="BH2118">
        <f>IF(AV2118=0,0,$BG$2081*$AM$2072)</f>
        <v>0</v>
      </c>
      <c r="BI2118">
        <f>IFERROR(BH2118/$AU$2081,0)</f>
        <v>0</v>
      </c>
      <c r="BJ2118">
        <f>BH2118*($F$24+IF($F$24=0,0,($C$14+$C$15+IF($C$13="single",1.5,3)+3)/12))</f>
        <v>0</v>
      </c>
      <c r="BK2118">
        <f>BJ2118-BA2118</f>
        <v>0</v>
      </c>
      <c r="BL2118" cm="1">
        <f t="array" ref="BL2118">IFERROR(IF(BK2118&lt;0,0,BK2118/($AU$2081-INDEX(hd_off,MATCH(BT2118,hd_mark,0),0)/12)),0)</f>
        <v>0</v>
      </c>
      <c r="BM2118">
        <f>MAX($F$24,$BE$2081)/$Q$2100</f>
        <v>0</v>
      </c>
      <c r="BN2118">
        <f t="shared" si="1317"/>
        <v>0</v>
      </c>
      <c r="BO2118" cm="1">
        <f t="array" ref="BO2118">IFERROR(INDEX(sheath_ecap_asd,MATCH(BS2118,sheath_mark,0),0)*BN2118,0)</f>
        <v>0</v>
      </c>
      <c r="BP2118" cm="1">
        <f t="array" ref="BP2118">IFERROR(INDEX(sheath_wcap_asd,MATCH(BS2118,sheath_mark,0),0)*BN2118,0)</f>
        <v>0</v>
      </c>
      <c r="BQ2118" cm="1">
        <f t="array" ref="BQ2118">IFERROR(INDEX(hd_cap,MATCH(BT2118,hd_mark,0),0),0)</f>
        <v>0</v>
      </c>
      <c r="BS2118" s="19"/>
      <c r="BT2118" s="19"/>
      <c r="BU2118" s="100"/>
    </row>
    <row r="2119" x14ac:dyDescent="0.25">
      <c r="P2119" s="93"/>
      <c r="Q2119" s="109"/>
      <c r="R2119" t="str">
        <f>$Q$2073</f>
        <v>Roof</v>
      </c>
      <c r="S2119">
        <f>$E$25</f>
        <v>33.171875</v>
      </c>
      <c r="T2119" cm="1">
        <f t="array" ref="T2119">IFERROR(IF(S2119=0,0,(INDEX($C$33:$C$38,MATCH($W$2081,$B$33:$B$38,0),0)*(S2119+$X$2081)+$V$2081*$C$31)*$R$2081),0)</f>
        <v>0</v>
      </c>
      <c r="U2119">
        <f>IF(S2119=0,0,-$V$2081*$C$31*$H$27*$R$2081)</f>
        <v>0</v>
      </c>
      <c r="V2119">
        <f>IF(S2119=0,0,$V$2081*$H$26*$R$2081)</f>
        <v>0</v>
      </c>
      <c r="W2119">
        <f>(0.6*T2119+0.7*U2119)*$R$2081/2</f>
        <v>0</v>
      </c>
      <c r="X2119">
        <f>T2119*$R$2081/2</f>
        <v>0</v>
      </c>
      <c r="Z2119">
        <f>IF(S2119=0,0,$AD$2081*$AP$2073)</f>
        <v>0</v>
      </c>
      <c r="AA2119">
        <f>IFERROR(Z2119/$R$2081,0)</f>
        <v>0</v>
      </c>
      <c r="AB2119">
        <f>Z2119*($F$25+($C$16+$C$17+IF($C$13="single",1.5,3)+3)/12)</f>
        <v>0</v>
      </c>
      <c r="AC2119">
        <f>AB2119-W2119</f>
        <v>0</v>
      </c>
      <c r="AD2119" cm="1">
        <f t="array" ref="AD2119">IFERROR(IF(AC2119&lt;0,0,AC2119/($R$2081-INDEX(hd_off,MATCH(AQ2119,hd_mark,0),0)/12)),0)</f>
        <v>0</v>
      </c>
      <c r="AE2119">
        <f>IF(S2119=0,0,$AD$2081*$AM$2073)</f>
        <v>0</v>
      </c>
      <c r="AF2119">
        <f>IFERROR(AE2119/$R$2081,0)</f>
        <v>0</v>
      </c>
      <c r="AG2119">
        <f>AE2119*($F$25+($C$16+$C$17+IF($C$13="single",1.5,3)+3)/12)</f>
        <v>0</v>
      </c>
      <c r="AH2119">
        <f>AG2119-X2119</f>
        <v>0</v>
      </c>
      <c r="AI2119" cm="1">
        <f t="array" ref="AI2119">IFERROR(IF(AH2119&lt;0,0,AH2119/($R$2081-INDEX(hd_off,MATCH(AQ2119,hd_mark,0),0)/12)),0)</f>
        <v>0</v>
      </c>
      <c r="AJ2119">
        <f>MAX($F$25,$AC$2081)/$Q$2100</f>
        <v>0.29920977011494249</v>
      </c>
      <c r="AK2119">
        <f t="shared" si="1316"/>
        <v>1</v>
      </c>
      <c r="AL2119" cm="1">
        <f t="array" ref="AL2119">IFERROR(INDEX(sheath_ecap_asd,MATCH(AP2119,sheath_mark,0),0)*AK2119,0)</f>
        <v>0</v>
      </c>
      <c r="AM2119" cm="1">
        <f t="array" ref="AM2119">IFERROR(INDEX(sheath_wcap_asd,MATCH(AP2119,sheath_mark,0),0)*AK2119,0)</f>
        <v>0</v>
      </c>
      <c r="AN2119" cm="1">
        <f t="array" ref="AN2119">IFERROR(INDEX(hd_cap,MATCH(AQ2119,hd_mark,0),0),0)</f>
        <v>0</v>
      </c>
      <c r="AP2119" s="19"/>
      <c r="AQ2119" s="19"/>
      <c r="AR2119" s="100"/>
      <c r="AS2119" s="93"/>
      <c r="AT2119" s="109"/>
      <c r="AU2119" t="str">
        <f>$Q$2073</f>
        <v>Roof</v>
      </c>
      <c r="AV2119">
        <f>$E$25</f>
        <v>33.171875</v>
      </c>
      <c r="AW2119" cm="1">
        <f t="array" ref="AW2119">IFERROR(IF(AV2119=0,0,(INDEX($C$33:$C$38,MATCH($AZ$2081,$B$33:$B$38,0),0)*(AV2119+$BA$2081)+$AY$2081*$C$31)*$AU$2081),0)</f>
        <v>0</v>
      </c>
      <c r="AX2119">
        <f>IF(AV2119=0,0,-$AY$2081*$C$31*$H$27*$AU$2081)</f>
        <v>0</v>
      </c>
      <c r="AY2119">
        <f>IF(AV2119=0,0,$AY$2081*$H$26*$AU$2081)</f>
        <v>0</v>
      </c>
      <c r="AZ2119">
        <f>(0.6*AW2119+0.7*AX2119)*$AU$2081/2</f>
        <v>0</v>
      </c>
      <c r="BA2119">
        <f>AW2119*$AU$2081/2</f>
        <v>0</v>
      </c>
      <c r="BC2119">
        <f>IF(AV2119=0,0,$BG$2081*$AP$2073)</f>
        <v>0</v>
      </c>
      <c r="BD2119">
        <f>IFERROR(BC2119/$AU$2081,0)</f>
        <v>0</v>
      </c>
      <c r="BE2119">
        <f>BC2119*($F$25+($C$16+$C$17+IF($C$13="single",1.5,3)+3)/12)</f>
        <v>0</v>
      </c>
      <c r="BF2119">
        <f>BE2119-AZ2119</f>
        <v>0</v>
      </c>
      <c r="BG2119" cm="1">
        <f t="array" ref="BG2119">IFERROR(IF(BF2119&lt;0,0,BF2119/($AU$2081-INDEX(hd_off,MATCH(BT2119,hd_mark,0),0)/12)),0)</f>
        <v>0</v>
      </c>
      <c r="BH2119">
        <f>IF(AV2119=0,0,$BG$2081*$AM$2073)</f>
        <v>0</v>
      </c>
      <c r="BI2119">
        <f>IFERROR(BH2119/$AU$2081,0)</f>
        <v>0</v>
      </c>
      <c r="BJ2119">
        <f>BH2119*($F$25+($C$16+$C$17+IF($C$13="single",1.5,3)+3)/12)</f>
        <v>0</v>
      </c>
      <c r="BK2119">
        <f>BJ2119-BA2119</f>
        <v>0</v>
      </c>
      <c r="BL2119" cm="1">
        <f t="array" ref="BL2119">IFERROR(IF(BK2119&lt;0,0,BK2119/($AU$2081-INDEX(hd_off,MATCH(BT2119,hd_mark,0),0)/12)),0)</f>
        <v>0</v>
      </c>
      <c r="BM2119">
        <f>MAX($F$25,$BF$2081)/$Q$2100</f>
        <v>0.29920977011494249</v>
      </c>
      <c r="BN2119">
        <f t="shared" si="1317"/>
        <v>1</v>
      </c>
      <c r="BO2119" cm="1">
        <f t="array" ref="BO2119">IFERROR(INDEX(sheath_ecap_asd,MATCH(BS2119,sheath_mark,0),0)*BN2119,0)</f>
        <v>0</v>
      </c>
      <c r="BP2119" cm="1">
        <f t="array" ref="BP2119">IFERROR(INDEX(sheath_wcap_asd,MATCH(BS2119,sheath_mark,0),0)*BN2119,0)</f>
        <v>0</v>
      </c>
      <c r="BQ2119" cm="1">
        <f t="array" ref="BQ2119">IFERROR(INDEX(hd_cap,MATCH(BT2119,hd_mark,0),0),0)</f>
        <v>0</v>
      </c>
      <c r="BS2119" s="19"/>
      <c r="BT2119" s="19"/>
      <c r="BU2119" s="100"/>
    </row>
    <row r="2120" x14ac:dyDescent="0.25">
      <c r="P2120" s="93"/>
      <c r="AR2120" s="100"/>
      <c r="AS2120" s="93"/>
      <c r="BU2120" s="100"/>
    </row>
    <row r="2121" x14ac:dyDescent="0.25">
      <c r="P2121" s="93"/>
      <c r="Q2121" s="110" t="str">
        <f>$Q$2082</f>
        <v>A.05</v>
      </c>
      <c r="R2121" t="str">
        <f>$Q$2069</f>
        <v>L2</v>
      </c>
      <c r="S2121">
        <f>$E$21</f>
        <v>10.6875</v>
      </c>
      <c r="T2121" cm="1">
        <f t="array" ref="T2121">IFERROR(IF(S2121=0,0,(INDEX($C$33:$C$38,MATCH($W$2082,$B$33:$B$38,0),0)*(S2125+$X$2082)+$T$2082*COUNTIF(S2121:S2124,"&gt;0")*$C$32+$V$2082*$C$31)*$R$2082),0)</f>
        <v>0</v>
      </c>
      <c r="U2121">
        <f>IF(S2121=0,0,-(COUNTIF(S2121:S2124,"&gt;0")*$T$2082*$C$32+$V$2082*$C$31)*$H$27*$R$2082)</f>
        <v>0</v>
      </c>
      <c r="V2121">
        <f>IF(S2121=0,0,$V$2082*$H$26*$R$2082)</f>
        <v>0</v>
      </c>
      <c r="W2121">
        <f>(0.6*T2121+0.7*U2121)*$R$2082/2</f>
        <v>0</v>
      </c>
      <c r="X2121">
        <f>(0.6*T2121+0.6*V2121)*$R$2082/2</f>
        <v>0</v>
      </c>
      <c r="Z2121">
        <f>IF(S2121=0,0,$AD$2082*$AP$2069)</f>
        <v>0</v>
      </c>
      <c r="AA2121">
        <f>IFERROR(Z2121/$R$2082,0)</f>
        <v>0</v>
      </c>
      <c r="AB2121">
        <f>Z2121*($F$21+IF($F$21=0,0,($C$14+$C$15+IF($C$13="single",1.5,3)+3)/12))</f>
        <v>0</v>
      </c>
      <c r="AC2121">
        <f>AB2121-W2121</f>
        <v>0</v>
      </c>
      <c r="AD2121" cm="1">
        <f t="array" ref="AD2121">IFERROR(IF(AC2121&lt;0,0,AC2121/($R$2082-INDEX(hd_off,MATCH(AQ2121,hd_mark,0),0)/12)),0)</f>
        <v>0</v>
      </c>
      <c r="AE2121">
        <f>IF(S2121=0,0,$AD$2082*$AM$2069)</f>
        <v>0</v>
      </c>
      <c r="AF2121">
        <f>IFERROR(AE2121/$R$2082,0)</f>
        <v>0</v>
      </c>
      <c r="AG2121">
        <f>AE2121*($F$21+IF($F$21=0,0,($C$14+$C$15+IF($C$13="single",1.5,3)+3)/12))</f>
        <v>0</v>
      </c>
      <c r="AH2121">
        <f>AG2121-X2121</f>
        <v>0</v>
      </c>
      <c r="AI2121" cm="1">
        <f t="array" ref="AI2121">IFERROR(IF(AH2121&lt;0,0,AH2121/($R$2082-INDEX(hd_off,MATCH(AQ2121,hd_mark,0),0)/12)),0)</f>
        <v>0</v>
      </c>
      <c r="AJ2121">
        <f>MAX($F$21,$Y$2082)/$Q$2100</f>
        <v>0.30172413793103448</v>
      </c>
      <c r="AK2121">
        <f>IF(AJ2121=0,0,IF(AJ2121&gt;2,1.25-0.125*AJ2121,1))</f>
        <v>1</v>
      </c>
      <c r="AL2121" cm="1">
        <f t="array" ref="AL2121">IFERROR(INDEX(sheath_ecap_asd,MATCH(AP2121,sheath_mark,0),0)*AK2121,0)</f>
        <v>0</v>
      </c>
      <c r="AM2121" cm="1">
        <f t="array" ref="AM2121">IFERROR(INDEX(sheath_wcap_asd,MATCH(AP2121,sheath_mark,0),0)*AK2121,0)</f>
        <v>0</v>
      </c>
      <c r="AN2121" cm="1">
        <f t="array" ref="AN2121">IFERROR(INDEX(hd_cap,MATCH(AQ2121,hd_mark,0),0),0)</f>
        <v>0</v>
      </c>
      <c r="AP2121" s="19"/>
      <c r="AQ2121" s="19"/>
      <c r="AR2121" s="100"/>
      <c r="AS2121" s="93"/>
      <c r="AT2121" s="110" t="str">
        <f>$AT$2082</f>
        <v>1.05</v>
      </c>
      <c r="AU2121" t="str">
        <f>$Q$2069</f>
        <v>L2</v>
      </c>
      <c r="AV2121">
        <f>$E$21</f>
        <v>10.6875</v>
      </c>
      <c r="AW2121" cm="1">
        <f t="array" ref="AW2121">IFERROR(IF(AV2121=0,0,(INDEX($C$33:$C$38,MATCH($AZ$2082,$B$33:$B$38,0),0)*(AV2125+$BA$2082)+$AW$2082*COUNTIF(AV2121:AV2124,"&gt;0")*$C$32+$AY$2082*$C$31)*$AU$2082),0)</f>
        <v>0</v>
      </c>
      <c r="AX2121">
        <f>IF(AV2121=0,0,-(COUNTIF(AV2121:AV2124,"&gt;0")*$AW$2082*$C$32+$AY$2082*$C$31)*$H$27*$AU$2082)</f>
        <v>0</v>
      </c>
      <c r="AY2121">
        <f>IF(AV2121=0,0,$AY$2082*$H$26*$AU$2082)</f>
        <v>0</v>
      </c>
      <c r="AZ2121">
        <f>(0.6*AW2121+0.7*AX2121)*$AU$2082/2</f>
        <v>0</v>
      </c>
      <c r="BA2121">
        <f>(0.6*AW2121+0.6*AY2121)*$AU$2082/2</f>
        <v>0</v>
      </c>
      <c r="BC2121">
        <f>IF(AV2121=0,0,$BG$2082*$AP$2069)</f>
        <v>0</v>
      </c>
      <c r="BD2121">
        <f>IFERROR(BC2121/$AU$2082,0)</f>
        <v>0</v>
      </c>
      <c r="BE2121">
        <f>BC2121*($F$21+IF($F$21=0,0,($C$14+$C$15+IF($C$13="single",1.5,3)+3)/12))</f>
        <v>0</v>
      </c>
      <c r="BF2121">
        <f>BE2121-AZ2121</f>
        <v>0</v>
      </c>
      <c r="BG2121" cm="1">
        <f t="array" ref="BG2121">IFERROR(IF(BF2121&lt;0,0,BF2121/($AU$2082-INDEX(hd_off,MATCH(BT2121,hd_mark,0),0)/12)),0)</f>
        <v>0</v>
      </c>
      <c r="BH2121">
        <f>IF(AV2121=0,0,$BG$2082*$AM$2069)</f>
        <v>0</v>
      </c>
      <c r="BI2121">
        <f>IFERROR(BH2121/$AU$2082,0)</f>
        <v>0</v>
      </c>
      <c r="BJ2121">
        <f>BH2121*($F$21+IF($F$21=0,0,($C$14+$C$15+IF($C$13="single",1.5,3)+3)/12))</f>
        <v>0</v>
      </c>
      <c r="BK2121">
        <f>BJ2121-BA2121</f>
        <v>0</v>
      </c>
      <c r="BL2121" cm="1">
        <f t="array" ref="BL2121">IFERROR(IF(BK2121&lt;0,0,BK2121/($AU$2082-INDEX(hd_off,MATCH(BT2121,hd_mark,0),0)/12)),0)</f>
        <v>0</v>
      </c>
      <c r="BM2121">
        <f>MAX($F$21,$BB$2082)/$Q$2100</f>
        <v>0.30172413793103448</v>
      </c>
      <c r="BN2121">
        <f>IF(BM2121=0,0,IF(BM2121&gt;2,1.25-0.125*BM2121,1))</f>
        <v>1</v>
      </c>
      <c r="BO2121" cm="1">
        <f t="array" ref="BO2121">IFERROR(INDEX(sheath_ecap_asd,MATCH(BS2121,sheath_mark,0),0)*BN2121,0)</f>
        <v>0</v>
      </c>
      <c r="BP2121" cm="1">
        <f t="array" ref="BP2121">IFERROR(INDEX(sheath_wcap_asd,MATCH(BS2121,sheath_mark,0),0)*BN2121,0)</f>
        <v>0</v>
      </c>
      <c r="BQ2121" cm="1">
        <f t="array" ref="BQ2121">IFERROR(INDEX(hd_cap,MATCH(BT2121,hd_mark,0),0),0)</f>
        <v>0</v>
      </c>
      <c r="BS2121" s="19"/>
      <c r="BT2121" s="19"/>
      <c r="BU2121" s="100"/>
    </row>
    <row r="2122" x14ac:dyDescent="0.25">
      <c r="B2122" s="1"/>
      <c r="P2122" s="93"/>
      <c r="Q2122" s="109"/>
      <c r="R2122" t="str">
        <f>$Q$2070</f>
        <v>L3</v>
      </c>
      <c r="S2122">
        <f>$E$22</f>
        <v>21.375</v>
      </c>
      <c r="T2122" cm="1">
        <f t="array" ref="T2122">IFERROR(IF(S2122=0,0,(INDEX($C$33:$C$38,MATCH($W$2082,$B$33:$B$38,0),0)*(S2125+$X$2082)+$T$2082*COUNTIF(S2122:S2124,"&gt;0")*$C$32+$V$2082*$C$31)*$R$2082),0)</f>
        <v>0</v>
      </c>
      <c r="U2122">
        <f>IF(S2122=0,0,-(COUNTIF(S2122:S2124,"&gt;0")*$T$2082*$C$32+$V$2082*$C$31)*$H$27*$R$2082)</f>
        <v>0</v>
      </c>
      <c r="V2122">
        <f>IF(S2122=0,0,$V$2082*$H$26*$R$2082)</f>
        <v>0</v>
      </c>
      <c r="W2122">
        <f>(0.6*T2122+0.7*U2122)*$R$2082/2</f>
        <v>0</v>
      </c>
      <c r="X2122">
        <f>T2122*$R$2082/2</f>
        <v>0</v>
      </c>
      <c r="Z2122">
        <f>IF(S2122=0,0,$AD$2082*$AP$2070)</f>
        <v>0</v>
      </c>
      <c r="AA2122">
        <f>IFERROR(Z2122/$R$2082,0)</f>
        <v>0</v>
      </c>
      <c r="AB2122">
        <f>Z2122*($F$22+IF($F$22=0,0,($C$14+$C$15+IF($C$13="single",1.5,3)+3)/12))</f>
        <v>0</v>
      </c>
      <c r="AC2122">
        <f>AB2122-W2122</f>
        <v>0</v>
      </c>
      <c r="AD2122" cm="1">
        <f t="array" ref="AD2122">IFERROR(IF(AC2122&lt;0,0,AC2122/($R$2082-INDEX(hd_off,MATCH(AQ2122,hd_mark,0),0)/12)),0)</f>
        <v>0</v>
      </c>
      <c r="AE2122">
        <f>IF(S2122=0,0,$AD$2082*$AM$2070)</f>
        <v>0</v>
      </c>
      <c r="AF2122">
        <f>IFERROR(AE2122/$R$2082,0)</f>
        <v>0</v>
      </c>
      <c r="AG2122">
        <f>AE2122*($F$22+IF($F$22=0,0,($C$14+$C$15+IF($C$13="single",1.5,3)+3)/12))</f>
        <v>0</v>
      </c>
      <c r="AH2122">
        <f>AG2122-X2122</f>
        <v>0</v>
      </c>
      <c r="AI2122" cm="1">
        <f t="array" ref="AI2122">IFERROR(IF(AH2122&lt;0,0,AH2122/($R$2082-INDEX(hd_off,MATCH(AQ2122,hd_mark,0),0)/12)),0)</f>
        <v>0</v>
      </c>
      <c r="AJ2122">
        <f>MAX($F$22,$Z$2082)/$Q$2100</f>
        <v>0.30172413793103448</v>
      </c>
      <c r="AK2122">
        <f t="shared" ref="AK2122:AK2125" si="1318">IF(AJ2122=0,0,IF(AJ2122&gt;2,1.25-0.125*AJ2122,1))</f>
        <v>1</v>
      </c>
      <c r="AL2122" cm="1">
        <f t="array" ref="AL2122">IFERROR(INDEX(sheath_ecap_asd,MATCH(AP2122,sheath_mark,0),0)*AK2122,0)</f>
        <v>0</v>
      </c>
      <c r="AM2122" cm="1">
        <f t="array" ref="AM2122">IFERROR(INDEX(sheath_wcap_asd,MATCH(AP2122,sheath_mark,0),0)*AK2122,0)</f>
        <v>0</v>
      </c>
      <c r="AN2122" cm="1">
        <f t="array" ref="AN2122">IFERROR(INDEX(hd_cap,MATCH(AQ2122,hd_mark,0),0),0)</f>
        <v>0</v>
      </c>
      <c r="AP2122" s="19"/>
      <c r="AQ2122" s="19"/>
      <c r="AR2122" s="100"/>
      <c r="AS2122" s="93"/>
      <c r="AT2122" s="109"/>
      <c r="AU2122" t="str">
        <f>$Q$2070</f>
        <v>L3</v>
      </c>
      <c r="AV2122">
        <f>$E$22</f>
        <v>21.375</v>
      </c>
      <c r="AW2122" cm="1">
        <f t="array" ref="AW2122">IFERROR(IF(AV2122=0,0,(INDEX($C$33:$C$38,MATCH($AZ$2082,$B$33:$B$38,0),0)*(AV2125+$BA$2082)+$AW$2082*COUNTIF(AV2122:AV2124,"&gt;0")*$C$32+$AY$2082*$C$31)*$AU$2082),0)</f>
        <v>0</v>
      </c>
      <c r="AX2122">
        <f>IF(AV2122=0,0,-(COUNTIF(AV2122:AV2124,"&gt;0")*$AW$2082*$C$32+$AY$2082*$C$31)*$H$27*$AU$2082)</f>
        <v>0</v>
      </c>
      <c r="AY2122">
        <f>IF(AV2122=0,0,$AY$2082*$H$26*$AU$2082)</f>
        <v>0</v>
      </c>
      <c r="AZ2122">
        <f>(0.6*AW2122+0.7*AX2122)*$AU$2082/2</f>
        <v>0</v>
      </c>
      <c r="BA2122">
        <f>AW2122*$AU$2082/2</f>
        <v>0</v>
      </c>
      <c r="BC2122">
        <f>IF(AV2122=0,0,$BG$2082*$AP$2070)</f>
        <v>0</v>
      </c>
      <c r="BD2122">
        <f>IFERROR(BC2122/$AU$2082,0)</f>
        <v>0</v>
      </c>
      <c r="BE2122">
        <f>BC2122*($F$22+IF($F$22=0,0,($C$14+$C$15+IF($C$13="single",1.5,3)+3)/12))</f>
        <v>0</v>
      </c>
      <c r="BF2122">
        <f>BE2122-AZ2122</f>
        <v>0</v>
      </c>
      <c r="BG2122" cm="1">
        <f t="array" ref="BG2122">IFERROR(IF(BF2122&lt;0,0,BF2122/($AU$2082-INDEX(hd_off,MATCH(BT2122,hd_mark,0),0)/12)),0)</f>
        <v>0</v>
      </c>
      <c r="BH2122">
        <f>IF(AV2122=0,0,$BG$2082*$AM$2070)</f>
        <v>0</v>
      </c>
      <c r="BI2122">
        <f>IFERROR(BH2122/$AU$2082,0)</f>
        <v>0</v>
      </c>
      <c r="BJ2122">
        <f>BH2122*($F$22+IF($F$22=0,0,($C$14+$C$15+IF($C$13="single",1.5,3)+3)/12))</f>
        <v>0</v>
      </c>
      <c r="BK2122">
        <f>BJ2122-BA2122</f>
        <v>0</v>
      </c>
      <c r="BL2122" cm="1">
        <f t="array" ref="BL2122">IFERROR(IF(BK2122&lt;0,0,BK2122/($AU$2082-INDEX(hd_off,MATCH(BT2122,hd_mark,0),0)/12)),0)</f>
        <v>0</v>
      </c>
      <c r="BM2122">
        <f>MAX($F$22,$BC$2082)/$Q$2100</f>
        <v>0.30172413793103448</v>
      </c>
      <c r="BN2122">
        <f t="shared" ref="BN2122:BN2125" si="1319">IF(BM2122=0,0,IF(BM2122&gt;2,1.25-0.125*BM2122,1))</f>
        <v>1</v>
      </c>
      <c r="BO2122" cm="1">
        <f t="array" ref="BO2122">IFERROR(INDEX(sheath_ecap_asd,MATCH(BS2122,sheath_mark,0),0)*BN2122,0)</f>
        <v>0</v>
      </c>
      <c r="BP2122" cm="1">
        <f t="array" ref="BP2122">IFERROR(INDEX(sheath_wcap_asd,MATCH(BS2122,sheath_mark,0),0)*BN2122,0)</f>
        <v>0</v>
      </c>
      <c r="BQ2122" cm="1">
        <f t="array" ref="BQ2122">IFERROR(INDEX(hd_cap,MATCH(BT2122,hd_mark,0),0),0)</f>
        <v>0</v>
      </c>
      <c r="BS2122" s="19"/>
      <c r="BT2122" s="19"/>
      <c r="BU2122" s="100"/>
    </row>
    <row r="2123" x14ac:dyDescent="0.25">
      <c r="P2123" s="93"/>
      <c r="Q2123" s="109" t="s">
        <v>491</v>
      </c>
      <c r="R2123" t="str">
        <f>$Q$2071</f>
        <v>L4</v>
      </c>
      <c r="S2123">
        <f>$E$23</f>
        <v>0</v>
      </c>
      <c r="T2123" cm="1">
        <f t="array" ref="T2123">IFERROR(IF(S2123=0,0,(INDEX($C$33:$C$38,MATCH($W$2082,$B$33:$B$38,0),0)*(S2125+$X$2082)+$T$2082*COUNTIF(S2123:S2124,"&gt;0")*$C$32+$V$2082*$C$31)*$R$2082),0)</f>
        <v>0</v>
      </c>
      <c r="U2123">
        <f>IF(S2123=0,0,-(COUNTIF(S2123:S2124,"&gt;0")*$T$2082*$C$32+$V$2082*$C$31)*$H$27*$R$2082)</f>
        <v>0</v>
      </c>
      <c r="V2123">
        <f>IF(S2123=0,0,$V$2082*$H$26*$R$2082)</f>
        <v>0</v>
      </c>
      <c r="W2123">
        <f>(0.6*T2123+0.7*U2123)*$R$2082/2</f>
        <v>0</v>
      </c>
      <c r="X2123">
        <f>T2123*$R$2082/2</f>
        <v>0</v>
      </c>
      <c r="Z2123">
        <f>IF(S2123=0,0,$AD$2082*$AP$2071)</f>
        <v>0</v>
      </c>
      <c r="AA2123">
        <f>IFERROR(Z2123/$R$2082,0)</f>
        <v>0</v>
      </c>
      <c r="AB2123">
        <f>Z2123*($F$23+IF($F$23=0,0,($C$14+$C$15+IF($C$13="single",1.5,3)+3)/12))</f>
        <v>0</v>
      </c>
      <c r="AC2123">
        <f>AB2123-W2123</f>
        <v>0</v>
      </c>
      <c r="AD2123" cm="1">
        <f t="array" ref="AD2123">IFERROR(IF(AC2123&lt;0,0,AC2123/($R$2082-INDEX(hd_off,MATCH(AQ2123,hd_mark,0),0)/12)),0)</f>
        <v>0</v>
      </c>
      <c r="AE2123">
        <f>IF(S2123=0,0,$AD$2082*$AM$2071)</f>
        <v>0</v>
      </c>
      <c r="AF2123">
        <f>IFERROR(AE2123/$R$2082,0)</f>
        <v>0</v>
      </c>
      <c r="AG2123">
        <f>AE2123*($F$23+IF($F$23=0,0,($C$14+$C$15+IF($C$13="single",1.5,3)+3)/12))</f>
        <v>0</v>
      </c>
      <c r="AH2123">
        <f>AG2123-X2123</f>
        <v>0</v>
      </c>
      <c r="AI2123" cm="1">
        <f t="array" ref="AI2123">IFERROR(IF(AH2123&lt;0,0,AH2123/($R$2082-INDEX(hd_off,MATCH(AQ2123,hd_mark,0),0)/12)),0)</f>
        <v>0</v>
      </c>
      <c r="AJ2123">
        <f>MAX($F$23,$AA$2082)/$Q$2100</f>
        <v>0</v>
      </c>
      <c r="AK2123">
        <f t="shared" si="1318"/>
        <v>0</v>
      </c>
      <c r="AL2123" cm="1">
        <f t="array" ref="AL2123">IFERROR(INDEX(sheath_ecap_asd,MATCH(AP2123,sheath_mark,0),0)*AK2123,0)</f>
        <v>0</v>
      </c>
      <c r="AM2123" cm="1">
        <f t="array" ref="AM2123">IFERROR(INDEX(sheath_wcap_asd,MATCH(AP2123,sheath_mark,0),0)*AK2123,0)</f>
        <v>0</v>
      </c>
      <c r="AN2123" cm="1">
        <f t="array" ref="AN2123">IFERROR(INDEX(hd_cap,MATCH(AQ2123,hd_mark,0),0),0)</f>
        <v>0</v>
      </c>
      <c r="AP2123" s="19"/>
      <c r="AQ2123" s="19"/>
      <c r="AR2123" s="100"/>
      <c r="AS2123" s="93"/>
      <c r="AT2123" s="109" t="s">
        <v>491</v>
      </c>
      <c r="AU2123" t="str">
        <f>$Q$2071</f>
        <v>L4</v>
      </c>
      <c r="AV2123">
        <f>$E$23</f>
        <v>0</v>
      </c>
      <c r="AW2123" cm="1">
        <f t="array" ref="AW2123">IFERROR(IF(AV2123=0,0,(INDEX($C$33:$C$38,MATCH($AZ$2082,$B$33:$B$38,0),0)*(AV2125+$BA$2082)+$AW$2082*COUNTIF(AV2123:AV2124,"&gt;0")*$C$32+$AY$2082*$C$31)*$AU$2082),0)</f>
        <v>0</v>
      </c>
      <c r="AX2123">
        <f>IF(AV2123=0,0,-(COUNTIF(AV2123:AV2124,"&gt;0")*$AW$2082*$C$32+$AY$2082*$C$31)*$H$27*$AU$2082)</f>
        <v>0</v>
      </c>
      <c r="AY2123">
        <f>IF(AV2123=0,0,$AY$2082*$H$26*$AU$2082)</f>
        <v>0</v>
      </c>
      <c r="AZ2123">
        <f>(0.6*AW2123+0.7*AX2123)*$AU$2082/2</f>
        <v>0</v>
      </c>
      <c r="BA2123">
        <f>AW2123*$AU$2082/2</f>
        <v>0</v>
      </c>
      <c r="BC2123">
        <f>IF(AV2123=0,0,$BG$2082*$AP$2071)</f>
        <v>0</v>
      </c>
      <c r="BD2123">
        <f>IFERROR(BC2123/$AU$2082,0)</f>
        <v>0</v>
      </c>
      <c r="BE2123">
        <f>BC2123*($F$23+IF($F$23=0,0,($C$14+$C$15+IF($C$13="single",1.5,3)+3)/12))</f>
        <v>0</v>
      </c>
      <c r="BF2123">
        <f>BE2123-AZ2123</f>
        <v>0</v>
      </c>
      <c r="BG2123" cm="1">
        <f t="array" ref="BG2123">IFERROR(IF(BF2123&lt;0,0,BF2123/($AU$2082-INDEX(hd_off,MATCH(BT2123,hd_mark,0),0)/12)),0)</f>
        <v>0</v>
      </c>
      <c r="BH2123">
        <f>IF(AV2123=0,0,$BG$2082*$AM$2071)</f>
        <v>0</v>
      </c>
      <c r="BI2123">
        <f>IFERROR(BH2123/$AU$2082,0)</f>
        <v>0</v>
      </c>
      <c r="BJ2123">
        <f>BH2123*($F$23+IF($F$23=0,0,($C$14+$C$15+IF($C$13="single",1.5,3)+3)/12))</f>
        <v>0</v>
      </c>
      <c r="BK2123">
        <f>BJ2123-BA2123</f>
        <v>0</v>
      </c>
      <c r="BL2123" cm="1">
        <f t="array" ref="BL2123">IFERROR(IF(BK2123&lt;0,0,BK2123/($AU$2082-INDEX(hd_off,MATCH(BT2123,hd_mark,0),0)/12)),0)</f>
        <v>0</v>
      </c>
      <c r="BM2123">
        <f>MAX($F$23,$BD$2082)/$Q$2100</f>
        <v>0</v>
      </c>
      <c r="BN2123">
        <f t="shared" si="1319"/>
        <v>0</v>
      </c>
      <c r="BO2123" cm="1">
        <f t="array" ref="BO2123">IFERROR(INDEX(sheath_ecap_asd,MATCH(BS2123,sheath_mark,0),0)*BN2123,0)</f>
        <v>0</v>
      </c>
      <c r="BP2123" cm="1">
        <f t="array" ref="BP2123">IFERROR(INDEX(sheath_wcap_asd,MATCH(BS2123,sheath_mark,0),0)*BN2123,0)</f>
        <v>0</v>
      </c>
      <c r="BQ2123" cm="1">
        <f t="array" ref="BQ2123">IFERROR(INDEX(hd_cap,MATCH(BT2123,hd_mark,0),0),0)</f>
        <v>0</v>
      </c>
      <c r="BS2123" s="19"/>
      <c r="BT2123" s="19"/>
      <c r="BU2123" s="100"/>
    </row>
    <row r="2124" x14ac:dyDescent="0.25">
      <c r="P2124" s="93"/>
      <c r="Q2124" s="111">
        <f>$R$2082</f>
        <v>0</v>
      </c>
      <c r="R2124" t="str">
        <f>$Q$2072</f>
        <v>L5</v>
      </c>
      <c r="S2124">
        <f>$E$24</f>
        <v>0</v>
      </c>
      <c r="T2124" cm="1">
        <f t="array" ref="T2124">IFERROR(IF(S2124=0,0,(INDEX($C$33:$C$38,MATCH($W$2082,$B$33:$B$38,0),0)*(S2125+$X$2082)+$T$2082*COUNTIF(S2124:S2124,"&gt;0")*$C$32+$V$2082*$C$31)*$R$2082),0)</f>
        <v>0</v>
      </c>
      <c r="U2124">
        <f>IF(S2124=0,0,-(COUNTIF(S2124:S2124,"&gt;0")*$T$2082*$C$32+$V$2082*$C$31)*$H$27*$R$2082)</f>
        <v>0</v>
      </c>
      <c r="V2124">
        <f>IF(S2124=0,0,$V$2082*$H$26*$R$2082)</f>
        <v>0</v>
      </c>
      <c r="W2124">
        <f>(0.6*T2124+0.7*U2124)*$R$2082/2</f>
        <v>0</v>
      </c>
      <c r="X2124">
        <f>T2124*$R$2082/2</f>
        <v>0</v>
      </c>
      <c r="Z2124">
        <f>IF(S2124=0,0,$AD$2082*$AP$2072)</f>
        <v>0</v>
      </c>
      <c r="AA2124">
        <f>IFERROR(Z2124/$R$2082,0)</f>
        <v>0</v>
      </c>
      <c r="AB2124">
        <f>Z2124*($F$24+IF($F$24=0,0,($C$14+$C$15+IF($C$13="single",1.5,3)+3)/12))</f>
        <v>0</v>
      </c>
      <c r="AC2124">
        <f>AB2124-W2124</f>
        <v>0</v>
      </c>
      <c r="AD2124" cm="1">
        <f t="array" ref="AD2124">IFERROR(IF(AC2124&lt;0,0,AC2124/($R$2082-INDEX(hd_off,MATCH(AQ2124,hd_mark,0),0)/12)),0)</f>
        <v>0</v>
      </c>
      <c r="AE2124">
        <f>IF(S2124=0,0,$AD$2082*$AM$2072)</f>
        <v>0</v>
      </c>
      <c r="AF2124">
        <f>IFERROR(AE2124/$R$2082,0)</f>
        <v>0</v>
      </c>
      <c r="AG2124">
        <f>AE2124*($F$24+IF($F$24=0,0,($C$14+$C$15+IF($C$13="single",1.5,3)+3)/12))</f>
        <v>0</v>
      </c>
      <c r="AH2124">
        <f>AG2124-X2124</f>
        <v>0</v>
      </c>
      <c r="AI2124" cm="1">
        <f t="array" ref="AI2124">IFERROR(IF(AH2124&lt;0,0,AH2124/($R$2082-INDEX(hd_off,MATCH(AQ2124,hd_mark,0),0)/12)),0)</f>
        <v>0</v>
      </c>
      <c r="AJ2124">
        <f>MAX($F$24,$AB$2082)/$Q$2100</f>
        <v>0</v>
      </c>
      <c r="AK2124">
        <f t="shared" si="1318"/>
        <v>0</v>
      </c>
      <c r="AL2124" cm="1">
        <f t="array" ref="AL2124">IFERROR(INDEX(sheath_ecap_asd,MATCH(AP2124,sheath_mark,0),0)*AK2124,0)</f>
        <v>0</v>
      </c>
      <c r="AM2124" cm="1">
        <f t="array" ref="AM2124">IFERROR(INDEX(sheath_wcap_asd,MATCH(AP2124,sheath_mark,0),0)*AK2124,0)</f>
        <v>0</v>
      </c>
      <c r="AN2124" cm="1">
        <f t="array" ref="AN2124">IFERROR(INDEX(hd_cap,MATCH(AQ2124,hd_mark,0),0),0)</f>
        <v>0</v>
      </c>
      <c r="AP2124" s="19"/>
      <c r="AQ2124" s="19"/>
      <c r="AR2124" s="100"/>
      <c r="AS2124" s="93"/>
      <c r="AT2124" s="111">
        <f>$R$2082</f>
        <v>0</v>
      </c>
      <c r="AU2124" t="str">
        <f>$Q$2072</f>
        <v>L5</v>
      </c>
      <c r="AV2124">
        <f>$E$24</f>
        <v>0</v>
      </c>
      <c r="AW2124" cm="1">
        <f t="array" ref="AW2124">IFERROR(IF(AV2124=0,0,(INDEX($C$33:$C$38,MATCH($AZ$2082,$B$33:$B$38,0),0)*(AV2125+$BA$2082)+$AW$2082*COUNTIF(AV2124:AV2124,"&gt;0")*$C$32+$AY$2082*$C$31)*$AU$2082),0)</f>
        <v>0</v>
      </c>
      <c r="AX2124">
        <f>IF(AV2124=0,0,-(COUNTIF(AV2124:AV2124,"&gt;0")*$AW$2082*$C$32+$AY$2082*$C$31)*$H$27*$AU$2082)</f>
        <v>0</v>
      </c>
      <c r="AY2124">
        <f>IF(AV2124=0,0,$AY$2082*$H$26*$AU$2082)</f>
        <v>0</v>
      </c>
      <c r="AZ2124">
        <f>(0.6*AW2124+0.7*AX2124)*$AU$2082/2</f>
        <v>0</v>
      </c>
      <c r="BA2124">
        <f>AW2124*$AU$2082/2</f>
        <v>0</v>
      </c>
      <c r="BC2124">
        <f>IF(AV2124=0,0,$BG$2082*$AP$2072)</f>
        <v>0</v>
      </c>
      <c r="BD2124">
        <f>IFERROR(BC2124/$AU$2082,0)</f>
        <v>0</v>
      </c>
      <c r="BE2124">
        <f>BC2124*($F$24+IF($F$24=0,0,($C$14+$C$15+IF($C$13="single",1.5,3)+3)/12))</f>
        <v>0</v>
      </c>
      <c r="BF2124">
        <f>BE2124-AZ2124</f>
        <v>0</v>
      </c>
      <c r="BG2124" cm="1">
        <f t="array" ref="BG2124">IFERROR(IF(BF2124&lt;0,0,BF2124/($AU$2082-INDEX(hd_off,MATCH(BT2124,hd_mark,0),0)/12)),0)</f>
        <v>0</v>
      </c>
      <c r="BH2124">
        <f>IF(AV2124=0,0,$BG$2082*$AM$2072)</f>
        <v>0</v>
      </c>
      <c r="BI2124">
        <f>IFERROR(BH2124/$AU$2082,0)</f>
        <v>0</v>
      </c>
      <c r="BJ2124">
        <f>BH2124*($F$24+IF($F$24=0,0,($C$14+$C$15+IF($C$13="single",1.5,3)+3)/12))</f>
        <v>0</v>
      </c>
      <c r="BK2124">
        <f>BJ2124-BA2124</f>
        <v>0</v>
      </c>
      <c r="BL2124" cm="1">
        <f t="array" ref="BL2124">IFERROR(IF(BK2124&lt;0,0,BK2124/($AU$2082-INDEX(hd_off,MATCH(BT2124,hd_mark,0),0)/12)),0)</f>
        <v>0</v>
      </c>
      <c r="BM2124">
        <f>MAX($F$24,$BE$2082)/$Q$2100</f>
        <v>0</v>
      </c>
      <c r="BN2124">
        <f t="shared" si="1319"/>
        <v>0</v>
      </c>
      <c r="BO2124" cm="1">
        <f t="array" ref="BO2124">IFERROR(INDEX(sheath_ecap_asd,MATCH(BS2124,sheath_mark,0),0)*BN2124,0)</f>
        <v>0</v>
      </c>
      <c r="BP2124" cm="1">
        <f t="array" ref="BP2124">IFERROR(INDEX(sheath_wcap_asd,MATCH(BS2124,sheath_mark,0),0)*BN2124,0)</f>
        <v>0</v>
      </c>
      <c r="BQ2124" cm="1">
        <f t="array" ref="BQ2124">IFERROR(INDEX(hd_cap,MATCH(BT2124,hd_mark,0),0),0)</f>
        <v>0</v>
      </c>
      <c r="BS2124" s="19"/>
      <c r="BT2124" s="19"/>
      <c r="BU2124" s="100"/>
    </row>
    <row r="2125" x14ac:dyDescent="0.25">
      <c r="P2125" s="93"/>
      <c r="Q2125" s="109"/>
      <c r="R2125" t="str">
        <f>$Q$2073</f>
        <v>Roof</v>
      </c>
      <c r="S2125">
        <f>$E$25</f>
        <v>33.171875</v>
      </c>
      <c r="T2125" cm="1">
        <f t="array" ref="T2125">IFERROR(IF(S2125=0,0,(INDEX($C$33:$C$38,MATCH($W$2082,$B$33:$B$38,0),0)*(S2125+$X$2082)+$V$2082*$C$31)*$R$2082),0)</f>
        <v>0</v>
      </c>
      <c r="U2125">
        <f>IF(S2125=0,0,-$V$2082*$C$31*$H$27*$R$2082)</f>
        <v>0</v>
      </c>
      <c r="V2125">
        <f>IF(S2125=0,0,$V$2082*$H$26*$R$2082)</f>
        <v>0</v>
      </c>
      <c r="W2125">
        <f>(0.6*T2125+0.7*U2125)*$R$2082/2</f>
        <v>0</v>
      </c>
      <c r="X2125">
        <f>T2125*$R$2082/2</f>
        <v>0</v>
      </c>
      <c r="Z2125">
        <f>IF(S2125=0,0,$AD$2082*$AP$2073)</f>
        <v>0</v>
      </c>
      <c r="AA2125">
        <f>IFERROR(Z2125/$R$2082,0)</f>
        <v>0</v>
      </c>
      <c r="AB2125">
        <f>Z2125*($F$25+($C$16+$C$17+IF($C$13="single",1.5,3)+3)/12)</f>
        <v>0</v>
      </c>
      <c r="AC2125">
        <f>AB2125-W2125</f>
        <v>0</v>
      </c>
      <c r="AD2125" cm="1">
        <f t="array" ref="AD2125">IFERROR(IF(AC2125&lt;0,0,AC2125/($R$2082-INDEX(hd_off,MATCH(AQ2125,hd_mark,0),0)/12)),0)</f>
        <v>0</v>
      </c>
      <c r="AE2125">
        <f>IF(S2125=0,0,$AD$2082*$AM$2073)</f>
        <v>0</v>
      </c>
      <c r="AF2125">
        <f>IFERROR(AE2125/$R$2082,0)</f>
        <v>0</v>
      </c>
      <c r="AG2125">
        <f>AE2125*($F$25+($C$16+$C$17+IF($C$13="single",1.5,3)+3)/12)</f>
        <v>0</v>
      </c>
      <c r="AH2125">
        <f>AG2125-X2125</f>
        <v>0</v>
      </c>
      <c r="AI2125" cm="1">
        <f t="array" ref="AI2125">IFERROR(IF(AH2125&lt;0,0,AH2125/($R$2082-INDEX(hd_off,MATCH(AQ2125,hd_mark,0),0)/12)),0)</f>
        <v>0</v>
      </c>
      <c r="AJ2125">
        <f>MAX($F$25,$AC$2082)/$Q$2100</f>
        <v>0.29920977011494249</v>
      </c>
      <c r="AK2125">
        <f t="shared" si="1318"/>
        <v>1</v>
      </c>
      <c r="AL2125" cm="1">
        <f t="array" ref="AL2125">IFERROR(INDEX(sheath_ecap_asd,MATCH(AP2125,sheath_mark,0),0)*AK2125,0)</f>
        <v>0</v>
      </c>
      <c r="AM2125" cm="1">
        <f t="array" ref="AM2125">IFERROR(INDEX(sheath_wcap_asd,MATCH(AP2125,sheath_mark,0),0)*AK2125,0)</f>
        <v>0</v>
      </c>
      <c r="AN2125" cm="1">
        <f t="array" ref="AN2125">IFERROR(INDEX(hd_cap,MATCH(AQ2125,hd_mark,0),0),0)</f>
        <v>0</v>
      </c>
      <c r="AP2125" s="19"/>
      <c r="AQ2125" s="19"/>
      <c r="AR2125" s="100"/>
      <c r="AS2125" s="93"/>
      <c r="AT2125" s="109"/>
      <c r="AU2125" t="str">
        <f>$Q$2073</f>
        <v>Roof</v>
      </c>
      <c r="AV2125">
        <f>$E$25</f>
        <v>33.171875</v>
      </c>
      <c r="AW2125" cm="1">
        <f t="array" ref="AW2125">IFERROR(IF(AV2125=0,0,(INDEX($C$33:$C$38,MATCH($AZ$2082,$B$33:$B$38,0),0)*(AV2125+$BA$2082)+$AY$2082*$C$31)*$AU$2082),0)</f>
        <v>0</v>
      </c>
      <c r="AX2125">
        <f>IF(AV2125=0,0,-$AY$2082*$C$31*$H$27*$AU$2082)</f>
        <v>0</v>
      </c>
      <c r="AY2125">
        <f>IF(AV2125=0,0,$AY$2082*$H$26*$AU$2082)</f>
        <v>0</v>
      </c>
      <c r="AZ2125">
        <f>(0.6*AW2125+0.7*AX2125)*$AU$2082/2</f>
        <v>0</v>
      </c>
      <c r="BA2125">
        <f>AW2125*$AU$2082/2</f>
        <v>0</v>
      </c>
      <c r="BC2125">
        <f>IF(AV2125=0,0,$BG$2082*$AP$2073)</f>
        <v>0</v>
      </c>
      <c r="BD2125">
        <f>IFERROR(BC2125/$AU$2082,0)</f>
        <v>0</v>
      </c>
      <c r="BE2125">
        <f>BC2125*($F$25+($C$16+$C$17+IF($C$13="single",1.5,3)+3)/12)</f>
        <v>0</v>
      </c>
      <c r="BF2125">
        <f>BE2125-AZ2125</f>
        <v>0</v>
      </c>
      <c r="BG2125" cm="1">
        <f t="array" ref="BG2125">IFERROR(IF(BF2125&lt;0,0,BF2125/($AU$2082-INDEX(hd_off,MATCH(BT2125,hd_mark,0),0)/12)),0)</f>
        <v>0</v>
      </c>
      <c r="BH2125">
        <f>IF(AV2125=0,0,$BG$2082*$AM$2073)</f>
        <v>0</v>
      </c>
      <c r="BI2125">
        <f>IFERROR(BH2125/$AU$2082,0)</f>
        <v>0</v>
      </c>
      <c r="BJ2125">
        <f>BH2125*($F$25+($C$16+$C$17+IF($C$13="single",1.5,3)+3)/12)</f>
        <v>0</v>
      </c>
      <c r="BK2125">
        <f>BJ2125-BA2125</f>
        <v>0</v>
      </c>
      <c r="BL2125" cm="1">
        <f t="array" ref="BL2125">IFERROR(IF(BK2125&lt;0,0,BK2125/($AU$2082-INDEX(hd_off,MATCH(BT2125,hd_mark,0),0)/12)),0)</f>
        <v>0</v>
      </c>
      <c r="BM2125">
        <f>MAX($F$25,$BF$2082)/$Q$2100</f>
        <v>0.29920977011494249</v>
      </c>
      <c r="BN2125">
        <f t="shared" si="1319"/>
        <v>1</v>
      </c>
      <c r="BO2125" cm="1">
        <f t="array" ref="BO2125">IFERROR(INDEX(sheath_ecap_asd,MATCH(BS2125,sheath_mark,0),0)*BN2125,0)</f>
        <v>0</v>
      </c>
      <c r="BP2125" cm="1">
        <f t="array" ref="BP2125">IFERROR(INDEX(sheath_wcap_asd,MATCH(BS2125,sheath_mark,0),0)*BN2125,0)</f>
        <v>0</v>
      </c>
      <c r="BQ2125" cm="1">
        <f t="array" ref="BQ2125">IFERROR(INDEX(hd_cap,MATCH(BT2125,hd_mark,0),0),0)</f>
        <v>0</v>
      </c>
      <c r="BS2125" s="19"/>
      <c r="BT2125" s="19"/>
      <c r="BU2125" s="100"/>
    </row>
    <row r="2126" x14ac:dyDescent="0.25">
      <c r="P2126" s="93"/>
      <c r="AR2126" s="100"/>
      <c r="AS2126" s="93"/>
      <c r="BU2126" s="100"/>
    </row>
    <row r="2127" x14ac:dyDescent="0.25">
      <c r="P2127" s="93"/>
      <c r="Q2127" s="110" t="str">
        <f>$Q$2083</f>
        <v>A.06</v>
      </c>
      <c r="R2127" t="str">
        <f>$Q$2069</f>
        <v>L2</v>
      </c>
      <c r="S2127">
        <f>$E$21</f>
        <v>10.6875</v>
      </c>
      <c r="T2127" cm="1">
        <f t="array" ref="T2127">IFERROR(IF(S2127=0,0,(INDEX($C$33:$C$38,MATCH($W$2083,$B$33:$B$38,0),0)*(S2131+$X$2083)+$T$2083*COUNTIF(S2127:S2130,"&gt;0")*$C$32+$V$2083*$C$31)*$R$2083),0)</f>
        <v>0</v>
      </c>
      <c r="U2127">
        <f>IF(S2127=0,0,-(COUNTIF(S2127:S2130,"&gt;0")*$T$2083*$C$32+$V$2083*$C$31)*$H$27*$R$2083)</f>
        <v>0</v>
      </c>
      <c r="V2127">
        <f>IF(S2127=0,0,$V$2083*$H$26*$R$2083)</f>
        <v>0</v>
      </c>
      <c r="W2127">
        <f>(0.6*T2127+0.7*U2127)*$R$2083/2</f>
        <v>0</v>
      </c>
      <c r="X2127">
        <f>(0.6*T2127+0.6*V2127)*$R$2083/2</f>
        <v>0</v>
      </c>
      <c r="Z2127">
        <f>IF(S2127=0,0,$AD$2083*$AP$2069)</f>
        <v>0</v>
      </c>
      <c r="AA2127">
        <f>IFERROR(Z2127/$R$2083,0)</f>
        <v>0</v>
      </c>
      <c r="AB2127">
        <f>Z2127*($F$21+IF($F$21=0,0,($C$14+$C$15+IF($C$13="single",1.5,3)+3)/12))</f>
        <v>0</v>
      </c>
      <c r="AC2127">
        <f>AB2127-W2127</f>
        <v>0</v>
      </c>
      <c r="AD2127" cm="1">
        <f t="array" ref="AD2127">IFERROR(IF(AC2127&lt;0,0,AC2127/($R$2083-INDEX(hd_off,MATCH(AQ2127,hd_mark,0),0)/12)),0)</f>
        <v>0</v>
      </c>
      <c r="AE2127">
        <f>IF(S2127=0,0,$AD$2083*$AM$2069)</f>
        <v>0</v>
      </c>
      <c r="AF2127">
        <f>IFERROR(AE2127/$R$2083,0)</f>
        <v>0</v>
      </c>
      <c r="AG2127">
        <f>AE2127*($F$21+IF($F$21=0,0,($C$14+$C$15+IF($C$13="single",1.5,3)+3)/12))</f>
        <v>0</v>
      </c>
      <c r="AH2127">
        <f>AG2127-X2127</f>
        <v>0</v>
      </c>
      <c r="AI2127" cm="1">
        <f t="array" ref="AI2127">IFERROR(IF(AH2127&lt;0,0,AH2127/($R$2083-INDEX(hd_off,MATCH(AQ2127,hd_mark,0),0)/12)),0)</f>
        <v>0</v>
      </c>
      <c r="AJ2127">
        <f>MAX($F$21,$Y$2083)/$Q$2100</f>
        <v>0.30172413793103448</v>
      </c>
      <c r="AK2127">
        <f>IF(AJ2127=0,0,IF(AJ2127&gt;2,1.25-0.125*AJ2127,1))</f>
        <v>1</v>
      </c>
      <c r="AL2127" cm="1">
        <f t="array" ref="AL2127">IFERROR(INDEX(sheath_ecap_asd,MATCH(AP2127,sheath_mark,0),0)*AK2127,0)</f>
        <v>0</v>
      </c>
      <c r="AM2127" cm="1">
        <f t="array" ref="AM2127">IFERROR(INDEX(sheath_wcap_asd,MATCH(AP2127,sheath_mark,0),0)*AK2127,0)</f>
        <v>0</v>
      </c>
      <c r="AN2127" cm="1">
        <f t="array" ref="AN2127">IFERROR(INDEX(hd_cap,MATCH(AQ2127,hd_mark,0),0),0)</f>
        <v>0</v>
      </c>
      <c r="AP2127" s="19"/>
      <c r="AQ2127" s="19"/>
      <c r="AR2127" s="100"/>
      <c r="AS2127" s="93"/>
      <c r="AT2127" s="110" t="str">
        <f>$AT$2083</f>
        <v>1.06</v>
      </c>
      <c r="AU2127" t="str">
        <f>$Q$2069</f>
        <v>L2</v>
      </c>
      <c r="AV2127">
        <f>$E$21</f>
        <v>10.6875</v>
      </c>
      <c r="AW2127" cm="1">
        <f t="array" ref="AW2127">IFERROR(IF(AV2127=0,0,(INDEX($C$33:$C$38,MATCH($AZ$2083,$B$33:$B$38,0),0)*(AV2131+$BA$2083)+$AW$2083*COUNTIF(AV2127:AV2130,"&gt;0")*$C$32+$AY$2083*$C$31)*$AU$2083),0)</f>
        <v>0</v>
      </c>
      <c r="AX2127">
        <f>IF(AV2127=0,0,-(COUNTIF(AV2127:AV2130,"&gt;0")*$AW$2083*$C$32+$AY$2083*$C$31)*$H$27*$AU$2083)</f>
        <v>0</v>
      </c>
      <c r="AY2127">
        <f>IF(AV2127=0,0,$AY$2083*$H$26*$AU$2083)</f>
        <v>0</v>
      </c>
      <c r="AZ2127">
        <f>(0.6*AW2127+0.7*AX2127)*$AU$2083/2</f>
        <v>0</v>
      </c>
      <c r="BA2127">
        <f>(0.6*AW2127+0.6*AY2127)*$AU$2083/2</f>
        <v>0</v>
      </c>
      <c r="BC2127">
        <f>IF(AV2127=0,0,$BG$2083*$AP$2069)</f>
        <v>0</v>
      </c>
      <c r="BD2127">
        <f>IFERROR(BC2127/$AU$2083,0)</f>
        <v>0</v>
      </c>
      <c r="BE2127">
        <f>BC2127*($F$21+IF($F$21=0,0,($C$14+$C$15+IF($C$13="single",1.5,3)+3)/12))</f>
        <v>0</v>
      </c>
      <c r="BF2127">
        <f>BE2127-AZ2127</f>
        <v>0</v>
      </c>
      <c r="BG2127" cm="1">
        <f t="array" ref="BG2127">IFERROR(IF(BF2127&lt;0,0,BF2127/($AU$2083-INDEX(hd_off,MATCH(BT2127,hd_mark,0),0)/12)),0)</f>
        <v>0</v>
      </c>
      <c r="BH2127">
        <f>IF(AV2127=0,0,$BG$2083*$AM$2069)</f>
        <v>0</v>
      </c>
      <c r="BI2127">
        <f>IFERROR(BH2127/$AU$2083,0)</f>
        <v>0</v>
      </c>
      <c r="BJ2127">
        <f>BH2127*($F$21+IF($F$21=0,0,($C$14+$C$15+IF($C$13="single",1.5,3)+3)/12))</f>
        <v>0</v>
      </c>
      <c r="BK2127">
        <f>BJ2127-BA2127</f>
        <v>0</v>
      </c>
      <c r="BL2127" cm="1">
        <f t="array" ref="BL2127">IFERROR(IF(BK2127&lt;0,0,BK2127/($AU$2083-INDEX(hd_off,MATCH(BT2127,hd_mark,0),0)/12)),0)</f>
        <v>0</v>
      </c>
      <c r="BM2127">
        <f>MAX($F$21,$BB$2083)/$Q$2100</f>
        <v>0.30172413793103448</v>
      </c>
      <c r="BN2127">
        <f>IF(BM2127=0,0,IF(BM2127&gt;2,1.25-0.125*BM2127,1))</f>
        <v>1</v>
      </c>
      <c r="BO2127" cm="1">
        <f t="array" ref="BO2127">IFERROR(INDEX(sheath_ecap_asd,MATCH(BS2127,sheath_mark,0),0)*BN2127,0)</f>
        <v>0</v>
      </c>
      <c r="BP2127" cm="1">
        <f t="array" ref="BP2127">IFERROR(INDEX(sheath_wcap_asd,MATCH(BS2127,sheath_mark,0),0)*BN2127,0)</f>
        <v>0</v>
      </c>
      <c r="BQ2127" cm="1">
        <f t="array" ref="BQ2127">IFERROR(INDEX(hd_cap,MATCH(BT2127,hd_mark,0),0),0)</f>
        <v>0</v>
      </c>
      <c r="BS2127" s="19"/>
      <c r="BT2127" s="19"/>
      <c r="BU2127" s="100"/>
    </row>
    <row r="2128" x14ac:dyDescent="0.25">
      <c r="P2128" s="93"/>
      <c r="Q2128" s="109"/>
      <c r="R2128" t="str">
        <f>$Q$2070</f>
        <v>L3</v>
      </c>
      <c r="S2128">
        <f>$E$22</f>
        <v>21.375</v>
      </c>
      <c r="T2128" cm="1">
        <f t="array" ref="T2128">IFERROR(IF(S2128=0,0,(INDEX($C$33:$C$38,MATCH($W$2083,$B$33:$B$38,0),0)*(S2131+$X$2083)+$T$2083*COUNTIF(S2128:S2130,"&gt;0")*$C$32+$V$2083*$C$31)*$R$2083),0)</f>
        <v>0</v>
      </c>
      <c r="U2128">
        <f>IF(S2128=0,0,-(COUNTIF(S2128:S2130,"&gt;0")*$T$2083*$C$32+$V$2083*$C$31)*$H$27*$R$2083)</f>
        <v>0</v>
      </c>
      <c r="V2128">
        <f>IF(S2128=0,0,$V$2083*$H$26*$R$2083)</f>
        <v>0</v>
      </c>
      <c r="W2128">
        <f>(0.6*T2128+0.7*U2128)*$R$2083/2</f>
        <v>0</v>
      </c>
      <c r="X2128">
        <f>T2128*$R$2083/2</f>
        <v>0</v>
      </c>
      <c r="Z2128">
        <f>IF(S2128=0,0,$AD$2083*$AP$2070)</f>
        <v>0</v>
      </c>
      <c r="AA2128">
        <f>IFERROR(Z2128/$R$2083,0)</f>
        <v>0</v>
      </c>
      <c r="AB2128">
        <f>Z2128*($F$22+IF($F$22=0,0,($C$14+$C$15+IF($C$13="single",1.5,3)+3)/12))</f>
        <v>0</v>
      </c>
      <c r="AC2128">
        <f>AB2128-W2128</f>
        <v>0</v>
      </c>
      <c r="AD2128" cm="1">
        <f t="array" ref="AD2128">IFERROR(IF(AC2128&lt;0,0,AC2128/($R$2083-INDEX(hd_off,MATCH(AQ2128,hd_mark,0),0)/12)),0)</f>
        <v>0</v>
      </c>
      <c r="AE2128">
        <f>IF(S2128=0,0,$AD$2083*$AM$2070)</f>
        <v>0</v>
      </c>
      <c r="AF2128">
        <f>IFERROR(AE2128/$R$2083,0)</f>
        <v>0</v>
      </c>
      <c r="AG2128">
        <f>AE2128*($F$22+IF($F$22=0,0,($C$14+$C$15+IF($C$13="single",1.5,3)+3)/12))</f>
        <v>0</v>
      </c>
      <c r="AH2128">
        <f>AG2128-X2128</f>
        <v>0</v>
      </c>
      <c r="AI2128" cm="1">
        <f t="array" ref="AI2128">IFERROR(IF(AH2128&lt;0,0,AH2128/($R$2083-INDEX(hd_off,MATCH(AQ2128,hd_mark,0),0)/12)),0)</f>
        <v>0</v>
      </c>
      <c r="AJ2128">
        <f>MAX($F$22,$Z$2083)/$Q$2100</f>
        <v>0.30172413793103448</v>
      </c>
      <c r="AK2128">
        <f t="shared" ref="AK2128:AK2131" si="1320">IF(AJ2128=0,0,IF(AJ2128&gt;2,1.25-0.125*AJ2128,1))</f>
        <v>1</v>
      </c>
      <c r="AL2128" cm="1">
        <f t="array" ref="AL2128">IFERROR(INDEX(sheath_ecap_asd,MATCH(AP2128,sheath_mark,0),0)*AK2128,0)</f>
        <v>0</v>
      </c>
      <c r="AM2128" cm="1">
        <f t="array" ref="AM2128">IFERROR(INDEX(sheath_wcap_asd,MATCH(AP2128,sheath_mark,0),0)*AK2128,0)</f>
        <v>0</v>
      </c>
      <c r="AN2128" cm="1">
        <f t="array" ref="AN2128">IFERROR(INDEX(hd_cap,MATCH(AQ2128,hd_mark,0),0),0)</f>
        <v>0</v>
      </c>
      <c r="AP2128" s="19"/>
      <c r="AQ2128" s="19"/>
      <c r="AR2128" s="100"/>
      <c r="AS2128" s="93"/>
      <c r="AT2128" s="109"/>
      <c r="AU2128" t="str">
        <f>$Q$2070</f>
        <v>L3</v>
      </c>
      <c r="AV2128">
        <f>$E$22</f>
        <v>21.375</v>
      </c>
      <c r="AW2128" cm="1">
        <f t="array" ref="AW2128">IFERROR(IF(AV2128=0,0,(INDEX($C$33:$C$38,MATCH($AZ$2083,$B$33:$B$38,0),0)*(AV2131+$BA$2083)+$AW$2083*COUNTIF(AV2128:AV2130,"&gt;0")*$C$32+$AY$2083*$C$31)*$AU$2083),0)</f>
        <v>0</v>
      </c>
      <c r="AX2128">
        <f>IF(AV2128=0,0,-(COUNTIF(AV2128:AV2130,"&gt;0")*$AW$2083*$C$32+$AY$2083*$C$31)*$H$27*$AU$2083)</f>
        <v>0</v>
      </c>
      <c r="AY2128">
        <f>IF(AV2128=0,0,$AY$2083*$H$26*$AU$2083)</f>
        <v>0</v>
      </c>
      <c r="AZ2128">
        <f>(0.6*AW2128+0.7*AX2128)*$AU$2083/2</f>
        <v>0</v>
      </c>
      <c r="BA2128">
        <f>AW2128*$AU$2083/2</f>
        <v>0</v>
      </c>
      <c r="BC2128">
        <f>IF(AV2128=0,0,$BG$2083*$AP$2070)</f>
        <v>0</v>
      </c>
      <c r="BD2128">
        <f>IFERROR(BC2128/$AU$2083,0)</f>
        <v>0</v>
      </c>
      <c r="BE2128">
        <f>BC2128*($F$22+IF($F$22=0,0,($C$14+$C$15+IF($C$13="single",1.5,3)+3)/12))</f>
        <v>0</v>
      </c>
      <c r="BF2128">
        <f>BE2128-AZ2128</f>
        <v>0</v>
      </c>
      <c r="BG2128" cm="1">
        <f t="array" ref="BG2128">IFERROR(IF(BF2128&lt;0,0,BF2128/($AU$2083-INDEX(hd_off,MATCH(BT2128,hd_mark,0),0)/12)),0)</f>
        <v>0</v>
      </c>
      <c r="BH2128">
        <f>IF(AV2128=0,0,$BG$2083*$AM$2070)</f>
        <v>0</v>
      </c>
      <c r="BI2128">
        <f>IFERROR(BH2128/$AU$2083,0)</f>
        <v>0</v>
      </c>
      <c r="BJ2128">
        <f>BH2128*($F$22+IF($F$22=0,0,($C$14+$C$15+IF($C$13="single",1.5,3)+3)/12))</f>
        <v>0</v>
      </c>
      <c r="BK2128">
        <f>BJ2128-BA2128</f>
        <v>0</v>
      </c>
      <c r="BL2128" cm="1">
        <f t="array" ref="BL2128">IFERROR(IF(BK2128&lt;0,0,BK2128/($AU$2083-INDEX(hd_off,MATCH(BT2128,hd_mark,0),0)/12)),0)</f>
        <v>0</v>
      </c>
      <c r="BM2128">
        <f>MAX($F$22,$BC$2083)/$Q$2100</f>
        <v>0.30172413793103448</v>
      </c>
      <c r="BN2128">
        <f t="shared" ref="BN2128:BN2131" si="1321">IF(BM2128=0,0,IF(BM2128&gt;2,1.25-0.125*BM2128,1))</f>
        <v>1</v>
      </c>
      <c r="BO2128" cm="1">
        <f t="array" ref="BO2128">IFERROR(INDEX(sheath_ecap_asd,MATCH(BS2128,sheath_mark,0),0)*BN2128,0)</f>
        <v>0</v>
      </c>
      <c r="BP2128" cm="1">
        <f t="array" ref="BP2128">IFERROR(INDEX(sheath_wcap_asd,MATCH(BS2128,sheath_mark,0),0)*BN2128,0)</f>
        <v>0</v>
      </c>
      <c r="BQ2128" cm="1">
        <f t="array" ref="BQ2128">IFERROR(INDEX(hd_cap,MATCH(BT2128,hd_mark,0),0),0)</f>
        <v>0</v>
      </c>
      <c r="BS2128" s="19"/>
      <c r="BT2128" s="19"/>
      <c r="BU2128" s="100"/>
    </row>
    <row r="2129" x14ac:dyDescent="0.25">
      <c r="P2129" s="93"/>
      <c r="Q2129" s="109" t="s">
        <v>491</v>
      </c>
      <c r="R2129" t="str">
        <f>$Q$2071</f>
        <v>L4</v>
      </c>
      <c r="S2129">
        <f>$E$23</f>
        <v>0</v>
      </c>
      <c r="T2129" cm="1">
        <f t="array" ref="T2129">IFERROR(IF(S2129=0,0,(INDEX($C$33:$C$38,MATCH($W$2083,$B$33:$B$38,0),0)*(S2131+$X$2083)+$T$2083*COUNTIF(S2129:S2130,"&gt;0")*$C$32+$V$2083*$C$31)*$R$2083),0)</f>
        <v>0</v>
      </c>
      <c r="U2129">
        <f>IF(S2129=0,0,-(COUNTIF(S2129:S2130,"&gt;0")*$T$2083*$C$32+$V$2083*$C$31)*$H$27*$R$2083)</f>
        <v>0</v>
      </c>
      <c r="V2129">
        <f>IF(S2129=0,0,$V$2083*$H$26*$R$2083)</f>
        <v>0</v>
      </c>
      <c r="W2129">
        <f>(0.6*T2129+0.7*U2129)*$R$2083/2</f>
        <v>0</v>
      </c>
      <c r="X2129">
        <f>T2129*$R$2083/2</f>
        <v>0</v>
      </c>
      <c r="Z2129">
        <f>IF(S2129=0,0,$AD$2083*$AP$2071)</f>
        <v>0</v>
      </c>
      <c r="AA2129">
        <f>IFERROR(Z2129/$R$2083,0)</f>
        <v>0</v>
      </c>
      <c r="AB2129">
        <f>Z2129*($F$23+IF($F$23=0,0,($C$14+$C$15+IF($C$13="single",1.5,3)+3)/12))</f>
        <v>0</v>
      </c>
      <c r="AC2129">
        <f>AB2129-W2129</f>
        <v>0</v>
      </c>
      <c r="AD2129" cm="1">
        <f t="array" ref="AD2129">IFERROR(IF(AC2129&lt;0,0,AC2129/($R$2083-INDEX(hd_off,MATCH(AQ2129,hd_mark,0),0)/12)),0)</f>
        <v>0</v>
      </c>
      <c r="AE2129">
        <f>IF(S2129=0,0,$AD$2083*$AM$2071)</f>
        <v>0</v>
      </c>
      <c r="AF2129">
        <f>IFERROR(AE2129/$R$2083,0)</f>
        <v>0</v>
      </c>
      <c r="AG2129">
        <f>AE2129*($F$23+IF($F$23=0,0,($C$14+$C$15+IF($C$13="single",1.5,3)+3)/12))</f>
        <v>0</v>
      </c>
      <c r="AH2129">
        <f>AG2129-X2129</f>
        <v>0</v>
      </c>
      <c r="AI2129" cm="1">
        <f t="array" ref="AI2129">IFERROR(IF(AH2129&lt;0,0,AH2129/($R$2083-INDEX(hd_off,MATCH(AQ2129,hd_mark,0),0)/12)),0)</f>
        <v>0</v>
      </c>
      <c r="AJ2129">
        <f>MAX($F$23,$AA$2083)/$Q$2100</f>
        <v>0</v>
      </c>
      <c r="AK2129">
        <f t="shared" si="1320"/>
        <v>0</v>
      </c>
      <c r="AL2129" cm="1">
        <f t="array" ref="AL2129">IFERROR(INDEX(sheath_ecap_asd,MATCH(AP2129,sheath_mark,0),0)*AK2129,0)</f>
        <v>0</v>
      </c>
      <c r="AM2129" cm="1">
        <f t="array" ref="AM2129">IFERROR(INDEX(sheath_wcap_asd,MATCH(AP2129,sheath_mark,0),0)*AK2129,0)</f>
        <v>0</v>
      </c>
      <c r="AN2129" cm="1">
        <f t="array" ref="AN2129">IFERROR(INDEX(hd_cap,MATCH(AQ2129,hd_mark,0),0),0)</f>
        <v>0</v>
      </c>
      <c r="AP2129" s="19"/>
      <c r="AQ2129" s="19"/>
      <c r="AR2129" s="100"/>
      <c r="AS2129" s="93"/>
      <c r="AT2129" s="109" t="s">
        <v>491</v>
      </c>
      <c r="AU2129" t="str">
        <f>$Q$2071</f>
        <v>L4</v>
      </c>
      <c r="AV2129">
        <f>$E$23</f>
        <v>0</v>
      </c>
      <c r="AW2129" cm="1">
        <f t="array" ref="AW2129">IFERROR(IF(AV2129=0,0,(INDEX($C$33:$C$38,MATCH($AZ$2083,$B$33:$B$38,0),0)*(AV2131+$BA$2083)+$AW$2083*COUNTIF(AV2129:AV2130,"&gt;0")*$C$32+$AY$2083*$C$31)*$AU$2083),0)</f>
        <v>0</v>
      </c>
      <c r="AX2129">
        <f>IF(AV2129=0,0,-(COUNTIF(AV2129:AV2130,"&gt;0")*$AW$2083*$C$32+$AY$2083*$C$31)*$H$27*$AU$2083)</f>
        <v>0</v>
      </c>
      <c r="AY2129">
        <f>IF(AV2129=0,0,$AY$2083*$H$26*$AU$2083)</f>
        <v>0</v>
      </c>
      <c r="AZ2129">
        <f>(0.6*AW2129+0.7*AX2129)*$AU$2083/2</f>
        <v>0</v>
      </c>
      <c r="BA2129">
        <f>AW2129*$AU$2083/2</f>
        <v>0</v>
      </c>
      <c r="BC2129">
        <f>IF(AV2129=0,0,$BG$2083*$AP$2071)</f>
        <v>0</v>
      </c>
      <c r="BD2129">
        <f>IFERROR(BC2129/$AU$2083,0)</f>
        <v>0</v>
      </c>
      <c r="BE2129">
        <f>BC2129*($F$23+IF($F$23=0,0,($C$14+$C$15+IF($C$13="single",1.5,3)+3)/12))</f>
        <v>0</v>
      </c>
      <c r="BF2129">
        <f>BE2129-AZ2129</f>
        <v>0</v>
      </c>
      <c r="BG2129" cm="1">
        <f t="array" ref="BG2129">IFERROR(IF(BF2129&lt;0,0,BF2129/($AU$2083-INDEX(hd_off,MATCH(BT2129,hd_mark,0),0)/12)),0)</f>
        <v>0</v>
      </c>
      <c r="BH2129">
        <f>IF(AV2129=0,0,$BG$2083*$AM$2071)</f>
        <v>0</v>
      </c>
      <c r="BI2129">
        <f>IFERROR(BH2129/$AU$2083,0)</f>
        <v>0</v>
      </c>
      <c r="BJ2129">
        <f>BH2129*($F$23+IF($F$23=0,0,($C$14+$C$15+IF($C$13="single",1.5,3)+3)/12))</f>
        <v>0</v>
      </c>
      <c r="BK2129">
        <f>BJ2129-BA2129</f>
        <v>0</v>
      </c>
      <c r="BL2129" cm="1">
        <f t="array" ref="BL2129">IFERROR(IF(BK2129&lt;0,0,BK2129/($AU$2083-INDEX(hd_off,MATCH(BT2129,hd_mark,0),0)/12)),0)</f>
        <v>0</v>
      </c>
      <c r="BM2129">
        <f>MAX($F$23,$BD$2083)/$Q$2100</f>
        <v>0</v>
      </c>
      <c r="BN2129">
        <f t="shared" si="1321"/>
        <v>0</v>
      </c>
      <c r="BO2129" cm="1">
        <f t="array" ref="BO2129">IFERROR(INDEX(sheath_ecap_asd,MATCH(BS2129,sheath_mark,0),0)*BN2129,0)</f>
        <v>0</v>
      </c>
      <c r="BP2129" cm="1">
        <f t="array" ref="BP2129">IFERROR(INDEX(sheath_wcap_asd,MATCH(BS2129,sheath_mark,0),0)*BN2129,0)</f>
        <v>0</v>
      </c>
      <c r="BQ2129" cm="1">
        <f t="array" ref="BQ2129">IFERROR(INDEX(hd_cap,MATCH(BT2129,hd_mark,0),0),0)</f>
        <v>0</v>
      </c>
      <c r="BS2129" s="19"/>
      <c r="BT2129" s="19"/>
      <c r="BU2129" s="100"/>
    </row>
    <row r="2130" x14ac:dyDescent="0.25">
      <c r="P2130" s="93"/>
      <c r="Q2130" s="111">
        <f>$R$2083</f>
        <v>0</v>
      </c>
      <c r="R2130" t="str">
        <f>$Q$2072</f>
        <v>L5</v>
      </c>
      <c r="S2130">
        <f>$E$24</f>
        <v>0</v>
      </c>
      <c r="T2130" cm="1">
        <f t="array" ref="T2130">IFERROR(IF(S2130=0,0,(INDEX($C$33:$C$38,MATCH($W$2083,$B$33:$B$38,0),0)*(S2131+$X$2083)+$T$2083*COUNTIF(S2130:S2130,"&gt;0")*$C$32+$V$2083*$C$31)*$R$2083),0)</f>
        <v>0</v>
      </c>
      <c r="U2130">
        <f>IF(S2130=0,0,-(COUNTIF(S2130:S2130,"&gt;0")*$T$2083*$C$32+$V$2083*$C$31)*$H$27*$R$2083)</f>
        <v>0</v>
      </c>
      <c r="V2130">
        <f>IF(S2130=0,0,$V$2083*$H$26*$R$2083)</f>
        <v>0</v>
      </c>
      <c r="W2130">
        <f>(0.6*T2130+0.7*U2130)*$R$2083/2</f>
        <v>0</v>
      </c>
      <c r="X2130">
        <f>T2130*$R$2083/2</f>
        <v>0</v>
      </c>
      <c r="Z2130">
        <f>IF(S2130=0,0,$AD$2083*$AP$2072)</f>
        <v>0</v>
      </c>
      <c r="AA2130">
        <f>IFERROR(Z2130/$R$2083,0)</f>
        <v>0</v>
      </c>
      <c r="AB2130">
        <f>Z2130*($F$24+IF($F$24=0,0,($C$14+$C$15+IF($C$13="single",1.5,3)+3)/12))</f>
        <v>0</v>
      </c>
      <c r="AC2130">
        <f>AB2130-W2130</f>
        <v>0</v>
      </c>
      <c r="AD2130" cm="1">
        <f t="array" ref="AD2130">IFERROR(IF(AC2130&lt;0,0,AC2130/($R$2083-INDEX(hd_off,MATCH(AQ2130,hd_mark,0),0)/12)),0)</f>
        <v>0</v>
      </c>
      <c r="AE2130">
        <f>IF(S2130=0,0,$AD$2083*$AM$2072)</f>
        <v>0</v>
      </c>
      <c r="AF2130">
        <f>IFERROR(AE2130/$R$2083,0)</f>
        <v>0</v>
      </c>
      <c r="AG2130">
        <f>AE2130*($F$24+IF($F$24=0,0,($C$14+$C$15+IF($C$13="single",1.5,3)+3)/12))</f>
        <v>0</v>
      </c>
      <c r="AH2130">
        <f>AG2130-X2130</f>
        <v>0</v>
      </c>
      <c r="AI2130" cm="1">
        <f t="array" ref="AI2130">IFERROR(IF(AH2130&lt;0,0,AH2130/($R$2083-INDEX(hd_off,MATCH(AQ2130,hd_mark,0),0)/12)),0)</f>
        <v>0</v>
      </c>
      <c r="AJ2130">
        <f>MAX($F$24,$AB$2083)/$Q$2100</f>
        <v>0</v>
      </c>
      <c r="AK2130">
        <f t="shared" si="1320"/>
        <v>0</v>
      </c>
      <c r="AL2130" cm="1">
        <f t="array" ref="AL2130">IFERROR(INDEX(sheath_ecap_asd,MATCH(AP2130,sheath_mark,0),0)*AK2130,0)</f>
        <v>0</v>
      </c>
      <c r="AM2130" cm="1">
        <f t="array" ref="AM2130">IFERROR(INDEX(sheath_wcap_asd,MATCH(AP2130,sheath_mark,0),0)*AK2130,0)</f>
        <v>0</v>
      </c>
      <c r="AN2130" cm="1">
        <f t="array" ref="AN2130">IFERROR(INDEX(hd_cap,MATCH(AQ2130,hd_mark,0),0),0)</f>
        <v>0</v>
      </c>
      <c r="AP2130" s="19"/>
      <c r="AQ2130" s="19"/>
      <c r="AR2130" s="100"/>
      <c r="AS2130" s="93"/>
      <c r="AT2130" s="111">
        <f>$R$2083</f>
        <v>0</v>
      </c>
      <c r="AU2130" t="str">
        <f>$Q$2072</f>
        <v>L5</v>
      </c>
      <c r="AV2130">
        <f>$E$24</f>
        <v>0</v>
      </c>
      <c r="AW2130" cm="1">
        <f t="array" ref="AW2130">IFERROR(IF(AV2130=0,0,(INDEX($C$33:$C$38,MATCH($AZ$2083,$B$33:$B$38,0),0)*(AV2131+$BA$2083)+$AW$2083*COUNTIF(AV2130:AV2130,"&gt;0")*$C$32+$AY$2083*$C$31)*$AU$2083),0)</f>
        <v>0</v>
      </c>
      <c r="AX2130">
        <f>IF(AV2130=0,0,-(COUNTIF(AV2130:AV2130,"&gt;0")*$AW$2083*$C$32+$AY$2083*$C$31)*$H$27*$AU$2083)</f>
        <v>0</v>
      </c>
      <c r="AY2130">
        <f>IF(AV2130=0,0,$AY$2083*$H$26*$AU$2083)</f>
        <v>0</v>
      </c>
      <c r="AZ2130">
        <f>(0.6*AW2130+0.7*AX2130)*$AU$2083/2</f>
        <v>0</v>
      </c>
      <c r="BA2130">
        <f>AW2130*$AU$2083/2</f>
        <v>0</v>
      </c>
      <c r="BC2130">
        <f>IF(AV2130=0,0,$BG$2083*$AP$2072)</f>
        <v>0</v>
      </c>
      <c r="BD2130">
        <f>IFERROR(BC2130/$AU$2083,0)</f>
        <v>0</v>
      </c>
      <c r="BE2130">
        <f>BC2130*($F$24+IF($F$24=0,0,($C$14+$C$15+IF($C$13="single",1.5,3)+3)/12))</f>
        <v>0</v>
      </c>
      <c r="BF2130">
        <f>BE2130-AZ2130</f>
        <v>0</v>
      </c>
      <c r="BG2130" cm="1">
        <f t="array" ref="BG2130">IFERROR(IF(BF2130&lt;0,0,BF2130/($AU$2083-INDEX(hd_off,MATCH(BT2130,hd_mark,0),0)/12)),0)</f>
        <v>0</v>
      </c>
      <c r="BH2130">
        <f>IF(AV2130=0,0,$BG$2083*$AM$2072)</f>
        <v>0</v>
      </c>
      <c r="BI2130">
        <f>IFERROR(BH2130/$AU$2083,0)</f>
        <v>0</v>
      </c>
      <c r="BJ2130">
        <f>BH2130*($F$24+IF($F$24=0,0,($C$14+$C$15+IF($C$13="single",1.5,3)+3)/12))</f>
        <v>0</v>
      </c>
      <c r="BK2130">
        <f>BJ2130-BA2130</f>
        <v>0</v>
      </c>
      <c r="BL2130" cm="1">
        <f t="array" ref="BL2130">IFERROR(IF(BK2130&lt;0,0,BK2130/($AU$2083-INDEX(hd_off,MATCH(BT2130,hd_mark,0),0)/12)),0)</f>
        <v>0</v>
      </c>
      <c r="BM2130">
        <f>MAX($F$24,$BE$2083)/$Q$2100</f>
        <v>0</v>
      </c>
      <c r="BN2130">
        <f t="shared" si="1321"/>
        <v>0</v>
      </c>
      <c r="BO2130" cm="1">
        <f t="array" ref="BO2130">IFERROR(INDEX(sheath_ecap_asd,MATCH(BS2130,sheath_mark,0),0)*BN2130,0)</f>
        <v>0</v>
      </c>
      <c r="BP2130" cm="1">
        <f t="array" ref="BP2130">IFERROR(INDEX(sheath_wcap_asd,MATCH(BS2130,sheath_mark,0),0)*BN2130,0)</f>
        <v>0</v>
      </c>
      <c r="BQ2130" cm="1">
        <f t="array" ref="BQ2130">IFERROR(INDEX(hd_cap,MATCH(BT2130,hd_mark,0),0),0)</f>
        <v>0</v>
      </c>
      <c r="BS2130" s="19"/>
      <c r="BT2130" s="19"/>
      <c r="BU2130" s="100"/>
    </row>
    <row r="2131" x14ac:dyDescent="0.25">
      <c r="P2131" s="93"/>
      <c r="Q2131" s="109"/>
      <c r="R2131" t="str">
        <f>$Q$2073</f>
        <v>Roof</v>
      </c>
      <c r="S2131">
        <f>$E$25</f>
        <v>33.171875</v>
      </c>
      <c r="T2131" cm="1">
        <f t="array" ref="T2131">IFERROR(IF(S2131=0,0,(INDEX($C$33:$C$38,MATCH($W$2083,$B$33:$B$38,0),0)*(S2131+$X$2083)+$V$2083*$C$31)*$R$2083),0)</f>
        <v>0</v>
      </c>
      <c r="U2131">
        <f>IF(S2131=0,0,-$V$2083*$C$31*$H$27*$R$2083)</f>
        <v>0</v>
      </c>
      <c r="V2131">
        <f>IF(S2131=0,0,$V$2083*$H$26*$R$2083)</f>
        <v>0</v>
      </c>
      <c r="W2131">
        <f>(0.6*T2131+0.7*U2131)*$R$2083/2</f>
        <v>0</v>
      </c>
      <c r="X2131">
        <f>T2131*$R$2083/2</f>
        <v>0</v>
      </c>
      <c r="Z2131">
        <f>IF(S2131=0,0,$AD$2083*$AP$2073)</f>
        <v>0</v>
      </c>
      <c r="AA2131">
        <f>IFERROR(Z2131/$R$2083,0)</f>
        <v>0</v>
      </c>
      <c r="AB2131">
        <f>Z2131*($F$25+($C$16+$C$17+IF($C$13="single",1.5,3)+3)/12)</f>
        <v>0</v>
      </c>
      <c r="AC2131">
        <f>AB2131-W2131</f>
        <v>0</v>
      </c>
      <c r="AD2131" cm="1">
        <f t="array" ref="AD2131">IFERROR(IF(AC2131&lt;0,0,AC2131/($R$2083-INDEX(hd_off,MATCH(AQ2131,hd_mark,0),0)/12)),0)</f>
        <v>0</v>
      </c>
      <c r="AE2131">
        <f>IF(S2131=0,0,$AD$2083*$AM$2073)</f>
        <v>0</v>
      </c>
      <c r="AF2131">
        <f>IFERROR(AE2131/$R$2083,0)</f>
        <v>0</v>
      </c>
      <c r="AG2131">
        <f>AE2131*($F$25+($C$16+$C$17+IF($C$13="single",1.5,3)+3)/12)</f>
        <v>0</v>
      </c>
      <c r="AH2131">
        <f>AG2131-X2131</f>
        <v>0</v>
      </c>
      <c r="AI2131" cm="1">
        <f t="array" ref="AI2131">IFERROR(IF(AH2131&lt;0,0,AH2131/($R$2083-INDEX(hd_off,MATCH(AQ2131,hd_mark,0),0)/12)),0)</f>
        <v>0</v>
      </c>
      <c r="AJ2131">
        <f>MAX($F$25,$AC$2083)/$Q$2100</f>
        <v>0.29920977011494249</v>
      </c>
      <c r="AK2131">
        <f t="shared" si="1320"/>
        <v>1</v>
      </c>
      <c r="AL2131" cm="1">
        <f t="array" ref="AL2131">IFERROR(INDEX(sheath_ecap_asd,MATCH(AP2131,sheath_mark,0),0)*AK2131,0)</f>
        <v>0</v>
      </c>
      <c r="AM2131" cm="1">
        <f t="array" ref="AM2131">IFERROR(INDEX(sheath_wcap_asd,MATCH(AP2131,sheath_mark,0),0)*AK2131,0)</f>
        <v>0</v>
      </c>
      <c r="AN2131" cm="1">
        <f t="array" ref="AN2131">IFERROR(INDEX(hd_cap,MATCH(AQ2131,hd_mark,0),0),0)</f>
        <v>0</v>
      </c>
      <c r="AP2131" s="19"/>
      <c r="AQ2131" s="19"/>
      <c r="AR2131" s="100"/>
      <c r="AS2131" s="93"/>
      <c r="AT2131" s="109"/>
      <c r="AU2131" t="str">
        <f>$Q$2073</f>
        <v>Roof</v>
      </c>
      <c r="AV2131">
        <f>$E$25</f>
        <v>33.171875</v>
      </c>
      <c r="AW2131" cm="1">
        <f t="array" ref="AW2131">IFERROR(IF(AV2131=0,0,(INDEX($C$33:$C$38,MATCH($AZ$2083,$B$33:$B$38,0),0)*(AV2131+$BA$2083)+$AY$2083*$C$31)*$AU$2083),0)</f>
        <v>0</v>
      </c>
      <c r="AX2131">
        <f>IF(AV2131=0,0,-$AY$2083*$C$31*$H$27*$AU$2083)</f>
        <v>0</v>
      </c>
      <c r="AY2131">
        <f>IF(AV2131=0,0,$AY$2083*$H$26*$AU$2083)</f>
        <v>0</v>
      </c>
      <c r="AZ2131">
        <f>(0.6*AW2131+0.7*AX2131)*$AU$2083/2</f>
        <v>0</v>
      </c>
      <c r="BA2131">
        <f>AW2131*$AU$2083/2</f>
        <v>0</v>
      </c>
      <c r="BC2131">
        <f>IF(AV2131=0,0,$BG$2083*$AP$2073)</f>
        <v>0</v>
      </c>
      <c r="BD2131">
        <f>IFERROR(BC2131/$AU$2083,0)</f>
        <v>0</v>
      </c>
      <c r="BE2131">
        <f>BC2131*($F$25+($C$16+$C$17+IF($C$13="single",1.5,3)+3)/12)</f>
        <v>0</v>
      </c>
      <c r="BF2131">
        <f>BE2131-AZ2131</f>
        <v>0</v>
      </c>
      <c r="BG2131" cm="1">
        <f t="array" ref="BG2131">IFERROR(IF(BF2131&lt;0,0,BF2131/($AU$2083-INDEX(hd_off,MATCH(BT2131,hd_mark,0),0)/12)),0)</f>
        <v>0</v>
      </c>
      <c r="BH2131">
        <f>IF(AV2131=0,0,$BG$2083*$AM$2073)</f>
        <v>0</v>
      </c>
      <c r="BI2131">
        <f>IFERROR(BH2131/$AU$2083,0)</f>
        <v>0</v>
      </c>
      <c r="BJ2131">
        <f>BH2131*($F$25+($C$16+$C$17+IF($C$13="single",1.5,3)+3)/12)</f>
        <v>0</v>
      </c>
      <c r="BK2131">
        <f>BJ2131-BA2131</f>
        <v>0</v>
      </c>
      <c r="BL2131" cm="1">
        <f t="array" ref="BL2131">IFERROR(IF(BK2131&lt;0,0,BK2131/($AU$2083-INDEX(hd_off,MATCH(BT2131,hd_mark,0),0)/12)),0)</f>
        <v>0</v>
      </c>
      <c r="BM2131">
        <f>MAX($F$25,$BF$2083)/$Q$2100</f>
        <v>0.29920977011494249</v>
      </c>
      <c r="BN2131">
        <f t="shared" si="1321"/>
        <v>1</v>
      </c>
      <c r="BO2131" cm="1">
        <f t="array" ref="BO2131">IFERROR(INDEX(sheath_ecap_asd,MATCH(BS2131,sheath_mark,0),0)*BN2131,0)</f>
        <v>0</v>
      </c>
      <c r="BP2131" cm="1">
        <f t="array" ref="BP2131">IFERROR(INDEX(sheath_wcap_asd,MATCH(BS2131,sheath_mark,0),0)*BN2131,0)</f>
        <v>0</v>
      </c>
      <c r="BQ2131" cm="1">
        <f t="array" ref="BQ2131">IFERROR(INDEX(hd_cap,MATCH(BT2131,hd_mark,0),0),0)</f>
        <v>0</v>
      </c>
      <c r="BS2131" s="19"/>
      <c r="BT2131" s="19"/>
      <c r="BU2131" s="100"/>
    </row>
    <row r="2132" x14ac:dyDescent="0.25">
      <c r="P2132" s="93"/>
      <c r="AR2132" s="100"/>
      <c r="AS2132" s="93"/>
      <c r="BU2132" s="100"/>
    </row>
    <row r="2133" x14ac:dyDescent="0.25">
      <c r="P2133" s="93"/>
      <c r="Q2133" s="110" t="str">
        <f>$Q$2084</f>
        <v>A.07</v>
      </c>
      <c r="R2133" t="str">
        <f>$Q$2069</f>
        <v>L2</v>
      </c>
      <c r="S2133">
        <f>$E$21</f>
        <v>10.6875</v>
      </c>
      <c r="T2133" cm="1">
        <f t="array" ref="T2133">IFERROR(IF(S2133=0,0,(INDEX($C$33:$C$38,MATCH($W$2084,$B$33:$B$38,0),0)*(S2137+$X$2084)+$T$2084*COUNTIF(S2133:S2136,"&gt;0")*$C$32+$V$2084*$C$31)*$R$2084),0)</f>
        <v>0</v>
      </c>
      <c r="U2133">
        <f>IF(S2133=0,0,-(COUNTIF(S2133:S2136,"&gt;0")*$T$2084*$C$32+$V$2084*$C$31)*$H$27*$R$2084)</f>
        <v>0</v>
      </c>
      <c r="V2133">
        <f>IF(S2133=0,0,$V$2084*$H$26*$R$2084)</f>
        <v>0</v>
      </c>
      <c r="W2133">
        <f>(0.6*T2133+0.7*U2133)*$R$2084/2</f>
        <v>0</v>
      </c>
      <c r="X2133">
        <f>(0.6*T2133+0.6*V2133)*$R$2084/2</f>
        <v>0</v>
      </c>
      <c r="Z2133">
        <f>IF(S2133=0,0,$AD$2084*$AP$2069)</f>
        <v>0</v>
      </c>
      <c r="AA2133">
        <f>IFERROR(Z2133/$R$2084,0)</f>
        <v>0</v>
      </c>
      <c r="AB2133">
        <f>Z2133*($F$21+IF($F$21=0,0,($C$14+$C$15+IF($C$13="single",1.5,3)+3)/12))</f>
        <v>0</v>
      </c>
      <c r="AC2133">
        <f>AB2133-W2133</f>
        <v>0</v>
      </c>
      <c r="AD2133" cm="1">
        <f t="array" ref="AD2133">IFERROR(IF(AC2133&lt;0,0,AC2133/($R$2084-INDEX(hd_off,MATCH(AQ2133,hd_mark,0),0)/12)),0)</f>
        <v>0</v>
      </c>
      <c r="AE2133">
        <f>IF(S2133=0,0,$AD$2084*$AM$2069)</f>
        <v>0</v>
      </c>
      <c r="AF2133">
        <f>IFERROR(AE2133/$R$2084,0)</f>
        <v>0</v>
      </c>
      <c r="AG2133">
        <f>AE2133*($F$21+IF($F$21=0,0,($C$14+$C$15+IF($C$13="single",1.5,3)+3)/12))</f>
        <v>0</v>
      </c>
      <c r="AH2133">
        <f>AG2133-X2133</f>
        <v>0</v>
      </c>
      <c r="AI2133" cm="1">
        <f t="array" ref="AI2133">IFERROR(IF(AH2133&lt;0,0,AH2133/($R$2084-INDEX(hd_off,MATCH(AQ2133,hd_mark,0),0)/12)),0)</f>
        <v>0</v>
      </c>
      <c r="AJ2133">
        <f>MAX($F$21,$Y$2084)/$Q$2100</f>
        <v>0.30172413793103448</v>
      </c>
      <c r="AK2133">
        <f>IF(AJ2133=0,0,IF(AJ2133&gt;2,1.25-0.125*AJ2133,1))</f>
        <v>1</v>
      </c>
      <c r="AL2133" cm="1">
        <f t="array" ref="AL2133">IFERROR(INDEX(sheath_ecap_asd,MATCH(AP2133,sheath_mark,0),0)*AK2133,0)</f>
        <v>0</v>
      </c>
      <c r="AM2133" cm="1">
        <f t="array" ref="AM2133">IFERROR(INDEX(sheath_wcap_asd,MATCH(AP2133,sheath_mark,0),0)*AK2133,0)</f>
        <v>0</v>
      </c>
      <c r="AN2133" cm="1">
        <f t="array" ref="AN2133">IFERROR(INDEX(hd_cap,MATCH(AQ2133,hd_mark,0),0),0)</f>
        <v>0</v>
      </c>
      <c r="AP2133" s="19"/>
      <c r="AQ2133" s="19"/>
      <c r="AR2133" s="100"/>
      <c r="AS2133" s="93"/>
      <c r="AT2133" s="110" t="str">
        <f>$AT$2084</f>
        <v>1.07</v>
      </c>
      <c r="AU2133" t="str">
        <f>$Q$2069</f>
        <v>L2</v>
      </c>
      <c r="AV2133">
        <f>$E$21</f>
        <v>10.6875</v>
      </c>
      <c r="AW2133" cm="1">
        <f t="array" ref="AW2133">IFERROR(IF(AV2133=0,0,(INDEX($C$33:$C$38,MATCH($AZ$2084,$B$33:$B$38,0),0)*(AV2137+$BA$2084)+$AW$2084*COUNTIF(AV2133:AV2136,"&gt;0")*$C$32+$AY$2084*$C$31)*$AU$2084),0)</f>
        <v>0</v>
      </c>
      <c r="AX2133">
        <f>IF(AV2133=0,0,-(COUNTIF(AV2133:AV2136,"&gt;0")*$AW$2084*$C$32+$AY$2084*$C$31)*$H$27*$AU$2084)</f>
        <v>0</v>
      </c>
      <c r="AY2133">
        <f>IF(AV2133=0,0,$AY$2084*$H$26*$AU$2084)</f>
        <v>0</v>
      </c>
      <c r="AZ2133">
        <f>(0.6*AW2133+0.7*AX2133)*$AU$2084/2</f>
        <v>0</v>
      </c>
      <c r="BA2133">
        <f>(0.6*AW2133+0.6*AY2133)*$AU$2084/2</f>
        <v>0</v>
      </c>
      <c r="BC2133">
        <f>IF(AV2133=0,0,$BG$2084*$AP$2069)</f>
        <v>0</v>
      </c>
      <c r="BD2133">
        <f>IFERROR(BC2133/$AU$2084,0)</f>
        <v>0</v>
      </c>
      <c r="BE2133">
        <f>BC2133*($F$21+IF($F$21=0,0,($C$14+$C$15+IF($C$13="single",1.5,3)+3)/12))</f>
        <v>0</v>
      </c>
      <c r="BF2133">
        <f>BE2133-AZ2133</f>
        <v>0</v>
      </c>
      <c r="BG2133" cm="1">
        <f t="array" ref="BG2133">IFERROR(IF(BF2133&lt;0,0,BF2133/($AU$2084-INDEX(hd_off,MATCH(BT2133,hd_mark,0),0)/12)),0)</f>
        <v>0</v>
      </c>
      <c r="BH2133">
        <f>IF(AV2133=0,0,$BG$2084*$AM$2069)</f>
        <v>0</v>
      </c>
      <c r="BI2133">
        <f>IFERROR(BH2133/$AU$2084,0)</f>
        <v>0</v>
      </c>
      <c r="BJ2133">
        <f>BH2133*($F$21+IF($F$21=0,0,($C$14+$C$15+IF($C$13="single",1.5,3)+3)/12))</f>
        <v>0</v>
      </c>
      <c r="BK2133">
        <f>BJ2133-BA2133</f>
        <v>0</v>
      </c>
      <c r="BL2133" cm="1">
        <f t="array" ref="BL2133">IFERROR(IF(BK2133&lt;0,0,BK2133/($AU$2084-INDEX(hd_off,MATCH(BT2133,hd_mark,0),0)/12)),0)</f>
        <v>0</v>
      </c>
      <c r="BM2133">
        <f>MAX($F$21,$BB$2084)/$Q$2100</f>
        <v>0.30172413793103448</v>
      </c>
      <c r="BN2133">
        <f>IF(BM2133=0,0,IF(BM2133&gt;2,1.25-0.125*BM2133,1))</f>
        <v>1</v>
      </c>
      <c r="BO2133" cm="1">
        <f t="array" ref="BO2133">IFERROR(INDEX(sheath_ecap_asd,MATCH(BS2133,sheath_mark,0),0)*BN2133,0)</f>
        <v>0</v>
      </c>
      <c r="BP2133" cm="1">
        <f t="array" ref="BP2133">IFERROR(INDEX(sheath_wcap_asd,MATCH(BS2133,sheath_mark,0),0)*BN2133,0)</f>
        <v>0</v>
      </c>
      <c r="BQ2133" cm="1">
        <f t="array" ref="BQ2133">IFERROR(INDEX(hd_cap,MATCH(BT2133,hd_mark,0),0),0)</f>
        <v>0</v>
      </c>
      <c r="BS2133" s="19"/>
      <c r="BT2133" s="19"/>
      <c r="BU2133" s="100"/>
    </row>
    <row r="2134" x14ac:dyDescent="0.25">
      <c r="P2134" s="93"/>
      <c r="Q2134" s="109"/>
      <c r="R2134" t="str">
        <f>$Q$2070</f>
        <v>L3</v>
      </c>
      <c r="S2134">
        <f>$E$22</f>
        <v>21.375</v>
      </c>
      <c r="T2134" cm="1">
        <f t="array" ref="T2134">IFERROR(IF(S2134=0,0,(INDEX($C$33:$C$38,MATCH($W$2084,$B$33:$B$38,0),0)*(S2137+$X$2084)+$T$2084*COUNTIF(S2134:S2136,"&gt;0")*$C$32+$V$2084*$C$31)*$R$2084),0)</f>
        <v>0</v>
      </c>
      <c r="U2134">
        <f>IF(S2134=0,0,-(COUNTIF(S2134:S2136,"&gt;0")*$T$2084*$C$32+$V$2084*$C$31)*$H$27*$R$2084)</f>
        <v>0</v>
      </c>
      <c r="V2134">
        <f>IF(S2134=0,0,$V$2084*$H$26*$R$2084)</f>
        <v>0</v>
      </c>
      <c r="W2134">
        <f>(0.6*T2134+0.7*U2134)*$R$2084/2</f>
        <v>0</v>
      </c>
      <c r="X2134">
        <f>T2134*$R$2084/2</f>
        <v>0</v>
      </c>
      <c r="Z2134">
        <f>IF(S2134=0,0,$AD$2084*$AP$2070)</f>
        <v>0</v>
      </c>
      <c r="AA2134">
        <f>IFERROR(Z2134/$R$2084,0)</f>
        <v>0</v>
      </c>
      <c r="AB2134">
        <f>Z2134*($F$22+IF($F$22=0,0,($C$14+$C$15+IF($C$13="single",1.5,3)+3)/12))</f>
        <v>0</v>
      </c>
      <c r="AC2134">
        <f>AB2134-W2134</f>
        <v>0</v>
      </c>
      <c r="AD2134" cm="1">
        <f t="array" ref="AD2134">IFERROR(IF(AC2134&lt;0,0,AC2134/($R$2084-INDEX(hd_off,MATCH(AQ2134,hd_mark,0),0)/12)),0)</f>
        <v>0</v>
      </c>
      <c r="AE2134">
        <f>IF(S2134=0,0,$AD$2084*$AM$2070)</f>
        <v>0</v>
      </c>
      <c r="AF2134">
        <f>IFERROR(AE2134/$R$2084,0)</f>
        <v>0</v>
      </c>
      <c r="AG2134">
        <f>AE2134*($F$22+IF($F$22=0,0,($C$14+$C$15+IF($C$13="single",1.5,3)+3)/12))</f>
        <v>0</v>
      </c>
      <c r="AH2134">
        <f>AG2134-X2134</f>
        <v>0</v>
      </c>
      <c r="AI2134" cm="1">
        <f t="array" ref="AI2134">IFERROR(IF(AH2134&lt;0,0,AH2134/($R$2084-INDEX(hd_off,MATCH(AQ2134,hd_mark,0),0)/12)),0)</f>
        <v>0</v>
      </c>
      <c r="AJ2134">
        <f>MAX($F$22,$Z$2084)/$Q$2100</f>
        <v>0.30172413793103448</v>
      </c>
      <c r="AK2134">
        <f t="shared" ref="AK2134:AK2137" si="1322">IF(AJ2134=0,0,IF(AJ2134&gt;2,1.25-0.125*AJ2134,1))</f>
        <v>1</v>
      </c>
      <c r="AL2134" cm="1">
        <f t="array" ref="AL2134">IFERROR(INDEX(sheath_ecap_asd,MATCH(AP2134,sheath_mark,0),0)*AK2134,0)</f>
        <v>0</v>
      </c>
      <c r="AM2134" cm="1">
        <f t="array" ref="AM2134">IFERROR(INDEX(sheath_wcap_asd,MATCH(AP2134,sheath_mark,0),0)*AK2134,0)</f>
        <v>0</v>
      </c>
      <c r="AN2134" cm="1">
        <f t="array" ref="AN2134">IFERROR(INDEX(hd_cap,MATCH(AQ2134,hd_mark,0),0),0)</f>
        <v>0</v>
      </c>
      <c r="AP2134" s="19"/>
      <c r="AQ2134" s="19"/>
      <c r="AR2134" s="100"/>
      <c r="AS2134" s="93"/>
      <c r="AT2134" s="109"/>
      <c r="AU2134" t="str">
        <f>$Q$2070</f>
        <v>L3</v>
      </c>
      <c r="AV2134">
        <f>$E$22</f>
        <v>21.375</v>
      </c>
      <c r="AW2134" cm="1">
        <f t="array" ref="AW2134">IFERROR(IF(AV2134=0,0,(INDEX($C$33:$C$38,MATCH($AZ$2084,$B$33:$B$38,0),0)*(AV2137+$BA$2084)+$AW$2084*COUNTIF(AV2134:AV2136,"&gt;0")*$C$32+$AY$2084*$C$31)*$AU$2084),0)</f>
        <v>0</v>
      </c>
      <c r="AX2134">
        <f>IF(AV2134=0,0,-(COUNTIF(AV2134:AV2136,"&gt;0")*$AW$2084*$C$32+$AY$2084*$C$31)*$H$27*$AU$2084)</f>
        <v>0</v>
      </c>
      <c r="AY2134">
        <f>IF(AV2134=0,0,$AY$2084*$H$26*$AU$2084)</f>
        <v>0</v>
      </c>
      <c r="AZ2134">
        <f>(0.6*AW2134+0.7*AX2134)*$AU$2084/2</f>
        <v>0</v>
      </c>
      <c r="BA2134">
        <f>AW2134*$AU$2084/2</f>
        <v>0</v>
      </c>
      <c r="BC2134">
        <f>IF(AV2134=0,0,$BG$2084*$AP$2070)</f>
        <v>0</v>
      </c>
      <c r="BD2134">
        <f>IFERROR(BC2134/$AU$2084,0)</f>
        <v>0</v>
      </c>
      <c r="BE2134">
        <f>BC2134*($F$22+IF($F$22=0,0,($C$14+$C$15+IF($C$13="single",1.5,3)+3)/12))</f>
        <v>0</v>
      </c>
      <c r="BF2134">
        <f>BE2134-AZ2134</f>
        <v>0</v>
      </c>
      <c r="BG2134" cm="1">
        <f t="array" ref="BG2134">IFERROR(IF(BF2134&lt;0,0,BF2134/($AU$2084-INDEX(hd_off,MATCH(BT2134,hd_mark,0),0)/12)),0)</f>
        <v>0</v>
      </c>
      <c r="BH2134">
        <f>IF(AV2134=0,0,$BG$2084*$AM$2070)</f>
        <v>0</v>
      </c>
      <c r="BI2134">
        <f>IFERROR(BH2134/$AU$2084,0)</f>
        <v>0</v>
      </c>
      <c r="BJ2134">
        <f>BH2134*($F$22+IF($F$22=0,0,($C$14+$C$15+IF($C$13="single",1.5,3)+3)/12))</f>
        <v>0</v>
      </c>
      <c r="BK2134">
        <f>BJ2134-BA2134</f>
        <v>0</v>
      </c>
      <c r="BL2134" cm="1">
        <f t="array" ref="BL2134">IFERROR(IF(BK2134&lt;0,0,BK2134/($AU$2084-INDEX(hd_off,MATCH(BT2134,hd_mark,0),0)/12)),0)</f>
        <v>0</v>
      </c>
      <c r="BM2134">
        <f>MAX($F$22,$BC$2084)/$Q$2100</f>
        <v>0.30172413793103448</v>
      </c>
      <c r="BN2134">
        <f t="shared" ref="BN2134:BN2137" si="1323">IF(BM2134=0,0,IF(BM2134&gt;2,1.25-0.125*BM2134,1))</f>
        <v>1</v>
      </c>
      <c r="BO2134" cm="1">
        <f t="array" ref="BO2134">IFERROR(INDEX(sheath_ecap_asd,MATCH(BS2134,sheath_mark,0),0)*BN2134,0)</f>
        <v>0</v>
      </c>
      <c r="BP2134" cm="1">
        <f t="array" ref="BP2134">IFERROR(INDEX(sheath_wcap_asd,MATCH(BS2134,sheath_mark,0),0)*BN2134,0)</f>
        <v>0</v>
      </c>
      <c r="BQ2134" cm="1">
        <f t="array" ref="BQ2134">IFERROR(INDEX(hd_cap,MATCH(BT2134,hd_mark,0),0),0)</f>
        <v>0</v>
      </c>
      <c r="BS2134" s="19"/>
      <c r="BT2134" s="19"/>
      <c r="BU2134" s="100"/>
    </row>
    <row r="2135" x14ac:dyDescent="0.25">
      <c r="P2135" s="93"/>
      <c r="Q2135" s="109" t="s">
        <v>491</v>
      </c>
      <c r="R2135" t="str">
        <f>$Q$2071</f>
        <v>L4</v>
      </c>
      <c r="S2135">
        <f>$E$23</f>
        <v>0</v>
      </c>
      <c r="T2135" cm="1">
        <f t="array" ref="T2135">IFERROR(IF(S2135=0,0,(INDEX($C$33:$C$38,MATCH($W$2084,$B$33:$B$38,0),0)*(S2137+$X$2084)+$T$2084*COUNTIF(S2135:S2136,"&gt;0")*$C$32+$V$2084*$C$31)*$R$2084),0)</f>
        <v>0</v>
      </c>
      <c r="U2135">
        <f>IF(S2135=0,0,-(COUNTIF(S2135:S2136,"&gt;0")*$T$2084*$C$32+$V$2084*$C$31)*$H$27*$R$2084)</f>
        <v>0</v>
      </c>
      <c r="V2135">
        <f>IF(S2135=0,0,$V$2084*$H$26*$R$2084)</f>
        <v>0</v>
      </c>
      <c r="W2135">
        <f>(0.6*T2135+0.7*U2135)*$R$2084/2</f>
        <v>0</v>
      </c>
      <c r="X2135">
        <f>T2135*$R$2084/2</f>
        <v>0</v>
      </c>
      <c r="Z2135">
        <f>IF(S2135=0,0,$AD$2084*$AP$2071)</f>
        <v>0</v>
      </c>
      <c r="AA2135">
        <f>IFERROR(Z2135/$R$2084,0)</f>
        <v>0</v>
      </c>
      <c r="AB2135">
        <f>Z2135*($F$23+IF($F$23=0,0,($C$14+$C$15+IF($C$13="single",1.5,3)+3)/12))</f>
        <v>0</v>
      </c>
      <c r="AC2135">
        <f>AB2135-W2135</f>
        <v>0</v>
      </c>
      <c r="AD2135" cm="1">
        <f t="array" ref="AD2135">IFERROR(IF(AC2135&lt;0,0,AC2135/($R$2084-INDEX(hd_off,MATCH(AQ2135,hd_mark,0),0)/12)),0)</f>
        <v>0</v>
      </c>
      <c r="AE2135">
        <f>IF(S2135=0,0,$AD$2084*$AM$2071)</f>
        <v>0</v>
      </c>
      <c r="AF2135">
        <f>IFERROR(AE2135/$R$2084,0)</f>
        <v>0</v>
      </c>
      <c r="AG2135">
        <f>AE2135*($F$23+IF($F$23=0,0,($C$14+$C$15+IF($C$13="single",1.5,3)+3)/12))</f>
        <v>0</v>
      </c>
      <c r="AH2135">
        <f>AG2135-X2135</f>
        <v>0</v>
      </c>
      <c r="AI2135" cm="1">
        <f t="array" ref="AI2135">IFERROR(IF(AH2135&lt;0,0,AH2135/($R$2084-INDEX(hd_off,MATCH(AQ2135,hd_mark,0),0)/12)),0)</f>
        <v>0</v>
      </c>
      <c r="AJ2135">
        <f>MAX($F$23,$AA$2084)/$Q$2100</f>
        <v>0</v>
      </c>
      <c r="AK2135">
        <f t="shared" si="1322"/>
        <v>0</v>
      </c>
      <c r="AL2135" cm="1">
        <f t="array" ref="AL2135">IFERROR(INDEX(sheath_ecap_asd,MATCH(AP2135,sheath_mark,0),0)*AK2135,0)</f>
        <v>0</v>
      </c>
      <c r="AM2135" cm="1">
        <f t="array" ref="AM2135">IFERROR(INDEX(sheath_wcap_asd,MATCH(AP2135,sheath_mark,0),0)*AK2135,0)</f>
        <v>0</v>
      </c>
      <c r="AN2135" cm="1">
        <f t="array" ref="AN2135">IFERROR(INDEX(hd_cap,MATCH(AQ2135,hd_mark,0),0),0)</f>
        <v>0</v>
      </c>
      <c r="AP2135" s="19"/>
      <c r="AQ2135" s="19"/>
      <c r="AR2135" s="100"/>
      <c r="AS2135" s="93"/>
      <c r="AT2135" s="109" t="s">
        <v>491</v>
      </c>
      <c r="AU2135" t="str">
        <f>$Q$2071</f>
        <v>L4</v>
      </c>
      <c r="AV2135">
        <f>$E$23</f>
        <v>0</v>
      </c>
      <c r="AW2135" cm="1">
        <f t="array" ref="AW2135">IFERROR(IF(AV2135=0,0,(INDEX($C$33:$C$38,MATCH($AZ$2084,$B$33:$B$38,0),0)*(AV2137+$BA$2084)+$AW$2084*COUNTIF(AV2135:AV2136,"&gt;0")*$C$32+$AY$2084*$C$31)*$AU$2084),0)</f>
        <v>0</v>
      </c>
      <c r="AX2135">
        <f>IF(AV2135=0,0,-(COUNTIF(AV2135:AV2136,"&gt;0")*$AW$2084*$C$32+$AY$2084*$C$31)*$H$27*$AU$2084)</f>
        <v>0</v>
      </c>
      <c r="AY2135">
        <f>IF(AV2135=0,0,$AY$2084*$H$26*$AU$2084)</f>
        <v>0</v>
      </c>
      <c r="AZ2135">
        <f>(0.6*AW2135+0.7*AX2135)*$AU$2084/2</f>
        <v>0</v>
      </c>
      <c r="BA2135">
        <f>AW2135*$AU$2084/2</f>
        <v>0</v>
      </c>
      <c r="BC2135">
        <f>IF(AV2135=0,0,$BG$2084*$AP$2071)</f>
        <v>0</v>
      </c>
      <c r="BD2135">
        <f>IFERROR(BC2135/$AU$2084,0)</f>
        <v>0</v>
      </c>
      <c r="BE2135">
        <f>BC2135*($F$23+IF($F$23=0,0,($C$14+$C$15+IF($C$13="single",1.5,3)+3)/12))</f>
        <v>0</v>
      </c>
      <c r="BF2135">
        <f>BE2135-AZ2135</f>
        <v>0</v>
      </c>
      <c r="BG2135" cm="1">
        <f t="array" ref="BG2135">IFERROR(IF(BF2135&lt;0,0,BF2135/($AU$2084-INDEX(hd_off,MATCH(BT2135,hd_mark,0),0)/12)),0)</f>
        <v>0</v>
      </c>
      <c r="BH2135">
        <f>IF(AV2135=0,0,$BG$2084*$AM$2071)</f>
        <v>0</v>
      </c>
      <c r="BI2135">
        <f>IFERROR(BH2135/$AU$2084,0)</f>
        <v>0</v>
      </c>
      <c r="BJ2135">
        <f>BH2135*($F$23+IF($F$23=0,0,($C$14+$C$15+IF($C$13="single",1.5,3)+3)/12))</f>
        <v>0</v>
      </c>
      <c r="BK2135">
        <f>BJ2135-BA2135</f>
        <v>0</v>
      </c>
      <c r="BL2135" cm="1">
        <f t="array" ref="BL2135">IFERROR(IF(BK2135&lt;0,0,BK2135/($AU$2084-INDEX(hd_off,MATCH(BT2135,hd_mark,0),0)/12)),0)</f>
        <v>0</v>
      </c>
      <c r="BM2135">
        <f>MAX($F$23,$BD$2084)/$Q$2100</f>
        <v>0</v>
      </c>
      <c r="BN2135">
        <f t="shared" si="1323"/>
        <v>0</v>
      </c>
      <c r="BO2135" cm="1">
        <f t="array" ref="BO2135">IFERROR(INDEX(sheath_ecap_asd,MATCH(BS2135,sheath_mark,0),0)*BN2135,0)</f>
        <v>0</v>
      </c>
      <c r="BP2135" cm="1">
        <f t="array" ref="BP2135">IFERROR(INDEX(sheath_wcap_asd,MATCH(BS2135,sheath_mark,0),0)*BN2135,0)</f>
        <v>0</v>
      </c>
      <c r="BQ2135" cm="1">
        <f t="array" ref="BQ2135">IFERROR(INDEX(hd_cap,MATCH(BT2135,hd_mark,0),0),0)</f>
        <v>0</v>
      </c>
      <c r="BS2135" s="19"/>
      <c r="BT2135" s="19"/>
      <c r="BU2135" s="100"/>
    </row>
    <row r="2136" x14ac:dyDescent="0.25">
      <c r="P2136" s="93"/>
      <c r="Q2136" s="111">
        <f>$R$2084</f>
        <v>0</v>
      </c>
      <c r="R2136" t="str">
        <f>$Q$2072</f>
        <v>L5</v>
      </c>
      <c r="S2136">
        <f>$E$24</f>
        <v>0</v>
      </c>
      <c r="T2136" cm="1">
        <f t="array" ref="T2136">IFERROR(IF(S2136=0,0,(INDEX($C$33:$C$38,MATCH($W$2084,$B$33:$B$38,0),0)*(S2137+$X$2084)+$T$2084*COUNTIF(S2136:S2136,"&gt;0")*$C$32+$V$2084*$C$31)*$R$2084),0)</f>
        <v>0</v>
      </c>
      <c r="U2136">
        <f>IF(S2136=0,0,-(COUNTIF(S2136:S2136,"&gt;0")*$T$2084*$C$32+$V$2084*$C$31)*$H$27*$R$2084)</f>
        <v>0</v>
      </c>
      <c r="V2136">
        <f>IF(S2136=0,0,$V$2084*$H$26*$R$2084)</f>
        <v>0</v>
      </c>
      <c r="W2136">
        <f>(0.6*T2136+0.7*U2136)*$R$2084/2</f>
        <v>0</v>
      </c>
      <c r="X2136">
        <f>T2136*$R$2084/2</f>
        <v>0</v>
      </c>
      <c r="Z2136">
        <f>IF(S2136=0,0,$AD$2084*$AP$2072)</f>
        <v>0</v>
      </c>
      <c r="AA2136">
        <f>IFERROR(Z2136/$R$2084,0)</f>
        <v>0</v>
      </c>
      <c r="AB2136">
        <f>Z2136*($F$24+IF($F$24=0,0,($C$14+$C$15+IF($C$13="single",1.5,3)+3)/12))</f>
        <v>0</v>
      </c>
      <c r="AC2136">
        <f>AB2136-W2136</f>
        <v>0</v>
      </c>
      <c r="AD2136" cm="1">
        <f t="array" ref="AD2136">IFERROR(IF(AC2136&lt;0,0,AC2136/($R$2084-INDEX(hd_off,MATCH(AQ2136,hd_mark,0),0)/12)),0)</f>
        <v>0</v>
      </c>
      <c r="AE2136">
        <f>IF(S2136=0,0,$AD$2084*$AM$2072)</f>
        <v>0</v>
      </c>
      <c r="AF2136">
        <f>IFERROR(AE2136/$R$2084,0)</f>
        <v>0</v>
      </c>
      <c r="AG2136">
        <f>AE2136*($F$24+IF($F$24=0,0,($C$14+$C$15+IF($C$13="single",1.5,3)+3)/12))</f>
        <v>0</v>
      </c>
      <c r="AH2136">
        <f>AG2136-X2136</f>
        <v>0</v>
      </c>
      <c r="AI2136" cm="1">
        <f t="array" ref="AI2136">IFERROR(IF(AH2136&lt;0,0,AH2136/($R$2084-INDEX(hd_off,MATCH(AQ2136,hd_mark,0),0)/12)),0)</f>
        <v>0</v>
      </c>
      <c r="AJ2136">
        <f>MAX($F$24,$AB$2084)/$Q$2100</f>
        <v>0</v>
      </c>
      <c r="AK2136">
        <f t="shared" si="1322"/>
        <v>0</v>
      </c>
      <c r="AL2136" cm="1">
        <f t="array" ref="AL2136">IFERROR(INDEX(sheath_ecap_asd,MATCH(AP2136,sheath_mark,0),0)*AK2136,0)</f>
        <v>0</v>
      </c>
      <c r="AM2136" cm="1">
        <f t="array" ref="AM2136">IFERROR(INDEX(sheath_wcap_asd,MATCH(AP2136,sheath_mark,0),0)*AK2136,0)</f>
        <v>0</v>
      </c>
      <c r="AN2136" cm="1">
        <f t="array" ref="AN2136">IFERROR(INDEX(hd_cap,MATCH(AQ2136,hd_mark,0),0),0)</f>
        <v>0</v>
      </c>
      <c r="AP2136" s="19"/>
      <c r="AQ2136" s="19"/>
      <c r="AR2136" s="100"/>
      <c r="AS2136" s="93"/>
      <c r="AT2136" s="111">
        <f>$R$2084</f>
        <v>0</v>
      </c>
      <c r="AU2136" t="str">
        <f>$Q$2072</f>
        <v>L5</v>
      </c>
      <c r="AV2136">
        <f>$E$24</f>
        <v>0</v>
      </c>
      <c r="AW2136" cm="1">
        <f t="array" ref="AW2136">IFERROR(IF(AV2136=0,0,(INDEX($C$33:$C$38,MATCH($AZ$2084,$B$33:$B$38,0),0)*(AV2137+$BA$2084)+$AW$2084*COUNTIF(AV2136:AV2136,"&gt;0")*$C$32+$AY$2084*$C$31)*$AU$2084),0)</f>
        <v>0</v>
      </c>
      <c r="AX2136">
        <f>IF(AV2136=0,0,-(COUNTIF(AV2136:AV2136,"&gt;0")*$AW$2084*$C$32+$AY$2084*$C$31)*$H$27*$AU$2084)</f>
        <v>0</v>
      </c>
      <c r="AY2136">
        <f>IF(AV2136=0,0,$AY$2084*$H$26*$AU$2084)</f>
        <v>0</v>
      </c>
      <c r="AZ2136">
        <f>(0.6*AW2136+0.7*AX2136)*$AU$2084/2</f>
        <v>0</v>
      </c>
      <c r="BA2136">
        <f>AW2136*$AU$2084/2</f>
        <v>0</v>
      </c>
      <c r="BC2136">
        <f>IF(AV2136=0,0,$BG$2084*$AP$2072)</f>
        <v>0</v>
      </c>
      <c r="BD2136">
        <f>IFERROR(BC2136/$AU$2084,0)</f>
        <v>0</v>
      </c>
      <c r="BE2136">
        <f>BC2136*($F$24+IF($F$24=0,0,($C$14+$C$15+IF($C$13="single",1.5,3)+3)/12))</f>
        <v>0</v>
      </c>
      <c r="BF2136">
        <f>BE2136-AZ2136</f>
        <v>0</v>
      </c>
      <c r="BG2136" cm="1">
        <f t="array" ref="BG2136">IFERROR(IF(BF2136&lt;0,0,BF2136/($AU$2084-INDEX(hd_off,MATCH(BT2136,hd_mark,0),0)/12)),0)</f>
        <v>0</v>
      </c>
      <c r="BH2136">
        <f>IF(AV2136=0,0,$BG$2084*$AM$2072)</f>
        <v>0</v>
      </c>
      <c r="BI2136">
        <f>IFERROR(BH2136/$AU$2084,0)</f>
        <v>0</v>
      </c>
      <c r="BJ2136">
        <f>BH2136*($F$24+IF($F$24=0,0,($C$14+$C$15+IF($C$13="single",1.5,3)+3)/12))</f>
        <v>0</v>
      </c>
      <c r="BK2136">
        <f>BJ2136-BA2136</f>
        <v>0</v>
      </c>
      <c r="BL2136" cm="1">
        <f t="array" ref="BL2136">IFERROR(IF(BK2136&lt;0,0,BK2136/($AU$2084-INDEX(hd_off,MATCH(BT2136,hd_mark,0),0)/12)),0)</f>
        <v>0</v>
      </c>
      <c r="BM2136">
        <f>MAX($F$24,$BE$2084)/$Q$2100</f>
        <v>0</v>
      </c>
      <c r="BN2136">
        <f t="shared" si="1323"/>
        <v>0</v>
      </c>
      <c r="BO2136" cm="1">
        <f t="array" ref="BO2136">IFERROR(INDEX(sheath_ecap_asd,MATCH(BS2136,sheath_mark,0),0)*BN2136,0)</f>
        <v>0</v>
      </c>
      <c r="BP2136" cm="1">
        <f t="array" ref="BP2136">IFERROR(INDEX(sheath_wcap_asd,MATCH(BS2136,sheath_mark,0),0)*BN2136,0)</f>
        <v>0</v>
      </c>
      <c r="BQ2136" cm="1">
        <f t="array" ref="BQ2136">IFERROR(INDEX(hd_cap,MATCH(BT2136,hd_mark,0),0),0)</f>
        <v>0</v>
      </c>
      <c r="BS2136" s="19"/>
      <c r="BT2136" s="19"/>
      <c r="BU2136" s="100"/>
    </row>
    <row r="2137" x14ac:dyDescent="0.25">
      <c r="P2137" s="93"/>
      <c r="Q2137" s="109"/>
      <c r="R2137" t="str">
        <f>$Q$2073</f>
        <v>Roof</v>
      </c>
      <c r="S2137">
        <f>$E$25</f>
        <v>33.171875</v>
      </c>
      <c r="T2137" cm="1">
        <f t="array" ref="T2137">IFERROR(IF(S2137=0,0,(INDEX($C$33:$C$38,MATCH($W$2084,$B$33:$B$38,0),0)*(S2137+$X$2084)+$V$2084*$C$31)*$R$2084),0)</f>
        <v>0</v>
      </c>
      <c r="U2137">
        <f>IF(S2137=0,0,-$V$2084*$C$31*$H$27*$R$2084)</f>
        <v>0</v>
      </c>
      <c r="V2137">
        <f>IF(S2137=0,0,$V$2084*$H$26*$R$2084)</f>
        <v>0</v>
      </c>
      <c r="W2137">
        <f>(0.6*T2137+0.7*U2137)*$R$2084/2</f>
        <v>0</v>
      </c>
      <c r="X2137">
        <f>T2137*$R$2084/2</f>
        <v>0</v>
      </c>
      <c r="Z2137">
        <f>IF(S2137=0,0,$AD$2084*$AP$2073)</f>
        <v>0</v>
      </c>
      <c r="AA2137">
        <f>IFERROR(Z2137/$R$2084,0)</f>
        <v>0</v>
      </c>
      <c r="AB2137">
        <f>Z2137*($F$25+($C$16+$C$17+IF($C$13="single",1.5,3)+3)/12)</f>
        <v>0</v>
      </c>
      <c r="AC2137">
        <f>AB2137-W2137</f>
        <v>0</v>
      </c>
      <c r="AD2137" cm="1">
        <f t="array" ref="AD2137">IFERROR(IF(AC2137&lt;0,0,AC2137/($R$2084-INDEX(hd_off,MATCH(AQ2137,hd_mark,0),0)/12)),0)</f>
        <v>0</v>
      </c>
      <c r="AE2137">
        <f>IF(S2137=0,0,$AD$2084*$AM$2073)</f>
        <v>0</v>
      </c>
      <c r="AF2137">
        <f>IFERROR(AE2137/$R$2084,0)</f>
        <v>0</v>
      </c>
      <c r="AG2137">
        <f>AE2137*($F$25+($C$16+$C$17+IF($C$13="single",1.5,3)+3)/12)</f>
        <v>0</v>
      </c>
      <c r="AH2137">
        <f>AG2137-X2137</f>
        <v>0</v>
      </c>
      <c r="AI2137" cm="1">
        <f t="array" ref="AI2137">IFERROR(IF(AH2137&lt;0,0,AH2137/($R$2084-INDEX(hd_off,MATCH(AQ2137,hd_mark,0),0)/12)),0)</f>
        <v>0</v>
      </c>
      <c r="AJ2137">
        <f>MAX($F$25,$AC$2084)/$Q$2100</f>
        <v>0.29920977011494249</v>
      </c>
      <c r="AK2137">
        <f t="shared" si="1322"/>
        <v>1</v>
      </c>
      <c r="AL2137" cm="1">
        <f t="array" ref="AL2137">IFERROR(INDEX(sheath_ecap_asd,MATCH(AP2137,sheath_mark,0),0)*AK2137,0)</f>
        <v>0</v>
      </c>
      <c r="AM2137" cm="1">
        <f t="array" ref="AM2137">IFERROR(INDEX(sheath_wcap_asd,MATCH(AP2137,sheath_mark,0),0)*AK2137,0)</f>
        <v>0</v>
      </c>
      <c r="AN2137" cm="1">
        <f t="array" ref="AN2137">IFERROR(INDEX(hd_cap,MATCH(AQ2137,hd_mark,0),0),0)</f>
        <v>0</v>
      </c>
      <c r="AP2137" s="19"/>
      <c r="AQ2137" s="19"/>
      <c r="AR2137" s="100"/>
      <c r="AS2137" s="93"/>
      <c r="AT2137" s="109"/>
      <c r="AU2137" t="str">
        <f>$Q$2073</f>
        <v>Roof</v>
      </c>
      <c r="AV2137">
        <f>$E$25</f>
        <v>33.171875</v>
      </c>
      <c r="AW2137" cm="1">
        <f t="array" ref="AW2137">IFERROR(IF(AV2137=0,0,(INDEX($C$33:$C$38,MATCH($AZ$2084,$B$33:$B$38,0),0)*(AV2137+$BA$2084)+$AY$2084*$C$31)*$AU$2084),0)</f>
        <v>0</v>
      </c>
      <c r="AX2137">
        <f>IF(AV2137=0,0,-$AY$2084*$C$31*$H$27*$AU$2084)</f>
        <v>0</v>
      </c>
      <c r="AY2137">
        <f>IF(AV2137=0,0,$AY$2084*$H$26*$AU$2084)</f>
        <v>0</v>
      </c>
      <c r="AZ2137">
        <f>(0.6*AW2137+0.7*AX2137)*$AU$2084/2</f>
        <v>0</v>
      </c>
      <c r="BA2137">
        <f>AW2137*$AU$2084/2</f>
        <v>0</v>
      </c>
      <c r="BC2137">
        <f>IF(AV2137=0,0,$BG$2084*$AP$2073)</f>
        <v>0</v>
      </c>
      <c r="BD2137">
        <f>IFERROR(BC2137/$AU$2084,0)</f>
        <v>0</v>
      </c>
      <c r="BE2137">
        <f>BC2137*($F$25+($C$16+$C$17+IF($C$13="single",1.5,3)+3)/12)</f>
        <v>0</v>
      </c>
      <c r="BF2137">
        <f>BE2137-AZ2137</f>
        <v>0</v>
      </c>
      <c r="BG2137" cm="1">
        <f t="array" ref="BG2137">IFERROR(IF(BF2137&lt;0,0,BF2137/($AU$2084-INDEX(hd_off,MATCH(BT2137,hd_mark,0),0)/12)),0)</f>
        <v>0</v>
      </c>
      <c r="BH2137">
        <f>IF(AV2137=0,0,$BG$2084*$AM$2073)</f>
        <v>0</v>
      </c>
      <c r="BI2137">
        <f>IFERROR(BH2137/$AU$2084,0)</f>
        <v>0</v>
      </c>
      <c r="BJ2137">
        <f>BH2137*($F$25+($C$16+$C$17+IF($C$13="single",1.5,3)+3)/12)</f>
        <v>0</v>
      </c>
      <c r="BK2137">
        <f>BJ2137-BA2137</f>
        <v>0</v>
      </c>
      <c r="BL2137" cm="1">
        <f t="array" ref="BL2137">IFERROR(IF(BK2137&lt;0,0,BK2137/($AU$2084-INDEX(hd_off,MATCH(BT2137,hd_mark,0),0)/12)),0)</f>
        <v>0</v>
      </c>
      <c r="BM2137">
        <f>MAX($F$25,$BF$2084)/$Q$2100</f>
        <v>0.29920977011494249</v>
      </c>
      <c r="BN2137">
        <f t="shared" si="1323"/>
        <v>1</v>
      </c>
      <c r="BO2137" cm="1">
        <f t="array" ref="BO2137">IFERROR(INDEX(sheath_ecap_asd,MATCH(BS2137,sheath_mark,0),0)*BN2137,0)</f>
        <v>0</v>
      </c>
      <c r="BP2137" cm="1">
        <f t="array" ref="BP2137">IFERROR(INDEX(sheath_wcap_asd,MATCH(BS2137,sheath_mark,0),0)*BN2137,0)</f>
        <v>0</v>
      </c>
      <c r="BQ2137" cm="1">
        <f t="array" ref="BQ2137">IFERROR(INDEX(hd_cap,MATCH(BT2137,hd_mark,0),0),0)</f>
        <v>0</v>
      </c>
      <c r="BS2137" s="19"/>
      <c r="BT2137" s="19"/>
      <c r="BU2137" s="100"/>
    </row>
    <row r="2138" x14ac:dyDescent="0.25">
      <c r="P2138" s="93"/>
      <c r="AR2138" s="100"/>
      <c r="AS2138" s="93"/>
      <c r="BU2138" s="100"/>
    </row>
    <row r="2139" x14ac:dyDescent="0.25">
      <c r="P2139" s="93"/>
      <c r="Q2139" s="110" t="str">
        <f>$Q$2085</f>
        <v>A.08</v>
      </c>
      <c r="R2139" t="str">
        <f>$Q$2069</f>
        <v>L2</v>
      </c>
      <c r="S2139">
        <f>$E$21</f>
        <v>10.6875</v>
      </c>
      <c r="T2139" cm="1">
        <f t="array" ref="T2139">IFERROR(IF(S2139=0,0,(INDEX($C$33:$C$38,MATCH($W$2085,$B$33:$B$38,0),0)*(S2143+$X$2085)+$T$2085*COUNTIF(S2139:S2142,"&gt;0")*$C$32+$V$2085*$C$31)*$R$2085),0)</f>
        <v>0</v>
      </c>
      <c r="U2139">
        <f>IF(S2139=0,0,-(COUNTIF(S2139:S2142,"&gt;0")*$T$2085*$C$32+$V$2085*$C$31)*$H$27*$R$2085)</f>
        <v>0</v>
      </c>
      <c r="V2139">
        <f>IF(S2139=0,0,$V$2085*$H$26*$R$2085)</f>
        <v>0</v>
      </c>
      <c r="W2139">
        <f>(0.6*T2139+0.7*U2139)*$R$2085/2</f>
        <v>0</v>
      </c>
      <c r="X2139">
        <f>(0.6*T2139+0.6*V2139)*$R$2085/2</f>
        <v>0</v>
      </c>
      <c r="Z2139">
        <f>IF(S2139=0,0,$AD$2085*$AP$2069)</f>
        <v>0</v>
      </c>
      <c r="AA2139">
        <f>IFERROR(Z2139/$R$2085,0)</f>
        <v>0</v>
      </c>
      <c r="AB2139">
        <f>Z2139*($F$21+IF($F$21=0,0,($C$14+$C$15+IF($C$13="single",1.5,3)+3)/12))</f>
        <v>0</v>
      </c>
      <c r="AC2139">
        <f>AB2139-W2139</f>
        <v>0</v>
      </c>
      <c r="AD2139" cm="1">
        <f t="array" ref="AD2139">IFERROR(IF(AC2139&lt;0,0,AC2139/($R$2085-INDEX(hd_off,MATCH(AQ2139,hd_mark,0),0)/12)),0)</f>
        <v>0</v>
      </c>
      <c r="AE2139">
        <f>IF(S2139=0,0,$AD$2085*$AM$2069)</f>
        <v>0</v>
      </c>
      <c r="AF2139">
        <f>IFERROR(AE2139/$R$2085,0)</f>
        <v>0</v>
      </c>
      <c r="AG2139">
        <f>AE2139*($F$21+IF($F$21=0,0,($C$14+$C$15+IF($C$13="single",1.5,3)+3)/12))</f>
        <v>0</v>
      </c>
      <c r="AH2139">
        <f>AG2139-X2139</f>
        <v>0</v>
      </c>
      <c r="AI2139" cm="1">
        <f t="array" ref="AI2139">IFERROR(IF(AH2139&lt;0,0,AH2139/($R$2085-INDEX(hd_off,MATCH(AQ2139,hd_mark,0),0)/12)),0)</f>
        <v>0</v>
      </c>
      <c r="AJ2139">
        <f>MAX($F$21,$Y$2085)/$Q$2100</f>
        <v>0.30172413793103448</v>
      </c>
      <c r="AK2139">
        <f>IF(AJ2139=0,0,IF(AJ2139&gt;2,1.25-0.125*AJ2139,1))</f>
        <v>1</v>
      </c>
      <c r="AL2139" cm="1">
        <f t="array" ref="AL2139">IFERROR(INDEX(sheath_ecap_asd,MATCH(AP2139,sheath_mark,0),0)*AK2139,0)</f>
        <v>0</v>
      </c>
      <c r="AM2139" cm="1">
        <f t="array" ref="AM2139">IFERROR(INDEX(sheath_wcap_asd,MATCH(AP2139,sheath_mark,0),0)*AK2139,0)</f>
        <v>0</v>
      </c>
      <c r="AN2139" cm="1">
        <f t="array" ref="AN2139">IFERROR(INDEX(hd_cap,MATCH(AQ2139,hd_mark,0),0),0)</f>
        <v>0</v>
      </c>
      <c r="AP2139" s="19"/>
      <c r="AQ2139" s="19"/>
      <c r="AR2139" s="100"/>
      <c r="AS2139" s="93"/>
      <c r="AT2139" s="110" t="str">
        <f>$AT$2085</f>
        <v>1.08</v>
      </c>
      <c r="AU2139" t="str">
        <f>$Q$2069</f>
        <v>L2</v>
      </c>
      <c r="AV2139">
        <f>$E$21</f>
        <v>10.6875</v>
      </c>
      <c r="AW2139" cm="1">
        <f t="array" ref="AW2139">IFERROR(IF(AV2139=0,0,(INDEX($C$33:$C$38,MATCH($AZ$2085,$B$33:$B$38,0),0)*(AV2143+$BA$2085)+$AW$2085*COUNTIF(AV2139:AV2142,"&gt;0")*$C$32+$AY$2085*$C$31)*$AU$2085),0)</f>
        <v>0</v>
      </c>
      <c r="AX2139">
        <f>IF(AV2139=0,0,-(COUNTIF(AV2139:AV2142,"&gt;0")*$AW$2085*$C$32+$AY$2085*$C$31)*$H$27*$AU$2085)</f>
        <v>0</v>
      </c>
      <c r="AY2139">
        <f>IF(AV2139=0,0,$AY$2085*$H$26*$AU$2085)</f>
        <v>0</v>
      </c>
      <c r="AZ2139">
        <f>(0.6*AW2139+0.7*AX2139)*$AU$2085/2</f>
        <v>0</v>
      </c>
      <c r="BA2139">
        <f>(0.6*AW2139+0.6*AY2139)*$AU$2085/2</f>
        <v>0</v>
      </c>
      <c r="BC2139">
        <f>IF(AV2139=0,0,$BG$2085*$AP$2069)</f>
        <v>0</v>
      </c>
      <c r="BD2139">
        <f>IFERROR(BC2139/$AU$2085,0)</f>
        <v>0</v>
      </c>
      <c r="BE2139">
        <f>BC2139*($F$21+IF($F$21=0,0,($C$14+$C$15+IF($C$13="single",1.5,3)+3)/12))</f>
        <v>0</v>
      </c>
      <c r="BF2139">
        <f>BE2139-AZ2139</f>
        <v>0</v>
      </c>
      <c r="BG2139" cm="1">
        <f t="array" ref="BG2139">IFERROR(IF(BF2139&lt;0,0,BF2139/($AU$2085-INDEX(hd_off,MATCH(BT2139,hd_mark,0),0)/12)),0)</f>
        <v>0</v>
      </c>
      <c r="BH2139">
        <f>IF(AV2139=0,0,$BG$2085*$AM$2069)</f>
        <v>0</v>
      </c>
      <c r="BI2139">
        <f>IFERROR(BH2139/$AU$2085,0)</f>
        <v>0</v>
      </c>
      <c r="BJ2139">
        <f>BH2139*($F$21+IF($F$21=0,0,($C$14+$C$15+IF($C$13="single",1.5,3)+3)/12))</f>
        <v>0</v>
      </c>
      <c r="BK2139">
        <f>BJ2139-BA2139</f>
        <v>0</v>
      </c>
      <c r="BL2139" cm="1">
        <f t="array" ref="BL2139">IFERROR(IF(BK2139&lt;0,0,BK2139/($AU$2085-INDEX(hd_off,MATCH(BT2139,hd_mark,0),0)/12)),0)</f>
        <v>0</v>
      </c>
      <c r="BM2139">
        <f>MAX($F$21,$BB$2085)/$Q$2100</f>
        <v>0.30172413793103448</v>
      </c>
      <c r="BN2139">
        <f>IF(BM2139=0,0,IF(BM2139&gt;2,1.25-0.125*BM2139,1))</f>
        <v>1</v>
      </c>
      <c r="BO2139" cm="1">
        <f t="array" ref="BO2139">IFERROR(INDEX(sheath_ecap_asd,MATCH(BS2139,sheath_mark,0),0)*BN2139,0)</f>
        <v>0</v>
      </c>
      <c r="BP2139" cm="1">
        <f t="array" ref="BP2139">IFERROR(INDEX(sheath_wcap_asd,MATCH(BS2139,sheath_mark,0),0)*BN2139,0)</f>
        <v>0</v>
      </c>
      <c r="BQ2139" cm="1">
        <f t="array" ref="BQ2139">IFERROR(INDEX(hd_cap,MATCH(BT2139,hd_mark,0),0),0)</f>
        <v>0</v>
      </c>
      <c r="BS2139" s="19"/>
      <c r="BT2139" s="19"/>
      <c r="BU2139" s="100"/>
    </row>
    <row r="2140" x14ac:dyDescent="0.25">
      <c r="P2140" s="93"/>
      <c r="Q2140" s="109"/>
      <c r="R2140" t="str">
        <f>$Q$2070</f>
        <v>L3</v>
      </c>
      <c r="S2140">
        <f>$E$22</f>
        <v>21.375</v>
      </c>
      <c r="T2140" cm="1">
        <f t="array" ref="T2140">IFERROR(IF(S2140=0,0,(INDEX($C$33:$C$38,MATCH($W$2085,$B$33:$B$38,0),0)*(S2143+$X$2085)+$T$2085*COUNTIF(S2140:S2142,"&gt;0")*$C$32+$V$2085*$C$31)*$R$2085),0)</f>
        <v>0</v>
      </c>
      <c r="U2140">
        <f>IF(S2140=0,0,-(COUNTIF(S2140:S2142,"&gt;0")*$T$2085*$C$32+$V$2085*$C$31)*$H$27*$R$2085)</f>
        <v>0</v>
      </c>
      <c r="V2140">
        <f>IF(S2140=0,0,$V$2085*$H$26*$R$2085)</f>
        <v>0</v>
      </c>
      <c r="W2140">
        <f>(0.6*T2140+0.7*U2140)*$R$2085/2</f>
        <v>0</v>
      </c>
      <c r="X2140">
        <f>T2140*$R$2085/2</f>
        <v>0</v>
      </c>
      <c r="Z2140">
        <f>IF(S2140=0,0,$AD$2085*$AP$2070)</f>
        <v>0</v>
      </c>
      <c r="AA2140">
        <f>IFERROR(Z2140/$R$2085,0)</f>
        <v>0</v>
      </c>
      <c r="AB2140">
        <f>Z2140*($F$22+IF($F$22=0,0,($C$14+$C$15+IF($C$13="single",1.5,3)+3)/12))</f>
        <v>0</v>
      </c>
      <c r="AC2140">
        <f>AB2140-W2140</f>
        <v>0</v>
      </c>
      <c r="AD2140" cm="1">
        <f t="array" ref="AD2140">IFERROR(IF(AC2140&lt;0,0,AC2140/($R$2085-INDEX(hd_off,MATCH(AQ2140,hd_mark,0),0)/12)),0)</f>
        <v>0</v>
      </c>
      <c r="AE2140">
        <f>IF(S2140=0,0,$AD$2085*$AM$2070)</f>
        <v>0</v>
      </c>
      <c r="AF2140">
        <f>IFERROR(AE2140/$R$2085,0)</f>
        <v>0</v>
      </c>
      <c r="AG2140">
        <f>AE2140*($F$22+IF($F$22=0,0,($C$14+$C$15+IF($C$13="single",1.5,3)+3)/12))</f>
        <v>0</v>
      </c>
      <c r="AH2140">
        <f>AG2140-X2140</f>
        <v>0</v>
      </c>
      <c r="AI2140" cm="1">
        <f t="array" ref="AI2140">IFERROR(IF(AH2140&lt;0,0,AH2140/($R$2085-INDEX(hd_off,MATCH(AQ2140,hd_mark,0),0)/12)),0)</f>
        <v>0</v>
      </c>
      <c r="AJ2140">
        <f>MAX($F$22,$Z$2085)/$Q$2100</f>
        <v>0.30172413793103448</v>
      </c>
      <c r="AK2140">
        <f t="shared" ref="AK2140:AK2143" si="1324">IF(AJ2140=0,0,IF(AJ2140&gt;2,1.25-0.125*AJ2140,1))</f>
        <v>1</v>
      </c>
      <c r="AL2140" cm="1">
        <f t="array" ref="AL2140">IFERROR(INDEX(sheath_ecap_asd,MATCH(AP2140,sheath_mark,0),0)*AK2140,0)</f>
        <v>0</v>
      </c>
      <c r="AM2140" cm="1">
        <f t="array" ref="AM2140">IFERROR(INDEX(sheath_wcap_asd,MATCH(AP2140,sheath_mark,0),0)*AK2140,0)</f>
        <v>0</v>
      </c>
      <c r="AN2140" cm="1">
        <f t="array" ref="AN2140">IFERROR(INDEX(hd_cap,MATCH(AQ2140,hd_mark,0),0),0)</f>
        <v>0</v>
      </c>
      <c r="AP2140" s="19"/>
      <c r="AQ2140" s="19"/>
      <c r="AR2140" s="100"/>
      <c r="AS2140" s="93"/>
      <c r="AT2140" s="109"/>
      <c r="AU2140" t="str">
        <f>$Q$2070</f>
        <v>L3</v>
      </c>
      <c r="AV2140">
        <f>$E$22</f>
        <v>21.375</v>
      </c>
      <c r="AW2140" cm="1">
        <f t="array" ref="AW2140">IFERROR(IF(AV2140=0,0,(INDEX($C$33:$C$38,MATCH($AZ$2085,$B$33:$B$38,0),0)*(AV2143+$BA$2085)+$AW$2085*COUNTIF(AV2140:AV2142,"&gt;0")*$C$32+$AY$2085*$C$31)*$AU$2085),0)</f>
        <v>0</v>
      </c>
      <c r="AX2140">
        <f>IF(AV2140=0,0,-(COUNTIF(AV2140:AV2142,"&gt;0")*$AW$2085*$C$32+$AY$2085*$C$31)*$H$27*$AU$2085)</f>
        <v>0</v>
      </c>
      <c r="AY2140">
        <f>IF(AV2140=0,0,$AY$2085*$H$26*$AU$2085)</f>
        <v>0</v>
      </c>
      <c r="AZ2140">
        <f>(0.6*AW2140+0.7*AX2140)*$AU$2085/2</f>
        <v>0</v>
      </c>
      <c r="BA2140">
        <f>AW2140*$AU$2085/2</f>
        <v>0</v>
      </c>
      <c r="BC2140">
        <f>IF(AV2140=0,0,$BG$2085*$AP$2070)</f>
        <v>0</v>
      </c>
      <c r="BD2140">
        <f>IFERROR(BC2140/$AU$2085,0)</f>
        <v>0</v>
      </c>
      <c r="BE2140">
        <f>BC2140*($F$22+IF($F$22=0,0,($C$14+$C$15+IF($C$13="single",1.5,3)+3)/12))</f>
        <v>0</v>
      </c>
      <c r="BF2140">
        <f>BE2140-AZ2140</f>
        <v>0</v>
      </c>
      <c r="BG2140" cm="1">
        <f t="array" ref="BG2140">IFERROR(IF(BF2140&lt;0,0,BF2140/($AU$2085-INDEX(hd_off,MATCH(BT2140,hd_mark,0),0)/12)),0)</f>
        <v>0</v>
      </c>
      <c r="BH2140">
        <f>IF(AV2140=0,0,$BG$2085*$AM$2070)</f>
        <v>0</v>
      </c>
      <c r="BI2140">
        <f>IFERROR(BH2140/$AU$2085,0)</f>
        <v>0</v>
      </c>
      <c r="BJ2140">
        <f>BH2140*($F$22+IF($F$22=0,0,($C$14+$C$15+IF($C$13="single",1.5,3)+3)/12))</f>
        <v>0</v>
      </c>
      <c r="BK2140">
        <f>BJ2140-BA2140</f>
        <v>0</v>
      </c>
      <c r="BL2140" cm="1">
        <f t="array" ref="BL2140">IFERROR(IF(BK2140&lt;0,0,BK2140/($AU$2085-INDEX(hd_off,MATCH(BT2140,hd_mark,0),0)/12)),0)</f>
        <v>0</v>
      </c>
      <c r="BM2140">
        <f>MAX($F$22,$BC$2085)/$Q$2100</f>
        <v>0.30172413793103448</v>
      </c>
      <c r="BN2140">
        <f t="shared" ref="BN2140:BN2143" si="1325">IF(BM2140=0,0,IF(BM2140&gt;2,1.25-0.125*BM2140,1))</f>
        <v>1</v>
      </c>
      <c r="BO2140" cm="1">
        <f t="array" ref="BO2140">IFERROR(INDEX(sheath_ecap_asd,MATCH(BS2140,sheath_mark,0),0)*BN2140,0)</f>
        <v>0</v>
      </c>
      <c r="BP2140" cm="1">
        <f t="array" ref="BP2140">IFERROR(INDEX(sheath_wcap_asd,MATCH(BS2140,sheath_mark,0),0)*BN2140,0)</f>
        <v>0</v>
      </c>
      <c r="BQ2140" cm="1">
        <f t="array" ref="BQ2140">IFERROR(INDEX(hd_cap,MATCH(BT2140,hd_mark,0),0),0)</f>
        <v>0</v>
      </c>
      <c r="BS2140" s="19"/>
      <c r="BT2140" s="19"/>
      <c r="BU2140" s="100"/>
    </row>
    <row r="2141" x14ac:dyDescent="0.25">
      <c r="P2141" s="93"/>
      <c r="Q2141" s="109" t="s">
        <v>491</v>
      </c>
      <c r="R2141" t="str">
        <f>$Q$2071</f>
        <v>L4</v>
      </c>
      <c r="S2141">
        <f>$E$23</f>
        <v>0</v>
      </c>
      <c r="T2141" cm="1">
        <f t="array" ref="T2141">IFERROR(IF(S2141=0,0,(INDEX($C$33:$C$38,MATCH($W$2085,$B$33:$B$38,0),0)*(S2143+$X$2085)+$T$2085*COUNTIF(S2141:S2142,"&gt;0")*$C$32+$V$2085*$C$31)*$R$2085),0)</f>
        <v>0</v>
      </c>
      <c r="U2141">
        <f>IF(S2141=0,0,-(COUNTIF(S2141:S2142,"&gt;0")*$T$2085*$C$32+$V$2085*$C$31)*$H$27*$R$2085)</f>
        <v>0</v>
      </c>
      <c r="V2141">
        <f>IF(S2141=0,0,$V$2085*$H$26*$R$2085)</f>
        <v>0</v>
      </c>
      <c r="W2141">
        <f>(0.6*T2141+0.7*U2141)*$R$2085/2</f>
        <v>0</v>
      </c>
      <c r="X2141">
        <f>T2141*$R$2085/2</f>
        <v>0</v>
      </c>
      <c r="Z2141">
        <f>IF(S2141=0,0,$AD$2085*$AP$2071)</f>
        <v>0</v>
      </c>
      <c r="AA2141">
        <f>IFERROR(Z2141/$R$2085,0)</f>
        <v>0</v>
      </c>
      <c r="AB2141">
        <f>Z2141*($F$23+IF($F$23=0,0,($C$14+$C$15+IF($C$13="single",1.5,3)+3)/12))</f>
        <v>0</v>
      </c>
      <c r="AC2141">
        <f>AB2141-W2141</f>
        <v>0</v>
      </c>
      <c r="AD2141" cm="1">
        <f t="array" ref="AD2141">IFERROR(IF(AC2141&lt;0,0,AC2141/($R$2085-INDEX(hd_off,MATCH(AQ2141,hd_mark,0),0)/12)),0)</f>
        <v>0</v>
      </c>
      <c r="AE2141">
        <f>IF(S2141=0,0,$AD$2085*$AM$2071)</f>
        <v>0</v>
      </c>
      <c r="AF2141">
        <f>IFERROR(AE2141/$R$2085,0)</f>
        <v>0</v>
      </c>
      <c r="AG2141">
        <f>AE2141*($F$23+IF($F$23=0,0,($C$14+$C$15+IF($C$13="single",1.5,3)+3)/12))</f>
        <v>0</v>
      </c>
      <c r="AH2141">
        <f>AG2141-X2141</f>
        <v>0</v>
      </c>
      <c r="AI2141" cm="1">
        <f t="array" ref="AI2141">IFERROR(IF(AH2141&lt;0,0,AH2141/($R$2085-INDEX(hd_off,MATCH(AQ2141,hd_mark,0),0)/12)),0)</f>
        <v>0</v>
      </c>
      <c r="AJ2141">
        <f>MAX($F$23,$AA$2085)/$Q$2100</f>
        <v>0</v>
      </c>
      <c r="AK2141">
        <f t="shared" si="1324"/>
        <v>0</v>
      </c>
      <c r="AL2141" cm="1">
        <f t="array" ref="AL2141">IFERROR(INDEX(sheath_ecap_asd,MATCH(AP2141,sheath_mark,0),0)*AK2141,0)</f>
        <v>0</v>
      </c>
      <c r="AM2141" cm="1">
        <f t="array" ref="AM2141">IFERROR(INDEX(sheath_wcap_asd,MATCH(AP2141,sheath_mark,0),0)*AK2141,0)</f>
        <v>0</v>
      </c>
      <c r="AN2141" cm="1">
        <f t="array" ref="AN2141">IFERROR(INDEX(hd_cap,MATCH(AQ2141,hd_mark,0),0),0)</f>
        <v>0</v>
      </c>
      <c r="AP2141" s="19"/>
      <c r="AQ2141" s="19"/>
      <c r="AR2141" s="100"/>
      <c r="AS2141" s="93"/>
      <c r="AT2141" s="109" t="s">
        <v>491</v>
      </c>
      <c r="AU2141" t="str">
        <f>$Q$2071</f>
        <v>L4</v>
      </c>
      <c r="AV2141">
        <f>$E$23</f>
        <v>0</v>
      </c>
      <c r="AW2141" cm="1">
        <f t="array" ref="AW2141">IFERROR(IF(AV2141=0,0,(INDEX($C$33:$C$38,MATCH($AZ$2085,$B$33:$B$38,0),0)*(AV2143+$BA$2085)+$AW$2085*COUNTIF(AV2141:AV2142,"&gt;0")*$C$32+$AY$2085*$C$31)*$AU$2085),0)</f>
        <v>0</v>
      </c>
      <c r="AX2141">
        <f>IF(AV2141=0,0,-(COUNTIF(AV2141:AV2142,"&gt;0")*$AW$2085*$C$32+$AY$2085*$C$31)*$H$27*$AU$2085)</f>
        <v>0</v>
      </c>
      <c r="AY2141">
        <f>IF(AV2141=0,0,$AY$2085*$H$26*$AU$2085)</f>
        <v>0</v>
      </c>
      <c r="AZ2141">
        <f>(0.6*AW2141+0.7*AX2141)*$AU$2085/2</f>
        <v>0</v>
      </c>
      <c r="BA2141">
        <f>AW2141*$AU$2085/2</f>
        <v>0</v>
      </c>
      <c r="BC2141">
        <f>IF(AV2141=0,0,$BG$2085*$AP$2071)</f>
        <v>0</v>
      </c>
      <c r="BD2141">
        <f>IFERROR(BC2141/$AU$2085,0)</f>
        <v>0</v>
      </c>
      <c r="BE2141">
        <f>BC2141*($F$23+IF($F$23=0,0,($C$14+$C$15+IF($C$13="single",1.5,3)+3)/12))</f>
        <v>0</v>
      </c>
      <c r="BF2141">
        <f>BE2141-AZ2141</f>
        <v>0</v>
      </c>
      <c r="BG2141" cm="1">
        <f t="array" ref="BG2141">IFERROR(IF(BF2141&lt;0,0,BF2141/($AU$2085-INDEX(hd_off,MATCH(BT2141,hd_mark,0),0)/12)),0)</f>
        <v>0</v>
      </c>
      <c r="BH2141">
        <f>IF(AV2141=0,0,$BG$2085*$AM$2071)</f>
        <v>0</v>
      </c>
      <c r="BI2141">
        <f>IFERROR(BH2141/$AU$2085,0)</f>
        <v>0</v>
      </c>
      <c r="BJ2141">
        <f>BH2141*($F$23+IF($F$23=0,0,($C$14+$C$15+IF($C$13="single",1.5,3)+3)/12))</f>
        <v>0</v>
      </c>
      <c r="BK2141">
        <f>BJ2141-BA2141</f>
        <v>0</v>
      </c>
      <c r="BL2141" cm="1">
        <f t="array" ref="BL2141">IFERROR(IF(BK2141&lt;0,0,BK2141/($AU$2085-INDEX(hd_off,MATCH(BT2141,hd_mark,0),0)/12)),0)</f>
        <v>0</v>
      </c>
      <c r="BM2141">
        <f>MAX($F$23,$BD$2085)/$Q$2100</f>
        <v>0</v>
      </c>
      <c r="BN2141">
        <f t="shared" si="1325"/>
        <v>0</v>
      </c>
      <c r="BO2141" cm="1">
        <f t="array" ref="BO2141">IFERROR(INDEX(sheath_ecap_asd,MATCH(BS2141,sheath_mark,0),0)*BN2141,0)</f>
        <v>0</v>
      </c>
      <c r="BP2141" cm="1">
        <f t="array" ref="BP2141">IFERROR(INDEX(sheath_wcap_asd,MATCH(BS2141,sheath_mark,0),0)*BN2141,0)</f>
        <v>0</v>
      </c>
      <c r="BQ2141" cm="1">
        <f t="array" ref="BQ2141">IFERROR(INDEX(hd_cap,MATCH(BT2141,hd_mark,0),0),0)</f>
        <v>0</v>
      </c>
      <c r="BS2141" s="19"/>
      <c r="BT2141" s="19"/>
      <c r="BU2141" s="100"/>
    </row>
    <row r="2142" x14ac:dyDescent="0.25">
      <c r="P2142" s="93"/>
      <c r="Q2142" s="111">
        <f>$R$2085</f>
        <v>0</v>
      </c>
      <c r="R2142" t="str">
        <f>$Q$2072</f>
        <v>L5</v>
      </c>
      <c r="S2142">
        <f>$E$24</f>
        <v>0</v>
      </c>
      <c r="T2142" cm="1">
        <f t="array" ref="T2142">IFERROR(IF(S2142=0,0,(INDEX($C$33:$C$38,MATCH($W$2085,$B$33:$B$38,0),0)*(S2143+$X$2085)+$T$2085*COUNTIF(S2142:S2142,"&gt;0")*$C$32+$V$2085*$C$31)*$R$2085),0)</f>
        <v>0</v>
      </c>
      <c r="U2142">
        <f>IF(S2142=0,0,-(COUNTIF(S2142:S2142,"&gt;0")*$T$2085*$C$32+$V$2085*$C$31)*$H$27*$R$2085)</f>
        <v>0</v>
      </c>
      <c r="V2142">
        <f>IF(S2142=0,0,$V$2085*$H$26*$R$2085)</f>
        <v>0</v>
      </c>
      <c r="W2142">
        <f>(0.6*T2142+0.7*U2142)*$R$2085/2</f>
        <v>0</v>
      </c>
      <c r="X2142">
        <f>T2142*$R$2085/2</f>
        <v>0</v>
      </c>
      <c r="Z2142">
        <f>IF(S2142=0,0,$AD$2085*$AP$2072)</f>
        <v>0</v>
      </c>
      <c r="AA2142">
        <f>IFERROR(Z2142/$R$2085,0)</f>
        <v>0</v>
      </c>
      <c r="AB2142">
        <f>Z2142*($F$24+IF($F$24=0,0,($C$14+$C$15+IF($C$13="single",1.5,3)+3)/12))</f>
        <v>0</v>
      </c>
      <c r="AC2142">
        <f>AB2142-W2142</f>
        <v>0</v>
      </c>
      <c r="AD2142" cm="1">
        <f t="array" ref="AD2142">IFERROR(IF(AC2142&lt;0,0,AC2142/($R$2085-INDEX(hd_off,MATCH(AQ2142,hd_mark,0),0)/12)),0)</f>
        <v>0</v>
      </c>
      <c r="AE2142">
        <f>IF(S2142=0,0,$AD$2085*$AM$2072)</f>
        <v>0</v>
      </c>
      <c r="AF2142">
        <f>IFERROR(AE2142/$R$2085,0)</f>
        <v>0</v>
      </c>
      <c r="AG2142">
        <f>AE2142*($F$24+IF($F$24=0,0,($C$14+$C$15+IF($C$13="single",1.5,3)+3)/12))</f>
        <v>0</v>
      </c>
      <c r="AH2142">
        <f>AG2142-X2142</f>
        <v>0</v>
      </c>
      <c r="AI2142" cm="1">
        <f t="array" ref="AI2142">IFERROR(IF(AH2142&lt;0,0,AH2142/($R$2085-INDEX(hd_off,MATCH(AQ2142,hd_mark,0),0)/12)),0)</f>
        <v>0</v>
      </c>
      <c r="AJ2142">
        <f>MAX($F$24,$AB$2085)/$Q$2100</f>
        <v>0</v>
      </c>
      <c r="AK2142">
        <f t="shared" si="1324"/>
        <v>0</v>
      </c>
      <c r="AL2142" cm="1">
        <f t="array" ref="AL2142">IFERROR(INDEX(sheath_ecap_asd,MATCH(AP2142,sheath_mark,0),0)*AK2142,0)</f>
        <v>0</v>
      </c>
      <c r="AM2142" cm="1">
        <f t="array" ref="AM2142">IFERROR(INDEX(sheath_wcap_asd,MATCH(AP2142,sheath_mark,0),0)*AK2142,0)</f>
        <v>0</v>
      </c>
      <c r="AN2142" cm="1">
        <f t="array" ref="AN2142">IFERROR(INDEX(hd_cap,MATCH(AQ2142,hd_mark,0),0),0)</f>
        <v>0</v>
      </c>
      <c r="AP2142" s="19"/>
      <c r="AQ2142" s="19"/>
      <c r="AR2142" s="100"/>
      <c r="AS2142" s="93"/>
      <c r="AT2142" s="111">
        <f>$R$2085</f>
        <v>0</v>
      </c>
      <c r="AU2142" t="str">
        <f>$Q$2072</f>
        <v>L5</v>
      </c>
      <c r="AV2142">
        <f>$E$24</f>
        <v>0</v>
      </c>
      <c r="AW2142" cm="1">
        <f t="array" ref="AW2142">IFERROR(IF(AV2142=0,0,(INDEX($C$33:$C$38,MATCH($AZ$2085,$B$33:$B$38,0),0)*(AV2143+$BA$2085)+$AW$2085*COUNTIF(AV2142:AV2142,"&gt;0")*$C$32+$AY$2085*$C$31)*$AU$2085),0)</f>
        <v>0</v>
      </c>
      <c r="AX2142">
        <f>IF(AV2142=0,0,-(COUNTIF(AV2142:AV2142,"&gt;0")*$AW$2085*$C$32+$AY$2085*$C$31)*$H$27*$AU$2085)</f>
        <v>0</v>
      </c>
      <c r="AY2142">
        <f>IF(AV2142=0,0,$AY$2085*$H$26*$AU$2085)</f>
        <v>0</v>
      </c>
      <c r="AZ2142">
        <f>(0.6*AW2142+0.7*AX2142)*$AU$2085/2</f>
        <v>0</v>
      </c>
      <c r="BA2142">
        <f>AW2142*$AU$2085/2</f>
        <v>0</v>
      </c>
      <c r="BC2142">
        <f>IF(AV2142=0,0,$BG$2085*$AP$2072)</f>
        <v>0</v>
      </c>
      <c r="BD2142">
        <f>IFERROR(BC2142/$AU$2085,0)</f>
        <v>0</v>
      </c>
      <c r="BE2142">
        <f>BC2142*($F$24+IF($F$24=0,0,($C$14+$C$15+IF($C$13="single",1.5,3)+3)/12))</f>
        <v>0</v>
      </c>
      <c r="BF2142">
        <f>BE2142-AZ2142</f>
        <v>0</v>
      </c>
      <c r="BG2142" cm="1">
        <f t="array" ref="BG2142">IFERROR(IF(BF2142&lt;0,0,BF2142/($AU$2085-INDEX(hd_off,MATCH(BT2142,hd_mark,0),0)/12)),0)</f>
        <v>0</v>
      </c>
      <c r="BH2142">
        <f>IF(AV2142=0,0,$BG$2085*$AM$2072)</f>
        <v>0</v>
      </c>
      <c r="BI2142">
        <f>IFERROR(BH2142/$AU$2085,0)</f>
        <v>0</v>
      </c>
      <c r="BJ2142">
        <f>BH2142*($F$24+IF($F$24=0,0,($C$14+$C$15+IF($C$13="single",1.5,3)+3)/12))</f>
        <v>0</v>
      </c>
      <c r="BK2142">
        <f>BJ2142-BA2142</f>
        <v>0</v>
      </c>
      <c r="BL2142" cm="1">
        <f t="array" ref="BL2142">IFERROR(IF(BK2142&lt;0,0,BK2142/($AU$2085-INDEX(hd_off,MATCH(BT2142,hd_mark,0),0)/12)),0)</f>
        <v>0</v>
      </c>
      <c r="BM2142">
        <f>MAX($F$24,$BE$2085)/$Q$2100</f>
        <v>0</v>
      </c>
      <c r="BN2142">
        <f t="shared" si="1325"/>
        <v>0</v>
      </c>
      <c r="BO2142" cm="1">
        <f t="array" ref="BO2142">IFERROR(INDEX(sheath_ecap_asd,MATCH(BS2142,sheath_mark,0),0)*BN2142,0)</f>
        <v>0</v>
      </c>
      <c r="BP2142" cm="1">
        <f t="array" ref="BP2142">IFERROR(INDEX(sheath_wcap_asd,MATCH(BS2142,sheath_mark,0),0)*BN2142,0)</f>
        <v>0</v>
      </c>
      <c r="BQ2142" cm="1">
        <f t="array" ref="BQ2142">IFERROR(INDEX(hd_cap,MATCH(BT2142,hd_mark,0),0),0)</f>
        <v>0</v>
      </c>
      <c r="BS2142" s="19"/>
      <c r="BT2142" s="19"/>
      <c r="BU2142" s="100"/>
    </row>
    <row r="2143" x14ac:dyDescent="0.25">
      <c r="P2143" s="93"/>
      <c r="Q2143" s="109"/>
      <c r="R2143" t="str">
        <f>$Q$2073</f>
        <v>Roof</v>
      </c>
      <c r="S2143">
        <f>$E$25</f>
        <v>33.171875</v>
      </c>
      <c r="T2143" cm="1">
        <f t="array" ref="T2143">IFERROR(IF(S2143=0,0,(INDEX($C$33:$C$38,MATCH($W$2085,$B$33:$B$38,0),0)*(S2143+$X$2085)+$V$2085*$C$31)*$R$2085),0)</f>
        <v>0</v>
      </c>
      <c r="U2143">
        <f>IF(S2143=0,0,-$V$2085*$C$31*$H$27*$R$2085)</f>
        <v>0</v>
      </c>
      <c r="V2143">
        <f>IF(S2143=0,0,$V$2085*$H$26*$R$2085)</f>
        <v>0</v>
      </c>
      <c r="W2143">
        <f>(0.6*T2143+0.7*U2143)*$R$2085/2</f>
        <v>0</v>
      </c>
      <c r="X2143">
        <f>T2143*$R$2085/2</f>
        <v>0</v>
      </c>
      <c r="Z2143">
        <f>IF(S2143=0,0,$AD$2085*$AP$2073)</f>
        <v>0</v>
      </c>
      <c r="AA2143">
        <f>IFERROR(Z2143/$R$2085,0)</f>
        <v>0</v>
      </c>
      <c r="AB2143">
        <f>Z2143*($F$25+($C$16+$C$17+IF($C$13="single",1.5,3)+3)/12)</f>
        <v>0</v>
      </c>
      <c r="AC2143">
        <f>AB2143-W2143</f>
        <v>0</v>
      </c>
      <c r="AD2143" cm="1">
        <f t="array" ref="AD2143">IFERROR(IF(AC2143&lt;0,0,AC2143/($R$2085-INDEX(hd_off,MATCH(AQ2143,hd_mark,0),0)/12)),0)</f>
        <v>0</v>
      </c>
      <c r="AE2143">
        <f>IF(S2143=0,0,$AD$2085*$AM$2073)</f>
        <v>0</v>
      </c>
      <c r="AF2143">
        <f>IFERROR(AE2143/$R$2085,0)</f>
        <v>0</v>
      </c>
      <c r="AG2143">
        <f>AE2143*($F$25+($C$16+$C$17+IF($C$13="single",1.5,3)+3)/12)</f>
        <v>0</v>
      </c>
      <c r="AH2143">
        <f>AG2143-X2143</f>
        <v>0</v>
      </c>
      <c r="AI2143" cm="1">
        <f t="array" ref="AI2143">IFERROR(IF(AH2143&lt;0,0,AH2143/($R$2085-INDEX(hd_off,MATCH(AQ2143,hd_mark,0),0)/12)),0)</f>
        <v>0</v>
      </c>
      <c r="AJ2143">
        <f>MAX($F$25,$AC$2085)/$Q$2100</f>
        <v>0.29920977011494249</v>
      </c>
      <c r="AK2143">
        <f t="shared" si="1324"/>
        <v>1</v>
      </c>
      <c r="AL2143" cm="1">
        <f t="array" ref="AL2143">IFERROR(INDEX(sheath_ecap_asd,MATCH(AP2143,sheath_mark,0),0)*AK2143,0)</f>
        <v>0</v>
      </c>
      <c r="AM2143" cm="1">
        <f t="array" ref="AM2143">IFERROR(INDEX(sheath_wcap_asd,MATCH(AP2143,sheath_mark,0),0)*AK2143,0)</f>
        <v>0</v>
      </c>
      <c r="AN2143" cm="1">
        <f t="array" ref="AN2143">IFERROR(INDEX(hd_cap,MATCH(AQ2143,hd_mark,0),0),0)</f>
        <v>0</v>
      </c>
      <c r="AP2143" s="19"/>
      <c r="AQ2143" s="19"/>
      <c r="AR2143" s="100"/>
      <c r="AS2143" s="93"/>
      <c r="AT2143" s="109"/>
      <c r="AU2143" t="str">
        <f>$Q$2073</f>
        <v>Roof</v>
      </c>
      <c r="AV2143">
        <f>$E$25</f>
        <v>33.171875</v>
      </c>
      <c r="AW2143" cm="1">
        <f t="array" ref="AW2143">IFERROR(IF(AV2143=0,0,(INDEX($C$33:$C$38,MATCH($AZ$2085,$B$33:$B$38,0),0)*(AV2143+$BA$2085)+$AY$2085*$C$31)*$AU$2085),0)</f>
        <v>0</v>
      </c>
      <c r="AX2143">
        <f>IF(AV2143=0,0,-$AY$2085*$C$31*$H$27*$AU$2085)</f>
        <v>0</v>
      </c>
      <c r="AY2143">
        <f>IF(AV2143=0,0,$AY$2085*$H$26*$AU$2085)</f>
        <v>0</v>
      </c>
      <c r="AZ2143">
        <f>(0.6*AW2143+0.7*AX2143)*$AU$2085/2</f>
        <v>0</v>
      </c>
      <c r="BA2143">
        <f>AW2143*$AU$2085/2</f>
        <v>0</v>
      </c>
      <c r="BC2143">
        <f>IF(AV2143=0,0,$BG$2085*$AP$2073)</f>
        <v>0</v>
      </c>
      <c r="BD2143">
        <f>IFERROR(BC2143/$AU$2085,0)</f>
        <v>0</v>
      </c>
      <c r="BE2143">
        <f>BC2143*($F$25+($C$16+$C$17+IF($C$13="single",1.5,3)+3)/12)</f>
        <v>0</v>
      </c>
      <c r="BF2143">
        <f>BE2143-AZ2143</f>
        <v>0</v>
      </c>
      <c r="BG2143" cm="1">
        <f t="array" ref="BG2143">IFERROR(IF(BF2143&lt;0,0,BF2143/($AU$2085-INDEX(hd_off,MATCH(BT2143,hd_mark,0),0)/12)),0)</f>
        <v>0</v>
      </c>
      <c r="BH2143">
        <f>IF(AV2143=0,0,$BG$2085*$AM$2073)</f>
        <v>0</v>
      </c>
      <c r="BI2143">
        <f>IFERROR(BH2143/$AU$2085,0)</f>
        <v>0</v>
      </c>
      <c r="BJ2143">
        <f>BH2143*($F$25+($C$16+$C$17+IF($C$13="single",1.5,3)+3)/12)</f>
        <v>0</v>
      </c>
      <c r="BK2143">
        <f>BJ2143-BA2143</f>
        <v>0</v>
      </c>
      <c r="BL2143" cm="1">
        <f t="array" ref="BL2143">IFERROR(IF(BK2143&lt;0,0,BK2143/($AU$2085-INDEX(hd_off,MATCH(BT2143,hd_mark,0),0)/12)),0)</f>
        <v>0</v>
      </c>
      <c r="BM2143">
        <f>MAX($F$25,$BF$2085)/$Q$2100</f>
        <v>0.29920977011494249</v>
      </c>
      <c r="BN2143">
        <f t="shared" si="1325"/>
        <v>1</v>
      </c>
      <c r="BO2143" cm="1">
        <f t="array" ref="BO2143">IFERROR(INDEX(sheath_ecap_asd,MATCH(BS2143,sheath_mark,0),0)*BN2143,0)</f>
        <v>0</v>
      </c>
      <c r="BP2143" cm="1">
        <f t="array" ref="BP2143">IFERROR(INDEX(sheath_wcap_asd,MATCH(BS2143,sheath_mark,0),0)*BN2143,0)</f>
        <v>0</v>
      </c>
      <c r="BQ2143" cm="1">
        <f t="array" ref="BQ2143">IFERROR(INDEX(hd_cap,MATCH(BT2143,hd_mark,0),0),0)</f>
        <v>0</v>
      </c>
      <c r="BS2143" s="19"/>
      <c r="BT2143" s="19"/>
      <c r="BU2143" s="100"/>
    </row>
    <row r="2144" x14ac:dyDescent="0.25">
      <c r="P2144" s="93"/>
      <c r="AR2144" s="100"/>
      <c r="AS2144" s="93"/>
      <c r="BU2144" s="100"/>
    </row>
    <row r="2145" x14ac:dyDescent="0.25">
      <c r="P2145" s="93"/>
      <c r="Q2145" s="110" t="str">
        <f>$Q$2086</f>
        <v>A.09</v>
      </c>
      <c r="R2145" t="str">
        <f>$Q$2069</f>
        <v>L2</v>
      </c>
      <c r="S2145">
        <f>$E$21</f>
        <v>10.6875</v>
      </c>
      <c r="T2145" cm="1">
        <f t="array" ref="T2145">IFERROR(IF(S2145=0,0,(INDEX($C$33:$C$38,MATCH($W$2086,$B$33:$B$38,0),0)*(S2149+$X$2086)+$T$2086*COUNTIF(S2145:S2148,"&gt;0")*$C$32+$V$2086*$C$31)*$R$2086),0)</f>
        <v>0</v>
      </c>
      <c r="U2145">
        <f>IF(S2145=0,0,-(COUNTIF(S2145:S2148,"&gt;0")*$T$2086*$C$32+$V$2086*$C$31)*$H$27*$R$2086)</f>
        <v>0</v>
      </c>
      <c r="V2145">
        <f>IF(S2145=0,0,$V$2086*$H$26*$R$2086)</f>
        <v>0</v>
      </c>
      <c r="W2145">
        <f>(0.6*T2145+0.7*U2145)*$R$2086/2</f>
        <v>0</v>
      </c>
      <c r="X2145">
        <f>(0.6*T2145+0.6*V2145)*$R$2086/2</f>
        <v>0</v>
      </c>
      <c r="Z2145">
        <f>IF(S2145=0,0,$AD$2086*$AP$2069)</f>
        <v>0</v>
      </c>
      <c r="AA2145">
        <f>IFERROR(Z2145/$R$2086,0)</f>
        <v>0</v>
      </c>
      <c r="AB2145">
        <f>Z2145*($F$21+IF($F$21=0,0,($C$14+$C$15+IF($C$13="single",1.5,3)+3)/12))</f>
        <v>0</v>
      </c>
      <c r="AC2145">
        <f>AB2145-W2145</f>
        <v>0</v>
      </c>
      <c r="AD2145" cm="1">
        <f t="array" ref="AD2145">IFERROR(IF(AC2145&lt;0,0,AC2145/($R$2086-INDEX(hd_off,MATCH(AQ2145,hd_mark,0),0)/12)),0)</f>
        <v>0</v>
      </c>
      <c r="AE2145">
        <f>IF(S2145=0,0,$AD$2086*$AM$2069)</f>
        <v>0</v>
      </c>
      <c r="AF2145">
        <f>IFERROR(AE2145/$R$2086,0)</f>
        <v>0</v>
      </c>
      <c r="AG2145">
        <f>AE2145*($F$21+IF($F$21=0,0,($C$14+$C$15+IF($C$13="single",1.5,3)+3)/12))</f>
        <v>0</v>
      </c>
      <c r="AH2145">
        <f>AG2145-X2145</f>
        <v>0</v>
      </c>
      <c r="AI2145" cm="1">
        <f t="array" ref="AI2145">IFERROR(IF(AH2145&lt;0,0,AH2145/($R$2086-INDEX(hd_off,MATCH(AQ2145,hd_mark,0),0)/12)),0)</f>
        <v>0</v>
      </c>
      <c r="AJ2145">
        <f>MAX($F$21,$Y$2086)/$Q$2100</f>
        <v>0.30172413793103448</v>
      </c>
      <c r="AK2145">
        <f>IF(AJ2145=0,0,IF(AJ2145&gt;2,1.25-0.125*AJ2145,1))</f>
        <v>1</v>
      </c>
      <c r="AL2145" cm="1">
        <f t="array" ref="AL2145">IFERROR(INDEX(sheath_ecap_asd,MATCH(AP2145,sheath_mark,0),0)*AK2145,0)</f>
        <v>0</v>
      </c>
      <c r="AM2145" cm="1">
        <f t="array" ref="AM2145">IFERROR(INDEX(sheath_wcap_asd,MATCH(AP2145,sheath_mark,0),0)*AK2145,0)</f>
        <v>0</v>
      </c>
      <c r="AN2145" cm="1">
        <f t="array" ref="AN2145">IFERROR(INDEX(hd_cap,MATCH(AQ2145,hd_mark,0),0),0)</f>
        <v>0</v>
      </c>
      <c r="AP2145" s="19"/>
      <c r="AQ2145" s="19"/>
      <c r="AR2145" s="100"/>
      <c r="AS2145" s="93"/>
      <c r="AT2145" s="110" t="str">
        <f>$AT$2086</f>
        <v>1.09</v>
      </c>
      <c r="AU2145" t="str">
        <f>$Q$2069</f>
        <v>L2</v>
      </c>
      <c r="AV2145">
        <f>$E$21</f>
        <v>10.6875</v>
      </c>
      <c r="AW2145" cm="1">
        <f t="array" ref="AW2145">IFERROR(IF(AV2145=0,0,(INDEX($C$33:$C$38,MATCH($AZ$2086,$B$33:$B$38,0),0)*(AV2149+$BA$2086)+$AW$2086*COUNTIF(AV2145:AV2148,"&gt;0")*$C$32+$AY$2086*$C$31)*$AU$2086),0)</f>
        <v>0</v>
      </c>
      <c r="AX2145">
        <f>IF(AV2145=0,0,-(COUNTIF(AV2145:AV2148,"&gt;0")*$AW$2086*$C$32+$AY$2086*$C$31)*$H$27*$AU$2086)</f>
        <v>0</v>
      </c>
      <c r="AY2145">
        <f>IF(AV2145=0,0,$AY$2086*$H$26*$AU$2086)</f>
        <v>0</v>
      </c>
      <c r="AZ2145">
        <f>(0.6*AW2145+0.7*AX2145)*$AU$2086/2</f>
        <v>0</v>
      </c>
      <c r="BA2145">
        <f>(0.6*AW2145+0.6*AY2145)*$AU$2086/2</f>
        <v>0</v>
      </c>
      <c r="BC2145">
        <f>IF(AV2145=0,0,$BG$2086*$AP$2069)</f>
        <v>0</v>
      </c>
      <c r="BD2145">
        <f>IFERROR(BC2145/$AU$2086,0)</f>
        <v>0</v>
      </c>
      <c r="BE2145">
        <f>BC2145*($F$21+IF($F$21=0,0,($C$14+$C$15+IF($C$13="single",1.5,3)+3)/12))</f>
        <v>0</v>
      </c>
      <c r="BF2145">
        <f>BE2145-AZ2145</f>
        <v>0</v>
      </c>
      <c r="BG2145" cm="1">
        <f t="array" ref="BG2145">IFERROR(IF(BF2145&lt;0,0,BF2145/($AU$2086-INDEX(hd_off,MATCH(BT2145,hd_mark,0),0)/12)),0)</f>
        <v>0</v>
      </c>
      <c r="BH2145">
        <f>IF(AV2145=0,0,$BG$2086*$AM$2069)</f>
        <v>0</v>
      </c>
      <c r="BI2145">
        <f>IFERROR(BH2145/$AU$2086,0)</f>
        <v>0</v>
      </c>
      <c r="BJ2145">
        <f>BH2145*($F$21+IF($F$21=0,0,($C$14+$C$15+IF($C$13="single",1.5,3)+3)/12))</f>
        <v>0</v>
      </c>
      <c r="BK2145">
        <f>BJ2145-BA2145</f>
        <v>0</v>
      </c>
      <c r="BL2145" cm="1">
        <f t="array" ref="BL2145">IFERROR(IF(BK2145&lt;0,0,BK2145/($AU$2086-INDEX(hd_off,MATCH(BT2145,hd_mark,0),0)/12)),0)</f>
        <v>0</v>
      </c>
      <c r="BM2145">
        <f>MAX($F$21,$BB$2086)/$Q$2100</f>
        <v>0.30172413793103448</v>
      </c>
      <c r="BN2145">
        <f>IF(BM2145=0,0,IF(BM2145&gt;2,1.25-0.125*BM2145,1))</f>
        <v>1</v>
      </c>
      <c r="BO2145" cm="1">
        <f t="array" ref="BO2145">IFERROR(INDEX(sheath_ecap_asd,MATCH(BS2145,sheath_mark,0),0)*BN2145,0)</f>
        <v>0</v>
      </c>
      <c r="BP2145" cm="1">
        <f t="array" ref="BP2145">IFERROR(INDEX(sheath_wcap_asd,MATCH(BS2145,sheath_mark,0),0)*BN2145,0)</f>
        <v>0</v>
      </c>
      <c r="BQ2145" cm="1">
        <f t="array" ref="BQ2145">IFERROR(INDEX(hd_cap,MATCH(BT2145,hd_mark,0),0),0)</f>
        <v>0</v>
      </c>
      <c r="BS2145" s="19"/>
      <c r="BT2145" s="19"/>
      <c r="BU2145" s="100"/>
    </row>
    <row r="2146" x14ac:dyDescent="0.25">
      <c r="P2146" s="93"/>
      <c r="Q2146" s="109"/>
      <c r="R2146" t="str">
        <f>$Q$2070</f>
        <v>L3</v>
      </c>
      <c r="S2146">
        <f>$E$22</f>
        <v>21.375</v>
      </c>
      <c r="T2146" cm="1">
        <f t="array" ref="T2146">IFERROR(IF(S2146=0,0,(INDEX($C$33:$C$38,MATCH($W$2086,$B$33:$B$38,0),0)*(S2149+$X$2086)+$T$2086*COUNTIF(S2146:S2148,"&gt;0")*$C$32+$V$2086*$C$31)*$R$2086),0)</f>
        <v>0</v>
      </c>
      <c r="U2146">
        <f>IF(S2146=0,0,-(COUNTIF(S2146:S2148,"&gt;0")*$T$2086*$C$32+$V$2086*$C$31)*$H$27*$R$2086)</f>
        <v>0</v>
      </c>
      <c r="V2146">
        <f>IF(S2146=0,0,$V$2086*$H$26*$R$2086)</f>
        <v>0</v>
      </c>
      <c r="W2146">
        <f>(0.6*T2146+0.7*U2146)*$R$2086/2</f>
        <v>0</v>
      </c>
      <c r="X2146">
        <f>T2146*$R$2086/2</f>
        <v>0</v>
      </c>
      <c r="Z2146">
        <f>IF(S2146=0,0,$AD$2086*$AP$2070)</f>
        <v>0</v>
      </c>
      <c r="AA2146">
        <f>IFERROR(Z2146/$R$2086,0)</f>
        <v>0</v>
      </c>
      <c r="AB2146">
        <f>Z2146*($F$22+IF($F$22=0,0,($C$14+$C$15+IF($C$13="single",1.5,3)+3)/12))</f>
        <v>0</v>
      </c>
      <c r="AC2146">
        <f>AB2146-W2146</f>
        <v>0</v>
      </c>
      <c r="AD2146" cm="1">
        <f t="array" ref="AD2146">IFERROR(IF(AC2146&lt;0,0,AC2146/($R$2086-INDEX(hd_off,MATCH(AQ2146,hd_mark,0),0)/12)),0)</f>
        <v>0</v>
      </c>
      <c r="AE2146">
        <f>IF(S2146=0,0,$AD$2086*$AM$2070)</f>
        <v>0</v>
      </c>
      <c r="AF2146">
        <f>IFERROR(AE2146/$R$2086,0)</f>
        <v>0</v>
      </c>
      <c r="AG2146">
        <f>AE2146*($F$22+IF($F$22=0,0,($C$14+$C$15+IF($C$13="single",1.5,3)+3)/12))</f>
        <v>0</v>
      </c>
      <c r="AH2146">
        <f>AG2146-X2146</f>
        <v>0</v>
      </c>
      <c r="AI2146" cm="1">
        <f t="array" ref="AI2146">IFERROR(IF(AH2146&lt;0,0,AH2146/($R$2086-INDEX(hd_off,MATCH(AQ2146,hd_mark,0),0)/12)),0)</f>
        <v>0</v>
      </c>
      <c r="AJ2146">
        <f>MAX($F$22,$Z$2086)/$Q$2100</f>
        <v>0.30172413793103448</v>
      </c>
      <c r="AK2146">
        <f t="shared" ref="AK2146:AK2149" si="1326">IF(AJ2146=0,0,IF(AJ2146&gt;2,1.25-0.125*AJ2146,1))</f>
        <v>1</v>
      </c>
      <c r="AL2146" cm="1">
        <f t="array" ref="AL2146">IFERROR(INDEX(sheath_ecap_asd,MATCH(AP2146,sheath_mark,0),0)*AK2146,0)</f>
        <v>0</v>
      </c>
      <c r="AM2146" cm="1">
        <f t="array" ref="AM2146">IFERROR(INDEX(sheath_wcap_asd,MATCH(AP2146,sheath_mark,0),0)*AK2146,0)</f>
        <v>0</v>
      </c>
      <c r="AN2146" cm="1">
        <f t="array" ref="AN2146">IFERROR(INDEX(hd_cap,MATCH(AQ2146,hd_mark,0),0),0)</f>
        <v>0</v>
      </c>
      <c r="AP2146" s="19"/>
      <c r="AQ2146" s="19"/>
      <c r="AR2146" s="100"/>
      <c r="AS2146" s="93"/>
      <c r="AT2146" s="109"/>
      <c r="AU2146" t="str">
        <f>$Q$2070</f>
        <v>L3</v>
      </c>
      <c r="AV2146">
        <f>$E$22</f>
        <v>21.375</v>
      </c>
      <c r="AW2146" cm="1">
        <f t="array" ref="AW2146">IFERROR(IF(AV2146=0,0,(INDEX($C$33:$C$38,MATCH($AZ$2086,$B$33:$B$38,0),0)*(AV2149+$BA$2086)+$AW$2086*COUNTIF(AV2146:AV2148,"&gt;0")*$C$32+$AY$2086*$C$31)*$AU$2086),0)</f>
        <v>0</v>
      </c>
      <c r="AX2146">
        <f>IF(AV2146=0,0,-(COUNTIF(AV2146:AV2148,"&gt;0")*$AW$2086*$C$32+$AY$2086*$C$31)*$H$27*$AU$2086)</f>
        <v>0</v>
      </c>
      <c r="AY2146">
        <f>IF(AV2146=0,0,$AY$2086*$H$26*$AU$2086)</f>
        <v>0</v>
      </c>
      <c r="AZ2146">
        <f>(0.6*AW2146+0.7*AX2146)*$AU$2086/2</f>
        <v>0</v>
      </c>
      <c r="BA2146">
        <f>AW2146*$AU$2086/2</f>
        <v>0</v>
      </c>
      <c r="BC2146">
        <f>IF(AV2146=0,0,$BG$2086*$AP$2070)</f>
        <v>0</v>
      </c>
      <c r="BD2146">
        <f>IFERROR(BC2146/$AU$2086,0)</f>
        <v>0</v>
      </c>
      <c r="BE2146">
        <f>BC2146*($F$22+IF($F$22=0,0,($C$14+$C$15+IF($C$13="single",1.5,3)+3)/12))</f>
        <v>0</v>
      </c>
      <c r="BF2146">
        <f>BE2146-AZ2146</f>
        <v>0</v>
      </c>
      <c r="BG2146" cm="1">
        <f t="array" ref="BG2146">IFERROR(IF(BF2146&lt;0,0,BF2146/($AU$2086-INDEX(hd_off,MATCH(BT2146,hd_mark,0),0)/12)),0)</f>
        <v>0</v>
      </c>
      <c r="BH2146">
        <f>IF(AV2146=0,0,$BG$2086*$AM$2070)</f>
        <v>0</v>
      </c>
      <c r="BI2146">
        <f>IFERROR(BH2146/$AU$2086,0)</f>
        <v>0</v>
      </c>
      <c r="BJ2146">
        <f>BH2146*($F$22+IF($F$22=0,0,($C$14+$C$15+IF($C$13="single",1.5,3)+3)/12))</f>
        <v>0</v>
      </c>
      <c r="BK2146">
        <f>BJ2146-BA2146</f>
        <v>0</v>
      </c>
      <c r="BL2146" cm="1">
        <f t="array" ref="BL2146">IFERROR(IF(BK2146&lt;0,0,BK2146/($AU$2086-INDEX(hd_off,MATCH(BT2146,hd_mark,0),0)/12)),0)</f>
        <v>0</v>
      </c>
      <c r="BM2146">
        <f>MAX($F$22,$BC$2086)/$Q$2100</f>
        <v>0.30172413793103448</v>
      </c>
      <c r="BN2146">
        <f t="shared" ref="BN2146:BN2149" si="1327">IF(BM2146=0,0,IF(BM2146&gt;2,1.25-0.125*BM2146,1))</f>
        <v>1</v>
      </c>
      <c r="BO2146" cm="1">
        <f t="array" ref="BO2146">IFERROR(INDEX(sheath_ecap_asd,MATCH(BS2146,sheath_mark,0),0)*BN2146,0)</f>
        <v>0</v>
      </c>
      <c r="BP2146" cm="1">
        <f t="array" ref="BP2146">IFERROR(INDEX(sheath_wcap_asd,MATCH(BS2146,sheath_mark,0),0)*BN2146,0)</f>
        <v>0</v>
      </c>
      <c r="BQ2146" cm="1">
        <f t="array" ref="BQ2146">IFERROR(INDEX(hd_cap,MATCH(BT2146,hd_mark,0),0),0)</f>
        <v>0</v>
      </c>
      <c r="BS2146" s="19"/>
      <c r="BT2146" s="19"/>
      <c r="BU2146" s="100"/>
    </row>
    <row r="2147" x14ac:dyDescent="0.25">
      <c r="P2147" s="93"/>
      <c r="Q2147" s="109" t="s">
        <v>491</v>
      </c>
      <c r="R2147" t="str">
        <f>$Q$2071</f>
        <v>L4</v>
      </c>
      <c r="S2147">
        <f>$E$23</f>
        <v>0</v>
      </c>
      <c r="T2147" cm="1">
        <f t="array" ref="T2147">IFERROR(IF(S2147=0,0,(INDEX($C$33:$C$38,MATCH($W$2086,$B$33:$B$38,0),0)*(S2149+$X$2086)+$T$2086*COUNTIF(S2147:S2148,"&gt;0")*$C$32+$V$2086*$C$31)*$R$2086),0)</f>
        <v>0</v>
      </c>
      <c r="U2147">
        <f>IF(S2147=0,0,-(COUNTIF(S2147:S2148,"&gt;0")*$T$2086*$C$32+$V$2086*$C$31)*$H$27*$R$2086)</f>
        <v>0</v>
      </c>
      <c r="V2147">
        <f>IF(S2147=0,0,$V$2086*$H$26*$R$2086)</f>
        <v>0</v>
      </c>
      <c r="W2147">
        <f>(0.6*T2147+0.7*U2147)*$R$2086/2</f>
        <v>0</v>
      </c>
      <c r="X2147">
        <f>T2147*$R$2086/2</f>
        <v>0</v>
      </c>
      <c r="Z2147">
        <f>IF(S2147=0,0,$AD$2086*$AP$2071)</f>
        <v>0</v>
      </c>
      <c r="AA2147">
        <f>IFERROR(Z2147/$R$2086,0)</f>
        <v>0</v>
      </c>
      <c r="AB2147">
        <f>Z2147*($F$23+IF($F$23=0,0,($C$14+$C$15+IF($C$13="single",1.5,3)+3)/12))</f>
        <v>0</v>
      </c>
      <c r="AC2147">
        <f>AB2147-W2147</f>
        <v>0</v>
      </c>
      <c r="AD2147" cm="1">
        <f t="array" ref="AD2147">IFERROR(IF(AC2147&lt;0,0,AC2147/($R$2086-INDEX(hd_off,MATCH(AQ2147,hd_mark,0),0)/12)),0)</f>
        <v>0</v>
      </c>
      <c r="AE2147">
        <f>IF(S2147=0,0,$AD$2086*$AM$2071)</f>
        <v>0</v>
      </c>
      <c r="AF2147">
        <f>IFERROR(AE2147/$R$2086,0)</f>
        <v>0</v>
      </c>
      <c r="AG2147">
        <f>AE2147*($F$23+IF($F$23=0,0,($C$14+$C$15+IF($C$13="single",1.5,3)+3)/12))</f>
        <v>0</v>
      </c>
      <c r="AH2147">
        <f>AG2147-X2147</f>
        <v>0</v>
      </c>
      <c r="AI2147" cm="1">
        <f t="array" ref="AI2147">IFERROR(IF(AH2147&lt;0,0,AH2147/($R$2086-INDEX(hd_off,MATCH(AQ2147,hd_mark,0),0)/12)),0)</f>
        <v>0</v>
      </c>
      <c r="AJ2147">
        <f>MAX($F$23,$AA$2086)/$Q$2100</f>
        <v>0</v>
      </c>
      <c r="AK2147">
        <f t="shared" si="1326"/>
        <v>0</v>
      </c>
      <c r="AL2147" cm="1">
        <f t="array" ref="AL2147">IFERROR(INDEX(sheath_ecap_asd,MATCH(AP2147,sheath_mark,0),0)*AK2147,0)</f>
        <v>0</v>
      </c>
      <c r="AM2147" cm="1">
        <f t="array" ref="AM2147">IFERROR(INDEX(sheath_wcap_asd,MATCH(AP2147,sheath_mark,0),0)*AK2147,0)</f>
        <v>0</v>
      </c>
      <c r="AN2147" cm="1">
        <f t="array" ref="AN2147">IFERROR(INDEX(hd_cap,MATCH(AQ2147,hd_mark,0),0),0)</f>
        <v>0</v>
      </c>
      <c r="AP2147" s="19"/>
      <c r="AQ2147" s="19"/>
      <c r="AR2147" s="100"/>
      <c r="AS2147" s="93"/>
      <c r="AT2147" s="109" t="s">
        <v>491</v>
      </c>
      <c r="AU2147" t="str">
        <f>$Q$2071</f>
        <v>L4</v>
      </c>
      <c r="AV2147">
        <f>$E$23</f>
        <v>0</v>
      </c>
      <c r="AW2147" cm="1">
        <f t="array" ref="AW2147">IFERROR(IF(AV2147=0,0,(INDEX($C$33:$C$38,MATCH($AZ$2086,$B$33:$B$38,0),0)*(AV2149+$BA$2086)+$AW$2086*COUNTIF(AV2147:AV2148,"&gt;0")*$C$32+$AY$2086*$C$31)*$AU$2086),0)</f>
        <v>0</v>
      </c>
      <c r="AX2147">
        <f>IF(AV2147=0,0,-(COUNTIF(AV2147:AV2148,"&gt;0")*$AW$2086*$C$32+$AY$2086*$C$31)*$H$27*$AU$2086)</f>
        <v>0</v>
      </c>
      <c r="AY2147">
        <f>IF(AV2147=0,0,$AY$2086*$H$26*$AU$2086)</f>
        <v>0</v>
      </c>
      <c r="AZ2147">
        <f>(0.6*AW2147+0.7*AX2147)*$AU$2086/2</f>
        <v>0</v>
      </c>
      <c r="BA2147">
        <f>AW2147*$AU$2086/2</f>
        <v>0</v>
      </c>
      <c r="BC2147">
        <f>IF(AV2147=0,0,$BG$2086*$AP$2071)</f>
        <v>0</v>
      </c>
      <c r="BD2147">
        <f>IFERROR(BC2147/$AU$2086,0)</f>
        <v>0</v>
      </c>
      <c r="BE2147">
        <f>BC2147*($F$23+IF($F$23=0,0,($C$14+$C$15+IF($C$13="single",1.5,3)+3)/12))</f>
        <v>0</v>
      </c>
      <c r="BF2147">
        <f>BE2147-AZ2147</f>
        <v>0</v>
      </c>
      <c r="BG2147" cm="1">
        <f t="array" ref="BG2147">IFERROR(IF(BF2147&lt;0,0,BF2147/($AU$2086-INDEX(hd_off,MATCH(BT2147,hd_mark,0),0)/12)),0)</f>
        <v>0</v>
      </c>
      <c r="BH2147">
        <f>IF(AV2147=0,0,$BG$2086*$AM$2071)</f>
        <v>0</v>
      </c>
      <c r="BI2147">
        <f>IFERROR(BH2147/$AU$2086,0)</f>
        <v>0</v>
      </c>
      <c r="BJ2147">
        <f>BH2147*($F$23+IF($F$23=0,0,($C$14+$C$15+IF($C$13="single",1.5,3)+3)/12))</f>
        <v>0</v>
      </c>
      <c r="BK2147">
        <f>BJ2147-BA2147</f>
        <v>0</v>
      </c>
      <c r="BL2147" cm="1">
        <f t="array" ref="BL2147">IFERROR(IF(BK2147&lt;0,0,BK2147/($AU$2086-INDEX(hd_off,MATCH(BT2147,hd_mark,0),0)/12)),0)</f>
        <v>0</v>
      </c>
      <c r="BM2147">
        <f>MAX($F$23,$BD$2086)/$Q$2100</f>
        <v>0</v>
      </c>
      <c r="BN2147">
        <f t="shared" si="1327"/>
        <v>0</v>
      </c>
      <c r="BO2147" cm="1">
        <f t="array" ref="BO2147">IFERROR(INDEX(sheath_ecap_asd,MATCH(BS2147,sheath_mark,0),0)*BN2147,0)</f>
        <v>0</v>
      </c>
      <c r="BP2147" cm="1">
        <f t="array" ref="BP2147">IFERROR(INDEX(sheath_wcap_asd,MATCH(BS2147,sheath_mark,0),0)*BN2147,0)</f>
        <v>0</v>
      </c>
      <c r="BQ2147" cm="1">
        <f t="array" ref="BQ2147">IFERROR(INDEX(hd_cap,MATCH(BT2147,hd_mark,0),0),0)</f>
        <v>0</v>
      </c>
      <c r="BS2147" s="19"/>
      <c r="BT2147" s="19"/>
      <c r="BU2147" s="100"/>
    </row>
    <row r="2148" x14ac:dyDescent="0.25">
      <c r="P2148" s="93"/>
      <c r="Q2148" s="111">
        <f>$R$2086</f>
        <v>0</v>
      </c>
      <c r="R2148" t="str">
        <f>$Q$2072</f>
        <v>L5</v>
      </c>
      <c r="S2148">
        <f>$E$24</f>
        <v>0</v>
      </c>
      <c r="T2148" cm="1">
        <f t="array" ref="T2148">IFERROR(IF(S2148=0,0,(INDEX($C$33:$C$38,MATCH($W$2086,$B$33:$B$38,0),0)*(S2149+$X$2086)+$T$2086*COUNTIF(S2148:S2148,"&gt;0")*$C$32+$V$2086*$C$31)*$R$2086),0)</f>
        <v>0</v>
      </c>
      <c r="U2148">
        <f>IF(S2148=0,0,-(COUNTIF(S2148:S2148,"&gt;0")*$T$2086*$C$32+$V$2086*$C$31)*$H$27*$R$2086)</f>
        <v>0</v>
      </c>
      <c r="V2148">
        <f>IF(S2148=0,0,$V$2086*$H$26*$R$2086)</f>
        <v>0</v>
      </c>
      <c r="W2148">
        <f>(0.6*T2148+0.7*U2148)*$R$2086/2</f>
        <v>0</v>
      </c>
      <c r="X2148">
        <f>T2148*$R$2086/2</f>
        <v>0</v>
      </c>
      <c r="Z2148">
        <f>IF(S2148=0,0,$AD$2086*$AP$2072)</f>
        <v>0</v>
      </c>
      <c r="AA2148">
        <f>IFERROR(Z2148/$R$2086,0)</f>
        <v>0</v>
      </c>
      <c r="AB2148">
        <f>Z2148*($F$24+IF($F$24=0,0,($C$14+$C$15+IF($C$13="single",1.5,3)+3)/12))</f>
        <v>0</v>
      </c>
      <c r="AC2148">
        <f>AB2148-W2148</f>
        <v>0</v>
      </c>
      <c r="AD2148" cm="1">
        <f t="array" ref="AD2148">IFERROR(IF(AC2148&lt;0,0,AC2148/($R$2086-INDEX(hd_off,MATCH(AQ2148,hd_mark,0),0)/12)),0)</f>
        <v>0</v>
      </c>
      <c r="AE2148">
        <f>IF(S2148=0,0,$AD$2086*$AM$2072)</f>
        <v>0</v>
      </c>
      <c r="AF2148">
        <f>IFERROR(AE2148/$R$2086,0)</f>
        <v>0</v>
      </c>
      <c r="AG2148">
        <f>AE2148*($F$24+IF($F$24=0,0,($C$14+$C$15+IF($C$13="single",1.5,3)+3)/12))</f>
        <v>0</v>
      </c>
      <c r="AH2148">
        <f>AG2148-X2148</f>
        <v>0</v>
      </c>
      <c r="AI2148" cm="1">
        <f t="array" ref="AI2148">IFERROR(IF(AH2148&lt;0,0,AH2148/($R$2086-INDEX(hd_off,MATCH(AQ2148,hd_mark,0),0)/12)),0)</f>
        <v>0</v>
      </c>
      <c r="AJ2148">
        <f>MAX($F$24,$AB$2086)/$Q$2100</f>
        <v>0</v>
      </c>
      <c r="AK2148">
        <f t="shared" si="1326"/>
        <v>0</v>
      </c>
      <c r="AL2148" cm="1">
        <f t="array" ref="AL2148">IFERROR(INDEX(sheath_ecap_asd,MATCH(AP2148,sheath_mark,0),0)*AK2148,0)</f>
        <v>0</v>
      </c>
      <c r="AM2148" cm="1">
        <f t="array" ref="AM2148">IFERROR(INDEX(sheath_wcap_asd,MATCH(AP2148,sheath_mark,0),0)*AK2148,0)</f>
        <v>0</v>
      </c>
      <c r="AN2148" cm="1">
        <f t="array" ref="AN2148">IFERROR(INDEX(hd_cap,MATCH(AQ2148,hd_mark,0),0),0)</f>
        <v>0</v>
      </c>
      <c r="AP2148" s="19"/>
      <c r="AQ2148" s="19"/>
      <c r="AR2148" s="100"/>
      <c r="AS2148" s="93"/>
      <c r="AT2148" s="111">
        <f>$R$2086</f>
        <v>0</v>
      </c>
      <c r="AU2148" t="str">
        <f>$Q$2072</f>
        <v>L5</v>
      </c>
      <c r="AV2148">
        <f>$E$24</f>
        <v>0</v>
      </c>
      <c r="AW2148" cm="1">
        <f t="array" ref="AW2148">IFERROR(IF(AV2148=0,0,(INDEX($C$33:$C$38,MATCH($AZ$2086,$B$33:$B$38,0),0)*(AV2149+$BA$2086)+$AW$2086*COUNTIF(AV2148:AV2148,"&gt;0")*$C$32+$AY$2086*$C$31)*$AU$2086),0)</f>
        <v>0</v>
      </c>
      <c r="AX2148">
        <f>IF(AV2148=0,0,-(COUNTIF(AV2148:AV2148,"&gt;0")*$AW$2086*$C$32+$AY$2086*$C$31)*$H$27*$AU$2086)</f>
        <v>0</v>
      </c>
      <c r="AY2148">
        <f>IF(AV2148=0,0,$AY$2086*$H$26*$AU$2086)</f>
        <v>0</v>
      </c>
      <c r="AZ2148">
        <f>(0.6*AW2148+0.7*AX2148)*$AU$2086/2</f>
        <v>0</v>
      </c>
      <c r="BA2148">
        <f>AW2148*$AU$2086/2</f>
        <v>0</v>
      </c>
      <c r="BC2148">
        <f>IF(AV2148=0,0,$BG$2086*$AP$2072)</f>
        <v>0</v>
      </c>
      <c r="BD2148">
        <f>IFERROR(BC2148/$AU$2086,0)</f>
        <v>0</v>
      </c>
      <c r="BE2148">
        <f>BC2148*($F$24+IF($F$24=0,0,($C$14+$C$15+IF($C$13="single",1.5,3)+3)/12))</f>
        <v>0</v>
      </c>
      <c r="BF2148">
        <f>BE2148-AZ2148</f>
        <v>0</v>
      </c>
      <c r="BG2148" cm="1">
        <f t="array" ref="BG2148">IFERROR(IF(BF2148&lt;0,0,BF2148/($AU$2086-INDEX(hd_off,MATCH(BT2148,hd_mark,0),0)/12)),0)</f>
        <v>0</v>
      </c>
      <c r="BH2148">
        <f>IF(AV2148=0,0,$BG$2086*$AM$2072)</f>
        <v>0</v>
      </c>
      <c r="BI2148">
        <f>IFERROR(BH2148/$AU$2086,0)</f>
        <v>0</v>
      </c>
      <c r="BJ2148">
        <f>BH2148*($F$24+IF($F$24=0,0,($C$14+$C$15+IF($C$13="single",1.5,3)+3)/12))</f>
        <v>0</v>
      </c>
      <c r="BK2148">
        <f>BJ2148-BA2148</f>
        <v>0</v>
      </c>
      <c r="BL2148" cm="1">
        <f t="array" ref="BL2148">IFERROR(IF(BK2148&lt;0,0,BK2148/($AU$2086-INDEX(hd_off,MATCH(BT2148,hd_mark,0),0)/12)),0)</f>
        <v>0</v>
      </c>
      <c r="BM2148">
        <f>MAX($F$24,$BE$2086)/$Q$2100</f>
        <v>0</v>
      </c>
      <c r="BN2148">
        <f t="shared" si="1327"/>
        <v>0</v>
      </c>
      <c r="BO2148" cm="1">
        <f t="array" ref="BO2148">IFERROR(INDEX(sheath_ecap_asd,MATCH(BS2148,sheath_mark,0),0)*BN2148,0)</f>
        <v>0</v>
      </c>
      <c r="BP2148" cm="1">
        <f t="array" ref="BP2148">IFERROR(INDEX(sheath_wcap_asd,MATCH(BS2148,sheath_mark,0),0)*BN2148,0)</f>
        <v>0</v>
      </c>
      <c r="BQ2148" cm="1">
        <f t="array" ref="BQ2148">IFERROR(INDEX(hd_cap,MATCH(BT2148,hd_mark,0),0),0)</f>
        <v>0</v>
      </c>
      <c r="BS2148" s="19"/>
      <c r="BT2148" s="19"/>
      <c r="BU2148" s="100"/>
    </row>
    <row r="2149" x14ac:dyDescent="0.25">
      <c r="P2149" s="93"/>
      <c r="Q2149" s="109"/>
      <c r="R2149" t="str">
        <f>$Q$2073</f>
        <v>Roof</v>
      </c>
      <c r="S2149">
        <f>$E$25</f>
        <v>33.171875</v>
      </c>
      <c r="T2149" cm="1">
        <f t="array" ref="T2149">IFERROR(IF(S2149=0,0,(INDEX($C$33:$C$38,MATCH($W$2086,$B$33:$B$38,0),0)*(S2149+$X$2086)+$V$2086*$C$31)*$R$2086),0)</f>
        <v>0</v>
      </c>
      <c r="U2149">
        <f>IF(S2149=0,0,-$V$2086*$C$31*$H$27*$R$2086)</f>
        <v>0</v>
      </c>
      <c r="V2149">
        <f>IF(S2149=0,0,$V$2086*$H$26*$R$2086)</f>
        <v>0</v>
      </c>
      <c r="W2149">
        <f>(0.6*T2149+0.7*U2149)*$R$2086/2</f>
        <v>0</v>
      </c>
      <c r="X2149">
        <f>T2149*$R$2086/2</f>
        <v>0</v>
      </c>
      <c r="Z2149">
        <f>IF(S2149=0,0,$AD$2086*$AP$2073)</f>
        <v>0</v>
      </c>
      <c r="AA2149">
        <f>IFERROR(Z2149/$R$2086,0)</f>
        <v>0</v>
      </c>
      <c r="AB2149">
        <f>Z2149*($F$25+($C$16+$C$17+IF($C$13="single",1.5,3)+3)/12)</f>
        <v>0</v>
      </c>
      <c r="AC2149">
        <f>AB2149-W2149</f>
        <v>0</v>
      </c>
      <c r="AD2149" cm="1">
        <f t="array" ref="AD2149">IFERROR(IF(AC2149&lt;0,0,AC2149/($R$2086-INDEX(hd_off,MATCH(AQ2149,hd_mark,0),0)/12)),0)</f>
        <v>0</v>
      </c>
      <c r="AE2149">
        <f>IF(S2149=0,0,$AD$2086*$AM$2073)</f>
        <v>0</v>
      </c>
      <c r="AF2149">
        <f>IFERROR(AE2149/$R$2086,0)</f>
        <v>0</v>
      </c>
      <c r="AG2149">
        <f>AE2149*($F$25+($C$16+$C$17+IF($C$13="single",1.5,3)+3)/12)</f>
        <v>0</v>
      </c>
      <c r="AH2149">
        <f>AG2149-X2149</f>
        <v>0</v>
      </c>
      <c r="AI2149" cm="1">
        <f t="array" ref="AI2149">IFERROR(IF(AH2149&lt;0,0,AH2149/($R$2086-INDEX(hd_off,MATCH(AQ2149,hd_mark,0),0)/12)),0)</f>
        <v>0</v>
      </c>
      <c r="AJ2149">
        <f>MAX($F$25,$AC$2086)/$Q$2100</f>
        <v>0.29920977011494249</v>
      </c>
      <c r="AK2149">
        <f t="shared" si="1326"/>
        <v>1</v>
      </c>
      <c r="AL2149" cm="1">
        <f t="array" ref="AL2149">IFERROR(INDEX(sheath_ecap_asd,MATCH(AP2149,sheath_mark,0),0)*AK2149,0)</f>
        <v>0</v>
      </c>
      <c r="AM2149" cm="1">
        <f t="array" ref="AM2149">IFERROR(INDEX(sheath_wcap_asd,MATCH(AP2149,sheath_mark,0),0)*AK2149,0)</f>
        <v>0</v>
      </c>
      <c r="AN2149" cm="1">
        <f t="array" ref="AN2149">IFERROR(INDEX(hd_cap,MATCH(AQ2149,hd_mark,0),0),0)</f>
        <v>0</v>
      </c>
      <c r="AP2149" s="19"/>
      <c r="AQ2149" s="19"/>
      <c r="AR2149" s="100"/>
      <c r="AS2149" s="93"/>
      <c r="AT2149" s="109"/>
      <c r="AU2149" t="str">
        <f>$Q$2073</f>
        <v>Roof</v>
      </c>
      <c r="AV2149">
        <f>$E$25</f>
        <v>33.171875</v>
      </c>
      <c r="AW2149" cm="1">
        <f t="array" ref="AW2149">IFERROR(IF(AV2149=0,0,(INDEX($C$33:$C$38,MATCH($AZ$2086,$B$33:$B$38,0),0)*(AV2149+$BA$2086)+$AY$2086*$C$31)*$AU$2086),0)</f>
        <v>0</v>
      </c>
      <c r="AX2149">
        <f>IF(AV2149=0,0,-$AY$2086*$C$31*$H$27*$AU$2086)</f>
        <v>0</v>
      </c>
      <c r="AY2149">
        <f>IF(AV2149=0,0,$AY$2086*$H$26*$AU$2086)</f>
        <v>0</v>
      </c>
      <c r="AZ2149">
        <f>(0.6*AW2149+0.7*AX2149)*$AU$2086/2</f>
        <v>0</v>
      </c>
      <c r="BA2149">
        <f>AW2149*$AU$2086/2</f>
        <v>0</v>
      </c>
      <c r="BC2149">
        <f>IF(AV2149=0,0,$BG$2086*$AP$2073)</f>
        <v>0</v>
      </c>
      <c r="BD2149">
        <f>IFERROR(BC2149/$AU$2086,0)</f>
        <v>0</v>
      </c>
      <c r="BE2149">
        <f>BC2149*($F$25+($C$16+$C$17+IF($C$13="single",1.5,3)+3)/12)</f>
        <v>0</v>
      </c>
      <c r="BF2149">
        <f>BE2149-AZ2149</f>
        <v>0</v>
      </c>
      <c r="BG2149" cm="1">
        <f t="array" ref="BG2149">IFERROR(IF(BF2149&lt;0,0,BF2149/($AU$2086-INDEX(hd_off,MATCH(BT2149,hd_mark,0),0)/12)),0)</f>
        <v>0</v>
      </c>
      <c r="BH2149">
        <f>IF(AV2149=0,0,$BG$2086*$AM$2073)</f>
        <v>0</v>
      </c>
      <c r="BI2149">
        <f>IFERROR(BH2149/$AU$2086,0)</f>
        <v>0</v>
      </c>
      <c r="BJ2149">
        <f>BH2149*($F$25+($C$16+$C$17+IF($C$13="single",1.5,3)+3)/12)</f>
        <v>0</v>
      </c>
      <c r="BK2149">
        <f>BJ2149-BA2149</f>
        <v>0</v>
      </c>
      <c r="BL2149" cm="1">
        <f t="array" ref="BL2149">IFERROR(IF(BK2149&lt;0,0,BK2149/($AU$2086-INDEX(hd_off,MATCH(BT2149,hd_mark,0),0)/12)),0)</f>
        <v>0</v>
      </c>
      <c r="BM2149">
        <f>MAX($F$25,$BF$2086)/$Q$2100</f>
        <v>0.29920977011494249</v>
      </c>
      <c r="BN2149">
        <f t="shared" si="1327"/>
        <v>1</v>
      </c>
      <c r="BO2149" cm="1">
        <f t="array" ref="BO2149">IFERROR(INDEX(sheath_ecap_asd,MATCH(BS2149,sheath_mark,0),0)*BN2149,0)</f>
        <v>0</v>
      </c>
      <c r="BP2149" cm="1">
        <f t="array" ref="BP2149">IFERROR(INDEX(sheath_wcap_asd,MATCH(BS2149,sheath_mark,0),0)*BN2149,0)</f>
        <v>0</v>
      </c>
      <c r="BQ2149" cm="1">
        <f t="array" ref="BQ2149">IFERROR(INDEX(hd_cap,MATCH(BT2149,hd_mark,0),0),0)</f>
        <v>0</v>
      </c>
      <c r="BS2149" s="19"/>
      <c r="BT2149" s="19"/>
      <c r="BU2149" s="100"/>
    </row>
    <row r="2150" x14ac:dyDescent="0.25">
      <c r="P2150" s="93"/>
      <c r="AR2150" s="100"/>
      <c r="AS2150" s="93"/>
      <c r="BU2150" s="100"/>
    </row>
    <row r="2151" x14ac:dyDescent="0.25">
      <c r="P2151" s="93"/>
      <c r="Q2151" s="110" t="str">
        <f>$Q$2087</f>
        <v>A.10</v>
      </c>
      <c r="R2151" t="str">
        <f>$Q$2069</f>
        <v>L2</v>
      </c>
      <c r="S2151">
        <f>$E$21</f>
        <v>10.6875</v>
      </c>
      <c r="T2151" cm="1">
        <f t="array" ref="T2151">IFERROR(IF(S2151=0,0,(INDEX($C$33:$C$38,MATCH($W$2087,$B$33:$B$38,0),0)*(S2155+$X$2087)+$T$2087*COUNTIF(S2151:S2154,"&gt;0")*$C$32+$V$2087*$C$31)*$R$2087),0)</f>
        <v>0</v>
      </c>
      <c r="U2151">
        <f>IF(S2151=0,0,-(COUNTIF(S2151:S2154,"&gt;0")*$T$2087*$C$32+$V$2087*$C$31)*$H$27*$R$2087)</f>
        <v>0</v>
      </c>
      <c r="V2151">
        <f>IF(S2151=0,0,$V$2087*$H$26*$R$2087)</f>
        <v>0</v>
      </c>
      <c r="W2151">
        <f>(0.6*T2151+0.7*U2151)*$R$2087/2</f>
        <v>0</v>
      </c>
      <c r="X2151">
        <f>(0.6*T2151+0.6*V2151)*$R$2087/2</f>
        <v>0</v>
      </c>
      <c r="Z2151">
        <f>IF(S2151=0,0,$AD$2087*$AP$2069)</f>
        <v>0</v>
      </c>
      <c r="AA2151">
        <f>IFERROR(Z2151/$R$2087,0)</f>
        <v>0</v>
      </c>
      <c r="AB2151">
        <f>Z2151*($F$21+IF($F$21=0,0,($C$14+$C$15+IF($C$13="single",1.5,3)+3)/12))</f>
        <v>0</v>
      </c>
      <c r="AC2151">
        <f>AB2151-W2151</f>
        <v>0</v>
      </c>
      <c r="AD2151" cm="1">
        <f t="array" ref="AD2151">IFERROR(IF(AC2151&lt;0,0,AC2151/($R$2087-INDEX(hd_off,MATCH(AQ2151,hd_mark,0),0)/12)),0)</f>
        <v>0</v>
      </c>
      <c r="AE2151">
        <f>IF(S2151=0,0,$AD$2087*$AM$2069)</f>
        <v>0</v>
      </c>
      <c r="AF2151">
        <f>IFERROR(AE2151/$R$2087,0)</f>
        <v>0</v>
      </c>
      <c r="AG2151">
        <f>AE2151*($F$21+IF($F$21=0,0,($C$14+$C$15+IF($C$13="single",1.5,3)+3)/12))</f>
        <v>0</v>
      </c>
      <c r="AH2151">
        <f>AG2151-X2151</f>
        <v>0</v>
      </c>
      <c r="AI2151" cm="1">
        <f t="array" ref="AI2151">IFERROR(IF(AH2151&lt;0,0,AH2151/($R$2087-INDEX(hd_off,MATCH(AQ2151,hd_mark,0),0)/12)),0)</f>
        <v>0</v>
      </c>
      <c r="AJ2151">
        <f>MAX($F$21,$Y$2087)/$Q$2100</f>
        <v>0.30172413793103448</v>
      </c>
      <c r="AK2151">
        <f>IF(AJ2151=0,0,IF(AJ2151&gt;2,1.25-0.125*AJ2151,1))</f>
        <v>1</v>
      </c>
      <c r="AL2151" cm="1">
        <f t="array" ref="AL2151">IFERROR(INDEX(sheath_ecap_asd,MATCH(AP2151,sheath_mark,0),0)*AK2151,0)</f>
        <v>0</v>
      </c>
      <c r="AM2151" cm="1">
        <f t="array" ref="AM2151">IFERROR(INDEX(sheath_wcap_asd,MATCH(AP2151,sheath_mark,0),0)*AK2151,0)</f>
        <v>0</v>
      </c>
      <c r="AN2151" cm="1">
        <f t="array" ref="AN2151">IFERROR(INDEX(hd_cap,MATCH(AQ2151,hd_mark,0),0),0)</f>
        <v>0</v>
      </c>
      <c r="AP2151" s="19"/>
      <c r="AQ2151" s="19"/>
      <c r="AR2151" s="100"/>
      <c r="AS2151" s="93"/>
      <c r="AT2151" s="110" t="str">
        <f>$AT$2087</f>
        <v>1.10</v>
      </c>
      <c r="AU2151" t="str">
        <f>$Q$2069</f>
        <v>L2</v>
      </c>
      <c r="AV2151">
        <f>$E$21</f>
        <v>10.6875</v>
      </c>
      <c r="AW2151" cm="1">
        <f t="array" ref="AW2151">IFERROR(IF(AV2151=0,0,(INDEX($C$33:$C$38,MATCH($AZ$2087,$B$33:$B$38,0),0)*(AV2155+$BA$2087)+$AW$2087*COUNTIF(AV2151:AV2154,"&gt;0")*$C$32+$AY$2087*$C$31)*$AU$2087),0)</f>
        <v>0</v>
      </c>
      <c r="AX2151">
        <f>IF(AV2151=0,0,-(COUNTIF(AV2151:AV2154,"&gt;0")*$AW$2087*$C$32+$AY$2087*$C$31)*$H$27*$AU$2087)</f>
        <v>0</v>
      </c>
      <c r="AY2151">
        <f>IF(AV2151=0,0,$AY$2087*$H$26*$AU$2087)</f>
        <v>0</v>
      </c>
      <c r="AZ2151">
        <f>(0.6*AW2151+0.7*AX2151)*$AU$2087/2</f>
        <v>0</v>
      </c>
      <c r="BA2151">
        <f>(0.6*AW2151+0.6*AY2151)*$AU$2087/2</f>
        <v>0</v>
      </c>
      <c r="BC2151">
        <f>IF(AV2151=0,0,$BG$2087*$AP$2069)</f>
        <v>0</v>
      </c>
      <c r="BD2151">
        <f>IFERROR(BC2151/$AU$2087,0)</f>
        <v>0</v>
      </c>
      <c r="BE2151">
        <f>BC2151*($F$21+IF($F$21=0,0,($C$14+$C$15+IF($C$13="single",1.5,3)+3)/12))</f>
        <v>0</v>
      </c>
      <c r="BF2151">
        <f>BE2151-AZ2151</f>
        <v>0</v>
      </c>
      <c r="BG2151" cm="1">
        <f t="array" ref="BG2151">IFERROR(IF(BF2151&lt;0,0,BF2151/($AU$2087-INDEX(hd_off,MATCH(BT2151,hd_mark,0),0)/12)),0)</f>
        <v>0</v>
      </c>
      <c r="BH2151">
        <f>IF(AV2151=0,0,$BG$2087*$AM$2069)</f>
        <v>0</v>
      </c>
      <c r="BI2151">
        <f>IFERROR(BH2151/$AU$2087,0)</f>
        <v>0</v>
      </c>
      <c r="BJ2151">
        <f>BH2151*($F$21+IF($F$21=0,0,($C$14+$C$15+IF($C$13="single",1.5,3)+3)/12))</f>
        <v>0</v>
      </c>
      <c r="BK2151">
        <f>BJ2151-BA2151</f>
        <v>0</v>
      </c>
      <c r="BL2151" cm="1">
        <f t="array" ref="BL2151">IFERROR(IF(BK2151&lt;0,0,BK2151/($AU$2087-INDEX(hd_off,MATCH(BT2151,hd_mark,0),0)/12)),0)</f>
        <v>0</v>
      </c>
      <c r="BM2151">
        <f>MAX($F$21,$BB$2087)/$Q$2100</f>
        <v>0.30172413793103448</v>
      </c>
      <c r="BN2151">
        <f>IF(BM2151=0,0,IF(BM2151&gt;2,1.25-0.125*BM2151,1))</f>
        <v>1</v>
      </c>
      <c r="BO2151" cm="1">
        <f t="array" ref="BO2151">IFERROR(INDEX(sheath_ecap_asd,MATCH(BS2151,sheath_mark,0),0)*BN2151,0)</f>
        <v>0</v>
      </c>
      <c r="BP2151" cm="1">
        <f t="array" ref="BP2151">IFERROR(INDEX(sheath_wcap_asd,MATCH(BS2151,sheath_mark,0),0)*BN2151,0)</f>
        <v>0</v>
      </c>
      <c r="BQ2151" cm="1">
        <f t="array" ref="BQ2151">IFERROR(INDEX(hd_cap,MATCH(BT2151,hd_mark,0),0),0)</f>
        <v>0</v>
      </c>
      <c r="BS2151" s="19"/>
      <c r="BT2151" s="19"/>
      <c r="BU2151" s="100"/>
    </row>
    <row r="2152" x14ac:dyDescent="0.25">
      <c r="P2152" s="93"/>
      <c r="Q2152" s="109"/>
      <c r="R2152" t="str">
        <f>$Q$2070</f>
        <v>L3</v>
      </c>
      <c r="S2152">
        <f>$E$22</f>
        <v>21.375</v>
      </c>
      <c r="T2152" cm="1">
        <f t="array" ref="T2152">IFERROR(IF(S2152=0,0,(INDEX($C$33:$C$38,MATCH($W$2087,$B$33:$B$38,0),0)*(S2155+$X$2087)+$T$2087*COUNTIF(S2152:S2154,"&gt;0")*$C$32+$V$2087*$C$31)*$R$2087),0)</f>
        <v>0</v>
      </c>
      <c r="U2152">
        <f>IF(S2152=0,0,-(COUNTIF(S2152:S2154,"&gt;0")*$T$2087*$C$32+$V$2087*$C$31)*$H$27*$R$2087)</f>
        <v>0</v>
      </c>
      <c r="V2152">
        <f>IF(S2152=0,0,$V$2087*$H$26*$R$2087)</f>
        <v>0</v>
      </c>
      <c r="W2152">
        <f>(0.6*T2152+0.7*U2152)*$R$2087/2</f>
        <v>0</v>
      </c>
      <c r="X2152">
        <f>T2152*$R$2087/2</f>
        <v>0</v>
      </c>
      <c r="Z2152">
        <f>IF(S2152=0,0,$AD$2087*$AP$2070)</f>
        <v>0</v>
      </c>
      <c r="AA2152">
        <f>IFERROR(Z2152/$R$2087,0)</f>
        <v>0</v>
      </c>
      <c r="AB2152">
        <f>Z2152*($F$22+IF($F$22=0,0,($C$14+$C$15+IF($C$13="single",1.5,3)+3)/12))</f>
        <v>0</v>
      </c>
      <c r="AC2152">
        <f>AB2152-W2152</f>
        <v>0</v>
      </c>
      <c r="AD2152" cm="1">
        <f t="array" ref="AD2152">IFERROR(IF(AC2152&lt;0,0,AC2152/($R$2087-INDEX(hd_off,MATCH(AQ2152,hd_mark,0),0)/12)),0)</f>
        <v>0</v>
      </c>
      <c r="AE2152">
        <f>IF(S2152=0,0,$AD$2087*$AM$2070)</f>
        <v>0</v>
      </c>
      <c r="AF2152">
        <f>IFERROR(AE2152/$R$2087,0)</f>
        <v>0</v>
      </c>
      <c r="AG2152">
        <f>AE2152*($F$22+IF($F$22=0,0,($C$14+$C$15+IF($C$13="single",1.5,3)+3)/12))</f>
        <v>0</v>
      </c>
      <c r="AH2152">
        <f>AG2152-X2152</f>
        <v>0</v>
      </c>
      <c r="AI2152" cm="1">
        <f t="array" ref="AI2152">IFERROR(IF(AH2152&lt;0,0,AH2152/($R$2087-INDEX(hd_off,MATCH(AQ2152,hd_mark,0),0)/12)),0)</f>
        <v>0</v>
      </c>
      <c r="AJ2152">
        <f>MAX($F$22,$Z$2087)/$Q$2100</f>
        <v>0.30172413793103448</v>
      </c>
      <c r="AK2152">
        <f t="shared" ref="AK2152:AK2155" si="1328">IF(AJ2152=0,0,IF(AJ2152&gt;2,1.25-0.125*AJ2152,1))</f>
        <v>1</v>
      </c>
      <c r="AL2152" cm="1">
        <f t="array" ref="AL2152">IFERROR(INDEX(sheath_ecap_asd,MATCH(AP2152,sheath_mark,0),0)*AK2152,0)</f>
        <v>0</v>
      </c>
      <c r="AM2152" cm="1">
        <f t="array" ref="AM2152">IFERROR(INDEX(sheath_wcap_asd,MATCH(AP2152,sheath_mark,0),0)*AK2152,0)</f>
        <v>0</v>
      </c>
      <c r="AN2152" cm="1">
        <f t="array" ref="AN2152">IFERROR(INDEX(hd_cap,MATCH(AQ2152,hd_mark,0),0),0)</f>
        <v>0</v>
      </c>
      <c r="AP2152" s="19"/>
      <c r="AQ2152" s="19"/>
      <c r="AR2152" s="100"/>
      <c r="AS2152" s="93"/>
      <c r="AT2152" s="109"/>
      <c r="AU2152" t="str">
        <f>$Q$2070</f>
        <v>L3</v>
      </c>
      <c r="AV2152">
        <f>$E$22</f>
        <v>21.375</v>
      </c>
      <c r="AW2152" cm="1">
        <f t="array" ref="AW2152">IFERROR(IF(AV2152=0,0,(INDEX($C$33:$C$38,MATCH($AZ$2087,$B$33:$B$38,0),0)*(AV2155+$BA$2087)+$AW$2087*COUNTIF(AV2152:AV2154,"&gt;0")*$C$32+$AY$2087*$C$31)*$AU$2087),0)</f>
        <v>0</v>
      </c>
      <c r="AX2152">
        <f>IF(AV2152=0,0,-(COUNTIF(AV2152:AV2154,"&gt;0")*$AW$2087*$C$32+$AY$2087*$C$31)*$H$27*$AU$2087)</f>
        <v>0</v>
      </c>
      <c r="AY2152">
        <f>IF(AV2152=0,0,$AY$2087*$H$26*$AU$2087)</f>
        <v>0</v>
      </c>
      <c r="AZ2152">
        <f>(0.6*AW2152+0.7*AX2152)*$AU$2087/2</f>
        <v>0</v>
      </c>
      <c r="BA2152">
        <f>AW2152*$AU$2087/2</f>
        <v>0</v>
      </c>
      <c r="BC2152">
        <f>IF(AV2152=0,0,$BG$2087*$AP$2070)</f>
        <v>0</v>
      </c>
      <c r="BD2152">
        <f>IFERROR(BC2152/$AU$2087,0)</f>
        <v>0</v>
      </c>
      <c r="BE2152">
        <f>BC2152*($F$22+IF($F$22=0,0,($C$14+$C$15+IF($C$13="single",1.5,3)+3)/12))</f>
        <v>0</v>
      </c>
      <c r="BF2152">
        <f>BE2152-AZ2152</f>
        <v>0</v>
      </c>
      <c r="BG2152" cm="1">
        <f t="array" ref="BG2152">IFERROR(IF(BF2152&lt;0,0,BF2152/($AU$2087-INDEX(hd_off,MATCH(BT2152,hd_mark,0),0)/12)),0)</f>
        <v>0</v>
      </c>
      <c r="BH2152">
        <f>IF(AV2152=0,0,$BG$2087*$AM$2070)</f>
        <v>0</v>
      </c>
      <c r="BI2152">
        <f>IFERROR(BH2152/$AU$2087,0)</f>
        <v>0</v>
      </c>
      <c r="BJ2152">
        <f>BH2152*($F$22+IF($F$22=0,0,($C$14+$C$15+IF($C$13="single",1.5,3)+3)/12))</f>
        <v>0</v>
      </c>
      <c r="BK2152">
        <f>BJ2152-BA2152</f>
        <v>0</v>
      </c>
      <c r="BL2152" cm="1">
        <f t="array" ref="BL2152">IFERROR(IF(BK2152&lt;0,0,BK2152/($AU$2087-INDEX(hd_off,MATCH(BT2152,hd_mark,0),0)/12)),0)</f>
        <v>0</v>
      </c>
      <c r="BM2152">
        <f>MAX($F$22,$BC$2087)/$Q$2100</f>
        <v>0.30172413793103448</v>
      </c>
      <c r="BN2152">
        <f t="shared" ref="BN2152:BN2155" si="1329">IF(BM2152=0,0,IF(BM2152&gt;2,1.25-0.125*BM2152,1))</f>
        <v>1</v>
      </c>
      <c r="BO2152" cm="1">
        <f t="array" ref="BO2152">IFERROR(INDEX(sheath_ecap_asd,MATCH(BS2152,sheath_mark,0),0)*BN2152,0)</f>
        <v>0</v>
      </c>
      <c r="BP2152" cm="1">
        <f t="array" ref="BP2152">IFERROR(INDEX(sheath_wcap_asd,MATCH(BS2152,sheath_mark,0),0)*BN2152,0)</f>
        <v>0</v>
      </c>
      <c r="BQ2152" cm="1">
        <f t="array" ref="BQ2152">IFERROR(INDEX(hd_cap,MATCH(BT2152,hd_mark,0),0),0)</f>
        <v>0</v>
      </c>
      <c r="BS2152" s="19"/>
      <c r="BT2152" s="19"/>
      <c r="BU2152" s="100"/>
    </row>
    <row r="2153" x14ac:dyDescent="0.25">
      <c r="P2153" s="93"/>
      <c r="Q2153" s="109" t="s">
        <v>491</v>
      </c>
      <c r="R2153" t="str">
        <f>$Q$2071</f>
        <v>L4</v>
      </c>
      <c r="S2153">
        <f>$E$23</f>
        <v>0</v>
      </c>
      <c r="T2153" cm="1">
        <f t="array" ref="T2153">IFERROR(IF(S2153=0,0,(INDEX($C$33:$C$38,MATCH($W$2087,$B$33:$B$38,0),0)*(S2155+$X$2087)+$T$2087*COUNTIF(S2153:S2154,"&gt;0")*$C$32+$V$2087*$C$31)*$R$2087),0)</f>
        <v>0</v>
      </c>
      <c r="U2153">
        <f>IF(S2153=0,0,-(COUNTIF(S2153:S2154,"&gt;0")*$T$2087*$C$32+$V$2087*$C$31)*$H$27*$R$2087)</f>
        <v>0</v>
      </c>
      <c r="V2153">
        <f>IF(S2153=0,0,$V$2087*$H$26*$R$2087)</f>
        <v>0</v>
      </c>
      <c r="W2153">
        <f>(0.6*T2153+0.7*U2153)*$R$2087/2</f>
        <v>0</v>
      </c>
      <c r="X2153">
        <f>T2153*$R$2087/2</f>
        <v>0</v>
      </c>
      <c r="Z2153">
        <f>IF(S2153=0,0,$AD$2087*$AP$2071)</f>
        <v>0</v>
      </c>
      <c r="AA2153">
        <f>IFERROR(Z2153/$R$2087,0)</f>
        <v>0</v>
      </c>
      <c r="AB2153">
        <f>Z2153*($F$23+IF($F$23=0,0,($C$14+$C$15+IF($C$13="single",1.5,3)+3)/12))</f>
        <v>0</v>
      </c>
      <c r="AC2153">
        <f>AB2153-W2153</f>
        <v>0</v>
      </c>
      <c r="AD2153" cm="1">
        <f t="array" ref="AD2153">IFERROR(IF(AC2153&lt;0,0,AC2153/($R$2087-INDEX(hd_off,MATCH(AQ2153,hd_mark,0),0)/12)),0)</f>
        <v>0</v>
      </c>
      <c r="AE2153">
        <f>IF(S2153=0,0,$AD$2087*$AM$2071)</f>
        <v>0</v>
      </c>
      <c r="AF2153">
        <f>IFERROR(AE2153/$R$2087,0)</f>
        <v>0</v>
      </c>
      <c r="AG2153">
        <f>AE2153*($F$23+IF($F$23=0,0,($C$14+$C$15+IF($C$13="single",1.5,3)+3)/12))</f>
        <v>0</v>
      </c>
      <c r="AH2153">
        <f>AG2153-X2153</f>
        <v>0</v>
      </c>
      <c r="AI2153" cm="1">
        <f t="array" ref="AI2153">IFERROR(IF(AH2153&lt;0,0,AH2153/($R$2087-INDEX(hd_off,MATCH(AQ2153,hd_mark,0),0)/12)),0)</f>
        <v>0</v>
      </c>
      <c r="AJ2153">
        <f>MAX($F$23,$AA$2087)/$Q$2100</f>
        <v>0</v>
      </c>
      <c r="AK2153">
        <f t="shared" si="1328"/>
        <v>0</v>
      </c>
      <c r="AL2153" cm="1">
        <f t="array" ref="AL2153">IFERROR(INDEX(sheath_ecap_asd,MATCH(AP2153,sheath_mark,0),0)*AK2153,0)</f>
        <v>0</v>
      </c>
      <c r="AM2153" cm="1">
        <f t="array" ref="AM2153">IFERROR(INDEX(sheath_wcap_asd,MATCH(AP2153,sheath_mark,0),0)*AK2153,0)</f>
        <v>0</v>
      </c>
      <c r="AN2153" cm="1">
        <f t="array" ref="AN2153">IFERROR(INDEX(hd_cap,MATCH(AQ2153,hd_mark,0),0),0)</f>
        <v>0</v>
      </c>
      <c r="AP2153" s="19"/>
      <c r="AQ2153" s="19"/>
      <c r="AR2153" s="100"/>
      <c r="AS2153" s="93"/>
      <c r="AT2153" s="109" t="s">
        <v>491</v>
      </c>
      <c r="AU2153" t="str">
        <f>$Q$2071</f>
        <v>L4</v>
      </c>
      <c r="AV2153">
        <f>$E$23</f>
        <v>0</v>
      </c>
      <c r="AW2153" cm="1">
        <f t="array" ref="AW2153">IFERROR(IF(AV2153=0,0,(INDEX($C$33:$C$38,MATCH($AZ$2087,$B$33:$B$38,0),0)*(AV2155+$BA$2087)+$AW$2087*COUNTIF(AV2153:AV2154,"&gt;0")*$C$32+$AY$2087*$C$31)*$AU$2087),0)</f>
        <v>0</v>
      </c>
      <c r="AX2153">
        <f>IF(AV2153=0,0,-(COUNTIF(AV2153:AV2154,"&gt;0")*$AW$2087*$C$32+$AY$2087*$C$31)*$H$27*$AU$2087)</f>
        <v>0</v>
      </c>
      <c r="AY2153">
        <f>IF(AV2153=0,0,$AY$2087*$H$26*$AU$2087)</f>
        <v>0</v>
      </c>
      <c r="AZ2153">
        <f>(0.6*AW2153+0.7*AX2153)*$AU$2087/2</f>
        <v>0</v>
      </c>
      <c r="BA2153">
        <f>AW2153*$AU$2087/2</f>
        <v>0</v>
      </c>
      <c r="BC2153">
        <f>IF(AV2153=0,0,$BG$2087*$AP$2071)</f>
        <v>0</v>
      </c>
      <c r="BD2153">
        <f>IFERROR(BC2153/$AU$2087,0)</f>
        <v>0</v>
      </c>
      <c r="BE2153">
        <f>BC2153*($F$23+IF($F$23=0,0,($C$14+$C$15+IF($C$13="single",1.5,3)+3)/12))</f>
        <v>0</v>
      </c>
      <c r="BF2153">
        <f>BE2153-AZ2153</f>
        <v>0</v>
      </c>
      <c r="BG2153" cm="1">
        <f t="array" ref="BG2153">IFERROR(IF(BF2153&lt;0,0,BF2153/($AU$2087-INDEX(hd_off,MATCH(BT2153,hd_mark,0),0)/12)),0)</f>
        <v>0</v>
      </c>
      <c r="BH2153">
        <f>IF(AV2153=0,0,$BG$2087*$AM$2071)</f>
        <v>0</v>
      </c>
      <c r="BI2153">
        <f>IFERROR(BH2153/$AU$2087,0)</f>
        <v>0</v>
      </c>
      <c r="BJ2153">
        <f>BH2153*($F$23+IF($F$23=0,0,($C$14+$C$15+IF($C$13="single",1.5,3)+3)/12))</f>
        <v>0</v>
      </c>
      <c r="BK2153">
        <f>BJ2153-BA2153</f>
        <v>0</v>
      </c>
      <c r="BL2153" cm="1">
        <f t="array" ref="BL2153">IFERROR(IF(BK2153&lt;0,0,BK2153/($AU$2087-INDEX(hd_off,MATCH(BT2153,hd_mark,0),0)/12)),0)</f>
        <v>0</v>
      </c>
      <c r="BM2153">
        <f>MAX($F$23,$BD$2087)/$Q$2100</f>
        <v>0</v>
      </c>
      <c r="BN2153">
        <f t="shared" si="1329"/>
        <v>0</v>
      </c>
      <c r="BO2153" cm="1">
        <f t="array" ref="BO2153">IFERROR(INDEX(sheath_ecap_asd,MATCH(BS2153,sheath_mark,0),0)*BN2153,0)</f>
        <v>0</v>
      </c>
      <c r="BP2153" cm="1">
        <f t="array" ref="BP2153">IFERROR(INDEX(sheath_wcap_asd,MATCH(BS2153,sheath_mark,0),0)*BN2153,0)</f>
        <v>0</v>
      </c>
      <c r="BQ2153" cm="1">
        <f t="array" ref="BQ2153">IFERROR(INDEX(hd_cap,MATCH(BT2153,hd_mark,0),0),0)</f>
        <v>0</v>
      </c>
      <c r="BS2153" s="19"/>
      <c r="BT2153" s="19"/>
      <c r="BU2153" s="100"/>
    </row>
    <row r="2154" x14ac:dyDescent="0.25">
      <c r="P2154" s="93"/>
      <c r="Q2154" s="111">
        <f>$R$2087</f>
        <v>0</v>
      </c>
      <c r="R2154" t="str">
        <f>$Q$2072</f>
        <v>L5</v>
      </c>
      <c r="S2154">
        <f>$E$24</f>
        <v>0</v>
      </c>
      <c r="T2154" cm="1">
        <f t="array" ref="T2154">IFERROR(IF(S2154=0,0,(INDEX($C$33:$C$38,MATCH($W$2087,$B$33:$B$38,0),0)*(S2155+$X$2087)+$T$2087*COUNTIF(S2154:S2154,"&gt;0")*$C$32+$V$2087*$C$31)*$R$2087),0)</f>
        <v>0</v>
      </c>
      <c r="U2154">
        <f>IF(S2154=0,0,-(COUNTIF(S2154:S2154,"&gt;0")*$T$2087*$C$32+$V$2087*$C$31)*$H$27*$R$2087)</f>
        <v>0</v>
      </c>
      <c r="V2154">
        <f>IF(S2154=0,0,$V$2087*$H$26*$R$2087)</f>
        <v>0</v>
      </c>
      <c r="W2154">
        <f>(0.6*T2154+0.7*U2154)*$R$2087/2</f>
        <v>0</v>
      </c>
      <c r="X2154">
        <f>T2154*$R$2087/2</f>
        <v>0</v>
      </c>
      <c r="Z2154">
        <f>IF(S2154=0,0,$AD$2087*$AP$2072)</f>
        <v>0</v>
      </c>
      <c r="AA2154">
        <f>IFERROR(Z2154/$R$2087,0)</f>
        <v>0</v>
      </c>
      <c r="AB2154">
        <f>Z2154*($F$24+IF($F$24=0,0,($C$14+$C$15+IF($C$13="single",1.5,3)+3)/12))</f>
        <v>0</v>
      </c>
      <c r="AC2154">
        <f>AB2154-W2154</f>
        <v>0</v>
      </c>
      <c r="AD2154" cm="1">
        <f t="array" ref="AD2154">IFERROR(IF(AC2154&lt;0,0,AC2154/($R$2087-INDEX(hd_off,MATCH(AQ2154,hd_mark,0),0)/12)),0)</f>
        <v>0</v>
      </c>
      <c r="AE2154">
        <f>IF(S2154=0,0,$AD$2087*$AM$2072)</f>
        <v>0</v>
      </c>
      <c r="AF2154">
        <f>IFERROR(AE2154/$R$2087,0)</f>
        <v>0</v>
      </c>
      <c r="AG2154">
        <f>AE2154*($F$24+IF($F$24=0,0,($C$14+$C$15+IF($C$13="single",1.5,3)+3)/12))</f>
        <v>0</v>
      </c>
      <c r="AH2154">
        <f>AG2154-X2154</f>
        <v>0</v>
      </c>
      <c r="AI2154" cm="1">
        <f t="array" ref="AI2154">IFERROR(IF(AH2154&lt;0,0,AH2154/($R$2087-INDEX(hd_off,MATCH(AQ2154,hd_mark,0),0)/12)),0)</f>
        <v>0</v>
      </c>
      <c r="AJ2154">
        <f>MAX($F$24,$AB$2087)/$Q$2100</f>
        <v>0</v>
      </c>
      <c r="AK2154">
        <f t="shared" si="1328"/>
        <v>0</v>
      </c>
      <c r="AL2154" cm="1">
        <f t="array" ref="AL2154">IFERROR(INDEX(sheath_ecap_asd,MATCH(AP2154,sheath_mark,0),0)*AK2154,0)</f>
        <v>0</v>
      </c>
      <c r="AM2154" cm="1">
        <f t="array" ref="AM2154">IFERROR(INDEX(sheath_wcap_asd,MATCH(AP2154,sheath_mark,0),0)*AK2154,0)</f>
        <v>0</v>
      </c>
      <c r="AN2154" cm="1">
        <f t="array" ref="AN2154">IFERROR(INDEX(hd_cap,MATCH(AQ2154,hd_mark,0),0),0)</f>
        <v>0</v>
      </c>
      <c r="AP2154" s="19"/>
      <c r="AQ2154" s="19"/>
      <c r="AR2154" s="100"/>
      <c r="AS2154" s="93"/>
      <c r="AT2154" s="111">
        <f>$R$2087</f>
        <v>0</v>
      </c>
      <c r="AU2154" t="str">
        <f>$Q$2072</f>
        <v>L5</v>
      </c>
      <c r="AV2154">
        <f>$E$24</f>
        <v>0</v>
      </c>
      <c r="AW2154" cm="1">
        <f t="array" ref="AW2154">IFERROR(IF(AV2154=0,0,(INDEX($C$33:$C$38,MATCH($AZ$2087,$B$33:$B$38,0),0)*(AV2155+$BA$2087)+$AW$2087*COUNTIF(AV2154:AV2154,"&gt;0")*$C$32+$AY$2087*$C$31)*$AU$2087),0)</f>
        <v>0</v>
      </c>
      <c r="AX2154">
        <f>IF(AV2154=0,0,-(COUNTIF(AV2154:AV2154,"&gt;0")*$AW$2087*$C$32+$AY$2087*$C$31)*$H$27*$AU$2087)</f>
        <v>0</v>
      </c>
      <c r="AY2154">
        <f>IF(AV2154=0,0,$AY$2087*$H$26*$AU$2087)</f>
        <v>0</v>
      </c>
      <c r="AZ2154">
        <f>(0.6*AW2154+0.7*AX2154)*$AU$2087/2</f>
        <v>0</v>
      </c>
      <c r="BA2154">
        <f>AW2154*$AU$2087/2</f>
        <v>0</v>
      </c>
      <c r="BC2154">
        <f>IF(AV2154=0,0,$BG$2087*$AP$2072)</f>
        <v>0</v>
      </c>
      <c r="BD2154">
        <f>IFERROR(BC2154/$AU$2087,0)</f>
        <v>0</v>
      </c>
      <c r="BE2154">
        <f>BC2154*($F$24+IF($F$24=0,0,($C$14+$C$15+IF($C$13="single",1.5,3)+3)/12))</f>
        <v>0</v>
      </c>
      <c r="BF2154">
        <f>BE2154-AZ2154</f>
        <v>0</v>
      </c>
      <c r="BG2154" cm="1">
        <f t="array" ref="BG2154">IFERROR(IF(BF2154&lt;0,0,BF2154/($AU$2087-INDEX(hd_off,MATCH(BT2154,hd_mark,0),0)/12)),0)</f>
        <v>0</v>
      </c>
      <c r="BH2154">
        <f>IF(AV2154=0,0,$BG$2087*$AM$2072)</f>
        <v>0</v>
      </c>
      <c r="BI2154">
        <f>IFERROR(BH2154/$AU$2087,0)</f>
        <v>0</v>
      </c>
      <c r="BJ2154">
        <f>BH2154*($F$24+IF($F$24=0,0,($C$14+$C$15+IF($C$13="single",1.5,3)+3)/12))</f>
        <v>0</v>
      </c>
      <c r="BK2154">
        <f>BJ2154-BA2154</f>
        <v>0</v>
      </c>
      <c r="BL2154" cm="1">
        <f t="array" ref="BL2154">IFERROR(IF(BK2154&lt;0,0,BK2154/($AU$2087-INDEX(hd_off,MATCH(BT2154,hd_mark,0),0)/12)),0)</f>
        <v>0</v>
      </c>
      <c r="BM2154">
        <f>MAX($F$24,$BE$2087)/$Q$2100</f>
        <v>0</v>
      </c>
      <c r="BN2154">
        <f t="shared" si="1329"/>
        <v>0</v>
      </c>
      <c r="BO2154" cm="1">
        <f t="array" ref="BO2154">IFERROR(INDEX(sheath_ecap_asd,MATCH(BS2154,sheath_mark,0),0)*BN2154,0)</f>
        <v>0</v>
      </c>
      <c r="BP2154" cm="1">
        <f t="array" ref="BP2154">IFERROR(INDEX(sheath_wcap_asd,MATCH(BS2154,sheath_mark,0),0)*BN2154,0)</f>
        <v>0</v>
      </c>
      <c r="BQ2154" cm="1">
        <f t="array" ref="BQ2154">IFERROR(INDEX(hd_cap,MATCH(BT2154,hd_mark,0),0),0)</f>
        <v>0</v>
      </c>
      <c r="BS2154" s="19"/>
      <c r="BT2154" s="19"/>
      <c r="BU2154" s="100"/>
    </row>
    <row r="2155" x14ac:dyDescent="0.25">
      <c r="P2155" s="93"/>
      <c r="Q2155" s="109"/>
      <c r="R2155" t="str">
        <f>$Q$2073</f>
        <v>Roof</v>
      </c>
      <c r="S2155">
        <f>$E$25</f>
        <v>33.171875</v>
      </c>
      <c r="T2155" cm="1">
        <f t="array" ref="T2155">IFERROR(IF(S2155=0,0,(INDEX($C$33:$C$38,MATCH($W$2087,$B$33:$B$38,0),0)*(S2155+$X$2087)+$V$2087*$C$31)*$R$2087),0)</f>
        <v>0</v>
      </c>
      <c r="U2155">
        <f>IF(S2155=0,0,-$V$2087*$C$31*$H$27*$R$2087)</f>
        <v>0</v>
      </c>
      <c r="V2155">
        <f>IF(S2155=0,0,$V$2087*$H$26*$R$2087)</f>
        <v>0</v>
      </c>
      <c r="W2155">
        <f>(0.6*T2155+0.7*U2155)*$R$2087/2</f>
        <v>0</v>
      </c>
      <c r="X2155">
        <f>T2155*$R$2087/2</f>
        <v>0</v>
      </c>
      <c r="Z2155">
        <f>IF(S2155=0,0,$AD$2087*$AP$2073)</f>
        <v>0</v>
      </c>
      <c r="AA2155">
        <f>IFERROR(Z2155/$R$2087,0)</f>
        <v>0</v>
      </c>
      <c r="AB2155">
        <f>Z2155*($F$25+($C$16+$C$17+IF($C$13="single",1.5,3)+3)/12)</f>
        <v>0</v>
      </c>
      <c r="AC2155">
        <f>AB2155-W2155</f>
        <v>0</v>
      </c>
      <c r="AD2155" cm="1">
        <f t="array" ref="AD2155">IFERROR(IF(AC2155&lt;0,0,AC2155/($R$2087-INDEX(hd_off,MATCH(AQ2155,hd_mark,0),0)/12)),0)</f>
        <v>0</v>
      </c>
      <c r="AE2155">
        <f>IF(S2155=0,0,$AD$2087*$AM$2073)</f>
        <v>0</v>
      </c>
      <c r="AF2155">
        <f>IFERROR(AE2155/$R$2087,0)</f>
        <v>0</v>
      </c>
      <c r="AG2155">
        <f>AE2155*($F$25+($C$16+$C$17+IF($C$13="single",1.5,3)+3)/12)</f>
        <v>0</v>
      </c>
      <c r="AH2155">
        <f>AG2155-X2155</f>
        <v>0</v>
      </c>
      <c r="AI2155" cm="1">
        <f t="array" ref="AI2155">IFERROR(IF(AH2155&lt;0,0,AH2155/($R$2087-INDEX(hd_off,MATCH(AQ2155,hd_mark,0),0)/12)),0)</f>
        <v>0</v>
      </c>
      <c r="AJ2155">
        <f>MAX($F$25,$AC$2087)/$Q$2100</f>
        <v>0.29920977011494249</v>
      </c>
      <c r="AK2155">
        <f t="shared" si="1328"/>
        <v>1</v>
      </c>
      <c r="AL2155" cm="1">
        <f t="array" ref="AL2155">IFERROR(INDEX(sheath_ecap_asd,MATCH(AP2155,sheath_mark,0),0)*AK2155,0)</f>
        <v>0</v>
      </c>
      <c r="AM2155" cm="1">
        <f t="array" ref="AM2155">IFERROR(INDEX(sheath_wcap_asd,MATCH(AP2155,sheath_mark,0),0)*AK2155,0)</f>
        <v>0</v>
      </c>
      <c r="AN2155" cm="1">
        <f t="array" ref="AN2155">IFERROR(INDEX(hd_cap,MATCH(AQ2155,hd_mark,0),0),0)</f>
        <v>0</v>
      </c>
      <c r="AP2155" s="19"/>
      <c r="AQ2155" s="19"/>
      <c r="AR2155" s="100"/>
      <c r="AS2155" s="93"/>
      <c r="AT2155" s="109"/>
      <c r="AU2155" t="str">
        <f>$Q$2073</f>
        <v>Roof</v>
      </c>
      <c r="AV2155">
        <f>$E$25</f>
        <v>33.171875</v>
      </c>
      <c r="AW2155" cm="1">
        <f t="array" ref="AW2155">IFERROR(IF(AV2155=0,0,(INDEX($C$33:$C$38,MATCH($AZ$2087,$B$33:$B$38,0),0)*(AV2155+$BA$2087)+$AY$2087*$C$31)*$AU$2087),0)</f>
        <v>0</v>
      </c>
      <c r="AX2155">
        <f>IF(AV2155=0,0,-$AY$2087*$C$31*$H$27*$AU$2087)</f>
        <v>0</v>
      </c>
      <c r="AY2155">
        <f>IF(AV2155=0,0,$AY$2087*$H$26*$AU$2087)</f>
        <v>0</v>
      </c>
      <c r="AZ2155">
        <f>(0.6*AW2155+0.7*AX2155)*$AU$2087/2</f>
        <v>0</v>
      </c>
      <c r="BA2155">
        <f>AW2155*$AU$2087/2</f>
        <v>0</v>
      </c>
      <c r="BC2155">
        <f>IF(AV2155=0,0,$BG$2087*$AP$2073)</f>
        <v>0</v>
      </c>
      <c r="BD2155">
        <f>IFERROR(BC2155/$AU$2087,0)</f>
        <v>0</v>
      </c>
      <c r="BE2155">
        <f>BC2155*($F$25+($C$16+$C$17+IF($C$13="single",1.5,3)+3)/12)</f>
        <v>0</v>
      </c>
      <c r="BF2155">
        <f>BE2155-AZ2155</f>
        <v>0</v>
      </c>
      <c r="BG2155" cm="1">
        <f t="array" ref="BG2155">IFERROR(IF(BF2155&lt;0,0,BF2155/($AU$2087-INDEX(hd_off,MATCH(BT2155,hd_mark,0),0)/12)),0)</f>
        <v>0</v>
      </c>
      <c r="BH2155">
        <f>IF(AV2155=0,0,$BG$2087*$AM$2073)</f>
        <v>0</v>
      </c>
      <c r="BI2155">
        <f>IFERROR(BH2155/$AU$2087,0)</f>
        <v>0</v>
      </c>
      <c r="BJ2155">
        <f>BH2155*($F$25+($C$16+$C$17+IF($C$13="single",1.5,3)+3)/12)</f>
        <v>0</v>
      </c>
      <c r="BK2155">
        <f>BJ2155-BA2155</f>
        <v>0</v>
      </c>
      <c r="BL2155" cm="1">
        <f t="array" ref="BL2155">IFERROR(IF(BK2155&lt;0,0,BK2155/($AU$2087-INDEX(hd_off,MATCH(BT2155,hd_mark,0),0)/12)),0)</f>
        <v>0</v>
      </c>
      <c r="BM2155">
        <f>MAX($F$25,$BF$2087)/$Q$2100</f>
        <v>0.29920977011494249</v>
      </c>
      <c r="BN2155">
        <f t="shared" si="1329"/>
        <v>1</v>
      </c>
      <c r="BO2155" cm="1">
        <f t="array" ref="BO2155">IFERROR(INDEX(sheath_ecap_asd,MATCH(BS2155,sheath_mark,0),0)*BN2155,0)</f>
        <v>0</v>
      </c>
      <c r="BP2155" cm="1">
        <f t="array" ref="BP2155">IFERROR(INDEX(sheath_wcap_asd,MATCH(BS2155,sheath_mark,0),0)*BN2155,0)</f>
        <v>0</v>
      </c>
      <c r="BQ2155" cm="1">
        <f t="array" ref="BQ2155">IFERROR(INDEX(hd_cap,MATCH(BT2155,hd_mark,0),0),0)</f>
        <v>0</v>
      </c>
      <c r="BS2155" s="19"/>
      <c r="BT2155" s="19"/>
      <c r="BU2155" s="100"/>
    </row>
    <row r="2156" x14ac:dyDescent="0.25">
      <c r="P2156" s="93"/>
      <c r="AR2156" s="100"/>
      <c r="AS2156" s="93"/>
      <c r="BU2156" s="100"/>
    </row>
    <row r="2157" x14ac:dyDescent="0.25">
      <c r="P2157" s="93"/>
      <c r="Q2157" s="110" t="str">
        <f>$Q$2088</f>
        <v>A.11</v>
      </c>
      <c r="R2157" t="str">
        <f>$Q$2069</f>
        <v>L2</v>
      </c>
      <c r="S2157">
        <f>$E$21</f>
        <v>10.6875</v>
      </c>
      <c r="T2157" cm="1">
        <f t="array" ref="T2157">IFERROR(IF(S2157=0,0,(INDEX($C$33:$C$38,MATCH($W$2088,$B$33:$B$38,0),0)*(S2161+$X$2088)+$T$2088*COUNTIF(S2157:S2160,"&gt;0")*$C$32+$V$2088*$C$31)*$R$2088),0)</f>
        <v>0</v>
      </c>
      <c r="U2157">
        <f>IF(S2157=0,0,-(COUNTIF(S2157:S2160,"&gt;0")*$T$2088*$C$32+$V$2088*$C$31)*$H$27*$R$2088)</f>
        <v>0</v>
      </c>
      <c r="V2157">
        <f>IF(S2157=0,0,$V$2088*$H$26*$R$2088)</f>
        <v>0</v>
      </c>
      <c r="W2157">
        <f>(0.6*T2157+0.7*U2157)*$R$2088/2</f>
        <v>0</v>
      </c>
      <c r="X2157">
        <f>(0.6*T2157+0.6*V2157)*$R$2088/2</f>
        <v>0</v>
      </c>
      <c r="Z2157">
        <f>IF(S2157=0,0,$AD$2088*$AP$2069)</f>
        <v>0</v>
      </c>
      <c r="AA2157">
        <f>IFERROR(Z2157/$R$2088,0)</f>
        <v>0</v>
      </c>
      <c r="AB2157">
        <f>Z2157*($F$21+IF($F$21=0,0,($C$14+$C$15+IF($C$13="single",1.5,3)+3)/12))</f>
        <v>0</v>
      </c>
      <c r="AC2157">
        <f>AB2157-W2157</f>
        <v>0</v>
      </c>
      <c r="AD2157" cm="1">
        <f t="array" ref="AD2157">IFERROR(IF(AC2157&lt;0,0,AC2157/($R$2088-INDEX(hd_off,MATCH(AQ2157,hd_mark,0),0)/12)),0)</f>
        <v>0</v>
      </c>
      <c r="AE2157">
        <f>IF(S2157=0,0,$AD$2088*$AM$2069)</f>
        <v>0</v>
      </c>
      <c r="AF2157">
        <f>IFERROR(AE2157/$R$2088,0)</f>
        <v>0</v>
      </c>
      <c r="AG2157">
        <f>AE2157*($F$21+IF($F$21=0,0,($C$14+$C$15+IF($C$13="single",1.5,3)+3)/12))</f>
        <v>0</v>
      </c>
      <c r="AH2157">
        <f>AG2157-X2157</f>
        <v>0</v>
      </c>
      <c r="AI2157" cm="1">
        <f t="array" ref="AI2157">IFERROR(IF(AH2157&lt;0,0,AH2157/($R$2088-INDEX(hd_off,MATCH(AQ2157,hd_mark,0),0)/12)),0)</f>
        <v>0</v>
      </c>
      <c r="AJ2157">
        <f>MAX($F$21,$Y$2088)/$Q$2100</f>
        <v>0.30172413793103448</v>
      </c>
      <c r="AK2157">
        <f>IF(AJ2157=0,0,IF(AJ2157&gt;2,1.25-0.125*AJ2157,1))</f>
        <v>1</v>
      </c>
      <c r="AL2157" cm="1">
        <f t="array" ref="AL2157">IFERROR(INDEX(sheath_ecap_asd,MATCH(AP2157,sheath_mark,0),0)*AK2157,0)</f>
        <v>0</v>
      </c>
      <c r="AM2157" cm="1">
        <f t="array" ref="AM2157">IFERROR(INDEX(sheath_wcap_asd,MATCH(AP2157,sheath_mark,0),0)*AK2157,0)</f>
        <v>0</v>
      </c>
      <c r="AN2157" cm="1">
        <f t="array" ref="AN2157">IFERROR(INDEX(hd_cap,MATCH(AQ2157,hd_mark,0),0),0)</f>
        <v>0</v>
      </c>
      <c r="AP2157" s="19"/>
      <c r="AQ2157" s="19"/>
      <c r="AR2157" s="100"/>
      <c r="AS2157" s="93"/>
      <c r="AT2157" s="110" t="str">
        <f>$AT$2088</f>
        <v>1.11</v>
      </c>
      <c r="AU2157" t="str">
        <f>$Q$2069</f>
        <v>L2</v>
      </c>
      <c r="AV2157">
        <f>$E$21</f>
        <v>10.6875</v>
      </c>
      <c r="AW2157" cm="1">
        <f t="array" ref="AW2157">IFERROR(IF(AV2157=0,0,(INDEX($C$33:$C$38,MATCH($AZ$2088,$B$33:$B$38,0),0)*(AV2161+$BA$2088)+$AW$2088*COUNTIF(AV2157:AV2160,"&gt;0")*$C$32+$AY$2088*$C$31)*$AU$2088),0)</f>
        <v>0</v>
      </c>
      <c r="AX2157">
        <f>IF(AV2157=0,0,-(COUNTIF(AV2157:AV2160,"&gt;0")*$AW$2088*$C$32+$AY$2088*$C$31)*$H$27*$AU$2088)</f>
        <v>0</v>
      </c>
      <c r="AY2157">
        <f>IF(AV2157=0,0,$AY$2088*$H$26*$AU$2088)</f>
        <v>0</v>
      </c>
      <c r="AZ2157">
        <f>(0.6*AW2157+0.7*AX2157)*$AU$2088/2</f>
        <v>0</v>
      </c>
      <c r="BA2157">
        <f>(0.6*AW2157+0.6*AY2157)*$AU$2088/2</f>
        <v>0</v>
      </c>
      <c r="BC2157">
        <f>IF(AV2157=0,0,$BG$2088*$AP$2069)</f>
        <v>0</v>
      </c>
      <c r="BD2157">
        <f>IFERROR(BC2157/$AU$2088,0)</f>
        <v>0</v>
      </c>
      <c r="BE2157">
        <f>BC2157*($F$21+IF($F$21=0,0,($C$14+$C$15+IF($C$13="single",1.5,3)+3)/12))</f>
        <v>0</v>
      </c>
      <c r="BF2157">
        <f>BE2157-AZ2157</f>
        <v>0</v>
      </c>
      <c r="BG2157" cm="1">
        <f t="array" ref="BG2157">IFERROR(IF(BF2157&lt;0,0,BF2157/($AU$2088-INDEX(hd_off,MATCH(BT2157,hd_mark,0),0)/12)),0)</f>
        <v>0</v>
      </c>
      <c r="BH2157">
        <f>IF(AV2157=0,0,$BG$2088*$AM$2069)</f>
        <v>0</v>
      </c>
      <c r="BI2157">
        <f>IFERROR(BH2157/$AU$2088,0)</f>
        <v>0</v>
      </c>
      <c r="BJ2157">
        <f>BH2157*($F$21+IF($F$21=0,0,($C$14+$C$15+IF($C$13="single",1.5,3)+3)/12))</f>
        <v>0</v>
      </c>
      <c r="BK2157">
        <f>BJ2157-BA2157</f>
        <v>0</v>
      </c>
      <c r="BL2157" cm="1">
        <f t="array" ref="BL2157">IFERROR(IF(BK2157&lt;0,0,BK2157/($AU$2088-INDEX(hd_off,MATCH(BT2157,hd_mark,0),0)/12)),0)</f>
        <v>0</v>
      </c>
      <c r="BM2157">
        <f>MAX($F$21,$BB$2088)/$Q$2100</f>
        <v>0.30172413793103448</v>
      </c>
      <c r="BN2157">
        <f>IF(BM2157=0,0,IF(BM2157&gt;2,1.25-0.125*BM2157,1))</f>
        <v>1</v>
      </c>
      <c r="BO2157" cm="1">
        <f t="array" ref="BO2157">IFERROR(INDEX(sheath_ecap_asd,MATCH(BS2157,sheath_mark,0),0)*BN2157,0)</f>
        <v>0</v>
      </c>
      <c r="BP2157" cm="1">
        <f t="array" ref="BP2157">IFERROR(INDEX(sheath_wcap_asd,MATCH(BS2157,sheath_mark,0),0)*BN2157,0)</f>
        <v>0</v>
      </c>
      <c r="BQ2157" cm="1">
        <f t="array" ref="BQ2157">IFERROR(INDEX(hd_cap,MATCH(BT2157,hd_mark,0),0),0)</f>
        <v>0</v>
      </c>
      <c r="BS2157" s="19"/>
      <c r="BT2157" s="19"/>
      <c r="BU2157" s="100"/>
    </row>
    <row r="2158" x14ac:dyDescent="0.25">
      <c r="P2158" s="93"/>
      <c r="Q2158" s="109"/>
      <c r="R2158" t="str">
        <f>$Q$2070</f>
        <v>L3</v>
      </c>
      <c r="S2158">
        <f>$E$22</f>
        <v>21.375</v>
      </c>
      <c r="T2158" cm="1">
        <f t="array" ref="T2158">IFERROR(IF(S2158=0,0,(INDEX($C$33:$C$38,MATCH($W$2088,$B$33:$B$38,0),0)*(S2161+$X$2088)+$T$2088*COUNTIF(S2158:S2160,"&gt;0")*$C$32+$V$2088*$C$31)*$R$2088),0)</f>
        <v>0</v>
      </c>
      <c r="U2158">
        <f>IF(S2158=0,0,-(COUNTIF(S2158:S2160,"&gt;0")*$T$2088*$C$32+$V$2088*$C$31)*$H$27*$R$2088)</f>
        <v>0</v>
      </c>
      <c r="V2158">
        <f>IF(S2158=0,0,$V$2088*$H$26*$R$2088)</f>
        <v>0</v>
      </c>
      <c r="W2158">
        <f>(0.6*T2158+0.7*U2158)*$R$2088/2</f>
        <v>0</v>
      </c>
      <c r="X2158">
        <f>T2158*$R$2088/2</f>
        <v>0</v>
      </c>
      <c r="Z2158">
        <f>IF(S2158=0,0,$AD$2088*$AP$2070)</f>
        <v>0</v>
      </c>
      <c r="AA2158">
        <f>IFERROR(Z2158/$R$2088,0)</f>
        <v>0</v>
      </c>
      <c r="AB2158">
        <f>Z2158*($F$22+IF($F$22=0,0,($C$14+$C$15+IF($C$13="single",1.5,3)+3)/12))</f>
        <v>0</v>
      </c>
      <c r="AC2158">
        <f>AB2158-W2158</f>
        <v>0</v>
      </c>
      <c r="AD2158" cm="1">
        <f t="array" ref="AD2158">IFERROR(IF(AC2158&lt;0,0,AC2158/($R$2088-INDEX(hd_off,MATCH(AQ2158,hd_mark,0),0)/12)),0)</f>
        <v>0</v>
      </c>
      <c r="AE2158">
        <f>IF(S2158=0,0,$AD$2088*$AM$2070)</f>
        <v>0</v>
      </c>
      <c r="AF2158">
        <f>IFERROR(AE2158/$R$2088,0)</f>
        <v>0</v>
      </c>
      <c r="AG2158">
        <f>AE2158*($F$22+IF($F$22=0,0,($C$14+$C$15+IF($C$13="single",1.5,3)+3)/12))</f>
        <v>0</v>
      </c>
      <c r="AH2158">
        <f>AG2158-X2158</f>
        <v>0</v>
      </c>
      <c r="AI2158" cm="1">
        <f t="array" ref="AI2158">IFERROR(IF(AH2158&lt;0,0,AH2158/($R$2088-INDEX(hd_off,MATCH(AQ2158,hd_mark,0),0)/12)),0)</f>
        <v>0</v>
      </c>
      <c r="AJ2158">
        <f>MAX($F$22,$Z$2088)/$Q$2100</f>
        <v>0.30172413793103448</v>
      </c>
      <c r="AK2158">
        <f t="shared" ref="AK2158:AK2161" si="1330">IF(AJ2158=0,0,IF(AJ2158&gt;2,1.25-0.125*AJ2158,1))</f>
        <v>1</v>
      </c>
      <c r="AL2158" cm="1">
        <f t="array" ref="AL2158">IFERROR(INDEX(sheath_ecap_asd,MATCH(AP2158,sheath_mark,0),0)*AK2158,0)</f>
        <v>0</v>
      </c>
      <c r="AM2158" cm="1">
        <f t="array" ref="AM2158">IFERROR(INDEX(sheath_wcap_asd,MATCH(AP2158,sheath_mark,0),0)*AK2158,0)</f>
        <v>0</v>
      </c>
      <c r="AN2158" cm="1">
        <f t="array" ref="AN2158">IFERROR(INDEX(hd_cap,MATCH(AQ2158,hd_mark,0),0),0)</f>
        <v>0</v>
      </c>
      <c r="AP2158" s="19"/>
      <c r="AQ2158" s="19"/>
      <c r="AR2158" s="100"/>
      <c r="AS2158" s="93"/>
      <c r="AT2158" s="109"/>
      <c r="AU2158" t="str">
        <f>$Q$2070</f>
        <v>L3</v>
      </c>
      <c r="AV2158">
        <f>$E$22</f>
        <v>21.375</v>
      </c>
      <c r="AW2158" cm="1">
        <f t="array" ref="AW2158">IFERROR(IF(AV2158=0,0,(INDEX($C$33:$C$38,MATCH($AZ$2088,$B$33:$B$38,0),0)*(AV2161+$BA$2088)+$AW$2088*COUNTIF(AV2158:AV2160,"&gt;0")*$C$32+$AY$2088*$C$31)*$AU$2088),0)</f>
        <v>0</v>
      </c>
      <c r="AX2158">
        <f>IF(AV2158=0,0,-(COUNTIF(AV2158:AV2160,"&gt;0")*$AW$2088*$C$32+$AY$2088*$C$31)*$H$27*$AU$2088)</f>
        <v>0</v>
      </c>
      <c r="AY2158">
        <f>IF(AV2158=0,0,$AY$2088*$H$26*$AU$2088)</f>
        <v>0</v>
      </c>
      <c r="AZ2158">
        <f>(0.6*AW2158+0.7*AX2158)*$AU$2088/2</f>
        <v>0</v>
      </c>
      <c r="BA2158">
        <f>AW2158*$AU$2088/2</f>
        <v>0</v>
      </c>
      <c r="BC2158">
        <f>IF(AV2158=0,0,$BG$2088*$AP$2070)</f>
        <v>0</v>
      </c>
      <c r="BD2158">
        <f>IFERROR(BC2158/$AU$2088,0)</f>
        <v>0</v>
      </c>
      <c r="BE2158">
        <f>BC2158*($F$22+IF($F$22=0,0,($C$14+$C$15+IF($C$13="single",1.5,3)+3)/12))</f>
        <v>0</v>
      </c>
      <c r="BF2158">
        <f>BE2158-AZ2158</f>
        <v>0</v>
      </c>
      <c r="BG2158" cm="1">
        <f t="array" ref="BG2158">IFERROR(IF(BF2158&lt;0,0,BF2158/($AU$2088-INDEX(hd_off,MATCH(BT2158,hd_mark,0),0)/12)),0)</f>
        <v>0</v>
      </c>
      <c r="BH2158">
        <f>IF(AV2158=0,0,$BG$2088*$AM$2070)</f>
        <v>0</v>
      </c>
      <c r="BI2158">
        <f>IFERROR(BH2158/$AU$2088,0)</f>
        <v>0</v>
      </c>
      <c r="BJ2158">
        <f>BH2158*($F$22+IF($F$22=0,0,($C$14+$C$15+IF($C$13="single",1.5,3)+3)/12))</f>
        <v>0</v>
      </c>
      <c r="BK2158">
        <f>BJ2158-BA2158</f>
        <v>0</v>
      </c>
      <c r="BL2158" cm="1">
        <f t="array" ref="BL2158">IFERROR(IF(BK2158&lt;0,0,BK2158/($AU$2088-INDEX(hd_off,MATCH(BT2158,hd_mark,0),0)/12)),0)</f>
        <v>0</v>
      </c>
      <c r="BM2158">
        <f>MAX($F$22,$BC$2088)/$Q$2100</f>
        <v>0.30172413793103448</v>
      </c>
      <c r="BN2158">
        <f t="shared" ref="BN2158:BN2161" si="1331">IF(BM2158=0,0,IF(BM2158&gt;2,1.25-0.125*BM2158,1))</f>
        <v>1</v>
      </c>
      <c r="BO2158" cm="1">
        <f t="array" ref="BO2158">IFERROR(INDEX(sheath_ecap_asd,MATCH(BS2158,sheath_mark,0),0)*BN2158,0)</f>
        <v>0</v>
      </c>
      <c r="BP2158" cm="1">
        <f t="array" ref="BP2158">IFERROR(INDEX(sheath_wcap_asd,MATCH(BS2158,sheath_mark,0),0)*BN2158,0)</f>
        <v>0</v>
      </c>
      <c r="BQ2158" cm="1">
        <f t="array" ref="BQ2158">IFERROR(INDEX(hd_cap,MATCH(BT2158,hd_mark,0),0),0)</f>
        <v>0</v>
      </c>
      <c r="BS2158" s="19"/>
      <c r="BT2158" s="19"/>
      <c r="BU2158" s="100"/>
    </row>
    <row r="2159" x14ac:dyDescent="0.25">
      <c r="P2159" s="93"/>
      <c r="Q2159" s="109" t="s">
        <v>491</v>
      </c>
      <c r="R2159" t="str">
        <f>$Q$2071</f>
        <v>L4</v>
      </c>
      <c r="S2159">
        <f>$E$23</f>
        <v>0</v>
      </c>
      <c r="T2159" cm="1">
        <f t="array" ref="T2159">IFERROR(IF(S2159=0,0,(INDEX($C$33:$C$38,MATCH($W$2088,$B$33:$B$38,0),0)*(S2161+$X$2088)+$T$2088*COUNTIF(S2159:S2160,"&gt;0")*$C$32+$V$2088*$C$31)*$R$2088),0)</f>
        <v>0</v>
      </c>
      <c r="U2159">
        <f>IF(S2159=0,0,-(COUNTIF(S2159:S2160,"&gt;0")*$T$2088*$C$32+$V$2088*$C$31)*$H$27*$R$2088)</f>
        <v>0</v>
      </c>
      <c r="V2159">
        <f>IF(S2159=0,0,$V$2088*$H$26*$R$2088)</f>
        <v>0</v>
      </c>
      <c r="W2159">
        <f>(0.6*T2159+0.7*U2159)*$R$2088/2</f>
        <v>0</v>
      </c>
      <c r="X2159">
        <f>T2159*$R$2088/2</f>
        <v>0</v>
      </c>
      <c r="Z2159">
        <f>IF(S2159=0,0,$AD$2088*$AP$2071)</f>
        <v>0</v>
      </c>
      <c r="AA2159">
        <f>IFERROR(Z2159/$R$2088,0)</f>
        <v>0</v>
      </c>
      <c r="AB2159">
        <f>Z2159*($F$23+IF($F$23=0,0,($C$14+$C$15+IF($C$13="single",1.5,3)+3)/12))</f>
        <v>0</v>
      </c>
      <c r="AC2159">
        <f>AB2159-W2159</f>
        <v>0</v>
      </c>
      <c r="AD2159" cm="1">
        <f t="array" ref="AD2159">IFERROR(IF(AC2159&lt;0,0,AC2159/($R$2088-INDEX(hd_off,MATCH(AQ2159,hd_mark,0),0)/12)),0)</f>
        <v>0</v>
      </c>
      <c r="AE2159">
        <f>IF(S2159=0,0,$AD$2088*$AM$2071)</f>
        <v>0</v>
      </c>
      <c r="AF2159">
        <f>IFERROR(AE2159/$R$2088,0)</f>
        <v>0</v>
      </c>
      <c r="AG2159">
        <f>AE2159*($F$23+IF($F$23=0,0,($C$14+$C$15+IF($C$13="single",1.5,3)+3)/12))</f>
        <v>0</v>
      </c>
      <c r="AH2159">
        <f>AG2159-X2159</f>
        <v>0</v>
      </c>
      <c r="AI2159" cm="1">
        <f t="array" ref="AI2159">IFERROR(IF(AH2159&lt;0,0,AH2159/($R$2088-INDEX(hd_off,MATCH(AQ2159,hd_mark,0),0)/12)),0)</f>
        <v>0</v>
      </c>
      <c r="AJ2159">
        <f>MAX($F$23,$AA$2088)/$Q$2100</f>
        <v>0</v>
      </c>
      <c r="AK2159">
        <f t="shared" si="1330"/>
        <v>0</v>
      </c>
      <c r="AL2159" cm="1">
        <f t="array" ref="AL2159">IFERROR(INDEX(sheath_ecap_asd,MATCH(AP2159,sheath_mark,0),0)*AK2159,0)</f>
        <v>0</v>
      </c>
      <c r="AM2159" cm="1">
        <f t="array" ref="AM2159">IFERROR(INDEX(sheath_wcap_asd,MATCH(AP2159,sheath_mark,0),0)*AK2159,0)</f>
        <v>0</v>
      </c>
      <c r="AN2159" cm="1">
        <f t="array" ref="AN2159">IFERROR(INDEX(hd_cap,MATCH(AQ2159,hd_mark,0),0),0)</f>
        <v>0</v>
      </c>
      <c r="AP2159" s="19"/>
      <c r="AQ2159" s="19"/>
      <c r="AR2159" s="100"/>
      <c r="AS2159" s="93"/>
      <c r="AT2159" s="109" t="s">
        <v>491</v>
      </c>
      <c r="AU2159" t="str">
        <f>$Q$2071</f>
        <v>L4</v>
      </c>
      <c r="AV2159">
        <f>$E$23</f>
        <v>0</v>
      </c>
      <c r="AW2159" cm="1">
        <f t="array" ref="AW2159">IFERROR(IF(AV2159=0,0,(INDEX($C$33:$C$38,MATCH($AZ$2088,$B$33:$B$38,0),0)*(AV2161+$BA$2088)+$AW$2088*COUNTIF(AV2159:AV2160,"&gt;0")*$C$32+$AY$2088*$C$31)*$AU$2088),0)</f>
        <v>0</v>
      </c>
      <c r="AX2159">
        <f>IF(AV2159=0,0,-(COUNTIF(AV2159:AV2160,"&gt;0")*$AW$2088*$C$32+$AY$2088*$C$31)*$H$27*$AU$2088)</f>
        <v>0</v>
      </c>
      <c r="AY2159">
        <f>IF(AV2159=0,0,$AY$2088*$H$26*$AU$2088)</f>
        <v>0</v>
      </c>
      <c r="AZ2159">
        <f>(0.6*AW2159+0.7*AX2159)*$AU$2088/2</f>
        <v>0</v>
      </c>
      <c r="BA2159">
        <f>AW2159*$AU$2088/2</f>
        <v>0</v>
      </c>
      <c r="BC2159">
        <f>IF(AV2159=0,0,$BG$2088*$AP$2071)</f>
        <v>0</v>
      </c>
      <c r="BD2159">
        <f>IFERROR(BC2159/$AU$2088,0)</f>
        <v>0</v>
      </c>
      <c r="BE2159">
        <f>BC2159*($F$23+IF($F$23=0,0,($C$14+$C$15+IF($C$13="single",1.5,3)+3)/12))</f>
        <v>0</v>
      </c>
      <c r="BF2159">
        <f>BE2159-AZ2159</f>
        <v>0</v>
      </c>
      <c r="BG2159" cm="1">
        <f t="array" ref="BG2159">IFERROR(IF(BF2159&lt;0,0,BF2159/($AU$2088-INDEX(hd_off,MATCH(BT2159,hd_mark,0),0)/12)),0)</f>
        <v>0</v>
      </c>
      <c r="BH2159">
        <f>IF(AV2159=0,0,$BG$2088*$AM$2071)</f>
        <v>0</v>
      </c>
      <c r="BI2159">
        <f>IFERROR(BH2159/$AU$2088,0)</f>
        <v>0</v>
      </c>
      <c r="BJ2159">
        <f>BH2159*($F$23+IF($F$23=0,0,($C$14+$C$15+IF($C$13="single",1.5,3)+3)/12))</f>
        <v>0</v>
      </c>
      <c r="BK2159">
        <f>BJ2159-BA2159</f>
        <v>0</v>
      </c>
      <c r="BL2159" cm="1">
        <f t="array" ref="BL2159">IFERROR(IF(BK2159&lt;0,0,BK2159/($AU$2088-INDEX(hd_off,MATCH(BT2159,hd_mark,0),0)/12)),0)</f>
        <v>0</v>
      </c>
      <c r="BM2159">
        <f>MAX($F$23,$BD$2088)/$Q$2100</f>
        <v>0</v>
      </c>
      <c r="BN2159">
        <f t="shared" si="1331"/>
        <v>0</v>
      </c>
      <c r="BO2159" cm="1">
        <f t="array" ref="BO2159">IFERROR(INDEX(sheath_ecap_asd,MATCH(BS2159,sheath_mark,0),0)*BN2159,0)</f>
        <v>0</v>
      </c>
      <c r="BP2159" cm="1">
        <f t="array" ref="BP2159">IFERROR(INDEX(sheath_wcap_asd,MATCH(BS2159,sheath_mark,0),0)*BN2159,0)</f>
        <v>0</v>
      </c>
      <c r="BQ2159" cm="1">
        <f t="array" ref="BQ2159">IFERROR(INDEX(hd_cap,MATCH(BT2159,hd_mark,0),0),0)</f>
        <v>0</v>
      </c>
      <c r="BS2159" s="19"/>
      <c r="BT2159" s="19"/>
      <c r="BU2159" s="100"/>
    </row>
    <row r="2160" x14ac:dyDescent="0.25">
      <c r="P2160" s="93"/>
      <c r="Q2160" s="111">
        <f>$R$2088</f>
        <v>0</v>
      </c>
      <c r="R2160" t="str">
        <f>$Q$2072</f>
        <v>L5</v>
      </c>
      <c r="S2160">
        <f>$E$24</f>
        <v>0</v>
      </c>
      <c r="T2160" cm="1">
        <f t="array" ref="T2160">IFERROR(IF(S2160=0,0,(INDEX($C$33:$C$38,MATCH($W$2088,$B$33:$B$38,0),0)*(S2161+$X$2088)+$T$2088*COUNTIF(S2160:S2160,"&gt;0")*$C$32+$V$2088*$C$31)*$R$2088),0)</f>
        <v>0</v>
      </c>
      <c r="U2160">
        <f>IF(S2160=0,0,-(COUNTIF(S2160:S2160,"&gt;0")*$T$2088*$C$32+$V$2088*$C$31)*$H$27*$R$2088)</f>
        <v>0</v>
      </c>
      <c r="V2160">
        <f>IF(S2160=0,0,$V$2088*$H$26*$R$2088)</f>
        <v>0</v>
      </c>
      <c r="W2160">
        <f>(0.6*T2160+0.7*U2160)*$R$2088/2</f>
        <v>0</v>
      </c>
      <c r="X2160">
        <f>T2160*$R$2088/2</f>
        <v>0</v>
      </c>
      <c r="Z2160">
        <f>IF(S2160=0,0,$AD$2088*$AP$2072)</f>
        <v>0</v>
      </c>
      <c r="AA2160">
        <f>IFERROR(Z2160/$R$2088,0)</f>
        <v>0</v>
      </c>
      <c r="AB2160">
        <f>Z2160*($F$24+IF($F$24=0,0,($C$14+$C$15+IF($C$13="single",1.5,3)+3)/12))</f>
        <v>0</v>
      </c>
      <c r="AC2160">
        <f>AB2160-W2160</f>
        <v>0</v>
      </c>
      <c r="AD2160" cm="1">
        <f t="array" ref="AD2160">IFERROR(IF(AC2160&lt;0,0,AC2160/($R$2088-INDEX(hd_off,MATCH(AQ2160,hd_mark,0),0)/12)),0)</f>
        <v>0</v>
      </c>
      <c r="AE2160">
        <f>IF(S2160=0,0,$AD$2088*$AM$2072)</f>
        <v>0</v>
      </c>
      <c r="AF2160">
        <f>IFERROR(AE2160/$R$2088,0)</f>
        <v>0</v>
      </c>
      <c r="AG2160">
        <f>AE2160*($F$24+IF($F$24=0,0,($C$14+$C$15+IF($C$13="single",1.5,3)+3)/12))</f>
        <v>0</v>
      </c>
      <c r="AH2160">
        <f>AG2160-X2160</f>
        <v>0</v>
      </c>
      <c r="AI2160" cm="1">
        <f t="array" ref="AI2160">IFERROR(IF(AH2160&lt;0,0,AH2160/($R$2088-INDEX(hd_off,MATCH(AQ2160,hd_mark,0),0)/12)),0)</f>
        <v>0</v>
      </c>
      <c r="AJ2160">
        <f>MAX($F$24,$AB$2088)/$Q$2100</f>
        <v>0</v>
      </c>
      <c r="AK2160">
        <f t="shared" si="1330"/>
        <v>0</v>
      </c>
      <c r="AL2160" cm="1">
        <f t="array" ref="AL2160">IFERROR(INDEX(sheath_ecap_asd,MATCH(AP2160,sheath_mark,0),0)*AK2160,0)</f>
        <v>0</v>
      </c>
      <c r="AM2160" cm="1">
        <f t="array" ref="AM2160">IFERROR(INDEX(sheath_wcap_asd,MATCH(AP2160,sheath_mark,0),0)*AK2160,0)</f>
        <v>0</v>
      </c>
      <c r="AN2160" cm="1">
        <f t="array" ref="AN2160">IFERROR(INDEX(hd_cap,MATCH(AQ2160,hd_mark,0),0),0)</f>
        <v>0</v>
      </c>
      <c r="AP2160" s="19"/>
      <c r="AQ2160" s="19"/>
      <c r="AR2160" s="100"/>
      <c r="AS2160" s="93"/>
      <c r="AT2160" s="111">
        <f>$R$2088</f>
        <v>0</v>
      </c>
      <c r="AU2160" t="str">
        <f>$Q$2072</f>
        <v>L5</v>
      </c>
      <c r="AV2160">
        <f>$E$24</f>
        <v>0</v>
      </c>
      <c r="AW2160" cm="1">
        <f t="array" ref="AW2160">IFERROR(IF(AV2160=0,0,(INDEX($C$33:$C$38,MATCH($AZ$2088,$B$33:$B$38,0),0)*(AV2161+$BA$2088)+$AW$2088*COUNTIF(AV2160:AV2160,"&gt;0")*$C$32+$AY$2088*$C$31)*$AU$2088),0)</f>
        <v>0</v>
      </c>
      <c r="AX2160">
        <f>IF(AV2160=0,0,-(COUNTIF(AV2160:AV2160,"&gt;0")*$AW$2088*$C$32+$AY$2088*$C$31)*$H$27*$AU$2088)</f>
        <v>0</v>
      </c>
      <c r="AY2160">
        <f>IF(AV2160=0,0,$AY$2088*$H$26*$AU$2088)</f>
        <v>0</v>
      </c>
      <c r="AZ2160">
        <f>(0.6*AW2160+0.7*AX2160)*$AU$2088/2</f>
        <v>0</v>
      </c>
      <c r="BA2160">
        <f>AW2160*$AU$2088/2</f>
        <v>0</v>
      </c>
      <c r="BC2160">
        <f>IF(AV2160=0,0,$BG$2088*$AP$2072)</f>
        <v>0</v>
      </c>
      <c r="BD2160">
        <f>IFERROR(BC2160/$AU$2088,0)</f>
        <v>0</v>
      </c>
      <c r="BE2160">
        <f>BC2160*($F$24+IF($F$24=0,0,($C$14+$C$15+IF($C$13="single",1.5,3)+3)/12))</f>
        <v>0</v>
      </c>
      <c r="BF2160">
        <f>BE2160-AZ2160</f>
        <v>0</v>
      </c>
      <c r="BG2160" cm="1">
        <f t="array" ref="BG2160">IFERROR(IF(BF2160&lt;0,0,BF2160/($AU$2088-INDEX(hd_off,MATCH(BT2160,hd_mark,0),0)/12)),0)</f>
        <v>0</v>
      </c>
      <c r="BH2160">
        <f>IF(AV2160=0,0,$BG$2088*$AM$2072)</f>
        <v>0</v>
      </c>
      <c r="BI2160">
        <f>IFERROR(BH2160/$AU$2088,0)</f>
        <v>0</v>
      </c>
      <c r="BJ2160">
        <f>BH2160*($F$24+IF($F$24=0,0,($C$14+$C$15+IF($C$13="single",1.5,3)+3)/12))</f>
        <v>0</v>
      </c>
      <c r="BK2160">
        <f>BJ2160-BA2160</f>
        <v>0</v>
      </c>
      <c r="BL2160" cm="1">
        <f t="array" ref="BL2160">IFERROR(IF(BK2160&lt;0,0,BK2160/($AU$2088-INDEX(hd_off,MATCH(BT2160,hd_mark,0),0)/12)),0)</f>
        <v>0</v>
      </c>
      <c r="BM2160">
        <f>MAX($F$24,$BE$2088)/$Q$2100</f>
        <v>0</v>
      </c>
      <c r="BN2160">
        <f t="shared" si="1331"/>
        <v>0</v>
      </c>
      <c r="BO2160" cm="1">
        <f t="array" ref="BO2160">IFERROR(INDEX(sheath_ecap_asd,MATCH(BS2160,sheath_mark,0),0)*BN2160,0)</f>
        <v>0</v>
      </c>
      <c r="BP2160" cm="1">
        <f t="array" ref="BP2160">IFERROR(INDEX(sheath_wcap_asd,MATCH(BS2160,sheath_mark,0),0)*BN2160,0)</f>
        <v>0</v>
      </c>
      <c r="BQ2160" cm="1">
        <f t="array" ref="BQ2160">IFERROR(INDEX(hd_cap,MATCH(BT2160,hd_mark,0),0),0)</f>
        <v>0</v>
      </c>
      <c r="BS2160" s="19"/>
      <c r="BT2160" s="19"/>
      <c r="BU2160" s="100"/>
    </row>
    <row r="2161" x14ac:dyDescent="0.25">
      <c r="P2161" s="93"/>
      <c r="Q2161" s="109"/>
      <c r="R2161" t="str">
        <f>$Q$2073</f>
        <v>Roof</v>
      </c>
      <c r="S2161">
        <f>$E$25</f>
        <v>33.171875</v>
      </c>
      <c r="T2161" cm="1">
        <f t="array" ref="T2161">IFERROR(IF(S2161=0,0,(INDEX($C$33:$C$38,MATCH($W$2088,$B$33:$B$38,0),0)*(S2161+$X$2088)+$V$2088*$C$31)*$R$2088),0)</f>
        <v>0</v>
      </c>
      <c r="U2161">
        <f>IF(S2161=0,0,-$V$2088*$C$31*$H$27*$R$2088)</f>
        <v>0</v>
      </c>
      <c r="V2161">
        <f>IF(S2161=0,0,$V$2088*$H$26*$R$2088)</f>
        <v>0</v>
      </c>
      <c r="W2161">
        <f>(0.6*T2161+0.7*U2161)*$R$2088/2</f>
        <v>0</v>
      </c>
      <c r="X2161">
        <f>T2161*$R$2088/2</f>
        <v>0</v>
      </c>
      <c r="Z2161">
        <f>IF(S2161=0,0,$AD$2088*$AP$2073)</f>
        <v>0</v>
      </c>
      <c r="AA2161">
        <f>IFERROR(Z2161/$R$2088,0)</f>
        <v>0</v>
      </c>
      <c r="AB2161">
        <f>Z2161*($F$25+($C$16+$C$17+IF($C$13="single",1.5,3)+3)/12)</f>
        <v>0</v>
      </c>
      <c r="AC2161">
        <f>AB2161-W2161</f>
        <v>0</v>
      </c>
      <c r="AD2161" cm="1">
        <f t="array" ref="AD2161">IFERROR(IF(AC2161&lt;0,0,AC2161/($R$2088-INDEX(hd_off,MATCH(AQ2161,hd_mark,0),0)/12)),0)</f>
        <v>0</v>
      </c>
      <c r="AE2161">
        <f>IF(S2161=0,0,$AD$2088*$AM$2073)</f>
        <v>0</v>
      </c>
      <c r="AF2161">
        <f>IFERROR(AE2161/$R$2088,0)</f>
        <v>0</v>
      </c>
      <c r="AG2161">
        <f>AE2161*($F$25+($C$16+$C$17+IF($C$13="single",1.5,3)+3)/12)</f>
        <v>0</v>
      </c>
      <c r="AH2161">
        <f>AG2161-X2161</f>
        <v>0</v>
      </c>
      <c r="AI2161" cm="1">
        <f t="array" ref="AI2161">IFERROR(IF(AH2161&lt;0,0,AH2161/($R$2088-INDEX(hd_off,MATCH(AQ2161,hd_mark,0),0)/12)),0)</f>
        <v>0</v>
      </c>
      <c r="AJ2161">
        <f>MAX($F$25,$AC$2088)/$Q$2100</f>
        <v>0.29920977011494249</v>
      </c>
      <c r="AK2161">
        <f t="shared" si="1330"/>
        <v>1</v>
      </c>
      <c r="AL2161" cm="1">
        <f t="array" ref="AL2161">IFERROR(INDEX(sheath_ecap_asd,MATCH(AP2161,sheath_mark,0),0)*AK2161,0)</f>
        <v>0</v>
      </c>
      <c r="AM2161" cm="1">
        <f t="array" ref="AM2161">IFERROR(INDEX(sheath_wcap_asd,MATCH(AP2161,sheath_mark,0),0)*AK2161,0)</f>
        <v>0</v>
      </c>
      <c r="AN2161" cm="1">
        <f t="array" ref="AN2161">IFERROR(INDEX(hd_cap,MATCH(AQ2161,hd_mark,0),0),0)</f>
        <v>0</v>
      </c>
      <c r="AP2161" s="19"/>
      <c r="AQ2161" s="19"/>
      <c r="AR2161" s="100"/>
      <c r="AS2161" s="93"/>
      <c r="AT2161" s="109"/>
      <c r="AU2161" t="str">
        <f>$Q$2073</f>
        <v>Roof</v>
      </c>
      <c r="AV2161">
        <f>$E$25</f>
        <v>33.171875</v>
      </c>
      <c r="AW2161" cm="1">
        <f t="array" ref="AW2161">IFERROR(IF(AV2161=0,0,(INDEX($C$33:$C$38,MATCH($AZ$2088,$B$33:$B$38,0),0)*(AV2161+$BA$2088)+$AY$2088*$C$31)*$AU$2088),0)</f>
        <v>0</v>
      </c>
      <c r="AX2161">
        <f>IF(AV2161=0,0,-$AY$2088*$C$31*$H$27*$AU$2088)</f>
        <v>0</v>
      </c>
      <c r="AY2161">
        <f>IF(AV2161=0,0,$AY$2088*$H$26*$AU$2088)</f>
        <v>0</v>
      </c>
      <c r="AZ2161">
        <f>(0.6*AW2161+0.7*AX2161)*$AU$2088/2</f>
        <v>0</v>
      </c>
      <c r="BA2161">
        <f>AW2161*$AU$2088/2</f>
        <v>0</v>
      </c>
      <c r="BC2161">
        <f>IF(AV2161=0,0,$BG$2088*$AP$2073)</f>
        <v>0</v>
      </c>
      <c r="BD2161">
        <f>IFERROR(BC2161/$AU$2088,0)</f>
        <v>0</v>
      </c>
      <c r="BE2161">
        <f>BC2161*($F$25+($C$16+$C$17+IF($C$13="single",1.5,3)+3)/12)</f>
        <v>0</v>
      </c>
      <c r="BF2161">
        <f>BE2161-AZ2161</f>
        <v>0</v>
      </c>
      <c r="BG2161" cm="1">
        <f t="array" ref="BG2161">IFERROR(IF(BF2161&lt;0,0,BF2161/($AU$2088-INDEX(hd_off,MATCH(BT2161,hd_mark,0),0)/12)),0)</f>
        <v>0</v>
      </c>
      <c r="BH2161">
        <f>IF(AV2161=0,0,$BG$2088*$AM$2073)</f>
        <v>0</v>
      </c>
      <c r="BI2161">
        <f>IFERROR(BH2161/$AU$2088,0)</f>
        <v>0</v>
      </c>
      <c r="BJ2161">
        <f>BH2161*($F$25+($C$16+$C$17+IF($C$13="single",1.5,3)+3)/12)</f>
        <v>0</v>
      </c>
      <c r="BK2161">
        <f>BJ2161-BA2161</f>
        <v>0</v>
      </c>
      <c r="BL2161" cm="1">
        <f t="array" ref="BL2161">IFERROR(IF(BK2161&lt;0,0,BK2161/($AU$2088-INDEX(hd_off,MATCH(BT2161,hd_mark,0),0)/12)),0)</f>
        <v>0</v>
      </c>
      <c r="BM2161">
        <f>MAX($F$25,$BF$2088)/$Q$2100</f>
        <v>0.29920977011494249</v>
      </c>
      <c r="BN2161">
        <f t="shared" si="1331"/>
        <v>1</v>
      </c>
      <c r="BO2161" cm="1">
        <f t="array" ref="BO2161">IFERROR(INDEX(sheath_ecap_asd,MATCH(BS2161,sheath_mark,0),0)*BN2161,0)</f>
        <v>0</v>
      </c>
      <c r="BP2161" cm="1">
        <f t="array" ref="BP2161">IFERROR(INDEX(sheath_wcap_asd,MATCH(BS2161,sheath_mark,0),0)*BN2161,0)</f>
        <v>0</v>
      </c>
      <c r="BQ2161" cm="1">
        <f t="array" ref="BQ2161">IFERROR(INDEX(hd_cap,MATCH(BT2161,hd_mark,0),0),0)</f>
        <v>0</v>
      </c>
      <c r="BS2161" s="19"/>
      <c r="BT2161" s="19"/>
      <c r="BU2161" s="100"/>
    </row>
    <row r="2162" x14ac:dyDescent="0.25">
      <c r="P2162" s="93"/>
      <c r="AR2162" s="100"/>
      <c r="AS2162" s="93"/>
      <c r="BU2162" s="100"/>
    </row>
    <row r="2163" x14ac:dyDescent="0.25">
      <c r="P2163" s="93"/>
      <c r="Q2163" s="110" t="str">
        <f>$Q$2089</f>
        <v>A.12</v>
      </c>
      <c r="R2163" t="str">
        <f>$Q$2069</f>
        <v>L2</v>
      </c>
      <c r="S2163">
        <f>$E$21</f>
        <v>10.6875</v>
      </c>
      <c r="T2163" cm="1">
        <f t="array" ref="T2163">IFERROR(IF(S2163=0,0,(INDEX($C$33:$C$38,MATCH($W$2089,$B$33:$B$38,0),0)*(S2167+$X$2089)+$T$2089*COUNTIF(S2163:S2166,"&gt;0")*$C$32+$V$2089*$C$31)*$R$2089),0)</f>
        <v>0</v>
      </c>
      <c r="U2163">
        <f>IF(S2163=0,0,-(COUNTIF(S2163:S2166,"&gt;0")*$T$2089*$C$32+$V$2089*$C$31)*$H$27*$R$2089)</f>
        <v>0</v>
      </c>
      <c r="V2163">
        <f>IF(S2163=0,0,$V$2089*$H$26*$R$2089)</f>
        <v>0</v>
      </c>
      <c r="W2163">
        <f>(0.6*T2163+0.7*U2163)*$R$2089/2</f>
        <v>0</v>
      </c>
      <c r="X2163">
        <f>(0.6*T2163+0.6*V2163)*$R$2089/2</f>
        <v>0</v>
      </c>
      <c r="Z2163">
        <f>IF(S2163=0,0,$AD$2089*$AP$2069)</f>
        <v>0</v>
      </c>
      <c r="AA2163">
        <f>IFERROR(Z2163/$R$2089,0)</f>
        <v>0</v>
      </c>
      <c r="AB2163">
        <f>Z2163*($F$21+IF($F$21=0,0,($C$14+$C$15+IF($C$13="single",1.5,3)+3)/12))</f>
        <v>0</v>
      </c>
      <c r="AC2163">
        <f>AB2163-W2163</f>
        <v>0</v>
      </c>
      <c r="AD2163" cm="1">
        <f t="array" ref="AD2163">IFERROR(IF(AC2163&lt;0,0,AC2163/($R$2089-INDEX(hd_off,MATCH(AQ2163,hd_mark,0),0)/12)),0)</f>
        <v>0</v>
      </c>
      <c r="AE2163">
        <f>IF(S2163=0,0,$AD$2089*$AM$2069)</f>
        <v>0</v>
      </c>
      <c r="AF2163">
        <f>IFERROR(AE2163/$R$2089,0)</f>
        <v>0</v>
      </c>
      <c r="AG2163">
        <f>AE2163*($F$21+IF($F$21=0,0,($C$14+$C$15+IF($C$13="single",1.5,3)+3)/12))</f>
        <v>0</v>
      </c>
      <c r="AH2163">
        <f>AG2163-X2163</f>
        <v>0</v>
      </c>
      <c r="AI2163" cm="1">
        <f t="array" ref="AI2163">IFERROR(IF(AH2163&lt;0,0,AH2163/($R$2089-INDEX(hd_off,MATCH(AQ2163,hd_mark,0),0)/12)),0)</f>
        <v>0</v>
      </c>
      <c r="AJ2163">
        <f>MAX($F$21,$Y$2089)/$Q$2100</f>
        <v>0.30172413793103448</v>
      </c>
      <c r="AK2163">
        <f>IF(AJ2163=0,0,IF(AJ2163&gt;2,1.25-0.125*AJ2163,1))</f>
        <v>1</v>
      </c>
      <c r="AL2163" cm="1">
        <f t="array" ref="AL2163">IFERROR(INDEX(sheath_ecap_asd,MATCH(AP2163,sheath_mark,0),0)*AK2163,0)</f>
        <v>0</v>
      </c>
      <c r="AM2163" cm="1">
        <f t="array" ref="AM2163">IFERROR(INDEX(sheath_wcap_asd,MATCH(AP2163,sheath_mark,0),0)*AK2163,0)</f>
        <v>0</v>
      </c>
      <c r="AN2163" cm="1">
        <f t="array" ref="AN2163">IFERROR(INDEX(hd_cap,MATCH(AQ2163,hd_mark,0),0),0)</f>
        <v>0</v>
      </c>
      <c r="AP2163" s="19"/>
      <c r="AQ2163" s="19"/>
      <c r="AR2163" s="100"/>
      <c r="AS2163" s="93"/>
      <c r="AT2163" s="110" t="str">
        <f>$AT$2089</f>
        <v>1.12</v>
      </c>
      <c r="AU2163" t="str">
        <f>$Q$2069</f>
        <v>L2</v>
      </c>
      <c r="AV2163">
        <f>$E$21</f>
        <v>10.6875</v>
      </c>
      <c r="AW2163" cm="1">
        <f t="array" ref="AW2163">IFERROR(IF(AV2163=0,0,(INDEX($C$33:$C$38,MATCH($AZ$2089,$B$33:$B$38,0),0)*(AV2167+$BA$2089)+$AW$2089*COUNTIF(AV2163:AV2166,"&gt;0")*$C$32+$AY$2089*$C$31)*$AU$2089),0)</f>
        <v>0</v>
      </c>
      <c r="AX2163">
        <f>IF(AV2163=0,0,-(COUNTIF(AV2163:AV2166,"&gt;0")*$AW$2089*$C$32+$AY$2089*$C$31)*$H$27*$AU$2089)</f>
        <v>0</v>
      </c>
      <c r="AY2163">
        <f>IF(AV2163=0,0,$AY$2089*$H$26*$AU$2089)</f>
        <v>0</v>
      </c>
      <c r="AZ2163">
        <f>(0.6*AW2163+0.7*AX2163)*$AU$2089/2</f>
        <v>0</v>
      </c>
      <c r="BA2163">
        <f>(0.6*AW2163+0.6*AY2163)*$AU$2089/2</f>
        <v>0</v>
      </c>
      <c r="BC2163">
        <f>IF(AV2163=0,0,$BG$2089*$AP$2069)</f>
        <v>0</v>
      </c>
      <c r="BD2163">
        <f>IFERROR(BC2163/$AU$2089,0)</f>
        <v>0</v>
      </c>
      <c r="BE2163">
        <f>BC2163*($F$21+IF($F$21=0,0,($C$14+$C$15+IF($C$13="single",1.5,3)+3)/12))</f>
        <v>0</v>
      </c>
      <c r="BF2163">
        <f>BE2163-AZ2163</f>
        <v>0</v>
      </c>
      <c r="BG2163" cm="1">
        <f t="array" ref="BG2163">IFERROR(IF(BF2163&lt;0,0,BF2163/($AU$2089-INDEX(hd_off,MATCH(BT2163,hd_mark,0),0)/12)),0)</f>
        <v>0</v>
      </c>
      <c r="BH2163">
        <f>IF(AV2163=0,0,$BG$2089*$AM$2069)</f>
        <v>0</v>
      </c>
      <c r="BI2163">
        <f>IFERROR(BH2163/$AU$2089,0)</f>
        <v>0</v>
      </c>
      <c r="BJ2163">
        <f>BH2163*($F$21+IF($F$21=0,0,($C$14+$C$15+IF($C$13="single",1.5,3)+3)/12))</f>
        <v>0</v>
      </c>
      <c r="BK2163">
        <f>BJ2163-BA2163</f>
        <v>0</v>
      </c>
      <c r="BL2163" cm="1">
        <f t="array" ref="BL2163">IFERROR(IF(BK2163&lt;0,0,BK2163/($AU$2089-INDEX(hd_off,MATCH(BT2163,hd_mark,0),0)/12)),0)</f>
        <v>0</v>
      </c>
      <c r="BM2163">
        <f>MAX($F$21,$BB$2089)/$Q$2100</f>
        <v>0.30172413793103448</v>
      </c>
      <c r="BN2163">
        <f>IF(BM2163=0,0,IF(BM2163&gt;2,1.25-0.125*BM2163,1))</f>
        <v>1</v>
      </c>
      <c r="BO2163" cm="1">
        <f t="array" ref="BO2163">IFERROR(INDEX(sheath_ecap_asd,MATCH(BS2163,sheath_mark,0),0)*BN2163,0)</f>
        <v>0</v>
      </c>
      <c r="BP2163" cm="1">
        <f t="array" ref="BP2163">IFERROR(INDEX(sheath_wcap_asd,MATCH(BS2163,sheath_mark,0),0)*BN2163,0)</f>
        <v>0</v>
      </c>
      <c r="BQ2163" cm="1">
        <f t="array" ref="BQ2163">IFERROR(INDEX(hd_cap,MATCH(BT2163,hd_mark,0),0),0)</f>
        <v>0</v>
      </c>
      <c r="BS2163" s="19"/>
      <c r="BT2163" s="19"/>
      <c r="BU2163" s="100"/>
    </row>
    <row r="2164" x14ac:dyDescent="0.25">
      <c r="P2164" s="93"/>
      <c r="Q2164" s="109"/>
      <c r="R2164" t="str">
        <f>$Q$2070</f>
        <v>L3</v>
      </c>
      <c r="S2164">
        <f>$E$22</f>
        <v>21.375</v>
      </c>
      <c r="T2164" cm="1">
        <f t="array" ref="T2164">IFERROR(IF(S2164=0,0,(INDEX($C$33:$C$38,MATCH($W$2089,$B$33:$B$38,0),0)*(S2167+$X$2089)+$T$2089*COUNTIF(S2164:S2166,"&gt;0")*$C$32+$V$2089*$C$31)*$R$2089),0)</f>
        <v>0</v>
      </c>
      <c r="U2164">
        <f>IF(S2164=0,0,-(COUNTIF(S2164:S2166,"&gt;0")*$T$2089*$C$32+$V$2089*$C$31)*$H$27*$R$2089)</f>
        <v>0</v>
      </c>
      <c r="V2164">
        <f>IF(S2164=0,0,$V$2089*$H$26*$R$2089)</f>
        <v>0</v>
      </c>
      <c r="W2164">
        <f>(0.6*T2164+0.7*U2164)*$R$2089/2</f>
        <v>0</v>
      </c>
      <c r="X2164">
        <f>T2164*$R$2089/2</f>
        <v>0</v>
      </c>
      <c r="Z2164">
        <f>IF(S2164=0,0,$AD$2089*$AP$2070)</f>
        <v>0</v>
      </c>
      <c r="AA2164">
        <f>IFERROR(Z2164/$R$2089,0)</f>
        <v>0</v>
      </c>
      <c r="AB2164">
        <f>Z2164*($F$22+IF($F$22=0,0,($C$14+$C$15+IF($C$13="single",1.5,3)+3)/12))</f>
        <v>0</v>
      </c>
      <c r="AC2164">
        <f>AB2164-W2164</f>
        <v>0</v>
      </c>
      <c r="AD2164" cm="1">
        <f t="array" ref="AD2164">IFERROR(IF(AC2164&lt;0,0,AC2164/($R$2089-INDEX(hd_off,MATCH(AQ2164,hd_mark,0),0)/12)),0)</f>
        <v>0</v>
      </c>
      <c r="AE2164">
        <f>IF(S2164=0,0,$AD$2089*$AM$2070)</f>
        <v>0</v>
      </c>
      <c r="AF2164">
        <f>IFERROR(AE2164/$R$2089,0)</f>
        <v>0</v>
      </c>
      <c r="AG2164">
        <f>AE2164*($F$22+IF($F$22=0,0,($C$14+$C$15+IF($C$13="single",1.5,3)+3)/12))</f>
        <v>0</v>
      </c>
      <c r="AH2164">
        <f>AG2164-X2164</f>
        <v>0</v>
      </c>
      <c r="AI2164" cm="1">
        <f t="array" ref="AI2164">IFERROR(IF(AH2164&lt;0,0,AH2164/($R$2089-INDEX(hd_off,MATCH(AQ2164,hd_mark,0),0)/12)),0)</f>
        <v>0</v>
      </c>
      <c r="AJ2164">
        <f>MAX($F$22,$Z$2089)/$Q$2100</f>
        <v>0.30172413793103448</v>
      </c>
      <c r="AK2164">
        <f t="shared" ref="AK2164:AK2167" si="1332">IF(AJ2164=0,0,IF(AJ2164&gt;2,1.25-0.125*AJ2164,1))</f>
        <v>1</v>
      </c>
      <c r="AL2164" cm="1">
        <f t="array" ref="AL2164">IFERROR(INDEX(sheath_ecap_asd,MATCH(AP2164,sheath_mark,0),0)*AK2164,0)</f>
        <v>0</v>
      </c>
      <c r="AM2164" cm="1">
        <f t="array" ref="AM2164">IFERROR(INDEX(sheath_wcap_asd,MATCH(AP2164,sheath_mark,0),0)*AK2164,0)</f>
        <v>0</v>
      </c>
      <c r="AN2164" cm="1">
        <f t="array" ref="AN2164">IFERROR(INDEX(hd_cap,MATCH(AQ2164,hd_mark,0),0),0)</f>
        <v>0</v>
      </c>
      <c r="AP2164" s="19"/>
      <c r="AQ2164" s="19"/>
      <c r="AR2164" s="100"/>
      <c r="AS2164" s="93"/>
      <c r="AT2164" s="109"/>
      <c r="AU2164" t="str">
        <f>$Q$2070</f>
        <v>L3</v>
      </c>
      <c r="AV2164">
        <f>$E$22</f>
        <v>21.375</v>
      </c>
      <c r="AW2164" cm="1">
        <f t="array" ref="AW2164">IFERROR(IF(AV2164=0,0,(INDEX($C$33:$C$38,MATCH($AZ$2089,$B$33:$B$38,0),0)*(AV2167+$BA$2089)+$AW$2089*COUNTIF(AV2164:AV2166,"&gt;0")*$C$32+$AY$2089*$C$31)*$AU$2089),0)</f>
        <v>0</v>
      </c>
      <c r="AX2164">
        <f>IF(AV2164=0,0,-(COUNTIF(AV2164:AV2166,"&gt;0")*$AW$2089*$C$32+$AY$2089*$C$31)*$H$27*$AU$2089)</f>
        <v>0</v>
      </c>
      <c r="AY2164">
        <f>IF(AV2164=0,0,$AY$2089*$H$26*$AU$2089)</f>
        <v>0</v>
      </c>
      <c r="AZ2164">
        <f>(0.6*AW2164+0.7*AX2164)*$AU$2089/2</f>
        <v>0</v>
      </c>
      <c r="BA2164">
        <f>AW2164*$AU$2089/2</f>
        <v>0</v>
      </c>
      <c r="BC2164">
        <f>IF(AV2164=0,0,$BG$2089*$AP$2070)</f>
        <v>0</v>
      </c>
      <c r="BD2164">
        <f>IFERROR(BC2164/$AU$2089,0)</f>
        <v>0</v>
      </c>
      <c r="BE2164">
        <f>BC2164*($F$22+IF($F$22=0,0,($C$14+$C$15+IF($C$13="single",1.5,3)+3)/12))</f>
        <v>0</v>
      </c>
      <c r="BF2164">
        <f>BE2164-AZ2164</f>
        <v>0</v>
      </c>
      <c r="BG2164" cm="1">
        <f t="array" ref="BG2164">IFERROR(IF(BF2164&lt;0,0,BF2164/($AU$2089-INDEX(hd_off,MATCH(BT2164,hd_mark,0),0)/12)),0)</f>
        <v>0</v>
      </c>
      <c r="BH2164">
        <f>IF(AV2164=0,0,$BG$2089*$AM$2070)</f>
        <v>0</v>
      </c>
      <c r="BI2164">
        <f>IFERROR(BH2164/$AU$2089,0)</f>
        <v>0</v>
      </c>
      <c r="BJ2164">
        <f>BH2164*($F$22+IF($F$22=0,0,($C$14+$C$15+IF($C$13="single",1.5,3)+3)/12))</f>
        <v>0</v>
      </c>
      <c r="BK2164">
        <f>BJ2164-BA2164</f>
        <v>0</v>
      </c>
      <c r="BL2164" cm="1">
        <f t="array" ref="BL2164">IFERROR(IF(BK2164&lt;0,0,BK2164/($AU$2089-INDEX(hd_off,MATCH(BT2164,hd_mark,0),0)/12)),0)</f>
        <v>0</v>
      </c>
      <c r="BM2164">
        <f>MAX($F$22,$BC$2089)/$Q$2100</f>
        <v>0.30172413793103448</v>
      </c>
      <c r="BN2164">
        <f t="shared" ref="BN2164:BN2167" si="1333">IF(BM2164=0,0,IF(BM2164&gt;2,1.25-0.125*BM2164,1))</f>
        <v>1</v>
      </c>
      <c r="BO2164" cm="1">
        <f t="array" ref="BO2164">IFERROR(INDEX(sheath_ecap_asd,MATCH(BS2164,sheath_mark,0),0)*BN2164,0)</f>
        <v>0</v>
      </c>
      <c r="BP2164" cm="1">
        <f t="array" ref="BP2164">IFERROR(INDEX(sheath_wcap_asd,MATCH(BS2164,sheath_mark,0),0)*BN2164,0)</f>
        <v>0</v>
      </c>
      <c r="BQ2164" cm="1">
        <f t="array" ref="BQ2164">IFERROR(INDEX(hd_cap,MATCH(BT2164,hd_mark,0),0),0)</f>
        <v>0</v>
      </c>
      <c r="BS2164" s="19"/>
      <c r="BT2164" s="19"/>
      <c r="BU2164" s="100"/>
    </row>
    <row r="2165" x14ac:dyDescent="0.25">
      <c r="P2165" s="93"/>
      <c r="Q2165" s="109" t="s">
        <v>491</v>
      </c>
      <c r="R2165" t="str">
        <f>$Q$2071</f>
        <v>L4</v>
      </c>
      <c r="S2165">
        <f>$E$23</f>
        <v>0</v>
      </c>
      <c r="T2165" cm="1">
        <f t="array" ref="T2165">IFERROR(IF(S2165=0,0,(INDEX($C$33:$C$38,MATCH($W$2089,$B$33:$B$38,0),0)*(S2167+$X$2089)+$T$2089*COUNTIF(S2165:S2166,"&gt;0")*$C$32+$V$2089*$C$31)*$R$2089),0)</f>
        <v>0</v>
      </c>
      <c r="U2165">
        <f>IF(S2165=0,0,-(COUNTIF(S2165:S2166,"&gt;0")*$T$2089*$C$32+$V$2089*$C$31)*$H$27*$R$2089)</f>
        <v>0</v>
      </c>
      <c r="V2165">
        <f>IF(S2165=0,0,$V$2089*$H$26*$R$2089)</f>
        <v>0</v>
      </c>
      <c r="W2165">
        <f>(0.6*T2165+0.7*U2165)*$R$2089/2</f>
        <v>0</v>
      </c>
      <c r="X2165">
        <f>T2165*$R$2089/2</f>
        <v>0</v>
      </c>
      <c r="Z2165">
        <f>IF(S2165=0,0,$AD$2089*$AP$2071)</f>
        <v>0</v>
      </c>
      <c r="AA2165">
        <f>IFERROR(Z2165/$R$2089,0)</f>
        <v>0</v>
      </c>
      <c r="AB2165">
        <f>Z2165*($F$23+IF($F$23=0,0,($C$14+$C$15+IF($C$13="single",1.5,3)+3)/12))</f>
        <v>0</v>
      </c>
      <c r="AC2165">
        <f>AB2165-W2165</f>
        <v>0</v>
      </c>
      <c r="AD2165" cm="1">
        <f t="array" ref="AD2165">IFERROR(IF(AC2165&lt;0,0,AC2165/($R$2089-INDEX(hd_off,MATCH(AQ2165,hd_mark,0),0)/12)),0)</f>
        <v>0</v>
      </c>
      <c r="AE2165">
        <f>IF(S2165=0,0,$AD$2089*$AM$2071)</f>
        <v>0</v>
      </c>
      <c r="AF2165">
        <f>IFERROR(AE2165/$R$2089,0)</f>
        <v>0</v>
      </c>
      <c r="AG2165">
        <f>AE2165*($F$23+IF($F$23=0,0,($C$14+$C$15+IF($C$13="single",1.5,3)+3)/12))</f>
        <v>0</v>
      </c>
      <c r="AH2165">
        <f>AG2165-X2165</f>
        <v>0</v>
      </c>
      <c r="AI2165" cm="1">
        <f t="array" ref="AI2165">IFERROR(IF(AH2165&lt;0,0,AH2165/($R$2089-INDEX(hd_off,MATCH(AQ2165,hd_mark,0),0)/12)),0)</f>
        <v>0</v>
      </c>
      <c r="AJ2165">
        <f>MAX($F$23,$AA$2089)/$Q$2100</f>
        <v>0</v>
      </c>
      <c r="AK2165">
        <f t="shared" si="1332"/>
        <v>0</v>
      </c>
      <c r="AL2165" cm="1">
        <f t="array" ref="AL2165">IFERROR(INDEX(sheath_ecap_asd,MATCH(AP2165,sheath_mark,0),0)*AK2165,0)</f>
        <v>0</v>
      </c>
      <c r="AM2165" cm="1">
        <f t="array" ref="AM2165">IFERROR(INDEX(sheath_wcap_asd,MATCH(AP2165,sheath_mark,0),0)*AK2165,0)</f>
        <v>0</v>
      </c>
      <c r="AN2165" cm="1">
        <f t="array" ref="AN2165">IFERROR(INDEX(hd_cap,MATCH(AQ2165,hd_mark,0),0),0)</f>
        <v>0</v>
      </c>
      <c r="AP2165" s="19"/>
      <c r="AQ2165" s="19"/>
      <c r="AR2165" s="100"/>
      <c r="AS2165" s="93"/>
      <c r="AT2165" s="109" t="s">
        <v>491</v>
      </c>
      <c r="AU2165" t="str">
        <f>$Q$2071</f>
        <v>L4</v>
      </c>
      <c r="AV2165">
        <f>$E$23</f>
        <v>0</v>
      </c>
      <c r="AW2165" cm="1">
        <f t="array" ref="AW2165">IFERROR(IF(AV2165=0,0,(INDEX($C$33:$C$38,MATCH($AZ$2089,$B$33:$B$38,0),0)*(AV2167+$BA$2089)+$AW$2089*COUNTIF(AV2165:AV2166,"&gt;0")*$C$32+$AY$2089*$C$31)*$AU$2089),0)</f>
        <v>0</v>
      </c>
      <c r="AX2165">
        <f>IF(AV2165=0,0,-(COUNTIF(AV2165:AV2166,"&gt;0")*$AW$2089*$C$32+$AY$2089*$C$31)*$H$27*$AU$2089)</f>
        <v>0</v>
      </c>
      <c r="AY2165">
        <f>IF(AV2165=0,0,$AY$2089*$H$26*$AU$2089)</f>
        <v>0</v>
      </c>
      <c r="AZ2165">
        <f>(0.6*AW2165+0.7*AX2165)*$AU$2089/2</f>
        <v>0</v>
      </c>
      <c r="BA2165">
        <f>AW2165*$AU$2089/2</f>
        <v>0</v>
      </c>
      <c r="BC2165">
        <f>IF(AV2165=0,0,$BG$2089*$AP$2071)</f>
        <v>0</v>
      </c>
      <c r="BD2165">
        <f>IFERROR(BC2165/$AU$2089,0)</f>
        <v>0</v>
      </c>
      <c r="BE2165">
        <f>BC2165*($F$23+IF($F$23=0,0,($C$14+$C$15+IF($C$13="single",1.5,3)+3)/12))</f>
        <v>0</v>
      </c>
      <c r="BF2165">
        <f>BE2165-AZ2165</f>
        <v>0</v>
      </c>
      <c r="BG2165" cm="1">
        <f t="array" ref="BG2165">IFERROR(IF(BF2165&lt;0,0,BF2165/($AU$2089-INDEX(hd_off,MATCH(BT2165,hd_mark,0),0)/12)),0)</f>
        <v>0</v>
      </c>
      <c r="BH2165">
        <f>IF(AV2165=0,0,$BG$2089*$AM$2071)</f>
        <v>0</v>
      </c>
      <c r="BI2165">
        <f>IFERROR(BH2165/$AU$2089,0)</f>
        <v>0</v>
      </c>
      <c r="BJ2165">
        <f>BH2165*($F$23+IF($F$23=0,0,($C$14+$C$15+IF($C$13="single",1.5,3)+3)/12))</f>
        <v>0</v>
      </c>
      <c r="BK2165">
        <f>BJ2165-BA2165</f>
        <v>0</v>
      </c>
      <c r="BL2165" cm="1">
        <f t="array" ref="BL2165">IFERROR(IF(BK2165&lt;0,0,BK2165/($AU$2089-INDEX(hd_off,MATCH(BT2165,hd_mark,0),0)/12)),0)</f>
        <v>0</v>
      </c>
      <c r="BM2165">
        <f>MAX($F$23,$BD$2089)/$Q$2100</f>
        <v>0</v>
      </c>
      <c r="BN2165">
        <f t="shared" si="1333"/>
        <v>0</v>
      </c>
      <c r="BO2165" cm="1">
        <f t="array" ref="BO2165">IFERROR(INDEX(sheath_ecap_asd,MATCH(BS2165,sheath_mark,0),0)*BN2165,0)</f>
        <v>0</v>
      </c>
      <c r="BP2165" cm="1">
        <f t="array" ref="BP2165">IFERROR(INDEX(sheath_wcap_asd,MATCH(BS2165,sheath_mark,0),0)*BN2165,0)</f>
        <v>0</v>
      </c>
      <c r="BQ2165" cm="1">
        <f t="array" ref="BQ2165">IFERROR(INDEX(hd_cap,MATCH(BT2165,hd_mark,0),0),0)</f>
        <v>0</v>
      </c>
      <c r="BS2165" s="19"/>
      <c r="BT2165" s="19"/>
      <c r="BU2165" s="100"/>
    </row>
    <row r="2166" x14ac:dyDescent="0.25">
      <c r="P2166" s="93"/>
      <c r="Q2166" s="111">
        <f>$R$2089</f>
        <v>0</v>
      </c>
      <c r="R2166" t="str">
        <f>$Q$2072</f>
        <v>L5</v>
      </c>
      <c r="S2166">
        <f>$E$24</f>
        <v>0</v>
      </c>
      <c r="T2166" cm="1">
        <f t="array" ref="T2166">IFERROR(IF(S2166=0,0,(INDEX($C$33:$C$38,MATCH($W$2089,$B$33:$B$38,0),0)*(S2167+$X$2089)+$T$2089*COUNTIF(S2166:S2166,"&gt;0")*$C$32+$V$2089*$C$31)*$R$2089),0)</f>
        <v>0</v>
      </c>
      <c r="U2166">
        <f>IF(S2166=0,0,-(COUNTIF(S2166:S2166,"&gt;0")*$T$2089*$C$32+$V$2089*$C$31)*$H$27*$R$2089)</f>
        <v>0</v>
      </c>
      <c r="V2166">
        <f>IF(S2166=0,0,$V$2089*$H$26*$R$2089)</f>
        <v>0</v>
      </c>
      <c r="W2166">
        <f>(0.6*T2166+0.7*U2166)*$R$2089/2</f>
        <v>0</v>
      </c>
      <c r="X2166">
        <f>T2166*$R$2089/2</f>
        <v>0</v>
      </c>
      <c r="Z2166">
        <f>IF(S2166=0,0,$AD$2089*$AP$2072)</f>
        <v>0</v>
      </c>
      <c r="AA2166">
        <f>IFERROR(Z2166/$R$2089,0)</f>
        <v>0</v>
      </c>
      <c r="AB2166">
        <f>Z2166*($F$24+IF($F$24=0,0,($C$14+$C$15+IF($C$13="single",1.5,3)+3)/12))</f>
        <v>0</v>
      </c>
      <c r="AC2166">
        <f>AB2166-W2166</f>
        <v>0</v>
      </c>
      <c r="AD2166" cm="1">
        <f t="array" ref="AD2166">IFERROR(IF(AC2166&lt;0,0,AC2166/($R$2089-INDEX(hd_off,MATCH(AQ2166,hd_mark,0),0)/12)),0)</f>
        <v>0</v>
      </c>
      <c r="AE2166">
        <f>IF(S2166=0,0,$AD$2089*$AM$2072)</f>
        <v>0</v>
      </c>
      <c r="AF2166">
        <f>IFERROR(AE2166/$R$2089,0)</f>
        <v>0</v>
      </c>
      <c r="AG2166">
        <f>AE2166*($F$24+IF($F$24=0,0,($C$14+$C$15+IF($C$13="single",1.5,3)+3)/12))</f>
        <v>0</v>
      </c>
      <c r="AH2166">
        <f>AG2166-X2166</f>
        <v>0</v>
      </c>
      <c r="AI2166" cm="1">
        <f t="array" ref="AI2166">IFERROR(IF(AH2166&lt;0,0,AH2166/($R$2089-INDEX(hd_off,MATCH(AQ2166,hd_mark,0),0)/12)),0)</f>
        <v>0</v>
      </c>
      <c r="AJ2166">
        <f>MAX($F$24,$AB$2089)/$Q$2100</f>
        <v>0</v>
      </c>
      <c r="AK2166">
        <f t="shared" si="1332"/>
        <v>0</v>
      </c>
      <c r="AL2166" cm="1">
        <f t="array" ref="AL2166">IFERROR(INDEX(sheath_ecap_asd,MATCH(AP2166,sheath_mark,0),0)*AK2166,0)</f>
        <v>0</v>
      </c>
      <c r="AM2166" cm="1">
        <f t="array" ref="AM2166">IFERROR(INDEX(sheath_wcap_asd,MATCH(AP2166,sheath_mark,0),0)*AK2166,0)</f>
        <v>0</v>
      </c>
      <c r="AN2166" cm="1">
        <f t="array" ref="AN2166">IFERROR(INDEX(hd_cap,MATCH(AQ2166,hd_mark,0),0),0)</f>
        <v>0</v>
      </c>
      <c r="AP2166" s="19"/>
      <c r="AQ2166" s="19"/>
      <c r="AR2166" s="100"/>
      <c r="AS2166" s="93"/>
      <c r="AT2166" s="111">
        <f>$R$2089</f>
        <v>0</v>
      </c>
      <c r="AU2166" t="str">
        <f>$Q$2072</f>
        <v>L5</v>
      </c>
      <c r="AV2166">
        <f>$E$24</f>
        <v>0</v>
      </c>
      <c r="AW2166" cm="1">
        <f t="array" ref="AW2166">IFERROR(IF(AV2166=0,0,(INDEX($C$33:$C$38,MATCH($AZ$2089,$B$33:$B$38,0),0)*(AV2167+$BA$2089)+$AW$2089*COUNTIF(AV2166:AV2166,"&gt;0")*$C$32+$AY$2089*$C$31)*$AU$2089),0)</f>
        <v>0</v>
      </c>
      <c r="AX2166">
        <f>IF(AV2166=0,0,-(COUNTIF(AV2166:AV2166,"&gt;0")*$AW$2089*$C$32+$AY$2089*$C$31)*$H$27*$AU$2089)</f>
        <v>0</v>
      </c>
      <c r="AY2166">
        <f>IF(AV2166=0,0,$AY$2089*$H$26*$AU$2089)</f>
        <v>0</v>
      </c>
      <c r="AZ2166">
        <f>(0.6*AW2166+0.7*AX2166)*$AU$2089/2</f>
        <v>0</v>
      </c>
      <c r="BA2166">
        <f>AW2166*$AU$2089/2</f>
        <v>0</v>
      </c>
      <c r="BC2166">
        <f>IF(AV2166=0,0,$BG$2089*$AP$2072)</f>
        <v>0</v>
      </c>
      <c r="BD2166">
        <f>IFERROR(BC2166/$AU$2089,0)</f>
        <v>0</v>
      </c>
      <c r="BE2166">
        <f>BC2166*($F$24+IF($F$24=0,0,($C$14+$C$15+IF($C$13="single",1.5,3)+3)/12))</f>
        <v>0</v>
      </c>
      <c r="BF2166">
        <f>BE2166-AZ2166</f>
        <v>0</v>
      </c>
      <c r="BG2166" cm="1">
        <f t="array" ref="BG2166">IFERROR(IF(BF2166&lt;0,0,BF2166/($AU$2089-INDEX(hd_off,MATCH(BT2166,hd_mark,0),0)/12)),0)</f>
        <v>0</v>
      </c>
      <c r="BH2166">
        <f>IF(AV2166=0,0,$BG$2089*$AM$2072)</f>
        <v>0</v>
      </c>
      <c r="BI2166">
        <f>IFERROR(BH2166/$AU$2089,0)</f>
        <v>0</v>
      </c>
      <c r="BJ2166">
        <f>BH2166*($F$24+IF($F$24=0,0,($C$14+$C$15+IF($C$13="single",1.5,3)+3)/12))</f>
        <v>0</v>
      </c>
      <c r="BK2166">
        <f>BJ2166-BA2166</f>
        <v>0</v>
      </c>
      <c r="BL2166" cm="1">
        <f t="array" ref="BL2166">IFERROR(IF(BK2166&lt;0,0,BK2166/($AU$2089-INDEX(hd_off,MATCH(BT2166,hd_mark,0),0)/12)),0)</f>
        <v>0</v>
      </c>
      <c r="BM2166">
        <f>MAX($F$24,$BE$2089)/$Q$2100</f>
        <v>0</v>
      </c>
      <c r="BN2166">
        <f t="shared" si="1333"/>
        <v>0</v>
      </c>
      <c r="BO2166" cm="1">
        <f t="array" ref="BO2166">IFERROR(INDEX(sheath_ecap_asd,MATCH(BS2166,sheath_mark,0),0)*BN2166,0)</f>
        <v>0</v>
      </c>
      <c r="BP2166" cm="1">
        <f t="array" ref="BP2166">IFERROR(INDEX(sheath_wcap_asd,MATCH(BS2166,sheath_mark,0),0)*BN2166,0)</f>
        <v>0</v>
      </c>
      <c r="BQ2166" cm="1">
        <f t="array" ref="BQ2166">IFERROR(INDEX(hd_cap,MATCH(BT2166,hd_mark,0),0),0)</f>
        <v>0</v>
      </c>
      <c r="BS2166" s="19"/>
      <c r="BT2166" s="19"/>
      <c r="BU2166" s="100"/>
    </row>
    <row r="2167" x14ac:dyDescent="0.25">
      <c r="P2167" s="93"/>
      <c r="Q2167" s="109"/>
      <c r="R2167" t="str">
        <f>$Q$2073</f>
        <v>Roof</v>
      </c>
      <c r="S2167">
        <f>$E$25</f>
        <v>33.171875</v>
      </c>
      <c r="T2167" cm="1">
        <f t="array" ref="T2167">IFERROR(IF(S2167=0,0,(INDEX($C$33:$C$38,MATCH($W$2089,$B$33:$B$38,0),0)*(S2167+$X$2089)+$V$2089*$C$31)*$R$2089),0)</f>
        <v>0</v>
      </c>
      <c r="U2167">
        <f>IF(S2167=0,0,-$V$2089*$C$31*$H$27*$R$2089)</f>
        <v>0</v>
      </c>
      <c r="V2167">
        <f>IF(S2167=0,0,$V$2089*$H$26*$R$2089)</f>
        <v>0</v>
      </c>
      <c r="W2167">
        <f>(0.6*T2167+0.7*U2167)*$R$2089/2</f>
        <v>0</v>
      </c>
      <c r="X2167">
        <f>T2167*$R$2089/2</f>
        <v>0</v>
      </c>
      <c r="Z2167">
        <f>IF(S2167=0,0,$AD$2089*$AP$2073)</f>
        <v>0</v>
      </c>
      <c r="AA2167">
        <f>IFERROR(Z2167/$R$2089,0)</f>
        <v>0</v>
      </c>
      <c r="AB2167">
        <f>Z2167*($F$25+($C$16+$C$17+IF($C$13="single",1.5,3)+3)/12)</f>
        <v>0</v>
      </c>
      <c r="AC2167">
        <f>AB2167-W2167</f>
        <v>0</v>
      </c>
      <c r="AD2167" cm="1">
        <f t="array" ref="AD2167">IFERROR(IF(AC2167&lt;0,0,AC2167/($R$2089-INDEX(hd_off,MATCH(AQ2167,hd_mark,0),0)/12)),0)</f>
        <v>0</v>
      </c>
      <c r="AE2167">
        <f>IF(S2167=0,0,$AD$2089*$AM$2073)</f>
        <v>0</v>
      </c>
      <c r="AF2167">
        <f>IFERROR(AE2167/$R$2089,0)</f>
        <v>0</v>
      </c>
      <c r="AG2167">
        <f>AE2167*($F$25+($C$16+$C$17+IF($C$13="single",1.5,3)+3)/12)</f>
        <v>0</v>
      </c>
      <c r="AH2167">
        <f>AG2167-X2167</f>
        <v>0</v>
      </c>
      <c r="AI2167" cm="1">
        <f t="array" ref="AI2167">IFERROR(IF(AH2167&lt;0,0,AH2167/($R$2089-INDEX(hd_off,MATCH(AQ2167,hd_mark,0),0)/12)),0)</f>
        <v>0</v>
      </c>
      <c r="AJ2167">
        <f>MAX($F$25,$AC$2089)/$Q$2100</f>
        <v>0.29920977011494249</v>
      </c>
      <c r="AK2167">
        <f t="shared" si="1332"/>
        <v>1</v>
      </c>
      <c r="AL2167" cm="1">
        <f t="array" ref="AL2167">IFERROR(INDEX(sheath_ecap_asd,MATCH(AP2167,sheath_mark,0),0)*AK2167,0)</f>
        <v>0</v>
      </c>
      <c r="AM2167" cm="1">
        <f t="array" ref="AM2167">IFERROR(INDEX(sheath_wcap_asd,MATCH(AP2167,sheath_mark,0),0)*AK2167,0)</f>
        <v>0</v>
      </c>
      <c r="AN2167" cm="1">
        <f t="array" ref="AN2167">IFERROR(INDEX(hd_cap,MATCH(AQ2167,hd_mark,0),0),0)</f>
        <v>0</v>
      </c>
      <c r="AP2167" s="19"/>
      <c r="AQ2167" s="19"/>
      <c r="AR2167" s="100"/>
      <c r="AS2167" s="93"/>
      <c r="AT2167" s="109"/>
      <c r="AU2167" t="str">
        <f>$Q$2073</f>
        <v>Roof</v>
      </c>
      <c r="AV2167">
        <f>$E$25</f>
        <v>33.171875</v>
      </c>
      <c r="AW2167" cm="1">
        <f t="array" ref="AW2167">IFERROR(IF(AV2167=0,0,(INDEX($C$33:$C$38,MATCH($AZ$2089,$B$33:$B$38,0),0)*(AV2167+$BA$2089)+$AY$2089*$C$31)*$AU$2089),0)</f>
        <v>0</v>
      </c>
      <c r="AX2167">
        <f>IF(AV2167=0,0,-$AY$2089*$C$31*$H$27*$AU$2089)</f>
        <v>0</v>
      </c>
      <c r="AY2167">
        <f>IF(AV2167=0,0,$AY$2089*$H$26*$AU$2089)</f>
        <v>0</v>
      </c>
      <c r="AZ2167">
        <f>(0.6*AW2167+0.7*AX2167)*$AU$2089/2</f>
        <v>0</v>
      </c>
      <c r="BA2167">
        <f>AW2167*$AU$2089/2</f>
        <v>0</v>
      </c>
      <c r="BC2167">
        <f>IF(AV2167=0,0,$BG$2089*$AP$2073)</f>
        <v>0</v>
      </c>
      <c r="BD2167">
        <f>IFERROR(BC2167/$AU$2089,0)</f>
        <v>0</v>
      </c>
      <c r="BE2167">
        <f>BC2167*($F$25+($C$16+$C$17+IF($C$13="single",1.5,3)+3)/12)</f>
        <v>0</v>
      </c>
      <c r="BF2167">
        <f>BE2167-AZ2167</f>
        <v>0</v>
      </c>
      <c r="BG2167" cm="1">
        <f t="array" ref="BG2167">IFERROR(IF(BF2167&lt;0,0,BF2167/($AU$2089-INDEX(hd_off,MATCH(BT2167,hd_mark,0),0)/12)),0)</f>
        <v>0</v>
      </c>
      <c r="BH2167">
        <f>IF(AV2167=0,0,$BG$2089*$AM$2073)</f>
        <v>0</v>
      </c>
      <c r="BI2167">
        <f>IFERROR(BH2167/$AU$2089,0)</f>
        <v>0</v>
      </c>
      <c r="BJ2167">
        <f>BH2167*($F$25+($C$16+$C$17+IF($C$13="single",1.5,3)+3)/12)</f>
        <v>0</v>
      </c>
      <c r="BK2167">
        <f>BJ2167-BA2167</f>
        <v>0</v>
      </c>
      <c r="BL2167" cm="1">
        <f t="array" ref="BL2167">IFERROR(IF(BK2167&lt;0,0,BK2167/($AU$2089-INDEX(hd_off,MATCH(BT2167,hd_mark,0),0)/12)),0)</f>
        <v>0</v>
      </c>
      <c r="BM2167">
        <f>MAX($F$25,$BF$2089)/$Q$2100</f>
        <v>0.29920977011494249</v>
      </c>
      <c r="BN2167">
        <f t="shared" si="1333"/>
        <v>1</v>
      </c>
      <c r="BO2167" cm="1">
        <f t="array" ref="BO2167">IFERROR(INDEX(sheath_ecap_asd,MATCH(BS2167,sheath_mark,0),0)*BN2167,0)</f>
        <v>0</v>
      </c>
      <c r="BP2167" cm="1">
        <f t="array" ref="BP2167">IFERROR(INDEX(sheath_wcap_asd,MATCH(BS2167,sheath_mark,0),0)*BN2167,0)</f>
        <v>0</v>
      </c>
      <c r="BQ2167" cm="1">
        <f t="array" ref="BQ2167">IFERROR(INDEX(hd_cap,MATCH(BT2167,hd_mark,0),0),0)</f>
        <v>0</v>
      </c>
      <c r="BS2167" s="19"/>
      <c r="BT2167" s="19"/>
      <c r="BU2167" s="100"/>
    </row>
    <row r="2168" x14ac:dyDescent="0.25">
      <c r="P2168" s="93"/>
      <c r="AR2168" s="100"/>
      <c r="AS2168" s="93"/>
      <c r="BU2168" s="100"/>
    </row>
    <row r="2169" x14ac:dyDescent="0.25">
      <c r="P2169" s="93"/>
      <c r="Q2169" s="110" t="str">
        <f>$Q$2090</f>
        <v>A.13</v>
      </c>
      <c r="R2169" t="str">
        <f>$Q$2069</f>
        <v>L2</v>
      </c>
      <c r="S2169">
        <f>$E$21</f>
        <v>10.6875</v>
      </c>
      <c r="T2169" cm="1">
        <f t="array" ref="T2169">IFERROR(IF(S2169=0,0,(INDEX($C$33:$C$38,MATCH($W$2090,$B$33:$B$38,0),0)*(S2173+$X$2090)+$T$2090*COUNTIF(S2169:S2172,"&gt;0")*$C$32+$V$2090*$C$31)*$R$2090),0)</f>
        <v>0</v>
      </c>
      <c r="U2169">
        <f>IF(S2169=0,0,-(COUNTIF(S2169:S2172,"&gt;0")*$T$2090*$C$32+$V$2090*$C$31)*$H$27*$R$2090)</f>
        <v>0</v>
      </c>
      <c r="V2169">
        <f>IF(S2169=0,0,$V$2090*$H$26*$R$2090)</f>
        <v>0</v>
      </c>
      <c r="W2169">
        <f>(0.6*T2169+0.7*U2169)*$R$2090/2</f>
        <v>0</v>
      </c>
      <c r="X2169">
        <f>(0.6*T2169+0.6*V2169)*$R$2090/2</f>
        <v>0</v>
      </c>
      <c r="Z2169">
        <f>IF(S2169=0,0,$AD$2090*$AP$2069)</f>
        <v>0</v>
      </c>
      <c r="AA2169">
        <f>IFERROR(Z2169/$R$2090,0)</f>
        <v>0</v>
      </c>
      <c r="AB2169">
        <f>Z2169*($F$21+IF($F$21=0,0,($C$14+$C$15+IF($C$13="single",1.5,3)+3)/12))</f>
        <v>0</v>
      </c>
      <c r="AC2169">
        <f>AB2169-W2169</f>
        <v>0</v>
      </c>
      <c r="AD2169" cm="1">
        <f t="array" ref="AD2169">IFERROR(IF(AC2169&lt;0,0,AC2169/($R$2090-INDEX(hd_off,MATCH(AQ2169,hd_mark,0),0)/12)),0)</f>
        <v>0</v>
      </c>
      <c r="AE2169">
        <f>IF(S2169=0,0,$AD$2090*$AM$2069)</f>
        <v>0</v>
      </c>
      <c r="AF2169">
        <f>IFERROR(AE2169/$R$2090,0)</f>
        <v>0</v>
      </c>
      <c r="AG2169">
        <f>AE2169*($F$21+IF($F$21=0,0,($C$14+$C$15+IF($C$13="single",1.5,3)+3)/12))</f>
        <v>0</v>
      </c>
      <c r="AH2169">
        <f>AG2169-X2169</f>
        <v>0</v>
      </c>
      <c r="AI2169" cm="1">
        <f t="array" ref="AI2169">IFERROR(IF(AH2169&lt;0,0,AH2169/($R$2090-INDEX(hd_off,MATCH(AQ2169,hd_mark,0),0)/12)),0)</f>
        <v>0</v>
      </c>
      <c r="AJ2169">
        <f>MAX($F$21,$Y$2090)/$Q$2100</f>
        <v>0.30172413793103448</v>
      </c>
      <c r="AK2169">
        <f>IF(AJ2169=0,0,IF(AJ2169&gt;2,1.25-0.125*AJ2169,1))</f>
        <v>1</v>
      </c>
      <c r="AL2169" cm="1">
        <f t="array" ref="AL2169">IFERROR(INDEX(sheath_ecap_asd,MATCH(AP2169,sheath_mark,0),0)*AK2169,0)</f>
        <v>0</v>
      </c>
      <c r="AM2169" cm="1">
        <f t="array" ref="AM2169">IFERROR(INDEX(sheath_wcap_asd,MATCH(AP2169,sheath_mark,0),0)*AK2169,0)</f>
        <v>0</v>
      </c>
      <c r="AN2169" cm="1">
        <f t="array" ref="AN2169">IFERROR(INDEX(hd_cap,MATCH(AQ2169,hd_mark,0),0),0)</f>
        <v>0</v>
      </c>
      <c r="AP2169" s="19"/>
      <c r="AQ2169" s="19"/>
      <c r="AR2169" s="100"/>
      <c r="AS2169" s="93"/>
      <c r="AT2169" s="110" t="str">
        <f>$AT$2090</f>
        <v>1.13</v>
      </c>
      <c r="AU2169" t="str">
        <f>$Q$2069</f>
        <v>L2</v>
      </c>
      <c r="AV2169">
        <f>$E$21</f>
        <v>10.6875</v>
      </c>
      <c r="AW2169" cm="1">
        <f t="array" ref="AW2169">IFERROR(IF(AV2169=0,0,(INDEX($C$33:$C$38,MATCH($AZ$2090,$B$33:$B$38,0),0)*(AV2173+$BA$2090)+$AW$2090*COUNTIF(AV2169:AV2172,"&gt;0")*$C$32+$AY$2090*$C$31)*$AU$2090),0)</f>
        <v>0</v>
      </c>
      <c r="AX2169">
        <f>IF(AV2169=0,0,-(COUNTIF(AV2169:AV2172,"&gt;0")*$AW$2090*$C$32+$AY$2090*$C$31)*$H$27*$AU$2090)</f>
        <v>0</v>
      </c>
      <c r="AY2169">
        <f>IF(AV2169=0,0,$AY$2090*$H$26*$AU$2090)</f>
        <v>0</v>
      </c>
      <c r="AZ2169">
        <f>(0.6*AW2169+0.7*AX2169)*$AU$2090/2</f>
        <v>0</v>
      </c>
      <c r="BA2169">
        <f>(0.6*AW2169+0.6*AY2169)*$AU$2090/2</f>
        <v>0</v>
      </c>
      <c r="BC2169">
        <f>IF(AV2169=0,0,$BG$2090*$AP$2069)</f>
        <v>0</v>
      </c>
      <c r="BD2169">
        <f>IFERROR(BC2169/$AU$2090,0)</f>
        <v>0</v>
      </c>
      <c r="BE2169">
        <f>BC2169*($F$21+IF($F$21=0,0,($C$14+$C$15+IF($C$13="single",1.5,3)+3)/12))</f>
        <v>0</v>
      </c>
      <c r="BF2169">
        <f>BE2169-AZ2169</f>
        <v>0</v>
      </c>
      <c r="BG2169" cm="1">
        <f t="array" ref="BG2169">IFERROR(IF(BF2169&lt;0,0,BF2169/($AU$2090-INDEX(hd_off,MATCH(BT2169,hd_mark,0),0)/12)),0)</f>
        <v>0</v>
      </c>
      <c r="BH2169">
        <f>IF(AV2169=0,0,$BG$2090*$AM$2069)</f>
        <v>0</v>
      </c>
      <c r="BI2169">
        <f>IFERROR(BH2169/$AU$2090,0)</f>
        <v>0</v>
      </c>
      <c r="BJ2169">
        <f>BH2169*($F$21+IF($F$21=0,0,($C$14+$C$15+IF($C$13="single",1.5,3)+3)/12))</f>
        <v>0</v>
      </c>
      <c r="BK2169">
        <f>BJ2169-BA2169</f>
        <v>0</v>
      </c>
      <c r="BL2169" cm="1">
        <f t="array" ref="BL2169">IFERROR(IF(BK2169&lt;0,0,BK2169/($AU$2090-INDEX(hd_off,MATCH(BT2169,hd_mark,0),0)/12)),0)</f>
        <v>0</v>
      </c>
      <c r="BM2169">
        <f>MAX($F$21,$BB$2090)/$Q$2100</f>
        <v>0.30172413793103448</v>
      </c>
      <c r="BN2169">
        <f>IF(BM2169=0,0,IF(BM2169&gt;2,1.25-0.125*BM2169,1))</f>
        <v>1</v>
      </c>
      <c r="BO2169" cm="1">
        <f t="array" ref="BO2169">IFERROR(INDEX(sheath_ecap_asd,MATCH(BS2169,sheath_mark,0),0)*BN2169,0)</f>
        <v>0</v>
      </c>
      <c r="BP2169" cm="1">
        <f t="array" ref="BP2169">IFERROR(INDEX(sheath_wcap_asd,MATCH(BS2169,sheath_mark,0),0)*BN2169,0)</f>
        <v>0</v>
      </c>
      <c r="BQ2169" cm="1">
        <f t="array" ref="BQ2169">IFERROR(INDEX(hd_cap,MATCH(BT2169,hd_mark,0),0),0)</f>
        <v>0</v>
      </c>
      <c r="BS2169" s="19"/>
      <c r="BT2169" s="19"/>
      <c r="BU2169" s="100"/>
    </row>
    <row r="2170" x14ac:dyDescent="0.25">
      <c r="P2170" s="93"/>
      <c r="Q2170" s="109"/>
      <c r="R2170" t="str">
        <f>$Q$2070</f>
        <v>L3</v>
      </c>
      <c r="S2170">
        <f>$E$22</f>
        <v>21.375</v>
      </c>
      <c r="T2170" cm="1">
        <f t="array" ref="T2170">IFERROR(IF(S2170=0,0,(INDEX($C$33:$C$38,MATCH($W$2090,$B$33:$B$38,0),0)*(S2173+$X$2090)+$T$2090*COUNTIF(S2170:S2172,"&gt;0")*$C$32+$V$2090*$C$31)*$R$2090),0)</f>
        <v>0</v>
      </c>
      <c r="U2170">
        <f>IF(S2170=0,0,-(COUNTIF(S2170:S2172,"&gt;0")*$T$2090*$C$32+$V$2090*$C$31)*$H$27*$R$2090)</f>
        <v>0</v>
      </c>
      <c r="V2170">
        <f>IF(S2170=0,0,$V$2090*$H$26*$R$2090)</f>
        <v>0</v>
      </c>
      <c r="W2170">
        <f>(0.6*T2170+0.7*U2170)*$R$2090/2</f>
        <v>0</v>
      </c>
      <c r="X2170">
        <f>T2170*$R$2090/2</f>
        <v>0</v>
      </c>
      <c r="Z2170">
        <f>IF(S2170=0,0,$AD$2090*$AP$2070)</f>
        <v>0</v>
      </c>
      <c r="AA2170">
        <f>IFERROR(Z2170/$R$2090,0)</f>
        <v>0</v>
      </c>
      <c r="AB2170">
        <f>Z2170*($F$22+IF($F$22=0,0,($C$14+$C$15+IF($C$13="single",1.5,3)+3)/12))</f>
        <v>0</v>
      </c>
      <c r="AC2170">
        <f>AB2170-W2170</f>
        <v>0</v>
      </c>
      <c r="AD2170" cm="1">
        <f t="array" ref="AD2170">IFERROR(IF(AC2170&lt;0,0,AC2170/($R$2090-INDEX(hd_off,MATCH(AQ2170,hd_mark,0),0)/12)),0)</f>
        <v>0</v>
      </c>
      <c r="AE2170">
        <f>IF(S2170=0,0,$AD$2090*$AM$2070)</f>
        <v>0</v>
      </c>
      <c r="AF2170">
        <f>IFERROR(AE2170/$R$2090,0)</f>
        <v>0</v>
      </c>
      <c r="AG2170">
        <f>AE2170*($F$22+IF($F$22=0,0,($C$14+$C$15+IF($C$13="single",1.5,3)+3)/12))</f>
        <v>0</v>
      </c>
      <c r="AH2170">
        <f>AG2170-X2170</f>
        <v>0</v>
      </c>
      <c r="AI2170" cm="1">
        <f t="array" ref="AI2170">IFERROR(IF(AH2170&lt;0,0,AH2170/($R$2090-INDEX(hd_off,MATCH(AQ2170,hd_mark,0),0)/12)),0)</f>
        <v>0</v>
      </c>
      <c r="AJ2170">
        <f>MAX($F$22,$Z$2090)/$Q$2100</f>
        <v>0.30172413793103448</v>
      </c>
      <c r="AK2170">
        <f t="shared" ref="AK2170:AK2173" si="1334">IF(AJ2170=0,0,IF(AJ2170&gt;2,1.25-0.125*AJ2170,1))</f>
        <v>1</v>
      </c>
      <c r="AL2170" cm="1">
        <f t="array" ref="AL2170">IFERROR(INDEX(sheath_ecap_asd,MATCH(AP2170,sheath_mark,0),0)*AK2170,0)</f>
        <v>0</v>
      </c>
      <c r="AM2170" cm="1">
        <f t="array" ref="AM2170">IFERROR(INDEX(sheath_wcap_asd,MATCH(AP2170,sheath_mark,0),0)*AK2170,0)</f>
        <v>0</v>
      </c>
      <c r="AN2170" cm="1">
        <f t="array" ref="AN2170">IFERROR(INDEX(hd_cap,MATCH(AQ2170,hd_mark,0),0),0)</f>
        <v>0</v>
      </c>
      <c r="AP2170" s="19"/>
      <c r="AQ2170" s="19"/>
      <c r="AR2170" s="100"/>
      <c r="AS2170" s="93"/>
      <c r="AT2170" s="109"/>
      <c r="AU2170" t="str">
        <f>$Q$2070</f>
        <v>L3</v>
      </c>
      <c r="AV2170">
        <f>$E$22</f>
        <v>21.375</v>
      </c>
      <c r="AW2170" cm="1">
        <f t="array" ref="AW2170">IFERROR(IF(AV2170=0,0,(INDEX($C$33:$C$38,MATCH($AZ$2090,$B$33:$B$38,0),0)*(AV2173+$BA$2090)+$AW$2090*COUNTIF(AV2170:AV2172,"&gt;0")*$C$32+$AY$2090*$C$31)*$AU$2090),0)</f>
        <v>0</v>
      </c>
      <c r="AX2170">
        <f>IF(AV2170=0,0,-(COUNTIF(AV2170:AV2172,"&gt;0")*$AW$2090*$C$32+$AY$2090*$C$31)*$H$27*$AU$2090)</f>
        <v>0</v>
      </c>
      <c r="AY2170">
        <f>IF(AV2170=0,0,$AY$2090*$H$26*$AU$2090)</f>
        <v>0</v>
      </c>
      <c r="AZ2170">
        <f>(0.6*AW2170+0.7*AX2170)*$AU$2090/2</f>
        <v>0</v>
      </c>
      <c r="BA2170">
        <f>AW2170*$AU$2090/2</f>
        <v>0</v>
      </c>
      <c r="BC2170">
        <f>IF(AV2170=0,0,$BG$2090*$AP$2070)</f>
        <v>0</v>
      </c>
      <c r="BD2170">
        <f>IFERROR(BC2170/$AU$2090,0)</f>
        <v>0</v>
      </c>
      <c r="BE2170">
        <f>BC2170*($F$22+IF($F$22=0,0,($C$14+$C$15+IF($C$13="single",1.5,3)+3)/12))</f>
        <v>0</v>
      </c>
      <c r="BF2170">
        <f>BE2170-AZ2170</f>
        <v>0</v>
      </c>
      <c r="BG2170" cm="1">
        <f t="array" ref="BG2170">IFERROR(IF(BF2170&lt;0,0,BF2170/($AU$2090-INDEX(hd_off,MATCH(BT2170,hd_mark,0),0)/12)),0)</f>
        <v>0</v>
      </c>
      <c r="BH2170">
        <f>IF(AV2170=0,0,$BG$2090*$AM$2070)</f>
        <v>0</v>
      </c>
      <c r="BI2170">
        <f>IFERROR(BH2170/$AU$2090,0)</f>
        <v>0</v>
      </c>
      <c r="BJ2170">
        <f>BH2170*($F$22+IF($F$22=0,0,($C$14+$C$15+IF($C$13="single",1.5,3)+3)/12))</f>
        <v>0</v>
      </c>
      <c r="BK2170">
        <f>BJ2170-BA2170</f>
        <v>0</v>
      </c>
      <c r="BL2170" cm="1">
        <f t="array" ref="BL2170">IFERROR(IF(BK2170&lt;0,0,BK2170/($AU$2090-INDEX(hd_off,MATCH(BT2170,hd_mark,0),0)/12)),0)</f>
        <v>0</v>
      </c>
      <c r="BM2170">
        <f>MAX($F$22,$BC$2090)/$Q$2100</f>
        <v>0.30172413793103448</v>
      </c>
      <c r="BN2170">
        <f t="shared" ref="BN2170:BN2173" si="1335">IF(BM2170=0,0,IF(BM2170&gt;2,1.25-0.125*BM2170,1))</f>
        <v>1</v>
      </c>
      <c r="BO2170" cm="1">
        <f t="array" ref="BO2170">IFERROR(INDEX(sheath_ecap_asd,MATCH(BS2170,sheath_mark,0),0)*BN2170,0)</f>
        <v>0</v>
      </c>
      <c r="BP2170" cm="1">
        <f t="array" ref="BP2170">IFERROR(INDEX(sheath_wcap_asd,MATCH(BS2170,sheath_mark,0),0)*BN2170,0)</f>
        <v>0</v>
      </c>
      <c r="BQ2170" cm="1">
        <f t="array" ref="BQ2170">IFERROR(INDEX(hd_cap,MATCH(BT2170,hd_mark,0),0),0)</f>
        <v>0</v>
      </c>
      <c r="BS2170" s="19"/>
      <c r="BT2170" s="19"/>
      <c r="BU2170" s="100"/>
    </row>
    <row r="2171" x14ac:dyDescent="0.25">
      <c r="P2171" s="93"/>
      <c r="Q2171" s="109" t="s">
        <v>491</v>
      </c>
      <c r="R2171" t="str">
        <f>$Q$2071</f>
        <v>L4</v>
      </c>
      <c r="S2171">
        <f>$E$23</f>
        <v>0</v>
      </c>
      <c r="T2171" cm="1">
        <f t="array" ref="T2171">IFERROR(IF(S2171=0,0,(INDEX($C$33:$C$38,MATCH($W$2090,$B$33:$B$38,0),0)*(S2173+$X$2090)+$T$2090*COUNTIF(S2171:S2172,"&gt;0")*$C$32+$V$2090*$C$31)*$R$2090),0)</f>
        <v>0</v>
      </c>
      <c r="U2171">
        <f>IF(S2171=0,0,-(COUNTIF(S2171:S2172,"&gt;0")*$T$2090*$C$32+$V$2090*$C$31)*$H$27*$R$2090)</f>
        <v>0</v>
      </c>
      <c r="V2171">
        <f>IF(S2171=0,0,$V$2090*$H$26*$R$2090)</f>
        <v>0</v>
      </c>
      <c r="W2171">
        <f>(0.6*T2171+0.7*U2171)*$R$2090/2</f>
        <v>0</v>
      </c>
      <c r="X2171">
        <f>T2171*$R$2090/2</f>
        <v>0</v>
      </c>
      <c r="Z2171">
        <f>IF(S2171=0,0,$AD$2090*$AP$2071)</f>
        <v>0</v>
      </c>
      <c r="AA2171">
        <f>IFERROR(Z2171/$R$2090,0)</f>
        <v>0</v>
      </c>
      <c r="AB2171">
        <f>Z2171*($F$23+IF($F$23=0,0,($C$14+$C$15+IF($C$13="single",1.5,3)+3)/12))</f>
        <v>0</v>
      </c>
      <c r="AC2171">
        <f>AB2171-W2171</f>
        <v>0</v>
      </c>
      <c r="AD2171" cm="1">
        <f t="array" ref="AD2171">IFERROR(IF(AC2171&lt;0,0,AC2171/($R$2090-INDEX(hd_off,MATCH(AQ2171,hd_mark,0),0)/12)),0)</f>
        <v>0</v>
      </c>
      <c r="AE2171">
        <f>IF(S2171=0,0,$AD$2090*$AM$2071)</f>
        <v>0</v>
      </c>
      <c r="AF2171">
        <f>IFERROR(AE2171/$R$2090,0)</f>
        <v>0</v>
      </c>
      <c r="AG2171">
        <f>AE2171*($F$23+IF($F$23=0,0,($C$14+$C$15+IF($C$13="single",1.5,3)+3)/12))</f>
        <v>0</v>
      </c>
      <c r="AH2171">
        <f>AG2171-X2171</f>
        <v>0</v>
      </c>
      <c r="AI2171" cm="1">
        <f t="array" ref="AI2171">IFERROR(IF(AH2171&lt;0,0,AH2171/($R$2090-INDEX(hd_off,MATCH(AQ2171,hd_mark,0),0)/12)),0)</f>
        <v>0</v>
      </c>
      <c r="AJ2171">
        <f>MAX($F$23,$AA$2090)/$Q$2100</f>
        <v>0</v>
      </c>
      <c r="AK2171">
        <f t="shared" si="1334"/>
        <v>0</v>
      </c>
      <c r="AL2171" cm="1">
        <f t="array" ref="AL2171">IFERROR(INDEX(sheath_ecap_asd,MATCH(AP2171,sheath_mark,0),0)*AK2171,0)</f>
        <v>0</v>
      </c>
      <c r="AM2171" cm="1">
        <f t="array" ref="AM2171">IFERROR(INDEX(sheath_wcap_asd,MATCH(AP2171,sheath_mark,0),0)*AK2171,0)</f>
        <v>0</v>
      </c>
      <c r="AN2171" cm="1">
        <f t="array" ref="AN2171">IFERROR(INDEX(hd_cap,MATCH(AQ2171,hd_mark,0),0),0)</f>
        <v>0</v>
      </c>
      <c r="AP2171" s="19"/>
      <c r="AQ2171" s="19"/>
      <c r="AR2171" s="100"/>
      <c r="AS2171" s="93"/>
      <c r="AT2171" s="109" t="s">
        <v>491</v>
      </c>
      <c r="AU2171" t="str">
        <f>$Q$2071</f>
        <v>L4</v>
      </c>
      <c r="AV2171">
        <f>$E$23</f>
        <v>0</v>
      </c>
      <c r="AW2171" cm="1">
        <f t="array" ref="AW2171">IFERROR(IF(AV2171=0,0,(INDEX($C$33:$C$38,MATCH($AZ$2090,$B$33:$B$38,0),0)*(AV2173+$BA$2090)+$AW$2090*COUNTIF(AV2171:AV2172,"&gt;0")*$C$32+$AY$2090*$C$31)*$AU$2090),0)</f>
        <v>0</v>
      </c>
      <c r="AX2171">
        <f>IF(AV2171=0,0,-(COUNTIF(AV2171:AV2172,"&gt;0")*$AW$2090*$C$32+$AY$2090*$C$31)*$H$27*$AU$2090)</f>
        <v>0</v>
      </c>
      <c r="AY2171">
        <f>IF(AV2171=0,0,$AY$2090*$H$26*$AU$2090)</f>
        <v>0</v>
      </c>
      <c r="AZ2171">
        <f>(0.6*AW2171+0.7*AX2171)*$AU$2090/2</f>
        <v>0</v>
      </c>
      <c r="BA2171">
        <f>AW2171*$AU$2090/2</f>
        <v>0</v>
      </c>
      <c r="BC2171">
        <f>IF(AV2171=0,0,$BG$2090*$AP$2071)</f>
        <v>0</v>
      </c>
      <c r="BD2171">
        <f>IFERROR(BC2171/$AU$2090,0)</f>
        <v>0</v>
      </c>
      <c r="BE2171">
        <f>BC2171*($F$23+IF($F$23=0,0,($C$14+$C$15+IF($C$13="single",1.5,3)+3)/12))</f>
        <v>0</v>
      </c>
      <c r="BF2171">
        <f>BE2171-AZ2171</f>
        <v>0</v>
      </c>
      <c r="BG2171" cm="1">
        <f t="array" ref="BG2171">IFERROR(IF(BF2171&lt;0,0,BF2171/($AU$2090-INDEX(hd_off,MATCH(BT2171,hd_mark,0),0)/12)),0)</f>
        <v>0</v>
      </c>
      <c r="BH2171">
        <f>IF(AV2171=0,0,$BG$2090*$AM$2071)</f>
        <v>0</v>
      </c>
      <c r="BI2171">
        <f>IFERROR(BH2171/$AU$2090,0)</f>
        <v>0</v>
      </c>
      <c r="BJ2171">
        <f>BH2171*($F$23+IF($F$23=0,0,($C$14+$C$15+IF($C$13="single",1.5,3)+3)/12))</f>
        <v>0</v>
      </c>
      <c r="BK2171">
        <f>BJ2171-BA2171</f>
        <v>0</v>
      </c>
      <c r="BL2171" cm="1">
        <f t="array" ref="BL2171">IFERROR(IF(BK2171&lt;0,0,BK2171/($AU$2090-INDEX(hd_off,MATCH(BT2171,hd_mark,0),0)/12)),0)</f>
        <v>0</v>
      </c>
      <c r="BM2171">
        <f>MAX($F$23,$BD$2090)/$Q$2100</f>
        <v>0</v>
      </c>
      <c r="BN2171">
        <f t="shared" si="1335"/>
        <v>0</v>
      </c>
      <c r="BO2171" cm="1">
        <f t="array" ref="BO2171">IFERROR(INDEX(sheath_ecap_asd,MATCH(BS2171,sheath_mark,0),0)*BN2171,0)</f>
        <v>0</v>
      </c>
      <c r="BP2171" cm="1">
        <f t="array" ref="BP2171">IFERROR(INDEX(sheath_wcap_asd,MATCH(BS2171,sheath_mark,0),0)*BN2171,0)</f>
        <v>0</v>
      </c>
      <c r="BQ2171" cm="1">
        <f t="array" ref="BQ2171">IFERROR(INDEX(hd_cap,MATCH(BT2171,hd_mark,0),0),0)</f>
        <v>0</v>
      </c>
      <c r="BS2171" s="19"/>
      <c r="BT2171" s="19"/>
      <c r="BU2171" s="100"/>
    </row>
    <row r="2172" x14ac:dyDescent="0.25">
      <c r="P2172" s="93"/>
      <c r="Q2172" s="111">
        <f>$R$2090</f>
        <v>0</v>
      </c>
      <c r="R2172" t="str">
        <f>$Q$2072</f>
        <v>L5</v>
      </c>
      <c r="S2172">
        <f>$E$24</f>
        <v>0</v>
      </c>
      <c r="T2172" cm="1">
        <f t="array" ref="T2172">IFERROR(IF(S2172=0,0,(INDEX($C$33:$C$38,MATCH($W$2090,$B$33:$B$38,0),0)*(S2173+$X$2090)+$T$2090*COUNTIF(S2172:S2172,"&gt;0")*$C$32+$V$2090*$C$31)*$R$2090),0)</f>
        <v>0</v>
      </c>
      <c r="U2172">
        <f>IF(S2172=0,0,-(COUNTIF(S2172:S2172,"&gt;0")*$T$2090*$C$32+$V$2090*$C$31)*$H$27*$R$2090)</f>
        <v>0</v>
      </c>
      <c r="V2172">
        <f>IF(S2172=0,0,$V$2090*$H$26*$R$2090)</f>
        <v>0</v>
      </c>
      <c r="W2172">
        <f>(0.6*T2172+0.7*U2172)*$R$2090/2</f>
        <v>0</v>
      </c>
      <c r="X2172">
        <f>T2172*$R$2090/2</f>
        <v>0</v>
      </c>
      <c r="Z2172">
        <f>IF(S2172=0,0,$AD$2090*$AP$2072)</f>
        <v>0</v>
      </c>
      <c r="AA2172">
        <f>IFERROR(Z2172/$R$2090,0)</f>
        <v>0</v>
      </c>
      <c r="AB2172">
        <f>Z2172*($F$24+IF($F$24=0,0,($C$14+$C$15+IF($C$13="single",1.5,3)+3)/12))</f>
        <v>0</v>
      </c>
      <c r="AC2172">
        <f>AB2172-W2172</f>
        <v>0</v>
      </c>
      <c r="AD2172" cm="1">
        <f t="array" ref="AD2172">IFERROR(IF(AC2172&lt;0,0,AC2172/($R$2090-INDEX(hd_off,MATCH(AQ2172,hd_mark,0),0)/12)),0)</f>
        <v>0</v>
      </c>
      <c r="AE2172">
        <f>IF(S2172=0,0,$AD$2090*$AM$2072)</f>
        <v>0</v>
      </c>
      <c r="AF2172">
        <f>IFERROR(AE2172/$R$2090,0)</f>
        <v>0</v>
      </c>
      <c r="AG2172">
        <f>AE2172*($F$24+IF($F$24=0,0,($C$14+$C$15+IF($C$13="single",1.5,3)+3)/12))</f>
        <v>0</v>
      </c>
      <c r="AH2172">
        <f>AG2172-X2172</f>
        <v>0</v>
      </c>
      <c r="AI2172" cm="1">
        <f t="array" ref="AI2172">IFERROR(IF(AH2172&lt;0,0,AH2172/($R$2090-INDEX(hd_off,MATCH(AQ2172,hd_mark,0),0)/12)),0)</f>
        <v>0</v>
      </c>
      <c r="AJ2172">
        <f>MAX($F$24,$AB$2090)/$Q$2100</f>
        <v>0</v>
      </c>
      <c r="AK2172">
        <f t="shared" si="1334"/>
        <v>0</v>
      </c>
      <c r="AL2172" cm="1">
        <f t="array" ref="AL2172">IFERROR(INDEX(sheath_ecap_asd,MATCH(AP2172,sheath_mark,0),0)*AK2172,0)</f>
        <v>0</v>
      </c>
      <c r="AM2172" cm="1">
        <f t="array" ref="AM2172">IFERROR(INDEX(sheath_wcap_asd,MATCH(AP2172,sheath_mark,0),0)*AK2172,0)</f>
        <v>0</v>
      </c>
      <c r="AN2172" cm="1">
        <f t="array" ref="AN2172">IFERROR(INDEX(hd_cap,MATCH(AQ2172,hd_mark,0),0),0)</f>
        <v>0</v>
      </c>
      <c r="AP2172" s="19"/>
      <c r="AQ2172" s="19"/>
      <c r="AR2172" s="100"/>
      <c r="AS2172" s="93"/>
      <c r="AT2172" s="111">
        <f>$R$2090</f>
        <v>0</v>
      </c>
      <c r="AU2172" t="str">
        <f>$Q$2072</f>
        <v>L5</v>
      </c>
      <c r="AV2172">
        <f>$E$24</f>
        <v>0</v>
      </c>
      <c r="AW2172" cm="1">
        <f t="array" ref="AW2172">IFERROR(IF(AV2172=0,0,(INDEX($C$33:$C$38,MATCH($AZ$2090,$B$33:$B$38,0),0)*(AV2173+$BA$2090)+$AW$2090*COUNTIF(AV2172:AV2172,"&gt;0")*$C$32+$AY$2090*$C$31)*$AU$2090),0)</f>
        <v>0</v>
      </c>
      <c r="AX2172">
        <f>IF(AV2172=0,0,-(COUNTIF(AV2172:AV2172,"&gt;0")*$AW$2090*$C$32+$AY$2090*$C$31)*$H$27*$AU$2090)</f>
        <v>0</v>
      </c>
      <c r="AY2172">
        <f>IF(AV2172=0,0,$AY$2090*$H$26*$AU$2090)</f>
        <v>0</v>
      </c>
      <c r="AZ2172">
        <f>(0.6*AW2172+0.7*AX2172)*$AU$2090/2</f>
        <v>0</v>
      </c>
      <c r="BA2172">
        <f>AW2172*$AU$2090/2</f>
        <v>0</v>
      </c>
      <c r="BC2172">
        <f>IF(AV2172=0,0,$BG$2090*$AP$2072)</f>
        <v>0</v>
      </c>
      <c r="BD2172">
        <f>IFERROR(BC2172/$AU$2090,0)</f>
        <v>0</v>
      </c>
      <c r="BE2172">
        <f>BC2172*($F$24+IF($F$24=0,0,($C$14+$C$15+IF($C$13="single",1.5,3)+3)/12))</f>
        <v>0</v>
      </c>
      <c r="BF2172">
        <f>BE2172-AZ2172</f>
        <v>0</v>
      </c>
      <c r="BG2172" cm="1">
        <f t="array" ref="BG2172">IFERROR(IF(BF2172&lt;0,0,BF2172/($AU$2090-INDEX(hd_off,MATCH(BT2172,hd_mark,0),0)/12)),0)</f>
        <v>0</v>
      </c>
      <c r="BH2172">
        <f>IF(AV2172=0,0,$BG$2090*$AM$2072)</f>
        <v>0</v>
      </c>
      <c r="BI2172">
        <f>IFERROR(BH2172/$AU$2090,0)</f>
        <v>0</v>
      </c>
      <c r="BJ2172">
        <f>BH2172*($F$24+IF($F$24=0,0,($C$14+$C$15+IF($C$13="single",1.5,3)+3)/12))</f>
        <v>0</v>
      </c>
      <c r="BK2172">
        <f>BJ2172-BA2172</f>
        <v>0</v>
      </c>
      <c r="BL2172" cm="1">
        <f t="array" ref="BL2172">IFERROR(IF(BK2172&lt;0,0,BK2172/($AU$2090-INDEX(hd_off,MATCH(BT2172,hd_mark,0),0)/12)),0)</f>
        <v>0</v>
      </c>
      <c r="BM2172">
        <f>MAX($F$24,$BE$2090)/$Q$2100</f>
        <v>0</v>
      </c>
      <c r="BN2172">
        <f t="shared" si="1335"/>
        <v>0</v>
      </c>
      <c r="BO2172" cm="1">
        <f t="array" ref="BO2172">IFERROR(INDEX(sheath_ecap_asd,MATCH(BS2172,sheath_mark,0),0)*BN2172,0)</f>
        <v>0</v>
      </c>
      <c r="BP2172" cm="1">
        <f t="array" ref="BP2172">IFERROR(INDEX(sheath_wcap_asd,MATCH(BS2172,sheath_mark,0),0)*BN2172,0)</f>
        <v>0</v>
      </c>
      <c r="BQ2172" cm="1">
        <f t="array" ref="BQ2172">IFERROR(INDEX(hd_cap,MATCH(BT2172,hd_mark,0),0),0)</f>
        <v>0</v>
      </c>
      <c r="BS2172" s="19"/>
      <c r="BT2172" s="19"/>
      <c r="BU2172" s="100"/>
    </row>
    <row r="2173" x14ac:dyDescent="0.25">
      <c r="P2173" s="93"/>
      <c r="Q2173" s="109"/>
      <c r="R2173" t="str">
        <f>$Q$2073</f>
        <v>Roof</v>
      </c>
      <c r="S2173">
        <f>$E$25</f>
        <v>33.171875</v>
      </c>
      <c r="T2173" cm="1">
        <f t="array" ref="T2173">IFERROR(IF(S2173=0,0,(INDEX($C$33:$C$38,MATCH($W$2090,$B$33:$B$38,0),0)*(S2173+$X$2090)+$V$2090*$C$31)*$R$2090),0)</f>
        <v>0</v>
      </c>
      <c r="U2173">
        <f>IF(S2173=0,0,-$V$2090*$C$31*$H$27*$R$2090)</f>
        <v>0</v>
      </c>
      <c r="V2173">
        <f>IF(S2173=0,0,$V$2090*$H$26*$R$2090)</f>
        <v>0</v>
      </c>
      <c r="W2173">
        <f>(0.6*T2173+0.7*U2173)*$R$2090/2</f>
        <v>0</v>
      </c>
      <c r="X2173">
        <f>T2173*$R$2090/2</f>
        <v>0</v>
      </c>
      <c r="Z2173">
        <f>IF(S2173=0,0,$AD$2090*$AP$2073)</f>
        <v>0</v>
      </c>
      <c r="AA2173">
        <f>IFERROR(Z2173/$R$2090,0)</f>
        <v>0</v>
      </c>
      <c r="AB2173">
        <f>Z2173*($F$25+($C$16+$C$17+IF($C$13="single",1.5,3)+3)/12)</f>
        <v>0</v>
      </c>
      <c r="AC2173">
        <f>AB2173-W2173</f>
        <v>0</v>
      </c>
      <c r="AD2173" cm="1">
        <f t="array" ref="AD2173">IFERROR(IF(AC2173&lt;0,0,AC2173/($R$2090-INDEX(hd_off,MATCH(AQ2173,hd_mark,0),0)/12)),0)</f>
        <v>0</v>
      </c>
      <c r="AE2173">
        <f>IF(S2173=0,0,$AD$2090*$AM$2073)</f>
        <v>0</v>
      </c>
      <c r="AF2173">
        <f>IFERROR(AE2173/$R$2090,0)</f>
        <v>0</v>
      </c>
      <c r="AG2173">
        <f>AE2173*($F$25+($C$16+$C$17+IF($C$13="single",1.5,3)+3)/12)</f>
        <v>0</v>
      </c>
      <c r="AH2173">
        <f>AG2173-X2173</f>
        <v>0</v>
      </c>
      <c r="AI2173" cm="1">
        <f t="array" ref="AI2173">IFERROR(IF(AH2173&lt;0,0,AH2173/($R$2090-INDEX(hd_off,MATCH(AQ2173,hd_mark,0),0)/12)),0)</f>
        <v>0</v>
      </c>
      <c r="AJ2173">
        <f>MAX($F$25,$AC$2090)/$Q$2100</f>
        <v>0.29920977011494249</v>
      </c>
      <c r="AK2173">
        <f t="shared" si="1334"/>
        <v>1</v>
      </c>
      <c r="AL2173" cm="1">
        <f t="array" ref="AL2173">IFERROR(INDEX(sheath_ecap_asd,MATCH(AP2173,sheath_mark,0),0)*AK2173,0)</f>
        <v>0</v>
      </c>
      <c r="AM2173" cm="1">
        <f t="array" ref="AM2173">IFERROR(INDEX(sheath_wcap_asd,MATCH(AP2173,sheath_mark,0),0)*AK2173,0)</f>
        <v>0</v>
      </c>
      <c r="AN2173" cm="1">
        <f t="array" ref="AN2173">IFERROR(INDEX(hd_cap,MATCH(AQ2173,hd_mark,0),0),0)</f>
        <v>0</v>
      </c>
      <c r="AP2173" s="19"/>
      <c r="AQ2173" s="19"/>
      <c r="AR2173" s="100"/>
      <c r="AS2173" s="93"/>
      <c r="AT2173" s="109"/>
      <c r="AU2173" t="str">
        <f>$Q$2073</f>
        <v>Roof</v>
      </c>
      <c r="AV2173">
        <f>$E$25</f>
        <v>33.171875</v>
      </c>
      <c r="AW2173" cm="1">
        <f t="array" ref="AW2173">IFERROR(IF(AV2173=0,0,(INDEX($C$33:$C$38,MATCH($AZ$2090,$B$33:$B$38,0),0)*(AV2173+$BA$2090)+$AY$2090*$C$31)*$AU$2090),0)</f>
        <v>0</v>
      </c>
      <c r="AX2173">
        <f>IF(AV2173=0,0,-$AY$2090*$C$31*$H$27*$AU$2090)</f>
        <v>0</v>
      </c>
      <c r="AY2173">
        <f>IF(AV2173=0,0,$AY$2090*$H$26*$AU$2090)</f>
        <v>0</v>
      </c>
      <c r="AZ2173">
        <f>(0.6*AW2173+0.7*AX2173)*$AU$2090/2</f>
        <v>0</v>
      </c>
      <c r="BA2173">
        <f>AW2173*$AU$2090/2</f>
        <v>0</v>
      </c>
      <c r="BC2173">
        <f>IF(AV2173=0,0,$BG$2090*$AP$2073)</f>
        <v>0</v>
      </c>
      <c r="BD2173">
        <f>IFERROR(BC2173/$AU$2090,0)</f>
        <v>0</v>
      </c>
      <c r="BE2173">
        <f>BC2173*($F$25+($C$16+$C$17+IF($C$13="single",1.5,3)+3)/12)</f>
        <v>0</v>
      </c>
      <c r="BF2173">
        <f>BE2173-AZ2173</f>
        <v>0</v>
      </c>
      <c r="BG2173" cm="1">
        <f t="array" ref="BG2173">IFERROR(IF(BF2173&lt;0,0,BF2173/($AU$2090-INDEX(hd_off,MATCH(BT2173,hd_mark,0),0)/12)),0)</f>
        <v>0</v>
      </c>
      <c r="BH2173">
        <f>IF(AV2173=0,0,$BG$2090*$AM$2073)</f>
        <v>0</v>
      </c>
      <c r="BI2173">
        <f>IFERROR(BH2173/$AU$2090,0)</f>
        <v>0</v>
      </c>
      <c r="BJ2173">
        <f>BH2173*($F$25+($C$16+$C$17+IF($C$13="single",1.5,3)+3)/12)</f>
        <v>0</v>
      </c>
      <c r="BK2173">
        <f>BJ2173-BA2173</f>
        <v>0</v>
      </c>
      <c r="BL2173" cm="1">
        <f t="array" ref="BL2173">IFERROR(IF(BK2173&lt;0,0,BK2173/($AU$2090-INDEX(hd_off,MATCH(BT2173,hd_mark,0),0)/12)),0)</f>
        <v>0</v>
      </c>
      <c r="BM2173">
        <f>MAX($F$25,$BF$2090)/$Q$2100</f>
        <v>0.29920977011494249</v>
      </c>
      <c r="BN2173">
        <f t="shared" si="1335"/>
        <v>1</v>
      </c>
      <c r="BO2173" cm="1">
        <f t="array" ref="BO2173">IFERROR(INDEX(sheath_ecap_asd,MATCH(BS2173,sheath_mark,0),0)*BN2173,0)</f>
        <v>0</v>
      </c>
      <c r="BP2173" cm="1">
        <f t="array" ref="BP2173">IFERROR(INDEX(sheath_wcap_asd,MATCH(BS2173,sheath_mark,0),0)*BN2173,0)</f>
        <v>0</v>
      </c>
      <c r="BQ2173" cm="1">
        <f t="array" ref="BQ2173">IFERROR(INDEX(hd_cap,MATCH(BT2173,hd_mark,0),0),0)</f>
        <v>0</v>
      </c>
      <c r="BS2173" s="19"/>
      <c r="BT2173" s="19"/>
      <c r="BU2173" s="100"/>
    </row>
    <row r="2174" x14ac:dyDescent="0.25">
      <c r="P2174" s="93"/>
      <c r="AR2174" s="100"/>
      <c r="AS2174" s="93"/>
      <c r="BU2174" s="100"/>
    </row>
    <row r="2175" x14ac:dyDescent="0.25">
      <c r="P2175" s="93"/>
      <c r="Q2175" s="110" t="str">
        <f>$Q$2091</f>
        <v>A.14</v>
      </c>
      <c r="R2175" t="str">
        <f>$Q$2069</f>
        <v>L2</v>
      </c>
      <c r="S2175">
        <f>$E$21</f>
        <v>10.6875</v>
      </c>
      <c r="T2175" cm="1">
        <f t="array" ref="T2175">IFERROR(IF(S2175=0,0,(INDEX($C$33:$C$38,MATCH($W$2091,$B$33:$B$38,0),0)*(S2179+$X$2091)+$T$2091*COUNTIF(S2175:S2191,"&gt;0")*$C$32+$V$2091*$C$31)*$R$2091),0)</f>
        <v>0</v>
      </c>
      <c r="U2175">
        <f>IF(S2175=0,0,-(COUNTIF(S2175:S2191,"&gt;0")*$T$2091*$C$32+$V$2091*$C$31)*$H$27*$R$2091)</f>
        <v>0</v>
      </c>
      <c r="V2175">
        <f>IF(S2175=0,0,$V$2091*$H$26*$R$2091)</f>
        <v>0</v>
      </c>
      <c r="W2175">
        <f>(0.6*T2175+0.7*U2175)*$R$2091/2</f>
        <v>0</v>
      </c>
      <c r="X2175">
        <f>(0.6*T2175+0.6*V2175)*$R$2091/2</f>
        <v>0</v>
      </c>
      <c r="Z2175">
        <f>IF(S2175=0,0,$AD$2091*$AP$2069)</f>
        <v>0</v>
      </c>
      <c r="AA2175">
        <f>IFERROR(Z2175/$R$2091,0)</f>
        <v>0</v>
      </c>
      <c r="AB2175">
        <f>Z2175*($F$21+IF($F$21=0,0,($C$14+$C$15+IF($C$13="single",1.5,3)+3)/12))</f>
        <v>0</v>
      </c>
      <c r="AC2175">
        <f>AB2175-W2175</f>
        <v>0</v>
      </c>
      <c r="AD2175" cm="1">
        <f t="array" ref="AD2175">IFERROR(IF(AC2175&lt;0,0,AC2175/($R$2091-INDEX(hd_off,MATCH(AQ2175,hd_mark,0),0)/12)),0)</f>
        <v>0</v>
      </c>
      <c r="AE2175">
        <f>IF(S2175=0,0,$AD$2091*$AM$2069)</f>
        <v>0</v>
      </c>
      <c r="AF2175">
        <f>IFERROR(AE2175/$R$2091,0)</f>
        <v>0</v>
      </c>
      <c r="AG2175">
        <f>AE2175*($F$21+IF($F$21=0,0,($C$14+$C$15+IF($C$13="single",1.5,3)+3)/12))</f>
        <v>0</v>
      </c>
      <c r="AH2175">
        <f>AG2175-X2175</f>
        <v>0</v>
      </c>
      <c r="AI2175" cm="1">
        <f t="array" ref="AI2175">IFERROR(IF(AH2175&lt;0,0,AH2175/($R$2091-INDEX(hd_off,MATCH(AQ2175,hd_mark,0),0)/12)),0)</f>
        <v>0</v>
      </c>
      <c r="AJ2175">
        <f>MAX($F$21,$Y$2091)/$Q$2100</f>
        <v>0.30172413793103448</v>
      </c>
      <c r="AK2175">
        <f>IF(AJ2175=0,0,IF(AJ2175&gt;2,1.25-0.125*AJ2175,1))</f>
        <v>1</v>
      </c>
      <c r="AL2175" cm="1">
        <f t="array" ref="AL2175">IFERROR(INDEX(sheath_ecap_asd,MATCH(AP2175,sheath_mark,0),0)*AK2175,0)</f>
        <v>0</v>
      </c>
      <c r="AM2175" cm="1">
        <f t="array" ref="AM2175">IFERROR(INDEX(sheath_wcap_asd,MATCH(AP2175,sheath_mark,0),0)*AK2175,0)</f>
        <v>0</v>
      </c>
      <c r="AN2175" cm="1">
        <f t="array" ref="AN2175">IFERROR(INDEX(hd_cap,MATCH(AQ2175,hd_mark,0),0),0)</f>
        <v>0</v>
      </c>
      <c r="AP2175" s="19"/>
      <c r="AQ2175" s="19"/>
      <c r="AR2175" s="100"/>
      <c r="AS2175" s="93"/>
      <c r="AT2175" s="110" t="str">
        <f>$AT$2091</f>
        <v>1.14</v>
      </c>
      <c r="AU2175" t="str">
        <f>$Q$2069</f>
        <v>L2</v>
      </c>
      <c r="AV2175">
        <f>$E$21</f>
        <v>10.6875</v>
      </c>
      <c r="AW2175" cm="1">
        <f t="array" ref="AW2175">IFERROR(IF(AV2175=0,0,(INDEX($C$33:$C$38,MATCH($AZ$2091,$B$33:$B$38,0),0)*(AV2179+$BA$2091)+$AW$2091*COUNTIF(AV2175:AV2191,"&gt;0")*$C$32+$AY$2091*$C$31)*$AU$2091),0)</f>
        <v>0</v>
      </c>
      <c r="AX2175">
        <f>IF(AV2175=0,0,-(COUNTIF(AV2175:AV2191,"&gt;0")*$AW$2091*$C$32+$AY$2091*$C$31)*$H$27*$AU$2091)</f>
        <v>0</v>
      </c>
      <c r="AY2175">
        <f>IF(AV2175=0,0,$AY$2091*$H$26*$AU$2091)</f>
        <v>0</v>
      </c>
      <c r="AZ2175">
        <f>(0.6*AW2175+0.7*AX2175)*$AU$2091/2</f>
        <v>0</v>
      </c>
      <c r="BA2175">
        <f>(0.6*AW2175+0.6*AY2175)*$AU$2091/2</f>
        <v>0</v>
      </c>
      <c r="BC2175">
        <f>IF(AV2175=0,0,$BG$2091*$AP$2069)</f>
        <v>0</v>
      </c>
      <c r="BD2175">
        <f>IFERROR(BC2175/$AU$2091,0)</f>
        <v>0</v>
      </c>
      <c r="BE2175">
        <f>BC2175*($F$21+IF($F$21=0,0,($C$14+$C$15+IF($C$13="single",1.5,3)+3)/12))</f>
        <v>0</v>
      </c>
      <c r="BF2175">
        <f>BE2175-AZ2175</f>
        <v>0</v>
      </c>
      <c r="BG2175" cm="1">
        <f t="array" ref="BG2175">IFERROR(IF(BF2175&lt;0,0,BF2175/($AU$2091-INDEX(hd_off,MATCH(BT2175,hd_mark,0),0)/12)),0)</f>
        <v>0</v>
      </c>
      <c r="BH2175">
        <f>IF(AV2175=0,0,$BG$2091*$AM$2069)</f>
        <v>0</v>
      </c>
      <c r="BI2175">
        <f>IFERROR(BH2175/$AU$2091,0)</f>
        <v>0</v>
      </c>
      <c r="BJ2175">
        <f>BH2175*($F$21+IF($F$21=0,0,($C$14+$C$15+IF($C$13="single",1.5,3)+3)/12))</f>
        <v>0</v>
      </c>
      <c r="BK2175">
        <f>BJ2175-BA2175</f>
        <v>0</v>
      </c>
      <c r="BL2175" cm="1">
        <f t="array" ref="BL2175">IFERROR(IF(BK2175&lt;0,0,BK2175/($AU$2091-INDEX(hd_off,MATCH(BT2175,hd_mark,0),0)/12)),0)</f>
        <v>0</v>
      </c>
      <c r="BM2175">
        <f>MAX($F$21,$BB$2091)/$Q$2100</f>
        <v>0.30172413793103448</v>
      </c>
      <c r="BN2175">
        <f>IF(BM2175=0,0,IF(BM2175&gt;2,1.25-0.125*BM2175,1))</f>
        <v>1</v>
      </c>
      <c r="BO2175" cm="1">
        <f t="array" ref="BO2175">IFERROR(INDEX(sheath_ecap_asd,MATCH(BS2175,sheath_mark,0),0)*BN2175,0)</f>
        <v>0</v>
      </c>
      <c r="BP2175" cm="1">
        <f t="array" ref="BP2175">IFERROR(INDEX(sheath_wcap_asd,MATCH(BS2175,sheath_mark,0),0)*BN2175,0)</f>
        <v>0</v>
      </c>
      <c r="BQ2175" cm="1">
        <f t="array" ref="BQ2175">IFERROR(INDEX(hd_cap,MATCH(BT2175,hd_mark,0),0),0)</f>
        <v>0</v>
      </c>
      <c r="BS2175" s="19"/>
      <c r="BT2175" s="19"/>
      <c r="BU2175" s="100"/>
    </row>
    <row r="2176" x14ac:dyDescent="0.25">
      <c r="P2176" s="93"/>
      <c r="Q2176" s="109"/>
      <c r="R2176" t="str">
        <f>$Q$2070</f>
        <v>L3</v>
      </c>
      <c r="S2176">
        <f>$E$22</f>
        <v>21.375</v>
      </c>
      <c r="T2176" cm="1">
        <f t="array" ref="T2176">IFERROR(IF(S2176=0,0,(INDEX($C$33:$C$38,MATCH($W$2091,$B$33:$B$38,0),0)*(S2179+$X$2091)+$T$2091*COUNTIF(S2176:S2191,"&gt;0")*$C$32+$V$2091*$C$31)*$R$2091),0)</f>
        <v>0</v>
      </c>
      <c r="U2176">
        <f>IF(S2176=0,0,-(COUNTIF(S2176:S2191,"&gt;0")*$T$2091*$C$32+$V$2091*$C$31)*$H$27*$R$2091)</f>
        <v>0</v>
      </c>
      <c r="V2176">
        <f>IF(S2176=0,0,$V$2091*$H$26*$R$2091)</f>
        <v>0</v>
      </c>
      <c r="W2176">
        <f>(0.6*T2176+0.7*U2176)*$R$2091/2</f>
        <v>0</v>
      </c>
      <c r="X2176">
        <f>T2176*$R$2091/2</f>
        <v>0</v>
      </c>
      <c r="Z2176">
        <f>IF(S2176=0,0,$AD$2091*$AP$2070)</f>
        <v>0</v>
      </c>
      <c r="AA2176">
        <f>IFERROR(Z2176/$R$2091,0)</f>
        <v>0</v>
      </c>
      <c r="AB2176">
        <f>Z2176*($F$22+IF($F$22=0,0,($C$14+$C$15+IF($C$13="single",1.5,3)+3)/12))</f>
        <v>0</v>
      </c>
      <c r="AC2176">
        <f>AB2176-W2176</f>
        <v>0</v>
      </c>
      <c r="AD2176" cm="1">
        <f t="array" ref="AD2176">IFERROR(IF(AC2176&lt;0,0,AC2176/($R$2091-INDEX(hd_off,MATCH(AQ2176,hd_mark,0),0)/12)),0)</f>
        <v>0</v>
      </c>
      <c r="AE2176">
        <f>IF(S2176=0,0,$AD$2091*$AM$2070)</f>
        <v>0</v>
      </c>
      <c r="AF2176">
        <f>IFERROR(AE2176/$R$2091,0)</f>
        <v>0</v>
      </c>
      <c r="AG2176">
        <f>AE2176*($F$22+IF($F$22=0,0,($C$14+$C$15+IF($C$13="single",1.5,3)+3)/12))</f>
        <v>0</v>
      </c>
      <c r="AH2176">
        <f>AG2176-X2176</f>
        <v>0</v>
      </c>
      <c r="AI2176" cm="1">
        <f t="array" ref="AI2176">IFERROR(IF(AH2176&lt;0,0,AH2176/($R$2091-INDEX(hd_off,MATCH(AQ2176,hd_mark,0),0)/12)),0)</f>
        <v>0</v>
      </c>
      <c r="AJ2176">
        <f>MAX($F$22,$Z$2091)/$Q$2100</f>
        <v>0.30172413793103448</v>
      </c>
      <c r="AK2176">
        <f t="shared" ref="AK2176:AK2179" si="1336">IF(AJ2176=0,0,IF(AJ2176&gt;2,1.25-0.125*AJ2176,1))</f>
        <v>1</v>
      </c>
      <c r="AL2176" cm="1">
        <f t="array" ref="AL2176">IFERROR(INDEX(sheath_ecap_asd,MATCH(AP2176,sheath_mark,0),0)*AK2176,0)</f>
        <v>0</v>
      </c>
      <c r="AM2176" cm="1">
        <f t="array" ref="AM2176">IFERROR(INDEX(sheath_wcap_asd,MATCH(AP2176,sheath_mark,0),0)*AK2176,0)</f>
        <v>0</v>
      </c>
      <c r="AN2176" cm="1">
        <f t="array" ref="AN2176">IFERROR(INDEX(hd_cap,MATCH(AQ2176,hd_mark,0),0),0)</f>
        <v>0</v>
      </c>
      <c r="AP2176" s="19"/>
      <c r="AQ2176" s="19"/>
      <c r="AR2176" s="100"/>
      <c r="AS2176" s="93"/>
      <c r="AT2176" s="109"/>
      <c r="AU2176" t="str">
        <f>$Q$2070</f>
        <v>L3</v>
      </c>
      <c r="AV2176">
        <f>$E$22</f>
        <v>21.375</v>
      </c>
      <c r="AW2176" cm="1">
        <f t="array" ref="AW2176">IFERROR(IF(AV2176=0,0,(INDEX($C$33:$C$38,MATCH($AZ$2091,$B$33:$B$38,0),0)*(AV2179+$BA$2091)+$AW$2091*COUNTIF(AV2176:AV2191,"&gt;0")*$C$32+$AY$2091*$C$31)*$AU$2091),0)</f>
        <v>0</v>
      </c>
      <c r="AX2176">
        <f>IF(AV2176=0,0,-(COUNTIF(AV2176:AV2191,"&gt;0")*$AW$2091*$C$32+$AY$2091*$C$31)*$H$27*$AU$2091)</f>
        <v>0</v>
      </c>
      <c r="AY2176">
        <f>IF(AV2176=0,0,$AY$2091*$H$26*$AU$2091)</f>
        <v>0</v>
      </c>
      <c r="AZ2176">
        <f>(0.6*AW2176+0.7*AX2176)*$AU$2091/2</f>
        <v>0</v>
      </c>
      <c r="BA2176">
        <f>AW2176*$AU$2091/2</f>
        <v>0</v>
      </c>
      <c r="BC2176">
        <f>IF(AV2176=0,0,$BG$2091*$AP$2070)</f>
        <v>0</v>
      </c>
      <c r="BD2176">
        <f>IFERROR(BC2176/$AU$2091,0)</f>
        <v>0</v>
      </c>
      <c r="BE2176">
        <f>BC2176*($F$22+IF($F$22=0,0,($C$14+$C$15+IF($C$13="single",1.5,3)+3)/12))</f>
        <v>0</v>
      </c>
      <c r="BF2176">
        <f>BE2176-AZ2176</f>
        <v>0</v>
      </c>
      <c r="BG2176" cm="1">
        <f t="array" ref="BG2176">IFERROR(IF(BF2176&lt;0,0,BF2176/($AU$2091-INDEX(hd_off,MATCH(BT2176,hd_mark,0),0)/12)),0)</f>
        <v>0</v>
      </c>
      <c r="BH2176">
        <f>IF(AV2176=0,0,$BG$2091*$AM$2070)</f>
        <v>0</v>
      </c>
      <c r="BI2176">
        <f>IFERROR(BH2176/$AU$2091,0)</f>
        <v>0</v>
      </c>
      <c r="BJ2176">
        <f>BH2176*($F$22+IF($F$22=0,0,($C$14+$C$15+IF($C$13="single",1.5,3)+3)/12))</f>
        <v>0</v>
      </c>
      <c r="BK2176">
        <f>BJ2176-BA2176</f>
        <v>0</v>
      </c>
      <c r="BL2176" cm="1">
        <f t="array" ref="BL2176">IFERROR(IF(BK2176&lt;0,0,BK2176/($AU$2091-INDEX(hd_off,MATCH(BT2176,hd_mark,0),0)/12)),0)</f>
        <v>0</v>
      </c>
      <c r="BM2176">
        <f>MAX($F$22,$BC$2091)/$Q$2100</f>
        <v>0.30172413793103448</v>
      </c>
      <c r="BN2176">
        <f t="shared" ref="BN2176:BN2177" si="1337">IF(BM2176=0,0,IF(BM2176&gt;2,1.25-0.125*BM2176,1))</f>
        <v>1</v>
      </c>
      <c r="BO2176" cm="1">
        <f t="array" ref="BO2176">IFERROR(INDEX(sheath_ecap_asd,MATCH(BS2176,sheath_mark,0),0)*BN2176,0)</f>
        <v>0</v>
      </c>
      <c r="BP2176" cm="1">
        <f t="array" ref="BP2176">IFERROR(INDEX(sheath_wcap_asd,MATCH(BS2176,sheath_mark,0),0)*BN2176,0)</f>
        <v>0</v>
      </c>
      <c r="BQ2176" cm="1">
        <f t="array" ref="BQ2176">IFERROR(INDEX(hd_cap,MATCH(BT2176,hd_mark,0),0),0)</f>
        <v>0</v>
      </c>
      <c r="BS2176" s="19"/>
      <c r="BT2176" s="19"/>
      <c r="BU2176" s="100"/>
    </row>
    <row r="2177" x14ac:dyDescent="0.25">
      <c r="P2177" s="93"/>
      <c r="Q2177" s="109" t="s">
        <v>491</v>
      </c>
      <c r="R2177" t="str">
        <f>$Q$2071</f>
        <v>L4</v>
      </c>
      <c r="S2177">
        <f>$E$23</f>
        <v>0</v>
      </c>
      <c r="T2177" cm="1">
        <f t="array" ref="T2177">IFERROR(IF(S2177=0,0,(INDEX($C$33:$C$38,MATCH($W$2091,$B$33:$B$38,0),0)*(S2179+$X$2091)+$T$2091*COUNTIF(S2177:S2191,"&gt;0")*$C$32+$V$2091*$C$31)*$R$2091),0)</f>
        <v>0</v>
      </c>
      <c r="U2177">
        <f>IF(S2177=0,0,-(COUNTIF(S2177:S2191,"&gt;0")*$T$2091*$C$32+$V$2091*$C$31)*$H$27*$R$2091)</f>
        <v>0</v>
      </c>
      <c r="V2177">
        <f>IF(S2177=0,0,$V$2091*$H$26*$R$2091)</f>
        <v>0</v>
      </c>
      <c r="W2177">
        <f>(0.6*T2177+0.7*U2177)*$R$2091/2</f>
        <v>0</v>
      </c>
      <c r="X2177">
        <f>T2177*$R$2091/2</f>
        <v>0</v>
      </c>
      <c r="Z2177">
        <f>IF(S2177=0,0,$AD$2091*$AP$2071)</f>
        <v>0</v>
      </c>
      <c r="AA2177">
        <f>IFERROR(Z2177/$R$2091,0)</f>
        <v>0</v>
      </c>
      <c r="AB2177">
        <f>Z2177*($F$23+IF($F$23=0,0,($C$14+$C$15+IF($C$13="single",1.5,3)+3)/12))</f>
        <v>0</v>
      </c>
      <c r="AC2177">
        <f>AB2177-W2177</f>
        <v>0</v>
      </c>
      <c r="AD2177" cm="1">
        <f t="array" ref="AD2177">IFERROR(IF(AC2177&lt;0,0,AC2177/($R$2091-INDEX(hd_off,MATCH(AQ2177,hd_mark,0),0)/12)),0)</f>
        <v>0</v>
      </c>
      <c r="AE2177">
        <f>IF(S2177=0,0,$AD$2091*$AM$2071)</f>
        <v>0</v>
      </c>
      <c r="AF2177">
        <f>IFERROR(AE2177/$R$2091,0)</f>
        <v>0</v>
      </c>
      <c r="AG2177">
        <f>AE2177*($F$23+IF($F$23=0,0,($C$14+$C$15+IF($C$13="single",1.5,3)+3)/12))</f>
        <v>0</v>
      </c>
      <c r="AH2177">
        <f>AG2177-X2177</f>
        <v>0</v>
      </c>
      <c r="AI2177" cm="1">
        <f t="array" ref="AI2177">IFERROR(IF(AH2177&lt;0,0,AH2177/($R$2091-INDEX(hd_off,MATCH(AQ2177,hd_mark,0),0)/12)),0)</f>
        <v>0</v>
      </c>
      <c r="AJ2177">
        <f>MAX($F$23,$AA$2091)/$Q$2100</f>
        <v>0</v>
      </c>
      <c r="AK2177">
        <f t="shared" si="1336"/>
        <v>0</v>
      </c>
      <c r="AL2177" cm="1">
        <f t="array" ref="AL2177">IFERROR(INDEX(sheath_ecap_asd,MATCH(AP2177,sheath_mark,0),0)*AK2177,0)</f>
        <v>0</v>
      </c>
      <c r="AM2177" cm="1">
        <f t="array" ref="AM2177">IFERROR(INDEX(sheath_wcap_asd,MATCH(AP2177,sheath_mark,0),0)*AK2177,0)</f>
        <v>0</v>
      </c>
      <c r="AN2177" cm="1">
        <f t="array" ref="AN2177">IFERROR(INDEX(hd_cap,MATCH(AQ2177,hd_mark,0),0),0)</f>
        <v>0</v>
      </c>
      <c r="AP2177" s="19"/>
      <c r="AQ2177" s="19"/>
      <c r="AR2177" s="100"/>
      <c r="AS2177" s="93"/>
      <c r="AT2177" s="109" t="s">
        <v>491</v>
      </c>
      <c r="AU2177" t="str">
        <f>$Q$2071</f>
        <v>L4</v>
      </c>
      <c r="AV2177">
        <f>$E$23</f>
        <v>0</v>
      </c>
      <c r="AW2177" cm="1">
        <f t="array" ref="AW2177">IFERROR(IF(AV2177=0,0,(INDEX($C$33:$C$38,MATCH($AZ$2091,$B$33:$B$38,0),0)*(AV2179+$BA$2091)+$AW$2091*COUNTIF(AV2177:AV2191,"&gt;0")*$C$32+$AY$2091*$C$31)*$AU$2091),0)</f>
        <v>0</v>
      </c>
      <c r="AX2177">
        <f>IF(AV2177=0,0,-(COUNTIF(AV2177:AV2191,"&gt;0")*$AW$2091*$C$32+$AY$2091*$C$31)*$H$27*$AU$2091)</f>
        <v>0</v>
      </c>
      <c r="AY2177">
        <f>IF(AV2177=0,0,$AY$2091*$H$26*$AU$2091)</f>
        <v>0</v>
      </c>
      <c r="AZ2177">
        <f>(0.6*AW2177+0.7*AX2177)*$AU$2091/2</f>
        <v>0</v>
      </c>
      <c r="BA2177">
        <f>AW2177*$AU$2091/2</f>
        <v>0</v>
      </c>
      <c r="BC2177">
        <f>IF(AV2177=0,0,$BG$2091*$AP$2071)</f>
        <v>0</v>
      </c>
      <c r="BD2177">
        <f>IFERROR(BC2177/$AU$2091,0)</f>
        <v>0</v>
      </c>
      <c r="BE2177">
        <f>BC2177*($F$23+IF($F$23=0,0,($C$14+$C$15+IF($C$13="single",1.5,3)+3)/12))</f>
        <v>0</v>
      </c>
      <c r="BF2177">
        <f>BE2177-AZ2177</f>
        <v>0</v>
      </c>
      <c r="BG2177" cm="1">
        <f t="array" ref="BG2177">IFERROR(IF(BF2177&lt;0,0,BF2177/($AU$2091-INDEX(hd_off,MATCH(BT2177,hd_mark,0),0)/12)),0)</f>
        <v>0</v>
      </c>
      <c r="BH2177">
        <f>IF(AV2177=0,0,$BG$2091*$AM$2071)</f>
        <v>0</v>
      </c>
      <c r="BI2177">
        <f>IFERROR(BH2177/$AU$2091,0)</f>
        <v>0</v>
      </c>
      <c r="BJ2177">
        <f>BH2177*($F$23+IF($F$23=0,0,($C$14+$C$15+IF($C$13="single",1.5,3)+3)/12))</f>
        <v>0</v>
      </c>
      <c r="BK2177">
        <f>BJ2177-BA2177</f>
        <v>0</v>
      </c>
      <c r="BL2177" cm="1">
        <f t="array" ref="BL2177">IFERROR(IF(BK2177&lt;0,0,BK2177/($AU$2091-INDEX(hd_off,MATCH(BT2177,hd_mark,0),0)/12)),0)</f>
        <v>0</v>
      </c>
      <c r="BM2177">
        <f>MAX($F$23,$BD$2091)/$Q$2100</f>
        <v>0</v>
      </c>
      <c r="BN2177">
        <f t="shared" si="1337"/>
        <v>0</v>
      </c>
      <c r="BO2177" cm="1">
        <f t="array" ref="BO2177">IFERROR(INDEX(sheath_ecap_asd,MATCH(BS2177,sheath_mark,0),0)*BN2177,0)</f>
        <v>0</v>
      </c>
      <c r="BP2177" cm="1">
        <f t="array" ref="BP2177">IFERROR(INDEX(sheath_wcap_asd,MATCH(BS2177,sheath_mark,0),0)*BN2177,0)</f>
        <v>0</v>
      </c>
      <c r="BQ2177" cm="1">
        <f t="array" ref="BQ2177">IFERROR(INDEX(hd_cap,MATCH(BT2177,hd_mark,0),0),0)</f>
        <v>0</v>
      </c>
      <c r="BS2177" s="19"/>
      <c r="BT2177" s="19"/>
      <c r="BU2177" s="100"/>
    </row>
    <row r="2178" x14ac:dyDescent="0.25">
      <c r="P2178" s="93"/>
      <c r="Q2178" s="111">
        <f>$R$2091</f>
        <v>0</v>
      </c>
      <c r="R2178" t="str">
        <f>$Q$2072</f>
        <v>L5</v>
      </c>
      <c r="S2178">
        <f>$E$24</f>
        <v>0</v>
      </c>
      <c r="T2178" cm="1">
        <f t="array" ref="T2178">IFERROR(IF(S2191=0,0,(INDEX($C$33:$C$38,MATCH($W$2091,$B$33:$B$38,0),0)*(S2179+$X$2091)+$T$2091*COUNTIF(S2191:S2191,"&gt;0")*$C$32+$V$2091*$C$31)*$R$2091),0)</f>
        <v>0</v>
      </c>
      <c r="U2178">
        <f>IF(S2191=0,0,-(COUNTIF(S2191:S2191,"&gt;0")*$T$2091*$C$32+$V$2091*$C$31)*$H$27*$R$2091)</f>
        <v>0</v>
      </c>
      <c r="V2178">
        <f>IF(S2191=0,0,$V$2091*$H$26*$R$2091)</f>
        <v>0</v>
      </c>
      <c r="W2178">
        <f>(0.6*T2191+0.7*U2191)*$R$2091/2</f>
        <v>0</v>
      </c>
      <c r="X2178">
        <f>T2191*$R$2091/2</f>
        <v>0</v>
      </c>
      <c r="Z2178">
        <f>IF(S2191=0,0,$AD$2091*$AP$2072)</f>
        <v>0</v>
      </c>
      <c r="AA2178">
        <f>IFERROR(Z2191/$R$2091,0)</f>
        <v>0</v>
      </c>
      <c r="AB2178">
        <f>Z2191*($F$24+IF($F$24=0,0,($C$14+$C$15+IF($C$13="single",1.5,3)+3)/12))</f>
        <v>0</v>
      </c>
      <c r="AC2178">
        <f>AB2191-W2191</f>
        <v>0</v>
      </c>
      <c r="AD2178" cm="1">
        <f t="array" ref="AD2178">IFERROR(IF(AC2191&lt;0,0,AC2191/($R$2091-INDEX(hd_off,MATCH(AQ2191,hd_mark,0),0)/12)),0)</f>
        <v>0</v>
      </c>
      <c r="AE2178">
        <f>IF(S2191=0,0,$AD$2091*$AM$2072)</f>
        <v>0</v>
      </c>
      <c r="AF2178">
        <f>IFERROR(AE2191/$R$2091,0)</f>
        <v>0</v>
      </c>
      <c r="AG2178">
        <f>AE2191*($F$24+IF($F$24=0,0,($C$14+$C$15+IF($C$13="single",1.5,3)+3)/12))</f>
        <v>0</v>
      </c>
      <c r="AH2178">
        <f>AG2191-X2191</f>
        <v>0</v>
      </c>
      <c r="AI2178" cm="1">
        <f t="array" ref="AI2178">IFERROR(IF(AH2191&lt;0,0,AH2191/($R$2091-INDEX(hd_off,MATCH(AQ2191,hd_mark,0),0)/12)),0)</f>
        <v>0</v>
      </c>
      <c r="AJ2178">
        <f>MAX($F$24,$AB$2091)/$Q$2100</f>
        <v>0</v>
      </c>
      <c r="AK2178">
        <f>IF(AJ2191=0,0,IF(AJ2191&gt;2,1.25-0.125*AJ2191,1))</f>
        <v>1</v>
      </c>
      <c r="AL2178" cm="1">
        <f t="array" ref="AL2178">IFERROR(INDEX(sheath_ecap_asd,MATCH(AP2191,sheath_mark,0),0)*AK2191,0)</f>
        <v>0</v>
      </c>
      <c r="AM2178" cm="1">
        <f t="array" ref="AM2178">IFERROR(INDEX(sheath_wcap_asd,MATCH(AP2191,sheath_mark,0),0)*AK2191,0)</f>
        <v>0</v>
      </c>
      <c r="AN2178" cm="1">
        <f t="array" ref="AN2178">IFERROR(INDEX(hd_cap,MATCH(AQ2191,hd_mark,0),0),0)</f>
        <v>0</v>
      </c>
      <c r="AP2178" s="19"/>
      <c r="AQ2178" s="19"/>
      <c r="AR2178" s="100"/>
      <c r="AS2178" s="93"/>
      <c r="AT2178" s="111">
        <f>$R$2091</f>
        <v>0</v>
      </c>
      <c r="AU2178" t="str">
        <f>$Q$2072</f>
        <v>L5</v>
      </c>
      <c r="AV2178">
        <f>$E$24</f>
        <v>0</v>
      </c>
      <c r="AW2178" cm="1">
        <f t="array" ref="AW2178">IFERROR(IF(AV2191=0,0,(INDEX($C$33:$C$38,MATCH($AZ$2091,$B$33:$B$38,0),0)*(AV2179+$BA$2091)+$AW$2091*COUNTIF(AV2191:AV2191,"&gt;0")*$C$32+$AY$2091*$C$31)*$AU$2091),0)</f>
        <v>0</v>
      </c>
      <c r="AX2178">
        <f>IF(AV2191=0,0,-(COUNTIF(AV2191:AV2191,"&gt;0")*$AW$2091*$C$32+$AY$2091*$C$31)*$H$27*$AU$2091)</f>
        <v>0</v>
      </c>
      <c r="AY2178">
        <f>IF(AV2191=0,0,$AY$2091*$H$26*$AU$2091)</f>
        <v>0</v>
      </c>
      <c r="AZ2178">
        <f>(0.6*AW2191+0.7*AX2191)*$AU$2091/2</f>
        <v>0</v>
      </c>
      <c r="BA2178">
        <f>AW2191*$AU$2091/2</f>
        <v>0</v>
      </c>
      <c r="BC2178">
        <f>IF(AV2191=0,0,$BG$2091*$AP$2072)</f>
        <v>0</v>
      </c>
      <c r="BD2178">
        <f>IFERROR(BC2191/$AU$2091,0)</f>
        <v>0</v>
      </c>
      <c r="BE2178">
        <f>BC2191*($F$24+IF($F$24=0,0,($C$14+$C$15+IF($C$13="single",1.5,3)+3)/12))</f>
        <v>0</v>
      </c>
      <c r="BF2178">
        <f>BE2191-AZ2191</f>
        <v>0</v>
      </c>
      <c r="BG2178" cm="1">
        <f t="array" ref="BG2178">IFERROR(IF(BF2191&lt;0,0,BF2191/($AU$2091-INDEX(hd_off,MATCH(BT2191,hd_mark,0),0)/12)),0)</f>
        <v>0</v>
      </c>
      <c r="BH2178">
        <f>IF(AV2191=0,0,$BG$2091*$AM$2072)</f>
        <v>0</v>
      </c>
      <c r="BI2178">
        <f>IFERROR(BH2191/$AU$2091,0)</f>
        <v>0</v>
      </c>
      <c r="BJ2178">
        <f>BH2191*($F$24+IF($F$24=0,0,($C$14+$C$15+IF($C$13="single",1.5,3)+3)/12))</f>
        <v>0</v>
      </c>
      <c r="BK2178">
        <f>BJ2191-BA2191</f>
        <v>0</v>
      </c>
      <c r="BL2178" cm="1">
        <f t="array" ref="BL2178">IFERROR(IF(BK2191&lt;0,0,BK2191/($AU$2091-INDEX(hd_off,MATCH(BT2191,hd_mark,0),0)/12)),0)</f>
        <v>0</v>
      </c>
      <c r="BM2178">
        <f>MAX($F$24,$BE$2091)/$Q$2100</f>
        <v>0</v>
      </c>
      <c r="BN2178">
        <f>IF(BM2191=0,0,IF(BM2191&gt;2,1.25-0.125*BM2191,1))</f>
        <v>0</v>
      </c>
      <c r="BO2178" cm="1">
        <f t="array" ref="BO2178">IFERROR(INDEX(sheath_ecap_asd,MATCH(BS2191,sheath_mark,0),0)*BN2191,0)</f>
        <v>0</v>
      </c>
      <c r="BP2178" cm="1">
        <f t="array" ref="BP2178">IFERROR(INDEX(sheath_wcap_asd,MATCH(BS2191,sheath_mark,0),0)*BN2191,0)</f>
        <v>0</v>
      </c>
      <c r="BQ2178" cm="1">
        <f t="array" ref="BQ2178">IFERROR(INDEX(hd_cap,MATCH(BT2191,hd_mark,0),0),0)</f>
        <v>0</v>
      </c>
      <c r="BS2178" s="19"/>
      <c r="BT2178" s="19"/>
      <c r="BU2178" s="100"/>
    </row>
    <row r="2179" x14ac:dyDescent="0.25">
      <c r="P2179" s="93"/>
      <c r="Q2179" s="109"/>
      <c r="R2179" t="str">
        <f>$Q$2073</f>
        <v>Roof</v>
      </c>
      <c r="S2179">
        <f>$E$25</f>
        <v>33.171875</v>
      </c>
      <c r="T2179" cm="1">
        <f t="array" ref="T2179">IFERROR(IF(S2179=0,0,(INDEX($C$33:$C$38,MATCH($W$2091,$B$33:$B$38,0),0)*(S2179+$X$2091)+$V$2091*$C$31)*$R$2091),0)</f>
        <v>0</v>
      </c>
      <c r="U2179">
        <f>IF(S2179=0,0,-$V$2091*$C$31*$H$27*$R$2091)</f>
        <v>0</v>
      </c>
      <c r="V2179">
        <f>IF(S2179=0,0,$V$2091*$H$26*$R$2091)</f>
        <v>0</v>
      </c>
      <c r="W2179">
        <f>(0.6*T2179+0.7*U2179)*$R$2091/2</f>
        <v>0</v>
      </c>
      <c r="X2179">
        <f>T2179*$R$2091/2</f>
        <v>0</v>
      </c>
      <c r="Z2179">
        <f>IF(S2179=0,0,$AD$2091*$AP$2073)</f>
        <v>0</v>
      </c>
      <c r="AA2179">
        <f>IFERROR(Z2179/$R$2091,0)</f>
        <v>0</v>
      </c>
      <c r="AB2179">
        <f>Z2179*($F$25+($C$16+$C$17+IF($C$13="single",1.5,3)+3)/12)</f>
        <v>0</v>
      </c>
      <c r="AC2179">
        <f>AB2179-W2179</f>
        <v>0</v>
      </c>
      <c r="AD2179" cm="1">
        <f t="array" ref="AD2179">IFERROR(IF(AC2179&lt;0,0,AC2179/($R$2091-INDEX(hd_off,MATCH(AQ2179,hd_mark,0),0)/12)),0)</f>
        <v>0</v>
      </c>
      <c r="AE2179">
        <f>IF(S2179=0,0,$AD$2091*$AM$2073)</f>
        <v>0</v>
      </c>
      <c r="AF2179">
        <f>IFERROR(AE2179/$R$2091,0)</f>
        <v>0</v>
      </c>
      <c r="AG2179">
        <f>AE2179*($F$25+($C$16+$C$17+IF($C$13="single",1.5,3)+3)/12)</f>
        <v>0</v>
      </c>
      <c r="AH2179">
        <f>AG2179-X2179</f>
        <v>0</v>
      </c>
      <c r="AI2179" cm="1">
        <f t="array" ref="AI2179">IFERROR(IF(AH2179&lt;0,0,AH2179/($R$2091-INDEX(hd_off,MATCH(AQ2179,hd_mark,0),0)/12)),0)</f>
        <v>0</v>
      </c>
      <c r="AJ2179">
        <f>MAX($F$25,$AC$2091)/$Q$2100</f>
        <v>0.29920977011494249</v>
      </c>
      <c r="AK2179">
        <f t="shared" si="1336"/>
        <v>1</v>
      </c>
      <c r="AL2179" cm="1">
        <f t="array" ref="AL2179">IFERROR(INDEX(sheath_ecap_asd,MATCH(AP2179,sheath_mark,0),0)*AK2179,0)</f>
        <v>0</v>
      </c>
      <c r="AM2179" cm="1">
        <f t="array" ref="AM2179">IFERROR(INDEX(sheath_wcap_asd,MATCH(AP2179,sheath_mark,0),0)*AK2179,0)</f>
        <v>0</v>
      </c>
      <c r="AN2179" cm="1">
        <f t="array" ref="AN2179">IFERROR(INDEX(hd_cap,MATCH(AQ2179,hd_mark,0),0),0)</f>
        <v>0</v>
      </c>
      <c r="AP2179" s="19"/>
      <c r="AQ2179" s="19"/>
      <c r="AR2179" s="100"/>
      <c r="AS2179" s="93"/>
      <c r="AT2179" s="109"/>
      <c r="AU2179" t="str">
        <f>$Q$2073</f>
        <v>Roof</v>
      </c>
      <c r="AV2179">
        <f>$E$25</f>
        <v>33.171875</v>
      </c>
      <c r="AW2179" cm="1">
        <f t="array" ref="AW2179">IFERROR(IF(AV2179=0,0,(INDEX($C$33:$C$38,MATCH($AZ$2091,$B$33:$B$38,0),0)*(AV2179+$BA$2091)+$AY$2091*$C$31)*$AU$2091),0)</f>
        <v>0</v>
      </c>
      <c r="AX2179">
        <f>IF(AV2179=0,0,-$AY$2091*$C$31*$H$27*$AU$2091)</f>
        <v>0</v>
      </c>
      <c r="AY2179">
        <f>IF(AV2179=0,0,$AY$2091*$H$26*$AU$2091)</f>
        <v>0</v>
      </c>
      <c r="AZ2179">
        <f>(0.6*AW2179+0.7*AX2179)*$AU$2091/2</f>
        <v>0</v>
      </c>
      <c r="BA2179">
        <f>AW2179*$AU$2091/2</f>
        <v>0</v>
      </c>
      <c r="BC2179">
        <f>IF(AV2179=0,0,$BG$2091*$AP$2073)</f>
        <v>0</v>
      </c>
      <c r="BD2179">
        <f>IFERROR(BC2179/$AU$2091,0)</f>
        <v>0</v>
      </c>
      <c r="BE2179">
        <f>BC2179*($F$25+($C$16+$C$17+IF($C$13="single",1.5,3)+3)/12)</f>
        <v>0</v>
      </c>
      <c r="BF2179">
        <f>BE2179-AZ2179</f>
        <v>0</v>
      </c>
      <c r="BG2179" cm="1">
        <f t="array" ref="BG2179">IFERROR(IF(BF2179&lt;0,0,BF2179/($AU$2091-INDEX(hd_off,MATCH(BT2179,hd_mark,0),0)/12)),0)</f>
        <v>0</v>
      </c>
      <c r="BH2179">
        <f>IF(AV2179=0,0,$BG$2091*$AM$2073)</f>
        <v>0</v>
      </c>
      <c r="BI2179">
        <f>IFERROR(BH2179/$AU$2091,0)</f>
        <v>0</v>
      </c>
      <c r="BJ2179">
        <f>BH2179*($F$25+($C$16+$C$17+IF($C$13="single",1.5,3)+3)/12)</f>
        <v>0</v>
      </c>
      <c r="BK2179">
        <f>BJ2179-BA2179</f>
        <v>0</v>
      </c>
      <c r="BL2179" cm="1">
        <f t="array" ref="BL2179">IFERROR(IF(BK2179&lt;0,0,BK2179/($AU$2091-INDEX(hd_off,MATCH(BT2179,hd_mark,0),0)/12)),0)</f>
        <v>0</v>
      </c>
      <c r="BM2179">
        <f>MAX($F$25,$BF$2091)/$Q$2100</f>
        <v>0.29920977011494249</v>
      </c>
      <c r="BN2179">
        <f t="shared" ref="BN2179" si="1338">IF(BM2179=0,0,IF(BM2179&gt;2,1.25-0.125*BM2179,1))</f>
        <v>1</v>
      </c>
      <c r="BO2179" cm="1">
        <f t="array" ref="BO2179">IFERROR(INDEX(sheath_ecap_asd,MATCH(BS2179,sheath_mark,0),0)*BN2179,0)</f>
        <v>0</v>
      </c>
      <c r="BP2179" cm="1">
        <f t="array" ref="BP2179">IFERROR(INDEX(sheath_wcap_asd,MATCH(BS2179,sheath_mark,0),0)*BN2179,0)</f>
        <v>0</v>
      </c>
      <c r="BQ2179" cm="1">
        <f t="array" ref="BQ2179">IFERROR(INDEX(hd_cap,MATCH(BT2179,hd_mark,0),0),0)</f>
        <v>0</v>
      </c>
      <c r="BS2179" s="19"/>
      <c r="BT2179" s="19"/>
      <c r="BU2179" s="100"/>
    </row>
    <row r="2180" x14ac:dyDescent="0.25">
      <c r="P2180" s="93"/>
      <c r="AR2180" s="100"/>
      <c r="AS2180" s="93"/>
      <c r="BU2180" s="100"/>
    </row>
    <row r="2181" x14ac:dyDescent="0.25">
      <c r="P2181" s="93"/>
      <c r="Q2181" s="110" t="str">
        <f>$Q$2092</f>
        <v>A.15</v>
      </c>
      <c r="R2181" t="str">
        <f>$Q$2069</f>
        <v>L2</v>
      </c>
      <c r="S2181">
        <f>$E$21</f>
        <v>10.6875</v>
      </c>
      <c r="T2181" cm="1">
        <f t="array" ref="T2181">IFERROR(IF(S2181=0,0,(INDEX($C$33:$C$38,MATCH($W$2092,$B$33:$B$38,0),0)*(S2185+$X$2092)+$T$2092*COUNTIF(S2181:S2184,"&gt;0")*$C$32+$V$2092*$C$31)*$R$2092),0)</f>
        <v>0</v>
      </c>
      <c r="U2181">
        <f>IF(S2181=0,0,-(COUNTIF(S2181:S2184,"&gt;0")*$T$2092*$C$32+$V$2092*$C$31)*$H$27*$R$2092)</f>
        <v>0</v>
      </c>
      <c r="V2181">
        <f>IF(S2181=0,0,$V$2092*$H$26*$R$2092)</f>
        <v>0</v>
      </c>
      <c r="W2181">
        <f>(0.6*T2181+0.7*U2181)*$R$2092/2</f>
        <v>0</v>
      </c>
      <c r="X2181">
        <f>(0.6*T2181+0.6*V2181)*$R$2092/2</f>
        <v>0</v>
      </c>
      <c r="Z2181">
        <f>IF(S2181=0,0,$AD$2092*$AP$2069)</f>
        <v>0</v>
      </c>
      <c r="AA2181">
        <f>IFERROR(Z2181/$R$2092,0)</f>
        <v>0</v>
      </c>
      <c r="AB2181">
        <f>Z2181*($F$21+IF($F$21=0,0,($C$14+$C$15+IF($C$13="single",1.5,3)+3)/12))</f>
        <v>0</v>
      </c>
      <c r="AC2181">
        <f>AB2181-W2181</f>
        <v>0</v>
      </c>
      <c r="AD2181" cm="1">
        <f t="array" ref="AD2181">IFERROR(IF(AC2181&lt;0,0,AC2181/($R$2092-INDEX(hd_off,MATCH(AQ2181,hd_mark,0),0)/12)),0)</f>
        <v>0</v>
      </c>
      <c r="AE2181">
        <f>IF(S2181=0,0,$AD$2092*$AM$2069)</f>
        <v>0</v>
      </c>
      <c r="AF2181">
        <f>IFERROR(AE2181/$R$2092,0)</f>
        <v>0</v>
      </c>
      <c r="AG2181">
        <f>AE2181*($F$21+IF($F$21=0,0,($C$14+$C$15+IF($C$13="single",1.5,3)+3)/12))</f>
        <v>0</v>
      </c>
      <c r="AH2181">
        <f>AG2181-X2181</f>
        <v>0</v>
      </c>
      <c r="AI2181" cm="1">
        <f t="array" ref="AI2181">IFERROR(IF(AH2181&lt;0,0,AH2181/($R$2092-INDEX(hd_off,MATCH(AQ2181,hd_mark,0),0)/12)),0)</f>
        <v>0</v>
      </c>
      <c r="AJ2181">
        <f>MAX($F$21,$Y$2092)/$Q$2100</f>
        <v>0.30172413793103448</v>
      </c>
      <c r="AK2181">
        <f>IF(AJ2181=0,0,IF(AJ2181&gt;2,1.25-0.125*AJ2181,1))</f>
        <v>1</v>
      </c>
      <c r="AL2181" cm="1">
        <f t="array" ref="AL2181">IFERROR(INDEX(sheath_ecap_asd,MATCH(AP2181,sheath_mark,0),0)*AK2181,0)</f>
        <v>0</v>
      </c>
      <c r="AM2181" cm="1">
        <f t="array" ref="AM2181">IFERROR(INDEX(sheath_wcap_asd,MATCH(AP2181,sheath_mark,0),0)*AK2181,0)</f>
        <v>0</v>
      </c>
      <c r="AN2181" cm="1">
        <f t="array" ref="AN2181">IFERROR(INDEX(hd_cap,MATCH(AQ2181,hd_mark,0),0),0)</f>
        <v>0</v>
      </c>
      <c r="AP2181" s="19"/>
      <c r="AQ2181" s="19"/>
      <c r="AR2181" s="100"/>
      <c r="AS2181" s="93"/>
      <c r="AT2181" s="110" t="str">
        <f>$AT$2092</f>
        <v>1.15</v>
      </c>
      <c r="AU2181" t="str">
        <f>$Q$2069</f>
        <v>L2</v>
      </c>
      <c r="AV2181">
        <f>$E$21</f>
        <v>10.6875</v>
      </c>
      <c r="AW2181" cm="1">
        <f t="array" ref="AW2181">IFERROR(IF(AV2181=0,0,(INDEX($C$33:$C$38,MATCH($AZ$2092,$B$33:$B$38,0),0)*(AV2185+$BA$2092)+$AW$2092*COUNTIF(AV2181:AV2184,"&gt;0")*$C$32+$AY$2092*$C$31)*$AU$2092),0)</f>
        <v>0</v>
      </c>
      <c r="AX2181">
        <f>IF(AV2181=0,0,-(COUNTIF(AV2181:AV2184,"&gt;0")*$AW$2092*$C$32+$AY$2092*$C$31)*$H$27*$AU$2092)</f>
        <v>0</v>
      </c>
      <c r="AY2181">
        <f>IF(AV2181=0,0,$AY$2092*$H$26*$AU$2092)</f>
        <v>0</v>
      </c>
      <c r="AZ2181">
        <f>(0.6*AW2181+0.7*AX2181)*$AU$2092/2</f>
        <v>0</v>
      </c>
      <c r="BA2181">
        <f>(0.6*AW2181+0.6*AY2181)*$AU$2092/2</f>
        <v>0</v>
      </c>
      <c r="BC2181">
        <f>IF(AV2181=0,0,$BG$2092*$AP$2069)</f>
        <v>0</v>
      </c>
      <c r="BD2181">
        <f>IFERROR(BC2181/$AU$2092,0)</f>
        <v>0</v>
      </c>
      <c r="BE2181">
        <f>BC2181*($F$21+IF($F$21=0,0,($C$14+$C$15+IF($C$13="single",1.5,3)+3)/12))</f>
        <v>0</v>
      </c>
      <c r="BF2181">
        <f>BE2181-AZ2181</f>
        <v>0</v>
      </c>
      <c r="BG2181" cm="1">
        <f t="array" ref="BG2181">IFERROR(IF(BF2181&lt;0,0,BF2181/($AU$2092-INDEX(hd_off,MATCH(BT2181,hd_mark,0),0)/12)),0)</f>
        <v>0</v>
      </c>
      <c r="BH2181">
        <f>IF(AV2181=0,0,$BG$2092*$AM$2069)</f>
        <v>0</v>
      </c>
      <c r="BI2181">
        <f>IFERROR(BH2181/$AU$2092,0)</f>
        <v>0</v>
      </c>
      <c r="BJ2181">
        <f>BH2181*($F$21+IF($F$21=0,0,($C$14+$C$15+IF($C$13="single",1.5,3)+3)/12))</f>
        <v>0</v>
      </c>
      <c r="BK2181">
        <f>BJ2181-BA2181</f>
        <v>0</v>
      </c>
      <c r="BL2181" cm="1">
        <f t="array" ref="BL2181">IFERROR(IF(BK2181&lt;0,0,BK2181/($AU$2092-INDEX(hd_off,MATCH(BT2181,hd_mark,0),0)/12)),0)</f>
        <v>0</v>
      </c>
      <c r="BM2181">
        <f>MAX($F$21,$BB$2092)/$Q$2100</f>
        <v>0.30172413793103448</v>
      </c>
      <c r="BN2181">
        <f>IF(BM2181=0,0,IF(BM2181&gt;2,1.25-0.125*BM2181,1))</f>
        <v>1</v>
      </c>
      <c r="BO2181" cm="1">
        <f t="array" ref="BO2181">IFERROR(INDEX(sheath_ecap_asd,MATCH(BS2181,sheath_mark,0),0)*BN2181,0)</f>
        <v>0</v>
      </c>
      <c r="BP2181" cm="1">
        <f t="array" ref="BP2181">IFERROR(INDEX(sheath_wcap_asd,MATCH(BS2181,sheath_mark,0),0)*BN2181,0)</f>
        <v>0</v>
      </c>
      <c r="BQ2181" cm="1">
        <f t="array" ref="BQ2181">IFERROR(INDEX(hd_cap,MATCH(BT2181,hd_mark,0),0),0)</f>
        <v>0</v>
      </c>
      <c r="BS2181" s="19"/>
      <c r="BT2181" s="19"/>
      <c r="BU2181" s="100"/>
    </row>
    <row r="2182" x14ac:dyDescent="0.25">
      <c r="P2182" s="93"/>
      <c r="Q2182" s="109"/>
      <c r="R2182" t="str">
        <f>$Q$2070</f>
        <v>L3</v>
      </c>
      <c r="S2182">
        <f>$E$22</f>
        <v>21.375</v>
      </c>
      <c r="T2182" cm="1">
        <f t="array" ref="T2182">IFERROR(IF(S2182=0,0,(INDEX($C$33:$C$38,MATCH($W$2092,$B$33:$B$38,0),0)*(S2185+$X$2092)+$T$2092*COUNTIF(S2182:S2184,"&gt;0")*$C$32+$V$2092*$C$31)*$R$2092),0)</f>
        <v>0</v>
      </c>
      <c r="U2182">
        <f>IF(S2182=0,0,-(COUNTIF(S2182:S2184,"&gt;0")*$T$2092*$C$32+$V$2092*$C$31)*$H$27*$R$2092)</f>
        <v>0</v>
      </c>
      <c r="V2182">
        <f>IF(S2182=0,0,$V$2092*$H$26*$R$2092)</f>
        <v>0</v>
      </c>
      <c r="W2182">
        <f>(0.6*T2182+0.7*U2182)*$R$2092/2</f>
        <v>0</v>
      </c>
      <c r="X2182">
        <f>T2182*$R$2092/2</f>
        <v>0</v>
      </c>
      <c r="Z2182">
        <f>IF(S2182=0,0,$AD$2092*$AP$2070)</f>
        <v>0</v>
      </c>
      <c r="AA2182">
        <f>IFERROR(Z2182/$R$2092,0)</f>
        <v>0</v>
      </c>
      <c r="AB2182">
        <f>Z2182*($F$22+IF($F$22=0,0,($C$14+$C$15+IF($C$13="single",1.5,3)+3)/12))</f>
        <v>0</v>
      </c>
      <c r="AC2182">
        <f>AB2182-W2182</f>
        <v>0</v>
      </c>
      <c r="AD2182" cm="1">
        <f t="array" ref="AD2182">IFERROR(IF(AC2182&lt;0,0,AC2182/($R$2092-INDEX(hd_off,MATCH(AQ2182,hd_mark,0),0)/12)),0)</f>
        <v>0</v>
      </c>
      <c r="AE2182">
        <f>IF(S2182=0,0,$AD$2092*$AM$2070)</f>
        <v>0</v>
      </c>
      <c r="AF2182">
        <f>IFERROR(AE2182/$R$2092,0)</f>
        <v>0</v>
      </c>
      <c r="AG2182">
        <f>AE2182*($F$22+IF($F$22=0,0,($C$14+$C$15+IF($C$13="single",1.5,3)+3)/12))</f>
        <v>0</v>
      </c>
      <c r="AH2182">
        <f>AG2182-X2182</f>
        <v>0</v>
      </c>
      <c r="AI2182" cm="1">
        <f t="array" ref="AI2182">IFERROR(IF(AH2182&lt;0,0,AH2182/($R$2092-INDEX(hd_off,MATCH(AQ2182,hd_mark,0),0)/12)),0)</f>
        <v>0</v>
      </c>
      <c r="AJ2182">
        <f>MAX($F$22,$Z$2092)/$Q$2100</f>
        <v>0.30172413793103448</v>
      </c>
      <c r="AK2182">
        <f t="shared" ref="AK2182:AK2185" si="1339">IF(AJ2182=0,0,IF(AJ2182&gt;2,1.25-0.125*AJ2182,1))</f>
        <v>1</v>
      </c>
      <c r="AL2182" cm="1">
        <f t="array" ref="AL2182">IFERROR(INDEX(sheath_ecap_asd,MATCH(AP2182,sheath_mark,0),0)*AK2182,0)</f>
        <v>0</v>
      </c>
      <c r="AM2182" cm="1">
        <f t="array" ref="AM2182">IFERROR(INDEX(sheath_wcap_asd,MATCH(AP2182,sheath_mark,0),0)*AK2182,0)</f>
        <v>0</v>
      </c>
      <c r="AN2182" cm="1">
        <f t="array" ref="AN2182">IFERROR(INDEX(hd_cap,MATCH(AQ2182,hd_mark,0),0),0)</f>
        <v>0</v>
      </c>
      <c r="AP2182" s="19"/>
      <c r="AQ2182" s="19"/>
      <c r="AR2182" s="100"/>
      <c r="AS2182" s="93"/>
      <c r="AT2182" s="109"/>
      <c r="AU2182" t="str">
        <f>$Q$2070</f>
        <v>L3</v>
      </c>
      <c r="AV2182">
        <f>$E$22</f>
        <v>21.375</v>
      </c>
      <c r="AW2182" cm="1">
        <f t="array" ref="AW2182">IFERROR(IF(AV2182=0,0,(INDEX($C$33:$C$38,MATCH($AZ$2092,$B$33:$B$38,0),0)*(AV2185+$BA$2092)+$AW$2092*COUNTIF(AV2182:AV2184,"&gt;0")*$C$32+$AY$2092*$C$31)*$AU$2092),0)</f>
        <v>0</v>
      </c>
      <c r="AX2182">
        <f>IF(AV2182=0,0,-(COUNTIF(AV2182:AV2184,"&gt;0")*$AW$2092*$C$32+$AY$2092*$C$31)*$H$27*$AU$2092)</f>
        <v>0</v>
      </c>
      <c r="AY2182">
        <f>IF(AV2182=0,0,$AY$2092*$H$26*$AU$2092)</f>
        <v>0</v>
      </c>
      <c r="AZ2182">
        <f>(0.6*AW2182+0.7*AX2182)*$AU$2092/2</f>
        <v>0</v>
      </c>
      <c r="BA2182">
        <f>AW2182*$AU$2092/2</f>
        <v>0</v>
      </c>
      <c r="BC2182">
        <f>IF(AV2182=0,0,$BG$2092*$AP$2070)</f>
        <v>0</v>
      </c>
      <c r="BD2182">
        <f>IFERROR(BC2182/$AU$2092,0)</f>
        <v>0</v>
      </c>
      <c r="BE2182">
        <f>BC2182*($F$22+IF($F$22=0,0,($C$14+$C$15+IF($C$13="single",1.5,3)+3)/12))</f>
        <v>0</v>
      </c>
      <c r="BF2182">
        <f>BE2182-AZ2182</f>
        <v>0</v>
      </c>
      <c r="BG2182" cm="1">
        <f t="array" ref="BG2182">IFERROR(IF(BF2182&lt;0,0,BF2182/($AU$2092-INDEX(hd_off,MATCH(BT2182,hd_mark,0),0)/12)),0)</f>
        <v>0</v>
      </c>
      <c r="BH2182">
        <f>IF(AV2182=0,0,$BG$2092*$AM$2070)</f>
        <v>0</v>
      </c>
      <c r="BI2182">
        <f>IFERROR(BH2182/$AU$2092,0)</f>
        <v>0</v>
      </c>
      <c r="BJ2182">
        <f>BH2182*($F$22+IF($F$22=0,0,($C$14+$C$15+IF($C$13="single",1.5,3)+3)/12))</f>
        <v>0</v>
      </c>
      <c r="BK2182">
        <f>BJ2182-BA2182</f>
        <v>0</v>
      </c>
      <c r="BL2182" cm="1">
        <f t="array" ref="BL2182">IFERROR(IF(BK2182&lt;0,0,BK2182/($AU$2092-INDEX(hd_off,MATCH(BT2182,hd_mark,0),0)/12)),0)</f>
        <v>0</v>
      </c>
      <c r="BM2182">
        <f>MAX($F$22,$BC$2092)/$Q$2100</f>
        <v>0.30172413793103448</v>
      </c>
      <c r="BN2182">
        <f t="shared" ref="BN2182:BN2185" si="1340">IF(BM2182=0,0,IF(BM2182&gt;2,1.25-0.125*BM2182,1))</f>
        <v>1</v>
      </c>
      <c r="BO2182" cm="1">
        <f t="array" ref="BO2182">IFERROR(INDEX(sheath_ecap_asd,MATCH(BS2182,sheath_mark,0),0)*BN2182,0)</f>
        <v>0</v>
      </c>
      <c r="BP2182" cm="1">
        <f t="array" ref="BP2182">IFERROR(INDEX(sheath_wcap_asd,MATCH(BS2182,sheath_mark,0),0)*BN2182,0)</f>
        <v>0</v>
      </c>
      <c r="BQ2182" cm="1">
        <f t="array" ref="BQ2182">IFERROR(INDEX(hd_cap,MATCH(BT2182,hd_mark,0),0),0)</f>
        <v>0</v>
      </c>
      <c r="BS2182" s="19"/>
      <c r="BT2182" s="19"/>
      <c r="BU2182" s="100"/>
    </row>
    <row r="2183" x14ac:dyDescent="0.25">
      <c r="P2183" s="93"/>
      <c r="Q2183" s="109" t="s">
        <v>491</v>
      </c>
      <c r="R2183" t="str">
        <f>$Q$2071</f>
        <v>L4</v>
      </c>
      <c r="S2183">
        <f>$E$23</f>
        <v>0</v>
      </c>
      <c r="T2183" cm="1">
        <f t="array" ref="T2183">IFERROR(IF(S2183=0,0,(INDEX($C$33:$C$38,MATCH($W$2092,$B$33:$B$38,0),0)*(S2185+$X$2092)+$T$2092*COUNTIF(S2183:S2184,"&gt;0")*$C$32+$V$2092*$C$31)*$R$2092),0)</f>
        <v>0</v>
      </c>
      <c r="U2183">
        <f>IF(S2183=0,0,-(COUNTIF(S2183:S2184,"&gt;0")*$T$2092*$C$32+$V$2092*$C$31)*$H$27*$R$2092)</f>
        <v>0</v>
      </c>
      <c r="V2183">
        <f>IF(S2183=0,0,$V$2092*$H$26*$R$2092)</f>
        <v>0</v>
      </c>
      <c r="W2183">
        <f>(0.6*T2183+0.7*U2183)*$R$2092/2</f>
        <v>0</v>
      </c>
      <c r="X2183">
        <f>T2183*$R$2092/2</f>
        <v>0</v>
      </c>
      <c r="Z2183">
        <f>IF(S2183=0,0,$AD$2092*$AP$2071)</f>
        <v>0</v>
      </c>
      <c r="AA2183">
        <f>IFERROR(Z2183/$R$2092,0)</f>
        <v>0</v>
      </c>
      <c r="AB2183">
        <f>Z2183*($F$23+IF($F$23=0,0,($C$14+$C$15+IF($C$13="single",1.5,3)+3)/12))</f>
        <v>0</v>
      </c>
      <c r="AC2183">
        <f>AB2183-W2183</f>
        <v>0</v>
      </c>
      <c r="AD2183" cm="1">
        <f t="array" ref="AD2183">IFERROR(IF(AC2183&lt;0,0,AC2183/($R$2092-INDEX(hd_off,MATCH(AQ2183,hd_mark,0),0)/12)),0)</f>
        <v>0</v>
      </c>
      <c r="AE2183">
        <f>IF(S2183=0,0,$AD$2092*$AM$2071)</f>
        <v>0</v>
      </c>
      <c r="AF2183">
        <f>IFERROR(AE2183/$R$2092,0)</f>
        <v>0</v>
      </c>
      <c r="AG2183">
        <f>AE2183*($F$23+IF($F$23=0,0,($C$14+$C$15+IF($C$13="single",1.5,3)+3)/12))</f>
        <v>0</v>
      </c>
      <c r="AH2183">
        <f>AG2183-X2183</f>
        <v>0</v>
      </c>
      <c r="AI2183" cm="1">
        <f t="array" ref="AI2183">IFERROR(IF(AH2183&lt;0,0,AH2183/($R$2092-INDEX(hd_off,MATCH(AQ2183,hd_mark,0),0)/12)),0)</f>
        <v>0</v>
      </c>
      <c r="AJ2183">
        <f>MAX($F$23,$AA$2092)/$Q$2100</f>
        <v>0</v>
      </c>
      <c r="AK2183">
        <f t="shared" si="1339"/>
        <v>0</v>
      </c>
      <c r="AL2183" cm="1">
        <f t="array" ref="AL2183">IFERROR(INDEX(sheath_ecap_asd,MATCH(AP2183,sheath_mark,0),0)*AK2183,0)</f>
        <v>0</v>
      </c>
      <c r="AM2183" cm="1">
        <f t="array" ref="AM2183">IFERROR(INDEX(sheath_wcap_asd,MATCH(AP2183,sheath_mark,0),0)*AK2183,0)</f>
        <v>0</v>
      </c>
      <c r="AN2183" cm="1">
        <f t="array" ref="AN2183">IFERROR(INDEX(hd_cap,MATCH(AQ2183,hd_mark,0),0),0)</f>
        <v>0</v>
      </c>
      <c r="AP2183" s="19"/>
      <c r="AQ2183" s="19"/>
      <c r="AR2183" s="100"/>
      <c r="AS2183" s="93"/>
      <c r="AT2183" s="109" t="s">
        <v>491</v>
      </c>
      <c r="AU2183" t="str">
        <f>$Q$2071</f>
        <v>L4</v>
      </c>
      <c r="AV2183">
        <f>$E$23</f>
        <v>0</v>
      </c>
      <c r="AW2183" cm="1">
        <f t="array" ref="AW2183">IFERROR(IF(AV2183=0,0,(INDEX($C$33:$C$38,MATCH($AZ$2092,$B$33:$B$38,0),0)*(AV2185+$BA$2092)+$AW$2092*COUNTIF(AV2183:AV2184,"&gt;0")*$C$32+$AY$2092*$C$31)*$AU$2092),0)</f>
        <v>0</v>
      </c>
      <c r="AX2183">
        <f>IF(AV2183=0,0,-(COUNTIF(AV2183:AV2184,"&gt;0")*$AW$2092*$C$32+$AY$2092*$C$31)*$H$27*$AU$2092)</f>
        <v>0</v>
      </c>
      <c r="AY2183">
        <f>IF(AV2183=0,0,$AY$2092*$H$26*$AU$2092)</f>
        <v>0</v>
      </c>
      <c r="AZ2183">
        <f>(0.6*AW2183+0.7*AX2183)*$AU$2092/2</f>
        <v>0</v>
      </c>
      <c r="BA2183">
        <f>AW2183*$AU$2092/2</f>
        <v>0</v>
      </c>
      <c r="BC2183">
        <f>IF(AV2183=0,0,$BG$2092*$AP$2071)</f>
        <v>0</v>
      </c>
      <c r="BD2183">
        <f>IFERROR(BC2183/$AU$2092,0)</f>
        <v>0</v>
      </c>
      <c r="BE2183">
        <f>BC2183*($F$23+IF($F$23=0,0,($C$14+$C$15+IF($C$13="single",1.5,3)+3)/12))</f>
        <v>0</v>
      </c>
      <c r="BF2183">
        <f>BE2183-AZ2183</f>
        <v>0</v>
      </c>
      <c r="BG2183" cm="1">
        <f t="array" ref="BG2183">IFERROR(IF(BF2183&lt;0,0,BF2183/($AU$2092-INDEX(hd_off,MATCH(BT2183,hd_mark,0),0)/12)),0)</f>
        <v>0</v>
      </c>
      <c r="BH2183">
        <f>IF(AV2183=0,0,$BG$2092*$AM$2071)</f>
        <v>0</v>
      </c>
      <c r="BI2183">
        <f>IFERROR(BH2183/$AU$2092,0)</f>
        <v>0</v>
      </c>
      <c r="BJ2183">
        <f>BH2183*($F$23+IF($F$23=0,0,($C$14+$C$15+IF($C$13="single",1.5,3)+3)/12))</f>
        <v>0</v>
      </c>
      <c r="BK2183">
        <f>BJ2183-BA2183</f>
        <v>0</v>
      </c>
      <c r="BL2183" cm="1">
        <f t="array" ref="BL2183">IFERROR(IF(BK2183&lt;0,0,BK2183/($AU$2092-INDEX(hd_off,MATCH(BT2183,hd_mark,0),0)/12)),0)</f>
        <v>0</v>
      </c>
      <c r="BM2183">
        <f>MAX($F$23,$BD$2092)/$Q$2100</f>
        <v>0</v>
      </c>
      <c r="BN2183">
        <f t="shared" si="1340"/>
        <v>0</v>
      </c>
      <c r="BO2183" cm="1">
        <f t="array" ref="BO2183">IFERROR(INDEX(sheath_ecap_asd,MATCH(BS2183,sheath_mark,0),0)*BN2183,0)</f>
        <v>0</v>
      </c>
      <c r="BP2183" cm="1">
        <f t="array" ref="BP2183">IFERROR(INDEX(sheath_wcap_asd,MATCH(BS2183,sheath_mark,0),0)*BN2183,0)</f>
        <v>0</v>
      </c>
      <c r="BQ2183" cm="1">
        <f t="array" ref="BQ2183">IFERROR(INDEX(hd_cap,MATCH(BT2183,hd_mark,0),0),0)</f>
        <v>0</v>
      </c>
      <c r="BS2183" s="19"/>
      <c r="BT2183" s="19"/>
      <c r="BU2183" s="100"/>
    </row>
    <row r="2184" x14ac:dyDescent="0.25">
      <c r="P2184" s="93"/>
      <c r="Q2184" s="111">
        <f>$R$2092</f>
        <v>0</v>
      </c>
      <c r="R2184" t="str">
        <f>$Q$2072</f>
        <v>L5</v>
      </c>
      <c r="S2184">
        <f>$E$24</f>
        <v>0</v>
      </c>
      <c r="T2184" cm="1">
        <f t="array" ref="T2184">IFERROR(IF(S2184=0,0,(INDEX($C$33:$C$38,MATCH($W$2092,$B$33:$B$38,0),0)*(S2185+$X$2092)+$T$2092*COUNTIF(S2184:S2184,"&gt;0")*$C$32+$V$2092*$C$31)*$R$2092),0)</f>
        <v>0</v>
      </c>
      <c r="U2184">
        <f>IF(S2184=0,0,-(COUNTIF(S2184:S2184,"&gt;0")*$T$2092*$C$32+$V$2092*$C$31)*$H$27*$R$2092)</f>
        <v>0</v>
      </c>
      <c r="V2184">
        <f>IF(S2184=0,0,$V$2092*$H$26*$R$2092)</f>
        <v>0</v>
      </c>
      <c r="W2184">
        <f>(0.6*T2184+0.7*U2184)*$R$2092/2</f>
        <v>0</v>
      </c>
      <c r="X2184">
        <f>T2184*$R$2092/2</f>
        <v>0</v>
      </c>
      <c r="Z2184">
        <f>IF(S2184=0,0,$AD$2092*$AP$2072)</f>
        <v>0</v>
      </c>
      <c r="AA2184">
        <f>IFERROR(Z2184/$R$2092,0)</f>
        <v>0</v>
      </c>
      <c r="AB2184">
        <f>Z2184*($F$24+IF($F$24=0,0,($C$14+$C$15+IF($C$13="single",1.5,3)+3)/12))</f>
        <v>0</v>
      </c>
      <c r="AC2184">
        <f>AB2184-W2184</f>
        <v>0</v>
      </c>
      <c r="AD2184" cm="1">
        <f t="array" ref="AD2184">IFERROR(IF(AC2184&lt;0,0,AC2184/($R$2092-INDEX(hd_off,MATCH(AQ2184,hd_mark,0),0)/12)),0)</f>
        <v>0</v>
      </c>
      <c r="AE2184">
        <f>IF(S2184=0,0,$AD$2092*$AM$2072)</f>
        <v>0</v>
      </c>
      <c r="AF2184">
        <f>IFERROR(AE2184/$R$2092,0)</f>
        <v>0</v>
      </c>
      <c r="AG2184">
        <f>AE2184*($F$24+IF($F$24=0,0,($C$14+$C$15+IF($C$13="single",1.5,3)+3)/12))</f>
        <v>0</v>
      </c>
      <c r="AH2184">
        <f>AG2184-X2184</f>
        <v>0</v>
      </c>
      <c r="AI2184" cm="1">
        <f t="array" ref="AI2184">IFERROR(IF(AH2184&lt;0,0,AH2184/($R$2092-INDEX(hd_off,MATCH(AQ2184,hd_mark,0),0)/12)),0)</f>
        <v>0</v>
      </c>
      <c r="AJ2184">
        <f>MAX($F$24,$AB$2092)/$Q$2100</f>
        <v>0</v>
      </c>
      <c r="AK2184">
        <f t="shared" si="1339"/>
        <v>0</v>
      </c>
      <c r="AL2184" cm="1">
        <f t="array" ref="AL2184">IFERROR(INDEX(sheath_ecap_asd,MATCH(AP2184,sheath_mark,0),0)*AK2184,0)</f>
        <v>0</v>
      </c>
      <c r="AM2184" cm="1">
        <f t="array" ref="AM2184">IFERROR(INDEX(sheath_wcap_asd,MATCH(AP2184,sheath_mark,0),0)*AK2184,0)</f>
        <v>0</v>
      </c>
      <c r="AN2184" cm="1">
        <f t="array" ref="AN2184">IFERROR(INDEX(hd_cap,MATCH(AQ2184,hd_mark,0),0),0)</f>
        <v>0</v>
      </c>
      <c r="AP2184" s="19"/>
      <c r="AQ2184" s="19"/>
      <c r="AR2184" s="100"/>
      <c r="AS2184" s="93"/>
      <c r="AT2184" s="111">
        <f>$R$2092</f>
        <v>0</v>
      </c>
      <c r="AU2184" t="str">
        <f>$Q$2072</f>
        <v>L5</v>
      </c>
      <c r="AV2184">
        <f>$E$24</f>
        <v>0</v>
      </c>
      <c r="AW2184" cm="1">
        <f t="array" ref="AW2184">IFERROR(IF(AV2184=0,0,(INDEX($C$33:$C$38,MATCH($AZ$2092,$B$33:$B$38,0),0)*(AV2185+$BA$2092)+$AW$2092*COUNTIF(AV2184:AV2184,"&gt;0")*$C$32+$AY$2092*$C$31)*$AU$2092),0)</f>
        <v>0</v>
      </c>
      <c r="AX2184">
        <f>IF(AV2184=0,0,-(COUNTIF(AV2184:AV2184,"&gt;0")*$AW$2092*$C$32+$AY$2092*$C$31)*$H$27*$AU$2092)</f>
        <v>0</v>
      </c>
      <c r="AY2184">
        <f>IF(AV2184=0,0,$AY$2092*$H$26*$AU$2092)</f>
        <v>0</v>
      </c>
      <c r="AZ2184">
        <f>(0.6*AW2184+0.7*AX2184)*$AU$2092/2</f>
        <v>0</v>
      </c>
      <c r="BA2184">
        <f>AW2184*$AU$2092/2</f>
        <v>0</v>
      </c>
      <c r="BC2184">
        <f>IF(AV2184=0,0,$BG$2092*$AP$2072)</f>
        <v>0</v>
      </c>
      <c r="BD2184">
        <f>IFERROR(BC2184/$AU$2092,0)</f>
        <v>0</v>
      </c>
      <c r="BE2184">
        <f>BC2184*($F$24+IF($F$24=0,0,($C$14+$C$15+IF($C$13="single",1.5,3)+3)/12))</f>
        <v>0</v>
      </c>
      <c r="BF2184">
        <f>BE2184-AZ2184</f>
        <v>0</v>
      </c>
      <c r="BG2184" cm="1">
        <f t="array" ref="BG2184">IFERROR(IF(BF2184&lt;0,0,BF2184/($AU$2092-INDEX(hd_off,MATCH(BT2184,hd_mark,0),0)/12)),0)</f>
        <v>0</v>
      </c>
      <c r="BH2184">
        <f>IF(AV2184=0,0,$BG$2092*$AM$2072)</f>
        <v>0</v>
      </c>
      <c r="BI2184">
        <f>IFERROR(BH2184/$AU$2092,0)</f>
        <v>0</v>
      </c>
      <c r="BJ2184">
        <f>BH2184*($F$24+IF($F$24=0,0,($C$14+$C$15+IF($C$13="single",1.5,3)+3)/12))</f>
        <v>0</v>
      </c>
      <c r="BK2184">
        <f>BJ2184-BA2184</f>
        <v>0</v>
      </c>
      <c r="BL2184" cm="1">
        <f t="array" ref="BL2184">IFERROR(IF(BK2184&lt;0,0,BK2184/($AU$2092-INDEX(hd_off,MATCH(BT2184,hd_mark,0),0)/12)),0)</f>
        <v>0</v>
      </c>
      <c r="BM2184">
        <f>MAX($F$24,$BE$2092)/$Q$2100</f>
        <v>0</v>
      </c>
      <c r="BN2184">
        <f t="shared" si="1340"/>
        <v>0</v>
      </c>
      <c r="BO2184" cm="1">
        <f t="array" ref="BO2184">IFERROR(INDEX(sheath_ecap_asd,MATCH(BS2184,sheath_mark,0),0)*BN2184,0)</f>
        <v>0</v>
      </c>
      <c r="BP2184" cm="1">
        <f t="array" ref="BP2184">IFERROR(INDEX(sheath_wcap_asd,MATCH(BS2184,sheath_mark,0),0)*BN2184,0)</f>
        <v>0</v>
      </c>
      <c r="BQ2184" cm="1">
        <f t="array" ref="BQ2184">IFERROR(INDEX(hd_cap,MATCH(BT2184,hd_mark,0),0),0)</f>
        <v>0</v>
      </c>
      <c r="BS2184" s="19"/>
      <c r="BT2184" s="19"/>
      <c r="BU2184" s="100"/>
    </row>
    <row r="2185" x14ac:dyDescent="0.25">
      <c r="P2185" s="93"/>
      <c r="Q2185" s="109"/>
      <c r="R2185" t="str">
        <f>$Q$2073</f>
        <v>Roof</v>
      </c>
      <c r="S2185">
        <f>$E$25</f>
        <v>33.171875</v>
      </c>
      <c r="T2185" cm="1">
        <f t="array" ref="T2185">IFERROR(IF(S2185=0,0,(INDEX($C$33:$C$38,MATCH($W$2092,$B$33:$B$38,0),0)*(S2185+$X$2092)+$V$2092*$C$31)*$R$2092),0)</f>
        <v>0</v>
      </c>
      <c r="U2185">
        <f>IF(S2185=0,0,-$V$2092*$C$31*$H$27*$R$2092)</f>
        <v>0</v>
      </c>
      <c r="V2185">
        <f>IF(S2185=0,0,$V$2092*$H$26*$R$2092)</f>
        <v>0</v>
      </c>
      <c r="W2185">
        <f>(0.6*T2185+0.7*U2185)*$R$2092/2</f>
        <v>0</v>
      </c>
      <c r="X2185">
        <f>T2185*$R$2092/2</f>
        <v>0</v>
      </c>
      <c r="Z2185">
        <f>IF(S2185=0,0,$AD$2092*$AP$2073)</f>
        <v>0</v>
      </c>
      <c r="AA2185">
        <f>IFERROR(Z2185/$R$2092,0)</f>
        <v>0</v>
      </c>
      <c r="AB2185">
        <f>Z2185*($F$25+($C$16+$C$17+IF($C$13="single",1.5,3)+3)/12)</f>
        <v>0</v>
      </c>
      <c r="AC2185">
        <f>AB2185-W2185</f>
        <v>0</v>
      </c>
      <c r="AD2185" cm="1">
        <f t="array" ref="AD2185">IFERROR(IF(AC2185&lt;0,0,AC2185/($R$2092-INDEX(hd_off,MATCH(AQ2185,hd_mark,0),0)/12)),0)</f>
        <v>0</v>
      </c>
      <c r="AE2185">
        <f>IF(S2185=0,0,$AD$2092*$AM$2073)</f>
        <v>0</v>
      </c>
      <c r="AF2185">
        <f>IFERROR(AE2185/$R$2092,0)</f>
        <v>0</v>
      </c>
      <c r="AG2185">
        <f>AE2185*($F$25+($C$16+$C$17+IF($C$13="single",1.5,3)+3)/12)</f>
        <v>0</v>
      </c>
      <c r="AH2185">
        <f>AG2185-X2185</f>
        <v>0</v>
      </c>
      <c r="AI2185" cm="1">
        <f t="array" ref="AI2185">IFERROR(IF(AH2185&lt;0,0,AH2185/($R$2092-INDEX(hd_off,MATCH(AQ2185,hd_mark,0),0)/12)),0)</f>
        <v>0</v>
      </c>
      <c r="AJ2185">
        <f>MAX($F$25,$AC$2092)/$Q$2100</f>
        <v>0.29920977011494249</v>
      </c>
      <c r="AK2185">
        <f t="shared" si="1339"/>
        <v>1</v>
      </c>
      <c r="AL2185" cm="1">
        <f t="array" ref="AL2185">IFERROR(INDEX(sheath_ecap_asd,MATCH(AP2185,sheath_mark,0),0)*AK2185,0)</f>
        <v>0</v>
      </c>
      <c r="AM2185" cm="1">
        <f t="array" ref="AM2185">IFERROR(INDEX(sheath_wcap_asd,MATCH(AP2185,sheath_mark,0),0)*AK2185,0)</f>
        <v>0</v>
      </c>
      <c r="AN2185" cm="1">
        <f t="array" ref="AN2185">IFERROR(INDEX(hd_cap,MATCH(AQ2185,hd_mark,0),0),0)</f>
        <v>0</v>
      </c>
      <c r="AP2185" s="19"/>
      <c r="AQ2185" s="19"/>
      <c r="AR2185" s="100"/>
      <c r="AS2185" s="93"/>
      <c r="AT2185" s="109"/>
      <c r="AU2185" t="str">
        <f>$Q$2073</f>
        <v>Roof</v>
      </c>
      <c r="AV2185">
        <f>$E$25</f>
        <v>33.171875</v>
      </c>
      <c r="AW2185" cm="1">
        <f t="array" ref="AW2185">IFERROR(IF(AV2185=0,0,(INDEX($C$33:$C$38,MATCH($AZ$2092,$B$33:$B$38,0),0)*(AV2185+$BA$2092)+$AY$2092*$C$31)*$AU$2092),0)</f>
        <v>0</v>
      </c>
      <c r="AX2185">
        <f>IF(AV2185=0,0,-$AY$2092*$C$31*$H$27*$AU$2092)</f>
        <v>0</v>
      </c>
      <c r="AY2185">
        <f>IF(AV2185=0,0,$AY$2092*$H$26*$AU$2092)</f>
        <v>0</v>
      </c>
      <c r="AZ2185">
        <f>(0.6*AW2185+0.7*AX2185)*$AU$2092/2</f>
        <v>0</v>
      </c>
      <c r="BA2185">
        <f>AW2185*$AU$2092/2</f>
        <v>0</v>
      </c>
      <c r="BC2185">
        <f>IF(AV2185=0,0,$BG$2092*$AP$2073)</f>
        <v>0</v>
      </c>
      <c r="BD2185">
        <f>IFERROR(BC2185/$AU$2092,0)</f>
        <v>0</v>
      </c>
      <c r="BE2185">
        <f>BC2185*($F$25+($C$16+$C$17+IF($C$13="single",1.5,3)+3)/12)</f>
        <v>0</v>
      </c>
      <c r="BF2185">
        <f>BE2185-AZ2185</f>
        <v>0</v>
      </c>
      <c r="BG2185" cm="1">
        <f t="array" ref="BG2185">IFERROR(IF(BF2185&lt;0,0,BF2185/($AU$2092-INDEX(hd_off,MATCH(BT2185,hd_mark,0),0)/12)),0)</f>
        <v>0</v>
      </c>
      <c r="BH2185">
        <f>IF(AV2185=0,0,$BG$2092*$AM$2073)</f>
        <v>0</v>
      </c>
      <c r="BI2185">
        <f>IFERROR(BH2185/$AU$2092,0)</f>
        <v>0</v>
      </c>
      <c r="BJ2185">
        <f>BH2185*($F$25+($C$16+$C$17+IF($C$13="single",1.5,3)+3)/12)</f>
        <v>0</v>
      </c>
      <c r="BK2185">
        <f>BJ2185-BA2185</f>
        <v>0</v>
      </c>
      <c r="BL2185" cm="1">
        <f t="array" ref="BL2185">IFERROR(IF(BK2185&lt;0,0,BK2185/($AU$2092-INDEX(hd_off,MATCH(BT2185,hd_mark,0),0)/12)),0)</f>
        <v>0</v>
      </c>
      <c r="BM2185">
        <f>MAX($F$25,$BF$2092)/$Q$2100</f>
        <v>0.29920977011494249</v>
      </c>
      <c r="BN2185">
        <f t="shared" si="1340"/>
        <v>1</v>
      </c>
      <c r="BO2185" cm="1">
        <f t="array" ref="BO2185">IFERROR(INDEX(sheath_ecap_asd,MATCH(BS2185,sheath_mark,0),0)*BN2185,0)</f>
        <v>0</v>
      </c>
      <c r="BP2185" cm="1">
        <f t="array" ref="BP2185">IFERROR(INDEX(sheath_wcap_asd,MATCH(BS2185,sheath_mark,0),0)*BN2185,0)</f>
        <v>0</v>
      </c>
      <c r="BQ2185" cm="1">
        <f t="array" ref="BQ2185">IFERROR(INDEX(hd_cap,MATCH(BT2185,hd_mark,0),0),0)</f>
        <v>0</v>
      </c>
      <c r="BS2185" s="19"/>
      <c r="BT2185" s="19"/>
      <c r="BU2185" s="100"/>
    </row>
    <row r="2186" x14ac:dyDescent="0.25">
      <c r="P2186" s="93"/>
      <c r="AR2186" s="100"/>
      <c r="AS2186" s="93"/>
      <c r="BU2186" s="100"/>
    </row>
    <row r="2187" x14ac:dyDescent="0.25">
      <c r="P2187" s="93"/>
      <c r="Q2187" s="110" t="str">
        <f>$Q$2093</f>
        <v>A.16</v>
      </c>
      <c r="R2187" t="str">
        <f>$Q$2069</f>
        <v>L2</v>
      </c>
      <c r="S2187">
        <f>$E$21</f>
        <v>10.6875</v>
      </c>
      <c r="T2187" cm="1">
        <f t="array" ref="T2187">IFERROR(IF(S2187=0,0,(INDEX($C$33:$C$38,MATCH($W$2093,$B$33:$B$38,0),0)*(S2191+$X$2093)+$T$2093*COUNTIF(S2187:S2190,"&gt;0")*$C$32+$V$2093*$C$31)*$R$2093),0)</f>
        <v>0</v>
      </c>
      <c r="U2187">
        <f>IF(S2187=0,0,-(COUNTIF(S2187:S2190,"&gt;0")*$T$2093*$C$32+$V$2093*$C$31)*$H$27*$R$2093)</f>
        <v>0</v>
      </c>
      <c r="V2187">
        <f>IF(S2187=0,0,$V$2093*$H$26*$R$2093)</f>
        <v>0</v>
      </c>
      <c r="W2187">
        <f>(0.6*T2187+0.7*U2187)*$R$2093/2</f>
        <v>0</v>
      </c>
      <c r="X2187">
        <f>(0.6*T2187+0.6*V2187)*$R$2093/2</f>
        <v>0</v>
      </c>
      <c r="Z2187">
        <f>IF(S2187=0,0,$AD$2093*$AP$2069)</f>
        <v>0</v>
      </c>
      <c r="AA2187">
        <f>IFERROR(Z2187/$R$2093,0)</f>
        <v>0</v>
      </c>
      <c r="AB2187">
        <f>Z2187*($F$21+IF($F$21=0,0,($C$14+$C$15+IF($C$13="single",1.5,3)+3)/12))</f>
        <v>0</v>
      </c>
      <c r="AC2187">
        <f>AB2187-W2187</f>
        <v>0</v>
      </c>
      <c r="AD2187" cm="1">
        <f t="array" ref="AD2187">IFERROR(IF(AC2187&lt;0,0,AC2187/($R$2093-INDEX(hd_off,MATCH(AQ2187,hd_mark,0),0)/12)),0)</f>
        <v>0</v>
      </c>
      <c r="AE2187">
        <f>IF(S2187=0,0,$AD$2093*$AM$2069)</f>
        <v>0</v>
      </c>
      <c r="AF2187">
        <f>IFERROR(AE2187/$R$2093,0)</f>
        <v>0</v>
      </c>
      <c r="AG2187">
        <f>AE2187*($F$21+IF($F$21=0,0,($C$14+$C$15+IF($C$13="single",1.5,3)+3)/12))</f>
        <v>0</v>
      </c>
      <c r="AH2187">
        <f>AG2187-X2187</f>
        <v>0</v>
      </c>
      <c r="AI2187" cm="1">
        <f t="array" ref="AI2187">IFERROR(IF(AH2187&lt;0,0,AH2187/($R$2093-INDEX(hd_off,MATCH(AQ2187,hd_mark,0),0)/12)),0)</f>
        <v>0</v>
      </c>
      <c r="AJ2187">
        <f>MAX($F$21,$Y$2093)/$Q$2100</f>
        <v>0.30172413793103448</v>
      </c>
      <c r="AK2187">
        <f>IF(AJ2187=0,0,IF(AJ2187&gt;2,1.25-0.125*AJ2187,1))</f>
        <v>1</v>
      </c>
      <c r="AL2187" cm="1">
        <f t="array" ref="AL2187">IFERROR(INDEX(sheath_ecap_asd,MATCH(AP2187,sheath_mark,0),0)*AK2187,0)</f>
        <v>0</v>
      </c>
      <c r="AM2187" cm="1">
        <f t="array" ref="AM2187">IFERROR(INDEX(sheath_wcap_asd,MATCH(AP2187,sheath_mark,0),0)*AK2187,0)</f>
        <v>0</v>
      </c>
      <c r="AN2187" cm="1">
        <f t="array" ref="AN2187">IFERROR(INDEX(hd_cap,MATCH(AQ2187,hd_mark,0),0),0)</f>
        <v>0</v>
      </c>
      <c r="AP2187" s="19"/>
      <c r="AQ2187" s="19"/>
      <c r="AR2187" s="100"/>
      <c r="AS2187" s="93"/>
      <c r="AT2187" s="110" t="str">
        <f>$AT$2093</f>
        <v>1.16</v>
      </c>
      <c r="AU2187" t="str">
        <f>$Q$2069</f>
        <v>L2</v>
      </c>
      <c r="AV2187">
        <f>$E$21</f>
        <v>10.6875</v>
      </c>
      <c r="AW2187" cm="1">
        <f t="array" ref="AW2187">IFERROR(IF(AV2187=0,0,(INDEX($C$33:$C$38,MATCH($AZ$2093,$B$33:$B$38,0),0)*(AV2191+$BA$2093)+$AW$2093*COUNTIF(AV2187:AV2190,"&gt;0")*$C$32+$AY$2093*$C$31)*$AU$2093),0)</f>
        <v>0</v>
      </c>
      <c r="AX2187">
        <f>IF(AV2187=0,0,-(COUNTIF(AV2187:AV2190,"&gt;0")*$AW$2093*$C$32+$AY$2093*$C$31)*$H$27*$AU$2093)</f>
        <v>0</v>
      </c>
      <c r="AY2187">
        <f>IF(AV2187=0,0,$AY$2093*$H$26*$AU$2093)</f>
        <v>0</v>
      </c>
      <c r="AZ2187">
        <f>(0.6*AW2187+0.7*AX2187)*$AU$2093/2</f>
        <v>0</v>
      </c>
      <c r="BA2187">
        <f>(0.6*AW2187+0.6*AY2187)*$AU$2093/2</f>
        <v>0</v>
      </c>
      <c r="BC2187">
        <f>IF(AV2187=0,0,$BG$2093*$AP$2069)</f>
        <v>0</v>
      </c>
      <c r="BD2187">
        <f>IFERROR(BC2187/$AU$2093,0)</f>
        <v>0</v>
      </c>
      <c r="BE2187">
        <f>BC2187*($F$21+IF($F$21=0,0,($C$14+$C$15+IF($C$13="single",1.5,3)+3)/12))</f>
        <v>0</v>
      </c>
      <c r="BF2187">
        <f>BE2187-AZ2187</f>
        <v>0</v>
      </c>
      <c r="BG2187" cm="1">
        <f t="array" ref="BG2187">IFERROR(IF(BF2187&lt;0,0,BF2187/($AU$2093-INDEX(hd_off,MATCH(BT2187,hd_mark,0),0)/12)),0)</f>
        <v>0</v>
      </c>
      <c r="BH2187">
        <f>IF(AV2187=0,0,$BG$2093*$AM$2069)</f>
        <v>0</v>
      </c>
      <c r="BI2187">
        <f>IFERROR(BH2187/$AU$2093,0)</f>
        <v>0</v>
      </c>
      <c r="BJ2187">
        <f>BH2187*($F$21+IF($F$21=0,0,($C$14+$C$15+IF($C$13="single",1.5,3)+3)/12))</f>
        <v>0</v>
      </c>
      <c r="BK2187">
        <f>BJ2187-BA2187</f>
        <v>0</v>
      </c>
      <c r="BL2187" cm="1">
        <f t="array" ref="BL2187">IFERROR(IF(BK2187&lt;0,0,BK2187/($AU$2093-INDEX(hd_off,MATCH(BT2187,hd_mark,0),0)/12)),0)</f>
        <v>0</v>
      </c>
      <c r="BM2187">
        <f>MAX($F$21,$BB$2093)/$Q$2100</f>
        <v>0.30172413793103448</v>
      </c>
      <c r="BN2187">
        <f>IF(BM2187=0,0,IF(BM2187&gt;2,1.25-0.125*BM2187,1))</f>
        <v>1</v>
      </c>
      <c r="BO2187" cm="1">
        <f t="array" ref="BO2187">IFERROR(INDEX(sheath_ecap_asd,MATCH(BS2187,sheath_mark,0),0)*BN2187,0)</f>
        <v>0</v>
      </c>
      <c r="BP2187" cm="1">
        <f t="array" ref="BP2187">IFERROR(INDEX(sheath_wcap_asd,MATCH(BS2187,sheath_mark,0),0)*BN2187,0)</f>
        <v>0</v>
      </c>
      <c r="BQ2187" cm="1">
        <f t="array" ref="BQ2187">IFERROR(INDEX(hd_cap,MATCH(BT2187,hd_mark,0),0),0)</f>
        <v>0</v>
      </c>
      <c r="BS2187" s="19"/>
      <c r="BT2187" s="19"/>
      <c r="BU2187" s="100"/>
    </row>
    <row r="2188" x14ac:dyDescent="0.25">
      <c r="P2188" s="93"/>
      <c r="Q2188" s="109"/>
      <c r="R2188" t="str">
        <f>$Q$2070</f>
        <v>L3</v>
      </c>
      <c r="S2188">
        <f>$E$22</f>
        <v>21.375</v>
      </c>
      <c r="T2188" cm="1">
        <f t="array" ref="T2188">IFERROR(IF(S2188=0,0,(INDEX($C$33:$C$38,MATCH($W$2093,$B$33:$B$38,0),0)*(S2191+$X$2093)+$T$2093*COUNTIF(S2188:S2190,"&gt;0")*$C$32+$V$2093*$C$31)*$R$2093),0)</f>
        <v>0</v>
      </c>
      <c r="U2188">
        <f>IF(S2188=0,0,-(COUNTIF(S2188:S2190,"&gt;0")*$T$2093*$C$32+$V$2093*$C$31)*$H$27*$R$2093)</f>
        <v>0</v>
      </c>
      <c r="V2188">
        <f>IF(S2188=0,0,$V$2093*$H$26*$R$2093)</f>
        <v>0</v>
      </c>
      <c r="W2188">
        <f>(0.6*T2188+0.7*U2188)*$R$2093/2</f>
        <v>0</v>
      </c>
      <c r="X2188">
        <f>T2188*$R$2093/2</f>
        <v>0</v>
      </c>
      <c r="Z2188">
        <f>IF(S2188=0,0,$AD$2093*$AP$2070)</f>
        <v>0</v>
      </c>
      <c r="AA2188">
        <f>IFERROR(Z2188/$R$2093,0)</f>
        <v>0</v>
      </c>
      <c r="AB2188">
        <f>Z2188*($F$22+IF($F$22=0,0,($C$14+$C$15+IF($C$13="single",1.5,3)+3)/12))</f>
        <v>0</v>
      </c>
      <c r="AC2188">
        <f>AB2188-W2188</f>
        <v>0</v>
      </c>
      <c r="AD2188" cm="1">
        <f t="array" ref="AD2188">IFERROR(IF(AC2188&lt;0,0,AC2188/($R$2093-INDEX(hd_off,MATCH(AQ2188,hd_mark,0),0)/12)),0)</f>
        <v>0</v>
      </c>
      <c r="AE2188">
        <f>IF(S2188=0,0,$AD$2093*$AM$2070)</f>
        <v>0</v>
      </c>
      <c r="AF2188">
        <f>IFERROR(AE2188/$R$2093,0)</f>
        <v>0</v>
      </c>
      <c r="AG2188">
        <f>AE2188*($F$22+IF($F$22=0,0,($C$14+$C$15+IF($C$13="single",1.5,3)+3)/12))</f>
        <v>0</v>
      </c>
      <c r="AH2188">
        <f>AG2188-X2188</f>
        <v>0</v>
      </c>
      <c r="AI2188" cm="1">
        <f t="array" ref="AI2188">IFERROR(IF(AH2188&lt;0,0,AH2188/($R$2093-INDEX(hd_off,MATCH(AQ2188,hd_mark,0),0)/12)),0)</f>
        <v>0</v>
      </c>
      <c r="AJ2188">
        <f>MAX($F$22,$Z$2093)/$Q$2100</f>
        <v>0.30172413793103448</v>
      </c>
      <c r="AK2188">
        <f t="shared" ref="AK2188:AK2191" si="1341">IF(AJ2188=0,0,IF(AJ2188&gt;2,1.25-0.125*AJ2188,1))</f>
        <v>1</v>
      </c>
      <c r="AL2188" cm="1">
        <f t="array" ref="AL2188">IFERROR(INDEX(sheath_ecap_asd,MATCH(AP2188,sheath_mark,0),0)*AK2188,0)</f>
        <v>0</v>
      </c>
      <c r="AM2188" cm="1">
        <f t="array" ref="AM2188">IFERROR(INDEX(sheath_wcap_asd,MATCH(AP2188,sheath_mark,0),0)*AK2188,0)</f>
        <v>0</v>
      </c>
      <c r="AN2188" cm="1">
        <f t="array" ref="AN2188">IFERROR(INDEX(hd_cap,MATCH(AQ2188,hd_mark,0),0),0)</f>
        <v>0</v>
      </c>
      <c r="AP2188" s="19"/>
      <c r="AQ2188" s="19"/>
      <c r="AR2188" s="100"/>
      <c r="AS2188" s="93"/>
      <c r="AT2188" s="109"/>
      <c r="AU2188" t="str">
        <f>$Q$2070</f>
        <v>L3</v>
      </c>
      <c r="AV2188">
        <f>$E$22</f>
        <v>21.375</v>
      </c>
      <c r="AW2188" cm="1">
        <f t="array" ref="AW2188">IFERROR(IF(AV2188=0,0,(INDEX($C$33:$C$38,MATCH($AZ$2093,$B$33:$B$38,0),0)*(AV2191+$BA$2093)+$AW$2093*COUNTIF(AV2188:AV2190,"&gt;0")*$C$32+$AY$2093*$C$31)*$AU$2093),0)</f>
        <v>0</v>
      </c>
      <c r="AX2188">
        <f>IF(AV2188=0,0,-(COUNTIF(AV2188:AV2190,"&gt;0")*$AW$2093*$C$32+$AY$2093*$C$31)*$H$27*$AU$2093)</f>
        <v>0</v>
      </c>
      <c r="AY2188">
        <f>IF(AV2188=0,0,$AY$2093*$H$26*$AU$2093)</f>
        <v>0</v>
      </c>
      <c r="AZ2188">
        <f>(0.6*AW2188+0.7*AX2188)*$AU$2093/2</f>
        <v>0</v>
      </c>
      <c r="BA2188">
        <f>AW2188*$AU$2093/2</f>
        <v>0</v>
      </c>
      <c r="BC2188">
        <f>IF(AV2188=0,0,$BG$2093*$AP$2070)</f>
        <v>0</v>
      </c>
      <c r="BD2188">
        <f>IFERROR(BC2188/$AU$2093,0)</f>
        <v>0</v>
      </c>
      <c r="BE2188">
        <f>BC2188*($F$22+IF($F$22=0,0,($C$14+$C$15+IF($C$13="single",1.5,3)+3)/12))</f>
        <v>0</v>
      </c>
      <c r="BF2188">
        <f>BE2188-AZ2188</f>
        <v>0</v>
      </c>
      <c r="BG2188" cm="1">
        <f t="array" ref="BG2188">IFERROR(IF(BF2188&lt;0,0,BF2188/($AU$2093-INDEX(hd_off,MATCH(BT2188,hd_mark,0),0)/12)),0)</f>
        <v>0</v>
      </c>
      <c r="BH2188">
        <f>IF(AV2188=0,0,$BG$2093*$AM$2070)</f>
        <v>0</v>
      </c>
      <c r="BI2188">
        <f>IFERROR(BH2188/$AU$2093,0)</f>
        <v>0</v>
      </c>
      <c r="BJ2188">
        <f>BH2188*($F$22+IF($F$22=0,0,($C$14+$C$15+IF($C$13="single",1.5,3)+3)/12))</f>
        <v>0</v>
      </c>
      <c r="BK2188">
        <f>BJ2188-BA2188</f>
        <v>0</v>
      </c>
      <c r="BL2188" cm="1">
        <f t="array" ref="BL2188">IFERROR(IF(BK2188&lt;0,0,BK2188/($AU$2093-INDEX(hd_off,MATCH(BT2188,hd_mark,0),0)/12)),0)</f>
        <v>0</v>
      </c>
      <c r="BM2188">
        <f>MAX($F$22,$BC$2093)/$Q$2100</f>
        <v>0.30172413793103448</v>
      </c>
      <c r="BN2188">
        <f t="shared" ref="BN2188:BN2190" si="1342">IF(BM2188=0,0,IF(BM2188&gt;2,1.25-0.125*BM2188,1))</f>
        <v>1</v>
      </c>
      <c r="BO2188" cm="1">
        <f t="array" ref="BO2188">IFERROR(INDEX(sheath_ecap_asd,MATCH(BS2188,sheath_mark,0),0)*BN2188,0)</f>
        <v>0</v>
      </c>
      <c r="BP2188" cm="1">
        <f t="array" ref="BP2188">IFERROR(INDEX(sheath_wcap_asd,MATCH(BS2188,sheath_mark,0),0)*BN2188,0)</f>
        <v>0</v>
      </c>
      <c r="BQ2188" cm="1">
        <f t="array" ref="BQ2188">IFERROR(INDEX(hd_cap,MATCH(BT2188,hd_mark,0),0),0)</f>
        <v>0</v>
      </c>
      <c r="BS2188" s="19"/>
      <c r="BT2188" s="19"/>
      <c r="BU2188" s="100"/>
    </row>
    <row r="2189" x14ac:dyDescent="0.25">
      <c r="P2189" s="93"/>
      <c r="Q2189" s="109" t="s">
        <v>491</v>
      </c>
      <c r="R2189" t="str">
        <f>$Q$2071</f>
        <v>L4</v>
      </c>
      <c r="S2189">
        <f>$E$23</f>
        <v>0</v>
      </c>
      <c r="T2189" cm="1">
        <f t="array" ref="T2189">IFERROR(IF(S2189=0,0,(INDEX($C$33:$C$38,MATCH($W$2093,$B$33:$B$38,0),0)*(S2191+$X$2093)+$T$2093*COUNTIF(S2189:S2190,"&gt;0")*$C$32+$V$2093*$C$31)*$R$2093),0)</f>
        <v>0</v>
      </c>
      <c r="U2189">
        <f>IF(S2189=0,0,-(COUNTIF(S2189:S2190,"&gt;0")*$T$2093*$C$32+$V$2093*$C$31)*$H$27*$R$2093)</f>
        <v>0</v>
      </c>
      <c r="V2189">
        <f>IF(S2189=0,0,$V$2093*$H$26*$R$2093)</f>
        <v>0</v>
      </c>
      <c r="W2189">
        <f>(0.6*T2189+0.7*U2189)*$R$2093/2</f>
        <v>0</v>
      </c>
      <c r="X2189">
        <f>T2189*$R$2093/2</f>
        <v>0</v>
      </c>
      <c r="Z2189">
        <f>IF(S2189=0,0,$AD$2093*$AP$2071)</f>
        <v>0</v>
      </c>
      <c r="AA2189">
        <f>IFERROR(Z2189/$R$2093,0)</f>
        <v>0</v>
      </c>
      <c r="AB2189">
        <f>Z2189*($F$23+IF($F$23=0,0,($C$14+$C$15+IF($C$13="single",1.5,3)+3)/12))</f>
        <v>0</v>
      </c>
      <c r="AC2189">
        <f>AB2189-W2189</f>
        <v>0</v>
      </c>
      <c r="AD2189" cm="1">
        <f t="array" ref="AD2189">IFERROR(IF(AC2189&lt;0,0,AC2189/($R$2093-INDEX(hd_off,MATCH(AQ2189,hd_mark,0),0)/12)),0)</f>
        <v>0</v>
      </c>
      <c r="AE2189">
        <f>IF(S2189=0,0,$AD$2093*$AM$2071)</f>
        <v>0</v>
      </c>
      <c r="AF2189">
        <f>IFERROR(AE2189/$R$2093,0)</f>
        <v>0</v>
      </c>
      <c r="AG2189">
        <f>AE2189*($F$23+IF($F$23=0,0,($C$14+$C$15+IF($C$13="single",1.5,3)+3)/12))</f>
        <v>0</v>
      </c>
      <c r="AH2189">
        <f>AG2189-X2189</f>
        <v>0</v>
      </c>
      <c r="AI2189" cm="1">
        <f t="array" ref="AI2189">IFERROR(IF(AH2189&lt;0,0,AH2189/($R$2093-INDEX(hd_off,MATCH(AQ2189,hd_mark,0),0)/12)),0)</f>
        <v>0</v>
      </c>
      <c r="AJ2189">
        <f>MAX($F$23,$AA$2093)/$Q$2100</f>
        <v>0</v>
      </c>
      <c r="AK2189">
        <f t="shared" si="1341"/>
        <v>0</v>
      </c>
      <c r="AL2189" cm="1">
        <f t="array" ref="AL2189">IFERROR(INDEX(sheath_ecap_asd,MATCH(AP2189,sheath_mark,0),0)*AK2189,0)</f>
        <v>0</v>
      </c>
      <c r="AM2189" cm="1">
        <f t="array" ref="AM2189">IFERROR(INDEX(sheath_wcap_asd,MATCH(AP2189,sheath_mark,0),0)*AK2189,0)</f>
        <v>0</v>
      </c>
      <c r="AN2189" cm="1">
        <f t="array" ref="AN2189">IFERROR(INDEX(hd_cap,MATCH(AQ2189,hd_mark,0),0),0)</f>
        <v>0</v>
      </c>
      <c r="AP2189" s="19"/>
      <c r="AQ2189" s="19"/>
      <c r="AR2189" s="100"/>
      <c r="AS2189" s="93"/>
      <c r="AT2189" s="109" t="s">
        <v>491</v>
      </c>
      <c r="AU2189" t="str">
        <f>$Q$2071</f>
        <v>L4</v>
      </c>
      <c r="AV2189">
        <f>$E$23</f>
        <v>0</v>
      </c>
      <c r="AW2189" cm="1">
        <f t="array" ref="AW2189">IFERROR(IF(AV2189=0,0,(INDEX($C$33:$C$38,MATCH($AZ$2093,$B$33:$B$38,0),0)*(AV2191+$BA$2093)+$AW$2093*COUNTIF(AV2189:AV2190,"&gt;0")*$C$32+$AY$2093*$C$31)*$AU$2093),0)</f>
        <v>0</v>
      </c>
      <c r="AX2189">
        <f>IF(AV2189=0,0,-(COUNTIF(AV2189:AV2190,"&gt;0")*$AW$2093*$C$32+$AY$2093*$C$31)*$H$27*$AU$2093)</f>
        <v>0</v>
      </c>
      <c r="AY2189">
        <f>IF(AV2189=0,0,$AY$2093*$H$26*$AU$2093)</f>
        <v>0</v>
      </c>
      <c r="AZ2189">
        <f>(0.6*AW2189+0.7*AX2189)*$AU$2093/2</f>
        <v>0</v>
      </c>
      <c r="BA2189">
        <f>AW2189*$AU$2093/2</f>
        <v>0</v>
      </c>
      <c r="BC2189">
        <f>IF(AV2189=0,0,$BG$2093*$AP$2071)</f>
        <v>0</v>
      </c>
      <c r="BD2189">
        <f>IFERROR(BC2189/$AU$2093,0)</f>
        <v>0</v>
      </c>
      <c r="BE2189">
        <f>BC2189*($F$23+IF($F$23=0,0,($C$14+$C$15+IF($C$13="single",1.5,3)+3)/12))</f>
        <v>0</v>
      </c>
      <c r="BF2189">
        <f>BE2189-AZ2189</f>
        <v>0</v>
      </c>
      <c r="BG2189" cm="1">
        <f t="array" ref="BG2189">IFERROR(IF(BF2189&lt;0,0,BF2189/($AU$2093-INDEX(hd_off,MATCH(BT2189,hd_mark,0),0)/12)),0)</f>
        <v>0</v>
      </c>
      <c r="BH2189">
        <f>IF(AV2189=0,0,$BG$2093*$AM$2071)</f>
        <v>0</v>
      </c>
      <c r="BI2189">
        <f>IFERROR(BH2189/$AU$2093,0)</f>
        <v>0</v>
      </c>
      <c r="BJ2189">
        <f>BH2189*($F$23+IF($F$23=0,0,($C$14+$C$15+IF($C$13="single",1.5,3)+3)/12))</f>
        <v>0</v>
      </c>
      <c r="BK2189">
        <f>BJ2189-BA2189</f>
        <v>0</v>
      </c>
      <c r="BL2189" cm="1">
        <f t="array" ref="BL2189">IFERROR(IF(BK2189&lt;0,0,BK2189/($AU$2093-INDEX(hd_off,MATCH(BT2189,hd_mark,0),0)/12)),0)</f>
        <v>0</v>
      </c>
      <c r="BM2189">
        <f>MAX($F$23,$BD$2093)/$Q$2100</f>
        <v>0</v>
      </c>
      <c r="BN2189">
        <f t="shared" si="1342"/>
        <v>0</v>
      </c>
      <c r="BO2189" cm="1">
        <f t="array" ref="BO2189">IFERROR(INDEX(sheath_ecap_asd,MATCH(BS2189,sheath_mark,0),0)*BN2189,0)</f>
        <v>0</v>
      </c>
      <c r="BP2189" cm="1">
        <f t="array" ref="BP2189">IFERROR(INDEX(sheath_wcap_asd,MATCH(BS2189,sheath_mark,0),0)*BN2189,0)</f>
        <v>0</v>
      </c>
      <c r="BQ2189" cm="1">
        <f t="array" ref="BQ2189">IFERROR(INDEX(hd_cap,MATCH(BT2189,hd_mark,0),0),0)</f>
        <v>0</v>
      </c>
      <c r="BS2189" s="19"/>
      <c r="BT2189" s="19"/>
      <c r="BU2189" s="100"/>
    </row>
    <row r="2190" x14ac:dyDescent="0.25">
      <c r="P2190" s="93"/>
      <c r="Q2190" s="111">
        <f>$R$2093</f>
        <v>0</v>
      </c>
      <c r="R2190" t="str">
        <f>$Q$2072</f>
        <v>L5</v>
      </c>
      <c r="S2190">
        <f>$E$24</f>
        <v>0</v>
      </c>
      <c r="T2190" cm="1">
        <f t="array" ref="T2190">IFERROR(IF(S2190=0,0,(INDEX($C$33:$C$38,MATCH($W$2093,$B$33:$B$38,0),0)*(S2191+$X$2093)+$T$2093*COUNTIF(S2190:S2190,"&gt;0")*$C$32+$V$2093*$C$31)*$R$2093),0)</f>
        <v>0</v>
      </c>
      <c r="U2190">
        <f>IF(S2190=0,0,-(COUNTIF(S2190:S2190,"&gt;0")*$T$2093*$C$32+$V$2093*$C$31)*$H$27*$R$2093)</f>
        <v>0</v>
      </c>
      <c r="V2190">
        <f>IF(S2190=0,0,$V$2093*$H$26*$R$2093)</f>
        <v>0</v>
      </c>
      <c r="W2190">
        <f>(0.6*T2190+0.7*U2190)*$R$2093/2</f>
        <v>0</v>
      </c>
      <c r="X2190">
        <f>T2190*$R$2093/2</f>
        <v>0</v>
      </c>
      <c r="Z2190">
        <f>IF(S2190=0,0,$AD$2093*$AP$2072)</f>
        <v>0</v>
      </c>
      <c r="AA2190">
        <f>IFERROR(Z2190/$R$2093,0)</f>
        <v>0</v>
      </c>
      <c r="AB2190">
        <f>Z2190*($F$24+IF($F$24=0,0,($C$14+$C$15+IF($C$13="single",1.5,3)+3)/12))</f>
        <v>0</v>
      </c>
      <c r="AC2190">
        <f>AB2190-W2190</f>
        <v>0</v>
      </c>
      <c r="AD2190" cm="1">
        <f t="array" ref="AD2190">IFERROR(IF(AC2190&lt;0,0,AC2190/($R$2093-INDEX(hd_off,MATCH(AQ2190,hd_mark,0),0)/12)),0)</f>
        <v>0</v>
      </c>
      <c r="AE2190">
        <f>IF(S2190=0,0,$AD$2093*$AM$2072)</f>
        <v>0</v>
      </c>
      <c r="AF2190">
        <f>IFERROR(AE2190/$R$2093,0)</f>
        <v>0</v>
      </c>
      <c r="AG2190">
        <f>AE2190*($F$24+IF($F$24=0,0,($C$14+$C$15+IF($C$13="single",1.5,3)+3)/12))</f>
        <v>0</v>
      </c>
      <c r="AH2190">
        <f>AG2190-X2190</f>
        <v>0</v>
      </c>
      <c r="AI2190" cm="1">
        <f t="array" ref="AI2190">IFERROR(IF(AH2190&lt;0,0,AH2190/($R$2093-INDEX(hd_off,MATCH(AQ2190,hd_mark,0),0)/12)),0)</f>
        <v>0</v>
      </c>
      <c r="AJ2190">
        <f>MAX($F$24,$AB$2093)/$Q$2100</f>
        <v>0</v>
      </c>
      <c r="AK2190">
        <f t="shared" si="1341"/>
        <v>0</v>
      </c>
      <c r="AL2190" cm="1">
        <f t="array" ref="AL2190">IFERROR(INDEX(sheath_ecap_asd,MATCH(AP2190,sheath_mark,0),0)*AK2190,0)</f>
        <v>0</v>
      </c>
      <c r="AM2190" cm="1">
        <f t="array" ref="AM2190">IFERROR(INDEX(sheath_wcap_asd,MATCH(AP2190,sheath_mark,0),0)*AK2190,0)</f>
        <v>0</v>
      </c>
      <c r="AN2190" cm="1">
        <f t="array" ref="AN2190">IFERROR(INDEX(hd_cap,MATCH(AQ2190,hd_mark,0),0),0)</f>
        <v>0</v>
      </c>
      <c r="AP2190" s="19"/>
      <c r="AQ2190" s="19"/>
      <c r="AR2190" s="100"/>
      <c r="AS2190" s="93"/>
      <c r="AT2190" s="111">
        <f>$R$2093</f>
        <v>0</v>
      </c>
      <c r="AU2190" t="str">
        <f>$Q$2072</f>
        <v>L5</v>
      </c>
      <c r="AV2190">
        <f>$E$24</f>
        <v>0</v>
      </c>
      <c r="AW2190" cm="1">
        <f t="array" ref="AW2190">IFERROR(IF(AV2190=0,0,(INDEX($C$33:$C$38,MATCH($AZ$2093,$B$33:$B$38,0),0)*(AV2191+$BA$2093)+$AW$2093*COUNTIF(AV2190:AV2190,"&gt;0")*$C$32+$AY$2093*$C$31)*$AU$2093),0)</f>
        <v>0</v>
      </c>
      <c r="AX2190">
        <f>IF(AV2190=0,0,-(COUNTIF(AV2190:AV2190,"&gt;0")*$AW$2093*$C$32+$AY$2093*$C$31)*$H$27*$AU$2093)</f>
        <v>0</v>
      </c>
      <c r="AY2190">
        <f>IF(AV2190=0,0,$AY$2093*$H$26*$AU$2093)</f>
        <v>0</v>
      </c>
      <c r="AZ2190">
        <f>(0.6*AW2190+0.7*AX2190)*$AU$2093/2</f>
        <v>0</v>
      </c>
      <c r="BA2190">
        <f>AW2190*$AU$2093/2</f>
        <v>0</v>
      </c>
      <c r="BC2190">
        <f>IF(AV2190=0,0,$BG$2093*$AP$2072)</f>
        <v>0</v>
      </c>
      <c r="BD2190">
        <f>IFERROR(BC2190/$AU$2093,0)</f>
        <v>0</v>
      </c>
      <c r="BE2190">
        <f>BC2190*($F$24+IF($F$24=0,0,($C$14+$C$15+IF($C$13="single",1.5,3)+3)/12))</f>
        <v>0</v>
      </c>
      <c r="BF2190">
        <f>BE2190-AZ2190</f>
        <v>0</v>
      </c>
      <c r="BG2190" cm="1">
        <f t="array" ref="BG2190">IFERROR(IF(BF2190&lt;0,0,BF2190/($AU$2093-INDEX(hd_off,MATCH(BT2190,hd_mark,0),0)/12)),0)</f>
        <v>0</v>
      </c>
      <c r="BH2190">
        <f>IF(AV2190=0,0,$BG$2093*$AM$2072)</f>
        <v>0</v>
      </c>
      <c r="BI2190">
        <f>IFERROR(BH2190/$AU$2093,0)</f>
        <v>0</v>
      </c>
      <c r="BJ2190">
        <f>BH2190*($F$24+IF($F$24=0,0,($C$14+$C$15+IF($C$13="single",1.5,3)+3)/12))</f>
        <v>0</v>
      </c>
      <c r="BK2190">
        <f>BJ2190-BA2190</f>
        <v>0</v>
      </c>
      <c r="BL2190" cm="1">
        <f t="array" ref="BL2190">IFERROR(IF(BK2190&lt;0,0,BK2190/($AU$2093-INDEX(hd_off,MATCH(BT2190,hd_mark,0),0)/12)),0)</f>
        <v>0</v>
      </c>
      <c r="BM2190">
        <f>MAX($F$24,$BE$2093)/$Q$2100</f>
        <v>0</v>
      </c>
      <c r="BN2190">
        <f t="shared" si="1342"/>
        <v>0</v>
      </c>
      <c r="BO2190" cm="1">
        <f t="array" ref="BO2190">IFERROR(INDEX(sheath_ecap_asd,MATCH(BS2190,sheath_mark,0),0)*BN2190,0)</f>
        <v>0</v>
      </c>
      <c r="BP2190" cm="1">
        <f t="array" ref="BP2190">IFERROR(INDEX(sheath_wcap_asd,MATCH(BS2190,sheath_mark,0),0)*BN2190,0)</f>
        <v>0</v>
      </c>
      <c r="BQ2190" cm="1">
        <f t="array" ref="BQ2190">IFERROR(INDEX(hd_cap,MATCH(BT2190,hd_mark,0),0),0)</f>
        <v>0</v>
      </c>
      <c r="BS2190" s="19"/>
      <c r="BT2190" s="19"/>
      <c r="BU2190" s="100"/>
    </row>
    <row r="2191" x14ac:dyDescent="0.25">
      <c r="P2191" s="93"/>
      <c r="Q2191" s="109"/>
      <c r="R2191" t="str">
        <f>$Q$2073</f>
        <v>Roof</v>
      </c>
      <c r="S2191">
        <f>$E$25</f>
        <v>33.171875</v>
      </c>
      <c r="T2191" cm="1">
        <f t="array" ref="T2191">IFERROR(IF(S2191=0,0,(INDEX($C$33:$C$38,MATCH($W$2093,$B$33:$B$38,0),0)*(S2191+$X$2093)+$V$2093*$C$31)*$R$2093),0)</f>
        <v>0</v>
      </c>
      <c r="U2191">
        <f>IF(S2191=0,0,-$V$2093*$C$31*$H$27*$R$2093)</f>
        <v>0</v>
      </c>
      <c r="V2191">
        <f>IF(S2191=0,0,$V$2093*$H$26*$R$2093)</f>
        <v>0</v>
      </c>
      <c r="W2191">
        <f>(0.6*T2191+0.7*U2191)*$R$2093/2</f>
        <v>0</v>
      </c>
      <c r="X2191">
        <f>T2191*$R$2093/2</f>
        <v>0</v>
      </c>
      <c r="Z2191">
        <f>IF(S2191=0,0,$AD$2093*$AP$2073)</f>
        <v>0</v>
      </c>
      <c r="AA2191">
        <f>IFERROR(Z2191/$R$2093,0)</f>
        <v>0</v>
      </c>
      <c r="AB2191">
        <f>Z2191*($F$25+($C$16+$C$17+IF($C$13="single",1.5,3)+3)/12)</f>
        <v>0</v>
      </c>
      <c r="AC2191">
        <f>AB2191-W2191</f>
        <v>0</v>
      </c>
      <c r="AD2191" cm="1">
        <f t="array" ref="AD2191">IFERROR(IF(AC2191&lt;0,0,AC2191/($R$2093-INDEX(hd_off,MATCH(AQ2191,hd_mark,0),0)/12)),0)</f>
        <v>0</v>
      </c>
      <c r="AE2191">
        <f>IF(S2191=0,0,$AD$2093*$AM$2073)</f>
        <v>0</v>
      </c>
      <c r="AF2191">
        <f>IFERROR(AE2191/$R$2093,0)</f>
        <v>0</v>
      </c>
      <c r="AG2191">
        <f>AE2191*($F$25+($C$16+$C$17+IF($C$13="single",1.5,3)+3)/12)</f>
        <v>0</v>
      </c>
      <c r="AH2191">
        <f>AG2191-X2191</f>
        <v>0</v>
      </c>
      <c r="AI2191" cm="1">
        <f t="array" ref="AI2191">IFERROR(IF(AH2191&lt;0,0,AH2191/($R$2093-INDEX(hd_off,MATCH(AQ2191,hd_mark,0),0)/12)),0)</f>
        <v>0</v>
      </c>
      <c r="AJ2191">
        <f>MAX($F$25,$AC$2093)/$Q$2100</f>
        <v>0.29920977011494249</v>
      </c>
      <c r="AK2191">
        <f t="shared" si="1341"/>
        <v>1</v>
      </c>
      <c r="AL2191" cm="1">
        <f t="array" ref="AL2191">IFERROR(INDEX(sheath_ecap_asd,MATCH(AP2191,sheath_mark,0),0)*AK2191,0)</f>
        <v>0</v>
      </c>
      <c r="AM2191" cm="1">
        <f t="array" ref="AM2191">IFERROR(INDEX(sheath_wcap_asd,MATCH(AP2191,sheath_mark,0),0)*AK2191,0)</f>
        <v>0</v>
      </c>
      <c r="AN2191" cm="1">
        <f t="array" ref="AN2191">IFERROR(INDEX(hd_cap,MATCH(AQ2191,hd_mark,0),0),0)</f>
        <v>0</v>
      </c>
      <c r="AP2191" s="19"/>
      <c r="AQ2191" s="19"/>
      <c r="AR2191" s="100"/>
      <c r="AS2191" s="93"/>
      <c r="BU2191" s="100"/>
    </row>
    <row r="2192" x14ac:dyDescent="0.25">
      <c r="B2192" s="1" t="s">
        <v>569</v>
      </c>
      <c r="C2192">
        <f>E16+H16*12</f>
        <v>32.4375</v>
      </c>
      <c r="E2192" s="19">
        <v>24</v>
      </c>
      <c r="F2192" s="19">
        <f>32+5.625/12</f>
        <v>32.46875</v>
      </c>
      <c r="G2192" s="19">
        <f>33+10.5/12</f>
        <v>33.875</v>
      </c>
      <c r="H2192">
        <f>(G16-F16)/2</f>
        <v>0.703125</v>
      </c>
      <c r="P2192" s="93"/>
      <c r="Q2192" t="s">
        <v>524</v>
      </c>
      <c r="R2192" s="2" t="str">
        <f>$B$59</f>
        <v>A</v>
      </c>
      <c r="AR2192" s="100"/>
      <c r="AS2192" s="93"/>
      <c r="AT2192" t="s">
        <v>524</v>
      </c>
      <c r="AU2192" s="2">
        <f>H59</f>
        <v>1</v>
      </c>
      <c r="BU2192" s="100"/>
    </row>
    <row r="2193" x14ac:dyDescent="0.25">
      <c r="B2193" s="1" t="s">
        <v>500</v>
      </c>
      <c r="C2193" s="19">
        <v>0.5</v>
      </c>
      <c r="P2193" s="93"/>
      <c r="AR2193" s="100"/>
      <c r="AS2193" s="93"/>
      <c r="BU2193" s="100"/>
    </row>
    <row r="2194" x14ac:dyDescent="0.25">
      <c r="P2194" s="93"/>
      <c r="R2194" t="s">
        <v>482</v>
      </c>
      <c r="Z2194" t="s">
        <v>483</v>
      </c>
      <c r="AH2194" t="s">
        <v>502</v>
      </c>
      <c r="AJ2194" t="s">
        <v>454</v>
      </c>
      <c r="AR2194" s="100"/>
      <c r="AS2194" s="93"/>
      <c r="AU2194" t="s">
        <v>482</v>
      </c>
      <c r="BC2194" t="s">
        <v>483</v>
      </c>
      <c r="BK2194" t="s">
        <v>502</v>
      </c>
      <c r="BM2194" t="s">
        <v>454</v>
      </c>
      <c r="BU2194" s="100"/>
    </row>
    <row r="2195" x14ac:dyDescent="0.25">
      <c r="B2195" t="s">
        <v>448</v>
      </c>
      <c r="C2195" t="s">
        <v>272</v>
      </c>
      <c r="D2195" t="s">
        <v>193</v>
      </c>
      <c r="E2195" s="70" t="s">
        <v>454</v>
      </c>
      <c r="F2195" s="71" t="s">
        <v>501</v>
      </c>
      <c r="H2195" t="s">
        <v>475</v>
      </c>
      <c r="J2195" t="s">
        <v>476</v>
      </c>
      <c r="P2195" s="93"/>
      <c r="R2195" t="s">
        <v>480</v>
      </c>
      <c r="S2195" t="s">
        <v>481</v>
      </c>
      <c r="T2195" t="s">
        <v>486</v>
      </c>
      <c r="U2195" t="s">
        <v>487</v>
      </c>
      <c r="V2195" t="s">
        <v>484</v>
      </c>
      <c r="W2195" t="s">
        <v>485</v>
      </c>
      <c r="X2195" t="s">
        <v>488</v>
      </c>
      <c r="Y2195" t="s">
        <v>489</v>
      </c>
      <c r="Z2195" t="s">
        <v>480</v>
      </c>
      <c r="AA2195" t="s">
        <v>481</v>
      </c>
      <c r="AB2195" t="s">
        <v>486</v>
      </c>
      <c r="AC2195" t="s">
        <v>487</v>
      </c>
      <c r="AD2195" t="s">
        <v>484</v>
      </c>
      <c r="AE2195" t="s">
        <v>485</v>
      </c>
      <c r="AF2195" t="s">
        <v>488</v>
      </c>
      <c r="AG2195" t="s">
        <v>489</v>
      </c>
      <c r="AH2195" t="s">
        <v>312</v>
      </c>
      <c r="AI2195" t="s">
        <v>258</v>
      </c>
      <c r="AJ2195" t="s">
        <v>486</v>
      </c>
      <c r="AK2195" t="s">
        <v>490</v>
      </c>
      <c r="AL2195" t="s">
        <v>487</v>
      </c>
      <c r="AM2195" t="s">
        <v>490</v>
      </c>
      <c r="AN2195" t="s">
        <v>488</v>
      </c>
      <c r="AO2195" t="s">
        <v>490</v>
      </c>
      <c r="AP2195" t="s">
        <v>489</v>
      </c>
      <c r="AQ2195" t="s">
        <v>490</v>
      </c>
      <c r="AR2195" s="100"/>
      <c r="AS2195" s="93"/>
      <c r="AU2195" t="s">
        <v>480</v>
      </c>
      <c r="AV2195" t="s">
        <v>481</v>
      </c>
      <c r="AW2195" t="s">
        <v>486</v>
      </c>
      <c r="AX2195" t="s">
        <v>487</v>
      </c>
      <c r="AY2195" t="s">
        <v>484</v>
      </c>
      <c r="AZ2195" t="s">
        <v>485</v>
      </c>
      <c r="BA2195" t="s">
        <v>488</v>
      </c>
      <c r="BB2195" t="s">
        <v>489</v>
      </c>
      <c r="BC2195" t="s">
        <v>480</v>
      </c>
      <c r="BD2195" t="s">
        <v>481</v>
      </c>
      <c r="BE2195" t="s">
        <v>486</v>
      </c>
      <c r="BF2195" t="s">
        <v>487</v>
      </c>
      <c r="BG2195" t="s">
        <v>484</v>
      </c>
      <c r="BH2195" t="s">
        <v>485</v>
      </c>
      <c r="BI2195" t="s">
        <v>488</v>
      </c>
      <c r="BJ2195" t="s">
        <v>489</v>
      </c>
      <c r="BK2195" t="s">
        <v>312</v>
      </c>
      <c r="BL2195" t="s">
        <v>258</v>
      </c>
      <c r="BM2195" t="s">
        <v>486</v>
      </c>
      <c r="BN2195" t="s">
        <v>490</v>
      </c>
      <c r="BO2195" t="s">
        <v>487</v>
      </c>
      <c r="BP2195" t="s">
        <v>490</v>
      </c>
      <c r="BQ2195" t="s">
        <v>488</v>
      </c>
      <c r="BR2195" t="s">
        <v>490</v>
      </c>
      <c r="BS2195" t="s">
        <v>489</v>
      </c>
      <c r="BT2195" t="s">
        <v>490</v>
      </c>
      <c r="BU2195" s="100"/>
    </row>
    <row r="2196" x14ac:dyDescent="0.25">
      <c r="B2196" t="s">
        <v>449</v>
      </c>
      <c r="C2196" s="19">
        <v>0</v>
      </c>
      <c r="D2196" s="19">
        <v>0</v>
      </c>
      <c r="E2196" s="66">
        <f>C20+D20/12</f>
        <v>0</v>
      </c>
      <c r="F2196" s="67">
        <v>0</v>
      </c>
      <c r="H2196" s="19">
        <v>0</v>
      </c>
      <c r="I2196" s="64" t="s">
        <v>196</v>
      </c>
      <c r="J2196" s="19">
        <v>0</v>
      </c>
      <c r="K2196" s="19">
        <v>0</v>
      </c>
      <c r="L2196" s="19">
        <v>0</v>
      </c>
      <c r="M2196" s="19">
        <v>0</v>
      </c>
      <c r="P2196" s="93"/>
      <c r="Q2196" t="s">
        <v>449</v>
      </c>
      <c r="R2196" s="19">
        <f>$H$20</f>
        <v>0</v>
      </c>
      <c r="S2196">
        <f>R2196*0.6</f>
        <v>0</v>
      </c>
      <c r="T2196">
        <f>$C$59/2*R2196</f>
        <v>0</v>
      </c>
      <c r="U2196">
        <f>T2196*0.6</f>
        <v>0</v>
      </c>
      <c r="V2196" s="19">
        <v>0</v>
      </c>
      <c r="W2196">
        <f>V2196*0.7</f>
        <v>0</v>
      </c>
      <c r="X2196">
        <f>$C$59/2*V2196</f>
        <v>0</v>
      </c>
      <c r="Y2196">
        <f>X2196*0.7</f>
        <v>0</v>
      </c>
      <c r="Z2196" s="19">
        <f>$H$20</f>
        <v>0</v>
      </c>
      <c r="AA2196">
        <f>Z2196*0.6</f>
        <v>0</v>
      </c>
      <c r="AB2196">
        <f>$D$59/2*Z2196</f>
        <v>0</v>
      </c>
      <c r="AC2196">
        <f t="shared" ref="AC2196:AC2202" si="1343">0.6*AB2196</f>
        <v>0</v>
      </c>
      <c r="AD2196" s="19">
        <v>0</v>
      </c>
      <c r="AE2196">
        <f>AD2196*0.7</f>
        <v>0</v>
      </c>
      <c r="AF2196">
        <f>$D$59/2*AD2196</f>
        <v>0</v>
      </c>
      <c r="AG2196">
        <f>AF2196*0.7</f>
        <v>0</v>
      </c>
      <c r="AH2196" s="19">
        <v>0</v>
      </c>
      <c r="AI2196" s="19">
        <v>0</v>
      </c>
      <c r="AJ2196" s="17">
        <f>T2196+AB2196+AH2196</f>
        <v>0</v>
      </c>
      <c r="AK2196" s="17">
        <f>AK2197+AJ2196</f>
        <v>13166</v>
      </c>
      <c r="AL2196" s="17">
        <f>AJ2196*0.6</f>
        <v>0</v>
      </c>
      <c r="AM2196" s="17">
        <f>AM2197+AL2196</f>
        <v>7899.5999999999995</v>
      </c>
      <c r="AN2196" s="17">
        <f>X2196+AF2196+AI2196</f>
        <v>0</v>
      </c>
      <c r="AO2196" s="17">
        <f t="shared" ref="AO2196:AQ2199" si="1344">AN2196+AO2197</f>
        <v>1302.0999999999999</v>
      </c>
      <c r="AP2196" s="17">
        <f>AN2196*0.7</f>
        <v>0</v>
      </c>
      <c r="AQ2196" s="17">
        <f>AP2196+AQ2197</f>
        <v>911.46999999999991</v>
      </c>
      <c r="AR2196" s="100"/>
      <c r="AS2196" s="93"/>
      <c r="AT2196" t="s">
        <v>449</v>
      </c>
      <c r="AU2196" s="19">
        <f>$H$20</f>
        <v>0</v>
      </c>
      <c r="AV2196">
        <f>AU2196*0.6</f>
        <v>0</v>
      </c>
      <c r="AW2196">
        <f t="shared" ref="AW2196:AW2202" si="1345">$I$59/2*AU2196</f>
        <v>0</v>
      </c>
      <c r="AX2196">
        <f>AW2196*0.6</f>
        <v>0</v>
      </c>
      <c r="AY2196" s="19">
        <v>0</v>
      </c>
      <c r="AZ2196">
        <f>AY2196*0.7</f>
        <v>0</v>
      </c>
      <c r="BA2196">
        <f t="shared" ref="BA2196:BA2201" si="1346">$I$59/2*AY2196</f>
        <v>0</v>
      </c>
      <c r="BB2196">
        <f>BA2196*0.7</f>
        <v>0</v>
      </c>
      <c r="BC2196" s="19">
        <f>$H$20</f>
        <v>0</v>
      </c>
      <c r="BD2196">
        <f>BC2196*0.6</f>
        <v>0</v>
      </c>
      <c r="BE2196">
        <f t="shared" ref="BE2196:BE2202" si="1347">$J$59/2*BC2196</f>
        <v>0</v>
      </c>
      <c r="BF2196">
        <f t="shared" ref="BF2196:BF2202" si="1348">0.6*BE2196</f>
        <v>0</v>
      </c>
      <c r="BG2196" s="19">
        <v>0</v>
      </c>
      <c r="BH2196">
        <f>BG2196*0.7</f>
        <v>0</v>
      </c>
      <c r="BI2196">
        <f t="shared" ref="BI2196:BI2201" si="1349">$J$59/2*BG2196</f>
        <v>0</v>
      </c>
      <c r="BJ2196">
        <f>BI2196*0.7</f>
        <v>0</v>
      </c>
      <c r="BK2196" s="19">
        <v>0</v>
      </c>
      <c r="BL2196" s="19">
        <v>0</v>
      </c>
      <c r="BM2196" s="17">
        <f>AW2196+BE2196+BK2196</f>
        <v>0</v>
      </c>
      <c r="BN2196" s="17">
        <f>BN2197+BM2196</f>
        <v>12258</v>
      </c>
      <c r="BO2196" s="17">
        <f>BM2196*0.6</f>
        <v>0</v>
      </c>
      <c r="BP2196" s="17">
        <f>BP2197+BO2196</f>
        <v>7354.7999999999993</v>
      </c>
      <c r="BQ2196" s="17">
        <f>BA2196+BI2196+BL2196</f>
        <v>0</v>
      </c>
      <c r="BR2196" s="17">
        <f t="shared" ref="BR2196:BR2199" si="1350">BQ2196+BR2197</f>
        <v>1212.3</v>
      </c>
      <c r="BS2196" s="17">
        <f>BQ2196*0.7</f>
        <v>0</v>
      </c>
      <c r="BT2196" s="17">
        <f>BS2196+BT2197</f>
        <v>848.6099999999999</v>
      </c>
      <c r="BU2196" s="100"/>
    </row>
    <row r="2197" x14ac:dyDescent="0.25">
      <c r="B2197" t="s">
        <v>450</v>
      </c>
      <c r="C2197" s="19">
        <v>10</v>
      </c>
      <c r="D2197" s="19">
        <v>8.25</v>
      </c>
      <c r="E2197" s="66">
        <f>C21+D21/12</f>
        <v>10.6875</v>
      </c>
      <c r="F2197" s="67">
        <f>IF(E21&gt;0,E21-(C15+C14+2*1.5+IF(C13="single",1.5,3))/12-_xlfn.XLOOKUP(E21,E20,E20,,-1),0)</f>
        <v>8.75</v>
      </c>
      <c r="H2197" s="19">
        <v>236</v>
      </c>
      <c r="I2197" s="64" t="s">
        <v>196</v>
      </c>
      <c r="J2197" s="19">
        <v>33.799999999999997</v>
      </c>
      <c r="K2197" s="19">
        <v>65.599999999999994</v>
      </c>
      <c r="L2197" s="19">
        <v>19.3</v>
      </c>
      <c r="M2197" s="19">
        <v>119.6</v>
      </c>
      <c r="P2197" s="93"/>
      <c r="Q2197" t="s">
        <v>450</v>
      </c>
      <c r="R2197" s="19">
        <f>$H$21</f>
        <v>236</v>
      </c>
      <c r="S2197">
        <f t="shared" ref="S2197:S2202" si="1351">R2197*0.6</f>
        <v>141.6</v>
      </c>
      <c r="T2197">
        <f t="shared" ref="T2197:T2201" si="1352">$C$59/2*R2197</f>
        <v>0</v>
      </c>
      <c r="U2197">
        <f>T2197*0.6</f>
        <v>0</v>
      </c>
      <c r="V2197" s="19">
        <v>33.799999999999997</v>
      </c>
      <c r="W2197">
        <f t="shared" ref="W2197:W2201" si="1353">V2197*0.7</f>
        <v>23.659999999999997</v>
      </c>
      <c r="X2197">
        <f t="shared" ref="X2197:X2201" si="1354">$C$59/2*V2197</f>
        <v>0</v>
      </c>
      <c r="Y2197">
        <f t="shared" ref="Y2197:Y2201" si="1355">X2197*0.7</f>
        <v>0</v>
      </c>
      <c r="Z2197" s="19">
        <f>$H$21</f>
        <v>236</v>
      </c>
      <c r="AA2197">
        <f t="shared" ref="AA2197:AA2201" si="1356">Z2197*0.6</f>
        <v>141.6</v>
      </c>
      <c r="AB2197">
        <f t="shared" ref="AB2197:AB2201" si="1357">$D$59/2*Z2197</f>
        <v>3422</v>
      </c>
      <c r="AC2197">
        <f t="shared" si="1343"/>
        <v>2053.1999999999998</v>
      </c>
      <c r="AD2197" s="19">
        <v>33.799999999999997</v>
      </c>
      <c r="AE2197">
        <f t="shared" ref="AE2197:AE2201" si="1358">AD2197*0.7</f>
        <v>23.659999999999997</v>
      </c>
      <c r="AF2197">
        <f t="shared" ref="AF2197:AF2201" si="1359">$D$59/2*AD2197</f>
        <v>490.09999999999997</v>
      </c>
      <c r="AG2197">
        <f t="shared" ref="AG2197:AG2201" si="1360">AF2197*0.7</f>
        <v>343.06999999999994</v>
      </c>
      <c r="AH2197" s="19">
        <v>0</v>
      </c>
      <c r="AI2197" s="19">
        <v>0</v>
      </c>
      <c r="AJ2197" s="17">
        <f>T2197+AB2197+AH2197</f>
        <v>3422</v>
      </c>
      <c r="AK2197" s="17">
        <f>AK2198+AJ2197</f>
        <v>13166</v>
      </c>
      <c r="AL2197" s="17">
        <f t="shared" ref="AL2197:AL2201" si="1361">AJ2197*0.6</f>
        <v>2053.1999999999998</v>
      </c>
      <c r="AM2197" s="17">
        <f t="shared" ref="AM2197:AM2199" si="1362">AM2198+AL2197</f>
        <v>7899.5999999999995</v>
      </c>
      <c r="AN2197" s="17">
        <f t="shared" ref="AN2197:AN2200" si="1363">X2197+AF2197+AI2197</f>
        <v>490.09999999999997</v>
      </c>
      <c r="AO2197" s="17">
        <f t="shared" si="1344"/>
        <v>1302.0999999999999</v>
      </c>
      <c r="AP2197" s="17">
        <f t="shared" ref="AP2197:AP2200" si="1364">AN2197*0.7</f>
        <v>343.06999999999994</v>
      </c>
      <c r="AQ2197" s="17">
        <f t="shared" si="1344"/>
        <v>911.46999999999991</v>
      </c>
      <c r="AR2197" s="100"/>
      <c r="AS2197" s="93"/>
      <c r="AT2197" t="s">
        <v>450</v>
      </c>
      <c r="AU2197" s="19">
        <f>$H$21</f>
        <v>236</v>
      </c>
      <c r="AV2197">
        <f t="shared" ref="AV2197:AV2202" si="1365">AU2197*0.6</f>
        <v>141.6</v>
      </c>
      <c r="AW2197">
        <f t="shared" si="1345"/>
        <v>0</v>
      </c>
      <c r="AX2197">
        <f>AW2197*0.6</f>
        <v>0</v>
      </c>
      <c r="AY2197" s="19">
        <v>33.799999999999997</v>
      </c>
      <c r="AZ2197">
        <f t="shared" ref="AZ2197:AZ2201" si="1366">AY2197*0.7</f>
        <v>23.659999999999997</v>
      </c>
      <c r="BA2197">
        <f t="shared" si="1346"/>
        <v>0</v>
      </c>
      <c r="BB2197">
        <f t="shared" ref="BB2197:BB2201" si="1367">BA2197*0.7</f>
        <v>0</v>
      </c>
      <c r="BC2197" s="19">
        <f>$H$21</f>
        <v>236</v>
      </c>
      <c r="BD2197">
        <f t="shared" ref="BD2197:BD2201" si="1368">BC2197*0.6</f>
        <v>141.6</v>
      </c>
      <c r="BE2197">
        <f t="shared" si="1347"/>
        <v>3186</v>
      </c>
      <c r="BF2197">
        <f t="shared" si="1348"/>
        <v>1911.6</v>
      </c>
      <c r="BG2197" s="19">
        <v>33.799999999999997</v>
      </c>
      <c r="BH2197">
        <f t="shared" ref="BH2197:BH2201" si="1369">BG2197*0.7</f>
        <v>23.659999999999997</v>
      </c>
      <c r="BI2197">
        <f t="shared" si="1349"/>
        <v>456.29999999999995</v>
      </c>
      <c r="BJ2197">
        <f t="shared" ref="BJ2197:BJ2201" si="1370">BI2197*0.7</f>
        <v>319.40999999999997</v>
      </c>
      <c r="BK2197" s="19">
        <v>0</v>
      </c>
      <c r="BL2197" s="19">
        <v>0</v>
      </c>
      <c r="BM2197" s="17">
        <f>AW2197+BE2197+BK2197</f>
        <v>3186</v>
      </c>
      <c r="BN2197" s="17">
        <f>BN2198+BM2197</f>
        <v>12258</v>
      </c>
      <c r="BO2197" s="17">
        <f t="shared" ref="BO2197" si="1371">BM2197*0.6</f>
        <v>1911.6</v>
      </c>
      <c r="BP2197" s="17">
        <f t="shared" ref="BP2197:BP2199" si="1372">BP2198+BO2197</f>
        <v>7354.7999999999993</v>
      </c>
      <c r="BQ2197" s="17">
        <f t="shared" ref="BQ2197:BQ2200" si="1373">BA2197+BI2197+BL2197</f>
        <v>456.29999999999995</v>
      </c>
      <c r="BR2197" s="17">
        <f t="shared" si="1350"/>
        <v>1212.3</v>
      </c>
      <c r="BS2197" s="17">
        <f t="shared" ref="BS2197:BS2200" si="1374">BQ2197*0.7</f>
        <v>319.40999999999997</v>
      </c>
      <c r="BT2197" s="17">
        <f t="shared" ref="BT2197:BT2199" si="1375">BS2197+BT2198</f>
        <v>848.6099999999999</v>
      </c>
      <c r="BU2197" s="100"/>
    </row>
    <row r="2198" x14ac:dyDescent="0.25">
      <c r="B2198" t="s">
        <v>451</v>
      </c>
      <c r="C2198" s="19">
        <v>21</v>
      </c>
      <c r="D2198" s="19">
        <v>4.5</v>
      </c>
      <c r="E2198" s="66">
        <f t="shared" ref="E22:E25" si="1376">C22+D22/12</f>
        <v>21.375</v>
      </c>
      <c r="F2198" s="67">
        <f>IF(E22&gt;0,E22-(C15+C14+2*1.5+IF(C13="single",1.5,3))/12-_xlfn.XLOOKUP(E22,E20:E21,E20:E21,,-1),0)</f>
        <v>8.75</v>
      </c>
      <c r="H2198" s="19">
        <v>229</v>
      </c>
      <c r="I2198" s="64" t="s">
        <v>196</v>
      </c>
      <c r="J2198" s="19">
        <v>37.1</v>
      </c>
      <c r="K2198" s="19">
        <v>71.8</v>
      </c>
      <c r="L2198" s="19">
        <v>21.1</v>
      </c>
      <c r="M2198" s="19">
        <v>131.1</v>
      </c>
      <c r="P2198" s="93"/>
      <c r="Q2198" t="s">
        <v>451</v>
      </c>
      <c r="R2198" s="19">
        <f>$H$22</f>
        <v>229</v>
      </c>
      <c r="S2198">
        <f t="shared" si="1351"/>
        <v>137.4</v>
      </c>
      <c r="T2198">
        <f t="shared" si="1352"/>
        <v>0</v>
      </c>
      <c r="U2198">
        <f t="shared" ref="U2198:U2202" si="1377">T2198*0.6</f>
        <v>0</v>
      </c>
      <c r="V2198" s="19">
        <v>37.1</v>
      </c>
      <c r="W2198">
        <f t="shared" si="1353"/>
        <v>25.97</v>
      </c>
      <c r="X2198">
        <f>$C$59/2*V2198</f>
        <v>0</v>
      </c>
      <c r="Y2198">
        <f t="shared" si="1355"/>
        <v>0</v>
      </c>
      <c r="Z2198" s="19">
        <f>$H$22</f>
        <v>229</v>
      </c>
      <c r="AA2198">
        <f t="shared" si="1356"/>
        <v>137.4</v>
      </c>
      <c r="AB2198">
        <f t="shared" si="1357"/>
        <v>3320.5</v>
      </c>
      <c r="AC2198">
        <f t="shared" si="1343"/>
        <v>1992.3</v>
      </c>
      <c r="AD2198" s="19">
        <v>37.1</v>
      </c>
      <c r="AE2198">
        <f t="shared" si="1358"/>
        <v>25.97</v>
      </c>
      <c r="AF2198">
        <f t="shared" si="1359"/>
        <v>537.95000000000005</v>
      </c>
      <c r="AG2198">
        <f t="shared" si="1360"/>
        <v>376.565</v>
      </c>
      <c r="AH2198" s="19">
        <v>0</v>
      </c>
      <c r="AI2198" s="19">
        <v>0</v>
      </c>
      <c r="AJ2198" s="17">
        <f t="shared" ref="AJ2198:AJ2200" si="1378">T2198+AB2198+AH2198</f>
        <v>3320.5</v>
      </c>
      <c r="AK2198" s="17">
        <f>AK2199+AJ2198</f>
        <v>9744</v>
      </c>
      <c r="AL2198" s="17">
        <f>AJ2198*0.6</f>
        <v>1992.3</v>
      </c>
      <c r="AM2198" s="17">
        <f t="shared" si="1362"/>
        <v>5846.4</v>
      </c>
      <c r="AN2198" s="17">
        <f t="shared" si="1363"/>
        <v>537.95000000000005</v>
      </c>
      <c r="AO2198" s="17">
        <f t="shared" si="1344"/>
        <v>812</v>
      </c>
      <c r="AP2198" s="17">
        <f t="shared" si="1364"/>
        <v>376.565</v>
      </c>
      <c r="AQ2198" s="17">
        <f t="shared" si="1344"/>
        <v>568.4</v>
      </c>
      <c r="AR2198" s="100"/>
      <c r="AS2198" s="93"/>
      <c r="AT2198" t="s">
        <v>451</v>
      </c>
      <c r="AU2198" s="19">
        <f>$H$22</f>
        <v>229</v>
      </c>
      <c r="AV2198">
        <f t="shared" si="1365"/>
        <v>137.4</v>
      </c>
      <c r="AW2198">
        <f t="shared" si="1345"/>
        <v>0</v>
      </c>
      <c r="AX2198">
        <f t="shared" ref="AX2198:AX2202" si="1379">AW2198*0.6</f>
        <v>0</v>
      </c>
      <c r="AY2198" s="19">
        <v>37.1</v>
      </c>
      <c r="AZ2198">
        <f t="shared" si="1366"/>
        <v>25.97</v>
      </c>
      <c r="BA2198">
        <f t="shared" si="1346"/>
        <v>0</v>
      </c>
      <c r="BB2198">
        <f t="shared" si="1367"/>
        <v>0</v>
      </c>
      <c r="BC2198" s="19">
        <f>$H$22</f>
        <v>229</v>
      </c>
      <c r="BD2198">
        <f t="shared" si="1368"/>
        <v>137.4</v>
      </c>
      <c r="BE2198">
        <f t="shared" si="1347"/>
        <v>3091.5</v>
      </c>
      <c r="BF2198">
        <f t="shared" si="1348"/>
        <v>1854.8999999999999</v>
      </c>
      <c r="BG2198" s="19">
        <v>37.1</v>
      </c>
      <c r="BH2198">
        <f t="shared" si="1369"/>
        <v>25.97</v>
      </c>
      <c r="BI2198">
        <f t="shared" si="1349"/>
        <v>500.85</v>
      </c>
      <c r="BJ2198">
        <f t="shared" si="1370"/>
        <v>350.59499999999997</v>
      </c>
      <c r="BK2198" s="19">
        <v>0</v>
      </c>
      <c r="BL2198" s="19">
        <v>0</v>
      </c>
      <c r="BM2198" s="17">
        <f t="shared" ref="BM2198:BM2200" si="1380">AW2198+BE2198+BK2198</f>
        <v>3091.5</v>
      </c>
      <c r="BN2198" s="17">
        <f>BN2199+BM2198</f>
        <v>9072</v>
      </c>
      <c r="BO2198" s="17">
        <f>BM2198*0.6</f>
        <v>1854.8999999999999</v>
      </c>
      <c r="BP2198" s="17">
        <f t="shared" si="1372"/>
        <v>5443.2</v>
      </c>
      <c r="BQ2198" s="17">
        <f t="shared" si="1373"/>
        <v>500.85</v>
      </c>
      <c r="BR2198" s="17">
        <f t="shared" si="1350"/>
        <v>756</v>
      </c>
      <c r="BS2198" s="17">
        <f t="shared" si="1374"/>
        <v>350.59499999999997</v>
      </c>
      <c r="BT2198" s="17">
        <f t="shared" si="1375"/>
        <v>529.19999999999993</v>
      </c>
      <c r="BU2198" s="100"/>
    </row>
    <row r="2199" x14ac:dyDescent="0.25">
      <c r="B2199" t="s">
        <v>452</v>
      </c>
      <c r="C2199" s="19">
        <v>0</v>
      </c>
      <c r="D2199" s="19">
        <v>0</v>
      </c>
      <c r="E2199" s="66">
        <f t="shared" si="1376"/>
        <v>0</v>
      </c>
      <c r="F2199" s="67">
        <f>IF(E23&gt;0,E23-(C15+C14+2*1.5+IF(C13="single",1.5,3))/12-_xlfn.XLOOKUP(E23,E20:E22,E20:E22,,-1),0)</f>
        <v>0</v>
      </c>
      <c r="H2199" s="19">
        <v>0</v>
      </c>
      <c r="I2199" s="64" t="s">
        <v>196</v>
      </c>
      <c r="J2199" s="19">
        <v>0</v>
      </c>
      <c r="K2199" s="19">
        <v>0</v>
      </c>
      <c r="L2199" s="19">
        <v>0</v>
      </c>
      <c r="M2199" s="19">
        <v>0</v>
      </c>
      <c r="P2199" s="93"/>
      <c r="Q2199" t="s">
        <v>452</v>
      </c>
      <c r="R2199" s="19">
        <f>$H$23</f>
        <v>0</v>
      </c>
      <c r="S2199">
        <f t="shared" si="1351"/>
        <v>0</v>
      </c>
      <c r="T2199">
        <f t="shared" si="1352"/>
        <v>0</v>
      </c>
      <c r="U2199">
        <f t="shared" si="1377"/>
        <v>0</v>
      </c>
      <c r="V2199" s="19">
        <v>0</v>
      </c>
      <c r="W2199">
        <f t="shared" si="1353"/>
        <v>0</v>
      </c>
      <c r="X2199">
        <f t="shared" si="1354"/>
        <v>0</v>
      </c>
      <c r="Y2199">
        <f t="shared" si="1355"/>
        <v>0</v>
      </c>
      <c r="Z2199" s="19">
        <f>$H$23</f>
        <v>0</v>
      </c>
      <c r="AA2199">
        <f t="shared" si="1356"/>
        <v>0</v>
      </c>
      <c r="AB2199">
        <f t="shared" si="1357"/>
        <v>0</v>
      </c>
      <c r="AC2199">
        <f t="shared" si="1343"/>
        <v>0</v>
      </c>
      <c r="AD2199" s="19">
        <v>0</v>
      </c>
      <c r="AE2199">
        <f t="shared" si="1358"/>
        <v>0</v>
      </c>
      <c r="AF2199">
        <f t="shared" si="1359"/>
        <v>0</v>
      </c>
      <c r="AG2199">
        <f t="shared" si="1360"/>
        <v>0</v>
      </c>
      <c r="AH2199" s="19">
        <v>0</v>
      </c>
      <c r="AI2199" s="19">
        <v>0</v>
      </c>
      <c r="AJ2199" s="17">
        <f t="shared" si="1378"/>
        <v>0</v>
      </c>
      <c r="AK2199" s="17">
        <f>AK2200+AJ2199</f>
        <v>6423.5</v>
      </c>
      <c r="AL2199" s="17">
        <f>AJ2199*0.6</f>
        <v>0</v>
      </c>
      <c r="AM2199" s="17">
        <f t="shared" si="1362"/>
        <v>3854.1</v>
      </c>
      <c r="AN2199" s="17">
        <f t="shared" si="1363"/>
        <v>0</v>
      </c>
      <c r="AO2199" s="17">
        <f t="shared" si="1344"/>
        <v>274.04999999999995</v>
      </c>
      <c r="AP2199" s="17">
        <f t="shared" si="1364"/>
        <v>0</v>
      </c>
      <c r="AQ2199" s="17">
        <f t="shared" si="1344"/>
        <v>191.83499999999995</v>
      </c>
      <c r="AR2199" s="100"/>
      <c r="AS2199" s="93"/>
      <c r="AT2199" t="s">
        <v>452</v>
      </c>
      <c r="AU2199" s="19">
        <f>$H$23</f>
        <v>0</v>
      </c>
      <c r="AV2199">
        <f t="shared" si="1365"/>
        <v>0</v>
      </c>
      <c r="AW2199">
        <f t="shared" si="1345"/>
        <v>0</v>
      </c>
      <c r="AX2199">
        <f t="shared" si="1379"/>
        <v>0</v>
      </c>
      <c r="AY2199" s="19">
        <v>0</v>
      </c>
      <c r="AZ2199">
        <f t="shared" si="1366"/>
        <v>0</v>
      </c>
      <c r="BA2199">
        <f t="shared" si="1346"/>
        <v>0</v>
      </c>
      <c r="BB2199">
        <f t="shared" si="1367"/>
        <v>0</v>
      </c>
      <c r="BC2199" s="19">
        <f>$H$23</f>
        <v>0</v>
      </c>
      <c r="BD2199">
        <f t="shared" si="1368"/>
        <v>0</v>
      </c>
      <c r="BE2199">
        <f t="shared" si="1347"/>
        <v>0</v>
      </c>
      <c r="BF2199">
        <f t="shared" si="1348"/>
        <v>0</v>
      </c>
      <c r="BG2199" s="19">
        <v>0</v>
      </c>
      <c r="BH2199">
        <f t="shared" si="1369"/>
        <v>0</v>
      </c>
      <c r="BI2199">
        <f t="shared" si="1349"/>
        <v>0</v>
      </c>
      <c r="BJ2199">
        <f t="shared" si="1370"/>
        <v>0</v>
      </c>
      <c r="BK2199" s="19">
        <v>0</v>
      </c>
      <c r="BL2199" s="19">
        <v>0</v>
      </c>
      <c r="BM2199" s="17">
        <f t="shared" si="1380"/>
        <v>0</v>
      </c>
      <c r="BN2199" s="17">
        <f>BN2200+BM2199</f>
        <v>5980.5</v>
      </c>
      <c r="BO2199" s="17">
        <f>BM2199*0.6</f>
        <v>0</v>
      </c>
      <c r="BP2199" s="17">
        <f t="shared" si="1372"/>
        <v>3588.2999999999997</v>
      </c>
      <c r="BQ2199" s="17">
        <f t="shared" si="1373"/>
        <v>0</v>
      </c>
      <c r="BR2199" s="17">
        <f t="shared" si="1350"/>
        <v>255.14999999999998</v>
      </c>
      <c r="BS2199" s="17">
        <f t="shared" si="1374"/>
        <v>0</v>
      </c>
      <c r="BT2199" s="17">
        <f t="shared" si="1375"/>
        <v>178.60499999999996</v>
      </c>
      <c r="BU2199" s="100"/>
    </row>
    <row r="2200" x14ac:dyDescent="0.25">
      <c r="B2200" t="s">
        <v>453</v>
      </c>
      <c r="C2200" s="19">
        <v>0</v>
      </c>
      <c r="D2200" s="19">
        <v>0</v>
      </c>
      <c r="E2200" s="66">
        <f t="shared" si="1376"/>
        <v>0</v>
      </c>
      <c r="F2200" s="67">
        <f>IF(E24&gt;0,E24-(C15+C14+2*1.5+IF(C13="single",1.5,3))/12-_xlfn.XLOOKUP(E24,E20:E23,E20:E23,,-1),0)</f>
        <v>0</v>
      </c>
      <c r="H2200" s="19">
        <v>0</v>
      </c>
      <c r="I2200" s="64" t="s">
        <v>196</v>
      </c>
      <c r="J2200" s="19">
        <v>0</v>
      </c>
      <c r="K2200" s="19">
        <v>0</v>
      </c>
      <c r="L2200" s="19">
        <v>0</v>
      </c>
      <c r="M2200" s="19">
        <v>0</v>
      </c>
      <c r="P2200" s="93"/>
      <c r="Q2200" t="s">
        <v>453</v>
      </c>
      <c r="R2200" s="19">
        <f>$H$24</f>
        <v>0</v>
      </c>
      <c r="S2200">
        <f t="shared" si="1351"/>
        <v>0</v>
      </c>
      <c r="T2200">
        <f t="shared" si="1352"/>
        <v>0</v>
      </c>
      <c r="U2200">
        <f t="shared" si="1377"/>
        <v>0</v>
      </c>
      <c r="V2200" s="19">
        <v>0</v>
      </c>
      <c r="W2200">
        <f t="shared" si="1353"/>
        <v>0</v>
      </c>
      <c r="X2200">
        <f t="shared" si="1354"/>
        <v>0</v>
      </c>
      <c r="Y2200">
        <f t="shared" si="1355"/>
        <v>0</v>
      </c>
      <c r="Z2200" s="19">
        <f>$H$24</f>
        <v>0</v>
      </c>
      <c r="AA2200">
        <f t="shared" si="1356"/>
        <v>0</v>
      </c>
      <c r="AB2200">
        <f t="shared" si="1357"/>
        <v>0</v>
      </c>
      <c r="AC2200">
        <f t="shared" si="1343"/>
        <v>0</v>
      </c>
      <c r="AD2200" s="19">
        <v>0</v>
      </c>
      <c r="AE2200">
        <f t="shared" si="1358"/>
        <v>0</v>
      </c>
      <c r="AF2200">
        <f t="shared" si="1359"/>
        <v>0</v>
      </c>
      <c r="AG2200">
        <f t="shared" si="1360"/>
        <v>0</v>
      </c>
      <c r="AH2200" s="19">
        <v>0</v>
      </c>
      <c r="AI2200" s="19">
        <v>0</v>
      </c>
      <c r="AJ2200" s="17">
        <f t="shared" si="1378"/>
        <v>0</v>
      </c>
      <c r="AK2200" s="17">
        <f>AK2201+IF(AJ2200=0,0,AJ2200)</f>
        <v>6423.5</v>
      </c>
      <c r="AL2200" s="17">
        <f t="shared" si="1361"/>
        <v>0</v>
      </c>
      <c r="AM2200" s="17">
        <f>AM2201+AL2200</f>
        <v>3854.1</v>
      </c>
      <c r="AN2200" s="17">
        <f t="shared" si="1363"/>
        <v>0</v>
      </c>
      <c r="AO2200" s="17">
        <f>AN2200+AO2201</f>
        <v>274.04999999999995</v>
      </c>
      <c r="AP2200" s="17">
        <f t="shared" si="1364"/>
        <v>0</v>
      </c>
      <c r="AQ2200" s="17">
        <f>AP2200+AQ2201</f>
        <v>191.83499999999995</v>
      </c>
      <c r="AR2200" s="100"/>
      <c r="AS2200" s="93"/>
      <c r="AT2200" t="s">
        <v>453</v>
      </c>
      <c r="AU2200" s="19">
        <f>$H$24</f>
        <v>0</v>
      </c>
      <c r="AV2200">
        <f t="shared" si="1365"/>
        <v>0</v>
      </c>
      <c r="AW2200">
        <f t="shared" si="1345"/>
        <v>0</v>
      </c>
      <c r="AX2200">
        <f t="shared" si="1379"/>
        <v>0</v>
      </c>
      <c r="AY2200" s="19">
        <v>0</v>
      </c>
      <c r="AZ2200">
        <f t="shared" si="1366"/>
        <v>0</v>
      </c>
      <c r="BA2200">
        <f t="shared" si="1346"/>
        <v>0</v>
      </c>
      <c r="BB2200">
        <f t="shared" si="1367"/>
        <v>0</v>
      </c>
      <c r="BC2200" s="19">
        <f>$H$24</f>
        <v>0</v>
      </c>
      <c r="BD2200">
        <f t="shared" si="1368"/>
        <v>0</v>
      </c>
      <c r="BE2200">
        <f t="shared" si="1347"/>
        <v>0</v>
      </c>
      <c r="BF2200">
        <f t="shared" si="1348"/>
        <v>0</v>
      </c>
      <c r="BG2200" s="19">
        <v>0</v>
      </c>
      <c r="BH2200">
        <f t="shared" si="1369"/>
        <v>0</v>
      </c>
      <c r="BI2200">
        <f t="shared" si="1349"/>
        <v>0</v>
      </c>
      <c r="BJ2200">
        <f t="shared" si="1370"/>
        <v>0</v>
      </c>
      <c r="BK2200" s="19">
        <v>0</v>
      </c>
      <c r="BL2200" s="19">
        <v>0</v>
      </c>
      <c r="BM2200" s="17">
        <f t="shared" si="1380"/>
        <v>0</v>
      </c>
      <c r="BN2200" s="17">
        <f>BN2201+IF(BM2200=0,0,BM2200)</f>
        <v>5980.5</v>
      </c>
      <c r="BO2200" s="17">
        <f t="shared" ref="BO2200:BO2201" si="1381">BM2200*0.6</f>
        <v>0</v>
      </c>
      <c r="BP2200" s="17">
        <f>BP2201+BO2200</f>
        <v>3588.2999999999997</v>
      </c>
      <c r="BQ2200" s="17">
        <f t="shared" si="1373"/>
        <v>0</v>
      </c>
      <c r="BR2200" s="17">
        <f>BQ2200+BR2201</f>
        <v>255.14999999999998</v>
      </c>
      <c r="BS2200" s="17">
        <f t="shared" si="1374"/>
        <v>0</v>
      </c>
      <c r="BT2200" s="17">
        <f>BS2200+BT2201</f>
        <v>178.60499999999996</v>
      </c>
      <c r="BU2200" s="100"/>
    </row>
    <row r="2201" x14ac:dyDescent="0.25">
      <c r="B2201" t="s">
        <v>275</v>
      </c>
      <c r="C2201" s="19">
        <f>(33+32)/2</f>
        <v>32.5</v>
      </c>
      <c r="D2201" s="19">
        <f>(10.5+5.625)/2</f>
        <v>8.0625</v>
      </c>
      <c r="E2201" s="68">
        <f t="shared" si="1376"/>
        <v>33.171875</v>
      </c>
      <c r="F2201" s="69">
        <f>E25-(C17+C16+2*1.5+IF(C13="single",1.5,3))/12-_xlfn.XLOOKUP(E25,E20:E24,E20:E24,,-1)</f>
        <v>8.6770833333333321</v>
      </c>
      <c r="H2201" s="19">
        <v>443</v>
      </c>
      <c r="I2201" s="64" t="s">
        <v>196</v>
      </c>
      <c r="J2201" s="19">
        <v>18.899999999999999</v>
      </c>
      <c r="K2201" s="19">
        <v>36.6</v>
      </c>
      <c r="L2201" s="19">
        <v>10.8</v>
      </c>
      <c r="M2201" s="19">
        <v>66.7</v>
      </c>
      <c r="P2201" s="93"/>
      <c r="Q2201" t="s">
        <v>275</v>
      </c>
      <c r="R2201" s="19">
        <f>$H$25</f>
        <v>443</v>
      </c>
      <c r="S2201">
        <f t="shared" si="1351"/>
        <v>265.8</v>
      </c>
      <c r="T2201">
        <f t="shared" si="1352"/>
        <v>0</v>
      </c>
      <c r="U2201">
        <f t="shared" si="1377"/>
        <v>0</v>
      </c>
      <c r="V2201" s="19">
        <v>18.899999999999999</v>
      </c>
      <c r="W2201">
        <f t="shared" si="1353"/>
        <v>13.229999999999999</v>
      </c>
      <c r="X2201">
        <f t="shared" si="1354"/>
        <v>0</v>
      </c>
      <c r="Y2201">
        <f t="shared" si="1355"/>
        <v>0</v>
      </c>
      <c r="Z2201" s="19">
        <f>$H$25</f>
        <v>443</v>
      </c>
      <c r="AA2201">
        <f t="shared" si="1356"/>
        <v>265.8</v>
      </c>
      <c r="AB2201">
        <f t="shared" si="1357"/>
        <v>6423.5</v>
      </c>
      <c r="AC2201">
        <f t="shared" si="1343"/>
        <v>3854.1</v>
      </c>
      <c r="AD2201" s="19">
        <v>18.899999999999999</v>
      </c>
      <c r="AE2201">
        <f t="shared" si="1358"/>
        <v>13.229999999999999</v>
      </c>
      <c r="AF2201">
        <f t="shared" si="1359"/>
        <v>274.04999999999995</v>
      </c>
      <c r="AG2201">
        <f t="shared" si="1360"/>
        <v>191.83499999999995</v>
      </c>
      <c r="AH2201" s="19">
        <v>0</v>
      </c>
      <c r="AI2201" s="19">
        <v>0</v>
      </c>
      <c r="AJ2201" s="17">
        <f>T2201+AB2201+AH2201</f>
        <v>6423.5</v>
      </c>
      <c r="AK2201" s="17">
        <f>AJ2201</f>
        <v>6423.5</v>
      </c>
      <c r="AL2201" s="17">
        <f t="shared" si="1361"/>
        <v>3854.1</v>
      </c>
      <c r="AM2201" s="17">
        <f>AL2201</f>
        <v>3854.1</v>
      </c>
      <c r="AN2201" s="17">
        <f>X2201+AF2201+AI2201</f>
        <v>274.04999999999995</v>
      </c>
      <c r="AO2201" s="17">
        <f>AN2201</f>
        <v>274.04999999999995</v>
      </c>
      <c r="AP2201" s="17">
        <f>AN2201*0.7</f>
        <v>191.83499999999995</v>
      </c>
      <c r="AQ2201" s="17">
        <f>AP2201</f>
        <v>191.83499999999995</v>
      </c>
      <c r="AR2201" s="100"/>
      <c r="AS2201" s="93"/>
      <c r="AT2201" t="s">
        <v>275</v>
      </c>
      <c r="AU2201" s="19">
        <f>$H$25</f>
        <v>443</v>
      </c>
      <c r="AV2201">
        <f t="shared" si="1365"/>
        <v>265.8</v>
      </c>
      <c r="AW2201">
        <f t="shared" si="1345"/>
        <v>0</v>
      </c>
      <c r="AX2201">
        <f t="shared" si="1379"/>
        <v>0</v>
      </c>
      <c r="AY2201" s="19">
        <v>18.899999999999999</v>
      </c>
      <c r="AZ2201">
        <f t="shared" si="1366"/>
        <v>13.229999999999999</v>
      </c>
      <c r="BA2201">
        <f t="shared" si="1346"/>
        <v>0</v>
      </c>
      <c r="BB2201">
        <f t="shared" si="1367"/>
        <v>0</v>
      </c>
      <c r="BC2201" s="19">
        <f>$H$25</f>
        <v>443</v>
      </c>
      <c r="BD2201">
        <f t="shared" si="1368"/>
        <v>265.8</v>
      </c>
      <c r="BE2201">
        <f t="shared" si="1347"/>
        <v>5980.5</v>
      </c>
      <c r="BF2201">
        <f t="shared" si="1348"/>
        <v>3588.2999999999997</v>
      </c>
      <c r="BG2201" s="19">
        <v>18.899999999999999</v>
      </c>
      <c r="BH2201">
        <f t="shared" si="1369"/>
        <v>13.229999999999999</v>
      </c>
      <c r="BI2201">
        <f t="shared" si="1349"/>
        <v>255.14999999999998</v>
      </c>
      <c r="BJ2201">
        <f t="shared" si="1370"/>
        <v>178.60499999999996</v>
      </c>
      <c r="BK2201" s="19">
        <v>0</v>
      </c>
      <c r="BL2201" s="19">
        <v>0</v>
      </c>
      <c r="BM2201" s="17">
        <f>AW2201+BE2201+BK2201</f>
        <v>5980.5</v>
      </c>
      <c r="BN2201" s="17">
        <f>BM2201</f>
        <v>5980.5</v>
      </c>
      <c r="BO2201" s="17">
        <f t="shared" si="1381"/>
        <v>3588.2999999999997</v>
      </c>
      <c r="BP2201" s="17">
        <f>BO2201</f>
        <v>3588.2999999999997</v>
      </c>
      <c r="BQ2201" s="17">
        <f>BA2201+BI2201+BL2201</f>
        <v>255.14999999999998</v>
      </c>
      <c r="BR2201" s="17">
        <f>BQ2201</f>
        <v>255.14999999999998</v>
      </c>
      <c r="BS2201" s="17">
        <f>BQ2201*0.7</f>
        <v>178.60499999999996</v>
      </c>
      <c r="BT2201" s="17">
        <f>BS2201</f>
        <v>178.60499999999996</v>
      </c>
      <c r="BU2201" s="100"/>
    </row>
    <row r="2202" x14ac:dyDescent="0.25">
      <c r="B2202" t="s">
        <v>530</v>
      </c>
      <c r="E2202" s="73"/>
      <c r="F2202" s="73"/>
      <c r="H2202" s="19">
        <v>-22.9</v>
      </c>
      <c r="I2202" s="64" t="s">
        <v>270</v>
      </c>
      <c r="P2202" s="93"/>
      <c r="R2202" s="19">
        <f>$H$26</f>
        <v>-22.9</v>
      </c>
      <c r="S2202">
        <f t="shared" si="1351"/>
        <v>-13.739999999999998</v>
      </c>
      <c r="T2202">
        <f>$I$59/2*R2202</f>
        <v>0</v>
      </c>
      <c r="U2202">
        <f t="shared" si="1377"/>
        <v>0</v>
      </c>
      <c r="Z2202" s="19">
        <f>$H$26</f>
        <v>-22.9</v>
      </c>
      <c r="AA2202">
        <f>Z2202*0.6</f>
        <v>-13.739999999999998</v>
      </c>
      <c r="AB2202">
        <f>$J$59/2*Z2202</f>
        <v>-309.14999999999998</v>
      </c>
      <c r="AC2202">
        <f t="shared" si="1343"/>
        <v>-185.48999999999998</v>
      </c>
      <c r="AR2202" s="100"/>
      <c r="AS2202" s="93"/>
      <c r="AU2202" s="19">
        <f>$H$26</f>
        <v>-22.9</v>
      </c>
      <c r="AV2202">
        <f t="shared" si="1365"/>
        <v>-13.739999999999998</v>
      </c>
      <c r="AW2202">
        <f t="shared" si="1345"/>
        <v>0</v>
      </c>
      <c r="AX2202">
        <f t="shared" si="1379"/>
        <v>0</v>
      </c>
      <c r="BC2202" s="19">
        <f>$H$26</f>
        <v>-22.9</v>
      </c>
      <c r="BD2202">
        <f>BC2202*0.6</f>
        <v>-13.739999999999998</v>
      </c>
      <c r="BE2202">
        <f t="shared" si="1347"/>
        <v>-309.14999999999998</v>
      </c>
      <c r="BF2202">
        <f t="shared" si="1348"/>
        <v>-185.48999999999998</v>
      </c>
      <c r="BU2202" s="100"/>
    </row>
    <row r="2203" x14ac:dyDescent="0.25">
      <c r="B2203" t="s">
        <v>531</v>
      </c>
      <c r="C2203" s="1" t="s">
        <v>533</v>
      </c>
      <c r="D2203" s="19">
        <v>0.18</v>
      </c>
      <c r="E2203" s="73"/>
      <c r="F2203" s="73"/>
      <c r="H2203">
        <f>0.2*D27</f>
        <v>3.5999999999999997E-2</v>
      </c>
      <c r="I2203" s="64" t="s">
        <v>534</v>
      </c>
      <c r="P2203" s="93"/>
      <c r="Q2203" s="1"/>
      <c r="AR2203" s="100"/>
      <c r="AS2203" s="93"/>
      <c r="AT2203" s="1"/>
      <c r="BU2203" s="100"/>
    </row>
    <row r="2204" x14ac:dyDescent="0.25">
      <c r="P2204" s="93"/>
      <c r="Y2204" s="112" t="s">
        <v>752</v>
      </c>
      <c r="Z2204" s="112"/>
      <c r="AA2204" s="112"/>
      <c r="AB2204" s="112"/>
      <c r="AC2204" s="112"/>
      <c r="AR2204" s="100"/>
      <c r="AS2204" s="93"/>
      <c r="BB2204" s="112" t="s">
        <v>752</v>
      </c>
      <c r="BC2204" s="112"/>
      <c r="BD2204" s="112"/>
      <c r="BE2204" s="112"/>
      <c r="BF2204" s="112"/>
      <c r="BU2204" s="100"/>
    </row>
    <row r="2205" x14ac:dyDescent="0.25">
      <c r="B2205" t="s">
        <v>513</v>
      </c>
      <c r="P2205" s="93"/>
      <c r="Q2205" t="s">
        <v>479</v>
      </c>
      <c r="R2205" t="s">
        <v>491</v>
      </c>
      <c r="S2205" t="s">
        <v>508</v>
      </c>
      <c r="T2205" t="s">
        <v>507</v>
      </c>
      <c r="U2205" t="s">
        <v>535</v>
      </c>
      <c r="V2205" t="s">
        <v>536</v>
      </c>
      <c r="W2205" t="s">
        <v>479</v>
      </c>
      <c r="X2205" t="s">
        <v>537</v>
      </c>
      <c r="Y2205" t="s">
        <v>450</v>
      </c>
      <c r="Z2205" t="s">
        <v>451</v>
      </c>
      <c r="AA2205" t="s">
        <v>452</v>
      </c>
      <c r="AB2205" t="s">
        <v>453</v>
      </c>
      <c r="AC2205" t="s">
        <v>753</v>
      </c>
      <c r="AD2205" t="s">
        <v>519</v>
      </c>
      <c r="AR2205" s="100"/>
      <c r="AS2205" s="93"/>
      <c r="AT2205" t="s">
        <v>479</v>
      </c>
      <c r="AU2205" t="s">
        <v>491</v>
      </c>
      <c r="AV2205" t="s">
        <v>508</v>
      </c>
      <c r="AW2205" t="s">
        <v>507</v>
      </c>
      <c r="AX2205" t="s">
        <v>535</v>
      </c>
      <c r="AY2205" t="s">
        <v>536</v>
      </c>
      <c r="AZ2205" t="s">
        <v>479</v>
      </c>
      <c r="BA2205" t="s">
        <v>537</v>
      </c>
      <c r="BB2205" t="s">
        <v>450</v>
      </c>
      <c r="BC2205" t="s">
        <v>451</v>
      </c>
      <c r="BD2205" t="s">
        <v>452</v>
      </c>
      <c r="BE2205" t="s">
        <v>453</v>
      </c>
      <c r="BF2205" t="s">
        <v>753</v>
      </c>
      <c r="BG2205" t="s">
        <v>519</v>
      </c>
      <c r="BU2205" s="100"/>
    </row>
    <row r="2206" x14ac:dyDescent="0.25">
      <c r="B2206" s="1" t="s">
        <v>275</v>
      </c>
      <c r="C2206" s="19">
        <v>20</v>
      </c>
      <c r="D2206" t="s">
        <v>567</v>
      </c>
      <c r="P2206" s="93"/>
      <c r="Q2206" s="109" t="str">
        <f>R2192&amp;".01"</f>
        <v>A.01</v>
      </c>
      <c r="R2206" s="19">
        <v>29</v>
      </c>
      <c r="S2206" s="19">
        <v>12</v>
      </c>
      <c r="T2206">
        <f>S2206/2</f>
        <v>6</v>
      </c>
      <c r="U2206" s="19">
        <v>4</v>
      </c>
      <c r="V2206">
        <f>U2206/2</f>
        <v>2</v>
      </c>
      <c r="W2206" s="19" t="s">
        <v>515</v>
      </c>
      <c r="X2206" s="19">
        <v>6</v>
      </c>
      <c r="Y2206" s="19"/>
      <c r="Z2206" s="19"/>
      <c r="AA2206" s="19"/>
      <c r="AB2206" s="19"/>
      <c r="AC2206" s="19"/>
      <c r="AD2206" s="108">
        <f>R2206/R2222</f>
        <v>1</v>
      </c>
      <c r="AR2206" s="100"/>
      <c r="AS2206" s="93"/>
      <c r="AT2206" s="109" t="str">
        <f>AU$2192&amp;".01"</f>
        <v>1.01</v>
      </c>
      <c r="AU2206" s="19">
        <v>29</v>
      </c>
      <c r="AV2206" s="19">
        <v>12</v>
      </c>
      <c r="AW2206">
        <f>AV2206/2</f>
        <v>6</v>
      </c>
      <c r="AX2206" s="19">
        <v>4</v>
      </c>
      <c r="AY2206">
        <f>AX2206/2</f>
        <v>2</v>
      </c>
      <c r="AZ2206" s="19" t="s">
        <v>515</v>
      </c>
      <c r="BA2206" s="19">
        <v>6</v>
      </c>
      <c r="BB2206" s="19"/>
      <c r="BC2206" s="19"/>
      <c r="BD2206" s="19"/>
      <c r="BE2206" s="19"/>
      <c r="BF2206" s="19"/>
      <c r="BG2206" s="108">
        <f>AU2206/AU2222</f>
        <v>1</v>
      </c>
      <c r="BU2206" s="100"/>
    </row>
    <row r="2207" x14ac:dyDescent="0.25">
      <c r="B2207" s="1"/>
      <c r="C2207">
        <f>0.9*C30</f>
        <v>18</v>
      </c>
      <c r="D2207" t="s">
        <v>532</v>
      </c>
      <c r="P2207" s="93"/>
      <c r="Q2207" s="109" t="str">
        <f>R2192&amp;".02"</f>
        <v>A.02</v>
      </c>
      <c r="R2207" s="19"/>
      <c r="S2207" s="19"/>
      <c r="T2207">
        <f t="shared" ref="T2207:T2221" si="1382">S2207/2</f>
        <v>0</v>
      </c>
      <c r="U2207" s="19"/>
      <c r="V2207">
        <f t="shared" ref="V2207:V2221" si="1383">U2207/2</f>
        <v>0</v>
      </c>
      <c r="W2207" s="19"/>
      <c r="X2207" s="19"/>
      <c r="Y2207" s="19"/>
      <c r="Z2207" s="19"/>
      <c r="AA2207" s="19"/>
      <c r="AB2207" s="19"/>
      <c r="AC2207" s="19"/>
      <c r="AR2207" s="100"/>
      <c r="AS2207" s="93"/>
      <c r="AT2207" s="109" t="str">
        <f>AU$2192&amp;".02"</f>
        <v>1.02</v>
      </c>
      <c r="AU2207" s="19"/>
      <c r="AV2207" s="19"/>
      <c r="AW2207">
        <f t="shared" ref="AW2207:AW2221" si="1384">AV2207/2</f>
        <v>0</v>
      </c>
      <c r="AX2207" s="19"/>
      <c r="AY2207">
        <f t="shared" ref="AY2207:AY2221" si="1385">AX2207/2</f>
        <v>0</v>
      </c>
      <c r="AZ2207" s="19"/>
      <c r="BA2207" s="19"/>
      <c r="BB2207" s="19"/>
      <c r="BC2207" s="19"/>
      <c r="BD2207" s="19"/>
      <c r="BE2207" s="19"/>
      <c r="BF2207" s="19"/>
      <c r="BU2207" s="100"/>
    </row>
    <row r="2208" x14ac:dyDescent="0.25">
      <c r="B2208" s="1" t="s">
        <v>514</v>
      </c>
      <c r="C2208" s="19">
        <v>26</v>
      </c>
      <c r="D2208" t="s">
        <v>512</v>
      </c>
      <c r="P2208" s="93"/>
      <c r="Q2208" s="109" t="str">
        <f>R2192&amp;".03"</f>
        <v>A.03</v>
      </c>
      <c r="R2208" s="19"/>
      <c r="S2208" s="19"/>
      <c r="T2208">
        <f t="shared" si="1382"/>
        <v>0</v>
      </c>
      <c r="U2208" s="19"/>
      <c r="V2208">
        <f t="shared" si="1383"/>
        <v>0</v>
      </c>
      <c r="W2208" s="19"/>
      <c r="X2208" s="19"/>
      <c r="Y2208" s="19"/>
      <c r="Z2208" s="19"/>
      <c r="AA2208" s="19"/>
      <c r="AB2208" s="19"/>
      <c r="AC2208" s="19"/>
      <c r="AR2208" s="100"/>
      <c r="AS2208" s="93"/>
      <c r="AT2208" s="109" t="str">
        <f>AU$2192&amp;".03"</f>
        <v>1.03</v>
      </c>
      <c r="AU2208" s="19"/>
      <c r="AV2208" s="19"/>
      <c r="AW2208">
        <f t="shared" si="1384"/>
        <v>0</v>
      </c>
      <c r="AX2208" s="19"/>
      <c r="AY2208">
        <f t="shared" si="1385"/>
        <v>0</v>
      </c>
      <c r="AZ2208" s="19"/>
      <c r="BA2208" s="19"/>
      <c r="BB2208" s="19"/>
      <c r="BC2208" s="19"/>
      <c r="BD2208" s="19"/>
      <c r="BE2208" s="19"/>
      <c r="BF2208" s="19"/>
      <c r="BU2208" s="100"/>
    </row>
    <row r="2209" x14ac:dyDescent="0.25">
      <c r="B2209" s="1" t="s">
        <v>477</v>
      </c>
      <c r="C2209" s="19">
        <v>11</v>
      </c>
      <c r="D2209" t="s">
        <v>509</v>
      </c>
      <c r="P2209" s="93"/>
      <c r="Q2209" s="109" t="str">
        <f>R2192&amp;".04"</f>
        <v>A.04</v>
      </c>
      <c r="R2209" s="19"/>
      <c r="S2209" s="19"/>
      <c r="T2209">
        <f t="shared" si="1382"/>
        <v>0</v>
      </c>
      <c r="U2209" s="19"/>
      <c r="V2209">
        <f t="shared" si="1383"/>
        <v>0</v>
      </c>
      <c r="W2209" s="19"/>
      <c r="X2209" s="19"/>
      <c r="Y2209" s="19"/>
      <c r="Z2209" s="19"/>
      <c r="AA2209" s="19"/>
      <c r="AB2209" s="19"/>
      <c r="AC2209" s="19"/>
      <c r="AR2209" s="100"/>
      <c r="AS2209" s="93"/>
      <c r="AT2209" s="109" t="str">
        <f>AU$2192&amp;".04"</f>
        <v>1.04</v>
      </c>
      <c r="AU2209" s="19"/>
      <c r="AV2209" s="19"/>
      <c r="AW2209">
        <f t="shared" si="1384"/>
        <v>0</v>
      </c>
      <c r="AX2209" s="19"/>
      <c r="AY2209">
        <f t="shared" si="1385"/>
        <v>0</v>
      </c>
      <c r="AZ2209" s="19"/>
      <c r="BA2209" s="19"/>
      <c r="BB2209" s="19"/>
      <c r="BC2209" s="19"/>
      <c r="BD2209" s="19"/>
      <c r="BE2209" s="19"/>
      <c r="BF2209" s="19"/>
      <c r="BU2209" s="100"/>
    </row>
    <row r="2210" x14ac:dyDescent="0.25">
      <c r="B2210" s="1" t="s">
        <v>478</v>
      </c>
      <c r="C2210" s="19">
        <v>13</v>
      </c>
      <c r="D2210" t="s">
        <v>510</v>
      </c>
      <c r="P2210" s="93"/>
      <c r="Q2210" s="109" t="str">
        <f>R2192&amp;".05"</f>
        <v>A.05</v>
      </c>
      <c r="R2210" s="19"/>
      <c r="S2210" s="19"/>
      <c r="T2210">
        <f t="shared" si="1382"/>
        <v>0</v>
      </c>
      <c r="U2210" s="19"/>
      <c r="V2210">
        <f t="shared" si="1383"/>
        <v>0</v>
      </c>
      <c r="W2210" s="19"/>
      <c r="X2210" s="19"/>
      <c r="Y2210" s="19"/>
      <c r="Z2210" s="19"/>
      <c r="AA2210" s="19"/>
      <c r="AB2210" s="19"/>
      <c r="AC2210" s="19"/>
      <c r="AR2210" s="100"/>
      <c r="AS2210" s="93"/>
      <c r="AT2210" s="109" t="str">
        <f>AU$2192&amp;".05"</f>
        <v>1.05</v>
      </c>
      <c r="AU2210" s="19"/>
      <c r="AV2210" s="19"/>
      <c r="AW2210">
        <f t="shared" si="1384"/>
        <v>0</v>
      </c>
      <c r="AX2210" s="19"/>
      <c r="AY2210">
        <f t="shared" si="1385"/>
        <v>0</v>
      </c>
      <c r="AZ2210" s="19"/>
      <c r="BA2210" s="19"/>
      <c r="BB2210" s="19"/>
      <c r="BC2210" s="19"/>
      <c r="BD2210" s="19"/>
      <c r="BE2210" s="19"/>
      <c r="BF2210" s="19"/>
      <c r="BU2210" s="100"/>
    </row>
    <row r="2211" x14ac:dyDescent="0.25">
      <c r="B2211" s="1" t="s">
        <v>515</v>
      </c>
      <c r="C2211" s="19">
        <v>18</v>
      </c>
      <c r="D2211" t="s">
        <v>511</v>
      </c>
      <c r="P2211" s="93"/>
      <c r="Q2211" s="109" t="str">
        <f>R2192&amp;".06"</f>
        <v>A.06</v>
      </c>
      <c r="R2211" s="19"/>
      <c r="S2211" s="19"/>
      <c r="T2211">
        <f t="shared" si="1382"/>
        <v>0</v>
      </c>
      <c r="U2211" s="19"/>
      <c r="V2211">
        <f t="shared" si="1383"/>
        <v>0</v>
      </c>
      <c r="W2211" s="19"/>
      <c r="X2211" s="19"/>
      <c r="Y2211" s="19"/>
      <c r="Z2211" s="19"/>
      <c r="AA2211" s="19"/>
      <c r="AB2211" s="19"/>
      <c r="AC2211" s="19"/>
      <c r="AR2211" s="100"/>
      <c r="AS2211" s="93"/>
      <c r="AT2211" s="109" t="str">
        <f>AU$2192&amp;".06"</f>
        <v>1.06</v>
      </c>
      <c r="AU2211" s="19"/>
      <c r="AV2211" s="19"/>
      <c r="AW2211">
        <f t="shared" si="1384"/>
        <v>0</v>
      </c>
      <c r="AX2211" s="19"/>
      <c r="AY2211">
        <f t="shared" si="1385"/>
        <v>0</v>
      </c>
      <c r="AZ2211" s="19"/>
      <c r="BA2211" s="19"/>
      <c r="BB2211" s="19"/>
      <c r="BC2211" s="19"/>
      <c r="BD2211" s="19"/>
      <c r="BE2211" s="19"/>
      <c r="BF2211" s="19"/>
      <c r="BU2211" s="100"/>
    </row>
    <row r="2212" x14ac:dyDescent="0.25">
      <c r="B2212" s="1" t="s">
        <v>516</v>
      </c>
      <c r="P2212" s="93"/>
      <c r="Q2212" s="109" t="str">
        <f>R2192&amp;".07"</f>
        <v>A.07</v>
      </c>
      <c r="R2212" s="19"/>
      <c r="S2212" s="19"/>
      <c r="T2212">
        <f t="shared" si="1382"/>
        <v>0</v>
      </c>
      <c r="U2212" s="19"/>
      <c r="V2212">
        <f t="shared" si="1383"/>
        <v>0</v>
      </c>
      <c r="W2212" s="19"/>
      <c r="X2212" s="19"/>
      <c r="Y2212" s="19"/>
      <c r="Z2212" s="19"/>
      <c r="AA2212" s="19"/>
      <c r="AB2212" s="19"/>
      <c r="AC2212" s="19"/>
      <c r="AF2212" s="109"/>
      <c r="AR2212" s="100"/>
      <c r="AS2212" s="93"/>
      <c r="AT2212" s="109" t="str">
        <f>AU$2192&amp;".07"</f>
        <v>1.07</v>
      </c>
      <c r="AU2212" s="19"/>
      <c r="AV2212" s="19"/>
      <c r="AW2212">
        <f t="shared" si="1384"/>
        <v>0</v>
      </c>
      <c r="AX2212" s="19"/>
      <c r="AY2212">
        <f t="shared" si="1385"/>
        <v>0</v>
      </c>
      <c r="AZ2212" s="19"/>
      <c r="BA2212" s="19"/>
      <c r="BB2212" s="19"/>
      <c r="BC2212" s="19"/>
      <c r="BD2212" s="19"/>
      <c r="BE2212" s="19"/>
      <c r="BF2212" s="19"/>
      <c r="BI2212" s="109"/>
      <c r="BU2212" s="100"/>
    </row>
    <row r="2213" x14ac:dyDescent="0.25">
      <c r="B2213" s="1" t="s">
        <v>517</v>
      </c>
      <c r="P2213" s="93"/>
      <c r="Q2213" s="109" t="str">
        <f>R2192&amp;".08"</f>
        <v>A.08</v>
      </c>
      <c r="R2213" s="19"/>
      <c r="S2213" s="19"/>
      <c r="T2213">
        <f t="shared" si="1382"/>
        <v>0</v>
      </c>
      <c r="U2213" s="19"/>
      <c r="V2213">
        <f t="shared" si="1383"/>
        <v>0</v>
      </c>
      <c r="W2213" s="19"/>
      <c r="X2213" s="19"/>
      <c r="Y2213" s="19"/>
      <c r="Z2213" s="19"/>
      <c r="AA2213" s="19"/>
      <c r="AB2213" s="19"/>
      <c r="AC2213" s="19"/>
      <c r="AF2213" s="109"/>
      <c r="AR2213" s="100"/>
      <c r="AS2213" s="93"/>
      <c r="AT2213" s="109" t="str">
        <f>AU$2192&amp;".08"</f>
        <v>1.08</v>
      </c>
      <c r="AU2213" s="19"/>
      <c r="AV2213" s="19"/>
      <c r="AW2213">
        <f t="shared" si="1384"/>
        <v>0</v>
      </c>
      <c r="AX2213" s="19"/>
      <c r="AY2213">
        <f t="shared" si="1385"/>
        <v>0</v>
      </c>
      <c r="AZ2213" s="19"/>
      <c r="BA2213" s="19"/>
      <c r="BB2213" s="19"/>
      <c r="BC2213" s="19"/>
      <c r="BD2213" s="19"/>
      <c r="BE2213" s="19"/>
      <c r="BF2213" s="19"/>
      <c r="BI2213" s="109"/>
      <c r="BU2213" s="100"/>
    </row>
    <row r="2214" x14ac:dyDescent="0.25">
      <c r="B2214" s="1" t="s">
        <v>518</v>
      </c>
      <c r="P2214" s="93"/>
      <c r="Q2214" s="109" t="str">
        <f>R2192&amp;".09"</f>
        <v>A.09</v>
      </c>
      <c r="R2214" s="19"/>
      <c r="S2214" s="19"/>
      <c r="T2214">
        <f t="shared" si="1382"/>
        <v>0</v>
      </c>
      <c r="U2214" s="19"/>
      <c r="V2214">
        <f t="shared" si="1383"/>
        <v>0</v>
      </c>
      <c r="W2214" s="19"/>
      <c r="X2214" s="19"/>
      <c r="Y2214" s="19"/>
      <c r="Z2214" s="19"/>
      <c r="AA2214" s="19"/>
      <c r="AB2214" s="19"/>
      <c r="AC2214" s="19"/>
      <c r="AF2214" s="109"/>
      <c r="AR2214" s="100"/>
      <c r="AS2214" s="93"/>
      <c r="AT2214" s="109" t="str">
        <f>AU$2192&amp;".09"</f>
        <v>1.09</v>
      </c>
      <c r="AU2214" s="19"/>
      <c r="AV2214" s="19"/>
      <c r="AW2214">
        <f t="shared" si="1384"/>
        <v>0</v>
      </c>
      <c r="AX2214" s="19"/>
      <c r="AY2214">
        <f t="shared" si="1385"/>
        <v>0</v>
      </c>
      <c r="AZ2214" s="19"/>
      <c r="BA2214" s="19"/>
      <c r="BB2214" s="19"/>
      <c r="BC2214" s="19"/>
      <c r="BD2214" s="19"/>
      <c r="BE2214" s="19"/>
      <c r="BF2214" s="19"/>
      <c r="BI2214" s="109"/>
      <c r="BU2214" s="100"/>
    </row>
    <row r="2215" x14ac:dyDescent="0.25">
      <c r="P2215" s="93"/>
      <c r="Q2215" s="109" t="str">
        <f>R2192&amp;".10"</f>
        <v>A.10</v>
      </c>
      <c r="R2215" s="19"/>
      <c r="S2215" s="19"/>
      <c r="T2215">
        <f t="shared" si="1382"/>
        <v>0</v>
      </c>
      <c r="U2215" s="19"/>
      <c r="V2215">
        <f t="shared" si="1383"/>
        <v>0</v>
      </c>
      <c r="W2215" s="19"/>
      <c r="X2215" s="19"/>
      <c r="Y2215" s="19"/>
      <c r="Z2215" s="19"/>
      <c r="AA2215" s="19"/>
      <c r="AB2215" s="19"/>
      <c r="AC2215" s="19"/>
      <c r="AF2215" s="109"/>
      <c r="AR2215" s="100"/>
      <c r="AS2215" s="93"/>
      <c r="AT2215" s="109" t="str">
        <f>AU$2192&amp;".10"</f>
        <v>1.10</v>
      </c>
      <c r="AU2215" s="19"/>
      <c r="AV2215" s="19"/>
      <c r="AW2215">
        <f t="shared" si="1384"/>
        <v>0</v>
      </c>
      <c r="AX2215" s="19"/>
      <c r="AY2215">
        <f t="shared" si="1385"/>
        <v>0</v>
      </c>
      <c r="AZ2215" s="19"/>
      <c r="BA2215" s="19"/>
      <c r="BB2215" s="19"/>
      <c r="BC2215" s="19"/>
      <c r="BD2215" s="19"/>
      <c r="BE2215" s="19"/>
      <c r="BF2215" s="19"/>
      <c r="BI2215" s="109"/>
      <c r="BU2215" s="100"/>
    </row>
    <row r="2216" x14ac:dyDescent="0.25">
      <c r="C2216" s="112" t="s">
        <v>495</v>
      </c>
      <c r="D2216" s="112"/>
      <c r="E2216" s="112"/>
      <c r="I2216" s="112" t="s">
        <v>495</v>
      </c>
      <c r="J2216" s="112"/>
      <c r="K2216" s="112"/>
      <c r="P2216" s="93"/>
      <c r="Q2216" s="109" t="str">
        <f>R2192&amp;".11"</f>
        <v>A.11</v>
      </c>
      <c r="R2216" s="19"/>
      <c r="S2216" s="19"/>
      <c r="T2216">
        <f t="shared" si="1382"/>
        <v>0</v>
      </c>
      <c r="U2216" s="19"/>
      <c r="V2216">
        <f t="shared" si="1383"/>
        <v>0</v>
      </c>
      <c r="W2216" s="19"/>
      <c r="X2216" s="19"/>
      <c r="Y2216" s="19"/>
      <c r="Z2216" s="19"/>
      <c r="AA2216" s="19"/>
      <c r="AB2216" s="19"/>
      <c r="AC2216" s="19"/>
      <c r="AF2216" s="109"/>
      <c r="AR2216" s="100"/>
      <c r="AS2216" s="93"/>
      <c r="AT2216" s="109" t="str">
        <f>AU$2192&amp;".11"</f>
        <v>1.11</v>
      </c>
      <c r="AU2216" s="19"/>
      <c r="AV2216" s="19"/>
      <c r="AW2216">
        <f t="shared" si="1384"/>
        <v>0</v>
      </c>
      <c r="AX2216" s="19"/>
      <c r="AY2216">
        <f t="shared" si="1385"/>
        <v>0</v>
      </c>
      <c r="AZ2216" s="19"/>
      <c r="BA2216" s="19"/>
      <c r="BB2216" s="19"/>
      <c r="BC2216" s="19"/>
      <c r="BD2216" s="19"/>
      <c r="BE2216" s="19"/>
      <c r="BF2216" s="19"/>
      <c r="BI2216" s="109"/>
      <c r="BU2216" s="100"/>
    </row>
    <row r="2217" x14ac:dyDescent="0.25">
      <c r="B2217" t="s">
        <v>474</v>
      </c>
      <c r="C2217" t="s">
        <v>492</v>
      </c>
      <c r="D2217" t="s">
        <v>493</v>
      </c>
      <c r="E2217" t="s">
        <v>494</v>
      </c>
      <c r="H2217" t="s">
        <v>455</v>
      </c>
      <c r="I2217" t="s">
        <v>492</v>
      </c>
      <c r="J2217" t="s">
        <v>493</v>
      </c>
      <c r="K2217" t="s">
        <v>494</v>
      </c>
      <c r="P2217" s="93"/>
      <c r="Q2217" s="109" t="str">
        <f>R2192&amp;".12"</f>
        <v>A.12</v>
      </c>
      <c r="R2217" s="19"/>
      <c r="S2217" s="19"/>
      <c r="T2217">
        <f t="shared" si="1382"/>
        <v>0</v>
      </c>
      <c r="U2217" s="19"/>
      <c r="V2217">
        <f t="shared" si="1383"/>
        <v>0</v>
      </c>
      <c r="W2217" s="19"/>
      <c r="X2217" s="19"/>
      <c r="Y2217" s="19"/>
      <c r="Z2217" s="19"/>
      <c r="AA2217" s="19"/>
      <c r="AB2217" s="19"/>
      <c r="AC2217" s="19"/>
      <c r="AF2217" s="109"/>
      <c r="AR2217" s="100"/>
      <c r="AS2217" s="93"/>
      <c r="AT2217" s="109" t="str">
        <f>AU$2192&amp;".12"</f>
        <v>1.12</v>
      </c>
      <c r="AU2217" s="19"/>
      <c r="AV2217" s="19"/>
      <c r="AW2217">
        <f t="shared" si="1384"/>
        <v>0</v>
      </c>
      <c r="AX2217" s="19"/>
      <c r="AY2217">
        <f t="shared" si="1385"/>
        <v>0</v>
      </c>
      <c r="AZ2217" s="19"/>
      <c r="BA2217" s="19"/>
      <c r="BB2217" s="19"/>
      <c r="BC2217" s="19"/>
      <c r="BD2217" s="19"/>
      <c r="BE2217" s="19"/>
      <c r="BF2217" s="19"/>
      <c r="BI2217" s="109"/>
      <c r="BU2217" s="100"/>
    </row>
    <row r="2218" x14ac:dyDescent="0.25">
      <c r="B2218" t="s">
        <v>274</v>
      </c>
      <c r="C2218" s="19">
        <v>0</v>
      </c>
      <c r="D2218" s="19">
        <v>29</v>
      </c>
      <c r="E2218">
        <f>C59+D59</f>
        <v>29</v>
      </c>
      <c r="H2218">
        <v>1</v>
      </c>
      <c r="I2218" s="19">
        <v>0</v>
      </c>
      <c r="J2218" s="19">
        <v>27</v>
      </c>
      <c r="K2218">
        <f>I59+J59</f>
        <v>27</v>
      </c>
      <c r="P2218" s="93"/>
      <c r="Q2218" s="109" t="str">
        <f>R2192&amp;".13"</f>
        <v>A.13</v>
      </c>
      <c r="R2218" s="19"/>
      <c r="S2218" s="19"/>
      <c r="T2218">
        <f t="shared" si="1382"/>
        <v>0</v>
      </c>
      <c r="U2218" s="19"/>
      <c r="V2218">
        <f t="shared" si="1383"/>
        <v>0</v>
      </c>
      <c r="W2218" s="19"/>
      <c r="X2218" s="19"/>
      <c r="Y2218" s="19"/>
      <c r="Z2218" s="19"/>
      <c r="AA2218" s="19"/>
      <c r="AB2218" s="19"/>
      <c r="AC2218" s="19"/>
      <c r="AF2218" s="109"/>
      <c r="AR2218" s="100"/>
      <c r="AS2218" s="93"/>
      <c r="AT2218" s="109" t="str">
        <f>AU$2192&amp;".13"</f>
        <v>1.13</v>
      </c>
      <c r="AU2218" s="19"/>
      <c r="AV2218" s="19"/>
      <c r="AW2218">
        <f t="shared" si="1384"/>
        <v>0</v>
      </c>
      <c r="AX2218" s="19"/>
      <c r="AY2218">
        <f t="shared" si="1385"/>
        <v>0</v>
      </c>
      <c r="AZ2218" s="19"/>
      <c r="BA2218" s="19"/>
      <c r="BB2218" s="19"/>
      <c r="BC2218" s="19"/>
      <c r="BD2218" s="19"/>
      <c r="BE2218" s="19"/>
      <c r="BF2218" s="19"/>
      <c r="BI2218" s="109"/>
      <c r="BU2218" s="100"/>
    </row>
    <row r="2219" x14ac:dyDescent="0.25">
      <c r="B2219" t="s">
        <v>279</v>
      </c>
      <c r="C2219" s="19">
        <v>29</v>
      </c>
      <c r="D2219" s="19">
        <v>6</v>
      </c>
      <c r="E2219">
        <f t="shared" ref="E43:E67" si="1386">C43+D43</f>
        <v>35</v>
      </c>
      <c r="H2219">
        <v>2</v>
      </c>
      <c r="I2219" s="19">
        <v>27</v>
      </c>
      <c r="J2219" s="19">
        <v>14</v>
      </c>
      <c r="K2219">
        <f t="shared" ref="K43:K67" si="1387">I43+J43</f>
        <v>41</v>
      </c>
      <c r="P2219" s="93"/>
      <c r="Q2219" s="109" t="str">
        <f>R2192&amp;".14"</f>
        <v>A.14</v>
      </c>
      <c r="R2219" s="19"/>
      <c r="S2219" s="19"/>
      <c r="T2219">
        <f t="shared" si="1382"/>
        <v>0</v>
      </c>
      <c r="U2219" s="19"/>
      <c r="V2219">
        <f t="shared" si="1383"/>
        <v>0</v>
      </c>
      <c r="W2219" s="19"/>
      <c r="X2219" s="19"/>
      <c r="Y2219" s="19"/>
      <c r="Z2219" s="19"/>
      <c r="AA2219" s="19"/>
      <c r="AB2219" s="19"/>
      <c r="AC2219" s="19"/>
      <c r="AF2219" s="109"/>
      <c r="AR2219" s="100"/>
      <c r="AS2219" s="93"/>
      <c r="AT2219" s="109" t="str">
        <f>AU$2192&amp;".14"</f>
        <v>1.14</v>
      </c>
      <c r="AU2219" s="19"/>
      <c r="AV2219" s="19"/>
      <c r="AW2219">
        <f t="shared" si="1384"/>
        <v>0</v>
      </c>
      <c r="AX2219" s="19"/>
      <c r="AY2219">
        <f t="shared" si="1385"/>
        <v>0</v>
      </c>
      <c r="AZ2219" s="19"/>
      <c r="BA2219" s="19"/>
      <c r="BB2219" s="19"/>
      <c r="BC2219" s="19"/>
      <c r="BD2219" s="19"/>
      <c r="BE2219" s="19"/>
      <c r="BF2219" s="19"/>
      <c r="BI2219" s="109"/>
      <c r="BU2219" s="100"/>
    </row>
    <row r="2220" x14ac:dyDescent="0.25">
      <c r="B2220" t="s">
        <v>283</v>
      </c>
      <c r="C2220" s="19">
        <v>6</v>
      </c>
      <c r="D2220" s="19">
        <v>29</v>
      </c>
      <c r="E2220">
        <f t="shared" si="1386"/>
        <v>35</v>
      </c>
      <c r="H2220">
        <v>3</v>
      </c>
      <c r="I2220" s="19">
        <v>14</v>
      </c>
      <c r="J2220" s="19">
        <v>13</v>
      </c>
      <c r="K2220">
        <f t="shared" si="1387"/>
        <v>27</v>
      </c>
      <c r="P2220" s="93"/>
      <c r="Q2220" s="109" t="str">
        <f>R2192&amp;".15"</f>
        <v>A.15</v>
      </c>
      <c r="R2220" s="19"/>
      <c r="S2220" s="19"/>
      <c r="T2220">
        <f t="shared" si="1382"/>
        <v>0</v>
      </c>
      <c r="U2220" s="19"/>
      <c r="V2220">
        <f t="shared" si="1383"/>
        <v>0</v>
      </c>
      <c r="W2220" s="19"/>
      <c r="X2220" s="19"/>
      <c r="Y2220" s="19"/>
      <c r="Z2220" s="19"/>
      <c r="AA2220" s="19"/>
      <c r="AB2220" s="19"/>
      <c r="AC2220" s="19"/>
      <c r="AF2220" s="109"/>
      <c r="AR2220" s="100"/>
      <c r="AS2220" s="93"/>
      <c r="AT2220" s="109" t="str">
        <f>AU$2192&amp;".15"</f>
        <v>1.15</v>
      </c>
      <c r="AU2220" s="19"/>
      <c r="AV2220" s="19"/>
      <c r="AW2220">
        <f t="shared" si="1384"/>
        <v>0</v>
      </c>
      <c r="AX2220" s="19"/>
      <c r="AY2220">
        <f t="shared" si="1385"/>
        <v>0</v>
      </c>
      <c r="AZ2220" s="19"/>
      <c r="BA2220" s="19"/>
      <c r="BB2220" s="19"/>
      <c r="BC2220" s="19"/>
      <c r="BD2220" s="19"/>
      <c r="BE2220" s="19"/>
      <c r="BF2220" s="19"/>
      <c r="BI2220" s="109"/>
      <c r="BU2220" s="100"/>
    </row>
    <row r="2221" x14ac:dyDescent="0.25">
      <c r="B2221" t="s">
        <v>287</v>
      </c>
      <c r="C2221" s="19">
        <v>26</v>
      </c>
      <c r="D2221" s="19">
        <v>26</v>
      </c>
      <c r="E2221">
        <f t="shared" si="1386"/>
        <v>52</v>
      </c>
      <c r="F2221" t="s">
        <v>506</v>
      </c>
      <c r="H2221">
        <v>4</v>
      </c>
      <c r="I2221" s="19">
        <v>13</v>
      </c>
      <c r="J2221" s="19">
        <v>27</v>
      </c>
      <c r="K2221">
        <f t="shared" si="1387"/>
        <v>40</v>
      </c>
      <c r="P2221" s="93"/>
      <c r="Q2221" s="109" t="str">
        <f>R2192&amp;".16"</f>
        <v>A.16</v>
      </c>
      <c r="R2221" s="19"/>
      <c r="S2221" s="19"/>
      <c r="T2221">
        <f t="shared" si="1382"/>
        <v>0</v>
      </c>
      <c r="U2221" s="19"/>
      <c r="V2221">
        <f t="shared" si="1383"/>
        <v>0</v>
      </c>
      <c r="W2221" s="19"/>
      <c r="X2221" s="19"/>
      <c r="Y2221" s="19"/>
      <c r="Z2221" s="19"/>
      <c r="AA2221" s="19"/>
      <c r="AB2221" s="19"/>
      <c r="AC2221" s="19"/>
      <c r="AF2221" s="109"/>
      <c r="AR2221" s="100"/>
      <c r="AS2221" s="93"/>
      <c r="AT2221" s="109" t="str">
        <f>AU$2192&amp;".16"</f>
        <v>1.16</v>
      </c>
      <c r="AU2221" s="19"/>
      <c r="AV2221" s="19"/>
      <c r="AW2221">
        <f t="shared" si="1384"/>
        <v>0</v>
      </c>
      <c r="AX2221" s="19"/>
      <c r="AY2221">
        <f t="shared" si="1385"/>
        <v>0</v>
      </c>
      <c r="AZ2221" s="19"/>
      <c r="BA2221" s="19"/>
      <c r="BB2221" s="19"/>
      <c r="BC2221" s="19"/>
      <c r="BD2221" s="19"/>
      <c r="BE2221" s="19"/>
      <c r="BF2221" s="19"/>
      <c r="BI2221" s="109"/>
      <c r="BU2221" s="100"/>
    </row>
    <row r="2222" x14ac:dyDescent="0.25">
      <c r="B2222" t="s">
        <v>288</v>
      </c>
      <c r="C2222" s="19">
        <v>29</v>
      </c>
      <c r="D2222" s="19">
        <v>0</v>
      </c>
      <c r="E2222">
        <f t="shared" si="1386"/>
        <v>29</v>
      </c>
      <c r="H2222">
        <v>5</v>
      </c>
      <c r="I2222" s="19">
        <v>27</v>
      </c>
      <c r="J2222" s="19">
        <v>11</v>
      </c>
      <c r="K2222">
        <f t="shared" si="1387"/>
        <v>38</v>
      </c>
      <c r="P2222" s="93"/>
      <c r="R2222">
        <f>SUM(R2206:R2221)</f>
        <v>29</v>
      </c>
      <c r="AR2222" s="100"/>
      <c r="AS2222" s="93"/>
      <c r="AU2222">
        <f>SUM(AU2206:AU2221)</f>
        <v>29</v>
      </c>
      <c r="BU2222" s="100"/>
    </row>
    <row r="2223" x14ac:dyDescent="0.25">
      <c r="B2223" t="s">
        <v>293</v>
      </c>
      <c r="C2223" s="19">
        <v>17</v>
      </c>
      <c r="D2223" s="19">
        <v>27</v>
      </c>
      <c r="E2223">
        <f t="shared" si="1386"/>
        <v>44</v>
      </c>
      <c r="H2223">
        <v>6</v>
      </c>
      <c r="I2223" s="19">
        <v>11</v>
      </c>
      <c r="J2223" s="19">
        <v>6</v>
      </c>
      <c r="K2223">
        <f t="shared" si="1387"/>
        <v>17</v>
      </c>
      <c r="P2223" s="93"/>
      <c r="AP2223" t="s">
        <v>746</v>
      </c>
      <c r="AR2223" s="100"/>
      <c r="AS2223" s="93"/>
      <c r="BS2223" t="s">
        <v>746</v>
      </c>
      <c r="BU2223" s="100"/>
    </row>
    <row r="2224" x14ac:dyDescent="0.25">
      <c r="B2224" t="s">
        <v>456</v>
      </c>
      <c r="C2224" s="19">
        <v>27</v>
      </c>
      <c r="D2224" s="19">
        <v>27</v>
      </c>
      <c r="E2224">
        <f t="shared" si="1386"/>
        <v>54</v>
      </c>
      <c r="H2224">
        <v>7</v>
      </c>
      <c r="I2224" s="19">
        <v>6</v>
      </c>
      <c r="J2224" s="19">
        <v>11</v>
      </c>
      <c r="K2224">
        <f t="shared" si="1387"/>
        <v>17</v>
      </c>
      <c r="P2224" s="93"/>
      <c r="Q2224" t="s">
        <v>525</v>
      </c>
      <c r="R2224" t="s">
        <v>263</v>
      </c>
      <c r="S2224" t="s">
        <v>526</v>
      </c>
      <c r="T2224" t="s">
        <v>570</v>
      </c>
      <c r="U2224" t="s">
        <v>571</v>
      </c>
      <c r="V2224" t="s">
        <v>572</v>
      </c>
      <c r="W2224" t="s">
        <v>539</v>
      </c>
      <c r="X2224" t="s">
        <v>538</v>
      </c>
      <c r="Z2224" t="s">
        <v>522</v>
      </c>
      <c r="AA2224" t="s">
        <v>523</v>
      </c>
      <c r="AB2224" t="s">
        <v>541</v>
      </c>
      <c r="AC2224" t="s">
        <v>540</v>
      </c>
      <c r="AD2224" t="s">
        <v>542</v>
      </c>
      <c r="AE2224" t="s">
        <v>520</v>
      </c>
      <c r="AF2224" t="s">
        <v>521</v>
      </c>
      <c r="AG2224" t="s">
        <v>527</v>
      </c>
      <c r="AH2224" t="s">
        <v>528</v>
      </c>
      <c r="AI2224" t="s">
        <v>543</v>
      </c>
      <c r="AJ2224" t="s">
        <v>744</v>
      </c>
      <c r="AK2224" t="s">
        <v>745</v>
      </c>
      <c r="AL2224" t="s">
        <v>749</v>
      </c>
      <c r="AM2224" t="s">
        <v>750</v>
      </c>
      <c r="AN2224" t="s">
        <v>751</v>
      </c>
      <c r="AP2224" t="s">
        <v>747</v>
      </c>
      <c r="AQ2224" t="s">
        <v>748</v>
      </c>
      <c r="AR2224" s="100"/>
      <c r="AS2224" s="93"/>
      <c r="AT2224" t="s">
        <v>525</v>
      </c>
      <c r="AU2224" t="s">
        <v>263</v>
      </c>
      <c r="AV2224" t="s">
        <v>526</v>
      </c>
      <c r="AW2224" t="s">
        <v>570</v>
      </c>
      <c r="AX2224" t="s">
        <v>571</v>
      </c>
      <c r="AY2224" t="s">
        <v>572</v>
      </c>
      <c r="AZ2224" t="s">
        <v>539</v>
      </c>
      <c r="BA2224" t="s">
        <v>538</v>
      </c>
      <c r="BC2224" t="s">
        <v>522</v>
      </c>
      <c r="BD2224" t="s">
        <v>523</v>
      </c>
      <c r="BE2224" t="s">
        <v>541</v>
      </c>
      <c r="BF2224" t="s">
        <v>540</v>
      </c>
      <c r="BG2224" t="s">
        <v>542</v>
      </c>
      <c r="BH2224" t="s">
        <v>520</v>
      </c>
      <c r="BI2224" t="s">
        <v>521</v>
      </c>
      <c r="BJ2224" t="s">
        <v>527</v>
      </c>
      <c r="BK2224" t="s">
        <v>528</v>
      </c>
      <c r="BL2224" t="s">
        <v>543</v>
      </c>
      <c r="BM2224" t="s">
        <v>744</v>
      </c>
      <c r="BN2224" t="s">
        <v>745</v>
      </c>
      <c r="BO2224" t="s">
        <v>749</v>
      </c>
      <c r="BP2224" t="s">
        <v>750</v>
      </c>
      <c r="BQ2224" t="s">
        <v>751</v>
      </c>
      <c r="BS2224" t="s">
        <v>747</v>
      </c>
      <c r="BT2224" t="s">
        <v>748</v>
      </c>
      <c r="BU2224" s="100"/>
    </row>
    <row r="2225" x14ac:dyDescent="0.25">
      <c r="B2225" t="s">
        <v>457</v>
      </c>
      <c r="C2225" s="19">
        <v>27</v>
      </c>
      <c r="D2225" s="19">
        <v>27</v>
      </c>
      <c r="E2225">
        <f t="shared" si="1386"/>
        <v>54</v>
      </c>
      <c r="H2225">
        <v>8</v>
      </c>
      <c r="I2225" s="19">
        <v>20</v>
      </c>
      <c r="J2225" s="19">
        <v>0</v>
      </c>
      <c r="K2225">
        <f t="shared" si="1387"/>
        <v>20</v>
      </c>
      <c r="L2225" t="s">
        <v>506</v>
      </c>
      <c r="P2225" s="93"/>
      <c r="Q2225" s="110" t="str">
        <f>$Q$2206</f>
        <v>A.01</v>
      </c>
      <c r="R2225" t="str">
        <f>$Q$2197</f>
        <v>L2</v>
      </c>
      <c r="S2225">
        <f>$E$21</f>
        <v>10.6875</v>
      </c>
      <c r="T2225" cm="1">
        <f t="array" ref="T2225">IFERROR(IF(S2225=0,0,(INDEX($C$33:$C$38,MATCH($W$2206,$B$33:$B$38,0),0)*(S2229+$X$2206)+$T$2206*COUNTIF(S2225:S2228,"&gt;0")*$C$32+$V$2206*$C$31)*$R$2206),0)</f>
        <v>30539.71875</v>
      </c>
      <c r="U2225">
        <f>IF(S2225=0,0,-(COUNTIF(S2225:S2228,"&gt;0")*$T$2206*$C$32+$V$2206*$C$31)*$H$27*$R$2206)</f>
        <v>-363.31199999999995</v>
      </c>
      <c r="V2225">
        <f>IF(S2225=0,0,$V$2206*$H$26*$R$2206)</f>
        <v>-1328.1999999999998</v>
      </c>
      <c r="W2225">
        <f>(0.6*T2225+0.7*U2225)*$R$2206/2</f>
        <v>262007.93632499999</v>
      </c>
      <c r="X2225">
        <f>(0.6*T2225+0.6*V2225)*$R$2206/2</f>
        <v>254140.21312500001</v>
      </c>
      <c r="Z2225">
        <f>IF(S2225=0,0,$AD$2206*$AP$2197)</f>
        <v>343.06999999999994</v>
      </c>
      <c r="AA2225">
        <f>IFERROR(Z2225/$R$2206,0)</f>
        <v>11.829999999999998</v>
      </c>
      <c r="AB2225">
        <f>Z2225*($F$21+IF($F$21=0,0,($C$14+$C$15+IF($C$13="single",1.5,3)+3)/12))</f>
        <v>3666.5606249999992</v>
      </c>
      <c r="AC2225">
        <f>AB2225-W2225</f>
        <v>-258341.37569999998</v>
      </c>
      <c r="AD2225" cm="1">
        <f t="array" ref="AD2225">IFERROR(IF(AC2225&lt;0,0,AC2225/($R$2206-INDEX(hd_off,MATCH(AQ2225,hd_mark,0),0)/12)),0)</f>
        <v>0</v>
      </c>
      <c r="AE2225">
        <f>IF(S2225=0,0,$AD$2206*$AM$2197)</f>
        <v>7899.5999999999995</v>
      </c>
      <c r="AF2225">
        <f>IFERROR(AE2225/$R$2206,0)</f>
        <v>272.39999999999998</v>
      </c>
      <c r="AG2225">
        <f>AE2225*($F$21+IF($F$21=0,0,($C$14+$C$15+IF($C$13="single",1.5,3)+3)/12))</f>
        <v>84426.974999999991</v>
      </c>
      <c r="AH2225">
        <f>AG2225-X2225</f>
        <v>-169713.23812500003</v>
      </c>
      <c r="AI2225" cm="1">
        <f t="array" ref="AI2225">IFERROR(IF(AH2225&lt;0,0,AH2225/($R$2206-INDEX(hd_off,MATCH(AQ2225,hd_mark,0),0)/12)),0)</f>
        <v>0</v>
      </c>
      <c r="AJ2225">
        <f>MAX($F$21,$Y$2206)/$Q$2228</f>
        <v>0.30172413793103448</v>
      </c>
      <c r="AK2225">
        <f>IF(AJ2225=0,0,IF(AJ2225&gt;2,1.25-0.125*AJ2225,1))</f>
        <v>1</v>
      </c>
      <c r="AL2225" cm="1">
        <f t="array" ref="AL2225">IFERROR(INDEX(sheath_ecap_asd,MATCH(AP2225,sheath_mark,0),0)*AK2225,0)</f>
        <v>239.85714285714286</v>
      </c>
      <c r="AM2225" cm="1">
        <f t="array" ref="AM2225">IFERROR(INDEX(sheath_wcap_asd,MATCH(AP2225,sheath_mark,0),0)*AK2225,0)</f>
        <v>335.8</v>
      </c>
      <c r="AN2225" cm="1">
        <f t="array" ref="AN2225">IFERROR(INDEX(hd_cap,MATCH(AQ2225,hd_mark,0),0),0)</f>
        <v>0</v>
      </c>
      <c r="AP2225" s="19">
        <v>21</v>
      </c>
      <c r="AQ2225" s="19"/>
      <c r="AR2225" s="100"/>
      <c r="AS2225" s="93"/>
      <c r="AT2225" s="110" t="str">
        <f>$AT$2206</f>
        <v>1.01</v>
      </c>
      <c r="AU2225" t="str">
        <f>$Q$2197</f>
        <v>L2</v>
      </c>
      <c r="AV2225">
        <f>$E$21</f>
        <v>10.6875</v>
      </c>
      <c r="AW2225" cm="1">
        <f t="array" ref="AW2225">IFERROR(IF(AV2225=0,0,(INDEX($C$33:$C$38,MATCH($AZ$2206,$B$33:$B$38,0),0)*(AV2229+$BA$2206)+$AW$2206*COUNTIF(AV2225:AV2228,"&gt;0")*$C$32+$AY$2206*$C$31)*$AU$2206),0)</f>
        <v>30539.71875</v>
      </c>
      <c r="AX2225">
        <f>IF(AV2225=0,0,-(COUNTIF(AV2225:AV2228,"&gt;0")*$AW$2206*$C$32+$AY$2206*$C$31)*$H$27*$AU$2206)</f>
        <v>-363.31199999999995</v>
      </c>
      <c r="AY2225">
        <f>IF(AV2225=0,0,$AY$2206*$H$26*$AU$2206)</f>
        <v>-1328.1999999999998</v>
      </c>
      <c r="AZ2225">
        <f>(0.6*AW2225+0.7*AX2225)*$AU$2206/2</f>
        <v>262007.93632499999</v>
      </c>
      <c r="BA2225">
        <f>(0.6*AW2225+0.6*AY2225)*$AU$2206/2</f>
        <v>254140.21312500001</v>
      </c>
      <c r="BC2225">
        <f>IF(AV2225=0,0,$BG$2206*$AP$2197)</f>
        <v>343.06999999999994</v>
      </c>
      <c r="BD2225">
        <f>IFERROR(BC2225/$AU$2206,0)</f>
        <v>11.829999999999998</v>
      </c>
      <c r="BE2225">
        <f>BC2225*($F$21+IF($F$21=0,0,($C$14+$C$15+IF($C$13="single",1.5,3)+3)/12))</f>
        <v>3666.5606249999992</v>
      </c>
      <c r="BF2225">
        <f>BE2225-AZ2225</f>
        <v>-258341.37569999998</v>
      </c>
      <c r="BG2225" cm="1">
        <f t="array" ref="BG2225">IFERROR(IF(BF2225&lt;0,0,BF2225/($AU$2206-INDEX(hd_off,MATCH(BT2225,hd_mark,0),0)/12)),0)</f>
        <v>0</v>
      </c>
      <c r="BH2225">
        <f>IF(AV2225=0,0,$BG$2206*$AM$2197)</f>
        <v>7899.5999999999995</v>
      </c>
      <c r="BI2225">
        <f>IFERROR(BH2225/$AU$2206,0)</f>
        <v>272.39999999999998</v>
      </c>
      <c r="BJ2225">
        <f>BH2225*($F$21+IF($F$21=0,0,($C$14+$C$15+IF($C$13="single",1.5,3)+3)/12))</f>
        <v>84426.974999999991</v>
      </c>
      <c r="BK2225">
        <f>BJ2225-BA2225</f>
        <v>-169713.23812500003</v>
      </c>
      <c r="BL2225" cm="1">
        <f t="array" ref="BL2225">IFERROR(IF(BK2225&lt;0,0,BK2225/($AU$2206-INDEX(hd_off,MATCH(BT2225,hd_mark,0),0)/12)),0)</f>
        <v>0</v>
      </c>
      <c r="BM2225">
        <f>MAX($F$21,$BB$2206)/$Q$2228</f>
        <v>0.30172413793103448</v>
      </c>
      <c r="BN2225">
        <f>IF(BM2225=0,0,IF(BM2225&gt;2,1.25-0.125*BM2225,1))</f>
        <v>1</v>
      </c>
      <c r="BO2225" cm="1">
        <f t="array" ref="BO2225">IFERROR(INDEX(sheath_ecap_asd,MATCH(BS2225,sheath_mark,0),0)*BN2225,0)</f>
        <v>239.85714285714286</v>
      </c>
      <c r="BP2225" cm="1">
        <f t="array" ref="BP2225">IFERROR(INDEX(sheath_wcap_asd,MATCH(BS2225,sheath_mark,0),0)*BN2225,0)</f>
        <v>335.8</v>
      </c>
      <c r="BQ2225" cm="1">
        <f t="array" ref="BQ2225">IFERROR(INDEX(hd_cap,MATCH(BT2225,hd_mark,0),0),0)</f>
        <v>0</v>
      </c>
      <c r="BS2225" s="19">
        <v>21</v>
      </c>
      <c r="BT2225" s="19"/>
      <c r="BU2225" s="100"/>
    </row>
    <row r="2226" x14ac:dyDescent="0.25">
      <c r="B2226" t="s">
        <v>458</v>
      </c>
      <c r="C2226" s="19">
        <v>27</v>
      </c>
      <c r="D2226" s="19">
        <v>27</v>
      </c>
      <c r="E2226">
        <f t="shared" si="1386"/>
        <v>54</v>
      </c>
      <c r="H2226">
        <v>9</v>
      </c>
      <c r="I2226" s="19">
        <v>30</v>
      </c>
      <c r="J2226" s="19">
        <v>0</v>
      </c>
      <c r="K2226">
        <f t="shared" si="1387"/>
        <v>30</v>
      </c>
      <c r="P2226" s="93"/>
      <c r="Q2226" s="109"/>
      <c r="R2226" t="str">
        <f>$Q$2198</f>
        <v>L3</v>
      </c>
      <c r="S2226">
        <f>$E$22</f>
        <v>21.375</v>
      </c>
      <c r="T2226" cm="1">
        <f t="array" ref="T2226">IFERROR(IF(S2226=0,0,(INDEX($C$33:$C$38,MATCH($W$2206,$B$33:$B$38,0),0)*(S2229+$X$2206)+$T$2206*COUNTIF(S2226:S2228,"&gt;0")*$C$32+$V$2206*$C$31)*$R$2206),0)</f>
        <v>26015.71875</v>
      </c>
      <c r="U2226">
        <f>IF(S2226=0,0,-(COUNTIF(S2226:S2228,"&gt;0")*$T$2206*$C$32+$V$2206*$C$31)*$H$27*$R$2206)</f>
        <v>-200.44799999999998</v>
      </c>
      <c r="V2226">
        <f>IF(S2226=0,0,$V$2206*$H$26*$R$2206)</f>
        <v>-1328.1999999999998</v>
      </c>
      <c r="W2226">
        <f t="shared" ref="W2226:W2228" si="1388">(0.6*T2226+0.7*U2226)*$R$2206/2</f>
        <v>224302.20592500002</v>
      </c>
      <c r="X2226">
        <f>T2226*$R$2206/2</f>
        <v>377227.921875</v>
      </c>
      <c r="Z2226">
        <f>IF(S2226=0,0,$AD$2206*$AP$2198)</f>
        <v>376.565</v>
      </c>
      <c r="AA2226">
        <f>IFERROR(Z2226/$R$2206,0)</f>
        <v>12.984999999999999</v>
      </c>
      <c r="AB2226">
        <f>Z2226*($F$22+IF($F$22=0,0,($C$14+$C$15+IF($C$13="single",1.5,3)+3)/12))</f>
        <v>4024.5384374999999</v>
      </c>
      <c r="AC2226">
        <f>AB2226-W2226</f>
        <v>-220277.6674875</v>
      </c>
      <c r="AD2226" cm="1">
        <f t="array" ref="AD2226">IFERROR(IF(AC2226&lt;0,0,AC2226/($R$2206-INDEX(hd_off,MATCH(AQ2226,hd_mark,0),0)/12)),0)</f>
        <v>0</v>
      </c>
      <c r="AE2226">
        <f>IF(S2226=0,0,$AD$2206*$AM$2198)</f>
        <v>5846.4</v>
      </c>
      <c r="AF2226">
        <f>IFERROR(AE2226/$R$2206,0)</f>
        <v>201.6</v>
      </c>
      <c r="AG2226">
        <f>AE2226*($F$22+IF($F$22=0,0,($C$14+$C$15+IF($C$13="single",1.5,3)+3)/12))</f>
        <v>62483.399999999994</v>
      </c>
      <c r="AH2226">
        <f>AG2226-X2226</f>
        <v>-314744.52187499998</v>
      </c>
      <c r="AI2226" cm="1">
        <f t="array" ref="AI2226">IFERROR(IF(AH2226&lt;0,0,AH2226/($R$2206-INDEX(hd_off,MATCH(AQ2226,hd_mark,0),0)/12)),0)</f>
        <v>0</v>
      </c>
      <c r="AJ2226">
        <f>MAX($F$22,$Z$2206)/$Q$2228</f>
        <v>0.30172413793103448</v>
      </c>
      <c r="AK2226">
        <f t="shared" ref="AK2226:AK2229" si="1389">IF(AJ2226=0,0,IF(AJ2226&gt;2,1.25-0.125*AJ2226,1))</f>
        <v>1</v>
      </c>
      <c r="AL2226" cm="1">
        <f t="array" ref="AL2226">IFERROR(INDEX(sheath_ecap_asd,MATCH(AP2226,sheath_mark,0),0)*AK2226,0)</f>
        <v>239.85714285714286</v>
      </c>
      <c r="AM2226" cm="1">
        <f t="array" ref="AM2226">IFERROR(INDEX(sheath_wcap_asd,MATCH(AP2226,sheath_mark,0),0)*AK2226,0)</f>
        <v>335.8</v>
      </c>
      <c r="AN2226" cm="1">
        <f t="array" ref="AN2226">IFERROR(INDEX(hd_cap,MATCH(AQ2226,hd_mark,0),0),0)</f>
        <v>0</v>
      </c>
      <c r="AP2226" s="19">
        <v>21</v>
      </c>
      <c r="AQ2226" s="19"/>
      <c r="AR2226" s="100"/>
      <c r="AS2226" s="93"/>
      <c r="AT2226" s="109"/>
      <c r="AU2226" t="str">
        <f>$Q$2198</f>
        <v>L3</v>
      </c>
      <c r="AV2226">
        <f>$E$22</f>
        <v>21.375</v>
      </c>
      <c r="AW2226" cm="1">
        <f t="array" ref="AW2226">IFERROR(IF(AV2226=0,0,(INDEX($C$33:$C$38,MATCH($AZ$2206,$B$33:$B$38,0),0)*(AV2229+$BA$2206)+$AW$2206*COUNTIF(AV2226:AV2228,"&gt;0")*$C$32+$AY$2206*$C$31)*$AU$2206),0)</f>
        <v>26015.71875</v>
      </c>
      <c r="AX2226">
        <f>IF(AV2226=0,0,-(COUNTIF(AV2226:AV2228,"&gt;0")*$AW$2206*$C$32+$AY$2206*$C$31)*$H$27*$AU$2206)</f>
        <v>-200.44799999999998</v>
      </c>
      <c r="AY2226">
        <f>IF(AV2226=0,0,$AY$2206*$H$26*$AU$2206)</f>
        <v>-1328.1999999999998</v>
      </c>
      <c r="AZ2226">
        <f>(0.6*AW2226+0.7*AX2226)*$AU$2206/2</f>
        <v>224302.20592500002</v>
      </c>
      <c r="BA2226">
        <f>AW2226*$AU$2206/2</f>
        <v>377227.921875</v>
      </c>
      <c r="BC2226">
        <f>IF(AV2226=0,0,$BG$2206*$AP$2198)</f>
        <v>376.565</v>
      </c>
      <c r="BD2226">
        <f>IFERROR(BC2226/$AU$2206,0)</f>
        <v>12.984999999999999</v>
      </c>
      <c r="BE2226">
        <f>BC2226*($F$22+IF($F$22=0,0,($C$14+$C$15+IF($C$13="single",1.5,3)+3)/12))</f>
        <v>4024.5384374999999</v>
      </c>
      <c r="BF2226">
        <f>BE2226-AZ2226</f>
        <v>-220277.6674875</v>
      </c>
      <c r="BG2226" cm="1">
        <f t="array" ref="BG2226">IFERROR(IF(BF2226&lt;0,0,BF2226/($AU$2206-INDEX(hd_off,MATCH(BT2226,hd_mark,0),0)/12)),0)</f>
        <v>0</v>
      </c>
      <c r="BH2226">
        <f>IF(AV2226=0,0,$BG$2206*$AM$2198)</f>
        <v>5846.4</v>
      </c>
      <c r="BI2226">
        <f>IFERROR(BH2226/$AU$2206,0)</f>
        <v>201.6</v>
      </c>
      <c r="BJ2226">
        <f>BH2226*($F$22+IF($F$22=0,0,($C$14+$C$15+IF($C$13="single",1.5,3)+3)/12))</f>
        <v>62483.399999999994</v>
      </c>
      <c r="BK2226">
        <f>BJ2226-BA2226</f>
        <v>-314744.52187499998</v>
      </c>
      <c r="BL2226" cm="1">
        <f t="array" ref="BL2226">IFERROR(IF(BK2226&lt;0,0,BK2226/($AU$2206-INDEX(hd_off,MATCH(BT2226,hd_mark,0),0)/12)),0)</f>
        <v>0</v>
      </c>
      <c r="BM2226">
        <f>MAX($F$22,$BC$2206)/$Q$2228</f>
        <v>0.30172413793103448</v>
      </c>
      <c r="BN2226">
        <f t="shared" ref="BN2226:BN2229" si="1390">IF(BM2226=0,0,IF(BM2226&gt;2,1.25-0.125*BM2226,1))</f>
        <v>1</v>
      </c>
      <c r="BO2226" cm="1">
        <f t="array" ref="BO2226">IFERROR(INDEX(sheath_ecap_asd,MATCH(BS2226,sheath_mark,0),0)*BN2226,0)</f>
        <v>239.85714285714286</v>
      </c>
      <c r="BP2226" cm="1">
        <f t="array" ref="BP2226">IFERROR(INDEX(sheath_wcap_asd,MATCH(BS2226,sheath_mark,0),0)*BN2226,0)</f>
        <v>335.8</v>
      </c>
      <c r="BQ2226" cm="1">
        <f t="array" ref="BQ2226">IFERROR(INDEX(hd_cap,MATCH(BT2226,hd_mark,0),0),0)</f>
        <v>0</v>
      </c>
      <c r="BS2226" s="19">
        <v>21</v>
      </c>
      <c r="BT2226" s="19"/>
      <c r="BU2226" s="100"/>
    </row>
    <row r="2227" x14ac:dyDescent="0.25">
      <c r="B2227" t="s">
        <v>459</v>
      </c>
      <c r="C2227" s="19">
        <v>27</v>
      </c>
      <c r="D2227" s="19">
        <v>41</v>
      </c>
      <c r="E2227">
        <f t="shared" si="1386"/>
        <v>68</v>
      </c>
      <c r="F2227" t="s">
        <v>506</v>
      </c>
      <c r="H2227">
        <v>10</v>
      </c>
      <c r="I2227" s="19">
        <v>30</v>
      </c>
      <c r="J2227" s="19">
        <v>0</v>
      </c>
      <c r="K2227">
        <f t="shared" si="1387"/>
        <v>30</v>
      </c>
      <c r="P2227" s="93"/>
      <c r="Q2227" s="109" t="s">
        <v>491</v>
      </c>
      <c r="R2227" t="str">
        <f>$Q$2199</f>
        <v>L4</v>
      </c>
      <c r="S2227">
        <f>$E$23</f>
        <v>0</v>
      </c>
      <c r="T2227" cm="1">
        <f t="array" ref="T2227">IFERROR(IF(S2227=0,0,(INDEX($C$33:$C$38,MATCH($W$2206,$B$33:$B$38,0),0)*(S2229+$X$2206)+$T$2206*COUNTIF(S2227:S2228,"&gt;0")*$C$32+$V$2206*$C$31)*$R$2206),0)</f>
        <v>0</v>
      </c>
      <c r="U2227">
        <f>IF(S2227=0,0,-(COUNTIF(S2227:S2228,"&gt;0")*$T$2206*$C$32+$V$2206*$C$31)*$H$27*$R$2206)</f>
        <v>0</v>
      </c>
      <c r="V2227">
        <f>IF(S2227=0,0,$V$2206*$H$26*$R$2206)</f>
        <v>0</v>
      </c>
      <c r="W2227">
        <f t="shared" si="1388"/>
        <v>0</v>
      </c>
      <c r="X2227">
        <f>T2227*$R$2206/2</f>
        <v>0</v>
      </c>
      <c r="Z2227">
        <f>IF(S2227=0,0,$AD$2206*$AP$2199)</f>
        <v>0</v>
      </c>
      <c r="AA2227">
        <f>IFERROR(Z2227/$R$2206,0)</f>
        <v>0</v>
      </c>
      <c r="AB2227">
        <f>Z2227*($F$23+IF($F$23=0,0,($C$14+$C$15+IF($C$13="single",1.5,3)+3)/12))</f>
        <v>0</v>
      </c>
      <c r="AC2227">
        <f>AB2227-W2227</f>
        <v>0</v>
      </c>
      <c r="AD2227" cm="1">
        <f t="array" ref="AD2227">IFERROR(IF(AC2227&lt;0,0,AC2227/($R$2206-INDEX(hd_off,MATCH(AQ2227,hd_mark,0),0)/12)),0)</f>
        <v>0</v>
      </c>
      <c r="AE2227">
        <f>IF(S2227=0,0,$AD$2206*$AM$2199)</f>
        <v>0</v>
      </c>
      <c r="AF2227">
        <f>IFERROR(AE2227/$R$2206,0)</f>
        <v>0</v>
      </c>
      <c r="AG2227">
        <f>AE2227*($F$23+IF($F$23=0,0,($C$14+$C$15+IF($C$13="single",1.5,3)+3)/12))</f>
        <v>0</v>
      </c>
      <c r="AH2227">
        <f>AG2227-X2227</f>
        <v>0</v>
      </c>
      <c r="AI2227" cm="1">
        <f t="array" ref="AI2227">IFERROR(IF(AH2227&lt;0,0,AH2227/($R$2206-INDEX(hd_off,MATCH(AQ2227,hd_mark,0),0)/12)),0)</f>
        <v>0</v>
      </c>
      <c r="AJ2227">
        <f>MAX($F$23,$AA$2206)/$Q$2228</f>
        <v>0</v>
      </c>
      <c r="AK2227">
        <f t="shared" si="1389"/>
        <v>0</v>
      </c>
      <c r="AL2227" cm="1">
        <f t="array" ref="AL2227">IFERROR(INDEX(sheath_ecap_asd,MATCH(AP2227,sheath_mark,0),0)*AK2227,0)</f>
        <v>0</v>
      </c>
      <c r="AM2227" cm="1">
        <f t="array" ref="AM2227">IFERROR(INDEX(sheath_wcap_asd,MATCH(AP2227,sheath_mark,0),0)*AK2227,0)</f>
        <v>0</v>
      </c>
      <c r="AN2227" cm="1">
        <f t="array" ref="AN2227">IFERROR(INDEX(hd_cap,MATCH(AQ2227,hd_mark,0),0),0)</f>
        <v>0</v>
      </c>
      <c r="AP2227" s="19"/>
      <c r="AQ2227" s="19"/>
      <c r="AR2227" s="100"/>
      <c r="AS2227" s="93"/>
      <c r="AT2227" s="109" t="s">
        <v>491</v>
      </c>
      <c r="AU2227" t="str">
        <f>$Q$2199</f>
        <v>L4</v>
      </c>
      <c r="AV2227">
        <f>$E$23</f>
        <v>0</v>
      </c>
      <c r="AW2227" cm="1">
        <f t="array" ref="AW2227">IFERROR(IF(AV2227=0,0,(INDEX($C$33:$C$38,MATCH($AZ$2206,$B$33:$B$38,0),0)*(AV2229+$BA$2206)+$AW$2206*COUNTIF(AV2227:AV2228,"&gt;0")*$C$32+$AY$2206*$C$31)*$AU$2206),0)</f>
        <v>0</v>
      </c>
      <c r="AX2227">
        <f>IF(AV2227=0,0,-(COUNTIF(AV2227:AV2228,"&gt;0")*$AW$2206*$C$32+$AY$2206*$C$31)*$H$27*$AU$2206)</f>
        <v>0</v>
      </c>
      <c r="AY2227">
        <f>IF(AV2227=0,0,$AY$2206*$H$26*$AU$2206)</f>
        <v>0</v>
      </c>
      <c r="AZ2227">
        <f>(0.6*AW2227+0.7*AX2227)*$AU$2206/2</f>
        <v>0</v>
      </c>
      <c r="BA2227">
        <f>AW2227*$AU$2206/2</f>
        <v>0</v>
      </c>
      <c r="BC2227">
        <f>IF(AV2227=0,0,$BG$2206*$AP$2199)</f>
        <v>0</v>
      </c>
      <c r="BD2227">
        <f>IFERROR(BC2227/$AU$2206,0)</f>
        <v>0</v>
      </c>
      <c r="BE2227">
        <f>BC2227*($F$23+IF($F$23=0,0,($C$14+$C$15+IF($C$13="single",1.5,3)+3)/12))</f>
        <v>0</v>
      </c>
      <c r="BF2227">
        <f>BE2227-AZ2227</f>
        <v>0</v>
      </c>
      <c r="BG2227" cm="1">
        <f t="array" ref="BG2227">IFERROR(IF(BF2227&lt;0,0,BF2227/($AU$2206-INDEX(hd_off,MATCH(BT2227,hd_mark,0),0)/12)),0)</f>
        <v>0</v>
      </c>
      <c r="BH2227">
        <f>IF(AV2227=0,0,$BG$2206*$AM$2199)</f>
        <v>0</v>
      </c>
      <c r="BI2227">
        <f>IFERROR(BH2227/$AU$2206,0)</f>
        <v>0</v>
      </c>
      <c r="BJ2227">
        <f>BH2227*($F$23+IF($F$23=0,0,($C$14+$C$15+IF($C$13="single",1.5,3)+3)/12))</f>
        <v>0</v>
      </c>
      <c r="BK2227">
        <f>BJ2227-BA2227</f>
        <v>0</v>
      </c>
      <c r="BL2227" cm="1">
        <f t="array" ref="BL2227">IFERROR(IF(BK2227&lt;0,0,BK2227/($AU$2206-INDEX(hd_off,MATCH(BT2227,hd_mark,0),0)/12)),0)</f>
        <v>0</v>
      </c>
      <c r="BM2227">
        <f>MAX($F$23,$BD$2206)/$Q$2228</f>
        <v>0</v>
      </c>
      <c r="BN2227">
        <f t="shared" si="1390"/>
        <v>0</v>
      </c>
      <c r="BO2227" cm="1">
        <f t="array" ref="BO2227">IFERROR(INDEX(sheath_ecap_asd,MATCH(BS2227,sheath_mark,0),0)*BN2227,0)</f>
        <v>0</v>
      </c>
      <c r="BP2227" cm="1">
        <f t="array" ref="BP2227">IFERROR(INDEX(sheath_wcap_asd,MATCH(BS2227,sheath_mark,0),0)*BN2227,0)</f>
        <v>0</v>
      </c>
      <c r="BQ2227" cm="1">
        <f t="array" ref="BQ2227">IFERROR(INDEX(hd_cap,MATCH(BT2227,hd_mark,0),0),0)</f>
        <v>0</v>
      </c>
      <c r="BS2227" s="19"/>
      <c r="BT2227" s="19"/>
      <c r="BU2227" s="100"/>
    </row>
    <row r="2228" x14ac:dyDescent="0.25">
      <c r="B2228" t="s">
        <v>171</v>
      </c>
      <c r="C2228" s="19">
        <v>0</v>
      </c>
      <c r="D2228" s="19">
        <v>29</v>
      </c>
      <c r="E2228">
        <f t="shared" si="1386"/>
        <v>29</v>
      </c>
      <c r="H2228">
        <v>11</v>
      </c>
      <c r="I2228" s="19">
        <v>0</v>
      </c>
      <c r="J2228" s="19">
        <v>27</v>
      </c>
      <c r="K2228">
        <f t="shared" si="1387"/>
        <v>27</v>
      </c>
      <c r="P2228" s="93"/>
      <c r="Q2228" s="111">
        <f>$R$2206</f>
        <v>29</v>
      </c>
      <c r="R2228" t="str">
        <f>$Q$2200</f>
        <v>L5</v>
      </c>
      <c r="S2228">
        <f>$E$24</f>
        <v>0</v>
      </c>
      <c r="T2228" cm="1">
        <f t="array" ref="T2228">IFERROR(IF(S2228=0,0,(INDEX($C$33:$C$38,MATCH($W$2206,$B$33:$B$38,0),0)*(S2229+$X$2206)+$T$2206*COUNTIF(S2228:S2228,"&gt;0")*$C$32+$V$2206*$C$31)*$R$2206),0)</f>
        <v>0</v>
      </c>
      <c r="U2228">
        <f>IF(S2228=0,0,-(COUNTIF(S2228:S2228,"&gt;0")*$T$2206*$C$32+$V$2206*$C$31)*$H$27*$R$2206)</f>
        <v>0</v>
      </c>
      <c r="V2228">
        <f>IF(S2228=0,0,$V$2206*$H$26*$R$2206)</f>
        <v>0</v>
      </c>
      <c r="W2228">
        <f t="shared" si="1388"/>
        <v>0</v>
      </c>
      <c r="X2228">
        <f>T2228*$R$2206/2</f>
        <v>0</v>
      </c>
      <c r="Z2228">
        <f>IF(S2228=0,0,$AD$2206*$AP$2200)</f>
        <v>0</v>
      </c>
      <c r="AA2228">
        <f>IFERROR(Z2228/$R$2206,0)</f>
        <v>0</v>
      </c>
      <c r="AB2228">
        <f>Z2228*($F$24+IF($F$24=0,0,($C$14+$C$15+IF($C$13="single",1.5,3)+3)/12))</f>
        <v>0</v>
      </c>
      <c r="AC2228">
        <f>AB2228-W2228</f>
        <v>0</v>
      </c>
      <c r="AD2228" cm="1">
        <f t="array" ref="AD2228">IFERROR(IF(AC2228&lt;0,0,AC2228/($R$2206-INDEX(hd_off,MATCH(AQ2228,hd_mark,0),0)/12)),0)</f>
        <v>0</v>
      </c>
      <c r="AE2228">
        <f>IF(S2228=0,0,$AD$2206*$AM$2200)</f>
        <v>0</v>
      </c>
      <c r="AF2228">
        <f>IFERROR(AE2228/$R$2206,0)</f>
        <v>0</v>
      </c>
      <c r="AG2228">
        <f>AE2228*($F$24+IF($F$24=0,0,($C$14+$C$15+IF($C$13="single",1.5,3)+3)/12))</f>
        <v>0</v>
      </c>
      <c r="AH2228">
        <f>AG2228-X2228</f>
        <v>0</v>
      </c>
      <c r="AI2228" cm="1">
        <f t="array" ref="AI2228">IFERROR(IF(AH2228&lt;0,0,AH2228/($R$2206-INDEX(hd_off,MATCH(AQ2228,hd_mark,0),0)/12)),0)</f>
        <v>0</v>
      </c>
      <c r="AJ2228">
        <f>MAX($F$24,$AB$2206)/$Q$2228</f>
        <v>0</v>
      </c>
      <c r="AK2228">
        <f t="shared" si="1389"/>
        <v>0</v>
      </c>
      <c r="AL2228" cm="1">
        <f t="array" ref="AL2228">IFERROR(INDEX(sheath_ecap_asd,MATCH(AP2228,sheath_mark,0),0)*AK2228,0)</f>
        <v>0</v>
      </c>
      <c r="AM2228" cm="1">
        <f t="array" ref="AM2228">IFERROR(INDEX(sheath_wcap_asd,MATCH(AP2228,sheath_mark,0),0)*AK2228,0)</f>
        <v>0</v>
      </c>
      <c r="AN2228" cm="1">
        <f t="array" ref="AN2228">IFERROR(INDEX(hd_cap,MATCH(AQ2228,hd_mark,0),0),0)</f>
        <v>0</v>
      </c>
      <c r="AP2228" s="19"/>
      <c r="AQ2228" s="19"/>
      <c r="AR2228" s="100"/>
      <c r="AS2228" s="93"/>
      <c r="AT2228" s="111">
        <f>$R$2206</f>
        <v>29</v>
      </c>
      <c r="AU2228" t="str">
        <f>$Q$2200</f>
        <v>L5</v>
      </c>
      <c r="AV2228">
        <f>$E$24</f>
        <v>0</v>
      </c>
      <c r="AW2228" cm="1">
        <f t="array" ref="AW2228">IFERROR(IF(AV2228=0,0,(INDEX($C$33:$C$38,MATCH($AZ$2206,$B$33:$B$38,0),0)*(AV2229+$BA$2206)+$AW$2206*COUNTIF(AV2228:AV2228,"&gt;0")*$C$32+$AY$2206*$C$31)*$AU$2206),0)</f>
        <v>0</v>
      </c>
      <c r="AX2228">
        <f>IF(AV2228=0,0,-(COUNTIF(AV2228:AV2228,"&gt;0")*$AW$2206*$C$32+$AY$2206*$C$31)*$H$27*$AU$2206)</f>
        <v>0</v>
      </c>
      <c r="AY2228">
        <f>IF(AV2228=0,0,$AY$2206*$H$26*$AU$2206)</f>
        <v>0</v>
      </c>
      <c r="AZ2228">
        <f>(0.6*AW2228+0.7*AX2228)*$AU$2206/2</f>
        <v>0</v>
      </c>
      <c r="BA2228">
        <f>AW2228*$AU$2206/2</f>
        <v>0</v>
      </c>
      <c r="BC2228">
        <f>IF(AV2228=0,0,$BG$2206*$AP$2200)</f>
        <v>0</v>
      </c>
      <c r="BD2228">
        <f>IFERROR(BC2228/$AU$2206,0)</f>
        <v>0</v>
      </c>
      <c r="BE2228">
        <f>BC2228*($F$24+IF($F$24=0,0,($C$14+$C$15+IF($C$13="single",1.5,3)+3)/12))</f>
        <v>0</v>
      </c>
      <c r="BF2228">
        <f>BE2228-AZ2228</f>
        <v>0</v>
      </c>
      <c r="BG2228" cm="1">
        <f t="array" ref="BG2228">IFERROR(IF(BF2228&lt;0,0,BF2228/($AU$2206-INDEX(hd_off,MATCH(BT2228,hd_mark,0),0)/12)),0)</f>
        <v>0</v>
      </c>
      <c r="BH2228">
        <f>IF(AV2228=0,0,$BG$2206*$AM$2200)</f>
        <v>0</v>
      </c>
      <c r="BI2228">
        <f>IFERROR(BH2228/$AU$2206,0)</f>
        <v>0</v>
      </c>
      <c r="BJ2228">
        <f>BH2228*($F$24+IF($F$24=0,0,($C$14+$C$15+IF($C$13="single",1.5,3)+3)/12))</f>
        <v>0</v>
      </c>
      <c r="BK2228">
        <f>BJ2228-BA2228</f>
        <v>0</v>
      </c>
      <c r="BL2228" cm="1">
        <f t="array" ref="BL2228">IFERROR(IF(BK2228&lt;0,0,BK2228/($AU$2206-INDEX(hd_off,MATCH(BT2228,hd_mark,0),0)/12)),0)</f>
        <v>0</v>
      </c>
      <c r="BM2228">
        <f>MAX($F$24,$BE$2206)/$Q$2228</f>
        <v>0</v>
      </c>
      <c r="BN2228">
        <f t="shared" si="1390"/>
        <v>0</v>
      </c>
      <c r="BO2228" cm="1">
        <f t="array" ref="BO2228">IFERROR(INDEX(sheath_ecap_asd,MATCH(BS2228,sheath_mark,0),0)*BN2228,0)</f>
        <v>0</v>
      </c>
      <c r="BP2228" cm="1">
        <f t="array" ref="BP2228">IFERROR(INDEX(sheath_wcap_asd,MATCH(BS2228,sheath_mark,0),0)*BN2228,0)</f>
        <v>0</v>
      </c>
      <c r="BQ2228" cm="1">
        <f t="array" ref="BQ2228">IFERROR(INDEX(hd_cap,MATCH(BT2228,hd_mark,0),0),0)</f>
        <v>0</v>
      </c>
      <c r="BS2228" s="19"/>
      <c r="BT2228" s="19"/>
      <c r="BU2228" s="100"/>
    </row>
    <row r="2229" x14ac:dyDescent="0.25">
      <c r="B2229" t="s">
        <v>460</v>
      </c>
      <c r="C2229" s="19">
        <v>29</v>
      </c>
      <c r="D2229" s="19">
        <v>6</v>
      </c>
      <c r="E2229">
        <f t="shared" si="1386"/>
        <v>35</v>
      </c>
      <c r="H2229">
        <v>12</v>
      </c>
      <c r="I2229" s="19">
        <v>27</v>
      </c>
      <c r="J2229" s="19">
        <v>14</v>
      </c>
      <c r="K2229">
        <f t="shared" si="1387"/>
        <v>41</v>
      </c>
      <c r="P2229" s="93"/>
      <c r="Q2229" s="109"/>
      <c r="R2229" t="str">
        <f>$Q$2201</f>
        <v>Roof</v>
      </c>
      <c r="S2229">
        <f>$E$25</f>
        <v>33.171875</v>
      </c>
      <c r="T2229" cm="1">
        <f t="array" ref="T2229">IFERROR(IF(S2229=0,0,(INDEX($C$33:$C$38,MATCH($W$2206,$B$33:$B$38,0),0)*(S2229+$X$2206)+$V$2206*$C$31)*$R$2206),0)</f>
        <v>21491.71875</v>
      </c>
      <c r="U2229">
        <f>IF(S2229=0,0,-$V$2206*$C$31*$H$27*$R$2206)</f>
        <v>-37.583999999999996</v>
      </c>
      <c r="V2229">
        <f>IF(S2229=0,0,$V$2206*$H$26*$R$2206)</f>
        <v>-1328.1999999999998</v>
      </c>
      <c r="W2229">
        <f>(0.6*T2229+0.7*U2229)*$R$2206/2</f>
        <v>186596.47552499999</v>
      </c>
      <c r="X2229">
        <f>T2229*$R$2206/2</f>
        <v>311629.921875</v>
      </c>
      <c r="Z2229">
        <f>IF(S2229=0,0,$AD$2206*$AP$2201)</f>
        <v>191.83499999999995</v>
      </c>
      <c r="AA2229">
        <f>IFERROR(Z2229/$R$2206,0)</f>
        <v>6.6149999999999984</v>
      </c>
      <c r="AB2229">
        <f>Z2229*($F$25+($C$16+$C$17+IF($C$13="single",1.5,3)+3)/12)</f>
        <v>2263.0535156249989</v>
      </c>
      <c r="AC2229">
        <f>AB2229-W2229</f>
        <v>-184333.42200937498</v>
      </c>
      <c r="AD2229" cm="1">
        <f t="array" ref="AD2229">IFERROR(IF(AC2229&lt;0,0,AC2229/($R$2206-INDEX(hd_off,MATCH(AQ2229,hd_mark,0),0)/12)),0)</f>
        <v>0</v>
      </c>
      <c r="AE2229">
        <f>IF(S2229=0,0,$AD$2206*$AM$2201)</f>
        <v>3854.1</v>
      </c>
      <c r="AF2229">
        <f>IFERROR(AE2229/$R$2206,0)</f>
        <v>132.9</v>
      </c>
      <c r="AG2229">
        <f>AE2229*($F$25+($C$16+$C$17+IF($C$13="single",1.5,3)+3)/12)</f>
        <v>45466.335937499993</v>
      </c>
      <c r="AH2229">
        <f>AG2229-X2229</f>
        <v>-266163.5859375</v>
      </c>
      <c r="AI2229" cm="1">
        <f t="array" ref="AI2229">IFERROR(IF(AH2229&lt;0,0,AH2229/($R$2206-INDEX(hd_off,MATCH(AQ2229,hd_mark,0),0)/12)),0)</f>
        <v>0</v>
      </c>
      <c r="AJ2229">
        <f>MAX($F$25,$AC$2206)/$Q$2228</f>
        <v>0.29920977011494249</v>
      </c>
      <c r="AK2229">
        <f t="shared" si="1389"/>
        <v>1</v>
      </c>
      <c r="AL2229" cm="1">
        <f t="array" ref="AL2229">IFERROR(INDEX(sheath_ecap_asd,MATCH(AP2229,sheath_mark,0),0)*AK2229,0)</f>
        <v>95.285714285714306</v>
      </c>
      <c r="AM2229" cm="1">
        <f t="array" ref="AM2229">IFERROR(INDEX(sheath_wcap_asd,MATCH(AP2229,sheath_mark,0),0)*AK2229,0)</f>
        <v>133.4</v>
      </c>
      <c r="AN2229" cm="1">
        <f t="array" ref="AN2229">IFERROR(INDEX(hd_cap,MATCH(AQ2229,hd_mark,0),0),0)</f>
        <v>0</v>
      </c>
      <c r="AP2229" s="19">
        <v>11</v>
      </c>
      <c r="AQ2229" s="19"/>
      <c r="AR2229" s="100"/>
      <c r="AS2229" s="93"/>
      <c r="AT2229" s="109"/>
      <c r="AU2229" t="str">
        <f>$Q$2201</f>
        <v>Roof</v>
      </c>
      <c r="AV2229">
        <f>$E$25</f>
        <v>33.171875</v>
      </c>
      <c r="AW2229" cm="1">
        <f t="array" ref="AW2229">IFERROR(IF(AV2229=0,0,(INDEX($C$33:$C$38,MATCH($AZ$2206,$B$33:$B$38,0),0)*(AV2229+$BA$2206)+$AY$2206*$C$31)*$AU$2206),0)</f>
        <v>21491.71875</v>
      </c>
      <c r="AX2229">
        <f>IF(AV2229=0,0,-$AY$2206*$C$31*$H$27*$AU$2206)</f>
        <v>-37.583999999999996</v>
      </c>
      <c r="AY2229">
        <f>IF(AV2229=0,0,$AY$2206*$H$26*$AU$2206)</f>
        <v>-1328.1999999999998</v>
      </c>
      <c r="AZ2229">
        <f>(0.6*AW2229+0.7*AX2229)*$AU$2206/2</f>
        <v>186596.47552499999</v>
      </c>
      <c r="BA2229">
        <f>AW2229*$AU$2206/2</f>
        <v>311629.921875</v>
      </c>
      <c r="BC2229">
        <f>IF(AV2229=0,0,$BG$2206*$AP$2201)</f>
        <v>191.83499999999995</v>
      </c>
      <c r="BD2229">
        <f>IFERROR(BC2229/$AU$2206,0)</f>
        <v>6.6149999999999984</v>
      </c>
      <c r="BE2229">
        <f>BC2229*($F$25+($C$16+$C$17+IF($C$13="single",1.5,3)+3)/12)</f>
        <v>2263.0535156249989</v>
      </c>
      <c r="BF2229">
        <f>BE2229-AZ2229</f>
        <v>-184333.42200937498</v>
      </c>
      <c r="BG2229" cm="1">
        <f t="array" ref="BG2229">IFERROR(IF(BF2229&lt;0,0,BF2229/($AU$2206-INDEX(hd_off,MATCH(BT2229,hd_mark,0),0)/12)),0)</f>
        <v>0</v>
      </c>
      <c r="BH2229">
        <f>IF(AV2229=0,0,$BG$2206*$AM$2201)</f>
        <v>3854.1</v>
      </c>
      <c r="BI2229">
        <f>IFERROR(BH2229/$AU$2206,0)</f>
        <v>132.9</v>
      </c>
      <c r="BJ2229">
        <f>BH2229*($F$25+($C$16+$C$17+IF($C$13="single",1.5,3)+3)/12)</f>
        <v>45466.335937499993</v>
      </c>
      <c r="BK2229">
        <f>BJ2229-BA2229</f>
        <v>-266163.5859375</v>
      </c>
      <c r="BL2229" cm="1">
        <f t="array" ref="BL2229">IFERROR(IF(BK2229&lt;0,0,BK2229/($AU$2206-INDEX(hd_off,MATCH(BT2229,hd_mark,0),0)/12)),0)</f>
        <v>0</v>
      </c>
      <c r="BM2229">
        <f>MAX($F$25,$BF$2206)/$Q$2228</f>
        <v>0.29920977011494249</v>
      </c>
      <c r="BN2229">
        <f t="shared" si="1390"/>
        <v>1</v>
      </c>
      <c r="BO2229" cm="1">
        <f t="array" ref="BO2229">IFERROR(INDEX(sheath_ecap_asd,MATCH(BS2229,sheath_mark,0),0)*BN2229,0)</f>
        <v>95.285714285714306</v>
      </c>
      <c r="BP2229" cm="1">
        <f t="array" ref="BP2229">IFERROR(INDEX(sheath_wcap_asd,MATCH(BS2229,sheath_mark,0),0)*BN2229,0)</f>
        <v>133.4</v>
      </c>
      <c r="BQ2229" cm="1">
        <f t="array" ref="BQ2229">IFERROR(INDEX(hd_cap,MATCH(BT2229,hd_mark,0),0),0)</f>
        <v>0</v>
      </c>
      <c r="BS2229" s="19">
        <v>11</v>
      </c>
      <c r="BT2229" s="19"/>
      <c r="BU2229" s="100"/>
    </row>
    <row r="2230" x14ac:dyDescent="0.25">
      <c r="B2230" t="s">
        <v>461</v>
      </c>
      <c r="C2230" s="19">
        <v>6</v>
      </c>
      <c r="D2230" s="19">
        <v>29</v>
      </c>
      <c r="E2230">
        <f t="shared" si="1386"/>
        <v>35</v>
      </c>
      <c r="H2230">
        <v>13</v>
      </c>
      <c r="I2230" s="19">
        <v>14</v>
      </c>
      <c r="J2230" s="19">
        <v>12</v>
      </c>
      <c r="K2230">
        <f t="shared" si="1387"/>
        <v>26</v>
      </c>
      <c r="P2230" s="93"/>
      <c r="Q2230" s="109"/>
      <c r="AR2230" s="100"/>
      <c r="AS2230" s="93"/>
      <c r="AT2230" s="109"/>
      <c r="BU2230" s="100"/>
    </row>
    <row r="2231" x14ac:dyDescent="0.25">
      <c r="B2231" t="s">
        <v>462</v>
      </c>
      <c r="C2231" s="19">
        <v>29</v>
      </c>
      <c r="D2231" s="19">
        <v>0</v>
      </c>
      <c r="E2231">
        <f t="shared" si="1386"/>
        <v>29</v>
      </c>
      <c r="H2231">
        <v>14</v>
      </c>
      <c r="I2231" s="19">
        <v>12</v>
      </c>
      <c r="J2231" s="19">
        <v>27</v>
      </c>
      <c r="K2231">
        <f t="shared" si="1387"/>
        <v>39</v>
      </c>
      <c r="P2231" s="93"/>
      <c r="Q2231" s="110" t="str">
        <f>$Q$2207</f>
        <v>A.02</v>
      </c>
      <c r="R2231" t="str">
        <f>$Q$2197</f>
        <v>L2</v>
      </c>
      <c r="S2231">
        <f>$E$21</f>
        <v>10.6875</v>
      </c>
      <c r="T2231" cm="1">
        <f t="array" ref="T2231">IFERROR(IF(S2231=0,0,(INDEX($C$33:$C$38,MATCH($W$2207,$B$33:$B$38,0),0)*(S2235+$X$2207)+$T$2207*COUNTIF(S2231:S2234,"&gt;0")*$C$32+$V$2207*$C$31)*$R$2207),0)</f>
        <v>0</v>
      </c>
      <c r="U2231">
        <f>IF(S2231=0,0,-(COUNTIF(S2231:S2234,"&gt;0")*$T$2207*$C$32+$V$2207*$C$31)*$H$27*$R$2207)</f>
        <v>0</v>
      </c>
      <c r="V2231">
        <f>IF(S2231=0,0,$V$2207*$H$26*$R$2207)</f>
        <v>0</v>
      </c>
      <c r="W2231">
        <f>(0.6*T2231+0.7*U2231)*$R$2207/2</f>
        <v>0</v>
      </c>
      <c r="X2231">
        <f>(0.6*T2231+0.6*V2231)*$R$2207/2</f>
        <v>0</v>
      </c>
      <c r="Z2231">
        <f>IF(S2231=0,0,$AD$2207*$AP$2197)</f>
        <v>0</v>
      </c>
      <c r="AA2231">
        <f>IFERROR(Z2231/$R$2207,0)</f>
        <v>0</v>
      </c>
      <c r="AB2231">
        <f>Z2231*($F$21+IF($F$21=0,0,($C$14+$C$15+IF($C$13="single",1.5,3)+3)/12))</f>
        <v>0</v>
      </c>
      <c r="AC2231">
        <f>AB2231-W2231</f>
        <v>0</v>
      </c>
      <c r="AD2231" cm="1">
        <f t="array" ref="AD2231">IFERROR(IF(AC2231&lt;0,0,AC2231/($R$2207-INDEX(hd_off,MATCH(AQ2231,hd_mark,0),0)/12)),0)</f>
        <v>0</v>
      </c>
      <c r="AE2231">
        <f>IF(S2231=0,0,$AD$2207*$AM$2197)</f>
        <v>0</v>
      </c>
      <c r="AF2231">
        <f>IFERROR(AE2231/$R$2207,0)</f>
        <v>0</v>
      </c>
      <c r="AG2231">
        <f>AE2231*($F$21+IF($F$21=0,0,($C$14+$C$15+IF($C$13="single",1.5,3)+3)/12))</f>
        <v>0</v>
      </c>
      <c r="AH2231">
        <f>AG2231-X2231</f>
        <v>0</v>
      </c>
      <c r="AI2231" cm="1">
        <f t="array" ref="AI2231">IFERROR(IF(AH2231&lt;0,0,AH2231/($R$2207-INDEX(hd_off,MATCH(AQ2231,hd_mark,0),0)/12)),0)</f>
        <v>0</v>
      </c>
      <c r="AJ2231">
        <f>MAX($F$21,$Y$2207)/$Q$2228</f>
        <v>0.30172413793103448</v>
      </c>
      <c r="AK2231">
        <f>IF(AJ2231=0,0,IF(AJ2231&gt;2,1.25-0.125*AJ2231,1))</f>
        <v>1</v>
      </c>
      <c r="AL2231" cm="1">
        <f t="array" ref="AL2231">IFERROR(INDEX(sheath_ecap_asd,MATCH(AP2231,sheath_mark,0),0)*AK2231,0)</f>
        <v>0</v>
      </c>
      <c r="AM2231" cm="1">
        <f t="array" ref="AM2231">IFERROR(INDEX(sheath_wcap_asd,MATCH(AP2231,sheath_mark,0),0)*AK2231,0)</f>
        <v>0</v>
      </c>
      <c r="AN2231" cm="1">
        <f t="array" ref="AN2231">IFERROR(INDEX(hd_cap,MATCH(AQ2231,hd_mark,0),0),0)</f>
        <v>0</v>
      </c>
      <c r="AP2231" s="19"/>
      <c r="AQ2231" s="19"/>
      <c r="AR2231" s="100"/>
      <c r="AS2231" s="93"/>
      <c r="AT2231" s="110" t="str">
        <f>$AT$2207</f>
        <v>1.02</v>
      </c>
      <c r="AU2231" t="str">
        <f>$Q$2197</f>
        <v>L2</v>
      </c>
      <c r="AV2231">
        <f>$E$21</f>
        <v>10.6875</v>
      </c>
      <c r="AW2231" cm="1">
        <f t="array" ref="AW2231">IFERROR(IF(AV2231=0,0,(INDEX($C$33:$C$38,MATCH($AZ$2207,$B$33:$B$38,0),0)*(AV2235+$BA$2207)+$AW$2207*COUNTIF(AV2231:AV2234,"&gt;0")*$C$32+$AY$2207*$C$31)*$AU$2207),0)</f>
        <v>0</v>
      </c>
      <c r="AX2231">
        <f>IF(AV2231=0,0,-(COUNTIF(AV2231:AV2234,"&gt;0")*$AW$2207*$C$32+$AY$2207*$C$31)*$H$27*$AU$2207)</f>
        <v>0</v>
      </c>
      <c r="AY2231">
        <f>IF(AV2231=0,0,$AY$2207*$H$26*$AU$2207)</f>
        <v>0</v>
      </c>
      <c r="AZ2231">
        <f>(0.6*AW2231+0.7*AX2231)*$AU$2207/2</f>
        <v>0</v>
      </c>
      <c r="BA2231">
        <f>(0.6*AW2231+0.6*AY2231)*$AU$2207/2</f>
        <v>0</v>
      </c>
      <c r="BC2231">
        <f>IF(AV2231=0,0,$BG$2207*$AP$2197)</f>
        <v>0</v>
      </c>
      <c r="BD2231">
        <f>IFERROR(BC2231/$AU$2207,0)</f>
        <v>0</v>
      </c>
      <c r="BE2231">
        <f>BC2231*($F$21+IF($F$21=0,0,($C$14+$C$15+IF($C$13="single",1.5,3)+3)/12))</f>
        <v>0</v>
      </c>
      <c r="BF2231">
        <f>BE2231-AZ2231</f>
        <v>0</v>
      </c>
      <c r="BG2231" cm="1">
        <f t="array" ref="BG2231">IFERROR(IF(BF2231&lt;0,0,BF2231/($AU$2207-INDEX(hd_off,MATCH(BT2231,hd_mark,0),0)/12)),0)</f>
        <v>0</v>
      </c>
      <c r="BH2231">
        <f>IF(AV2231=0,0,$BG$2207*$AM$2197)</f>
        <v>0</v>
      </c>
      <c r="BI2231">
        <f>IFERROR(BH2231/$AU$2207,0)</f>
        <v>0</v>
      </c>
      <c r="BJ2231">
        <f>BH2231*($F$21+IF($F$21=0,0,($C$14+$C$15+IF($C$13="single",1.5,3)+3)/12))</f>
        <v>0</v>
      </c>
      <c r="BK2231">
        <f>BJ2231-BA2231</f>
        <v>0</v>
      </c>
      <c r="BL2231" cm="1">
        <f t="array" ref="BL2231">IFERROR(IF(BK2231&lt;0,0,BK2231/($AU$2207-INDEX(hd_off,MATCH(BT2231,hd_mark,0),0)/12)),0)</f>
        <v>0</v>
      </c>
      <c r="BM2231">
        <f>MAX($F$21,$BB$2207)/$Q$2228</f>
        <v>0.30172413793103448</v>
      </c>
      <c r="BN2231">
        <f>IF(BM2231=0,0,IF(BM2231&gt;2,1.25-0.125*BM2231,1))</f>
        <v>1</v>
      </c>
      <c r="BO2231" cm="1">
        <f t="array" ref="BO2231">IFERROR(INDEX(sheath_ecap_asd,MATCH(BS2231,sheath_mark,0),0)*BN2231,0)</f>
        <v>0</v>
      </c>
      <c r="BP2231" cm="1">
        <f t="array" ref="BP2231">IFERROR(INDEX(sheath_wcap_asd,MATCH(BS2231,sheath_mark,0),0)*BN2231,0)</f>
        <v>0</v>
      </c>
      <c r="BQ2231" cm="1">
        <f t="array" ref="BQ2231">IFERROR(INDEX(hd_cap,MATCH(BT2231,hd_mark,0),0),0)</f>
        <v>0</v>
      </c>
      <c r="BS2231" s="19"/>
      <c r="BT2231" s="19"/>
      <c r="BU2231" s="100"/>
    </row>
    <row r="2232" x14ac:dyDescent="0.25">
      <c r="B2232" t="s">
        <v>463</v>
      </c>
      <c r="C2232" s="19"/>
      <c r="D2232" s="19"/>
      <c r="E2232">
        <f t="shared" si="1386"/>
        <v>0</v>
      </c>
      <c r="H2232">
        <v>15</v>
      </c>
      <c r="I2232" s="19">
        <v>27</v>
      </c>
      <c r="J2232" s="19">
        <v>18</v>
      </c>
      <c r="K2232">
        <f t="shared" si="1387"/>
        <v>45</v>
      </c>
      <c r="P2232" s="93"/>
      <c r="Q2232" s="109"/>
      <c r="R2232" t="str">
        <f>$Q$2198</f>
        <v>L3</v>
      </c>
      <c r="S2232">
        <f>$E$22</f>
        <v>21.375</v>
      </c>
      <c r="T2232" cm="1">
        <f t="array" ref="T2232">IFERROR(IF(S2232=0,0,(INDEX($C$33:$C$38,MATCH($W$2207,$B$33:$B$38,0),0)*(S2235+$X$2207)+$T$2207*COUNTIF(S2232:S2234,"&gt;0")*$C$32+$V$2207*$C$31)*$R$2207),0)</f>
        <v>0</v>
      </c>
      <c r="U2232">
        <f>IF(S2232=0,0,-(COUNTIF(S2232:S2234,"&gt;0")*$T$2207*$C$32+$V$2207*$C$31)*$H$27*$R$2207)</f>
        <v>0</v>
      </c>
      <c r="V2232">
        <f>IF(S2232=0,0,$V$2207*$H$26*$R$2207)</f>
        <v>0</v>
      </c>
      <c r="W2232">
        <f>(0.6*T2232+0.7*U2232)*$R$2207/2</f>
        <v>0</v>
      </c>
      <c r="X2232">
        <f>T2232*$R$2207/2</f>
        <v>0</v>
      </c>
      <c r="Z2232">
        <f>IF(S2232=0,0,$AD$2207*$AP$2198)</f>
        <v>0</v>
      </c>
      <c r="AA2232">
        <f>IFERROR(Z2232/$R$2207,0)</f>
        <v>0</v>
      </c>
      <c r="AB2232">
        <f>Z2232*($F$22+IF($F$22=0,0,($C$14+$C$15+IF($C$13="single",1.5,3)+3)/12))</f>
        <v>0</v>
      </c>
      <c r="AC2232">
        <f>AB2232-W2232</f>
        <v>0</v>
      </c>
      <c r="AD2232" cm="1">
        <f t="array" ref="AD2232">IFERROR(IF(AC2232&lt;0,0,AC2232/($R$2207-INDEX(hd_off,MATCH(AQ2232,hd_mark,0),0)/12)),0)</f>
        <v>0</v>
      </c>
      <c r="AE2232">
        <f>IF(S2232=0,0,$AD$2207*$AM$2198)</f>
        <v>0</v>
      </c>
      <c r="AF2232">
        <f>IFERROR(AE2232/$R$2207,0)</f>
        <v>0</v>
      </c>
      <c r="AG2232">
        <f>AE2232*($F$22+IF($F$22=0,0,($C$14+$C$15+IF($C$13="single",1.5,3)+3)/12))</f>
        <v>0</v>
      </c>
      <c r="AH2232">
        <f>AG2232-X2232</f>
        <v>0</v>
      </c>
      <c r="AI2232" cm="1">
        <f t="array" ref="AI2232">IFERROR(IF(AH2232&lt;0,0,AH2232/($R$2207-INDEX(hd_off,MATCH(AQ2232,hd_mark,0),0)/12)),0)</f>
        <v>0</v>
      </c>
      <c r="AJ2232">
        <f>MAX($F$22,$Z$2207)/$Q$2228</f>
        <v>0.30172413793103448</v>
      </c>
      <c r="AK2232">
        <f t="shared" ref="AK2232:AK2235" si="1391">IF(AJ2232=0,0,IF(AJ2232&gt;2,1.25-0.125*AJ2232,1))</f>
        <v>1</v>
      </c>
      <c r="AL2232" cm="1">
        <f t="array" ref="AL2232">IFERROR(INDEX(sheath_ecap_asd,MATCH(AP2232,sheath_mark,0),0)*AK2232,0)</f>
        <v>0</v>
      </c>
      <c r="AM2232" cm="1">
        <f t="array" ref="AM2232">IFERROR(INDEX(sheath_wcap_asd,MATCH(AP2232,sheath_mark,0),0)*AK2232,0)</f>
        <v>0</v>
      </c>
      <c r="AN2232" cm="1">
        <f t="array" ref="AN2232">IFERROR(INDEX(hd_cap,MATCH(AQ2232,hd_mark,0),0),0)</f>
        <v>0</v>
      </c>
      <c r="AP2232" s="19"/>
      <c r="AQ2232" s="19"/>
      <c r="AR2232" s="100"/>
      <c r="AS2232" s="93"/>
      <c r="AT2232" s="109"/>
      <c r="AU2232" t="str">
        <f>$Q$2198</f>
        <v>L3</v>
      </c>
      <c r="AV2232">
        <f>$E$22</f>
        <v>21.375</v>
      </c>
      <c r="AW2232" cm="1">
        <f t="array" ref="AW2232">IFERROR(IF(AV2232=0,0,(INDEX($C$33:$C$38,MATCH($AZ$2207,$B$33:$B$38,0),0)*(AV2235+$BA$2207)+$AW$2207*COUNTIF(AV2232:AV2234,"&gt;0")*$C$32+$AY$2207*$C$31)*$AU$2207),0)</f>
        <v>0</v>
      </c>
      <c r="AX2232">
        <f>IF(AV2232=0,0,-(COUNTIF(AV2232:AV2234,"&gt;0")*$AW$2207*$C$32+$AY$2207*$C$31)*$H$27*$AU$2207)</f>
        <v>0</v>
      </c>
      <c r="AY2232">
        <f>IF(AV2232=0,0,$AY$2207*$H$26*$AU$2207)</f>
        <v>0</v>
      </c>
      <c r="AZ2232">
        <f>(0.6*AW2232+0.7*AX2232)*$AU$2207/2</f>
        <v>0</v>
      </c>
      <c r="BA2232">
        <f>AW2232*$AU$2207/2</f>
        <v>0</v>
      </c>
      <c r="BC2232">
        <f>IF(AV2232=0,0,$BG$2207*$AP$2198)</f>
        <v>0</v>
      </c>
      <c r="BD2232">
        <f>IFERROR(BC2232/$AU$2207,0)</f>
        <v>0</v>
      </c>
      <c r="BE2232">
        <f>BC2232*($F$22+IF($F$22=0,0,($C$14+$C$15+IF($C$13="single",1.5,3)+3)/12))</f>
        <v>0</v>
      </c>
      <c r="BF2232">
        <f>BE2232-AZ2232</f>
        <v>0</v>
      </c>
      <c r="BG2232" cm="1">
        <f t="array" ref="BG2232">IFERROR(IF(BF2232&lt;0,0,BF2232/($AU$2207-INDEX(hd_off,MATCH(BT2232,hd_mark,0),0)/12)),0)</f>
        <v>0</v>
      </c>
      <c r="BH2232">
        <f>IF(AV2232=0,0,$BG$2207*$AM$2198)</f>
        <v>0</v>
      </c>
      <c r="BI2232">
        <f>IFERROR(BH2232/$AU$2207,0)</f>
        <v>0</v>
      </c>
      <c r="BJ2232">
        <f>BH2232*($F$22+IF($F$22=0,0,($C$14+$C$15+IF($C$13="single",1.5,3)+3)/12))</f>
        <v>0</v>
      </c>
      <c r="BK2232">
        <f>BJ2232-BA2232</f>
        <v>0</v>
      </c>
      <c r="BL2232" cm="1">
        <f t="array" ref="BL2232">IFERROR(IF(BK2232&lt;0,0,BK2232/($AU$2207-INDEX(hd_off,MATCH(BT2232,hd_mark,0),0)/12)),0)</f>
        <v>0</v>
      </c>
      <c r="BM2232">
        <f>MAX($F$22,$BC$2207)/$Q$2228</f>
        <v>0.30172413793103448</v>
      </c>
      <c r="BN2232">
        <f t="shared" ref="BN2232:BN2235" si="1392">IF(BM2232=0,0,IF(BM2232&gt;2,1.25-0.125*BM2232,1))</f>
        <v>1</v>
      </c>
      <c r="BO2232" cm="1">
        <f t="array" ref="BO2232">IFERROR(INDEX(sheath_ecap_asd,MATCH(BS2232,sheath_mark,0),0)*BN2232,0)</f>
        <v>0</v>
      </c>
      <c r="BP2232" cm="1">
        <f t="array" ref="BP2232">IFERROR(INDEX(sheath_wcap_asd,MATCH(BS2232,sheath_mark,0),0)*BN2232,0)</f>
        <v>0</v>
      </c>
      <c r="BQ2232" cm="1">
        <f t="array" ref="BQ2232">IFERROR(INDEX(hd_cap,MATCH(BT2232,hd_mark,0),0),0)</f>
        <v>0</v>
      </c>
      <c r="BS2232" s="19"/>
      <c r="BT2232" s="19"/>
      <c r="BU2232" s="100"/>
    </row>
    <row r="2233" x14ac:dyDescent="0.25">
      <c r="B2233" t="s">
        <v>464</v>
      </c>
      <c r="C2233" s="19"/>
      <c r="D2233" s="19"/>
      <c r="E2233">
        <f t="shared" si="1386"/>
        <v>0</v>
      </c>
      <c r="H2233">
        <v>16</v>
      </c>
      <c r="I2233" s="19"/>
      <c r="J2233" s="19"/>
      <c r="K2233">
        <f t="shared" si="1387"/>
        <v>0</v>
      </c>
      <c r="P2233" s="93"/>
      <c r="Q2233" s="109" t="s">
        <v>491</v>
      </c>
      <c r="R2233" t="str">
        <f>$Q$2199</f>
        <v>L4</v>
      </c>
      <c r="S2233">
        <f>$E$23</f>
        <v>0</v>
      </c>
      <c r="T2233" cm="1">
        <f t="array" ref="T2233">IFERROR(IF(S2233=0,0,(INDEX($C$33:$C$38,MATCH($W$2207,$B$33:$B$38,0),0)*(S2235+$X$2207)+$T$2207*COUNTIF(S2233:S2234,"&gt;0")*$C$32+$V$2207*$C$31)*$R$2207),0)</f>
        <v>0</v>
      </c>
      <c r="U2233">
        <f>IF(S2233=0,0,-(COUNTIF(S2233:S2234,"&gt;0")*$T$2207*$C$32+$V$2207*$C$31)*$H$27*$R$2207)</f>
        <v>0</v>
      </c>
      <c r="V2233">
        <f>IF(S2233=0,0,$V$2207*$H$26*$R$2207)</f>
        <v>0</v>
      </c>
      <c r="W2233">
        <f>(0.6*T2233+0.7*U2233)*$R$2207/2</f>
        <v>0</v>
      </c>
      <c r="X2233">
        <f>T2233*$R$2207/2</f>
        <v>0</v>
      </c>
      <c r="Z2233">
        <f>IF(S2233=0,0,$AD$2207*$AP$2199)</f>
        <v>0</v>
      </c>
      <c r="AA2233">
        <f>IFERROR(Z2233/$R$2207,0)</f>
        <v>0</v>
      </c>
      <c r="AB2233">
        <f>Z2233*($F$23+IF($F$23=0,0,($C$14+$C$15+IF($C$13="single",1.5,3)+3)/12))</f>
        <v>0</v>
      </c>
      <c r="AC2233">
        <f>AB2233-W2233</f>
        <v>0</v>
      </c>
      <c r="AD2233" cm="1">
        <f t="array" ref="AD2233">IFERROR(IF(AC2233&lt;0,0,AC2233/($R$2207-INDEX(hd_off,MATCH(AQ2233,hd_mark,0),0)/12)),0)</f>
        <v>0</v>
      </c>
      <c r="AE2233">
        <f>IF(S2233=0,0,$AD$2207*$AM$2199)</f>
        <v>0</v>
      </c>
      <c r="AF2233">
        <f>IFERROR(AE2233/$R$2207,0)</f>
        <v>0</v>
      </c>
      <c r="AG2233">
        <f>AE2233*($F$23+IF($F$23=0,0,($C$14+$C$15+IF($C$13="single",1.5,3)+3)/12))</f>
        <v>0</v>
      </c>
      <c r="AH2233">
        <f>AG2233-X2233</f>
        <v>0</v>
      </c>
      <c r="AI2233" cm="1">
        <f t="array" ref="AI2233">IFERROR(IF(AH2233&lt;0,0,AH2233/($R$2207-INDEX(hd_off,MATCH(AQ2233,hd_mark,0),0)/12)),0)</f>
        <v>0</v>
      </c>
      <c r="AJ2233">
        <f>MAX($F$23,$AA$2207)/$Q$2228</f>
        <v>0</v>
      </c>
      <c r="AK2233">
        <f t="shared" si="1391"/>
        <v>0</v>
      </c>
      <c r="AL2233" cm="1">
        <f t="array" ref="AL2233">IFERROR(INDEX(sheath_ecap_asd,MATCH(AP2233,sheath_mark,0),0)*AK2233,0)</f>
        <v>0</v>
      </c>
      <c r="AM2233" cm="1">
        <f t="array" ref="AM2233">IFERROR(INDEX(sheath_wcap_asd,MATCH(AP2233,sheath_mark,0),0)*AK2233,0)</f>
        <v>0</v>
      </c>
      <c r="AN2233" cm="1">
        <f t="array" ref="AN2233">IFERROR(INDEX(hd_cap,MATCH(AQ2233,hd_mark,0),0),0)</f>
        <v>0</v>
      </c>
      <c r="AP2233" s="19"/>
      <c r="AQ2233" s="19"/>
      <c r="AR2233" s="100"/>
      <c r="AS2233" s="93"/>
      <c r="AT2233" s="109" t="s">
        <v>491</v>
      </c>
      <c r="AU2233" t="str">
        <f>$Q$2199</f>
        <v>L4</v>
      </c>
      <c r="AV2233">
        <f>$E$23</f>
        <v>0</v>
      </c>
      <c r="AW2233" cm="1">
        <f t="array" ref="AW2233">IFERROR(IF(AV2233=0,0,(INDEX($C$33:$C$38,MATCH($AZ$2207,$B$33:$B$38,0),0)*(AV2235+$BA$2207)+$AW$2207*COUNTIF(AV2233:AV2234,"&gt;0")*$C$32+$AY$2207*$C$31)*$AU$2207),0)</f>
        <v>0</v>
      </c>
      <c r="AX2233">
        <f>IF(AV2233=0,0,-(COUNTIF(AV2233:AV2234,"&gt;0")*$AW$2207*$C$32+$AY$2207*$C$31)*$H$27*$AU$2207)</f>
        <v>0</v>
      </c>
      <c r="AY2233">
        <f>IF(AV2233=0,0,$AY$2207*$H$26*$AU$2207)</f>
        <v>0</v>
      </c>
      <c r="AZ2233">
        <f>(0.6*AW2233+0.7*AX2233)*$AU$2207/2</f>
        <v>0</v>
      </c>
      <c r="BA2233">
        <f>AW2233*$AU$2207/2</f>
        <v>0</v>
      </c>
      <c r="BC2233">
        <f>IF(AV2233=0,0,$BG$2207*$AP$2199)</f>
        <v>0</v>
      </c>
      <c r="BD2233">
        <f>IFERROR(BC2233/$AU$2207,0)</f>
        <v>0</v>
      </c>
      <c r="BE2233">
        <f>BC2233*($F$23+IF($F$23=0,0,($C$14+$C$15+IF($C$13="single",1.5,3)+3)/12))</f>
        <v>0</v>
      </c>
      <c r="BF2233">
        <f>BE2233-AZ2233</f>
        <v>0</v>
      </c>
      <c r="BG2233" cm="1">
        <f t="array" ref="BG2233">IFERROR(IF(BF2233&lt;0,0,BF2233/($AU$2207-INDEX(hd_off,MATCH(BT2233,hd_mark,0),0)/12)),0)</f>
        <v>0</v>
      </c>
      <c r="BH2233">
        <f>IF(AV2233=0,0,$BG$2207*$AM$2199)</f>
        <v>0</v>
      </c>
      <c r="BI2233">
        <f>IFERROR(BH2233/$AU$2207,0)</f>
        <v>0</v>
      </c>
      <c r="BJ2233">
        <f>BH2233*($F$23+IF($F$23=0,0,($C$14+$C$15+IF($C$13="single",1.5,3)+3)/12))</f>
        <v>0</v>
      </c>
      <c r="BK2233">
        <f>BJ2233-BA2233</f>
        <v>0</v>
      </c>
      <c r="BL2233" cm="1">
        <f t="array" ref="BL2233">IFERROR(IF(BK2233&lt;0,0,BK2233/($AU$2207-INDEX(hd_off,MATCH(BT2233,hd_mark,0),0)/12)),0)</f>
        <v>0</v>
      </c>
      <c r="BM2233">
        <f>MAX($F$23,$BD$2207)/$Q$2228</f>
        <v>0</v>
      </c>
      <c r="BN2233">
        <f t="shared" si="1392"/>
        <v>0</v>
      </c>
      <c r="BO2233" cm="1">
        <f t="array" ref="BO2233">IFERROR(INDEX(sheath_ecap_asd,MATCH(BS2233,sheath_mark,0),0)*BN2233,0)</f>
        <v>0</v>
      </c>
      <c r="BP2233" cm="1">
        <f t="array" ref="BP2233">IFERROR(INDEX(sheath_wcap_asd,MATCH(BS2233,sheath_mark,0),0)*BN2233,0)</f>
        <v>0</v>
      </c>
      <c r="BQ2233" cm="1">
        <f t="array" ref="BQ2233">IFERROR(INDEX(hd_cap,MATCH(BT2233,hd_mark,0),0),0)</f>
        <v>0</v>
      </c>
      <c r="BS2233" s="19"/>
      <c r="BT2233" s="19"/>
      <c r="BU2233" s="100"/>
    </row>
    <row r="2234" x14ac:dyDescent="0.25">
      <c r="B2234" t="s">
        <v>465</v>
      </c>
      <c r="C2234" s="19"/>
      <c r="D2234" s="19"/>
      <c r="E2234">
        <f t="shared" si="1386"/>
        <v>0</v>
      </c>
      <c r="H2234">
        <v>17</v>
      </c>
      <c r="I2234" s="19"/>
      <c r="J2234" s="19"/>
      <c r="K2234">
        <f t="shared" si="1387"/>
        <v>0</v>
      </c>
      <c r="P2234" s="93"/>
      <c r="Q2234" s="111">
        <f>$R$2207</f>
        <v>0</v>
      </c>
      <c r="R2234" t="str">
        <f>$Q$2200</f>
        <v>L5</v>
      </c>
      <c r="S2234">
        <f>$E$24</f>
        <v>0</v>
      </c>
      <c r="T2234" cm="1">
        <f t="array" ref="T2234">IFERROR(IF(S2234=0,0,(INDEX($C$33:$C$38,MATCH($W$2207,$B$33:$B$38,0),0)*(S2235+$X$2207)+$T$2207*COUNTIF(S2234:S2234,"&gt;0")*$C$32+$V$2207*$C$31)*$R$2207),0)</f>
        <v>0</v>
      </c>
      <c r="U2234">
        <f>IF(S2234=0,0,-(COUNTIF(S2234:S2234,"&gt;0")*$T$2207*$C$32+$V$2207*$C$31)*$H$27*$R$2207)</f>
        <v>0</v>
      </c>
      <c r="V2234">
        <f>IF(S2234=0,0,$V$2207*$H$26*$R$2207)</f>
        <v>0</v>
      </c>
      <c r="W2234">
        <f>(0.6*T2234+0.7*U2234)*$R$2207/2</f>
        <v>0</v>
      </c>
      <c r="X2234">
        <f>T2234*$R$2207/2</f>
        <v>0</v>
      </c>
      <c r="Z2234">
        <f>IF(S2234=0,0,$AD$2207*$AP$2200)</f>
        <v>0</v>
      </c>
      <c r="AA2234">
        <f>IFERROR(Z2234/$R$2207,0)</f>
        <v>0</v>
      </c>
      <c r="AB2234">
        <f>Z2234*($F$24+IF($F$24=0,0,($C$14+$C$15+IF($C$13="single",1.5,3)+3)/12))</f>
        <v>0</v>
      </c>
      <c r="AC2234">
        <f>AB2234-W2234</f>
        <v>0</v>
      </c>
      <c r="AD2234" cm="1">
        <f t="array" ref="AD2234">IFERROR(IF(AC2234&lt;0,0,AC2234/($R$2207-INDEX(hd_off,MATCH(AQ2234,hd_mark,0),0)/12)),0)</f>
        <v>0</v>
      </c>
      <c r="AE2234">
        <f>IF(S2234=0,0,$AD$2207*$AM$2200)</f>
        <v>0</v>
      </c>
      <c r="AF2234">
        <f>IFERROR(AE2234/$R$2207,0)</f>
        <v>0</v>
      </c>
      <c r="AG2234">
        <f>AE2234*($F$24+IF($F$24=0,0,($C$14+$C$15+IF($C$13="single",1.5,3)+3)/12))</f>
        <v>0</v>
      </c>
      <c r="AH2234">
        <f>AG2234-X2234</f>
        <v>0</v>
      </c>
      <c r="AI2234" cm="1">
        <f t="array" ref="AI2234">IFERROR(IF(AH2234&lt;0,0,AH2234/($R$2207-INDEX(hd_off,MATCH(AQ2234,hd_mark,0),0)/12)),0)</f>
        <v>0</v>
      </c>
      <c r="AJ2234">
        <f>MAX($F$24,$AB$2207)/$Q$2228</f>
        <v>0</v>
      </c>
      <c r="AK2234">
        <f t="shared" si="1391"/>
        <v>0</v>
      </c>
      <c r="AL2234" cm="1">
        <f t="array" ref="AL2234">IFERROR(INDEX(sheath_ecap_asd,MATCH(AP2234,sheath_mark,0),0)*AK2234,0)</f>
        <v>0</v>
      </c>
      <c r="AM2234" cm="1">
        <f t="array" ref="AM2234">IFERROR(INDEX(sheath_wcap_asd,MATCH(AP2234,sheath_mark,0),0)*AK2234,0)</f>
        <v>0</v>
      </c>
      <c r="AN2234" cm="1">
        <f t="array" ref="AN2234">IFERROR(INDEX(hd_cap,MATCH(AQ2234,hd_mark,0),0),0)</f>
        <v>0</v>
      </c>
      <c r="AP2234" s="19"/>
      <c r="AQ2234" s="19"/>
      <c r="AR2234" s="100"/>
      <c r="AS2234" s="93"/>
      <c r="AT2234" s="111">
        <f>$R$2207</f>
        <v>0</v>
      </c>
      <c r="AU2234" t="str">
        <f>$Q$2200</f>
        <v>L5</v>
      </c>
      <c r="AV2234">
        <f>$E$24</f>
        <v>0</v>
      </c>
      <c r="AW2234" cm="1">
        <f t="array" ref="AW2234">IFERROR(IF(AV2234=0,0,(INDEX($C$33:$C$38,MATCH($AZ$2207,$B$33:$B$38,0),0)*(AV2235+$BA$2207)+$AW$2207*COUNTIF(AV2234:AV2234,"&gt;0")*$C$32+$AY$2207*$C$31)*$AU$2207),0)</f>
        <v>0</v>
      </c>
      <c r="AX2234">
        <f>IF(AV2234=0,0,-(COUNTIF(AV2234:AV2234,"&gt;0")*$AW$2207*$C$32+$AY$2207*$C$31)*$H$27*$AU$2207)</f>
        <v>0</v>
      </c>
      <c r="AY2234">
        <f>IF(AV2234=0,0,$AY$2207*$H$26*$AU$2207)</f>
        <v>0</v>
      </c>
      <c r="AZ2234">
        <f>(0.6*AW2234+0.7*AX2234)*$AU$2207/2</f>
        <v>0</v>
      </c>
      <c r="BA2234">
        <f>AW2234*$AU$2207/2</f>
        <v>0</v>
      </c>
      <c r="BC2234">
        <f>IF(AV2234=0,0,$BG$2207*$AP$2200)</f>
        <v>0</v>
      </c>
      <c r="BD2234">
        <f>IFERROR(BC2234/$AU$2207,0)</f>
        <v>0</v>
      </c>
      <c r="BE2234">
        <f>BC2234*($F$24+IF($F$24=0,0,($C$14+$C$15+IF($C$13="single",1.5,3)+3)/12))</f>
        <v>0</v>
      </c>
      <c r="BF2234">
        <f>BE2234-AZ2234</f>
        <v>0</v>
      </c>
      <c r="BG2234" cm="1">
        <f t="array" ref="BG2234">IFERROR(IF(BF2234&lt;0,0,BF2234/($AU$2207-INDEX(hd_off,MATCH(BT2234,hd_mark,0),0)/12)),0)</f>
        <v>0</v>
      </c>
      <c r="BH2234">
        <f>IF(AV2234=0,0,$BG$2207*$AM$2200)</f>
        <v>0</v>
      </c>
      <c r="BI2234">
        <f>IFERROR(BH2234/$AU$2207,0)</f>
        <v>0</v>
      </c>
      <c r="BJ2234">
        <f>BH2234*($F$24+IF($F$24=0,0,($C$14+$C$15+IF($C$13="single",1.5,3)+3)/12))</f>
        <v>0</v>
      </c>
      <c r="BK2234">
        <f>BJ2234-BA2234</f>
        <v>0</v>
      </c>
      <c r="BL2234" cm="1">
        <f t="array" ref="BL2234">IFERROR(IF(BK2234&lt;0,0,BK2234/($AU$2207-INDEX(hd_off,MATCH(BT2234,hd_mark,0),0)/12)),0)</f>
        <v>0</v>
      </c>
      <c r="BM2234">
        <f>MAX($F$24,$BE$2207)/$Q$2228</f>
        <v>0</v>
      </c>
      <c r="BN2234">
        <f t="shared" si="1392"/>
        <v>0</v>
      </c>
      <c r="BO2234" cm="1">
        <f t="array" ref="BO2234">IFERROR(INDEX(sheath_ecap_asd,MATCH(BS2234,sheath_mark,0),0)*BN2234,0)</f>
        <v>0</v>
      </c>
      <c r="BP2234" cm="1">
        <f t="array" ref="BP2234">IFERROR(INDEX(sheath_wcap_asd,MATCH(BS2234,sheath_mark,0),0)*BN2234,0)</f>
        <v>0</v>
      </c>
      <c r="BQ2234" cm="1">
        <f t="array" ref="BQ2234">IFERROR(INDEX(hd_cap,MATCH(BT2234,hd_mark,0),0),0)</f>
        <v>0</v>
      </c>
      <c r="BS2234" s="19"/>
      <c r="BT2234" s="19"/>
      <c r="BU2234" s="100"/>
    </row>
    <row r="2235" x14ac:dyDescent="0.25">
      <c r="B2235" t="s">
        <v>466</v>
      </c>
      <c r="C2235" s="19"/>
      <c r="D2235" s="19"/>
      <c r="E2235">
        <f t="shared" si="1386"/>
        <v>0</v>
      </c>
      <c r="H2235">
        <v>18</v>
      </c>
      <c r="I2235" s="19"/>
      <c r="J2235" s="19"/>
      <c r="K2235">
        <f t="shared" si="1387"/>
        <v>0</v>
      </c>
      <c r="P2235" s="93"/>
      <c r="Q2235" s="109"/>
      <c r="R2235" t="str">
        <f>$Q$2201</f>
        <v>Roof</v>
      </c>
      <c r="S2235">
        <f>$E$25</f>
        <v>33.171875</v>
      </c>
      <c r="T2235" cm="1">
        <f t="array" ref="T2235">IFERROR(IF(S2235=0,0,(INDEX($C$33:$C$38,MATCH($W$2207,$B$33:$B$38,0),0)*(S2235+$X$2207)+$V$2207*$C$31)*$R$2207),0)</f>
        <v>0</v>
      </c>
      <c r="U2235">
        <f>IF(S2235=0,0,-$V$2207*$C$31*$H$27*$R$2207)</f>
        <v>0</v>
      </c>
      <c r="V2235">
        <f>IF(S2235=0,0,$V$2207*$H$26*$R$2207)</f>
        <v>0</v>
      </c>
      <c r="W2235">
        <f>(0.6*T2235+0.7*U2235)*$R$2207/2</f>
        <v>0</v>
      </c>
      <c r="X2235">
        <f>T2235*$R$2207/2</f>
        <v>0</v>
      </c>
      <c r="Z2235">
        <f>IF(S2235=0,0,$AD$2207*$AP$2201)</f>
        <v>0</v>
      </c>
      <c r="AA2235">
        <f>IFERROR(Z2235/$R$2207,0)</f>
        <v>0</v>
      </c>
      <c r="AB2235">
        <f>Z2235*($F$25+($C$16+$C$17+IF($C$13="single",1.5,3)+3)/12)</f>
        <v>0</v>
      </c>
      <c r="AC2235">
        <f>AB2235-W2235</f>
        <v>0</v>
      </c>
      <c r="AD2235" cm="1">
        <f t="array" ref="AD2235">IFERROR(IF(AC2235&lt;0,0,AC2235/($R$2207-INDEX(hd_off,MATCH(AQ2235,hd_mark,0),0)/12)),0)</f>
        <v>0</v>
      </c>
      <c r="AE2235">
        <f>IF(S2235=0,0,$AD$2207*$AM$2201)</f>
        <v>0</v>
      </c>
      <c r="AF2235">
        <f>IFERROR(AE2235/$R$2207,0)</f>
        <v>0</v>
      </c>
      <c r="AG2235">
        <f>AE2235*($F$25+($C$16+$C$17+IF($C$13="single",1.5,3)+3)/12)</f>
        <v>0</v>
      </c>
      <c r="AH2235">
        <f>AG2235-X2235</f>
        <v>0</v>
      </c>
      <c r="AI2235" cm="1">
        <f t="array" ref="AI2235">IFERROR(IF(AH2235&lt;0,0,AH2235/($R$2207-INDEX(hd_off,MATCH(AQ2235,hd_mark,0),0)/12)),0)</f>
        <v>0</v>
      </c>
      <c r="AJ2235">
        <f>MAX($F$25,$AC$2207)/$Q$2228</f>
        <v>0.29920977011494249</v>
      </c>
      <c r="AK2235">
        <f t="shared" si="1391"/>
        <v>1</v>
      </c>
      <c r="AL2235" cm="1">
        <f t="array" ref="AL2235">IFERROR(INDEX(sheath_ecap_asd,MATCH(AP2235,sheath_mark,0),0)*AK2235,0)</f>
        <v>0</v>
      </c>
      <c r="AM2235" cm="1">
        <f t="array" ref="AM2235">IFERROR(INDEX(sheath_wcap_asd,MATCH(AP2235,sheath_mark,0),0)*AK2235,0)</f>
        <v>0</v>
      </c>
      <c r="AN2235" cm="1">
        <f t="array" ref="AN2235">IFERROR(INDEX(hd_cap,MATCH(AQ2235,hd_mark,0),0),0)</f>
        <v>0</v>
      </c>
      <c r="AP2235" s="19"/>
      <c r="AQ2235" s="19"/>
      <c r="AR2235" s="100"/>
      <c r="AS2235" s="93"/>
      <c r="AT2235" s="109"/>
      <c r="AU2235" t="str">
        <f>$Q$2201</f>
        <v>Roof</v>
      </c>
      <c r="AV2235">
        <f>$E$25</f>
        <v>33.171875</v>
      </c>
      <c r="AW2235" cm="1">
        <f t="array" ref="AW2235">IFERROR(IF(AV2235=0,0,(INDEX($C$33:$C$38,MATCH($AZ$2207,$B$33:$B$38,0),0)*(AV2235+$BA$2207)+$AY$2207*$C$31)*$AU$2207),0)</f>
        <v>0</v>
      </c>
      <c r="AX2235">
        <f>IF(AV2235=0,0,-$AY$2207*$C$31*$H$27*$AU$2207)</f>
        <v>0</v>
      </c>
      <c r="AY2235">
        <f>IF(AV2235=0,0,$AY$2207*$H$26*$AU$2207)</f>
        <v>0</v>
      </c>
      <c r="AZ2235">
        <f>(0.6*AW2235+0.7*AX2235)*$AU$2207/2</f>
        <v>0</v>
      </c>
      <c r="BA2235">
        <f>AW2235*$AU$2207/2</f>
        <v>0</v>
      </c>
      <c r="BC2235">
        <f>IF(AV2235=0,0,$BG$2207*$AP$2201)</f>
        <v>0</v>
      </c>
      <c r="BD2235">
        <f>IFERROR(BC2235/$AU$2207,0)</f>
        <v>0</v>
      </c>
      <c r="BE2235">
        <f>BC2235*($F$25+($C$16+$C$17+IF($C$13="single",1.5,3)+3)/12)</f>
        <v>0</v>
      </c>
      <c r="BF2235">
        <f>BE2235-AZ2235</f>
        <v>0</v>
      </c>
      <c r="BG2235" cm="1">
        <f t="array" ref="BG2235">IFERROR(IF(BF2235&lt;0,0,BF2235/($AU$2207-INDEX(hd_off,MATCH(BT2235,hd_mark,0),0)/12)),0)</f>
        <v>0</v>
      </c>
      <c r="BH2235">
        <f>IF(AV2235=0,0,$BG$2207*$AM$2201)</f>
        <v>0</v>
      </c>
      <c r="BI2235">
        <f>IFERROR(BH2235/$AU$2207,0)</f>
        <v>0</v>
      </c>
      <c r="BJ2235">
        <f>BH2235*($F$25+($C$16+$C$17+IF($C$13="single",1.5,3)+3)/12)</f>
        <v>0</v>
      </c>
      <c r="BK2235">
        <f>BJ2235-BA2235</f>
        <v>0</v>
      </c>
      <c r="BL2235" cm="1">
        <f t="array" ref="BL2235">IFERROR(IF(BK2235&lt;0,0,BK2235/($AU$2207-INDEX(hd_off,MATCH(BT2235,hd_mark,0),0)/12)),0)</f>
        <v>0</v>
      </c>
      <c r="BM2235">
        <f>MAX($F$25,$BF$2207)/$Q$2228</f>
        <v>0.29920977011494249</v>
      </c>
      <c r="BN2235">
        <f t="shared" si="1392"/>
        <v>1</v>
      </c>
      <c r="BO2235" cm="1">
        <f t="array" ref="BO2235">IFERROR(INDEX(sheath_ecap_asd,MATCH(BS2235,sheath_mark,0),0)*BN2235,0)</f>
        <v>0</v>
      </c>
      <c r="BP2235" cm="1">
        <f t="array" ref="BP2235">IFERROR(INDEX(sheath_wcap_asd,MATCH(BS2235,sheath_mark,0),0)*BN2235,0)</f>
        <v>0</v>
      </c>
      <c r="BQ2235" cm="1">
        <f t="array" ref="BQ2235">IFERROR(INDEX(hd_cap,MATCH(BT2235,hd_mark,0),0),0)</f>
        <v>0</v>
      </c>
      <c r="BS2235" s="19"/>
      <c r="BT2235" s="19"/>
      <c r="BU2235" s="100"/>
    </row>
    <row r="2236" x14ac:dyDescent="0.25">
      <c r="B2236" t="s">
        <v>467</v>
      </c>
      <c r="C2236" s="19"/>
      <c r="D2236" s="19"/>
      <c r="E2236">
        <f t="shared" si="1386"/>
        <v>0</v>
      </c>
      <c r="H2236">
        <v>19</v>
      </c>
      <c r="I2236" s="19"/>
      <c r="J2236" s="19"/>
      <c r="K2236">
        <f t="shared" si="1387"/>
        <v>0</v>
      </c>
      <c r="P2236" s="93"/>
      <c r="AR2236" s="100"/>
      <c r="AS2236" s="93"/>
      <c r="BU2236" s="100"/>
    </row>
    <row r="2237" x14ac:dyDescent="0.25">
      <c r="B2237" t="s">
        <v>468</v>
      </c>
      <c r="C2237" s="19"/>
      <c r="D2237" s="19"/>
      <c r="E2237">
        <f t="shared" si="1386"/>
        <v>0</v>
      </c>
      <c r="H2237">
        <v>20</v>
      </c>
      <c r="I2237" s="19"/>
      <c r="J2237" s="19"/>
      <c r="K2237">
        <f t="shared" si="1387"/>
        <v>0</v>
      </c>
      <c r="P2237" s="93"/>
      <c r="Q2237" s="110" t="str">
        <f>$Q$2208</f>
        <v>A.03</v>
      </c>
      <c r="R2237" t="str">
        <f>$Q$2197</f>
        <v>L2</v>
      </c>
      <c r="S2237">
        <f>$E$21</f>
        <v>10.6875</v>
      </c>
      <c r="T2237" cm="1">
        <f t="array" ref="T2237">IFERROR(IF(S2237=0,0,(INDEX($C$33:$C$38,MATCH($W$2208,$B$33:$B$38,0),0)*(S2241+$X$2208)+$T$2208*COUNTIF(S2237:S2240,"&gt;0")*$C$32+$V$2208*$C$31)*$R$2208),0)</f>
        <v>0</v>
      </c>
      <c r="U2237">
        <f>IF(S2237=0,0,-(COUNTIF(S2237:S2240,"&gt;0")*$T$2208*$C$32+$V$2208*$C$31)*$H$27*$R$2208)</f>
        <v>0</v>
      </c>
      <c r="V2237">
        <f>IF(S2237=0,0,$V$2208*$H$26*$R$2208)</f>
        <v>0</v>
      </c>
      <c r="W2237">
        <f>(0.6*T2237+0.7*U2237)*$R$2208/2</f>
        <v>0</v>
      </c>
      <c r="X2237">
        <f>(0.6*T2237+0.6*V2237)*$R$2208/2</f>
        <v>0</v>
      </c>
      <c r="Z2237">
        <f>IF(S2237=0,0,$AD$2208*$AP$2197)</f>
        <v>0</v>
      </c>
      <c r="AA2237">
        <f>IFERROR(Z2237/$R$2208,0)</f>
        <v>0</v>
      </c>
      <c r="AB2237">
        <f>Z2237*($F$21+IF($F$21=0,0,($C$14+$C$15+IF($C$13="single",1.5,3)+3)/12))</f>
        <v>0</v>
      </c>
      <c r="AC2237">
        <f>AB2237-W2237</f>
        <v>0</v>
      </c>
      <c r="AD2237" cm="1">
        <f t="array" ref="AD2237">IFERROR(IF(AC2237&lt;0,0,AC2237/($R$2208-INDEX(hd_off,MATCH(AQ2237,hd_mark,0),0)/12)),0)</f>
        <v>0</v>
      </c>
      <c r="AE2237">
        <f>IF(S2237=0,0,$AD$2208*$AM$2197)</f>
        <v>0</v>
      </c>
      <c r="AF2237">
        <f>IFERROR(AE2237/$R$2208,0)</f>
        <v>0</v>
      </c>
      <c r="AG2237">
        <f>AE2237*($F$21+IF($F$21=0,0,($C$14+$C$15+IF($C$13="single",1.5,3)+3)/12))</f>
        <v>0</v>
      </c>
      <c r="AH2237">
        <f>AG2237-X2237</f>
        <v>0</v>
      </c>
      <c r="AI2237" cm="1">
        <f t="array" ref="AI2237">IFERROR(IF(AH2237&lt;0,0,AH2237/($R$2208-INDEX(hd_off,MATCH(AQ2237,hd_mark,0),0)/12)),0)</f>
        <v>0</v>
      </c>
      <c r="AJ2237">
        <f>MAX($F$21,$Y$2208)/$Q$2228</f>
        <v>0.30172413793103448</v>
      </c>
      <c r="AK2237">
        <f>IF(AJ2237=0,0,IF(AJ2237&gt;2,1.25-0.125*AJ2237,1))</f>
        <v>1</v>
      </c>
      <c r="AL2237" cm="1">
        <f t="array" ref="AL2237">IFERROR(INDEX(sheath_ecap_asd,MATCH(AP2237,sheath_mark,0),0)*AK2237,0)</f>
        <v>0</v>
      </c>
      <c r="AM2237" cm="1">
        <f t="array" ref="AM2237">IFERROR(INDEX(sheath_wcap_asd,MATCH(AP2237,sheath_mark,0),0)*AK2237,0)</f>
        <v>0</v>
      </c>
      <c r="AN2237" cm="1">
        <f t="array" ref="AN2237">IFERROR(INDEX(hd_cap,MATCH(AQ2237,hd_mark,0),0),0)</f>
        <v>0</v>
      </c>
      <c r="AP2237" s="19"/>
      <c r="AQ2237" s="19"/>
      <c r="AR2237" s="100"/>
      <c r="AS2237" s="93"/>
      <c r="AT2237" s="110" t="str">
        <f>$AT$2208</f>
        <v>1.03</v>
      </c>
      <c r="AU2237" t="str">
        <f>$Q$2197</f>
        <v>L2</v>
      </c>
      <c r="AV2237">
        <f>$E$21</f>
        <v>10.6875</v>
      </c>
      <c r="AW2237" cm="1">
        <f t="array" ref="AW2237">IFERROR(IF(AV2237=0,0,(INDEX($C$33:$C$38,MATCH($AZ$2208,$B$33:$B$38,0),0)*(AV2241+$BA$2208)+$AW$2208*COUNTIF(AV2237:AV2240,"&gt;0")*$C$32+$AY$2208*$C$31)*$AU$2208),0)</f>
        <v>0</v>
      </c>
      <c r="AX2237">
        <f>IF(AV2237=0,0,-(COUNTIF(AV2237:AV2240,"&gt;0")*$AW$2208*$C$32+$AY$2208*$C$31)*$H$27*$AU$2208)</f>
        <v>0</v>
      </c>
      <c r="AY2237">
        <f>IF(AV2237=0,0,$AY$2208*$H$26*$AU$2208)</f>
        <v>0</v>
      </c>
      <c r="AZ2237">
        <f>(0.6*AW2237+0.7*AX2237)*$AU$2208/2</f>
        <v>0</v>
      </c>
      <c r="BA2237">
        <f>(0.6*AW2237+0.6*AY2237)*$AU$2208/2</f>
        <v>0</v>
      </c>
      <c r="BC2237">
        <f>IF(AV2237=0,0,$BG$2208*$AP$2197)</f>
        <v>0</v>
      </c>
      <c r="BD2237">
        <f>IFERROR(BC2237/$AU$2208,0)</f>
        <v>0</v>
      </c>
      <c r="BE2237">
        <f>BC2237*($F$21+IF($F$21=0,0,($C$14+$C$15+IF($C$13="single",1.5,3)+3)/12))</f>
        <v>0</v>
      </c>
      <c r="BF2237">
        <f>BE2237-AZ2237</f>
        <v>0</v>
      </c>
      <c r="BG2237" cm="1">
        <f t="array" ref="BG2237">IFERROR(IF(BF2237&lt;0,0,BF2237/($AU$2208-INDEX(hd_off,MATCH(BT2237,hd_mark,0),0)/12)),0)</f>
        <v>0</v>
      </c>
      <c r="BH2237">
        <f>IF(AV2237=0,0,$BG$2208*$AM$2197)</f>
        <v>0</v>
      </c>
      <c r="BI2237">
        <f>IFERROR(BH2237/$AU$2208,0)</f>
        <v>0</v>
      </c>
      <c r="BJ2237">
        <f>BH2237*($F$21+IF($F$21=0,0,($C$14+$C$15+IF($C$13="single",1.5,3)+3)/12))</f>
        <v>0</v>
      </c>
      <c r="BK2237">
        <f>BJ2237-BA2237</f>
        <v>0</v>
      </c>
      <c r="BL2237" cm="1">
        <f t="array" ref="BL2237">IFERROR(IF(BK2237&lt;0,0,BK2237/($AU$2208-INDEX(hd_off,MATCH(BT2237,hd_mark,0),0)/12)),0)</f>
        <v>0</v>
      </c>
      <c r="BM2237">
        <f>MAX($F$21,$BB$2208)/$Q$2228</f>
        <v>0.30172413793103448</v>
      </c>
      <c r="BN2237">
        <f>IF(BM2237=0,0,IF(BM2237&gt;2,1.25-0.125*BM2237,1))</f>
        <v>1</v>
      </c>
      <c r="BO2237" cm="1">
        <f t="array" ref="BO2237">IFERROR(INDEX(sheath_ecap_asd,MATCH(BS2237,sheath_mark,0),0)*BN2237,0)</f>
        <v>0</v>
      </c>
      <c r="BP2237" cm="1">
        <f t="array" ref="BP2237">IFERROR(INDEX(sheath_wcap_asd,MATCH(BS2237,sheath_mark,0),0)*BN2237,0)</f>
        <v>0</v>
      </c>
      <c r="BQ2237" cm="1">
        <f t="array" ref="BQ2237">IFERROR(INDEX(hd_cap,MATCH(BT2237,hd_mark,0),0),0)</f>
        <v>0</v>
      </c>
      <c r="BS2237" s="19"/>
      <c r="BT2237" s="19"/>
      <c r="BU2237" s="100"/>
    </row>
    <row r="2238" x14ac:dyDescent="0.25">
      <c r="B2238" t="s">
        <v>469</v>
      </c>
      <c r="C2238" s="19"/>
      <c r="D2238" s="19"/>
      <c r="E2238">
        <f t="shared" si="1386"/>
        <v>0</v>
      </c>
      <c r="H2238">
        <v>21</v>
      </c>
      <c r="I2238" s="19"/>
      <c r="J2238" s="19"/>
      <c r="K2238">
        <f t="shared" si="1387"/>
        <v>0</v>
      </c>
      <c r="P2238" s="93"/>
      <c r="Q2238" s="109"/>
      <c r="R2238" t="str">
        <f>$Q$2198</f>
        <v>L3</v>
      </c>
      <c r="S2238">
        <f>$E$22</f>
        <v>21.375</v>
      </c>
      <c r="T2238" cm="1">
        <f t="array" ref="T2238">IFERROR(IF(S2238=0,0,(INDEX($C$33:$C$38,MATCH($W$2208,$B$33:$B$38,0),0)*(S2241+$X$2208)+$T$2208*COUNTIF(S2238:S2240,"&gt;0")*$C$32+$V$2208*$C$31)*$R$2208),0)</f>
        <v>0</v>
      </c>
      <c r="U2238">
        <f>IF(S2238=0,0,-(COUNTIF(S2238:S2240,"&gt;0")*$T$2208*$C$32+$V$2208*$C$31)*$H$27*$R$2208)</f>
        <v>0</v>
      </c>
      <c r="V2238">
        <f>IF(S2238=0,0,$V$2208*$H$26*$R$2208)</f>
        <v>0</v>
      </c>
      <c r="W2238">
        <f>(0.6*T2238+0.7*U2238)*$R$2208/2</f>
        <v>0</v>
      </c>
      <c r="X2238">
        <f>T2238*$R$2208/2</f>
        <v>0</v>
      </c>
      <c r="Z2238">
        <f>IF(S2238=0,0,$AD$2208*$AP$2198)</f>
        <v>0</v>
      </c>
      <c r="AA2238">
        <f>IFERROR(Z2238/$R$2208,0)</f>
        <v>0</v>
      </c>
      <c r="AB2238">
        <f>Z2238*($F$22+IF($F$22=0,0,($C$14+$C$15+IF($C$13="single",1.5,3)+3)/12))</f>
        <v>0</v>
      </c>
      <c r="AC2238">
        <f>AB2238-W2238</f>
        <v>0</v>
      </c>
      <c r="AD2238" cm="1">
        <f t="array" ref="AD2238">IFERROR(IF(AC2238&lt;0,0,AC2238/($R$2208-INDEX(hd_off,MATCH(AQ2238,hd_mark,0),0)/12)),0)</f>
        <v>0</v>
      </c>
      <c r="AE2238">
        <f>IF(S2238=0,0,$AD$2208*$AM$2198)</f>
        <v>0</v>
      </c>
      <c r="AF2238">
        <f>IFERROR(AE2238/$R$2208,0)</f>
        <v>0</v>
      </c>
      <c r="AG2238">
        <f>AE2238*($F$22+IF($F$22=0,0,($C$14+$C$15+IF($C$13="single",1.5,3)+3)/12))</f>
        <v>0</v>
      </c>
      <c r="AH2238">
        <f>AG2238-X2238</f>
        <v>0</v>
      </c>
      <c r="AI2238" cm="1">
        <f t="array" ref="AI2238">IFERROR(IF(AH2238&lt;0,0,AH2238/($R$2208-INDEX(hd_off,MATCH(AQ2238,hd_mark,0),0)/12)),0)</f>
        <v>0</v>
      </c>
      <c r="AJ2238">
        <f>MAX($F$22,$Z$2208)/$Q$2228</f>
        <v>0.30172413793103448</v>
      </c>
      <c r="AK2238">
        <f t="shared" ref="AK2238:AK2241" si="1393">IF(AJ2238=0,0,IF(AJ2238&gt;2,1.25-0.125*AJ2238,1))</f>
        <v>1</v>
      </c>
      <c r="AL2238" cm="1">
        <f t="array" ref="AL2238">IFERROR(INDEX(sheath_ecap_asd,MATCH(AP2238,sheath_mark,0),0)*AK2238,0)</f>
        <v>0</v>
      </c>
      <c r="AM2238" cm="1">
        <f t="array" ref="AM2238">IFERROR(INDEX(sheath_wcap_asd,MATCH(AP2238,sheath_mark,0),0)*AK2238,0)</f>
        <v>0</v>
      </c>
      <c r="AN2238" cm="1">
        <f t="array" ref="AN2238">IFERROR(INDEX(hd_cap,MATCH(AQ2238,hd_mark,0),0),0)</f>
        <v>0</v>
      </c>
      <c r="AP2238" s="19"/>
      <c r="AQ2238" s="19"/>
      <c r="AR2238" s="100"/>
      <c r="AS2238" s="93"/>
      <c r="AT2238" s="109"/>
      <c r="AU2238" t="str">
        <f>$Q$2198</f>
        <v>L3</v>
      </c>
      <c r="AV2238">
        <f>$E$22</f>
        <v>21.375</v>
      </c>
      <c r="AW2238" cm="1">
        <f t="array" ref="AW2238">IFERROR(IF(AV2238=0,0,(INDEX($C$33:$C$38,MATCH($AZ$2208,$B$33:$B$38,0),0)*(AV2241+$BA$2208)+$AW$2208*COUNTIF(AV2238:AV2240,"&gt;0")*$C$32+$AY$2208*$C$31)*$AU$2208),0)</f>
        <v>0</v>
      </c>
      <c r="AX2238">
        <f>IF(AV2238=0,0,-(COUNTIF(AV2238:AV2240,"&gt;0")*$AW$2208*$C$32+$AY$2208*$C$31)*$H$27*$AU$2208)</f>
        <v>0</v>
      </c>
      <c r="AY2238">
        <f>IF(AV2238=0,0,$AY$2208*$H$26*$AU$2208)</f>
        <v>0</v>
      </c>
      <c r="AZ2238">
        <f>(0.6*AW2238+0.7*AX2238)*$AU$2208/2</f>
        <v>0</v>
      </c>
      <c r="BA2238">
        <f>AW2238*$AU$2208/2</f>
        <v>0</v>
      </c>
      <c r="BC2238">
        <f>IF(AV2238=0,0,$BG$2208*$AP$2198)</f>
        <v>0</v>
      </c>
      <c r="BD2238">
        <f>IFERROR(BC2238/$AU$2208,0)</f>
        <v>0</v>
      </c>
      <c r="BE2238">
        <f>BC2238*($F$22+IF($F$22=0,0,($C$14+$C$15+IF($C$13="single",1.5,3)+3)/12))</f>
        <v>0</v>
      </c>
      <c r="BF2238">
        <f>BE2238-AZ2238</f>
        <v>0</v>
      </c>
      <c r="BG2238" cm="1">
        <f t="array" ref="BG2238">IFERROR(IF(BF2238&lt;0,0,BF2238/($AU$2208-INDEX(hd_off,MATCH(BT2238,hd_mark,0),0)/12)),0)</f>
        <v>0</v>
      </c>
      <c r="BH2238">
        <f>IF(AV2238=0,0,$BG$2208*$AM$2198)</f>
        <v>0</v>
      </c>
      <c r="BI2238">
        <f>IFERROR(BH2238/$AU$2208,0)</f>
        <v>0</v>
      </c>
      <c r="BJ2238">
        <f>BH2238*($F$22+IF($F$22=0,0,($C$14+$C$15+IF($C$13="single",1.5,3)+3)/12))</f>
        <v>0</v>
      </c>
      <c r="BK2238">
        <f>BJ2238-BA2238</f>
        <v>0</v>
      </c>
      <c r="BL2238" cm="1">
        <f t="array" ref="BL2238">IFERROR(IF(BK2238&lt;0,0,BK2238/($AU$2208-INDEX(hd_off,MATCH(BT2238,hd_mark,0),0)/12)),0)</f>
        <v>0</v>
      </c>
      <c r="BM2238">
        <f>MAX($F$22,$BC$2208)/$Q$2228</f>
        <v>0.30172413793103448</v>
      </c>
      <c r="BN2238">
        <f t="shared" ref="BN2238:BN2241" si="1394">IF(BM2238=0,0,IF(BM2238&gt;2,1.25-0.125*BM2238,1))</f>
        <v>1</v>
      </c>
      <c r="BO2238" cm="1">
        <f t="array" ref="BO2238">IFERROR(INDEX(sheath_ecap_asd,MATCH(BS2238,sheath_mark,0),0)*BN2238,0)</f>
        <v>0</v>
      </c>
      <c r="BP2238" cm="1">
        <f t="array" ref="BP2238">IFERROR(INDEX(sheath_wcap_asd,MATCH(BS2238,sheath_mark,0),0)*BN2238,0)</f>
        <v>0</v>
      </c>
      <c r="BQ2238" cm="1">
        <f t="array" ref="BQ2238">IFERROR(INDEX(hd_cap,MATCH(BT2238,hd_mark,0),0),0)</f>
        <v>0</v>
      </c>
      <c r="BS2238" s="19"/>
      <c r="BT2238" s="19"/>
      <c r="BU2238" s="100"/>
    </row>
    <row r="2239" x14ac:dyDescent="0.25">
      <c r="B2239" t="s">
        <v>285</v>
      </c>
      <c r="C2239" s="19"/>
      <c r="D2239" s="19"/>
      <c r="E2239">
        <f t="shared" si="1386"/>
        <v>0</v>
      </c>
      <c r="H2239">
        <v>22</v>
      </c>
      <c r="I2239" s="19"/>
      <c r="J2239" s="19"/>
      <c r="K2239">
        <f t="shared" si="1387"/>
        <v>0</v>
      </c>
      <c r="P2239" s="93"/>
      <c r="Q2239" s="109" t="s">
        <v>491</v>
      </c>
      <c r="R2239" t="str">
        <f>$Q$2199</f>
        <v>L4</v>
      </c>
      <c r="S2239">
        <f>$E$23</f>
        <v>0</v>
      </c>
      <c r="T2239" cm="1">
        <f t="array" ref="T2239">IFERROR(IF(S2239=0,0,(INDEX($C$33:$C$38,MATCH($W$2208,$B$33:$B$38,0),0)*(S2241+$X$2208)+$T$2208*COUNTIF(S2239:S2240,"&gt;0")*$C$32+$V$2208*$C$31)*$R$2208),0)</f>
        <v>0</v>
      </c>
      <c r="U2239">
        <f>IF(S2239=0,0,-(COUNTIF(S2239:S2240,"&gt;0")*$T$2208*$C$32+$V$2208*$C$31)*$H$27*$R$2208)</f>
        <v>0</v>
      </c>
      <c r="V2239">
        <f>IF(S2239=0,0,$V$2208*$H$26*$R$2208)</f>
        <v>0</v>
      </c>
      <c r="W2239">
        <f>(0.6*T2239+0.7*U2239)*$R$2208/2</f>
        <v>0</v>
      </c>
      <c r="X2239">
        <f>T2239*$R$2208/2</f>
        <v>0</v>
      </c>
      <c r="Z2239">
        <f>IF(S2239=0,0,$AD$2208*$AP$2199)</f>
        <v>0</v>
      </c>
      <c r="AA2239">
        <f>IFERROR(Z2239/$R$2208,0)</f>
        <v>0</v>
      </c>
      <c r="AB2239">
        <f>Z2239*($F$23+IF($F$23=0,0,($C$14+$C$15+IF($C$13="single",1.5,3)+3)/12))</f>
        <v>0</v>
      </c>
      <c r="AC2239">
        <f>AB2239-W2239</f>
        <v>0</v>
      </c>
      <c r="AD2239" cm="1">
        <f t="array" ref="AD2239">IFERROR(IF(AC2239&lt;0,0,AC2239/($R$2208-INDEX(hd_off,MATCH(AQ2239,hd_mark,0),0)/12)),0)</f>
        <v>0</v>
      </c>
      <c r="AE2239">
        <f>IF(S2239=0,0,$AD$2208*$AM$2199)</f>
        <v>0</v>
      </c>
      <c r="AF2239">
        <f>IFERROR(AE2239/$R$2208,0)</f>
        <v>0</v>
      </c>
      <c r="AG2239">
        <f>AE2239*($F$23+IF($F$23=0,0,($C$14+$C$15+IF($C$13="single",1.5,3)+3)/12))</f>
        <v>0</v>
      </c>
      <c r="AH2239">
        <f>AG2239-X2239</f>
        <v>0</v>
      </c>
      <c r="AI2239" cm="1">
        <f t="array" ref="AI2239">IFERROR(IF(AH2239&lt;0,0,AH2239/($R$2208-INDEX(hd_off,MATCH(AQ2239,hd_mark,0),0)/12)),0)</f>
        <v>0</v>
      </c>
      <c r="AJ2239">
        <f>MAX($F$23,$AA$2208)/$Q$2228</f>
        <v>0</v>
      </c>
      <c r="AK2239">
        <f t="shared" si="1393"/>
        <v>0</v>
      </c>
      <c r="AL2239" cm="1">
        <f t="array" ref="AL2239">IFERROR(INDEX(sheath_ecap_asd,MATCH(AP2239,sheath_mark,0),0)*AK2239,0)</f>
        <v>0</v>
      </c>
      <c r="AM2239" cm="1">
        <f t="array" ref="AM2239">IFERROR(INDEX(sheath_wcap_asd,MATCH(AP2239,sheath_mark,0),0)*AK2239,0)</f>
        <v>0</v>
      </c>
      <c r="AN2239" cm="1">
        <f t="array" ref="AN2239">IFERROR(INDEX(hd_cap,MATCH(AQ2239,hd_mark,0),0),0)</f>
        <v>0</v>
      </c>
      <c r="AP2239" s="19"/>
      <c r="AQ2239" s="19"/>
      <c r="AR2239" s="100"/>
      <c r="AS2239" s="93"/>
      <c r="AT2239" s="109" t="s">
        <v>491</v>
      </c>
      <c r="AU2239" t="str">
        <f>$Q$2199</f>
        <v>L4</v>
      </c>
      <c r="AV2239">
        <f>$E$23</f>
        <v>0</v>
      </c>
      <c r="AW2239" cm="1">
        <f t="array" ref="AW2239">IFERROR(IF(AV2239=0,0,(INDEX($C$33:$C$38,MATCH($AZ$2208,$B$33:$B$38,0),0)*(AV2241+$BA$2208)+$AW$2208*COUNTIF(AV2239:AV2240,"&gt;0")*$C$32+$AY$2208*$C$31)*$AU$2208),0)</f>
        <v>0</v>
      </c>
      <c r="AX2239">
        <f>IF(AV2239=0,0,-(COUNTIF(AV2239:AV2240,"&gt;0")*$AW$2208*$C$32+$AY$2208*$C$31)*$H$27*$AU$2208)</f>
        <v>0</v>
      </c>
      <c r="AY2239">
        <f>IF(AV2239=0,0,$AY$2208*$H$26*$AU$2208)</f>
        <v>0</v>
      </c>
      <c r="AZ2239">
        <f>(0.6*AW2239+0.7*AX2239)*$AU$2208/2</f>
        <v>0</v>
      </c>
      <c r="BA2239">
        <f>AW2239*$AU$2208/2</f>
        <v>0</v>
      </c>
      <c r="BC2239">
        <f>IF(AV2239=0,0,$BG$2208*$AP$2199)</f>
        <v>0</v>
      </c>
      <c r="BD2239">
        <f>IFERROR(BC2239/$AU$2208,0)</f>
        <v>0</v>
      </c>
      <c r="BE2239">
        <f>BC2239*($F$23+IF($F$23=0,0,($C$14+$C$15+IF($C$13="single",1.5,3)+3)/12))</f>
        <v>0</v>
      </c>
      <c r="BF2239">
        <f>BE2239-AZ2239</f>
        <v>0</v>
      </c>
      <c r="BG2239" cm="1">
        <f t="array" ref="BG2239">IFERROR(IF(BF2239&lt;0,0,BF2239/($AU$2208-INDEX(hd_off,MATCH(BT2239,hd_mark,0),0)/12)),0)</f>
        <v>0</v>
      </c>
      <c r="BH2239">
        <f>IF(AV2239=0,0,$BG$2208*$AM$2199)</f>
        <v>0</v>
      </c>
      <c r="BI2239">
        <f>IFERROR(BH2239/$AU$2208,0)</f>
        <v>0</v>
      </c>
      <c r="BJ2239">
        <f>BH2239*($F$23+IF($F$23=0,0,($C$14+$C$15+IF($C$13="single",1.5,3)+3)/12))</f>
        <v>0</v>
      </c>
      <c r="BK2239">
        <f>BJ2239-BA2239</f>
        <v>0</v>
      </c>
      <c r="BL2239" cm="1">
        <f t="array" ref="BL2239">IFERROR(IF(BK2239&lt;0,0,BK2239/($AU$2208-INDEX(hd_off,MATCH(BT2239,hd_mark,0),0)/12)),0)</f>
        <v>0</v>
      </c>
      <c r="BM2239">
        <f>MAX($F$23,$BD$2208)/$Q$2228</f>
        <v>0</v>
      </c>
      <c r="BN2239">
        <f t="shared" si="1394"/>
        <v>0</v>
      </c>
      <c r="BO2239" cm="1">
        <f t="array" ref="BO2239">IFERROR(INDEX(sheath_ecap_asd,MATCH(BS2239,sheath_mark,0),0)*BN2239,0)</f>
        <v>0</v>
      </c>
      <c r="BP2239" cm="1">
        <f t="array" ref="BP2239">IFERROR(INDEX(sheath_wcap_asd,MATCH(BS2239,sheath_mark,0),0)*BN2239,0)</f>
        <v>0</v>
      </c>
      <c r="BQ2239" cm="1">
        <f t="array" ref="BQ2239">IFERROR(INDEX(hd_cap,MATCH(BT2239,hd_mark,0),0),0)</f>
        <v>0</v>
      </c>
      <c r="BS2239" s="19"/>
      <c r="BT2239" s="19"/>
      <c r="BU2239" s="100"/>
    </row>
    <row r="2240" x14ac:dyDescent="0.25">
      <c r="B2240" t="s">
        <v>470</v>
      </c>
      <c r="C2240" s="19"/>
      <c r="D2240" s="19"/>
      <c r="E2240">
        <f t="shared" si="1386"/>
        <v>0</v>
      </c>
      <c r="H2240">
        <v>23</v>
      </c>
      <c r="I2240" s="19"/>
      <c r="J2240" s="19"/>
      <c r="K2240">
        <f t="shared" si="1387"/>
        <v>0</v>
      </c>
      <c r="P2240" s="93"/>
      <c r="Q2240" s="111">
        <f>$R$2208</f>
        <v>0</v>
      </c>
      <c r="R2240" t="str">
        <f>$Q$2200</f>
        <v>L5</v>
      </c>
      <c r="S2240">
        <f>$E$24</f>
        <v>0</v>
      </c>
      <c r="T2240" cm="1">
        <f t="array" ref="T2240">IFERROR(IF(S2240=0,0,(INDEX($C$33:$C$38,MATCH($W$2208,$B$33:$B$38,0),0)*(S2241+$X$2208)+$T$2208*COUNTIF(S2240:S2240,"&gt;0")*$C$32+$V$2208*$C$31)*$R$2208),0)</f>
        <v>0</v>
      </c>
      <c r="U2240">
        <f>IF(S2240=0,0,-(COUNTIF(S2240:S2240,"&gt;0")*$T$2208*$C$32+$V$2208*$C$31)*$H$27*$R$2208)</f>
        <v>0</v>
      </c>
      <c r="V2240">
        <f>IF(S2240=0,0,$V$2208*$H$26*$R$2208)</f>
        <v>0</v>
      </c>
      <c r="W2240">
        <f>(0.6*T2240+0.7*U2240)*$R$2208/2</f>
        <v>0</v>
      </c>
      <c r="X2240">
        <f>T2240*$R$2208/2</f>
        <v>0</v>
      </c>
      <c r="Z2240">
        <f>IF(S2240=0,0,$AD$2208*$AP$2200)</f>
        <v>0</v>
      </c>
      <c r="AA2240">
        <f>IFERROR(Z2240/$R$2208,0)</f>
        <v>0</v>
      </c>
      <c r="AB2240">
        <f>Z2240*($F$24+IF($F$24=0,0,($C$14+$C$15+IF($C$13="single",1.5,3)+3)/12))</f>
        <v>0</v>
      </c>
      <c r="AC2240">
        <f>AB2240-W2240</f>
        <v>0</v>
      </c>
      <c r="AD2240" cm="1">
        <f t="array" ref="AD2240">IFERROR(IF(AC2240&lt;0,0,AC2240/($R$2208-INDEX(hd_off,MATCH(AQ2240,hd_mark,0),0)/12)),0)</f>
        <v>0</v>
      </c>
      <c r="AE2240">
        <f>IF(S2240=0,0,$AD$2208*$AM$2200)</f>
        <v>0</v>
      </c>
      <c r="AF2240">
        <f>IFERROR(AE2240/$R$2208,0)</f>
        <v>0</v>
      </c>
      <c r="AG2240">
        <f>AE2240*($F$24+IF($F$24=0,0,($C$14+$C$15+IF($C$13="single",1.5,3)+3)/12))</f>
        <v>0</v>
      </c>
      <c r="AH2240">
        <f>AG2240-X2240</f>
        <v>0</v>
      </c>
      <c r="AI2240" cm="1">
        <f t="array" ref="AI2240">IFERROR(IF(AH2240&lt;0,0,AH2240/($R$2208-INDEX(hd_off,MATCH(AQ2240,hd_mark,0),0)/12)),0)</f>
        <v>0</v>
      </c>
      <c r="AJ2240">
        <f>MAX($F$24,$AB$2208)/$Q$2228</f>
        <v>0</v>
      </c>
      <c r="AK2240">
        <f t="shared" si="1393"/>
        <v>0</v>
      </c>
      <c r="AL2240" cm="1">
        <f t="array" ref="AL2240">IFERROR(INDEX(sheath_ecap_asd,MATCH(AP2240,sheath_mark,0),0)*AK2240,0)</f>
        <v>0</v>
      </c>
      <c r="AM2240" cm="1">
        <f t="array" ref="AM2240">IFERROR(INDEX(sheath_wcap_asd,MATCH(AP2240,sheath_mark,0),0)*AK2240,0)</f>
        <v>0</v>
      </c>
      <c r="AN2240" cm="1">
        <f t="array" ref="AN2240">IFERROR(INDEX(hd_cap,MATCH(AQ2240,hd_mark,0),0),0)</f>
        <v>0</v>
      </c>
      <c r="AP2240" s="19"/>
      <c r="AQ2240" s="19"/>
      <c r="AR2240" s="100"/>
      <c r="AS2240" s="93"/>
      <c r="AT2240" s="111">
        <f>$R$2208</f>
        <v>0</v>
      </c>
      <c r="AU2240" t="str">
        <f>$Q$2200</f>
        <v>L5</v>
      </c>
      <c r="AV2240">
        <f>$E$24</f>
        <v>0</v>
      </c>
      <c r="AW2240" cm="1">
        <f t="array" ref="AW2240">IFERROR(IF(AV2240=0,0,(INDEX($C$33:$C$38,MATCH($AZ$2208,$B$33:$B$38,0),0)*(AV2241+$BA$2208)+$AW$2208*COUNTIF(AV2240:AV2240,"&gt;0")*$C$32+$AY$2208*$C$31)*$AU$2208),0)</f>
        <v>0</v>
      </c>
      <c r="AX2240">
        <f>IF(AV2240=0,0,-(COUNTIF(AV2240:AV2240,"&gt;0")*$AW$2208*$C$32+$AY$2208*$C$31)*$H$27*$AU$2208)</f>
        <v>0</v>
      </c>
      <c r="AY2240">
        <f>IF(AV2240=0,0,$AY$2208*$H$26*$AU$2208)</f>
        <v>0</v>
      </c>
      <c r="AZ2240">
        <f>(0.6*AW2240+0.7*AX2240)*$AU$2208/2</f>
        <v>0</v>
      </c>
      <c r="BA2240">
        <f>AW2240*$AU$2208/2</f>
        <v>0</v>
      </c>
      <c r="BC2240">
        <f>IF(AV2240=0,0,$BG$2208*$AP$2200)</f>
        <v>0</v>
      </c>
      <c r="BD2240">
        <f>IFERROR(BC2240/$AU$2208,0)</f>
        <v>0</v>
      </c>
      <c r="BE2240">
        <f>BC2240*($F$24+IF($F$24=0,0,($C$14+$C$15+IF($C$13="single",1.5,3)+3)/12))</f>
        <v>0</v>
      </c>
      <c r="BF2240">
        <f>BE2240-AZ2240</f>
        <v>0</v>
      </c>
      <c r="BG2240" cm="1">
        <f t="array" ref="BG2240">IFERROR(IF(BF2240&lt;0,0,BF2240/($AU$2208-INDEX(hd_off,MATCH(BT2240,hd_mark,0),0)/12)),0)</f>
        <v>0</v>
      </c>
      <c r="BH2240">
        <f>IF(AV2240=0,0,$BG$2208*$AM$2200)</f>
        <v>0</v>
      </c>
      <c r="BI2240">
        <f>IFERROR(BH2240/$AU$2208,0)</f>
        <v>0</v>
      </c>
      <c r="BJ2240">
        <f>BH2240*($F$24+IF($F$24=0,0,($C$14+$C$15+IF($C$13="single",1.5,3)+3)/12))</f>
        <v>0</v>
      </c>
      <c r="BK2240">
        <f>BJ2240-BA2240</f>
        <v>0</v>
      </c>
      <c r="BL2240" cm="1">
        <f t="array" ref="BL2240">IFERROR(IF(BK2240&lt;0,0,BK2240/($AU$2208-INDEX(hd_off,MATCH(BT2240,hd_mark,0),0)/12)),0)</f>
        <v>0</v>
      </c>
      <c r="BM2240">
        <f>MAX($F$24,$BE$2208)/$Q$2228</f>
        <v>0</v>
      </c>
      <c r="BN2240">
        <f t="shared" si="1394"/>
        <v>0</v>
      </c>
      <c r="BO2240" cm="1">
        <f t="array" ref="BO2240">IFERROR(INDEX(sheath_ecap_asd,MATCH(BS2240,sheath_mark,0),0)*BN2240,0)</f>
        <v>0</v>
      </c>
      <c r="BP2240" cm="1">
        <f t="array" ref="BP2240">IFERROR(INDEX(sheath_wcap_asd,MATCH(BS2240,sheath_mark,0),0)*BN2240,0)</f>
        <v>0</v>
      </c>
      <c r="BQ2240" cm="1">
        <f t="array" ref="BQ2240">IFERROR(INDEX(hd_cap,MATCH(BT2240,hd_mark,0),0),0)</f>
        <v>0</v>
      </c>
      <c r="BS2240" s="19"/>
      <c r="BT2240" s="19"/>
      <c r="BU2240" s="100"/>
    </row>
    <row r="2241" x14ac:dyDescent="0.25">
      <c r="B2241" t="s">
        <v>471</v>
      </c>
      <c r="C2241" s="19"/>
      <c r="D2241" s="19"/>
      <c r="E2241">
        <f t="shared" si="1386"/>
        <v>0</v>
      </c>
      <c r="H2241">
        <v>24</v>
      </c>
      <c r="I2241" s="19"/>
      <c r="J2241" s="19"/>
      <c r="K2241">
        <f t="shared" si="1387"/>
        <v>0</v>
      </c>
      <c r="P2241" s="93"/>
      <c r="Q2241" s="109"/>
      <c r="R2241" t="str">
        <f>$Q$2201</f>
        <v>Roof</v>
      </c>
      <c r="S2241">
        <f>$E$25</f>
        <v>33.171875</v>
      </c>
      <c r="T2241" cm="1">
        <f t="array" ref="T2241">IFERROR(IF(S2241=0,0,(INDEX($C$33:$C$38,MATCH($W$2208,$B$33:$B$38,0),0)*(S2241+$X$2208)+$V$2208*$C$31)*$R$2208),0)</f>
        <v>0</v>
      </c>
      <c r="U2241">
        <f>IF(S2241=0,0,-$V$2208*$C$31*$H$27*$R$2208)</f>
        <v>0</v>
      </c>
      <c r="V2241">
        <f>IF(S2241=0,0,$V$2208*$H$26*$R$2208)</f>
        <v>0</v>
      </c>
      <c r="W2241">
        <f>(0.6*T2241+0.7*U2241)*$R$2208/2</f>
        <v>0</v>
      </c>
      <c r="X2241">
        <f>T2241*$R$2208/2</f>
        <v>0</v>
      </c>
      <c r="Z2241">
        <f>IF(S2241=0,0,$AD$2208*$AP$2201)</f>
        <v>0</v>
      </c>
      <c r="AA2241">
        <f>IFERROR(Z2241/$R$2208,0)</f>
        <v>0</v>
      </c>
      <c r="AB2241">
        <f>Z2241*($F$25+($C$16+$C$17+IF($C$13="single",1.5,3)+3)/12)</f>
        <v>0</v>
      </c>
      <c r="AC2241">
        <f>AB2241-W2241</f>
        <v>0</v>
      </c>
      <c r="AD2241" cm="1">
        <f t="array" ref="AD2241">IFERROR(IF(AC2241&lt;0,0,AC2241/($R$2208-INDEX(hd_off,MATCH(AQ2241,hd_mark,0),0)/12)),0)</f>
        <v>0</v>
      </c>
      <c r="AE2241">
        <f>IF(S2241=0,0,$AD$2208*$AM$2201)</f>
        <v>0</v>
      </c>
      <c r="AF2241">
        <f>IFERROR(AE2241/$R$2208,0)</f>
        <v>0</v>
      </c>
      <c r="AG2241">
        <f>AE2241*($F$25+($C$16+$C$17+IF($C$13="single",1.5,3)+3)/12)</f>
        <v>0</v>
      </c>
      <c r="AH2241">
        <f>AG2241-X2241</f>
        <v>0</v>
      </c>
      <c r="AI2241" cm="1">
        <f t="array" ref="AI2241">IFERROR(IF(AH2241&lt;0,0,AH2241/($R$2208-INDEX(hd_off,MATCH(AQ2241,hd_mark,0),0)/12)),0)</f>
        <v>0</v>
      </c>
      <c r="AJ2241">
        <f>MAX($F$25,$AC$2208)/$Q$2228</f>
        <v>0.29920977011494249</v>
      </c>
      <c r="AK2241">
        <f t="shared" si="1393"/>
        <v>1</v>
      </c>
      <c r="AL2241" cm="1">
        <f t="array" ref="AL2241">IFERROR(INDEX(sheath_ecap_asd,MATCH(AP2241,sheath_mark,0),0)*AK2241,0)</f>
        <v>0</v>
      </c>
      <c r="AM2241" cm="1">
        <f t="array" ref="AM2241">IFERROR(INDEX(sheath_wcap_asd,MATCH(AP2241,sheath_mark,0),0)*AK2241,0)</f>
        <v>0</v>
      </c>
      <c r="AN2241" cm="1">
        <f t="array" ref="AN2241">IFERROR(INDEX(hd_cap,MATCH(AQ2241,hd_mark,0),0),0)</f>
        <v>0</v>
      </c>
      <c r="AP2241" s="19"/>
      <c r="AQ2241" s="19"/>
      <c r="AR2241" s="100"/>
      <c r="AS2241" s="93"/>
      <c r="AT2241" s="109"/>
      <c r="AU2241" t="str">
        <f>$Q$2201</f>
        <v>Roof</v>
      </c>
      <c r="AV2241">
        <f>$E$25</f>
        <v>33.171875</v>
      </c>
      <c r="AW2241" cm="1">
        <f t="array" ref="AW2241">IFERROR(IF(AV2241=0,0,(INDEX($C$33:$C$38,MATCH($AZ$2208,$B$33:$B$38,0),0)*(AV2241+$BA$2208)+$AY$2208*$C$31)*$AU$2208),0)</f>
        <v>0</v>
      </c>
      <c r="AX2241">
        <f>IF(AV2241=0,0,-$AY$2208*$C$31*$H$27*$AU$2208)</f>
        <v>0</v>
      </c>
      <c r="AY2241">
        <f>IF(AV2241=0,0,$AY$2208*$H$26*$AU$2208)</f>
        <v>0</v>
      </c>
      <c r="AZ2241">
        <f>(0.6*AW2241+0.7*AX2241)*$AU$2208/2</f>
        <v>0</v>
      </c>
      <c r="BA2241">
        <f>AW2241*$AU$2208/2</f>
        <v>0</v>
      </c>
      <c r="BC2241">
        <f>IF(AV2241=0,0,$BG$2208*$AP$2201)</f>
        <v>0</v>
      </c>
      <c r="BD2241">
        <f>IFERROR(BC2241/$AU$2208,0)</f>
        <v>0</v>
      </c>
      <c r="BE2241">
        <f>BC2241*($F$25+($C$16+$C$17+IF($C$13="single",1.5,3)+3)/12)</f>
        <v>0</v>
      </c>
      <c r="BF2241">
        <f>BE2241-AZ2241</f>
        <v>0</v>
      </c>
      <c r="BG2241" cm="1">
        <f t="array" ref="BG2241">IFERROR(IF(BF2241&lt;0,0,BF2241/($AU$2208-INDEX(hd_off,MATCH(BT2241,hd_mark,0),0)/12)),0)</f>
        <v>0</v>
      </c>
      <c r="BH2241">
        <f>IF(AV2241=0,0,$BG$2208*$AM$2201)</f>
        <v>0</v>
      </c>
      <c r="BI2241">
        <f>IFERROR(BH2241/$AU$2208,0)</f>
        <v>0</v>
      </c>
      <c r="BJ2241">
        <f>BH2241*($F$25+($C$16+$C$17+IF($C$13="single",1.5,3)+3)/12)</f>
        <v>0</v>
      </c>
      <c r="BK2241">
        <f>BJ2241-BA2241</f>
        <v>0</v>
      </c>
      <c r="BL2241" cm="1">
        <f t="array" ref="BL2241">IFERROR(IF(BK2241&lt;0,0,BK2241/($AU$2208-INDEX(hd_off,MATCH(BT2241,hd_mark,0),0)/12)),0)</f>
        <v>0</v>
      </c>
      <c r="BM2241">
        <f>MAX($F$25,$BF$2208)/$Q$2228</f>
        <v>0.29920977011494249</v>
      </c>
      <c r="BN2241">
        <f t="shared" si="1394"/>
        <v>1</v>
      </c>
      <c r="BO2241" cm="1">
        <f t="array" ref="BO2241">IFERROR(INDEX(sheath_ecap_asd,MATCH(BS2241,sheath_mark,0),0)*BN2241,0)</f>
        <v>0</v>
      </c>
      <c r="BP2241" cm="1">
        <f t="array" ref="BP2241">IFERROR(INDEX(sheath_wcap_asd,MATCH(BS2241,sheath_mark,0),0)*BN2241,0)</f>
        <v>0</v>
      </c>
      <c r="BQ2241" cm="1">
        <f t="array" ref="BQ2241">IFERROR(INDEX(hd_cap,MATCH(BT2241,hd_mark,0),0),0)</f>
        <v>0</v>
      </c>
      <c r="BS2241" s="19"/>
      <c r="BT2241" s="19"/>
      <c r="BU2241" s="100"/>
    </row>
    <row r="2242" x14ac:dyDescent="0.25">
      <c r="B2242" t="s">
        <v>472</v>
      </c>
      <c r="C2242" s="19"/>
      <c r="D2242" s="19"/>
      <c r="E2242">
        <f t="shared" si="1386"/>
        <v>0</v>
      </c>
      <c r="H2242">
        <v>25</v>
      </c>
      <c r="I2242" s="19"/>
      <c r="J2242" s="19"/>
      <c r="K2242">
        <f t="shared" si="1387"/>
        <v>0</v>
      </c>
      <c r="P2242" s="93"/>
      <c r="AR2242" s="100"/>
      <c r="AS2242" s="93"/>
      <c r="BU2242" s="100"/>
    </row>
    <row r="2243" x14ac:dyDescent="0.25">
      <c r="B2243" t="s">
        <v>473</v>
      </c>
      <c r="C2243" s="19"/>
      <c r="D2243" s="19"/>
      <c r="E2243">
        <f t="shared" si="1386"/>
        <v>0</v>
      </c>
      <c r="H2243">
        <v>26</v>
      </c>
      <c r="I2243" s="19"/>
      <c r="J2243" s="19"/>
      <c r="K2243">
        <f t="shared" si="1387"/>
        <v>0</v>
      </c>
      <c r="P2243" s="93"/>
      <c r="Q2243" s="110" t="str">
        <f>$Q$2209</f>
        <v>A.04</v>
      </c>
      <c r="R2243" t="str">
        <f>$Q$2197</f>
        <v>L2</v>
      </c>
      <c r="S2243">
        <f>$E$21</f>
        <v>10.6875</v>
      </c>
      <c r="T2243" cm="1">
        <f t="array" ref="T2243">IFERROR(IF(S2243=0,0,(INDEX($C$33:$C$38,MATCH($W$2209,$B$33:$B$38,0),0)*(S2247+$X$2209)+$T$2209*COUNTIF(S2243:S2246,"&gt;0")*$C$32+$V$2209*$C$31)*$R$2209),0)</f>
        <v>0</v>
      </c>
      <c r="U2243">
        <f>IF(S2243=0,0,-(COUNTIF(S2243:S2246,"&gt;0")*$T$2209*$C$32+$V$2209*$C$31)*$H$27*$R$2209)</f>
        <v>0</v>
      </c>
      <c r="V2243">
        <f>IF(S2243=0,0,$V$2209*$H$26*$R$2209)</f>
        <v>0</v>
      </c>
      <c r="W2243">
        <f>(0.6*T2243+0.7*U2243)*$R$2209/2</f>
        <v>0</v>
      </c>
      <c r="X2243">
        <f>(0.6*T2243+0.6*V2243)*$R$2209/2</f>
        <v>0</v>
      </c>
      <c r="Z2243">
        <f>IF(S2243=0,0,$AD$2209*$AP$2197)</f>
        <v>0</v>
      </c>
      <c r="AA2243">
        <f>IFERROR(Z2243/$R$2209,0)</f>
        <v>0</v>
      </c>
      <c r="AB2243">
        <f>Z2243*($F$21+IF($F$21=0,0,($C$14+$C$15+IF($C$13="single",1.5,3)+3)/12))</f>
        <v>0</v>
      </c>
      <c r="AC2243">
        <f>AB2243-W2243</f>
        <v>0</v>
      </c>
      <c r="AD2243" cm="1">
        <f t="array" ref="AD2243">IFERROR(IF(AC2243&lt;0,0,AC2243/($R$2209-INDEX(hd_off,MATCH(AQ2243,hd_mark,0),0)/12)),0)</f>
        <v>0</v>
      </c>
      <c r="AE2243">
        <f>IF(S2243=0,0,$AD$2209*$AM$2197)</f>
        <v>0</v>
      </c>
      <c r="AF2243">
        <f>IFERROR(AE2243/$R$2209,0)</f>
        <v>0</v>
      </c>
      <c r="AG2243">
        <f>AE2243*($F$21+IF($F$21=0,0,($C$14+$C$15+IF($C$13="single",1.5,3)+3)/12))</f>
        <v>0</v>
      </c>
      <c r="AH2243">
        <f>AG2243-X2243</f>
        <v>0</v>
      </c>
      <c r="AI2243" cm="1">
        <f t="array" ref="AI2243">IFERROR(IF(AH2243&lt;0,0,AH2243/($R$2209-INDEX(hd_off,MATCH(AQ2243,hd_mark,0),0)/12)),0)</f>
        <v>0</v>
      </c>
      <c r="AJ2243">
        <f>MAX($F$21,$Y$2209)/$Q$2228</f>
        <v>0.30172413793103448</v>
      </c>
      <c r="AK2243">
        <f>IF(AJ2243=0,0,IF(AJ2243&gt;2,1.25-0.125*AJ2243,1))</f>
        <v>1</v>
      </c>
      <c r="AL2243" cm="1">
        <f t="array" ref="AL2243">IFERROR(INDEX(sheath_ecap_asd,MATCH(AP2243,sheath_mark,0),0)*AK2243,0)</f>
        <v>0</v>
      </c>
      <c r="AM2243" cm="1">
        <f t="array" ref="AM2243">IFERROR(INDEX(sheath_wcap_asd,MATCH(AP2243,sheath_mark,0),0)*AK2243,0)</f>
        <v>0</v>
      </c>
      <c r="AN2243" cm="1">
        <f t="array" ref="AN2243">IFERROR(INDEX(hd_cap,MATCH(AQ2243,hd_mark,0),0),0)</f>
        <v>0</v>
      </c>
      <c r="AP2243" s="19"/>
      <c r="AQ2243" s="19"/>
      <c r="AR2243" s="100"/>
      <c r="AS2243" s="93"/>
      <c r="AT2243" s="110" t="str">
        <f>$AT$2209</f>
        <v>1.04</v>
      </c>
      <c r="AU2243" t="str">
        <f>$Q$2197</f>
        <v>L2</v>
      </c>
      <c r="AV2243">
        <f>$E$21</f>
        <v>10.6875</v>
      </c>
      <c r="AW2243" cm="1">
        <f t="array" ref="AW2243">IFERROR(IF(AV2243=0,0,(INDEX($C$33:$C$38,MATCH($AZ$2209,$B$33:$B$38,0),0)*(AV2247+$BA$2209)+$AW$2209*COUNTIF(AV2243:AV2246,"&gt;0")*$C$32+$AY$2209*$C$31)*$AU$2209),0)</f>
        <v>0</v>
      </c>
      <c r="AX2243">
        <f>IF(AV2243=0,0,-(COUNTIF(AV2243:AV2246,"&gt;0")*$AW$2209*$C$32+$AY$2209*$C$31)*$H$27*$AU$2209)</f>
        <v>0</v>
      </c>
      <c r="AY2243">
        <f>IF(AV2243=0,0,$AY$2209*$H$26*$AU$2209)</f>
        <v>0</v>
      </c>
      <c r="AZ2243">
        <f>(0.6*AW2243+0.7*AX2243)*$AU$2209/2</f>
        <v>0</v>
      </c>
      <c r="BA2243">
        <f>(0.6*AW2243+0.6*AY2243)*$AU$2209/2</f>
        <v>0</v>
      </c>
      <c r="BC2243">
        <f>IF(AV2243=0,0,$BG$2209*$AP$2197)</f>
        <v>0</v>
      </c>
      <c r="BD2243">
        <f>IFERROR(BC2243/$AU$2209,0)</f>
        <v>0</v>
      </c>
      <c r="BE2243">
        <f>BC2243*($F$21+IF($F$21=0,0,($C$14+$C$15+IF($C$13="single",1.5,3)+3)/12))</f>
        <v>0</v>
      </c>
      <c r="BF2243">
        <f>BE2243-AZ2243</f>
        <v>0</v>
      </c>
      <c r="BG2243" cm="1">
        <f t="array" ref="BG2243">IFERROR(IF(BF2243&lt;0,0,BF2243/($AU$2209-INDEX(hd_off,MATCH(BT2243,hd_mark,0),0)/12)),0)</f>
        <v>0</v>
      </c>
      <c r="BH2243">
        <f>IF(AV2243=0,0,$BG$2209*$AM$2197)</f>
        <v>0</v>
      </c>
      <c r="BI2243">
        <f>IFERROR(BH2243/$AU$2209,0)</f>
        <v>0</v>
      </c>
      <c r="BJ2243">
        <f>BH2243*($F$21+IF($F$21=0,0,($C$14+$C$15+IF($C$13="single",1.5,3)+3)/12))</f>
        <v>0</v>
      </c>
      <c r="BK2243">
        <f>BJ2243-BA2243</f>
        <v>0</v>
      </c>
      <c r="BL2243" cm="1">
        <f t="array" ref="BL2243">IFERROR(IF(BK2243&lt;0,0,BK2243/($AU$2209-INDEX(hd_off,MATCH(BT2243,hd_mark,0),0)/12)),0)</f>
        <v>0</v>
      </c>
      <c r="BM2243">
        <f>MAX($F$21,$BB$2209)/$Q$2228</f>
        <v>0.30172413793103448</v>
      </c>
      <c r="BN2243">
        <f>IF(BM2243=0,0,IF(BM2243&gt;2,1.25-0.125*BM2243,1))</f>
        <v>1</v>
      </c>
      <c r="BO2243" cm="1">
        <f t="array" ref="BO2243">IFERROR(INDEX(sheath_ecap_asd,MATCH(BS2243,sheath_mark,0),0)*BN2243,0)</f>
        <v>0</v>
      </c>
      <c r="BP2243" cm="1">
        <f t="array" ref="BP2243">IFERROR(INDEX(sheath_wcap_asd,MATCH(BS2243,sheath_mark,0),0)*BN2243,0)</f>
        <v>0</v>
      </c>
      <c r="BQ2243" cm="1">
        <f t="array" ref="BQ2243">IFERROR(INDEX(hd_cap,MATCH(BT2243,hd_mark,0),0),0)</f>
        <v>0</v>
      </c>
      <c r="BS2243" s="19"/>
      <c r="BT2243" s="19"/>
      <c r="BU2243" s="100"/>
    </row>
    <row r="2244" x14ac:dyDescent="0.25">
      <c r="P2244" s="93"/>
      <c r="Q2244" s="109"/>
      <c r="R2244" t="str">
        <f>$Q$2198</f>
        <v>L3</v>
      </c>
      <c r="S2244">
        <f>$E$22</f>
        <v>21.375</v>
      </c>
      <c r="T2244" cm="1">
        <f t="array" ref="T2244">IFERROR(IF(S2244=0,0,(INDEX($C$33:$C$38,MATCH($W$2209,$B$33:$B$38,0),0)*(S2247+$X$2209)+$T$2209*COUNTIF(S2244:S2246,"&gt;0")*$C$32+$V$2209*$C$31)*$R$2209),0)</f>
        <v>0</v>
      </c>
      <c r="U2244">
        <f>IF(S2244=0,0,-(COUNTIF(S2244:S2246,"&gt;0")*$T$2209*$C$32+$V$2209*$C$31)*$H$27*$R$2209)</f>
        <v>0</v>
      </c>
      <c r="V2244">
        <f>IF(S2244=0,0,$V$2209*$H$26*$R$2209)</f>
        <v>0</v>
      </c>
      <c r="W2244">
        <f>(0.6*T2244+0.7*U2244)*$R$2209/2</f>
        <v>0</v>
      </c>
      <c r="X2244">
        <f>T2244*$R$2209/2</f>
        <v>0</v>
      </c>
      <c r="Z2244">
        <f>IF(S2244=0,0,$AD$2209*$AP$2198)</f>
        <v>0</v>
      </c>
      <c r="AA2244">
        <f>IFERROR(Z2244/$R$2209,0)</f>
        <v>0</v>
      </c>
      <c r="AB2244">
        <f>Z2244*($F$22+IF($F$22=0,0,($C$14+$C$15+IF($C$13="single",1.5,3)+3)/12))</f>
        <v>0</v>
      </c>
      <c r="AC2244">
        <f>AB2244-W2244</f>
        <v>0</v>
      </c>
      <c r="AD2244" cm="1">
        <f t="array" ref="AD2244">IFERROR(IF(AC2244&lt;0,0,AC2244/($R$2209-INDEX(hd_off,MATCH(AQ2244,hd_mark,0),0)/12)),0)</f>
        <v>0</v>
      </c>
      <c r="AE2244">
        <f>IF(S2244=0,0,$AD$2209*$AM$2198)</f>
        <v>0</v>
      </c>
      <c r="AF2244">
        <f>IFERROR(AE2244/$R$2209,0)</f>
        <v>0</v>
      </c>
      <c r="AG2244">
        <f>AE2244*($F$22+IF($F$22=0,0,($C$14+$C$15+IF($C$13="single",1.5,3)+3)/12))</f>
        <v>0</v>
      </c>
      <c r="AH2244">
        <f>AG2244-X2244</f>
        <v>0</v>
      </c>
      <c r="AI2244" cm="1">
        <f t="array" ref="AI2244">IFERROR(IF(AH2244&lt;0,0,AH2244/($R$2209-INDEX(hd_off,MATCH(AQ2244,hd_mark,0),0)/12)),0)</f>
        <v>0</v>
      </c>
      <c r="AJ2244">
        <f>MAX($F$22,$Z$2209)/$Q$2228</f>
        <v>0.30172413793103448</v>
      </c>
      <c r="AK2244">
        <f t="shared" ref="AK2244:AK2247" si="1395">IF(AJ2244=0,0,IF(AJ2244&gt;2,1.25-0.125*AJ2244,1))</f>
        <v>1</v>
      </c>
      <c r="AL2244" cm="1">
        <f t="array" ref="AL2244">IFERROR(INDEX(sheath_ecap_asd,MATCH(AP2244,sheath_mark,0),0)*AK2244,0)</f>
        <v>0</v>
      </c>
      <c r="AM2244" cm="1">
        <f t="array" ref="AM2244">IFERROR(INDEX(sheath_wcap_asd,MATCH(AP2244,sheath_mark,0),0)*AK2244,0)</f>
        <v>0</v>
      </c>
      <c r="AN2244" cm="1">
        <f t="array" ref="AN2244">IFERROR(INDEX(hd_cap,MATCH(AQ2244,hd_mark,0),0),0)</f>
        <v>0</v>
      </c>
      <c r="AP2244" s="19"/>
      <c r="AQ2244" s="19"/>
      <c r="AR2244" s="100"/>
      <c r="AS2244" s="93"/>
      <c r="AT2244" s="109"/>
      <c r="AU2244" t="str">
        <f>$Q$2198</f>
        <v>L3</v>
      </c>
      <c r="AV2244">
        <f>$E$22</f>
        <v>21.375</v>
      </c>
      <c r="AW2244" cm="1">
        <f t="array" ref="AW2244">IFERROR(IF(AV2244=0,0,(INDEX($C$33:$C$38,MATCH($AZ$2209,$B$33:$B$38,0),0)*(AV2247+$BA$2209)+$AW$2209*COUNTIF(AV2244:AV2246,"&gt;0")*$C$32+$AY$2209*$C$31)*$AU$2209),0)</f>
        <v>0</v>
      </c>
      <c r="AX2244">
        <f>IF(AV2244=0,0,-(COUNTIF(AV2244:AV2246,"&gt;0")*$AW$2209*$C$32+$AY$2209*$C$31)*$H$27*$AU$2209)</f>
        <v>0</v>
      </c>
      <c r="AY2244">
        <f>IF(AV2244=0,0,$AY$2209*$H$26*$AU$2209)</f>
        <v>0</v>
      </c>
      <c r="AZ2244">
        <f>(0.6*AW2244+0.7*AX2244)*$AU$2209/2</f>
        <v>0</v>
      </c>
      <c r="BA2244">
        <f>AW2244*$AU$2209/2</f>
        <v>0</v>
      </c>
      <c r="BC2244">
        <f>IF(AV2244=0,0,$BG$2209*$AP$2198)</f>
        <v>0</v>
      </c>
      <c r="BD2244">
        <f>IFERROR(BC2244/$AU$2209,0)</f>
        <v>0</v>
      </c>
      <c r="BE2244">
        <f>BC2244*($F$22+IF($F$22=0,0,($C$14+$C$15+IF($C$13="single",1.5,3)+3)/12))</f>
        <v>0</v>
      </c>
      <c r="BF2244">
        <f>BE2244-AZ2244</f>
        <v>0</v>
      </c>
      <c r="BG2244" cm="1">
        <f t="array" ref="BG2244">IFERROR(IF(BF2244&lt;0,0,BF2244/($AU$2209-INDEX(hd_off,MATCH(BT2244,hd_mark,0),0)/12)),0)</f>
        <v>0</v>
      </c>
      <c r="BH2244">
        <f>IF(AV2244=0,0,$BG$2209*$AM$2198)</f>
        <v>0</v>
      </c>
      <c r="BI2244">
        <f>IFERROR(BH2244/$AU$2209,0)</f>
        <v>0</v>
      </c>
      <c r="BJ2244">
        <f>BH2244*($F$22+IF($F$22=0,0,($C$14+$C$15+IF($C$13="single",1.5,3)+3)/12))</f>
        <v>0</v>
      </c>
      <c r="BK2244">
        <f>BJ2244-BA2244</f>
        <v>0</v>
      </c>
      <c r="BL2244" cm="1">
        <f t="array" ref="BL2244">IFERROR(IF(BK2244&lt;0,0,BK2244/($AU$2209-INDEX(hd_off,MATCH(BT2244,hd_mark,0),0)/12)),0)</f>
        <v>0</v>
      </c>
      <c r="BM2244">
        <f>MAX($F$22,$BC$2209)/$Q$2228</f>
        <v>0.30172413793103448</v>
      </c>
      <c r="BN2244">
        <f t="shared" ref="BN2244:BN2247" si="1396">IF(BM2244=0,0,IF(BM2244&gt;2,1.25-0.125*BM2244,1))</f>
        <v>1</v>
      </c>
      <c r="BO2244" cm="1">
        <f t="array" ref="BO2244">IFERROR(INDEX(sheath_ecap_asd,MATCH(BS2244,sheath_mark,0),0)*BN2244,0)</f>
        <v>0</v>
      </c>
      <c r="BP2244" cm="1">
        <f t="array" ref="BP2244">IFERROR(INDEX(sheath_wcap_asd,MATCH(BS2244,sheath_mark,0),0)*BN2244,0)</f>
        <v>0</v>
      </c>
      <c r="BQ2244" cm="1">
        <f t="array" ref="BQ2244">IFERROR(INDEX(hd_cap,MATCH(BT2244,hd_mark,0),0),0)</f>
        <v>0</v>
      </c>
      <c r="BS2244" s="19"/>
      <c r="BT2244" s="19"/>
      <c r="BU2244" s="100"/>
    </row>
    <row r="2245" x14ac:dyDescent="0.25">
      <c r="B2245" s="1"/>
      <c r="P2245" s="93"/>
      <c r="Q2245" s="109" t="s">
        <v>491</v>
      </c>
      <c r="R2245" t="str">
        <f>$Q$2199</f>
        <v>L4</v>
      </c>
      <c r="S2245">
        <f>$E$23</f>
        <v>0</v>
      </c>
      <c r="T2245" cm="1">
        <f t="array" ref="T2245">IFERROR(IF(S2245=0,0,(INDEX($C$33:$C$38,MATCH($W$2209,$B$33:$B$38,0),0)*(S2247+$X$2209)+$T$2209*COUNTIF(S2245:S2246,"&gt;0")*$C$32+$V$2209*$C$31)*$R$2209),0)</f>
        <v>0</v>
      </c>
      <c r="U2245">
        <f>IF(S2245=0,0,-(COUNTIF(S2245:S2246,"&gt;0")*$T$2209*$C$32+$V$2209*$C$31)*$H$27*$R$2209)</f>
        <v>0</v>
      </c>
      <c r="V2245">
        <f>IF(S2245=0,0,$V$2209*$H$26*$R$2209)</f>
        <v>0</v>
      </c>
      <c r="W2245">
        <f>(0.6*T2245+0.7*U2245)*$R$2209/2</f>
        <v>0</v>
      </c>
      <c r="X2245">
        <f>T2245*$R$2209/2</f>
        <v>0</v>
      </c>
      <c r="Z2245">
        <f>IF(S2245=0,0,$AD$2209*$AP$2199)</f>
        <v>0</v>
      </c>
      <c r="AA2245">
        <f>IFERROR(Z2245/$R$2209,0)</f>
        <v>0</v>
      </c>
      <c r="AB2245">
        <f>Z2245*($F$23+IF($F$23=0,0,($C$14+$C$15+IF($C$13="single",1.5,3)+3)/12))</f>
        <v>0</v>
      </c>
      <c r="AC2245">
        <f>AB2245-W2245</f>
        <v>0</v>
      </c>
      <c r="AD2245" cm="1">
        <f t="array" ref="AD2245">IFERROR(IF(AC2245&lt;0,0,AC2245/($R$2209-INDEX(hd_off,MATCH(AQ2245,hd_mark,0),0)/12)),0)</f>
        <v>0</v>
      </c>
      <c r="AE2245">
        <f>IF(S2245=0,0,$AD$2209*$AM$2199)</f>
        <v>0</v>
      </c>
      <c r="AF2245">
        <f>IFERROR(AE2245/$R$2209,0)</f>
        <v>0</v>
      </c>
      <c r="AG2245">
        <f>AE2245*($F$23+IF($F$23=0,0,($C$14+$C$15+IF($C$13="single",1.5,3)+3)/12))</f>
        <v>0</v>
      </c>
      <c r="AH2245">
        <f>AG2245-X2245</f>
        <v>0</v>
      </c>
      <c r="AI2245" cm="1">
        <f t="array" ref="AI2245">IFERROR(IF(AH2245&lt;0,0,AH2245/($R$2209-INDEX(hd_off,MATCH(AQ2245,hd_mark,0),0)/12)),0)</f>
        <v>0</v>
      </c>
      <c r="AJ2245">
        <f>MAX($F$23,$AA$2209)/$Q$2228</f>
        <v>0</v>
      </c>
      <c r="AK2245">
        <f t="shared" si="1395"/>
        <v>0</v>
      </c>
      <c r="AL2245" cm="1">
        <f t="array" ref="AL2245">IFERROR(INDEX(sheath_ecap_asd,MATCH(AP2245,sheath_mark,0),0)*AK2245,0)</f>
        <v>0</v>
      </c>
      <c r="AM2245" cm="1">
        <f t="array" ref="AM2245">IFERROR(INDEX(sheath_wcap_asd,MATCH(AP2245,sheath_mark,0),0)*AK2245,0)</f>
        <v>0</v>
      </c>
      <c r="AN2245" cm="1">
        <f t="array" ref="AN2245">IFERROR(INDEX(hd_cap,MATCH(AQ2245,hd_mark,0),0),0)</f>
        <v>0</v>
      </c>
      <c r="AP2245" s="19"/>
      <c r="AQ2245" s="19"/>
      <c r="AR2245" s="100"/>
      <c r="AS2245" s="93"/>
      <c r="AT2245" s="109" t="s">
        <v>491</v>
      </c>
      <c r="AU2245" t="str">
        <f>$Q$2199</f>
        <v>L4</v>
      </c>
      <c r="AV2245">
        <f>$E$23</f>
        <v>0</v>
      </c>
      <c r="AW2245" cm="1">
        <f t="array" ref="AW2245">IFERROR(IF(AV2245=0,0,(INDEX($C$33:$C$38,MATCH($AZ$2209,$B$33:$B$38,0),0)*(AV2247+$BA$2209)+$AW$2209*COUNTIF(AV2245:AV2246,"&gt;0")*$C$32+$AY$2209*$C$31)*$AU$2209),0)</f>
        <v>0</v>
      </c>
      <c r="AX2245">
        <f>IF(AV2245=0,0,-(COUNTIF(AV2245:AV2246,"&gt;0")*$AW$2209*$C$32+$AY$2209*$C$31)*$H$27*$AU$2209)</f>
        <v>0</v>
      </c>
      <c r="AY2245">
        <f>IF(AV2245=0,0,$AY$2209*$H$26*$AU$2209)</f>
        <v>0</v>
      </c>
      <c r="AZ2245">
        <f>(0.6*AW2245+0.7*AX2245)*$AU$2209/2</f>
        <v>0</v>
      </c>
      <c r="BA2245">
        <f>AW2245*$AU$2209/2</f>
        <v>0</v>
      </c>
      <c r="BC2245">
        <f>IF(AV2245=0,0,$BG$2209*$AP$2199)</f>
        <v>0</v>
      </c>
      <c r="BD2245">
        <f>IFERROR(BC2245/$AU$2209,0)</f>
        <v>0</v>
      </c>
      <c r="BE2245">
        <f>BC2245*($F$23+IF($F$23=0,0,($C$14+$C$15+IF($C$13="single",1.5,3)+3)/12))</f>
        <v>0</v>
      </c>
      <c r="BF2245">
        <f>BE2245-AZ2245</f>
        <v>0</v>
      </c>
      <c r="BG2245" cm="1">
        <f t="array" ref="BG2245">IFERROR(IF(BF2245&lt;0,0,BF2245/($AU$2209-INDEX(hd_off,MATCH(BT2245,hd_mark,0),0)/12)),0)</f>
        <v>0</v>
      </c>
      <c r="BH2245">
        <f>IF(AV2245=0,0,$BG$2209*$AM$2199)</f>
        <v>0</v>
      </c>
      <c r="BI2245">
        <f>IFERROR(BH2245/$AU$2209,0)</f>
        <v>0</v>
      </c>
      <c r="BJ2245">
        <f>BH2245*($F$23+IF($F$23=0,0,($C$14+$C$15+IF($C$13="single",1.5,3)+3)/12))</f>
        <v>0</v>
      </c>
      <c r="BK2245">
        <f>BJ2245-BA2245</f>
        <v>0</v>
      </c>
      <c r="BL2245" cm="1">
        <f t="array" ref="BL2245">IFERROR(IF(BK2245&lt;0,0,BK2245/($AU$2209-INDEX(hd_off,MATCH(BT2245,hd_mark,0),0)/12)),0)</f>
        <v>0</v>
      </c>
      <c r="BM2245">
        <f>MAX($F$23,$BD$2209)/$Q$2228</f>
        <v>0</v>
      </c>
      <c r="BN2245">
        <f t="shared" si="1396"/>
        <v>0</v>
      </c>
      <c r="BO2245" cm="1">
        <f t="array" ref="BO2245">IFERROR(INDEX(sheath_ecap_asd,MATCH(BS2245,sheath_mark,0),0)*BN2245,0)</f>
        <v>0</v>
      </c>
      <c r="BP2245" cm="1">
        <f t="array" ref="BP2245">IFERROR(INDEX(sheath_wcap_asd,MATCH(BS2245,sheath_mark,0),0)*BN2245,0)</f>
        <v>0</v>
      </c>
      <c r="BQ2245" cm="1">
        <f t="array" ref="BQ2245">IFERROR(INDEX(hd_cap,MATCH(BT2245,hd_mark,0),0),0)</f>
        <v>0</v>
      </c>
      <c r="BS2245" s="19"/>
      <c r="BT2245" s="19"/>
      <c r="BU2245" s="100"/>
    </row>
    <row r="2246" x14ac:dyDescent="0.25">
      <c r="P2246" s="93"/>
      <c r="Q2246" s="111">
        <f>$R$2209</f>
        <v>0</v>
      </c>
      <c r="R2246" t="str">
        <f>$Q$2200</f>
        <v>L5</v>
      </c>
      <c r="S2246">
        <f>$E$24</f>
        <v>0</v>
      </c>
      <c r="T2246" cm="1">
        <f t="array" ref="T2246">IFERROR(IF(S2246=0,0,(INDEX($C$33:$C$38,MATCH($W$2209,$B$33:$B$38,0),0)*(S2247+$X$2209)+$T$2209*COUNTIF(S2246:S2246,"&gt;0")*$C$32+$V$2209*$C$31)*$R$2209),0)</f>
        <v>0</v>
      </c>
      <c r="U2246">
        <f>IF(S2246=0,0,-(COUNTIF(S2246:S2246,"&gt;0")*$T$2209*$C$32+$V$2209*$C$31)*$H$27*$R$2209)</f>
        <v>0</v>
      </c>
      <c r="V2246">
        <f>IF(S2246=0,0,$V$2209*$H$26*$R$2209)</f>
        <v>0</v>
      </c>
      <c r="W2246">
        <f>(0.6*T2246+0.7*U2246)*$R$2209/2</f>
        <v>0</v>
      </c>
      <c r="X2246">
        <f>T2246*$R$2209/2</f>
        <v>0</v>
      </c>
      <c r="Z2246">
        <f>IF(S2246=0,0,$AD$2209*$AP$2200)</f>
        <v>0</v>
      </c>
      <c r="AA2246">
        <f>IFERROR(Z2246/$R$2209,0)</f>
        <v>0</v>
      </c>
      <c r="AB2246">
        <f>Z2246*($F$24+IF($F$24=0,0,($C$14+$C$15+IF($C$13="single",1.5,3)+3)/12))</f>
        <v>0</v>
      </c>
      <c r="AC2246">
        <f>AB2246-W2246</f>
        <v>0</v>
      </c>
      <c r="AD2246" cm="1">
        <f t="array" ref="AD2246">IFERROR(IF(AC2246&lt;0,0,AC2246/($R$2209-INDEX(hd_off,MATCH(AQ2246,hd_mark,0),0)/12)),0)</f>
        <v>0</v>
      </c>
      <c r="AE2246">
        <f>IF(S2246=0,0,$AD$2209*$AM$2200)</f>
        <v>0</v>
      </c>
      <c r="AF2246">
        <f>IFERROR(AE2246/$R$2209,0)</f>
        <v>0</v>
      </c>
      <c r="AG2246">
        <f>AE2246*($F$24+IF($F$24=0,0,($C$14+$C$15+IF($C$13="single",1.5,3)+3)/12))</f>
        <v>0</v>
      </c>
      <c r="AH2246">
        <f>AG2246-X2246</f>
        <v>0</v>
      </c>
      <c r="AI2246" cm="1">
        <f t="array" ref="AI2246">IFERROR(IF(AH2246&lt;0,0,AH2246/($R$2209-INDEX(hd_off,MATCH(AQ2246,hd_mark,0),0)/12)),0)</f>
        <v>0</v>
      </c>
      <c r="AJ2246">
        <f>MAX($F$24,$AB$2209)/$Q$2228</f>
        <v>0</v>
      </c>
      <c r="AK2246">
        <f t="shared" si="1395"/>
        <v>0</v>
      </c>
      <c r="AL2246" cm="1">
        <f t="array" ref="AL2246">IFERROR(INDEX(sheath_ecap_asd,MATCH(AP2246,sheath_mark,0),0)*AK2246,0)</f>
        <v>0</v>
      </c>
      <c r="AM2246" cm="1">
        <f t="array" ref="AM2246">IFERROR(INDEX(sheath_wcap_asd,MATCH(AP2246,sheath_mark,0),0)*AK2246,0)</f>
        <v>0</v>
      </c>
      <c r="AN2246" cm="1">
        <f t="array" ref="AN2246">IFERROR(INDEX(hd_cap,MATCH(AQ2246,hd_mark,0),0),0)</f>
        <v>0</v>
      </c>
      <c r="AP2246" s="19"/>
      <c r="AQ2246" s="19"/>
      <c r="AR2246" s="100"/>
      <c r="AS2246" s="93"/>
      <c r="AT2246" s="111">
        <f>$R$2209</f>
        <v>0</v>
      </c>
      <c r="AU2246" t="str">
        <f>$Q$2200</f>
        <v>L5</v>
      </c>
      <c r="AV2246">
        <f>$E$24</f>
        <v>0</v>
      </c>
      <c r="AW2246" cm="1">
        <f t="array" ref="AW2246">IFERROR(IF(AV2246=0,0,(INDEX($C$33:$C$38,MATCH($AZ$2209,$B$33:$B$38,0),0)*(AV2247+$BA$2209)+$AW$2209*COUNTIF(AV2246:AV2246,"&gt;0")*$C$32+$AY$2209*$C$31)*$AU$2209),0)</f>
        <v>0</v>
      </c>
      <c r="AX2246">
        <f>IF(AV2246=0,0,-(COUNTIF(AV2246:AV2246,"&gt;0")*$AW$2209*$C$32+$AY$2209*$C$31)*$H$27*$AU$2209)</f>
        <v>0</v>
      </c>
      <c r="AY2246">
        <f>IF(AV2246=0,0,$AY$2209*$H$26*$AU$2209)</f>
        <v>0</v>
      </c>
      <c r="AZ2246">
        <f>(0.6*AW2246+0.7*AX2246)*$AU$2209/2</f>
        <v>0</v>
      </c>
      <c r="BA2246">
        <f>AW2246*$AU$2209/2</f>
        <v>0</v>
      </c>
      <c r="BC2246">
        <f>IF(AV2246=0,0,$BG$2209*$AP$2200)</f>
        <v>0</v>
      </c>
      <c r="BD2246">
        <f>IFERROR(BC2246/$AU$2209,0)</f>
        <v>0</v>
      </c>
      <c r="BE2246">
        <f>BC2246*($F$24+IF($F$24=0,0,($C$14+$C$15+IF($C$13="single",1.5,3)+3)/12))</f>
        <v>0</v>
      </c>
      <c r="BF2246">
        <f>BE2246-AZ2246</f>
        <v>0</v>
      </c>
      <c r="BG2246" cm="1">
        <f t="array" ref="BG2246">IFERROR(IF(BF2246&lt;0,0,BF2246/($AU$2209-INDEX(hd_off,MATCH(BT2246,hd_mark,0),0)/12)),0)</f>
        <v>0</v>
      </c>
      <c r="BH2246">
        <f>IF(AV2246=0,0,$BG$2209*$AM$2200)</f>
        <v>0</v>
      </c>
      <c r="BI2246">
        <f>IFERROR(BH2246/$AU$2209,0)</f>
        <v>0</v>
      </c>
      <c r="BJ2246">
        <f>BH2246*($F$24+IF($F$24=0,0,($C$14+$C$15+IF($C$13="single",1.5,3)+3)/12))</f>
        <v>0</v>
      </c>
      <c r="BK2246">
        <f>BJ2246-BA2246</f>
        <v>0</v>
      </c>
      <c r="BL2246" cm="1">
        <f t="array" ref="BL2246">IFERROR(IF(BK2246&lt;0,0,BK2246/($AU$2209-INDEX(hd_off,MATCH(BT2246,hd_mark,0),0)/12)),0)</f>
        <v>0</v>
      </c>
      <c r="BM2246">
        <f>MAX($F$24,$BE$2209)/$Q$2228</f>
        <v>0</v>
      </c>
      <c r="BN2246">
        <f t="shared" si="1396"/>
        <v>0</v>
      </c>
      <c r="BO2246" cm="1">
        <f t="array" ref="BO2246">IFERROR(INDEX(sheath_ecap_asd,MATCH(BS2246,sheath_mark,0),0)*BN2246,0)</f>
        <v>0</v>
      </c>
      <c r="BP2246" cm="1">
        <f t="array" ref="BP2246">IFERROR(INDEX(sheath_wcap_asd,MATCH(BS2246,sheath_mark,0),0)*BN2246,0)</f>
        <v>0</v>
      </c>
      <c r="BQ2246" cm="1">
        <f t="array" ref="BQ2246">IFERROR(INDEX(hd_cap,MATCH(BT2246,hd_mark,0),0),0)</f>
        <v>0</v>
      </c>
      <c r="BS2246" s="19"/>
      <c r="BT2246" s="19"/>
      <c r="BU2246" s="100"/>
    </row>
    <row r="2247" x14ac:dyDescent="0.25">
      <c r="P2247" s="93"/>
      <c r="Q2247" s="109"/>
      <c r="R2247" t="str">
        <f>$Q$2201</f>
        <v>Roof</v>
      </c>
      <c r="S2247">
        <f>$E$25</f>
        <v>33.171875</v>
      </c>
      <c r="T2247" cm="1">
        <f t="array" ref="T2247">IFERROR(IF(S2247=0,0,(INDEX($C$33:$C$38,MATCH($W$2209,$B$33:$B$38,0),0)*(S2247+$X$2209)+$V$2209*$C$31)*$R$2209),0)</f>
        <v>0</v>
      </c>
      <c r="U2247">
        <f>IF(S2247=0,0,-$V$2209*$C$31*$H$27*$R$2209)</f>
        <v>0</v>
      </c>
      <c r="V2247">
        <f>IF(S2247=0,0,$V$2209*$H$26*$R$2209)</f>
        <v>0</v>
      </c>
      <c r="W2247">
        <f>(0.6*T2247+0.7*U2247)*$R$2209/2</f>
        <v>0</v>
      </c>
      <c r="X2247">
        <f>T2247*$R$2209/2</f>
        <v>0</v>
      </c>
      <c r="Z2247">
        <f>IF(S2247=0,0,$AD$2209*$AP$2201)</f>
        <v>0</v>
      </c>
      <c r="AA2247">
        <f>IFERROR(Z2247/$R$2209,0)</f>
        <v>0</v>
      </c>
      <c r="AB2247">
        <f>Z2247*($F$25+($C$16+$C$17+IF($C$13="single",1.5,3)+3)/12)</f>
        <v>0</v>
      </c>
      <c r="AC2247">
        <f>AB2247-W2247</f>
        <v>0</v>
      </c>
      <c r="AD2247" cm="1">
        <f t="array" ref="AD2247">IFERROR(IF(AC2247&lt;0,0,AC2247/($R$2209-INDEX(hd_off,MATCH(AQ2247,hd_mark,0),0)/12)),0)</f>
        <v>0</v>
      </c>
      <c r="AE2247">
        <f>IF(S2247=0,0,$AD$2209*$AM$2201)</f>
        <v>0</v>
      </c>
      <c r="AF2247">
        <f>IFERROR(AE2247/$R$2209,0)</f>
        <v>0</v>
      </c>
      <c r="AG2247">
        <f>AE2247*($F$25+($C$16+$C$17+IF($C$13="single",1.5,3)+3)/12)</f>
        <v>0</v>
      </c>
      <c r="AH2247">
        <f>AG2247-X2247</f>
        <v>0</v>
      </c>
      <c r="AI2247" cm="1">
        <f t="array" ref="AI2247">IFERROR(IF(AH2247&lt;0,0,AH2247/($R$2209-INDEX(hd_off,MATCH(AQ2247,hd_mark,0),0)/12)),0)</f>
        <v>0</v>
      </c>
      <c r="AJ2247">
        <f>MAX($F$25,$AC$2209)/$Q$2228</f>
        <v>0.29920977011494249</v>
      </c>
      <c r="AK2247">
        <f t="shared" si="1395"/>
        <v>1</v>
      </c>
      <c r="AL2247" cm="1">
        <f t="array" ref="AL2247">IFERROR(INDEX(sheath_ecap_asd,MATCH(AP2247,sheath_mark,0),0)*AK2247,0)</f>
        <v>0</v>
      </c>
      <c r="AM2247" cm="1">
        <f t="array" ref="AM2247">IFERROR(INDEX(sheath_wcap_asd,MATCH(AP2247,sheath_mark,0),0)*AK2247,0)</f>
        <v>0</v>
      </c>
      <c r="AN2247" cm="1">
        <f t="array" ref="AN2247">IFERROR(INDEX(hd_cap,MATCH(AQ2247,hd_mark,0),0),0)</f>
        <v>0</v>
      </c>
      <c r="AP2247" s="19"/>
      <c r="AQ2247" s="19"/>
      <c r="AR2247" s="100"/>
      <c r="AS2247" s="93"/>
      <c r="AT2247" s="109"/>
      <c r="AU2247" t="str">
        <f>$Q$2201</f>
        <v>Roof</v>
      </c>
      <c r="AV2247">
        <f>$E$25</f>
        <v>33.171875</v>
      </c>
      <c r="AW2247" cm="1">
        <f t="array" ref="AW2247">IFERROR(IF(AV2247=0,0,(INDEX($C$33:$C$38,MATCH($AZ$2209,$B$33:$B$38,0),0)*(AV2247+$BA$2209)+$AY$2209*$C$31)*$AU$2209),0)</f>
        <v>0</v>
      </c>
      <c r="AX2247">
        <f>IF(AV2247=0,0,-$AY$2209*$C$31*$H$27*$AU$2209)</f>
        <v>0</v>
      </c>
      <c r="AY2247">
        <f>IF(AV2247=0,0,$AY$2209*$H$26*$AU$2209)</f>
        <v>0</v>
      </c>
      <c r="AZ2247">
        <f>(0.6*AW2247+0.7*AX2247)*$AU$2209/2</f>
        <v>0</v>
      </c>
      <c r="BA2247">
        <f>AW2247*$AU$2209/2</f>
        <v>0</v>
      </c>
      <c r="BC2247">
        <f>IF(AV2247=0,0,$BG$2209*$AP$2201)</f>
        <v>0</v>
      </c>
      <c r="BD2247">
        <f>IFERROR(BC2247/$AU$2209,0)</f>
        <v>0</v>
      </c>
      <c r="BE2247">
        <f>BC2247*($F$25+($C$16+$C$17+IF($C$13="single",1.5,3)+3)/12)</f>
        <v>0</v>
      </c>
      <c r="BF2247">
        <f>BE2247-AZ2247</f>
        <v>0</v>
      </c>
      <c r="BG2247" cm="1">
        <f t="array" ref="BG2247">IFERROR(IF(BF2247&lt;0,0,BF2247/($AU$2209-INDEX(hd_off,MATCH(BT2247,hd_mark,0),0)/12)),0)</f>
        <v>0</v>
      </c>
      <c r="BH2247">
        <f>IF(AV2247=0,0,$BG$2209*$AM$2201)</f>
        <v>0</v>
      </c>
      <c r="BI2247">
        <f>IFERROR(BH2247/$AU$2209,0)</f>
        <v>0</v>
      </c>
      <c r="BJ2247">
        <f>BH2247*($F$25+($C$16+$C$17+IF($C$13="single",1.5,3)+3)/12)</f>
        <v>0</v>
      </c>
      <c r="BK2247">
        <f>BJ2247-BA2247</f>
        <v>0</v>
      </c>
      <c r="BL2247" cm="1">
        <f t="array" ref="BL2247">IFERROR(IF(BK2247&lt;0,0,BK2247/($AU$2209-INDEX(hd_off,MATCH(BT2247,hd_mark,0),0)/12)),0)</f>
        <v>0</v>
      </c>
      <c r="BM2247">
        <f>MAX($F$25,$BF$2209)/$Q$2228</f>
        <v>0.29920977011494249</v>
      </c>
      <c r="BN2247">
        <f t="shared" si="1396"/>
        <v>1</v>
      </c>
      <c r="BO2247" cm="1">
        <f t="array" ref="BO2247">IFERROR(INDEX(sheath_ecap_asd,MATCH(BS2247,sheath_mark,0),0)*BN2247,0)</f>
        <v>0</v>
      </c>
      <c r="BP2247" cm="1">
        <f t="array" ref="BP2247">IFERROR(INDEX(sheath_wcap_asd,MATCH(BS2247,sheath_mark,0),0)*BN2247,0)</f>
        <v>0</v>
      </c>
      <c r="BQ2247" cm="1">
        <f t="array" ref="BQ2247">IFERROR(INDEX(hd_cap,MATCH(BT2247,hd_mark,0),0),0)</f>
        <v>0</v>
      </c>
      <c r="BS2247" s="19"/>
      <c r="BT2247" s="19"/>
      <c r="BU2247" s="100"/>
    </row>
    <row r="2248" x14ac:dyDescent="0.25">
      <c r="P2248" s="93"/>
      <c r="AR2248" s="100"/>
      <c r="AS2248" s="93"/>
      <c r="BU2248" s="100"/>
    </row>
    <row r="2249" x14ac:dyDescent="0.25">
      <c r="P2249" s="93"/>
      <c r="Q2249" s="110" t="str">
        <f>$Q$2210</f>
        <v>A.05</v>
      </c>
      <c r="R2249" t="str">
        <f>$Q$2197</f>
        <v>L2</v>
      </c>
      <c r="S2249">
        <f>$E$21</f>
        <v>10.6875</v>
      </c>
      <c r="T2249" cm="1">
        <f t="array" ref="T2249">IFERROR(IF(S2249=0,0,(INDEX($C$33:$C$38,MATCH($W$2210,$B$33:$B$38,0),0)*(S2253+$X$2210)+$T$2210*COUNTIF(S2249:S2252,"&gt;0")*$C$32+$V$2210*$C$31)*$R$2210),0)</f>
        <v>0</v>
      </c>
      <c r="U2249">
        <f>IF(S2249=0,0,-(COUNTIF(S2249:S2252,"&gt;0")*$T$2210*$C$32+$V$2210*$C$31)*$H$27*$R$2210)</f>
        <v>0</v>
      </c>
      <c r="V2249">
        <f>IF(S2249=0,0,$V$2210*$H$26*$R$2210)</f>
        <v>0</v>
      </c>
      <c r="W2249">
        <f>(0.6*T2249+0.7*U2249)*$R$2210/2</f>
        <v>0</v>
      </c>
      <c r="X2249">
        <f>(0.6*T2249+0.6*V2249)*$R$2210/2</f>
        <v>0</v>
      </c>
      <c r="Z2249">
        <f>IF(S2249=0,0,$AD$2210*$AP$2197)</f>
        <v>0</v>
      </c>
      <c r="AA2249">
        <f>IFERROR(Z2249/$R$2210,0)</f>
        <v>0</v>
      </c>
      <c r="AB2249">
        <f>Z2249*($F$21+IF($F$21=0,0,($C$14+$C$15+IF($C$13="single",1.5,3)+3)/12))</f>
        <v>0</v>
      </c>
      <c r="AC2249">
        <f>AB2249-W2249</f>
        <v>0</v>
      </c>
      <c r="AD2249" cm="1">
        <f t="array" ref="AD2249">IFERROR(IF(AC2249&lt;0,0,AC2249/($R$2210-INDEX(hd_off,MATCH(AQ2249,hd_mark,0),0)/12)),0)</f>
        <v>0</v>
      </c>
      <c r="AE2249">
        <f>IF(S2249=0,0,$AD$2210*$AM$2197)</f>
        <v>0</v>
      </c>
      <c r="AF2249">
        <f>IFERROR(AE2249/$R$2210,0)</f>
        <v>0</v>
      </c>
      <c r="AG2249">
        <f>AE2249*($F$21+IF($F$21=0,0,($C$14+$C$15+IF($C$13="single",1.5,3)+3)/12))</f>
        <v>0</v>
      </c>
      <c r="AH2249">
        <f>AG2249-X2249</f>
        <v>0</v>
      </c>
      <c r="AI2249" cm="1">
        <f t="array" ref="AI2249">IFERROR(IF(AH2249&lt;0,0,AH2249/($R$2210-INDEX(hd_off,MATCH(AQ2249,hd_mark,0),0)/12)),0)</f>
        <v>0</v>
      </c>
      <c r="AJ2249">
        <f>MAX($F$21,$Y$2210)/$Q$2228</f>
        <v>0.30172413793103448</v>
      </c>
      <c r="AK2249">
        <f>IF(AJ2249=0,0,IF(AJ2249&gt;2,1.25-0.125*AJ2249,1))</f>
        <v>1</v>
      </c>
      <c r="AL2249" cm="1">
        <f t="array" ref="AL2249">IFERROR(INDEX(sheath_ecap_asd,MATCH(AP2249,sheath_mark,0),0)*AK2249,0)</f>
        <v>0</v>
      </c>
      <c r="AM2249" cm="1">
        <f t="array" ref="AM2249">IFERROR(INDEX(sheath_wcap_asd,MATCH(AP2249,sheath_mark,0),0)*AK2249,0)</f>
        <v>0</v>
      </c>
      <c r="AN2249" cm="1">
        <f t="array" ref="AN2249">IFERROR(INDEX(hd_cap,MATCH(AQ2249,hd_mark,0),0),0)</f>
        <v>0</v>
      </c>
      <c r="AP2249" s="19"/>
      <c r="AQ2249" s="19"/>
      <c r="AR2249" s="100"/>
      <c r="AS2249" s="93"/>
      <c r="AT2249" s="110" t="str">
        <f>$AT$2210</f>
        <v>1.05</v>
      </c>
      <c r="AU2249" t="str">
        <f>$Q$2197</f>
        <v>L2</v>
      </c>
      <c r="AV2249">
        <f>$E$21</f>
        <v>10.6875</v>
      </c>
      <c r="AW2249" cm="1">
        <f t="array" ref="AW2249">IFERROR(IF(AV2249=0,0,(INDEX($C$33:$C$38,MATCH($AZ$2210,$B$33:$B$38,0),0)*(AV2253+$BA$2210)+$AW$2210*COUNTIF(AV2249:AV2252,"&gt;0")*$C$32+$AY$2210*$C$31)*$AU$2210),0)</f>
        <v>0</v>
      </c>
      <c r="AX2249">
        <f>IF(AV2249=0,0,-(COUNTIF(AV2249:AV2252,"&gt;0")*$AW$2210*$C$32+$AY$2210*$C$31)*$H$27*$AU$2210)</f>
        <v>0</v>
      </c>
      <c r="AY2249">
        <f>IF(AV2249=0,0,$AY$2210*$H$26*$AU$2210)</f>
        <v>0</v>
      </c>
      <c r="AZ2249">
        <f>(0.6*AW2249+0.7*AX2249)*$AU$2210/2</f>
        <v>0</v>
      </c>
      <c r="BA2249">
        <f>(0.6*AW2249+0.6*AY2249)*$AU$2210/2</f>
        <v>0</v>
      </c>
      <c r="BC2249">
        <f>IF(AV2249=0,0,$BG$2210*$AP$2197)</f>
        <v>0</v>
      </c>
      <c r="BD2249">
        <f>IFERROR(BC2249/$AU$2210,0)</f>
        <v>0</v>
      </c>
      <c r="BE2249">
        <f>BC2249*($F$21+IF($F$21=0,0,($C$14+$C$15+IF($C$13="single",1.5,3)+3)/12))</f>
        <v>0</v>
      </c>
      <c r="BF2249">
        <f>BE2249-AZ2249</f>
        <v>0</v>
      </c>
      <c r="BG2249" cm="1">
        <f t="array" ref="BG2249">IFERROR(IF(BF2249&lt;0,0,BF2249/($AU$2210-INDEX(hd_off,MATCH(BT2249,hd_mark,0),0)/12)),0)</f>
        <v>0</v>
      </c>
      <c r="BH2249">
        <f>IF(AV2249=0,0,$BG$2210*$AM$2197)</f>
        <v>0</v>
      </c>
      <c r="BI2249">
        <f>IFERROR(BH2249/$AU$2210,0)</f>
        <v>0</v>
      </c>
      <c r="BJ2249">
        <f>BH2249*($F$21+IF($F$21=0,0,($C$14+$C$15+IF($C$13="single",1.5,3)+3)/12))</f>
        <v>0</v>
      </c>
      <c r="BK2249">
        <f>BJ2249-BA2249</f>
        <v>0</v>
      </c>
      <c r="BL2249" cm="1">
        <f t="array" ref="BL2249">IFERROR(IF(BK2249&lt;0,0,BK2249/($AU$2210-INDEX(hd_off,MATCH(BT2249,hd_mark,0),0)/12)),0)</f>
        <v>0</v>
      </c>
      <c r="BM2249">
        <f>MAX($F$21,$BB$2210)/$Q$2228</f>
        <v>0.30172413793103448</v>
      </c>
      <c r="BN2249">
        <f>IF(BM2249=0,0,IF(BM2249&gt;2,1.25-0.125*BM2249,1))</f>
        <v>1</v>
      </c>
      <c r="BO2249" cm="1">
        <f t="array" ref="BO2249">IFERROR(INDEX(sheath_ecap_asd,MATCH(BS2249,sheath_mark,0),0)*BN2249,0)</f>
        <v>0</v>
      </c>
      <c r="BP2249" cm="1">
        <f t="array" ref="BP2249">IFERROR(INDEX(sheath_wcap_asd,MATCH(BS2249,sheath_mark,0),0)*BN2249,0)</f>
        <v>0</v>
      </c>
      <c r="BQ2249" cm="1">
        <f t="array" ref="BQ2249">IFERROR(INDEX(hd_cap,MATCH(BT2249,hd_mark,0),0),0)</f>
        <v>0</v>
      </c>
      <c r="BS2249" s="19"/>
      <c r="BT2249" s="19"/>
      <c r="BU2249" s="100"/>
    </row>
    <row r="2250" x14ac:dyDescent="0.25">
      <c r="B2250" s="1"/>
      <c r="P2250" s="93"/>
      <c r="Q2250" s="109"/>
      <c r="R2250" t="str">
        <f>$Q$2198</f>
        <v>L3</v>
      </c>
      <c r="S2250">
        <f>$E$22</f>
        <v>21.375</v>
      </c>
      <c r="T2250" cm="1">
        <f t="array" ref="T2250">IFERROR(IF(S2250=0,0,(INDEX($C$33:$C$38,MATCH($W$2210,$B$33:$B$38,0),0)*(S2253+$X$2210)+$T$2210*COUNTIF(S2250:S2252,"&gt;0")*$C$32+$V$2210*$C$31)*$R$2210),0)</f>
        <v>0</v>
      </c>
      <c r="U2250">
        <f>IF(S2250=0,0,-(COUNTIF(S2250:S2252,"&gt;0")*$T$2210*$C$32+$V$2210*$C$31)*$H$27*$R$2210)</f>
        <v>0</v>
      </c>
      <c r="V2250">
        <f>IF(S2250=0,0,$V$2210*$H$26*$R$2210)</f>
        <v>0</v>
      </c>
      <c r="W2250">
        <f>(0.6*T2250+0.7*U2250)*$R$2210/2</f>
        <v>0</v>
      </c>
      <c r="X2250">
        <f>T2250*$R$2210/2</f>
        <v>0</v>
      </c>
      <c r="Z2250">
        <f>IF(S2250=0,0,$AD$2210*$AP$2198)</f>
        <v>0</v>
      </c>
      <c r="AA2250">
        <f>IFERROR(Z2250/$R$2210,0)</f>
        <v>0</v>
      </c>
      <c r="AB2250">
        <f>Z2250*($F$22+IF($F$22=0,0,($C$14+$C$15+IF($C$13="single",1.5,3)+3)/12))</f>
        <v>0</v>
      </c>
      <c r="AC2250">
        <f>AB2250-W2250</f>
        <v>0</v>
      </c>
      <c r="AD2250" cm="1">
        <f t="array" ref="AD2250">IFERROR(IF(AC2250&lt;0,0,AC2250/($R$2210-INDEX(hd_off,MATCH(AQ2250,hd_mark,0),0)/12)),0)</f>
        <v>0</v>
      </c>
      <c r="AE2250">
        <f>IF(S2250=0,0,$AD$2210*$AM$2198)</f>
        <v>0</v>
      </c>
      <c r="AF2250">
        <f>IFERROR(AE2250/$R$2210,0)</f>
        <v>0</v>
      </c>
      <c r="AG2250">
        <f>AE2250*($F$22+IF($F$22=0,0,($C$14+$C$15+IF($C$13="single",1.5,3)+3)/12))</f>
        <v>0</v>
      </c>
      <c r="AH2250">
        <f>AG2250-X2250</f>
        <v>0</v>
      </c>
      <c r="AI2250" cm="1">
        <f t="array" ref="AI2250">IFERROR(IF(AH2250&lt;0,0,AH2250/($R$2210-INDEX(hd_off,MATCH(AQ2250,hd_mark,0),0)/12)),0)</f>
        <v>0</v>
      </c>
      <c r="AJ2250">
        <f>MAX($F$22,$Z$2210)/$Q$2228</f>
        <v>0.30172413793103448</v>
      </c>
      <c r="AK2250">
        <f t="shared" ref="AK2250:AK2253" si="1397">IF(AJ2250=0,0,IF(AJ2250&gt;2,1.25-0.125*AJ2250,1))</f>
        <v>1</v>
      </c>
      <c r="AL2250" cm="1">
        <f t="array" ref="AL2250">IFERROR(INDEX(sheath_ecap_asd,MATCH(AP2250,sheath_mark,0),0)*AK2250,0)</f>
        <v>0</v>
      </c>
      <c r="AM2250" cm="1">
        <f t="array" ref="AM2250">IFERROR(INDEX(sheath_wcap_asd,MATCH(AP2250,sheath_mark,0),0)*AK2250,0)</f>
        <v>0</v>
      </c>
      <c r="AN2250" cm="1">
        <f t="array" ref="AN2250">IFERROR(INDEX(hd_cap,MATCH(AQ2250,hd_mark,0),0),0)</f>
        <v>0</v>
      </c>
      <c r="AP2250" s="19"/>
      <c r="AQ2250" s="19"/>
      <c r="AR2250" s="100"/>
      <c r="AS2250" s="93"/>
      <c r="AT2250" s="109"/>
      <c r="AU2250" t="str">
        <f>$Q$2198</f>
        <v>L3</v>
      </c>
      <c r="AV2250">
        <f>$E$22</f>
        <v>21.375</v>
      </c>
      <c r="AW2250" cm="1">
        <f t="array" ref="AW2250">IFERROR(IF(AV2250=0,0,(INDEX($C$33:$C$38,MATCH($AZ$2210,$B$33:$B$38,0),0)*(AV2253+$BA$2210)+$AW$2210*COUNTIF(AV2250:AV2252,"&gt;0")*$C$32+$AY$2210*$C$31)*$AU$2210),0)</f>
        <v>0</v>
      </c>
      <c r="AX2250">
        <f>IF(AV2250=0,0,-(COUNTIF(AV2250:AV2252,"&gt;0")*$AW$2210*$C$32+$AY$2210*$C$31)*$H$27*$AU$2210)</f>
        <v>0</v>
      </c>
      <c r="AY2250">
        <f>IF(AV2250=0,0,$AY$2210*$H$26*$AU$2210)</f>
        <v>0</v>
      </c>
      <c r="AZ2250">
        <f>(0.6*AW2250+0.7*AX2250)*$AU$2210/2</f>
        <v>0</v>
      </c>
      <c r="BA2250">
        <f>AW2250*$AU$2210/2</f>
        <v>0</v>
      </c>
      <c r="BC2250">
        <f>IF(AV2250=0,0,$BG$2210*$AP$2198)</f>
        <v>0</v>
      </c>
      <c r="BD2250">
        <f>IFERROR(BC2250/$AU$2210,0)</f>
        <v>0</v>
      </c>
      <c r="BE2250">
        <f>BC2250*($F$22+IF($F$22=0,0,($C$14+$C$15+IF($C$13="single",1.5,3)+3)/12))</f>
        <v>0</v>
      </c>
      <c r="BF2250">
        <f>BE2250-AZ2250</f>
        <v>0</v>
      </c>
      <c r="BG2250" cm="1">
        <f t="array" ref="BG2250">IFERROR(IF(BF2250&lt;0,0,BF2250/($AU$2210-INDEX(hd_off,MATCH(BT2250,hd_mark,0),0)/12)),0)</f>
        <v>0</v>
      </c>
      <c r="BH2250">
        <f>IF(AV2250=0,0,$BG$2210*$AM$2198)</f>
        <v>0</v>
      </c>
      <c r="BI2250">
        <f>IFERROR(BH2250/$AU$2210,0)</f>
        <v>0</v>
      </c>
      <c r="BJ2250">
        <f>BH2250*($F$22+IF($F$22=0,0,($C$14+$C$15+IF($C$13="single",1.5,3)+3)/12))</f>
        <v>0</v>
      </c>
      <c r="BK2250">
        <f>BJ2250-BA2250</f>
        <v>0</v>
      </c>
      <c r="BL2250" cm="1">
        <f t="array" ref="BL2250">IFERROR(IF(BK2250&lt;0,0,BK2250/($AU$2210-INDEX(hd_off,MATCH(BT2250,hd_mark,0),0)/12)),0)</f>
        <v>0</v>
      </c>
      <c r="BM2250">
        <f>MAX($F$22,$BC$2210)/$Q$2228</f>
        <v>0.30172413793103448</v>
      </c>
      <c r="BN2250">
        <f t="shared" ref="BN2250:BN2253" si="1398">IF(BM2250=0,0,IF(BM2250&gt;2,1.25-0.125*BM2250,1))</f>
        <v>1</v>
      </c>
      <c r="BO2250" cm="1">
        <f t="array" ref="BO2250">IFERROR(INDEX(sheath_ecap_asd,MATCH(BS2250,sheath_mark,0),0)*BN2250,0)</f>
        <v>0</v>
      </c>
      <c r="BP2250" cm="1">
        <f t="array" ref="BP2250">IFERROR(INDEX(sheath_wcap_asd,MATCH(BS2250,sheath_mark,0),0)*BN2250,0)</f>
        <v>0</v>
      </c>
      <c r="BQ2250" cm="1">
        <f t="array" ref="BQ2250">IFERROR(INDEX(hd_cap,MATCH(BT2250,hd_mark,0),0),0)</f>
        <v>0</v>
      </c>
      <c r="BS2250" s="19"/>
      <c r="BT2250" s="19"/>
      <c r="BU2250" s="100"/>
    </row>
    <row r="2251" x14ac:dyDescent="0.25">
      <c r="P2251" s="93"/>
      <c r="Q2251" s="109" t="s">
        <v>491</v>
      </c>
      <c r="R2251" t="str">
        <f>$Q$2199</f>
        <v>L4</v>
      </c>
      <c r="S2251">
        <f>$E$23</f>
        <v>0</v>
      </c>
      <c r="T2251" cm="1">
        <f t="array" ref="T2251">IFERROR(IF(S2251=0,0,(INDEX($C$33:$C$38,MATCH($W$2210,$B$33:$B$38,0),0)*(S2253+$X$2210)+$T$2210*COUNTIF(S2251:S2252,"&gt;0")*$C$32+$V$2210*$C$31)*$R$2210),0)</f>
        <v>0</v>
      </c>
      <c r="U2251">
        <f>IF(S2251=0,0,-(COUNTIF(S2251:S2252,"&gt;0")*$T$2210*$C$32+$V$2210*$C$31)*$H$27*$R$2210)</f>
        <v>0</v>
      </c>
      <c r="V2251">
        <f>IF(S2251=0,0,$V$2210*$H$26*$R$2210)</f>
        <v>0</v>
      </c>
      <c r="W2251">
        <f>(0.6*T2251+0.7*U2251)*$R$2210/2</f>
        <v>0</v>
      </c>
      <c r="X2251">
        <f>T2251*$R$2210/2</f>
        <v>0</v>
      </c>
      <c r="Z2251">
        <f>IF(S2251=0,0,$AD$2210*$AP$2199)</f>
        <v>0</v>
      </c>
      <c r="AA2251">
        <f>IFERROR(Z2251/$R$2210,0)</f>
        <v>0</v>
      </c>
      <c r="AB2251">
        <f>Z2251*($F$23+IF($F$23=0,0,($C$14+$C$15+IF($C$13="single",1.5,3)+3)/12))</f>
        <v>0</v>
      </c>
      <c r="AC2251">
        <f>AB2251-W2251</f>
        <v>0</v>
      </c>
      <c r="AD2251" cm="1">
        <f t="array" ref="AD2251">IFERROR(IF(AC2251&lt;0,0,AC2251/($R$2210-INDEX(hd_off,MATCH(AQ2251,hd_mark,0),0)/12)),0)</f>
        <v>0</v>
      </c>
      <c r="AE2251">
        <f>IF(S2251=0,0,$AD$2210*$AM$2199)</f>
        <v>0</v>
      </c>
      <c r="AF2251">
        <f>IFERROR(AE2251/$R$2210,0)</f>
        <v>0</v>
      </c>
      <c r="AG2251">
        <f>AE2251*($F$23+IF($F$23=0,0,($C$14+$C$15+IF($C$13="single",1.5,3)+3)/12))</f>
        <v>0</v>
      </c>
      <c r="AH2251">
        <f>AG2251-X2251</f>
        <v>0</v>
      </c>
      <c r="AI2251" cm="1">
        <f t="array" ref="AI2251">IFERROR(IF(AH2251&lt;0,0,AH2251/($R$2210-INDEX(hd_off,MATCH(AQ2251,hd_mark,0),0)/12)),0)</f>
        <v>0</v>
      </c>
      <c r="AJ2251">
        <f>MAX($F$23,$AA$2210)/$Q$2228</f>
        <v>0</v>
      </c>
      <c r="AK2251">
        <f t="shared" si="1397"/>
        <v>0</v>
      </c>
      <c r="AL2251" cm="1">
        <f t="array" ref="AL2251">IFERROR(INDEX(sheath_ecap_asd,MATCH(AP2251,sheath_mark,0),0)*AK2251,0)</f>
        <v>0</v>
      </c>
      <c r="AM2251" cm="1">
        <f t="array" ref="AM2251">IFERROR(INDEX(sheath_wcap_asd,MATCH(AP2251,sheath_mark,0),0)*AK2251,0)</f>
        <v>0</v>
      </c>
      <c r="AN2251" cm="1">
        <f t="array" ref="AN2251">IFERROR(INDEX(hd_cap,MATCH(AQ2251,hd_mark,0),0),0)</f>
        <v>0</v>
      </c>
      <c r="AP2251" s="19"/>
      <c r="AQ2251" s="19"/>
      <c r="AR2251" s="100"/>
      <c r="AS2251" s="93"/>
      <c r="AT2251" s="109" t="s">
        <v>491</v>
      </c>
      <c r="AU2251" t="str">
        <f>$Q$2199</f>
        <v>L4</v>
      </c>
      <c r="AV2251">
        <f>$E$23</f>
        <v>0</v>
      </c>
      <c r="AW2251" cm="1">
        <f t="array" ref="AW2251">IFERROR(IF(AV2251=0,0,(INDEX($C$33:$C$38,MATCH($AZ$2210,$B$33:$B$38,0),0)*(AV2253+$BA$2210)+$AW$2210*COUNTIF(AV2251:AV2252,"&gt;0")*$C$32+$AY$2210*$C$31)*$AU$2210),0)</f>
        <v>0</v>
      </c>
      <c r="AX2251">
        <f>IF(AV2251=0,0,-(COUNTIF(AV2251:AV2252,"&gt;0")*$AW$2210*$C$32+$AY$2210*$C$31)*$H$27*$AU$2210)</f>
        <v>0</v>
      </c>
      <c r="AY2251">
        <f>IF(AV2251=0,0,$AY$2210*$H$26*$AU$2210)</f>
        <v>0</v>
      </c>
      <c r="AZ2251">
        <f>(0.6*AW2251+0.7*AX2251)*$AU$2210/2</f>
        <v>0</v>
      </c>
      <c r="BA2251">
        <f>AW2251*$AU$2210/2</f>
        <v>0</v>
      </c>
      <c r="BC2251">
        <f>IF(AV2251=0,0,$BG$2210*$AP$2199)</f>
        <v>0</v>
      </c>
      <c r="BD2251">
        <f>IFERROR(BC2251/$AU$2210,0)</f>
        <v>0</v>
      </c>
      <c r="BE2251">
        <f>BC2251*($F$23+IF($F$23=0,0,($C$14+$C$15+IF($C$13="single",1.5,3)+3)/12))</f>
        <v>0</v>
      </c>
      <c r="BF2251">
        <f>BE2251-AZ2251</f>
        <v>0</v>
      </c>
      <c r="BG2251" cm="1">
        <f t="array" ref="BG2251">IFERROR(IF(BF2251&lt;0,0,BF2251/($AU$2210-INDEX(hd_off,MATCH(BT2251,hd_mark,0),0)/12)),0)</f>
        <v>0</v>
      </c>
      <c r="BH2251">
        <f>IF(AV2251=0,0,$BG$2210*$AM$2199)</f>
        <v>0</v>
      </c>
      <c r="BI2251">
        <f>IFERROR(BH2251/$AU$2210,0)</f>
        <v>0</v>
      </c>
      <c r="BJ2251">
        <f>BH2251*($F$23+IF($F$23=0,0,($C$14+$C$15+IF($C$13="single",1.5,3)+3)/12))</f>
        <v>0</v>
      </c>
      <c r="BK2251">
        <f>BJ2251-BA2251</f>
        <v>0</v>
      </c>
      <c r="BL2251" cm="1">
        <f t="array" ref="BL2251">IFERROR(IF(BK2251&lt;0,0,BK2251/($AU$2210-INDEX(hd_off,MATCH(BT2251,hd_mark,0),0)/12)),0)</f>
        <v>0</v>
      </c>
      <c r="BM2251">
        <f>MAX($F$23,$BD$2210)/$Q$2228</f>
        <v>0</v>
      </c>
      <c r="BN2251">
        <f t="shared" si="1398"/>
        <v>0</v>
      </c>
      <c r="BO2251" cm="1">
        <f t="array" ref="BO2251">IFERROR(INDEX(sheath_ecap_asd,MATCH(BS2251,sheath_mark,0),0)*BN2251,0)</f>
        <v>0</v>
      </c>
      <c r="BP2251" cm="1">
        <f t="array" ref="BP2251">IFERROR(INDEX(sheath_wcap_asd,MATCH(BS2251,sheath_mark,0),0)*BN2251,0)</f>
        <v>0</v>
      </c>
      <c r="BQ2251" cm="1">
        <f t="array" ref="BQ2251">IFERROR(INDEX(hd_cap,MATCH(BT2251,hd_mark,0),0),0)</f>
        <v>0</v>
      </c>
      <c r="BS2251" s="19"/>
      <c r="BT2251" s="19"/>
      <c r="BU2251" s="100"/>
    </row>
    <row r="2252" x14ac:dyDescent="0.25">
      <c r="P2252" s="93"/>
      <c r="Q2252" s="111">
        <f>$R$2210</f>
        <v>0</v>
      </c>
      <c r="R2252" t="str">
        <f>$Q$2200</f>
        <v>L5</v>
      </c>
      <c r="S2252">
        <f>$E$24</f>
        <v>0</v>
      </c>
      <c r="T2252" cm="1">
        <f t="array" ref="T2252">IFERROR(IF(S2252=0,0,(INDEX($C$33:$C$38,MATCH($W$2210,$B$33:$B$38,0),0)*(S2253+$X$2210)+$T$2210*COUNTIF(S2252:S2252,"&gt;0")*$C$32+$V$2210*$C$31)*$R$2210),0)</f>
        <v>0</v>
      </c>
      <c r="U2252">
        <f>IF(S2252=0,0,-(COUNTIF(S2252:S2252,"&gt;0")*$T$2210*$C$32+$V$2210*$C$31)*$H$27*$R$2210)</f>
        <v>0</v>
      </c>
      <c r="V2252">
        <f>IF(S2252=0,0,$V$2210*$H$26*$R$2210)</f>
        <v>0</v>
      </c>
      <c r="W2252">
        <f>(0.6*T2252+0.7*U2252)*$R$2210/2</f>
        <v>0</v>
      </c>
      <c r="X2252">
        <f>T2252*$R$2210/2</f>
        <v>0</v>
      </c>
      <c r="Z2252">
        <f>IF(S2252=0,0,$AD$2210*$AP$2200)</f>
        <v>0</v>
      </c>
      <c r="AA2252">
        <f>IFERROR(Z2252/$R$2210,0)</f>
        <v>0</v>
      </c>
      <c r="AB2252">
        <f>Z2252*($F$24+IF($F$24=0,0,($C$14+$C$15+IF($C$13="single",1.5,3)+3)/12))</f>
        <v>0</v>
      </c>
      <c r="AC2252">
        <f>AB2252-W2252</f>
        <v>0</v>
      </c>
      <c r="AD2252" cm="1">
        <f t="array" ref="AD2252">IFERROR(IF(AC2252&lt;0,0,AC2252/($R$2210-INDEX(hd_off,MATCH(AQ2252,hd_mark,0),0)/12)),0)</f>
        <v>0</v>
      </c>
      <c r="AE2252">
        <f>IF(S2252=0,0,$AD$2210*$AM$2200)</f>
        <v>0</v>
      </c>
      <c r="AF2252">
        <f>IFERROR(AE2252/$R$2210,0)</f>
        <v>0</v>
      </c>
      <c r="AG2252">
        <f>AE2252*($F$24+IF($F$24=0,0,($C$14+$C$15+IF($C$13="single",1.5,3)+3)/12))</f>
        <v>0</v>
      </c>
      <c r="AH2252">
        <f>AG2252-X2252</f>
        <v>0</v>
      </c>
      <c r="AI2252" cm="1">
        <f t="array" ref="AI2252">IFERROR(IF(AH2252&lt;0,0,AH2252/($R$2210-INDEX(hd_off,MATCH(AQ2252,hd_mark,0),0)/12)),0)</f>
        <v>0</v>
      </c>
      <c r="AJ2252">
        <f>MAX($F$24,$AB$2210)/$Q$2228</f>
        <v>0</v>
      </c>
      <c r="AK2252">
        <f t="shared" si="1397"/>
        <v>0</v>
      </c>
      <c r="AL2252" cm="1">
        <f t="array" ref="AL2252">IFERROR(INDEX(sheath_ecap_asd,MATCH(AP2252,sheath_mark,0),0)*AK2252,0)</f>
        <v>0</v>
      </c>
      <c r="AM2252" cm="1">
        <f t="array" ref="AM2252">IFERROR(INDEX(sheath_wcap_asd,MATCH(AP2252,sheath_mark,0),0)*AK2252,0)</f>
        <v>0</v>
      </c>
      <c r="AN2252" cm="1">
        <f t="array" ref="AN2252">IFERROR(INDEX(hd_cap,MATCH(AQ2252,hd_mark,0),0),0)</f>
        <v>0</v>
      </c>
      <c r="AP2252" s="19"/>
      <c r="AQ2252" s="19"/>
      <c r="AR2252" s="100"/>
      <c r="AS2252" s="93"/>
      <c r="AT2252" s="111">
        <f>$R$2210</f>
        <v>0</v>
      </c>
      <c r="AU2252" t="str">
        <f>$Q$2200</f>
        <v>L5</v>
      </c>
      <c r="AV2252">
        <f>$E$24</f>
        <v>0</v>
      </c>
      <c r="AW2252" cm="1">
        <f t="array" ref="AW2252">IFERROR(IF(AV2252=0,0,(INDEX($C$33:$C$38,MATCH($AZ$2210,$B$33:$B$38,0),0)*(AV2253+$BA$2210)+$AW$2210*COUNTIF(AV2252:AV2252,"&gt;0")*$C$32+$AY$2210*$C$31)*$AU$2210),0)</f>
        <v>0</v>
      </c>
      <c r="AX2252">
        <f>IF(AV2252=0,0,-(COUNTIF(AV2252:AV2252,"&gt;0")*$AW$2210*$C$32+$AY$2210*$C$31)*$H$27*$AU$2210)</f>
        <v>0</v>
      </c>
      <c r="AY2252">
        <f>IF(AV2252=0,0,$AY$2210*$H$26*$AU$2210)</f>
        <v>0</v>
      </c>
      <c r="AZ2252">
        <f>(0.6*AW2252+0.7*AX2252)*$AU$2210/2</f>
        <v>0</v>
      </c>
      <c r="BA2252">
        <f>AW2252*$AU$2210/2</f>
        <v>0</v>
      </c>
      <c r="BC2252">
        <f>IF(AV2252=0,0,$BG$2210*$AP$2200)</f>
        <v>0</v>
      </c>
      <c r="BD2252">
        <f>IFERROR(BC2252/$AU$2210,0)</f>
        <v>0</v>
      </c>
      <c r="BE2252">
        <f>BC2252*($F$24+IF($F$24=0,0,($C$14+$C$15+IF($C$13="single",1.5,3)+3)/12))</f>
        <v>0</v>
      </c>
      <c r="BF2252">
        <f>BE2252-AZ2252</f>
        <v>0</v>
      </c>
      <c r="BG2252" cm="1">
        <f t="array" ref="BG2252">IFERROR(IF(BF2252&lt;0,0,BF2252/($AU$2210-INDEX(hd_off,MATCH(BT2252,hd_mark,0),0)/12)),0)</f>
        <v>0</v>
      </c>
      <c r="BH2252">
        <f>IF(AV2252=0,0,$BG$2210*$AM$2200)</f>
        <v>0</v>
      </c>
      <c r="BI2252">
        <f>IFERROR(BH2252/$AU$2210,0)</f>
        <v>0</v>
      </c>
      <c r="BJ2252">
        <f>BH2252*($F$24+IF($F$24=0,0,($C$14+$C$15+IF($C$13="single",1.5,3)+3)/12))</f>
        <v>0</v>
      </c>
      <c r="BK2252">
        <f>BJ2252-BA2252</f>
        <v>0</v>
      </c>
      <c r="BL2252" cm="1">
        <f t="array" ref="BL2252">IFERROR(IF(BK2252&lt;0,0,BK2252/($AU$2210-INDEX(hd_off,MATCH(BT2252,hd_mark,0),0)/12)),0)</f>
        <v>0</v>
      </c>
      <c r="BM2252">
        <f>MAX($F$24,$BE$2210)/$Q$2228</f>
        <v>0</v>
      </c>
      <c r="BN2252">
        <f t="shared" si="1398"/>
        <v>0</v>
      </c>
      <c r="BO2252" cm="1">
        <f t="array" ref="BO2252">IFERROR(INDEX(sheath_ecap_asd,MATCH(BS2252,sheath_mark,0),0)*BN2252,0)</f>
        <v>0</v>
      </c>
      <c r="BP2252" cm="1">
        <f t="array" ref="BP2252">IFERROR(INDEX(sheath_wcap_asd,MATCH(BS2252,sheath_mark,0),0)*BN2252,0)</f>
        <v>0</v>
      </c>
      <c r="BQ2252" cm="1">
        <f t="array" ref="BQ2252">IFERROR(INDEX(hd_cap,MATCH(BT2252,hd_mark,0),0),0)</f>
        <v>0</v>
      </c>
      <c r="BS2252" s="19"/>
      <c r="BT2252" s="19"/>
      <c r="BU2252" s="100"/>
    </row>
    <row r="2253" x14ac:dyDescent="0.25">
      <c r="P2253" s="93"/>
      <c r="Q2253" s="109"/>
      <c r="R2253" t="str">
        <f>$Q$2201</f>
        <v>Roof</v>
      </c>
      <c r="S2253">
        <f>$E$25</f>
        <v>33.171875</v>
      </c>
      <c r="T2253" cm="1">
        <f t="array" ref="T2253">IFERROR(IF(S2253=0,0,(INDEX($C$33:$C$38,MATCH($W$2210,$B$33:$B$38,0),0)*(S2253+$X$2210)+$V$2210*$C$31)*$R$2210),0)</f>
        <v>0</v>
      </c>
      <c r="U2253">
        <f>IF(S2253=0,0,-$V$2210*$C$31*$H$27*$R$2210)</f>
        <v>0</v>
      </c>
      <c r="V2253">
        <f>IF(S2253=0,0,$V$2210*$H$26*$R$2210)</f>
        <v>0</v>
      </c>
      <c r="W2253">
        <f>(0.6*T2253+0.7*U2253)*$R$2210/2</f>
        <v>0</v>
      </c>
      <c r="X2253">
        <f>T2253*$R$2210/2</f>
        <v>0</v>
      </c>
      <c r="Z2253">
        <f>IF(S2253=0,0,$AD$2210*$AP$2201)</f>
        <v>0</v>
      </c>
      <c r="AA2253">
        <f>IFERROR(Z2253/$R$2210,0)</f>
        <v>0</v>
      </c>
      <c r="AB2253">
        <f>Z2253*($F$25+($C$16+$C$17+IF($C$13="single",1.5,3)+3)/12)</f>
        <v>0</v>
      </c>
      <c r="AC2253">
        <f>AB2253-W2253</f>
        <v>0</v>
      </c>
      <c r="AD2253" cm="1">
        <f t="array" ref="AD2253">IFERROR(IF(AC2253&lt;0,0,AC2253/($R$2210-INDEX(hd_off,MATCH(AQ2253,hd_mark,0),0)/12)),0)</f>
        <v>0</v>
      </c>
      <c r="AE2253">
        <f>IF(S2253=0,0,$AD$2210*$AM$2201)</f>
        <v>0</v>
      </c>
      <c r="AF2253">
        <f>IFERROR(AE2253/$R$2210,0)</f>
        <v>0</v>
      </c>
      <c r="AG2253">
        <f>AE2253*($F$25+($C$16+$C$17+IF($C$13="single",1.5,3)+3)/12)</f>
        <v>0</v>
      </c>
      <c r="AH2253">
        <f>AG2253-X2253</f>
        <v>0</v>
      </c>
      <c r="AI2253" cm="1">
        <f t="array" ref="AI2253">IFERROR(IF(AH2253&lt;0,0,AH2253/($R$2210-INDEX(hd_off,MATCH(AQ2253,hd_mark,0),0)/12)),0)</f>
        <v>0</v>
      </c>
      <c r="AJ2253">
        <f>MAX($F$25,$AC$2210)/$Q$2228</f>
        <v>0.29920977011494249</v>
      </c>
      <c r="AK2253">
        <f t="shared" si="1397"/>
        <v>1</v>
      </c>
      <c r="AL2253" cm="1">
        <f t="array" ref="AL2253">IFERROR(INDEX(sheath_ecap_asd,MATCH(AP2253,sheath_mark,0),0)*AK2253,0)</f>
        <v>0</v>
      </c>
      <c r="AM2253" cm="1">
        <f t="array" ref="AM2253">IFERROR(INDEX(sheath_wcap_asd,MATCH(AP2253,sheath_mark,0),0)*AK2253,0)</f>
        <v>0</v>
      </c>
      <c r="AN2253" cm="1">
        <f t="array" ref="AN2253">IFERROR(INDEX(hd_cap,MATCH(AQ2253,hd_mark,0),0),0)</f>
        <v>0</v>
      </c>
      <c r="AP2253" s="19"/>
      <c r="AQ2253" s="19"/>
      <c r="AR2253" s="100"/>
      <c r="AS2253" s="93"/>
      <c r="AT2253" s="109"/>
      <c r="AU2253" t="str">
        <f>$Q$2201</f>
        <v>Roof</v>
      </c>
      <c r="AV2253">
        <f>$E$25</f>
        <v>33.171875</v>
      </c>
      <c r="AW2253" cm="1">
        <f t="array" ref="AW2253">IFERROR(IF(AV2253=0,0,(INDEX($C$33:$C$38,MATCH($AZ$2210,$B$33:$B$38,0),0)*(AV2253+$BA$2210)+$AY$2210*$C$31)*$AU$2210),0)</f>
        <v>0</v>
      </c>
      <c r="AX2253">
        <f>IF(AV2253=0,0,-$AY$2210*$C$31*$H$27*$AU$2210)</f>
        <v>0</v>
      </c>
      <c r="AY2253">
        <f>IF(AV2253=0,0,$AY$2210*$H$26*$AU$2210)</f>
        <v>0</v>
      </c>
      <c r="AZ2253">
        <f>(0.6*AW2253+0.7*AX2253)*$AU$2210/2</f>
        <v>0</v>
      </c>
      <c r="BA2253">
        <f>AW2253*$AU$2210/2</f>
        <v>0</v>
      </c>
      <c r="BC2253">
        <f>IF(AV2253=0,0,$BG$2210*$AP$2201)</f>
        <v>0</v>
      </c>
      <c r="BD2253">
        <f>IFERROR(BC2253/$AU$2210,0)</f>
        <v>0</v>
      </c>
      <c r="BE2253">
        <f>BC2253*($F$25+($C$16+$C$17+IF($C$13="single",1.5,3)+3)/12)</f>
        <v>0</v>
      </c>
      <c r="BF2253">
        <f>BE2253-AZ2253</f>
        <v>0</v>
      </c>
      <c r="BG2253" cm="1">
        <f t="array" ref="BG2253">IFERROR(IF(BF2253&lt;0,0,BF2253/($AU$2210-INDEX(hd_off,MATCH(BT2253,hd_mark,0),0)/12)),0)</f>
        <v>0</v>
      </c>
      <c r="BH2253">
        <f>IF(AV2253=0,0,$BG$2210*$AM$2201)</f>
        <v>0</v>
      </c>
      <c r="BI2253">
        <f>IFERROR(BH2253/$AU$2210,0)</f>
        <v>0</v>
      </c>
      <c r="BJ2253">
        <f>BH2253*($F$25+($C$16+$C$17+IF($C$13="single",1.5,3)+3)/12)</f>
        <v>0</v>
      </c>
      <c r="BK2253">
        <f>BJ2253-BA2253</f>
        <v>0</v>
      </c>
      <c r="BL2253" cm="1">
        <f t="array" ref="BL2253">IFERROR(IF(BK2253&lt;0,0,BK2253/($AU$2210-INDEX(hd_off,MATCH(BT2253,hd_mark,0),0)/12)),0)</f>
        <v>0</v>
      </c>
      <c r="BM2253">
        <f>MAX($F$25,$BF$2210)/$Q$2228</f>
        <v>0.29920977011494249</v>
      </c>
      <c r="BN2253">
        <f t="shared" si="1398"/>
        <v>1</v>
      </c>
      <c r="BO2253" cm="1">
        <f t="array" ref="BO2253">IFERROR(INDEX(sheath_ecap_asd,MATCH(BS2253,sheath_mark,0),0)*BN2253,0)</f>
        <v>0</v>
      </c>
      <c r="BP2253" cm="1">
        <f t="array" ref="BP2253">IFERROR(INDEX(sheath_wcap_asd,MATCH(BS2253,sheath_mark,0),0)*BN2253,0)</f>
        <v>0</v>
      </c>
      <c r="BQ2253" cm="1">
        <f t="array" ref="BQ2253">IFERROR(INDEX(hd_cap,MATCH(BT2253,hd_mark,0),0),0)</f>
        <v>0</v>
      </c>
      <c r="BS2253" s="19"/>
      <c r="BT2253" s="19"/>
      <c r="BU2253" s="100"/>
    </row>
    <row r="2254" x14ac:dyDescent="0.25">
      <c r="P2254" s="93"/>
      <c r="AR2254" s="100"/>
      <c r="AS2254" s="93"/>
      <c r="BU2254" s="100"/>
    </row>
    <row r="2255" x14ac:dyDescent="0.25">
      <c r="P2255" s="93"/>
      <c r="Q2255" s="110" t="str">
        <f>$Q$2211</f>
        <v>A.06</v>
      </c>
      <c r="R2255" t="str">
        <f>$Q$2197</f>
        <v>L2</v>
      </c>
      <c r="S2255">
        <f>$E$21</f>
        <v>10.6875</v>
      </c>
      <c r="T2255" cm="1">
        <f t="array" ref="T2255">IFERROR(IF(S2255=0,0,(INDEX($C$33:$C$38,MATCH($W$2211,$B$33:$B$38,0),0)*(S2259+$X$2211)+$T$2211*COUNTIF(S2255:S2258,"&gt;0")*$C$32+$V$2211*$C$31)*$R$2211),0)</f>
        <v>0</v>
      </c>
      <c r="U2255">
        <f>IF(S2255=0,0,-(COUNTIF(S2255:S2258,"&gt;0")*$T$2211*$C$32+$V$2211*$C$31)*$H$27*$R$2211)</f>
        <v>0</v>
      </c>
      <c r="V2255">
        <f>IF(S2255=0,0,$V$2211*$H$26*$R$2211)</f>
        <v>0</v>
      </c>
      <c r="W2255">
        <f>(0.6*T2255+0.7*U2255)*$R$2211/2</f>
        <v>0</v>
      </c>
      <c r="X2255">
        <f>(0.6*T2255+0.6*V2255)*$R$2211/2</f>
        <v>0</v>
      </c>
      <c r="Z2255">
        <f>IF(S2255=0,0,$AD$2211*$AP$2197)</f>
        <v>0</v>
      </c>
      <c r="AA2255">
        <f>IFERROR(Z2255/$R$2211,0)</f>
        <v>0</v>
      </c>
      <c r="AB2255">
        <f>Z2255*($F$21+IF($F$21=0,0,($C$14+$C$15+IF($C$13="single",1.5,3)+3)/12))</f>
        <v>0</v>
      </c>
      <c r="AC2255">
        <f>AB2255-W2255</f>
        <v>0</v>
      </c>
      <c r="AD2255" cm="1">
        <f t="array" ref="AD2255">IFERROR(IF(AC2255&lt;0,0,AC2255/($R$2211-INDEX(hd_off,MATCH(AQ2255,hd_mark,0),0)/12)),0)</f>
        <v>0</v>
      </c>
      <c r="AE2255">
        <f>IF(S2255=0,0,$AD$2211*$AM$2197)</f>
        <v>0</v>
      </c>
      <c r="AF2255">
        <f>IFERROR(AE2255/$R$2211,0)</f>
        <v>0</v>
      </c>
      <c r="AG2255">
        <f>AE2255*($F$21+IF($F$21=0,0,($C$14+$C$15+IF($C$13="single",1.5,3)+3)/12))</f>
        <v>0</v>
      </c>
      <c r="AH2255">
        <f>AG2255-X2255</f>
        <v>0</v>
      </c>
      <c r="AI2255" cm="1">
        <f t="array" ref="AI2255">IFERROR(IF(AH2255&lt;0,0,AH2255/($R$2211-INDEX(hd_off,MATCH(AQ2255,hd_mark,0),0)/12)),0)</f>
        <v>0</v>
      </c>
      <c r="AJ2255">
        <f>MAX($F$21,$Y$2211)/$Q$2228</f>
        <v>0.30172413793103448</v>
      </c>
      <c r="AK2255">
        <f>IF(AJ2255=0,0,IF(AJ2255&gt;2,1.25-0.125*AJ2255,1))</f>
        <v>1</v>
      </c>
      <c r="AL2255" cm="1">
        <f t="array" ref="AL2255">IFERROR(INDEX(sheath_ecap_asd,MATCH(AP2255,sheath_mark,0),0)*AK2255,0)</f>
        <v>0</v>
      </c>
      <c r="AM2255" cm="1">
        <f t="array" ref="AM2255">IFERROR(INDEX(sheath_wcap_asd,MATCH(AP2255,sheath_mark,0),0)*AK2255,0)</f>
        <v>0</v>
      </c>
      <c r="AN2255" cm="1">
        <f t="array" ref="AN2255">IFERROR(INDEX(hd_cap,MATCH(AQ2255,hd_mark,0),0),0)</f>
        <v>0</v>
      </c>
      <c r="AP2255" s="19"/>
      <c r="AQ2255" s="19"/>
      <c r="AR2255" s="100"/>
      <c r="AS2255" s="93"/>
      <c r="AT2255" s="110" t="str">
        <f>$AT$2211</f>
        <v>1.06</v>
      </c>
      <c r="AU2255" t="str">
        <f>$Q$2197</f>
        <v>L2</v>
      </c>
      <c r="AV2255">
        <f>$E$21</f>
        <v>10.6875</v>
      </c>
      <c r="AW2255" cm="1">
        <f t="array" ref="AW2255">IFERROR(IF(AV2255=0,0,(INDEX($C$33:$C$38,MATCH($AZ$2211,$B$33:$B$38,0),0)*(AV2259+$BA$2211)+$AW$2211*COUNTIF(AV2255:AV2258,"&gt;0")*$C$32+$AY$2211*$C$31)*$AU$2211),0)</f>
        <v>0</v>
      </c>
      <c r="AX2255">
        <f>IF(AV2255=0,0,-(COUNTIF(AV2255:AV2258,"&gt;0")*$AW$2211*$C$32+$AY$2211*$C$31)*$H$27*$AU$2211)</f>
        <v>0</v>
      </c>
      <c r="AY2255">
        <f>IF(AV2255=0,0,$AY$2211*$H$26*$AU$2211)</f>
        <v>0</v>
      </c>
      <c r="AZ2255">
        <f>(0.6*AW2255+0.7*AX2255)*$AU$2211/2</f>
        <v>0</v>
      </c>
      <c r="BA2255">
        <f>(0.6*AW2255+0.6*AY2255)*$AU$2211/2</f>
        <v>0</v>
      </c>
      <c r="BC2255">
        <f>IF(AV2255=0,0,$BG$2211*$AP$2197)</f>
        <v>0</v>
      </c>
      <c r="BD2255">
        <f>IFERROR(BC2255/$AU$2211,0)</f>
        <v>0</v>
      </c>
      <c r="BE2255">
        <f>BC2255*($F$21+IF($F$21=0,0,($C$14+$C$15+IF($C$13="single",1.5,3)+3)/12))</f>
        <v>0</v>
      </c>
      <c r="BF2255">
        <f>BE2255-AZ2255</f>
        <v>0</v>
      </c>
      <c r="BG2255" cm="1">
        <f t="array" ref="BG2255">IFERROR(IF(BF2255&lt;0,0,BF2255/($AU$2211-INDEX(hd_off,MATCH(BT2255,hd_mark,0),0)/12)),0)</f>
        <v>0</v>
      </c>
      <c r="BH2255">
        <f>IF(AV2255=0,0,$BG$2211*$AM$2197)</f>
        <v>0</v>
      </c>
      <c r="BI2255">
        <f>IFERROR(BH2255/$AU$2211,0)</f>
        <v>0</v>
      </c>
      <c r="BJ2255">
        <f>BH2255*($F$21+IF($F$21=0,0,($C$14+$C$15+IF($C$13="single",1.5,3)+3)/12))</f>
        <v>0</v>
      </c>
      <c r="BK2255">
        <f>BJ2255-BA2255</f>
        <v>0</v>
      </c>
      <c r="BL2255" cm="1">
        <f t="array" ref="BL2255">IFERROR(IF(BK2255&lt;0,0,BK2255/($AU$2211-INDEX(hd_off,MATCH(BT2255,hd_mark,0),0)/12)),0)</f>
        <v>0</v>
      </c>
      <c r="BM2255">
        <f>MAX($F$21,$BB$2211)/$Q$2228</f>
        <v>0.30172413793103448</v>
      </c>
      <c r="BN2255">
        <f>IF(BM2255=0,0,IF(BM2255&gt;2,1.25-0.125*BM2255,1))</f>
        <v>1</v>
      </c>
      <c r="BO2255" cm="1">
        <f t="array" ref="BO2255">IFERROR(INDEX(sheath_ecap_asd,MATCH(BS2255,sheath_mark,0),0)*BN2255,0)</f>
        <v>0</v>
      </c>
      <c r="BP2255" cm="1">
        <f t="array" ref="BP2255">IFERROR(INDEX(sheath_wcap_asd,MATCH(BS2255,sheath_mark,0),0)*BN2255,0)</f>
        <v>0</v>
      </c>
      <c r="BQ2255" cm="1">
        <f t="array" ref="BQ2255">IFERROR(INDEX(hd_cap,MATCH(BT2255,hd_mark,0),0),0)</f>
        <v>0</v>
      </c>
      <c r="BS2255" s="19"/>
      <c r="BT2255" s="19"/>
      <c r="BU2255" s="100"/>
    </row>
    <row r="2256" x14ac:dyDescent="0.25">
      <c r="P2256" s="93"/>
      <c r="Q2256" s="109"/>
      <c r="R2256" t="str">
        <f>$Q$2198</f>
        <v>L3</v>
      </c>
      <c r="S2256">
        <f>$E$22</f>
        <v>21.375</v>
      </c>
      <c r="T2256" cm="1">
        <f t="array" ref="T2256">IFERROR(IF(S2256=0,0,(INDEX($C$33:$C$38,MATCH($W$2211,$B$33:$B$38,0),0)*(S2259+$X$2211)+$T$2211*COUNTIF(S2256:S2258,"&gt;0")*$C$32+$V$2211*$C$31)*$R$2211),0)</f>
        <v>0</v>
      </c>
      <c r="U2256">
        <f>IF(S2256=0,0,-(COUNTIF(S2256:S2258,"&gt;0")*$T$2211*$C$32+$V$2211*$C$31)*$H$27*$R$2211)</f>
        <v>0</v>
      </c>
      <c r="V2256">
        <f>IF(S2256=0,0,$V$2211*$H$26*$R$2211)</f>
        <v>0</v>
      </c>
      <c r="W2256">
        <f>(0.6*T2256+0.7*U2256)*$R$2211/2</f>
        <v>0</v>
      </c>
      <c r="X2256">
        <f>T2256*$R$2211/2</f>
        <v>0</v>
      </c>
      <c r="Z2256">
        <f>IF(S2256=0,0,$AD$2211*$AP$2198)</f>
        <v>0</v>
      </c>
      <c r="AA2256">
        <f>IFERROR(Z2256/$R$2211,0)</f>
        <v>0</v>
      </c>
      <c r="AB2256">
        <f>Z2256*($F$22+IF($F$22=0,0,($C$14+$C$15+IF($C$13="single",1.5,3)+3)/12))</f>
        <v>0</v>
      </c>
      <c r="AC2256">
        <f>AB2256-W2256</f>
        <v>0</v>
      </c>
      <c r="AD2256" cm="1">
        <f t="array" ref="AD2256">IFERROR(IF(AC2256&lt;0,0,AC2256/($R$2211-INDEX(hd_off,MATCH(AQ2256,hd_mark,0),0)/12)),0)</f>
        <v>0</v>
      </c>
      <c r="AE2256">
        <f>IF(S2256=0,0,$AD$2211*$AM$2198)</f>
        <v>0</v>
      </c>
      <c r="AF2256">
        <f>IFERROR(AE2256/$R$2211,0)</f>
        <v>0</v>
      </c>
      <c r="AG2256">
        <f>AE2256*($F$22+IF($F$22=0,0,($C$14+$C$15+IF($C$13="single",1.5,3)+3)/12))</f>
        <v>0</v>
      </c>
      <c r="AH2256">
        <f>AG2256-X2256</f>
        <v>0</v>
      </c>
      <c r="AI2256" cm="1">
        <f t="array" ref="AI2256">IFERROR(IF(AH2256&lt;0,0,AH2256/($R$2211-INDEX(hd_off,MATCH(AQ2256,hd_mark,0),0)/12)),0)</f>
        <v>0</v>
      </c>
      <c r="AJ2256">
        <f>MAX($F$22,$Z$2211)/$Q$2228</f>
        <v>0.30172413793103448</v>
      </c>
      <c r="AK2256">
        <f t="shared" ref="AK2256:AK2259" si="1399">IF(AJ2256=0,0,IF(AJ2256&gt;2,1.25-0.125*AJ2256,1))</f>
        <v>1</v>
      </c>
      <c r="AL2256" cm="1">
        <f t="array" ref="AL2256">IFERROR(INDEX(sheath_ecap_asd,MATCH(AP2256,sheath_mark,0),0)*AK2256,0)</f>
        <v>0</v>
      </c>
      <c r="AM2256" cm="1">
        <f t="array" ref="AM2256">IFERROR(INDEX(sheath_wcap_asd,MATCH(AP2256,sheath_mark,0),0)*AK2256,0)</f>
        <v>0</v>
      </c>
      <c r="AN2256" cm="1">
        <f t="array" ref="AN2256">IFERROR(INDEX(hd_cap,MATCH(AQ2256,hd_mark,0),0),0)</f>
        <v>0</v>
      </c>
      <c r="AP2256" s="19"/>
      <c r="AQ2256" s="19"/>
      <c r="AR2256" s="100"/>
      <c r="AS2256" s="93"/>
      <c r="AT2256" s="109"/>
      <c r="AU2256" t="str">
        <f>$Q$2198</f>
        <v>L3</v>
      </c>
      <c r="AV2256">
        <f>$E$22</f>
        <v>21.375</v>
      </c>
      <c r="AW2256" cm="1">
        <f t="array" ref="AW2256">IFERROR(IF(AV2256=0,0,(INDEX($C$33:$C$38,MATCH($AZ$2211,$B$33:$B$38,0),0)*(AV2259+$BA$2211)+$AW$2211*COUNTIF(AV2256:AV2258,"&gt;0")*$C$32+$AY$2211*$C$31)*$AU$2211),0)</f>
        <v>0</v>
      </c>
      <c r="AX2256">
        <f>IF(AV2256=0,0,-(COUNTIF(AV2256:AV2258,"&gt;0")*$AW$2211*$C$32+$AY$2211*$C$31)*$H$27*$AU$2211)</f>
        <v>0</v>
      </c>
      <c r="AY2256">
        <f>IF(AV2256=0,0,$AY$2211*$H$26*$AU$2211)</f>
        <v>0</v>
      </c>
      <c r="AZ2256">
        <f>(0.6*AW2256+0.7*AX2256)*$AU$2211/2</f>
        <v>0</v>
      </c>
      <c r="BA2256">
        <f>AW2256*$AU$2211/2</f>
        <v>0</v>
      </c>
      <c r="BC2256">
        <f>IF(AV2256=0,0,$BG$2211*$AP$2198)</f>
        <v>0</v>
      </c>
      <c r="BD2256">
        <f>IFERROR(BC2256/$AU$2211,0)</f>
        <v>0</v>
      </c>
      <c r="BE2256">
        <f>BC2256*($F$22+IF($F$22=0,0,($C$14+$C$15+IF($C$13="single",1.5,3)+3)/12))</f>
        <v>0</v>
      </c>
      <c r="BF2256">
        <f>BE2256-AZ2256</f>
        <v>0</v>
      </c>
      <c r="BG2256" cm="1">
        <f t="array" ref="BG2256">IFERROR(IF(BF2256&lt;0,0,BF2256/($AU$2211-INDEX(hd_off,MATCH(BT2256,hd_mark,0),0)/12)),0)</f>
        <v>0</v>
      </c>
      <c r="BH2256">
        <f>IF(AV2256=0,0,$BG$2211*$AM$2198)</f>
        <v>0</v>
      </c>
      <c r="BI2256">
        <f>IFERROR(BH2256/$AU$2211,0)</f>
        <v>0</v>
      </c>
      <c r="BJ2256">
        <f>BH2256*($F$22+IF($F$22=0,0,($C$14+$C$15+IF($C$13="single",1.5,3)+3)/12))</f>
        <v>0</v>
      </c>
      <c r="BK2256">
        <f>BJ2256-BA2256</f>
        <v>0</v>
      </c>
      <c r="BL2256" cm="1">
        <f t="array" ref="BL2256">IFERROR(IF(BK2256&lt;0,0,BK2256/($AU$2211-INDEX(hd_off,MATCH(BT2256,hd_mark,0),0)/12)),0)</f>
        <v>0</v>
      </c>
      <c r="BM2256">
        <f>MAX($F$22,$BC$2211)/$Q$2228</f>
        <v>0.30172413793103448</v>
      </c>
      <c r="BN2256">
        <f t="shared" ref="BN2256:BN2259" si="1400">IF(BM2256=0,0,IF(BM2256&gt;2,1.25-0.125*BM2256,1))</f>
        <v>1</v>
      </c>
      <c r="BO2256" cm="1">
        <f t="array" ref="BO2256">IFERROR(INDEX(sheath_ecap_asd,MATCH(BS2256,sheath_mark,0),0)*BN2256,0)</f>
        <v>0</v>
      </c>
      <c r="BP2256" cm="1">
        <f t="array" ref="BP2256">IFERROR(INDEX(sheath_wcap_asd,MATCH(BS2256,sheath_mark,0),0)*BN2256,0)</f>
        <v>0</v>
      </c>
      <c r="BQ2256" cm="1">
        <f t="array" ref="BQ2256">IFERROR(INDEX(hd_cap,MATCH(BT2256,hd_mark,0),0),0)</f>
        <v>0</v>
      </c>
      <c r="BS2256" s="19"/>
      <c r="BT2256" s="19"/>
      <c r="BU2256" s="100"/>
    </row>
    <row r="2257" x14ac:dyDescent="0.25">
      <c r="P2257" s="93"/>
      <c r="Q2257" s="109" t="s">
        <v>491</v>
      </c>
      <c r="R2257" t="str">
        <f>$Q$2199</f>
        <v>L4</v>
      </c>
      <c r="S2257">
        <f>$E$23</f>
        <v>0</v>
      </c>
      <c r="T2257" cm="1">
        <f t="array" ref="T2257">IFERROR(IF(S2257=0,0,(INDEX($C$33:$C$38,MATCH($W$2211,$B$33:$B$38,0),0)*(S2259+$X$2211)+$T$2211*COUNTIF(S2257:S2258,"&gt;0")*$C$32+$V$2211*$C$31)*$R$2211),0)</f>
        <v>0</v>
      </c>
      <c r="U2257">
        <f>IF(S2257=0,0,-(COUNTIF(S2257:S2258,"&gt;0")*$T$2211*$C$32+$V$2211*$C$31)*$H$27*$R$2211)</f>
        <v>0</v>
      </c>
      <c r="V2257">
        <f>IF(S2257=0,0,$V$2211*$H$26*$R$2211)</f>
        <v>0</v>
      </c>
      <c r="W2257">
        <f>(0.6*T2257+0.7*U2257)*$R$2211/2</f>
        <v>0</v>
      </c>
      <c r="X2257">
        <f>T2257*$R$2211/2</f>
        <v>0</v>
      </c>
      <c r="Z2257">
        <f>IF(S2257=0,0,$AD$2211*$AP$2199)</f>
        <v>0</v>
      </c>
      <c r="AA2257">
        <f>IFERROR(Z2257/$R$2211,0)</f>
        <v>0</v>
      </c>
      <c r="AB2257">
        <f>Z2257*($F$23+IF($F$23=0,0,($C$14+$C$15+IF($C$13="single",1.5,3)+3)/12))</f>
        <v>0</v>
      </c>
      <c r="AC2257">
        <f>AB2257-W2257</f>
        <v>0</v>
      </c>
      <c r="AD2257" cm="1">
        <f t="array" ref="AD2257">IFERROR(IF(AC2257&lt;0,0,AC2257/($R$2211-INDEX(hd_off,MATCH(AQ2257,hd_mark,0),0)/12)),0)</f>
        <v>0</v>
      </c>
      <c r="AE2257">
        <f>IF(S2257=0,0,$AD$2211*$AM$2199)</f>
        <v>0</v>
      </c>
      <c r="AF2257">
        <f>IFERROR(AE2257/$R$2211,0)</f>
        <v>0</v>
      </c>
      <c r="AG2257">
        <f>AE2257*($F$23+IF($F$23=0,0,($C$14+$C$15+IF($C$13="single",1.5,3)+3)/12))</f>
        <v>0</v>
      </c>
      <c r="AH2257">
        <f>AG2257-X2257</f>
        <v>0</v>
      </c>
      <c r="AI2257" cm="1">
        <f t="array" ref="AI2257">IFERROR(IF(AH2257&lt;0,0,AH2257/($R$2211-INDEX(hd_off,MATCH(AQ2257,hd_mark,0),0)/12)),0)</f>
        <v>0</v>
      </c>
      <c r="AJ2257">
        <f>MAX($F$23,$AA$2211)/$Q$2228</f>
        <v>0</v>
      </c>
      <c r="AK2257">
        <f t="shared" si="1399"/>
        <v>0</v>
      </c>
      <c r="AL2257" cm="1">
        <f t="array" ref="AL2257">IFERROR(INDEX(sheath_ecap_asd,MATCH(AP2257,sheath_mark,0),0)*AK2257,0)</f>
        <v>0</v>
      </c>
      <c r="AM2257" cm="1">
        <f t="array" ref="AM2257">IFERROR(INDEX(sheath_wcap_asd,MATCH(AP2257,sheath_mark,0),0)*AK2257,0)</f>
        <v>0</v>
      </c>
      <c r="AN2257" cm="1">
        <f t="array" ref="AN2257">IFERROR(INDEX(hd_cap,MATCH(AQ2257,hd_mark,0),0),0)</f>
        <v>0</v>
      </c>
      <c r="AP2257" s="19"/>
      <c r="AQ2257" s="19"/>
      <c r="AR2257" s="100"/>
      <c r="AS2257" s="93"/>
      <c r="AT2257" s="109" t="s">
        <v>491</v>
      </c>
      <c r="AU2257" t="str">
        <f>$Q$2199</f>
        <v>L4</v>
      </c>
      <c r="AV2257">
        <f>$E$23</f>
        <v>0</v>
      </c>
      <c r="AW2257" cm="1">
        <f t="array" ref="AW2257">IFERROR(IF(AV2257=0,0,(INDEX($C$33:$C$38,MATCH($AZ$2211,$B$33:$B$38,0),0)*(AV2259+$BA$2211)+$AW$2211*COUNTIF(AV2257:AV2258,"&gt;0")*$C$32+$AY$2211*$C$31)*$AU$2211),0)</f>
        <v>0</v>
      </c>
      <c r="AX2257">
        <f>IF(AV2257=0,0,-(COUNTIF(AV2257:AV2258,"&gt;0")*$AW$2211*$C$32+$AY$2211*$C$31)*$H$27*$AU$2211)</f>
        <v>0</v>
      </c>
      <c r="AY2257">
        <f>IF(AV2257=0,0,$AY$2211*$H$26*$AU$2211)</f>
        <v>0</v>
      </c>
      <c r="AZ2257">
        <f>(0.6*AW2257+0.7*AX2257)*$AU$2211/2</f>
        <v>0</v>
      </c>
      <c r="BA2257">
        <f>AW2257*$AU$2211/2</f>
        <v>0</v>
      </c>
      <c r="BC2257">
        <f>IF(AV2257=0,0,$BG$2211*$AP$2199)</f>
        <v>0</v>
      </c>
      <c r="BD2257">
        <f>IFERROR(BC2257/$AU$2211,0)</f>
        <v>0</v>
      </c>
      <c r="BE2257">
        <f>BC2257*($F$23+IF($F$23=0,0,($C$14+$C$15+IF($C$13="single",1.5,3)+3)/12))</f>
        <v>0</v>
      </c>
      <c r="BF2257">
        <f>BE2257-AZ2257</f>
        <v>0</v>
      </c>
      <c r="BG2257" cm="1">
        <f t="array" ref="BG2257">IFERROR(IF(BF2257&lt;0,0,BF2257/($AU$2211-INDEX(hd_off,MATCH(BT2257,hd_mark,0),0)/12)),0)</f>
        <v>0</v>
      </c>
      <c r="BH2257">
        <f>IF(AV2257=0,0,$BG$2211*$AM$2199)</f>
        <v>0</v>
      </c>
      <c r="BI2257">
        <f>IFERROR(BH2257/$AU$2211,0)</f>
        <v>0</v>
      </c>
      <c r="BJ2257">
        <f>BH2257*($F$23+IF($F$23=0,0,($C$14+$C$15+IF($C$13="single",1.5,3)+3)/12))</f>
        <v>0</v>
      </c>
      <c r="BK2257">
        <f>BJ2257-BA2257</f>
        <v>0</v>
      </c>
      <c r="BL2257" cm="1">
        <f t="array" ref="BL2257">IFERROR(IF(BK2257&lt;0,0,BK2257/($AU$2211-INDEX(hd_off,MATCH(BT2257,hd_mark,0),0)/12)),0)</f>
        <v>0</v>
      </c>
      <c r="BM2257">
        <f>MAX($F$23,$BD$2211)/$Q$2228</f>
        <v>0</v>
      </c>
      <c r="BN2257">
        <f t="shared" si="1400"/>
        <v>0</v>
      </c>
      <c r="BO2257" cm="1">
        <f t="array" ref="BO2257">IFERROR(INDEX(sheath_ecap_asd,MATCH(BS2257,sheath_mark,0),0)*BN2257,0)</f>
        <v>0</v>
      </c>
      <c r="BP2257" cm="1">
        <f t="array" ref="BP2257">IFERROR(INDEX(sheath_wcap_asd,MATCH(BS2257,sheath_mark,0),0)*BN2257,0)</f>
        <v>0</v>
      </c>
      <c r="BQ2257" cm="1">
        <f t="array" ref="BQ2257">IFERROR(INDEX(hd_cap,MATCH(BT2257,hd_mark,0),0),0)</f>
        <v>0</v>
      </c>
      <c r="BS2257" s="19"/>
      <c r="BT2257" s="19"/>
      <c r="BU2257" s="100"/>
    </row>
    <row r="2258" x14ac:dyDescent="0.25">
      <c r="P2258" s="93"/>
      <c r="Q2258" s="111">
        <f>$R$2211</f>
        <v>0</v>
      </c>
      <c r="R2258" t="str">
        <f>$Q$2200</f>
        <v>L5</v>
      </c>
      <c r="S2258">
        <f>$E$24</f>
        <v>0</v>
      </c>
      <c r="T2258" cm="1">
        <f t="array" ref="T2258">IFERROR(IF(S2258=0,0,(INDEX($C$33:$C$38,MATCH($W$2211,$B$33:$B$38,0),0)*(S2259+$X$2211)+$T$2211*COUNTIF(S2258:S2258,"&gt;0")*$C$32+$V$2211*$C$31)*$R$2211),0)</f>
        <v>0</v>
      </c>
      <c r="U2258">
        <f>IF(S2258=0,0,-(COUNTIF(S2258:S2258,"&gt;0")*$T$2211*$C$32+$V$2211*$C$31)*$H$27*$R$2211)</f>
        <v>0</v>
      </c>
      <c r="V2258">
        <f>IF(S2258=0,0,$V$2211*$H$26*$R$2211)</f>
        <v>0</v>
      </c>
      <c r="W2258">
        <f>(0.6*T2258+0.7*U2258)*$R$2211/2</f>
        <v>0</v>
      </c>
      <c r="X2258">
        <f>T2258*$R$2211/2</f>
        <v>0</v>
      </c>
      <c r="Z2258">
        <f>IF(S2258=0,0,$AD$2211*$AP$2200)</f>
        <v>0</v>
      </c>
      <c r="AA2258">
        <f>IFERROR(Z2258/$R$2211,0)</f>
        <v>0</v>
      </c>
      <c r="AB2258">
        <f>Z2258*($F$24+IF($F$24=0,0,($C$14+$C$15+IF($C$13="single",1.5,3)+3)/12))</f>
        <v>0</v>
      </c>
      <c r="AC2258">
        <f>AB2258-W2258</f>
        <v>0</v>
      </c>
      <c r="AD2258" cm="1">
        <f t="array" ref="AD2258">IFERROR(IF(AC2258&lt;0,0,AC2258/($R$2211-INDEX(hd_off,MATCH(AQ2258,hd_mark,0),0)/12)),0)</f>
        <v>0</v>
      </c>
      <c r="AE2258">
        <f>IF(S2258=0,0,$AD$2211*$AM$2200)</f>
        <v>0</v>
      </c>
      <c r="AF2258">
        <f>IFERROR(AE2258/$R$2211,0)</f>
        <v>0</v>
      </c>
      <c r="AG2258">
        <f>AE2258*($F$24+IF($F$24=0,0,($C$14+$C$15+IF($C$13="single",1.5,3)+3)/12))</f>
        <v>0</v>
      </c>
      <c r="AH2258">
        <f>AG2258-X2258</f>
        <v>0</v>
      </c>
      <c r="AI2258" cm="1">
        <f t="array" ref="AI2258">IFERROR(IF(AH2258&lt;0,0,AH2258/($R$2211-INDEX(hd_off,MATCH(AQ2258,hd_mark,0),0)/12)),0)</f>
        <v>0</v>
      </c>
      <c r="AJ2258">
        <f>MAX($F$24,$AB$2211)/$Q$2228</f>
        <v>0</v>
      </c>
      <c r="AK2258">
        <f t="shared" si="1399"/>
        <v>0</v>
      </c>
      <c r="AL2258" cm="1">
        <f t="array" ref="AL2258">IFERROR(INDEX(sheath_ecap_asd,MATCH(AP2258,sheath_mark,0),0)*AK2258,0)</f>
        <v>0</v>
      </c>
      <c r="AM2258" cm="1">
        <f t="array" ref="AM2258">IFERROR(INDEX(sheath_wcap_asd,MATCH(AP2258,sheath_mark,0),0)*AK2258,0)</f>
        <v>0</v>
      </c>
      <c r="AN2258" cm="1">
        <f t="array" ref="AN2258">IFERROR(INDEX(hd_cap,MATCH(AQ2258,hd_mark,0),0),0)</f>
        <v>0</v>
      </c>
      <c r="AP2258" s="19"/>
      <c r="AQ2258" s="19"/>
      <c r="AR2258" s="100"/>
      <c r="AS2258" s="93"/>
      <c r="AT2258" s="111">
        <f>$R$2211</f>
        <v>0</v>
      </c>
      <c r="AU2258" t="str">
        <f>$Q$2200</f>
        <v>L5</v>
      </c>
      <c r="AV2258">
        <f>$E$24</f>
        <v>0</v>
      </c>
      <c r="AW2258" cm="1">
        <f t="array" ref="AW2258">IFERROR(IF(AV2258=0,0,(INDEX($C$33:$C$38,MATCH($AZ$2211,$B$33:$B$38,0),0)*(AV2259+$BA$2211)+$AW$2211*COUNTIF(AV2258:AV2258,"&gt;0")*$C$32+$AY$2211*$C$31)*$AU$2211),0)</f>
        <v>0</v>
      </c>
      <c r="AX2258">
        <f>IF(AV2258=0,0,-(COUNTIF(AV2258:AV2258,"&gt;0")*$AW$2211*$C$32+$AY$2211*$C$31)*$H$27*$AU$2211)</f>
        <v>0</v>
      </c>
      <c r="AY2258">
        <f>IF(AV2258=0,0,$AY$2211*$H$26*$AU$2211)</f>
        <v>0</v>
      </c>
      <c r="AZ2258">
        <f>(0.6*AW2258+0.7*AX2258)*$AU$2211/2</f>
        <v>0</v>
      </c>
      <c r="BA2258">
        <f>AW2258*$AU$2211/2</f>
        <v>0</v>
      </c>
      <c r="BC2258">
        <f>IF(AV2258=0,0,$BG$2211*$AP$2200)</f>
        <v>0</v>
      </c>
      <c r="BD2258">
        <f>IFERROR(BC2258/$AU$2211,0)</f>
        <v>0</v>
      </c>
      <c r="BE2258">
        <f>BC2258*($F$24+IF($F$24=0,0,($C$14+$C$15+IF($C$13="single",1.5,3)+3)/12))</f>
        <v>0</v>
      </c>
      <c r="BF2258">
        <f>BE2258-AZ2258</f>
        <v>0</v>
      </c>
      <c r="BG2258" cm="1">
        <f t="array" ref="BG2258">IFERROR(IF(BF2258&lt;0,0,BF2258/($AU$2211-INDEX(hd_off,MATCH(BT2258,hd_mark,0),0)/12)),0)</f>
        <v>0</v>
      </c>
      <c r="BH2258">
        <f>IF(AV2258=0,0,$BG$2211*$AM$2200)</f>
        <v>0</v>
      </c>
      <c r="BI2258">
        <f>IFERROR(BH2258/$AU$2211,0)</f>
        <v>0</v>
      </c>
      <c r="BJ2258">
        <f>BH2258*($F$24+IF($F$24=0,0,($C$14+$C$15+IF($C$13="single",1.5,3)+3)/12))</f>
        <v>0</v>
      </c>
      <c r="BK2258">
        <f>BJ2258-BA2258</f>
        <v>0</v>
      </c>
      <c r="BL2258" cm="1">
        <f t="array" ref="BL2258">IFERROR(IF(BK2258&lt;0,0,BK2258/($AU$2211-INDEX(hd_off,MATCH(BT2258,hd_mark,0),0)/12)),0)</f>
        <v>0</v>
      </c>
      <c r="BM2258">
        <f>MAX($F$24,$BE$2211)/$Q$2228</f>
        <v>0</v>
      </c>
      <c r="BN2258">
        <f t="shared" si="1400"/>
        <v>0</v>
      </c>
      <c r="BO2258" cm="1">
        <f t="array" ref="BO2258">IFERROR(INDEX(sheath_ecap_asd,MATCH(BS2258,sheath_mark,0),0)*BN2258,0)</f>
        <v>0</v>
      </c>
      <c r="BP2258" cm="1">
        <f t="array" ref="BP2258">IFERROR(INDEX(sheath_wcap_asd,MATCH(BS2258,sheath_mark,0),0)*BN2258,0)</f>
        <v>0</v>
      </c>
      <c r="BQ2258" cm="1">
        <f t="array" ref="BQ2258">IFERROR(INDEX(hd_cap,MATCH(BT2258,hd_mark,0),0),0)</f>
        <v>0</v>
      </c>
      <c r="BS2258" s="19"/>
      <c r="BT2258" s="19"/>
      <c r="BU2258" s="100"/>
    </row>
    <row r="2259" x14ac:dyDescent="0.25">
      <c r="P2259" s="93"/>
      <c r="Q2259" s="109"/>
      <c r="R2259" t="str">
        <f>$Q$2201</f>
        <v>Roof</v>
      </c>
      <c r="S2259">
        <f>$E$25</f>
        <v>33.171875</v>
      </c>
      <c r="T2259" cm="1">
        <f t="array" ref="T2259">IFERROR(IF(S2259=0,0,(INDEX($C$33:$C$38,MATCH($W$2211,$B$33:$B$38,0),0)*(S2259+$X$2211)+$V$2211*$C$31)*$R$2211),0)</f>
        <v>0</v>
      </c>
      <c r="U2259">
        <f>IF(S2259=0,0,-$V$2211*$C$31*$H$27*$R$2211)</f>
        <v>0</v>
      </c>
      <c r="V2259">
        <f>IF(S2259=0,0,$V$2211*$H$26*$R$2211)</f>
        <v>0</v>
      </c>
      <c r="W2259">
        <f>(0.6*T2259+0.7*U2259)*$R$2211/2</f>
        <v>0</v>
      </c>
      <c r="X2259">
        <f>T2259*$R$2211/2</f>
        <v>0</v>
      </c>
      <c r="Z2259">
        <f>IF(S2259=0,0,$AD$2211*$AP$2201)</f>
        <v>0</v>
      </c>
      <c r="AA2259">
        <f>IFERROR(Z2259/$R$2211,0)</f>
        <v>0</v>
      </c>
      <c r="AB2259">
        <f>Z2259*($F$25+($C$16+$C$17+IF($C$13="single",1.5,3)+3)/12)</f>
        <v>0</v>
      </c>
      <c r="AC2259">
        <f>AB2259-W2259</f>
        <v>0</v>
      </c>
      <c r="AD2259" cm="1">
        <f t="array" ref="AD2259">IFERROR(IF(AC2259&lt;0,0,AC2259/($R$2211-INDEX(hd_off,MATCH(AQ2259,hd_mark,0),0)/12)),0)</f>
        <v>0</v>
      </c>
      <c r="AE2259">
        <f>IF(S2259=0,0,$AD$2211*$AM$2201)</f>
        <v>0</v>
      </c>
      <c r="AF2259">
        <f>IFERROR(AE2259/$R$2211,0)</f>
        <v>0</v>
      </c>
      <c r="AG2259">
        <f>AE2259*($F$25+($C$16+$C$17+IF($C$13="single",1.5,3)+3)/12)</f>
        <v>0</v>
      </c>
      <c r="AH2259">
        <f>AG2259-X2259</f>
        <v>0</v>
      </c>
      <c r="AI2259" cm="1">
        <f t="array" ref="AI2259">IFERROR(IF(AH2259&lt;0,0,AH2259/($R$2211-INDEX(hd_off,MATCH(AQ2259,hd_mark,0),0)/12)),0)</f>
        <v>0</v>
      </c>
      <c r="AJ2259">
        <f>MAX($F$25,$AC$2211)/$Q$2228</f>
        <v>0.29920977011494249</v>
      </c>
      <c r="AK2259">
        <f t="shared" si="1399"/>
        <v>1</v>
      </c>
      <c r="AL2259" cm="1">
        <f t="array" ref="AL2259">IFERROR(INDEX(sheath_ecap_asd,MATCH(AP2259,sheath_mark,0),0)*AK2259,0)</f>
        <v>0</v>
      </c>
      <c r="AM2259" cm="1">
        <f t="array" ref="AM2259">IFERROR(INDEX(sheath_wcap_asd,MATCH(AP2259,sheath_mark,0),0)*AK2259,0)</f>
        <v>0</v>
      </c>
      <c r="AN2259" cm="1">
        <f t="array" ref="AN2259">IFERROR(INDEX(hd_cap,MATCH(AQ2259,hd_mark,0),0),0)</f>
        <v>0</v>
      </c>
      <c r="AP2259" s="19"/>
      <c r="AQ2259" s="19"/>
      <c r="AR2259" s="100"/>
      <c r="AS2259" s="93"/>
      <c r="AT2259" s="109"/>
      <c r="AU2259" t="str">
        <f>$Q$2201</f>
        <v>Roof</v>
      </c>
      <c r="AV2259">
        <f>$E$25</f>
        <v>33.171875</v>
      </c>
      <c r="AW2259" cm="1">
        <f t="array" ref="AW2259">IFERROR(IF(AV2259=0,0,(INDEX($C$33:$C$38,MATCH($AZ$2211,$B$33:$B$38,0),0)*(AV2259+$BA$2211)+$AY$2211*$C$31)*$AU$2211),0)</f>
        <v>0</v>
      </c>
      <c r="AX2259">
        <f>IF(AV2259=0,0,-$AY$2211*$C$31*$H$27*$AU$2211)</f>
        <v>0</v>
      </c>
      <c r="AY2259">
        <f>IF(AV2259=0,0,$AY$2211*$H$26*$AU$2211)</f>
        <v>0</v>
      </c>
      <c r="AZ2259">
        <f>(0.6*AW2259+0.7*AX2259)*$AU$2211/2</f>
        <v>0</v>
      </c>
      <c r="BA2259">
        <f>AW2259*$AU$2211/2</f>
        <v>0</v>
      </c>
      <c r="BC2259">
        <f>IF(AV2259=0,0,$BG$2211*$AP$2201)</f>
        <v>0</v>
      </c>
      <c r="BD2259">
        <f>IFERROR(BC2259/$AU$2211,0)</f>
        <v>0</v>
      </c>
      <c r="BE2259">
        <f>BC2259*($F$25+($C$16+$C$17+IF($C$13="single",1.5,3)+3)/12)</f>
        <v>0</v>
      </c>
      <c r="BF2259">
        <f>BE2259-AZ2259</f>
        <v>0</v>
      </c>
      <c r="BG2259" cm="1">
        <f t="array" ref="BG2259">IFERROR(IF(BF2259&lt;0,0,BF2259/($AU$2211-INDEX(hd_off,MATCH(BT2259,hd_mark,0),0)/12)),0)</f>
        <v>0</v>
      </c>
      <c r="BH2259">
        <f>IF(AV2259=0,0,$BG$2211*$AM$2201)</f>
        <v>0</v>
      </c>
      <c r="BI2259">
        <f>IFERROR(BH2259/$AU$2211,0)</f>
        <v>0</v>
      </c>
      <c r="BJ2259">
        <f>BH2259*($F$25+($C$16+$C$17+IF($C$13="single",1.5,3)+3)/12)</f>
        <v>0</v>
      </c>
      <c r="BK2259">
        <f>BJ2259-BA2259</f>
        <v>0</v>
      </c>
      <c r="BL2259" cm="1">
        <f t="array" ref="BL2259">IFERROR(IF(BK2259&lt;0,0,BK2259/($AU$2211-INDEX(hd_off,MATCH(BT2259,hd_mark,0),0)/12)),0)</f>
        <v>0</v>
      </c>
      <c r="BM2259">
        <f>MAX($F$25,$BF$2211)/$Q$2228</f>
        <v>0.29920977011494249</v>
      </c>
      <c r="BN2259">
        <f t="shared" si="1400"/>
        <v>1</v>
      </c>
      <c r="BO2259" cm="1">
        <f t="array" ref="BO2259">IFERROR(INDEX(sheath_ecap_asd,MATCH(BS2259,sheath_mark,0),0)*BN2259,0)</f>
        <v>0</v>
      </c>
      <c r="BP2259" cm="1">
        <f t="array" ref="BP2259">IFERROR(INDEX(sheath_wcap_asd,MATCH(BS2259,sheath_mark,0),0)*BN2259,0)</f>
        <v>0</v>
      </c>
      <c r="BQ2259" cm="1">
        <f t="array" ref="BQ2259">IFERROR(INDEX(hd_cap,MATCH(BT2259,hd_mark,0),0),0)</f>
        <v>0</v>
      </c>
      <c r="BS2259" s="19"/>
      <c r="BT2259" s="19"/>
      <c r="BU2259" s="100"/>
    </row>
    <row r="2260" x14ac:dyDescent="0.25">
      <c r="P2260" s="93"/>
      <c r="AR2260" s="100"/>
      <c r="AS2260" s="93"/>
      <c r="BU2260" s="100"/>
    </row>
    <row r="2261" x14ac:dyDescent="0.25">
      <c r="P2261" s="93"/>
      <c r="Q2261" s="110" t="str">
        <f>$Q$2212</f>
        <v>A.07</v>
      </c>
      <c r="R2261" t="str">
        <f>$Q$2197</f>
        <v>L2</v>
      </c>
      <c r="S2261">
        <f>$E$21</f>
        <v>10.6875</v>
      </c>
      <c r="T2261" cm="1">
        <f t="array" ref="T2261">IFERROR(IF(S2261=0,0,(INDEX($C$33:$C$38,MATCH($W$2212,$B$33:$B$38,0),0)*(S2265+$X$2212)+$T$2212*COUNTIF(S2261:S2264,"&gt;0")*$C$32+$V$2212*$C$31)*$R$2212),0)</f>
        <v>0</v>
      </c>
      <c r="U2261">
        <f>IF(S2261=0,0,-(COUNTIF(S2261:S2264,"&gt;0")*$T$2212*$C$32+$V$2212*$C$31)*$H$27*$R$2212)</f>
        <v>0</v>
      </c>
      <c r="V2261">
        <f>IF(S2261=0,0,$V$2212*$H$26*$R$2212)</f>
        <v>0</v>
      </c>
      <c r="W2261">
        <f>(0.6*T2261+0.7*U2261)*$R$2212/2</f>
        <v>0</v>
      </c>
      <c r="X2261">
        <f>(0.6*T2261+0.6*V2261)*$R$2212/2</f>
        <v>0</v>
      </c>
      <c r="Z2261">
        <f>IF(S2261=0,0,$AD$2212*$AP$2197)</f>
        <v>0</v>
      </c>
      <c r="AA2261">
        <f>IFERROR(Z2261/$R$2212,0)</f>
        <v>0</v>
      </c>
      <c r="AB2261">
        <f>Z2261*($F$21+IF($F$21=0,0,($C$14+$C$15+IF($C$13="single",1.5,3)+3)/12))</f>
        <v>0</v>
      </c>
      <c r="AC2261">
        <f>AB2261-W2261</f>
        <v>0</v>
      </c>
      <c r="AD2261" cm="1">
        <f t="array" ref="AD2261">IFERROR(IF(AC2261&lt;0,0,AC2261/($R$2212-INDEX(hd_off,MATCH(AQ2261,hd_mark,0),0)/12)),0)</f>
        <v>0</v>
      </c>
      <c r="AE2261">
        <f>IF(S2261=0,0,$AD$2212*$AM$2197)</f>
        <v>0</v>
      </c>
      <c r="AF2261">
        <f>IFERROR(AE2261/$R$2212,0)</f>
        <v>0</v>
      </c>
      <c r="AG2261">
        <f>AE2261*($F$21+IF($F$21=0,0,($C$14+$C$15+IF($C$13="single",1.5,3)+3)/12))</f>
        <v>0</v>
      </c>
      <c r="AH2261">
        <f>AG2261-X2261</f>
        <v>0</v>
      </c>
      <c r="AI2261" cm="1">
        <f t="array" ref="AI2261">IFERROR(IF(AH2261&lt;0,0,AH2261/($R$2212-INDEX(hd_off,MATCH(AQ2261,hd_mark,0),0)/12)),0)</f>
        <v>0</v>
      </c>
      <c r="AJ2261">
        <f>MAX($F$21,$Y$2212)/$Q$2228</f>
        <v>0.30172413793103448</v>
      </c>
      <c r="AK2261">
        <f>IF(AJ2261=0,0,IF(AJ2261&gt;2,1.25-0.125*AJ2261,1))</f>
        <v>1</v>
      </c>
      <c r="AL2261" cm="1">
        <f t="array" ref="AL2261">IFERROR(INDEX(sheath_ecap_asd,MATCH(AP2261,sheath_mark,0),0)*AK2261,0)</f>
        <v>0</v>
      </c>
      <c r="AM2261" cm="1">
        <f t="array" ref="AM2261">IFERROR(INDEX(sheath_wcap_asd,MATCH(AP2261,sheath_mark,0),0)*AK2261,0)</f>
        <v>0</v>
      </c>
      <c r="AN2261" cm="1">
        <f t="array" ref="AN2261">IFERROR(INDEX(hd_cap,MATCH(AQ2261,hd_mark,0),0),0)</f>
        <v>0</v>
      </c>
      <c r="AP2261" s="19"/>
      <c r="AQ2261" s="19"/>
      <c r="AR2261" s="100"/>
      <c r="AS2261" s="93"/>
      <c r="AT2261" s="110" t="str">
        <f>$AT$2212</f>
        <v>1.07</v>
      </c>
      <c r="AU2261" t="str">
        <f>$Q$2197</f>
        <v>L2</v>
      </c>
      <c r="AV2261">
        <f>$E$21</f>
        <v>10.6875</v>
      </c>
      <c r="AW2261" cm="1">
        <f t="array" ref="AW2261">IFERROR(IF(AV2261=0,0,(INDEX($C$33:$C$38,MATCH($AZ$2212,$B$33:$B$38,0),0)*(AV2265+$BA$2212)+$AW$2212*COUNTIF(AV2261:AV2264,"&gt;0")*$C$32+$AY$2212*$C$31)*$AU$2212),0)</f>
        <v>0</v>
      </c>
      <c r="AX2261">
        <f>IF(AV2261=0,0,-(COUNTIF(AV2261:AV2264,"&gt;0")*$AW$2212*$C$32+$AY$2212*$C$31)*$H$27*$AU$2212)</f>
        <v>0</v>
      </c>
      <c r="AY2261">
        <f>IF(AV2261=0,0,$AY$2212*$H$26*$AU$2212)</f>
        <v>0</v>
      </c>
      <c r="AZ2261">
        <f>(0.6*AW2261+0.7*AX2261)*$AU$2212/2</f>
        <v>0</v>
      </c>
      <c r="BA2261">
        <f>(0.6*AW2261+0.6*AY2261)*$AU$2212/2</f>
        <v>0</v>
      </c>
      <c r="BC2261">
        <f>IF(AV2261=0,0,$BG$2212*$AP$2197)</f>
        <v>0</v>
      </c>
      <c r="BD2261">
        <f>IFERROR(BC2261/$AU$2212,0)</f>
        <v>0</v>
      </c>
      <c r="BE2261">
        <f>BC2261*($F$21+IF($F$21=0,0,($C$14+$C$15+IF($C$13="single",1.5,3)+3)/12))</f>
        <v>0</v>
      </c>
      <c r="BF2261">
        <f>BE2261-AZ2261</f>
        <v>0</v>
      </c>
      <c r="BG2261" cm="1">
        <f t="array" ref="BG2261">IFERROR(IF(BF2261&lt;0,0,BF2261/($AU$2212-INDEX(hd_off,MATCH(BT2261,hd_mark,0),0)/12)),0)</f>
        <v>0</v>
      </c>
      <c r="BH2261">
        <f>IF(AV2261=0,0,$BG$2212*$AM$2197)</f>
        <v>0</v>
      </c>
      <c r="BI2261">
        <f>IFERROR(BH2261/$AU$2212,0)</f>
        <v>0</v>
      </c>
      <c r="BJ2261">
        <f>BH2261*($F$21+IF($F$21=0,0,($C$14+$C$15+IF($C$13="single",1.5,3)+3)/12))</f>
        <v>0</v>
      </c>
      <c r="BK2261">
        <f>BJ2261-BA2261</f>
        <v>0</v>
      </c>
      <c r="BL2261" cm="1">
        <f t="array" ref="BL2261">IFERROR(IF(BK2261&lt;0,0,BK2261/($AU$2212-INDEX(hd_off,MATCH(BT2261,hd_mark,0),0)/12)),0)</f>
        <v>0</v>
      </c>
      <c r="BM2261">
        <f>MAX($F$21,$BB$2212)/$Q$2228</f>
        <v>0.30172413793103448</v>
      </c>
      <c r="BN2261">
        <f>IF(BM2261=0,0,IF(BM2261&gt;2,1.25-0.125*BM2261,1))</f>
        <v>1</v>
      </c>
      <c r="BO2261" cm="1">
        <f t="array" ref="BO2261">IFERROR(INDEX(sheath_ecap_asd,MATCH(BS2261,sheath_mark,0),0)*BN2261,0)</f>
        <v>0</v>
      </c>
      <c r="BP2261" cm="1">
        <f t="array" ref="BP2261">IFERROR(INDEX(sheath_wcap_asd,MATCH(BS2261,sheath_mark,0),0)*BN2261,0)</f>
        <v>0</v>
      </c>
      <c r="BQ2261" cm="1">
        <f t="array" ref="BQ2261">IFERROR(INDEX(hd_cap,MATCH(BT2261,hd_mark,0),0),0)</f>
        <v>0</v>
      </c>
      <c r="BS2261" s="19"/>
      <c r="BT2261" s="19"/>
      <c r="BU2261" s="100"/>
    </row>
    <row r="2262" x14ac:dyDescent="0.25">
      <c r="P2262" s="93"/>
      <c r="Q2262" s="109"/>
      <c r="R2262" t="str">
        <f>$Q$2198</f>
        <v>L3</v>
      </c>
      <c r="S2262">
        <f>$E$22</f>
        <v>21.375</v>
      </c>
      <c r="T2262" cm="1">
        <f t="array" ref="T2262">IFERROR(IF(S2262=0,0,(INDEX($C$33:$C$38,MATCH($W$2212,$B$33:$B$38,0),0)*(S2265+$X$2212)+$T$2212*COUNTIF(S2262:S2264,"&gt;0")*$C$32+$V$2212*$C$31)*$R$2212),0)</f>
        <v>0</v>
      </c>
      <c r="U2262">
        <f>IF(S2262=0,0,-(COUNTIF(S2262:S2264,"&gt;0")*$T$2212*$C$32+$V$2212*$C$31)*$H$27*$R$2212)</f>
        <v>0</v>
      </c>
      <c r="V2262">
        <f>IF(S2262=0,0,$V$2212*$H$26*$R$2212)</f>
        <v>0</v>
      </c>
      <c r="W2262">
        <f>(0.6*T2262+0.7*U2262)*$R$2212/2</f>
        <v>0</v>
      </c>
      <c r="X2262">
        <f>T2262*$R$2212/2</f>
        <v>0</v>
      </c>
      <c r="Z2262">
        <f>IF(S2262=0,0,$AD$2212*$AP$2198)</f>
        <v>0</v>
      </c>
      <c r="AA2262">
        <f>IFERROR(Z2262/$R$2212,0)</f>
        <v>0</v>
      </c>
      <c r="AB2262">
        <f>Z2262*($F$22+IF($F$22=0,0,($C$14+$C$15+IF($C$13="single",1.5,3)+3)/12))</f>
        <v>0</v>
      </c>
      <c r="AC2262">
        <f>AB2262-W2262</f>
        <v>0</v>
      </c>
      <c r="AD2262" cm="1">
        <f t="array" ref="AD2262">IFERROR(IF(AC2262&lt;0,0,AC2262/($R$2212-INDEX(hd_off,MATCH(AQ2262,hd_mark,0),0)/12)),0)</f>
        <v>0</v>
      </c>
      <c r="AE2262">
        <f>IF(S2262=0,0,$AD$2212*$AM$2198)</f>
        <v>0</v>
      </c>
      <c r="AF2262">
        <f>IFERROR(AE2262/$R$2212,0)</f>
        <v>0</v>
      </c>
      <c r="AG2262">
        <f>AE2262*($F$22+IF($F$22=0,0,($C$14+$C$15+IF($C$13="single",1.5,3)+3)/12))</f>
        <v>0</v>
      </c>
      <c r="AH2262">
        <f>AG2262-X2262</f>
        <v>0</v>
      </c>
      <c r="AI2262" cm="1">
        <f t="array" ref="AI2262">IFERROR(IF(AH2262&lt;0,0,AH2262/($R$2212-INDEX(hd_off,MATCH(AQ2262,hd_mark,0),0)/12)),0)</f>
        <v>0</v>
      </c>
      <c r="AJ2262">
        <f>MAX($F$22,$Z$2212)/$Q$2228</f>
        <v>0.30172413793103448</v>
      </c>
      <c r="AK2262">
        <f t="shared" ref="AK2262:AK2265" si="1401">IF(AJ2262=0,0,IF(AJ2262&gt;2,1.25-0.125*AJ2262,1))</f>
        <v>1</v>
      </c>
      <c r="AL2262" cm="1">
        <f t="array" ref="AL2262">IFERROR(INDEX(sheath_ecap_asd,MATCH(AP2262,sheath_mark,0),0)*AK2262,0)</f>
        <v>0</v>
      </c>
      <c r="AM2262" cm="1">
        <f t="array" ref="AM2262">IFERROR(INDEX(sheath_wcap_asd,MATCH(AP2262,sheath_mark,0),0)*AK2262,0)</f>
        <v>0</v>
      </c>
      <c r="AN2262" cm="1">
        <f t="array" ref="AN2262">IFERROR(INDEX(hd_cap,MATCH(AQ2262,hd_mark,0),0),0)</f>
        <v>0</v>
      </c>
      <c r="AP2262" s="19"/>
      <c r="AQ2262" s="19"/>
      <c r="AR2262" s="100"/>
      <c r="AS2262" s="93"/>
      <c r="AT2262" s="109"/>
      <c r="AU2262" t="str">
        <f>$Q$2198</f>
        <v>L3</v>
      </c>
      <c r="AV2262">
        <f>$E$22</f>
        <v>21.375</v>
      </c>
      <c r="AW2262" cm="1">
        <f t="array" ref="AW2262">IFERROR(IF(AV2262=0,0,(INDEX($C$33:$C$38,MATCH($AZ$2212,$B$33:$B$38,0),0)*(AV2265+$BA$2212)+$AW$2212*COUNTIF(AV2262:AV2264,"&gt;0")*$C$32+$AY$2212*$C$31)*$AU$2212),0)</f>
        <v>0</v>
      </c>
      <c r="AX2262">
        <f>IF(AV2262=0,0,-(COUNTIF(AV2262:AV2264,"&gt;0")*$AW$2212*$C$32+$AY$2212*$C$31)*$H$27*$AU$2212)</f>
        <v>0</v>
      </c>
      <c r="AY2262">
        <f>IF(AV2262=0,0,$AY$2212*$H$26*$AU$2212)</f>
        <v>0</v>
      </c>
      <c r="AZ2262">
        <f>(0.6*AW2262+0.7*AX2262)*$AU$2212/2</f>
        <v>0</v>
      </c>
      <c r="BA2262">
        <f>AW2262*$AU$2212/2</f>
        <v>0</v>
      </c>
      <c r="BC2262">
        <f>IF(AV2262=0,0,$BG$2212*$AP$2198)</f>
        <v>0</v>
      </c>
      <c r="BD2262">
        <f>IFERROR(BC2262/$AU$2212,0)</f>
        <v>0</v>
      </c>
      <c r="BE2262">
        <f>BC2262*($F$22+IF($F$22=0,0,($C$14+$C$15+IF($C$13="single",1.5,3)+3)/12))</f>
        <v>0</v>
      </c>
      <c r="BF2262">
        <f>BE2262-AZ2262</f>
        <v>0</v>
      </c>
      <c r="BG2262" cm="1">
        <f t="array" ref="BG2262">IFERROR(IF(BF2262&lt;0,0,BF2262/($AU$2212-INDEX(hd_off,MATCH(BT2262,hd_mark,0),0)/12)),0)</f>
        <v>0</v>
      </c>
      <c r="BH2262">
        <f>IF(AV2262=0,0,$BG$2212*$AM$2198)</f>
        <v>0</v>
      </c>
      <c r="BI2262">
        <f>IFERROR(BH2262/$AU$2212,0)</f>
        <v>0</v>
      </c>
      <c r="BJ2262">
        <f>BH2262*($F$22+IF($F$22=0,0,($C$14+$C$15+IF($C$13="single",1.5,3)+3)/12))</f>
        <v>0</v>
      </c>
      <c r="BK2262">
        <f>BJ2262-BA2262</f>
        <v>0</v>
      </c>
      <c r="BL2262" cm="1">
        <f t="array" ref="BL2262">IFERROR(IF(BK2262&lt;0,0,BK2262/($AU$2212-INDEX(hd_off,MATCH(BT2262,hd_mark,0),0)/12)),0)</f>
        <v>0</v>
      </c>
      <c r="BM2262">
        <f>MAX($F$22,$BC$2212)/$Q$2228</f>
        <v>0.30172413793103448</v>
      </c>
      <c r="BN2262">
        <f t="shared" ref="BN2262:BN2265" si="1402">IF(BM2262=0,0,IF(BM2262&gt;2,1.25-0.125*BM2262,1))</f>
        <v>1</v>
      </c>
      <c r="BO2262" cm="1">
        <f t="array" ref="BO2262">IFERROR(INDEX(sheath_ecap_asd,MATCH(BS2262,sheath_mark,0),0)*BN2262,0)</f>
        <v>0</v>
      </c>
      <c r="BP2262" cm="1">
        <f t="array" ref="BP2262">IFERROR(INDEX(sheath_wcap_asd,MATCH(BS2262,sheath_mark,0),0)*BN2262,0)</f>
        <v>0</v>
      </c>
      <c r="BQ2262" cm="1">
        <f t="array" ref="BQ2262">IFERROR(INDEX(hd_cap,MATCH(BT2262,hd_mark,0),0),0)</f>
        <v>0</v>
      </c>
      <c r="BS2262" s="19"/>
      <c r="BT2262" s="19"/>
      <c r="BU2262" s="100"/>
    </row>
    <row r="2263" x14ac:dyDescent="0.25">
      <c r="P2263" s="93"/>
      <c r="Q2263" s="109" t="s">
        <v>491</v>
      </c>
      <c r="R2263" t="str">
        <f>$Q$2199</f>
        <v>L4</v>
      </c>
      <c r="S2263">
        <f>$E$23</f>
        <v>0</v>
      </c>
      <c r="T2263" cm="1">
        <f t="array" ref="T2263">IFERROR(IF(S2263=0,0,(INDEX($C$33:$C$38,MATCH($W$2212,$B$33:$B$38,0),0)*(S2265+$X$2212)+$T$2212*COUNTIF(S2263:S2264,"&gt;0")*$C$32+$V$2212*$C$31)*$R$2212),0)</f>
        <v>0</v>
      </c>
      <c r="U2263">
        <f>IF(S2263=0,0,-(COUNTIF(S2263:S2264,"&gt;0")*$T$2212*$C$32+$V$2212*$C$31)*$H$27*$R$2212)</f>
        <v>0</v>
      </c>
      <c r="V2263">
        <f>IF(S2263=0,0,$V$2212*$H$26*$R$2212)</f>
        <v>0</v>
      </c>
      <c r="W2263">
        <f>(0.6*T2263+0.7*U2263)*$R$2212/2</f>
        <v>0</v>
      </c>
      <c r="X2263">
        <f>T2263*$R$2212/2</f>
        <v>0</v>
      </c>
      <c r="Z2263">
        <f>IF(S2263=0,0,$AD$2212*$AP$2199)</f>
        <v>0</v>
      </c>
      <c r="AA2263">
        <f>IFERROR(Z2263/$R$2212,0)</f>
        <v>0</v>
      </c>
      <c r="AB2263">
        <f>Z2263*($F$23+IF($F$23=0,0,($C$14+$C$15+IF($C$13="single",1.5,3)+3)/12))</f>
        <v>0</v>
      </c>
      <c r="AC2263">
        <f>AB2263-W2263</f>
        <v>0</v>
      </c>
      <c r="AD2263" cm="1">
        <f t="array" ref="AD2263">IFERROR(IF(AC2263&lt;0,0,AC2263/($R$2212-INDEX(hd_off,MATCH(AQ2263,hd_mark,0),0)/12)),0)</f>
        <v>0</v>
      </c>
      <c r="AE2263">
        <f>IF(S2263=0,0,$AD$2212*$AM$2199)</f>
        <v>0</v>
      </c>
      <c r="AF2263">
        <f>IFERROR(AE2263/$R$2212,0)</f>
        <v>0</v>
      </c>
      <c r="AG2263">
        <f>AE2263*($F$23+IF($F$23=0,0,($C$14+$C$15+IF($C$13="single",1.5,3)+3)/12))</f>
        <v>0</v>
      </c>
      <c r="AH2263">
        <f>AG2263-X2263</f>
        <v>0</v>
      </c>
      <c r="AI2263" cm="1">
        <f t="array" ref="AI2263">IFERROR(IF(AH2263&lt;0,0,AH2263/($R$2212-INDEX(hd_off,MATCH(AQ2263,hd_mark,0),0)/12)),0)</f>
        <v>0</v>
      </c>
      <c r="AJ2263">
        <f>MAX($F$23,$AA$2212)/$Q$2228</f>
        <v>0</v>
      </c>
      <c r="AK2263">
        <f t="shared" si="1401"/>
        <v>0</v>
      </c>
      <c r="AL2263" cm="1">
        <f t="array" ref="AL2263">IFERROR(INDEX(sheath_ecap_asd,MATCH(AP2263,sheath_mark,0),0)*AK2263,0)</f>
        <v>0</v>
      </c>
      <c r="AM2263" cm="1">
        <f t="array" ref="AM2263">IFERROR(INDEX(sheath_wcap_asd,MATCH(AP2263,sheath_mark,0),0)*AK2263,0)</f>
        <v>0</v>
      </c>
      <c r="AN2263" cm="1">
        <f t="array" ref="AN2263">IFERROR(INDEX(hd_cap,MATCH(AQ2263,hd_mark,0),0),0)</f>
        <v>0</v>
      </c>
      <c r="AP2263" s="19"/>
      <c r="AQ2263" s="19"/>
      <c r="AR2263" s="100"/>
      <c r="AS2263" s="93"/>
      <c r="AT2263" s="109" t="s">
        <v>491</v>
      </c>
      <c r="AU2263" t="str">
        <f>$Q$2199</f>
        <v>L4</v>
      </c>
      <c r="AV2263">
        <f>$E$23</f>
        <v>0</v>
      </c>
      <c r="AW2263" cm="1">
        <f t="array" ref="AW2263">IFERROR(IF(AV2263=0,0,(INDEX($C$33:$C$38,MATCH($AZ$2212,$B$33:$B$38,0),0)*(AV2265+$BA$2212)+$AW$2212*COUNTIF(AV2263:AV2264,"&gt;0")*$C$32+$AY$2212*$C$31)*$AU$2212),0)</f>
        <v>0</v>
      </c>
      <c r="AX2263">
        <f>IF(AV2263=0,0,-(COUNTIF(AV2263:AV2264,"&gt;0")*$AW$2212*$C$32+$AY$2212*$C$31)*$H$27*$AU$2212)</f>
        <v>0</v>
      </c>
      <c r="AY2263">
        <f>IF(AV2263=0,0,$AY$2212*$H$26*$AU$2212)</f>
        <v>0</v>
      </c>
      <c r="AZ2263">
        <f>(0.6*AW2263+0.7*AX2263)*$AU$2212/2</f>
        <v>0</v>
      </c>
      <c r="BA2263">
        <f>AW2263*$AU$2212/2</f>
        <v>0</v>
      </c>
      <c r="BC2263">
        <f>IF(AV2263=0,0,$BG$2212*$AP$2199)</f>
        <v>0</v>
      </c>
      <c r="BD2263">
        <f>IFERROR(BC2263/$AU$2212,0)</f>
        <v>0</v>
      </c>
      <c r="BE2263">
        <f>BC2263*($F$23+IF($F$23=0,0,($C$14+$C$15+IF($C$13="single",1.5,3)+3)/12))</f>
        <v>0</v>
      </c>
      <c r="BF2263">
        <f>BE2263-AZ2263</f>
        <v>0</v>
      </c>
      <c r="BG2263" cm="1">
        <f t="array" ref="BG2263">IFERROR(IF(BF2263&lt;0,0,BF2263/($AU$2212-INDEX(hd_off,MATCH(BT2263,hd_mark,0),0)/12)),0)</f>
        <v>0</v>
      </c>
      <c r="BH2263">
        <f>IF(AV2263=0,0,$BG$2212*$AM$2199)</f>
        <v>0</v>
      </c>
      <c r="BI2263">
        <f>IFERROR(BH2263/$AU$2212,0)</f>
        <v>0</v>
      </c>
      <c r="BJ2263">
        <f>BH2263*($F$23+IF($F$23=0,0,($C$14+$C$15+IF($C$13="single",1.5,3)+3)/12))</f>
        <v>0</v>
      </c>
      <c r="BK2263">
        <f>BJ2263-BA2263</f>
        <v>0</v>
      </c>
      <c r="BL2263" cm="1">
        <f t="array" ref="BL2263">IFERROR(IF(BK2263&lt;0,0,BK2263/($AU$2212-INDEX(hd_off,MATCH(BT2263,hd_mark,0),0)/12)),0)</f>
        <v>0</v>
      </c>
      <c r="BM2263">
        <f>MAX($F$23,$BD$2212)/$Q$2228</f>
        <v>0</v>
      </c>
      <c r="BN2263">
        <f t="shared" si="1402"/>
        <v>0</v>
      </c>
      <c r="BO2263" cm="1">
        <f t="array" ref="BO2263">IFERROR(INDEX(sheath_ecap_asd,MATCH(BS2263,sheath_mark,0),0)*BN2263,0)</f>
        <v>0</v>
      </c>
      <c r="BP2263" cm="1">
        <f t="array" ref="BP2263">IFERROR(INDEX(sheath_wcap_asd,MATCH(BS2263,sheath_mark,0),0)*BN2263,0)</f>
        <v>0</v>
      </c>
      <c r="BQ2263" cm="1">
        <f t="array" ref="BQ2263">IFERROR(INDEX(hd_cap,MATCH(BT2263,hd_mark,0),0),0)</f>
        <v>0</v>
      </c>
      <c r="BS2263" s="19"/>
      <c r="BT2263" s="19"/>
      <c r="BU2263" s="100"/>
    </row>
    <row r="2264" x14ac:dyDescent="0.25">
      <c r="P2264" s="93"/>
      <c r="Q2264" s="111">
        <f>$R$2212</f>
        <v>0</v>
      </c>
      <c r="R2264" t="str">
        <f>$Q$2200</f>
        <v>L5</v>
      </c>
      <c r="S2264">
        <f>$E$24</f>
        <v>0</v>
      </c>
      <c r="T2264" cm="1">
        <f t="array" ref="T2264">IFERROR(IF(S2264=0,0,(INDEX($C$33:$C$38,MATCH($W$2212,$B$33:$B$38,0),0)*(S2265+$X$2212)+$T$2212*COUNTIF(S2264:S2264,"&gt;0")*$C$32+$V$2212*$C$31)*$R$2212),0)</f>
        <v>0</v>
      </c>
      <c r="U2264">
        <f>IF(S2264=0,0,-(COUNTIF(S2264:S2264,"&gt;0")*$T$2212*$C$32+$V$2212*$C$31)*$H$27*$R$2212)</f>
        <v>0</v>
      </c>
      <c r="V2264">
        <f>IF(S2264=0,0,$V$2212*$H$26*$R$2212)</f>
        <v>0</v>
      </c>
      <c r="W2264">
        <f>(0.6*T2264+0.7*U2264)*$R$2212/2</f>
        <v>0</v>
      </c>
      <c r="X2264">
        <f>T2264*$R$2212/2</f>
        <v>0</v>
      </c>
      <c r="Z2264">
        <f>IF(S2264=0,0,$AD$2212*$AP$2200)</f>
        <v>0</v>
      </c>
      <c r="AA2264">
        <f>IFERROR(Z2264/$R$2212,0)</f>
        <v>0</v>
      </c>
      <c r="AB2264">
        <f>Z2264*($F$24+IF($F$24=0,0,($C$14+$C$15+IF($C$13="single",1.5,3)+3)/12))</f>
        <v>0</v>
      </c>
      <c r="AC2264">
        <f>AB2264-W2264</f>
        <v>0</v>
      </c>
      <c r="AD2264" cm="1">
        <f t="array" ref="AD2264">IFERROR(IF(AC2264&lt;0,0,AC2264/($R$2212-INDEX(hd_off,MATCH(AQ2264,hd_mark,0),0)/12)),0)</f>
        <v>0</v>
      </c>
      <c r="AE2264">
        <f>IF(S2264=0,0,$AD$2212*$AM$2200)</f>
        <v>0</v>
      </c>
      <c r="AF2264">
        <f>IFERROR(AE2264/$R$2212,0)</f>
        <v>0</v>
      </c>
      <c r="AG2264">
        <f>AE2264*($F$24+IF($F$24=0,0,($C$14+$C$15+IF($C$13="single",1.5,3)+3)/12))</f>
        <v>0</v>
      </c>
      <c r="AH2264">
        <f>AG2264-X2264</f>
        <v>0</v>
      </c>
      <c r="AI2264" cm="1">
        <f t="array" ref="AI2264">IFERROR(IF(AH2264&lt;0,0,AH2264/($R$2212-INDEX(hd_off,MATCH(AQ2264,hd_mark,0),0)/12)),0)</f>
        <v>0</v>
      </c>
      <c r="AJ2264">
        <f>MAX($F$24,$AB$2212)/$Q$2228</f>
        <v>0</v>
      </c>
      <c r="AK2264">
        <f t="shared" si="1401"/>
        <v>0</v>
      </c>
      <c r="AL2264" cm="1">
        <f t="array" ref="AL2264">IFERROR(INDEX(sheath_ecap_asd,MATCH(AP2264,sheath_mark,0),0)*AK2264,0)</f>
        <v>0</v>
      </c>
      <c r="AM2264" cm="1">
        <f t="array" ref="AM2264">IFERROR(INDEX(sheath_wcap_asd,MATCH(AP2264,sheath_mark,0),0)*AK2264,0)</f>
        <v>0</v>
      </c>
      <c r="AN2264" cm="1">
        <f t="array" ref="AN2264">IFERROR(INDEX(hd_cap,MATCH(AQ2264,hd_mark,0),0),0)</f>
        <v>0</v>
      </c>
      <c r="AP2264" s="19"/>
      <c r="AQ2264" s="19"/>
      <c r="AR2264" s="100"/>
      <c r="AS2264" s="93"/>
      <c r="AT2264" s="111">
        <f>$R$2212</f>
        <v>0</v>
      </c>
      <c r="AU2264" t="str">
        <f>$Q$2200</f>
        <v>L5</v>
      </c>
      <c r="AV2264">
        <f>$E$24</f>
        <v>0</v>
      </c>
      <c r="AW2264" cm="1">
        <f t="array" ref="AW2264">IFERROR(IF(AV2264=0,0,(INDEX($C$33:$C$38,MATCH($AZ$2212,$B$33:$B$38,0),0)*(AV2265+$BA$2212)+$AW$2212*COUNTIF(AV2264:AV2264,"&gt;0")*$C$32+$AY$2212*$C$31)*$AU$2212),0)</f>
        <v>0</v>
      </c>
      <c r="AX2264">
        <f>IF(AV2264=0,0,-(COUNTIF(AV2264:AV2264,"&gt;0")*$AW$2212*$C$32+$AY$2212*$C$31)*$H$27*$AU$2212)</f>
        <v>0</v>
      </c>
      <c r="AY2264">
        <f>IF(AV2264=0,0,$AY$2212*$H$26*$AU$2212)</f>
        <v>0</v>
      </c>
      <c r="AZ2264">
        <f>(0.6*AW2264+0.7*AX2264)*$AU$2212/2</f>
        <v>0</v>
      </c>
      <c r="BA2264">
        <f>AW2264*$AU$2212/2</f>
        <v>0</v>
      </c>
      <c r="BC2264">
        <f>IF(AV2264=0,0,$BG$2212*$AP$2200)</f>
        <v>0</v>
      </c>
      <c r="BD2264">
        <f>IFERROR(BC2264/$AU$2212,0)</f>
        <v>0</v>
      </c>
      <c r="BE2264">
        <f>BC2264*($F$24+IF($F$24=0,0,($C$14+$C$15+IF($C$13="single",1.5,3)+3)/12))</f>
        <v>0</v>
      </c>
      <c r="BF2264">
        <f>BE2264-AZ2264</f>
        <v>0</v>
      </c>
      <c r="BG2264" cm="1">
        <f t="array" ref="BG2264">IFERROR(IF(BF2264&lt;0,0,BF2264/($AU$2212-INDEX(hd_off,MATCH(BT2264,hd_mark,0),0)/12)),0)</f>
        <v>0</v>
      </c>
      <c r="BH2264">
        <f>IF(AV2264=0,0,$BG$2212*$AM$2200)</f>
        <v>0</v>
      </c>
      <c r="BI2264">
        <f>IFERROR(BH2264/$AU$2212,0)</f>
        <v>0</v>
      </c>
      <c r="BJ2264">
        <f>BH2264*($F$24+IF($F$24=0,0,($C$14+$C$15+IF($C$13="single",1.5,3)+3)/12))</f>
        <v>0</v>
      </c>
      <c r="BK2264">
        <f>BJ2264-BA2264</f>
        <v>0</v>
      </c>
      <c r="BL2264" cm="1">
        <f t="array" ref="BL2264">IFERROR(IF(BK2264&lt;0,0,BK2264/($AU$2212-INDEX(hd_off,MATCH(BT2264,hd_mark,0),0)/12)),0)</f>
        <v>0</v>
      </c>
      <c r="BM2264">
        <f>MAX($F$24,$BE$2212)/$Q$2228</f>
        <v>0</v>
      </c>
      <c r="BN2264">
        <f t="shared" si="1402"/>
        <v>0</v>
      </c>
      <c r="BO2264" cm="1">
        <f t="array" ref="BO2264">IFERROR(INDEX(sheath_ecap_asd,MATCH(BS2264,sheath_mark,0),0)*BN2264,0)</f>
        <v>0</v>
      </c>
      <c r="BP2264" cm="1">
        <f t="array" ref="BP2264">IFERROR(INDEX(sheath_wcap_asd,MATCH(BS2264,sheath_mark,0),0)*BN2264,0)</f>
        <v>0</v>
      </c>
      <c r="BQ2264" cm="1">
        <f t="array" ref="BQ2264">IFERROR(INDEX(hd_cap,MATCH(BT2264,hd_mark,0),0),0)</f>
        <v>0</v>
      </c>
      <c r="BS2264" s="19"/>
      <c r="BT2264" s="19"/>
      <c r="BU2264" s="100"/>
    </row>
    <row r="2265" x14ac:dyDescent="0.25">
      <c r="P2265" s="93"/>
      <c r="Q2265" s="109"/>
      <c r="R2265" t="str">
        <f>$Q$2201</f>
        <v>Roof</v>
      </c>
      <c r="S2265">
        <f>$E$25</f>
        <v>33.171875</v>
      </c>
      <c r="T2265" cm="1">
        <f t="array" ref="T2265">IFERROR(IF(S2265=0,0,(INDEX($C$33:$C$38,MATCH($W$2212,$B$33:$B$38,0),0)*(S2265+$X$2212)+$V$2212*$C$31)*$R$2212),0)</f>
        <v>0</v>
      </c>
      <c r="U2265">
        <f>IF(S2265=0,0,-$V$2212*$C$31*$H$27*$R$2212)</f>
        <v>0</v>
      </c>
      <c r="V2265">
        <f>IF(S2265=0,0,$V$2212*$H$26*$R$2212)</f>
        <v>0</v>
      </c>
      <c r="W2265">
        <f>(0.6*T2265+0.7*U2265)*$R$2212/2</f>
        <v>0</v>
      </c>
      <c r="X2265">
        <f>T2265*$R$2212/2</f>
        <v>0</v>
      </c>
      <c r="Z2265">
        <f>IF(S2265=0,0,$AD$2212*$AP$2201)</f>
        <v>0</v>
      </c>
      <c r="AA2265">
        <f>IFERROR(Z2265/$R$2212,0)</f>
        <v>0</v>
      </c>
      <c r="AB2265">
        <f>Z2265*($F$25+($C$16+$C$17+IF($C$13="single",1.5,3)+3)/12)</f>
        <v>0</v>
      </c>
      <c r="AC2265">
        <f>AB2265-W2265</f>
        <v>0</v>
      </c>
      <c r="AD2265" cm="1">
        <f t="array" ref="AD2265">IFERROR(IF(AC2265&lt;0,0,AC2265/($R$2212-INDEX(hd_off,MATCH(AQ2265,hd_mark,0),0)/12)),0)</f>
        <v>0</v>
      </c>
      <c r="AE2265">
        <f>IF(S2265=0,0,$AD$2212*$AM$2201)</f>
        <v>0</v>
      </c>
      <c r="AF2265">
        <f>IFERROR(AE2265/$R$2212,0)</f>
        <v>0</v>
      </c>
      <c r="AG2265">
        <f>AE2265*($F$25+($C$16+$C$17+IF($C$13="single",1.5,3)+3)/12)</f>
        <v>0</v>
      </c>
      <c r="AH2265">
        <f>AG2265-X2265</f>
        <v>0</v>
      </c>
      <c r="AI2265" cm="1">
        <f t="array" ref="AI2265">IFERROR(IF(AH2265&lt;0,0,AH2265/($R$2212-INDEX(hd_off,MATCH(AQ2265,hd_mark,0),0)/12)),0)</f>
        <v>0</v>
      </c>
      <c r="AJ2265">
        <f>MAX($F$25,$AC$2212)/$Q$2228</f>
        <v>0.29920977011494249</v>
      </c>
      <c r="AK2265">
        <f t="shared" si="1401"/>
        <v>1</v>
      </c>
      <c r="AL2265" cm="1">
        <f t="array" ref="AL2265">IFERROR(INDEX(sheath_ecap_asd,MATCH(AP2265,sheath_mark,0),0)*AK2265,0)</f>
        <v>0</v>
      </c>
      <c r="AM2265" cm="1">
        <f t="array" ref="AM2265">IFERROR(INDEX(sheath_wcap_asd,MATCH(AP2265,sheath_mark,0),0)*AK2265,0)</f>
        <v>0</v>
      </c>
      <c r="AN2265" cm="1">
        <f t="array" ref="AN2265">IFERROR(INDEX(hd_cap,MATCH(AQ2265,hd_mark,0),0),0)</f>
        <v>0</v>
      </c>
      <c r="AP2265" s="19"/>
      <c r="AQ2265" s="19"/>
      <c r="AR2265" s="100"/>
      <c r="AS2265" s="93"/>
      <c r="AT2265" s="109"/>
      <c r="AU2265" t="str">
        <f>$Q$2201</f>
        <v>Roof</v>
      </c>
      <c r="AV2265">
        <f>$E$25</f>
        <v>33.171875</v>
      </c>
      <c r="AW2265" cm="1">
        <f t="array" ref="AW2265">IFERROR(IF(AV2265=0,0,(INDEX($C$33:$C$38,MATCH($AZ$2212,$B$33:$B$38,0),0)*(AV2265+$BA$2212)+$AY$2212*$C$31)*$AU$2212),0)</f>
        <v>0</v>
      </c>
      <c r="AX2265">
        <f>IF(AV2265=0,0,-$AY$2212*$C$31*$H$27*$AU$2212)</f>
        <v>0</v>
      </c>
      <c r="AY2265">
        <f>IF(AV2265=0,0,$AY$2212*$H$26*$AU$2212)</f>
        <v>0</v>
      </c>
      <c r="AZ2265">
        <f>(0.6*AW2265+0.7*AX2265)*$AU$2212/2</f>
        <v>0</v>
      </c>
      <c r="BA2265">
        <f>AW2265*$AU$2212/2</f>
        <v>0</v>
      </c>
      <c r="BC2265">
        <f>IF(AV2265=0,0,$BG$2212*$AP$2201)</f>
        <v>0</v>
      </c>
      <c r="BD2265">
        <f>IFERROR(BC2265/$AU$2212,0)</f>
        <v>0</v>
      </c>
      <c r="BE2265">
        <f>BC2265*($F$25+($C$16+$C$17+IF($C$13="single",1.5,3)+3)/12)</f>
        <v>0</v>
      </c>
      <c r="BF2265">
        <f>BE2265-AZ2265</f>
        <v>0</v>
      </c>
      <c r="BG2265" cm="1">
        <f t="array" ref="BG2265">IFERROR(IF(BF2265&lt;0,0,BF2265/($AU$2212-INDEX(hd_off,MATCH(BT2265,hd_mark,0),0)/12)),0)</f>
        <v>0</v>
      </c>
      <c r="BH2265">
        <f>IF(AV2265=0,0,$BG$2212*$AM$2201)</f>
        <v>0</v>
      </c>
      <c r="BI2265">
        <f>IFERROR(BH2265/$AU$2212,0)</f>
        <v>0</v>
      </c>
      <c r="BJ2265">
        <f>BH2265*($F$25+($C$16+$C$17+IF($C$13="single",1.5,3)+3)/12)</f>
        <v>0</v>
      </c>
      <c r="BK2265">
        <f>BJ2265-BA2265</f>
        <v>0</v>
      </c>
      <c r="BL2265" cm="1">
        <f t="array" ref="BL2265">IFERROR(IF(BK2265&lt;0,0,BK2265/($AU$2212-INDEX(hd_off,MATCH(BT2265,hd_mark,0),0)/12)),0)</f>
        <v>0</v>
      </c>
      <c r="BM2265">
        <f>MAX($F$25,$BF$2212)/$Q$2228</f>
        <v>0.29920977011494249</v>
      </c>
      <c r="BN2265">
        <f t="shared" si="1402"/>
        <v>1</v>
      </c>
      <c r="BO2265" cm="1">
        <f t="array" ref="BO2265">IFERROR(INDEX(sheath_ecap_asd,MATCH(BS2265,sheath_mark,0),0)*BN2265,0)</f>
        <v>0</v>
      </c>
      <c r="BP2265" cm="1">
        <f t="array" ref="BP2265">IFERROR(INDEX(sheath_wcap_asd,MATCH(BS2265,sheath_mark,0),0)*BN2265,0)</f>
        <v>0</v>
      </c>
      <c r="BQ2265" cm="1">
        <f t="array" ref="BQ2265">IFERROR(INDEX(hd_cap,MATCH(BT2265,hd_mark,0),0),0)</f>
        <v>0</v>
      </c>
      <c r="BS2265" s="19"/>
      <c r="BT2265" s="19"/>
      <c r="BU2265" s="100"/>
    </row>
    <row r="2266" x14ac:dyDescent="0.25">
      <c r="P2266" s="93"/>
      <c r="AR2266" s="100"/>
      <c r="AS2266" s="93"/>
      <c r="BU2266" s="100"/>
    </row>
    <row r="2267" x14ac:dyDescent="0.25">
      <c r="P2267" s="93"/>
      <c r="Q2267" s="110" t="str">
        <f>$Q$2213</f>
        <v>A.08</v>
      </c>
      <c r="R2267" t="str">
        <f>$Q$2197</f>
        <v>L2</v>
      </c>
      <c r="S2267">
        <f>$E$21</f>
        <v>10.6875</v>
      </c>
      <c r="T2267" cm="1">
        <f t="array" ref="T2267">IFERROR(IF(S2267=0,0,(INDEX($C$33:$C$38,MATCH($W$2213,$B$33:$B$38,0),0)*(S2271+$X$2213)+$T$2213*COUNTIF(S2267:S2270,"&gt;0")*$C$32+$V$2213*$C$31)*$R$2213),0)</f>
        <v>0</v>
      </c>
      <c r="U2267">
        <f>IF(S2267=0,0,-(COUNTIF(S2267:S2270,"&gt;0")*$T$2213*$C$32+$V$2213*$C$31)*$H$27*$R$2213)</f>
        <v>0</v>
      </c>
      <c r="V2267">
        <f>IF(S2267=0,0,$V$2213*$H$26*$R$2213)</f>
        <v>0</v>
      </c>
      <c r="W2267">
        <f>(0.6*T2267+0.7*U2267)*$R$2213/2</f>
        <v>0</v>
      </c>
      <c r="X2267">
        <f>(0.6*T2267+0.6*V2267)*$R$2213/2</f>
        <v>0</v>
      </c>
      <c r="Z2267">
        <f>IF(S2267=0,0,$AD$2213*$AP$2197)</f>
        <v>0</v>
      </c>
      <c r="AA2267">
        <f>IFERROR(Z2267/$R$2213,0)</f>
        <v>0</v>
      </c>
      <c r="AB2267">
        <f>Z2267*($F$21+IF($F$21=0,0,($C$14+$C$15+IF($C$13="single",1.5,3)+3)/12))</f>
        <v>0</v>
      </c>
      <c r="AC2267">
        <f>AB2267-W2267</f>
        <v>0</v>
      </c>
      <c r="AD2267" cm="1">
        <f t="array" ref="AD2267">IFERROR(IF(AC2267&lt;0,0,AC2267/($R$2213-INDEX(hd_off,MATCH(AQ2267,hd_mark,0),0)/12)),0)</f>
        <v>0</v>
      </c>
      <c r="AE2267">
        <f>IF(S2267=0,0,$AD$2213*$AM$2197)</f>
        <v>0</v>
      </c>
      <c r="AF2267">
        <f>IFERROR(AE2267/$R$2213,0)</f>
        <v>0</v>
      </c>
      <c r="AG2267">
        <f>AE2267*($F$21+IF($F$21=0,0,($C$14+$C$15+IF($C$13="single",1.5,3)+3)/12))</f>
        <v>0</v>
      </c>
      <c r="AH2267">
        <f>AG2267-X2267</f>
        <v>0</v>
      </c>
      <c r="AI2267" cm="1">
        <f t="array" ref="AI2267">IFERROR(IF(AH2267&lt;0,0,AH2267/($R$2213-INDEX(hd_off,MATCH(AQ2267,hd_mark,0),0)/12)),0)</f>
        <v>0</v>
      </c>
      <c r="AJ2267">
        <f>MAX($F$21,$Y$2213)/$Q$2228</f>
        <v>0.30172413793103448</v>
      </c>
      <c r="AK2267">
        <f>IF(AJ2267=0,0,IF(AJ2267&gt;2,1.25-0.125*AJ2267,1))</f>
        <v>1</v>
      </c>
      <c r="AL2267" cm="1">
        <f t="array" ref="AL2267">IFERROR(INDEX(sheath_ecap_asd,MATCH(AP2267,sheath_mark,0),0)*AK2267,0)</f>
        <v>0</v>
      </c>
      <c r="AM2267" cm="1">
        <f t="array" ref="AM2267">IFERROR(INDEX(sheath_wcap_asd,MATCH(AP2267,sheath_mark,0),0)*AK2267,0)</f>
        <v>0</v>
      </c>
      <c r="AN2267" cm="1">
        <f t="array" ref="AN2267">IFERROR(INDEX(hd_cap,MATCH(AQ2267,hd_mark,0),0),0)</f>
        <v>0</v>
      </c>
      <c r="AP2267" s="19"/>
      <c r="AQ2267" s="19"/>
      <c r="AR2267" s="100"/>
      <c r="AS2267" s="93"/>
      <c r="AT2267" s="110" t="str">
        <f>$AT$2213</f>
        <v>1.08</v>
      </c>
      <c r="AU2267" t="str">
        <f>$Q$2197</f>
        <v>L2</v>
      </c>
      <c r="AV2267">
        <f>$E$21</f>
        <v>10.6875</v>
      </c>
      <c r="AW2267" cm="1">
        <f t="array" ref="AW2267">IFERROR(IF(AV2267=0,0,(INDEX($C$33:$C$38,MATCH($AZ$2213,$B$33:$B$38,0),0)*(AV2271+$BA$2213)+$AW$2213*COUNTIF(AV2267:AV2270,"&gt;0")*$C$32+$AY$2213*$C$31)*$AU$2213),0)</f>
        <v>0</v>
      </c>
      <c r="AX2267">
        <f>IF(AV2267=0,0,-(COUNTIF(AV2267:AV2270,"&gt;0")*$AW$2213*$C$32+$AY$2213*$C$31)*$H$27*$AU$2213)</f>
        <v>0</v>
      </c>
      <c r="AY2267">
        <f>IF(AV2267=0,0,$AY$2213*$H$26*$AU$2213)</f>
        <v>0</v>
      </c>
      <c r="AZ2267">
        <f>(0.6*AW2267+0.7*AX2267)*$AU$2213/2</f>
        <v>0</v>
      </c>
      <c r="BA2267">
        <f>(0.6*AW2267+0.6*AY2267)*$AU$2213/2</f>
        <v>0</v>
      </c>
      <c r="BC2267">
        <f>IF(AV2267=0,0,$BG$2213*$AP$2197)</f>
        <v>0</v>
      </c>
      <c r="BD2267">
        <f>IFERROR(BC2267/$AU$2213,0)</f>
        <v>0</v>
      </c>
      <c r="BE2267">
        <f>BC2267*($F$21+IF($F$21=0,0,($C$14+$C$15+IF($C$13="single",1.5,3)+3)/12))</f>
        <v>0</v>
      </c>
      <c r="BF2267">
        <f>BE2267-AZ2267</f>
        <v>0</v>
      </c>
      <c r="BG2267" cm="1">
        <f t="array" ref="BG2267">IFERROR(IF(BF2267&lt;0,0,BF2267/($AU$2213-INDEX(hd_off,MATCH(BT2267,hd_mark,0),0)/12)),0)</f>
        <v>0</v>
      </c>
      <c r="BH2267">
        <f>IF(AV2267=0,0,$BG$2213*$AM$2197)</f>
        <v>0</v>
      </c>
      <c r="BI2267">
        <f>IFERROR(BH2267/$AU$2213,0)</f>
        <v>0</v>
      </c>
      <c r="BJ2267">
        <f>BH2267*($F$21+IF($F$21=0,0,($C$14+$C$15+IF($C$13="single",1.5,3)+3)/12))</f>
        <v>0</v>
      </c>
      <c r="BK2267">
        <f>BJ2267-BA2267</f>
        <v>0</v>
      </c>
      <c r="BL2267" cm="1">
        <f t="array" ref="BL2267">IFERROR(IF(BK2267&lt;0,0,BK2267/($AU$2213-INDEX(hd_off,MATCH(BT2267,hd_mark,0),0)/12)),0)</f>
        <v>0</v>
      </c>
      <c r="BM2267">
        <f>MAX($F$21,$BB$2213)/$Q$2228</f>
        <v>0.30172413793103448</v>
      </c>
      <c r="BN2267">
        <f>IF(BM2267=0,0,IF(BM2267&gt;2,1.25-0.125*BM2267,1))</f>
        <v>1</v>
      </c>
      <c r="BO2267" cm="1">
        <f t="array" ref="BO2267">IFERROR(INDEX(sheath_ecap_asd,MATCH(BS2267,sheath_mark,0),0)*BN2267,0)</f>
        <v>0</v>
      </c>
      <c r="BP2267" cm="1">
        <f t="array" ref="BP2267">IFERROR(INDEX(sheath_wcap_asd,MATCH(BS2267,sheath_mark,0),0)*BN2267,0)</f>
        <v>0</v>
      </c>
      <c r="BQ2267" cm="1">
        <f t="array" ref="BQ2267">IFERROR(INDEX(hd_cap,MATCH(BT2267,hd_mark,0),0),0)</f>
        <v>0</v>
      </c>
      <c r="BS2267" s="19"/>
      <c r="BT2267" s="19"/>
      <c r="BU2267" s="100"/>
    </row>
    <row r="2268" x14ac:dyDescent="0.25">
      <c r="P2268" s="93"/>
      <c r="Q2268" s="109"/>
      <c r="R2268" t="str">
        <f>$Q$2198</f>
        <v>L3</v>
      </c>
      <c r="S2268">
        <f>$E$22</f>
        <v>21.375</v>
      </c>
      <c r="T2268" cm="1">
        <f t="array" ref="T2268">IFERROR(IF(S2268=0,0,(INDEX($C$33:$C$38,MATCH($W$2213,$B$33:$B$38,0),0)*(S2271+$X$2213)+$T$2213*COUNTIF(S2268:S2270,"&gt;0")*$C$32+$V$2213*$C$31)*$R$2213),0)</f>
        <v>0</v>
      </c>
      <c r="U2268">
        <f>IF(S2268=0,0,-(COUNTIF(S2268:S2270,"&gt;0")*$T$2213*$C$32+$V$2213*$C$31)*$H$27*$R$2213)</f>
        <v>0</v>
      </c>
      <c r="V2268">
        <f>IF(S2268=0,0,$V$2213*$H$26*$R$2213)</f>
        <v>0</v>
      </c>
      <c r="W2268">
        <f>(0.6*T2268+0.7*U2268)*$R$2213/2</f>
        <v>0</v>
      </c>
      <c r="X2268">
        <f>T2268*$R$2213/2</f>
        <v>0</v>
      </c>
      <c r="Z2268">
        <f>IF(S2268=0,0,$AD$2213*$AP$2198)</f>
        <v>0</v>
      </c>
      <c r="AA2268">
        <f>IFERROR(Z2268/$R$2213,0)</f>
        <v>0</v>
      </c>
      <c r="AB2268">
        <f>Z2268*($F$22+IF($F$22=0,0,($C$14+$C$15+IF($C$13="single",1.5,3)+3)/12))</f>
        <v>0</v>
      </c>
      <c r="AC2268">
        <f>AB2268-W2268</f>
        <v>0</v>
      </c>
      <c r="AD2268" cm="1">
        <f t="array" ref="AD2268">IFERROR(IF(AC2268&lt;0,0,AC2268/($R$2213-INDEX(hd_off,MATCH(AQ2268,hd_mark,0),0)/12)),0)</f>
        <v>0</v>
      </c>
      <c r="AE2268">
        <f>IF(S2268=0,0,$AD$2213*$AM$2198)</f>
        <v>0</v>
      </c>
      <c r="AF2268">
        <f>IFERROR(AE2268/$R$2213,0)</f>
        <v>0</v>
      </c>
      <c r="AG2268">
        <f>AE2268*($F$22+IF($F$22=0,0,($C$14+$C$15+IF($C$13="single",1.5,3)+3)/12))</f>
        <v>0</v>
      </c>
      <c r="AH2268">
        <f>AG2268-X2268</f>
        <v>0</v>
      </c>
      <c r="AI2268" cm="1">
        <f t="array" ref="AI2268">IFERROR(IF(AH2268&lt;0,0,AH2268/($R$2213-INDEX(hd_off,MATCH(AQ2268,hd_mark,0),0)/12)),0)</f>
        <v>0</v>
      </c>
      <c r="AJ2268">
        <f>MAX($F$22,$Z$2213)/$Q$2228</f>
        <v>0.30172413793103448</v>
      </c>
      <c r="AK2268">
        <f t="shared" ref="AK2268:AK2271" si="1403">IF(AJ2268=0,0,IF(AJ2268&gt;2,1.25-0.125*AJ2268,1))</f>
        <v>1</v>
      </c>
      <c r="AL2268" cm="1">
        <f t="array" ref="AL2268">IFERROR(INDEX(sheath_ecap_asd,MATCH(AP2268,sheath_mark,0),0)*AK2268,0)</f>
        <v>0</v>
      </c>
      <c r="AM2268" cm="1">
        <f t="array" ref="AM2268">IFERROR(INDEX(sheath_wcap_asd,MATCH(AP2268,sheath_mark,0),0)*AK2268,0)</f>
        <v>0</v>
      </c>
      <c r="AN2268" cm="1">
        <f t="array" ref="AN2268">IFERROR(INDEX(hd_cap,MATCH(AQ2268,hd_mark,0),0),0)</f>
        <v>0</v>
      </c>
      <c r="AP2268" s="19"/>
      <c r="AQ2268" s="19"/>
      <c r="AR2268" s="100"/>
      <c r="AS2268" s="93"/>
      <c r="AT2268" s="109"/>
      <c r="AU2268" t="str">
        <f>$Q$2198</f>
        <v>L3</v>
      </c>
      <c r="AV2268">
        <f>$E$22</f>
        <v>21.375</v>
      </c>
      <c r="AW2268" cm="1">
        <f t="array" ref="AW2268">IFERROR(IF(AV2268=0,0,(INDEX($C$33:$C$38,MATCH($AZ$2213,$B$33:$B$38,0),0)*(AV2271+$BA$2213)+$AW$2213*COUNTIF(AV2268:AV2270,"&gt;0")*$C$32+$AY$2213*$C$31)*$AU$2213),0)</f>
        <v>0</v>
      </c>
      <c r="AX2268">
        <f>IF(AV2268=0,0,-(COUNTIF(AV2268:AV2270,"&gt;0")*$AW$2213*$C$32+$AY$2213*$C$31)*$H$27*$AU$2213)</f>
        <v>0</v>
      </c>
      <c r="AY2268">
        <f>IF(AV2268=0,0,$AY$2213*$H$26*$AU$2213)</f>
        <v>0</v>
      </c>
      <c r="AZ2268">
        <f>(0.6*AW2268+0.7*AX2268)*$AU$2213/2</f>
        <v>0</v>
      </c>
      <c r="BA2268">
        <f>AW2268*$AU$2213/2</f>
        <v>0</v>
      </c>
      <c r="BC2268">
        <f>IF(AV2268=0,0,$BG$2213*$AP$2198)</f>
        <v>0</v>
      </c>
      <c r="BD2268">
        <f>IFERROR(BC2268/$AU$2213,0)</f>
        <v>0</v>
      </c>
      <c r="BE2268">
        <f>BC2268*($F$22+IF($F$22=0,0,($C$14+$C$15+IF($C$13="single",1.5,3)+3)/12))</f>
        <v>0</v>
      </c>
      <c r="BF2268">
        <f>BE2268-AZ2268</f>
        <v>0</v>
      </c>
      <c r="BG2268" cm="1">
        <f t="array" ref="BG2268">IFERROR(IF(BF2268&lt;0,0,BF2268/($AU$2213-INDEX(hd_off,MATCH(BT2268,hd_mark,0),0)/12)),0)</f>
        <v>0</v>
      </c>
      <c r="BH2268">
        <f>IF(AV2268=0,0,$BG$2213*$AM$2198)</f>
        <v>0</v>
      </c>
      <c r="BI2268">
        <f>IFERROR(BH2268/$AU$2213,0)</f>
        <v>0</v>
      </c>
      <c r="BJ2268">
        <f>BH2268*($F$22+IF($F$22=0,0,($C$14+$C$15+IF($C$13="single",1.5,3)+3)/12))</f>
        <v>0</v>
      </c>
      <c r="BK2268">
        <f>BJ2268-BA2268</f>
        <v>0</v>
      </c>
      <c r="BL2268" cm="1">
        <f t="array" ref="BL2268">IFERROR(IF(BK2268&lt;0,0,BK2268/($AU$2213-INDEX(hd_off,MATCH(BT2268,hd_mark,0),0)/12)),0)</f>
        <v>0</v>
      </c>
      <c r="BM2268">
        <f>MAX($F$22,$BC$2213)/$Q$2228</f>
        <v>0.30172413793103448</v>
      </c>
      <c r="BN2268">
        <f t="shared" ref="BN2268:BN2271" si="1404">IF(BM2268=0,0,IF(BM2268&gt;2,1.25-0.125*BM2268,1))</f>
        <v>1</v>
      </c>
      <c r="BO2268" cm="1">
        <f t="array" ref="BO2268">IFERROR(INDEX(sheath_ecap_asd,MATCH(BS2268,sheath_mark,0),0)*BN2268,0)</f>
        <v>0</v>
      </c>
      <c r="BP2268" cm="1">
        <f t="array" ref="BP2268">IFERROR(INDEX(sheath_wcap_asd,MATCH(BS2268,sheath_mark,0),0)*BN2268,0)</f>
        <v>0</v>
      </c>
      <c r="BQ2268" cm="1">
        <f t="array" ref="BQ2268">IFERROR(INDEX(hd_cap,MATCH(BT2268,hd_mark,0),0),0)</f>
        <v>0</v>
      </c>
      <c r="BS2268" s="19"/>
      <c r="BT2268" s="19"/>
      <c r="BU2268" s="100"/>
    </row>
    <row r="2269" x14ac:dyDescent="0.25">
      <c r="P2269" s="93"/>
      <c r="Q2269" s="109" t="s">
        <v>491</v>
      </c>
      <c r="R2269" t="str">
        <f>$Q$2199</f>
        <v>L4</v>
      </c>
      <c r="S2269">
        <f>$E$23</f>
        <v>0</v>
      </c>
      <c r="T2269" cm="1">
        <f t="array" ref="T2269">IFERROR(IF(S2269=0,0,(INDEX($C$33:$C$38,MATCH($W$2213,$B$33:$B$38,0),0)*(S2271+$X$2213)+$T$2213*COUNTIF(S2269:S2270,"&gt;0")*$C$32+$V$2213*$C$31)*$R$2213),0)</f>
        <v>0</v>
      </c>
      <c r="U2269">
        <f>IF(S2269=0,0,-(COUNTIF(S2269:S2270,"&gt;0")*$T$2213*$C$32+$V$2213*$C$31)*$H$27*$R$2213)</f>
        <v>0</v>
      </c>
      <c r="V2269">
        <f>IF(S2269=0,0,$V$2213*$H$26*$R$2213)</f>
        <v>0</v>
      </c>
      <c r="W2269">
        <f>(0.6*T2269+0.7*U2269)*$R$2213/2</f>
        <v>0</v>
      </c>
      <c r="X2269">
        <f>T2269*$R$2213/2</f>
        <v>0</v>
      </c>
      <c r="Z2269">
        <f>IF(S2269=0,0,$AD$2213*$AP$2199)</f>
        <v>0</v>
      </c>
      <c r="AA2269">
        <f>IFERROR(Z2269/$R$2213,0)</f>
        <v>0</v>
      </c>
      <c r="AB2269">
        <f>Z2269*($F$23+IF($F$23=0,0,($C$14+$C$15+IF($C$13="single",1.5,3)+3)/12))</f>
        <v>0</v>
      </c>
      <c r="AC2269">
        <f>AB2269-W2269</f>
        <v>0</v>
      </c>
      <c r="AD2269" cm="1">
        <f t="array" ref="AD2269">IFERROR(IF(AC2269&lt;0,0,AC2269/($R$2213-INDEX(hd_off,MATCH(AQ2269,hd_mark,0),0)/12)),0)</f>
        <v>0</v>
      </c>
      <c r="AE2269">
        <f>IF(S2269=0,0,$AD$2213*$AM$2199)</f>
        <v>0</v>
      </c>
      <c r="AF2269">
        <f>IFERROR(AE2269/$R$2213,0)</f>
        <v>0</v>
      </c>
      <c r="AG2269">
        <f>AE2269*($F$23+IF($F$23=0,0,($C$14+$C$15+IF($C$13="single",1.5,3)+3)/12))</f>
        <v>0</v>
      </c>
      <c r="AH2269">
        <f>AG2269-X2269</f>
        <v>0</v>
      </c>
      <c r="AI2269" cm="1">
        <f t="array" ref="AI2269">IFERROR(IF(AH2269&lt;0,0,AH2269/($R$2213-INDEX(hd_off,MATCH(AQ2269,hd_mark,0),0)/12)),0)</f>
        <v>0</v>
      </c>
      <c r="AJ2269">
        <f>MAX($F$23,$AA$2213)/$Q$2228</f>
        <v>0</v>
      </c>
      <c r="AK2269">
        <f t="shared" si="1403"/>
        <v>0</v>
      </c>
      <c r="AL2269" cm="1">
        <f t="array" ref="AL2269">IFERROR(INDEX(sheath_ecap_asd,MATCH(AP2269,sheath_mark,0),0)*AK2269,0)</f>
        <v>0</v>
      </c>
      <c r="AM2269" cm="1">
        <f t="array" ref="AM2269">IFERROR(INDEX(sheath_wcap_asd,MATCH(AP2269,sheath_mark,0),0)*AK2269,0)</f>
        <v>0</v>
      </c>
      <c r="AN2269" cm="1">
        <f t="array" ref="AN2269">IFERROR(INDEX(hd_cap,MATCH(AQ2269,hd_mark,0),0),0)</f>
        <v>0</v>
      </c>
      <c r="AP2269" s="19"/>
      <c r="AQ2269" s="19"/>
      <c r="AR2269" s="100"/>
      <c r="AS2269" s="93"/>
      <c r="AT2269" s="109" t="s">
        <v>491</v>
      </c>
      <c r="AU2269" t="str">
        <f>$Q$2199</f>
        <v>L4</v>
      </c>
      <c r="AV2269">
        <f>$E$23</f>
        <v>0</v>
      </c>
      <c r="AW2269" cm="1">
        <f t="array" ref="AW2269">IFERROR(IF(AV2269=0,0,(INDEX($C$33:$C$38,MATCH($AZ$2213,$B$33:$B$38,0),0)*(AV2271+$BA$2213)+$AW$2213*COUNTIF(AV2269:AV2270,"&gt;0")*$C$32+$AY$2213*$C$31)*$AU$2213),0)</f>
        <v>0</v>
      </c>
      <c r="AX2269">
        <f>IF(AV2269=0,0,-(COUNTIF(AV2269:AV2270,"&gt;0")*$AW$2213*$C$32+$AY$2213*$C$31)*$H$27*$AU$2213)</f>
        <v>0</v>
      </c>
      <c r="AY2269">
        <f>IF(AV2269=0,0,$AY$2213*$H$26*$AU$2213)</f>
        <v>0</v>
      </c>
      <c r="AZ2269">
        <f>(0.6*AW2269+0.7*AX2269)*$AU$2213/2</f>
        <v>0</v>
      </c>
      <c r="BA2269">
        <f>AW2269*$AU$2213/2</f>
        <v>0</v>
      </c>
      <c r="BC2269">
        <f>IF(AV2269=0,0,$BG$2213*$AP$2199)</f>
        <v>0</v>
      </c>
      <c r="BD2269">
        <f>IFERROR(BC2269/$AU$2213,0)</f>
        <v>0</v>
      </c>
      <c r="BE2269">
        <f>BC2269*($F$23+IF($F$23=0,0,($C$14+$C$15+IF($C$13="single",1.5,3)+3)/12))</f>
        <v>0</v>
      </c>
      <c r="BF2269">
        <f>BE2269-AZ2269</f>
        <v>0</v>
      </c>
      <c r="BG2269" cm="1">
        <f t="array" ref="BG2269">IFERROR(IF(BF2269&lt;0,0,BF2269/($AU$2213-INDEX(hd_off,MATCH(BT2269,hd_mark,0),0)/12)),0)</f>
        <v>0</v>
      </c>
      <c r="BH2269">
        <f>IF(AV2269=0,0,$BG$2213*$AM$2199)</f>
        <v>0</v>
      </c>
      <c r="BI2269">
        <f>IFERROR(BH2269/$AU$2213,0)</f>
        <v>0</v>
      </c>
      <c r="BJ2269">
        <f>BH2269*($F$23+IF($F$23=0,0,($C$14+$C$15+IF($C$13="single",1.5,3)+3)/12))</f>
        <v>0</v>
      </c>
      <c r="BK2269">
        <f>BJ2269-BA2269</f>
        <v>0</v>
      </c>
      <c r="BL2269" cm="1">
        <f t="array" ref="BL2269">IFERROR(IF(BK2269&lt;0,0,BK2269/($AU$2213-INDEX(hd_off,MATCH(BT2269,hd_mark,0),0)/12)),0)</f>
        <v>0</v>
      </c>
      <c r="BM2269">
        <f>MAX($F$23,$BD$2213)/$Q$2228</f>
        <v>0</v>
      </c>
      <c r="BN2269">
        <f t="shared" si="1404"/>
        <v>0</v>
      </c>
      <c r="BO2269" cm="1">
        <f t="array" ref="BO2269">IFERROR(INDEX(sheath_ecap_asd,MATCH(BS2269,sheath_mark,0),0)*BN2269,0)</f>
        <v>0</v>
      </c>
      <c r="BP2269" cm="1">
        <f t="array" ref="BP2269">IFERROR(INDEX(sheath_wcap_asd,MATCH(BS2269,sheath_mark,0),0)*BN2269,0)</f>
        <v>0</v>
      </c>
      <c r="BQ2269" cm="1">
        <f t="array" ref="BQ2269">IFERROR(INDEX(hd_cap,MATCH(BT2269,hd_mark,0),0),0)</f>
        <v>0</v>
      </c>
      <c r="BS2269" s="19"/>
      <c r="BT2269" s="19"/>
      <c r="BU2269" s="100"/>
    </row>
    <row r="2270" x14ac:dyDescent="0.25">
      <c r="P2270" s="93"/>
      <c r="Q2270" s="111">
        <f>$R$2213</f>
        <v>0</v>
      </c>
      <c r="R2270" t="str">
        <f>$Q$2200</f>
        <v>L5</v>
      </c>
      <c r="S2270">
        <f>$E$24</f>
        <v>0</v>
      </c>
      <c r="T2270" cm="1">
        <f t="array" ref="T2270">IFERROR(IF(S2270=0,0,(INDEX($C$33:$C$38,MATCH($W$2213,$B$33:$B$38,0),0)*(S2271+$X$2213)+$T$2213*COUNTIF(S2270:S2270,"&gt;0")*$C$32+$V$2213*$C$31)*$R$2213),0)</f>
        <v>0</v>
      </c>
      <c r="U2270">
        <f>IF(S2270=0,0,-(COUNTIF(S2270:S2270,"&gt;0")*$T$2213*$C$32+$V$2213*$C$31)*$H$27*$R$2213)</f>
        <v>0</v>
      </c>
      <c r="V2270">
        <f>IF(S2270=0,0,$V$2213*$H$26*$R$2213)</f>
        <v>0</v>
      </c>
      <c r="W2270">
        <f>(0.6*T2270+0.7*U2270)*$R$2213/2</f>
        <v>0</v>
      </c>
      <c r="X2270">
        <f>T2270*$R$2213/2</f>
        <v>0</v>
      </c>
      <c r="Z2270">
        <f>IF(S2270=0,0,$AD$2213*$AP$2200)</f>
        <v>0</v>
      </c>
      <c r="AA2270">
        <f>IFERROR(Z2270/$R$2213,0)</f>
        <v>0</v>
      </c>
      <c r="AB2270">
        <f>Z2270*($F$24+IF($F$24=0,0,($C$14+$C$15+IF($C$13="single",1.5,3)+3)/12))</f>
        <v>0</v>
      </c>
      <c r="AC2270">
        <f>AB2270-W2270</f>
        <v>0</v>
      </c>
      <c r="AD2270" cm="1">
        <f t="array" ref="AD2270">IFERROR(IF(AC2270&lt;0,0,AC2270/($R$2213-INDEX(hd_off,MATCH(AQ2270,hd_mark,0),0)/12)),0)</f>
        <v>0</v>
      </c>
      <c r="AE2270">
        <f>IF(S2270=0,0,$AD$2213*$AM$2200)</f>
        <v>0</v>
      </c>
      <c r="AF2270">
        <f>IFERROR(AE2270/$R$2213,0)</f>
        <v>0</v>
      </c>
      <c r="AG2270">
        <f>AE2270*($F$24+IF($F$24=0,0,($C$14+$C$15+IF($C$13="single",1.5,3)+3)/12))</f>
        <v>0</v>
      </c>
      <c r="AH2270">
        <f>AG2270-X2270</f>
        <v>0</v>
      </c>
      <c r="AI2270" cm="1">
        <f t="array" ref="AI2270">IFERROR(IF(AH2270&lt;0,0,AH2270/($R$2213-INDEX(hd_off,MATCH(AQ2270,hd_mark,0),0)/12)),0)</f>
        <v>0</v>
      </c>
      <c r="AJ2270">
        <f>MAX($F$24,$AB$2213)/$Q$2228</f>
        <v>0</v>
      </c>
      <c r="AK2270">
        <f t="shared" si="1403"/>
        <v>0</v>
      </c>
      <c r="AL2270" cm="1">
        <f t="array" ref="AL2270">IFERROR(INDEX(sheath_ecap_asd,MATCH(AP2270,sheath_mark,0),0)*AK2270,0)</f>
        <v>0</v>
      </c>
      <c r="AM2270" cm="1">
        <f t="array" ref="AM2270">IFERROR(INDEX(sheath_wcap_asd,MATCH(AP2270,sheath_mark,0),0)*AK2270,0)</f>
        <v>0</v>
      </c>
      <c r="AN2270" cm="1">
        <f t="array" ref="AN2270">IFERROR(INDEX(hd_cap,MATCH(AQ2270,hd_mark,0),0),0)</f>
        <v>0</v>
      </c>
      <c r="AP2270" s="19"/>
      <c r="AQ2270" s="19"/>
      <c r="AR2270" s="100"/>
      <c r="AS2270" s="93"/>
      <c r="AT2270" s="111">
        <f>$R$2213</f>
        <v>0</v>
      </c>
      <c r="AU2270" t="str">
        <f>$Q$2200</f>
        <v>L5</v>
      </c>
      <c r="AV2270">
        <f>$E$24</f>
        <v>0</v>
      </c>
      <c r="AW2270" cm="1">
        <f t="array" ref="AW2270">IFERROR(IF(AV2270=0,0,(INDEX($C$33:$C$38,MATCH($AZ$2213,$B$33:$B$38,0),0)*(AV2271+$BA$2213)+$AW$2213*COUNTIF(AV2270:AV2270,"&gt;0")*$C$32+$AY$2213*$C$31)*$AU$2213),0)</f>
        <v>0</v>
      </c>
      <c r="AX2270">
        <f>IF(AV2270=0,0,-(COUNTIF(AV2270:AV2270,"&gt;0")*$AW$2213*$C$32+$AY$2213*$C$31)*$H$27*$AU$2213)</f>
        <v>0</v>
      </c>
      <c r="AY2270">
        <f>IF(AV2270=0,0,$AY$2213*$H$26*$AU$2213)</f>
        <v>0</v>
      </c>
      <c r="AZ2270">
        <f>(0.6*AW2270+0.7*AX2270)*$AU$2213/2</f>
        <v>0</v>
      </c>
      <c r="BA2270">
        <f>AW2270*$AU$2213/2</f>
        <v>0</v>
      </c>
      <c r="BC2270">
        <f>IF(AV2270=0,0,$BG$2213*$AP$2200)</f>
        <v>0</v>
      </c>
      <c r="BD2270">
        <f>IFERROR(BC2270/$AU$2213,0)</f>
        <v>0</v>
      </c>
      <c r="BE2270">
        <f>BC2270*($F$24+IF($F$24=0,0,($C$14+$C$15+IF($C$13="single",1.5,3)+3)/12))</f>
        <v>0</v>
      </c>
      <c r="BF2270">
        <f>BE2270-AZ2270</f>
        <v>0</v>
      </c>
      <c r="BG2270" cm="1">
        <f t="array" ref="BG2270">IFERROR(IF(BF2270&lt;0,0,BF2270/($AU$2213-INDEX(hd_off,MATCH(BT2270,hd_mark,0),0)/12)),0)</f>
        <v>0</v>
      </c>
      <c r="BH2270">
        <f>IF(AV2270=0,0,$BG$2213*$AM$2200)</f>
        <v>0</v>
      </c>
      <c r="BI2270">
        <f>IFERROR(BH2270/$AU$2213,0)</f>
        <v>0</v>
      </c>
      <c r="BJ2270">
        <f>BH2270*($F$24+IF($F$24=0,0,($C$14+$C$15+IF($C$13="single",1.5,3)+3)/12))</f>
        <v>0</v>
      </c>
      <c r="BK2270">
        <f>BJ2270-BA2270</f>
        <v>0</v>
      </c>
      <c r="BL2270" cm="1">
        <f t="array" ref="BL2270">IFERROR(IF(BK2270&lt;0,0,BK2270/($AU$2213-INDEX(hd_off,MATCH(BT2270,hd_mark,0),0)/12)),0)</f>
        <v>0</v>
      </c>
      <c r="BM2270">
        <f>MAX($F$24,$BE$2213)/$Q$2228</f>
        <v>0</v>
      </c>
      <c r="BN2270">
        <f t="shared" si="1404"/>
        <v>0</v>
      </c>
      <c r="BO2270" cm="1">
        <f t="array" ref="BO2270">IFERROR(INDEX(sheath_ecap_asd,MATCH(BS2270,sheath_mark,0),0)*BN2270,0)</f>
        <v>0</v>
      </c>
      <c r="BP2270" cm="1">
        <f t="array" ref="BP2270">IFERROR(INDEX(sheath_wcap_asd,MATCH(BS2270,sheath_mark,0),0)*BN2270,0)</f>
        <v>0</v>
      </c>
      <c r="BQ2270" cm="1">
        <f t="array" ref="BQ2270">IFERROR(INDEX(hd_cap,MATCH(BT2270,hd_mark,0),0),0)</f>
        <v>0</v>
      </c>
      <c r="BS2270" s="19"/>
      <c r="BT2270" s="19"/>
      <c r="BU2270" s="100"/>
    </row>
    <row r="2271" x14ac:dyDescent="0.25">
      <c r="P2271" s="93"/>
      <c r="Q2271" s="109"/>
      <c r="R2271" t="str">
        <f>$Q$2201</f>
        <v>Roof</v>
      </c>
      <c r="S2271">
        <f>$E$25</f>
        <v>33.171875</v>
      </c>
      <c r="T2271" cm="1">
        <f t="array" ref="T2271">IFERROR(IF(S2271=0,0,(INDEX($C$33:$C$38,MATCH($W$2213,$B$33:$B$38,0),0)*(S2271+$X$2213)+$V$2213*$C$31)*$R$2213),0)</f>
        <v>0</v>
      </c>
      <c r="U2271">
        <f>IF(S2271=0,0,-$V$2213*$C$31*$H$27*$R$2213)</f>
        <v>0</v>
      </c>
      <c r="V2271">
        <f>IF(S2271=0,0,$V$2213*$H$26*$R$2213)</f>
        <v>0</v>
      </c>
      <c r="W2271">
        <f>(0.6*T2271+0.7*U2271)*$R$2213/2</f>
        <v>0</v>
      </c>
      <c r="X2271">
        <f>T2271*$R$2213/2</f>
        <v>0</v>
      </c>
      <c r="Z2271">
        <f>IF(S2271=0,0,$AD$2213*$AP$2201)</f>
        <v>0</v>
      </c>
      <c r="AA2271">
        <f>IFERROR(Z2271/$R$2213,0)</f>
        <v>0</v>
      </c>
      <c r="AB2271">
        <f>Z2271*($F$25+($C$16+$C$17+IF($C$13="single",1.5,3)+3)/12)</f>
        <v>0</v>
      </c>
      <c r="AC2271">
        <f>AB2271-W2271</f>
        <v>0</v>
      </c>
      <c r="AD2271" cm="1">
        <f t="array" ref="AD2271">IFERROR(IF(AC2271&lt;0,0,AC2271/($R$2213-INDEX(hd_off,MATCH(AQ2271,hd_mark,0),0)/12)),0)</f>
        <v>0</v>
      </c>
      <c r="AE2271">
        <f>IF(S2271=0,0,$AD$2213*$AM$2201)</f>
        <v>0</v>
      </c>
      <c r="AF2271">
        <f>IFERROR(AE2271/$R$2213,0)</f>
        <v>0</v>
      </c>
      <c r="AG2271">
        <f>AE2271*($F$25+($C$16+$C$17+IF($C$13="single",1.5,3)+3)/12)</f>
        <v>0</v>
      </c>
      <c r="AH2271">
        <f>AG2271-X2271</f>
        <v>0</v>
      </c>
      <c r="AI2271" cm="1">
        <f t="array" ref="AI2271">IFERROR(IF(AH2271&lt;0,0,AH2271/($R$2213-INDEX(hd_off,MATCH(AQ2271,hd_mark,0),0)/12)),0)</f>
        <v>0</v>
      </c>
      <c r="AJ2271">
        <f>MAX($F$25,$AC$2213)/$Q$2228</f>
        <v>0.29920977011494249</v>
      </c>
      <c r="AK2271">
        <f t="shared" si="1403"/>
        <v>1</v>
      </c>
      <c r="AL2271" cm="1">
        <f t="array" ref="AL2271">IFERROR(INDEX(sheath_ecap_asd,MATCH(AP2271,sheath_mark,0),0)*AK2271,0)</f>
        <v>0</v>
      </c>
      <c r="AM2271" cm="1">
        <f t="array" ref="AM2271">IFERROR(INDEX(sheath_wcap_asd,MATCH(AP2271,sheath_mark,0),0)*AK2271,0)</f>
        <v>0</v>
      </c>
      <c r="AN2271" cm="1">
        <f t="array" ref="AN2271">IFERROR(INDEX(hd_cap,MATCH(AQ2271,hd_mark,0),0),0)</f>
        <v>0</v>
      </c>
      <c r="AP2271" s="19"/>
      <c r="AQ2271" s="19"/>
      <c r="AR2271" s="100"/>
      <c r="AS2271" s="93"/>
      <c r="AT2271" s="109"/>
      <c r="AU2271" t="str">
        <f>$Q$2201</f>
        <v>Roof</v>
      </c>
      <c r="AV2271">
        <f>$E$25</f>
        <v>33.171875</v>
      </c>
      <c r="AW2271" cm="1">
        <f t="array" ref="AW2271">IFERROR(IF(AV2271=0,0,(INDEX($C$33:$C$38,MATCH($AZ$2213,$B$33:$B$38,0),0)*(AV2271+$BA$2213)+$AY$2213*$C$31)*$AU$2213),0)</f>
        <v>0</v>
      </c>
      <c r="AX2271">
        <f>IF(AV2271=0,0,-$AY$2213*$C$31*$H$27*$AU$2213)</f>
        <v>0</v>
      </c>
      <c r="AY2271">
        <f>IF(AV2271=0,0,$AY$2213*$H$26*$AU$2213)</f>
        <v>0</v>
      </c>
      <c r="AZ2271">
        <f>(0.6*AW2271+0.7*AX2271)*$AU$2213/2</f>
        <v>0</v>
      </c>
      <c r="BA2271">
        <f>AW2271*$AU$2213/2</f>
        <v>0</v>
      </c>
      <c r="BC2271">
        <f>IF(AV2271=0,0,$BG$2213*$AP$2201)</f>
        <v>0</v>
      </c>
      <c r="BD2271">
        <f>IFERROR(BC2271/$AU$2213,0)</f>
        <v>0</v>
      </c>
      <c r="BE2271">
        <f>BC2271*($F$25+($C$16+$C$17+IF($C$13="single",1.5,3)+3)/12)</f>
        <v>0</v>
      </c>
      <c r="BF2271">
        <f>BE2271-AZ2271</f>
        <v>0</v>
      </c>
      <c r="BG2271" cm="1">
        <f t="array" ref="BG2271">IFERROR(IF(BF2271&lt;0,0,BF2271/($AU$2213-INDEX(hd_off,MATCH(BT2271,hd_mark,0),0)/12)),0)</f>
        <v>0</v>
      </c>
      <c r="BH2271">
        <f>IF(AV2271=0,0,$BG$2213*$AM$2201)</f>
        <v>0</v>
      </c>
      <c r="BI2271">
        <f>IFERROR(BH2271/$AU$2213,0)</f>
        <v>0</v>
      </c>
      <c r="BJ2271">
        <f>BH2271*($F$25+($C$16+$C$17+IF($C$13="single",1.5,3)+3)/12)</f>
        <v>0</v>
      </c>
      <c r="BK2271">
        <f>BJ2271-BA2271</f>
        <v>0</v>
      </c>
      <c r="BL2271" cm="1">
        <f t="array" ref="BL2271">IFERROR(IF(BK2271&lt;0,0,BK2271/($AU$2213-INDEX(hd_off,MATCH(BT2271,hd_mark,0),0)/12)),0)</f>
        <v>0</v>
      </c>
      <c r="BM2271">
        <f>MAX($F$25,$BF$2213)/$Q$2228</f>
        <v>0.29920977011494249</v>
      </c>
      <c r="BN2271">
        <f t="shared" si="1404"/>
        <v>1</v>
      </c>
      <c r="BO2271" cm="1">
        <f t="array" ref="BO2271">IFERROR(INDEX(sheath_ecap_asd,MATCH(BS2271,sheath_mark,0),0)*BN2271,0)</f>
        <v>0</v>
      </c>
      <c r="BP2271" cm="1">
        <f t="array" ref="BP2271">IFERROR(INDEX(sheath_wcap_asd,MATCH(BS2271,sheath_mark,0),0)*BN2271,0)</f>
        <v>0</v>
      </c>
      <c r="BQ2271" cm="1">
        <f t="array" ref="BQ2271">IFERROR(INDEX(hd_cap,MATCH(BT2271,hd_mark,0),0),0)</f>
        <v>0</v>
      </c>
      <c r="BS2271" s="19"/>
      <c r="BT2271" s="19"/>
      <c r="BU2271" s="100"/>
    </row>
    <row r="2272" x14ac:dyDescent="0.25">
      <c r="P2272" s="93"/>
      <c r="AR2272" s="100"/>
      <c r="AS2272" s="93"/>
      <c r="BU2272" s="100"/>
    </row>
    <row r="2273" x14ac:dyDescent="0.25">
      <c r="P2273" s="93"/>
      <c r="Q2273" s="110" t="str">
        <f>$Q$2214</f>
        <v>A.09</v>
      </c>
      <c r="R2273" t="str">
        <f>$Q$2197</f>
        <v>L2</v>
      </c>
      <c r="S2273">
        <f>$E$21</f>
        <v>10.6875</v>
      </c>
      <c r="T2273" cm="1">
        <f t="array" ref="T2273">IFERROR(IF(S2273=0,0,(INDEX($C$33:$C$38,MATCH($W$2214,$B$33:$B$38,0),0)*(S2277+$X$2214)+$T$2214*COUNTIF(S2273:S2276,"&gt;0")*$C$32+$V$2214*$C$31)*$R$2214),0)</f>
        <v>0</v>
      </c>
      <c r="U2273">
        <f>IF(S2273=0,0,-(COUNTIF(S2273:S2276,"&gt;0")*$T$2214*$C$32+$V$2214*$C$31)*$H$27*$R$2214)</f>
        <v>0</v>
      </c>
      <c r="V2273">
        <f>IF(S2273=0,0,$V$2214*$H$26*$R$2214)</f>
        <v>0</v>
      </c>
      <c r="W2273">
        <f>(0.6*T2273+0.7*U2273)*$R$2214/2</f>
        <v>0</v>
      </c>
      <c r="X2273">
        <f>(0.6*T2273+0.6*V2273)*$R$2214/2</f>
        <v>0</v>
      </c>
      <c r="Z2273">
        <f>IF(S2273=0,0,$AD$2214*$AP$2197)</f>
        <v>0</v>
      </c>
      <c r="AA2273">
        <f>IFERROR(Z2273/$R$2214,0)</f>
        <v>0</v>
      </c>
      <c r="AB2273">
        <f>Z2273*($F$21+IF($F$21=0,0,($C$14+$C$15+IF($C$13="single",1.5,3)+3)/12))</f>
        <v>0</v>
      </c>
      <c r="AC2273">
        <f>AB2273-W2273</f>
        <v>0</v>
      </c>
      <c r="AD2273" cm="1">
        <f t="array" ref="AD2273">IFERROR(IF(AC2273&lt;0,0,AC2273/($R$2214-INDEX(hd_off,MATCH(AQ2273,hd_mark,0),0)/12)),0)</f>
        <v>0</v>
      </c>
      <c r="AE2273">
        <f>IF(S2273=0,0,$AD$2214*$AM$2197)</f>
        <v>0</v>
      </c>
      <c r="AF2273">
        <f>IFERROR(AE2273/$R$2214,0)</f>
        <v>0</v>
      </c>
      <c r="AG2273">
        <f>AE2273*($F$21+IF($F$21=0,0,($C$14+$C$15+IF($C$13="single",1.5,3)+3)/12))</f>
        <v>0</v>
      </c>
      <c r="AH2273">
        <f>AG2273-X2273</f>
        <v>0</v>
      </c>
      <c r="AI2273" cm="1">
        <f t="array" ref="AI2273">IFERROR(IF(AH2273&lt;0,0,AH2273/($R$2214-INDEX(hd_off,MATCH(AQ2273,hd_mark,0),0)/12)),0)</f>
        <v>0</v>
      </c>
      <c r="AJ2273">
        <f>MAX($F$21,$Y$2214)/$Q$2228</f>
        <v>0.30172413793103448</v>
      </c>
      <c r="AK2273">
        <f>IF(AJ2273=0,0,IF(AJ2273&gt;2,1.25-0.125*AJ2273,1))</f>
        <v>1</v>
      </c>
      <c r="AL2273" cm="1">
        <f t="array" ref="AL2273">IFERROR(INDEX(sheath_ecap_asd,MATCH(AP2273,sheath_mark,0),0)*AK2273,0)</f>
        <v>0</v>
      </c>
      <c r="AM2273" cm="1">
        <f t="array" ref="AM2273">IFERROR(INDEX(sheath_wcap_asd,MATCH(AP2273,sheath_mark,0),0)*AK2273,0)</f>
        <v>0</v>
      </c>
      <c r="AN2273" cm="1">
        <f t="array" ref="AN2273">IFERROR(INDEX(hd_cap,MATCH(AQ2273,hd_mark,0),0),0)</f>
        <v>0</v>
      </c>
      <c r="AP2273" s="19"/>
      <c r="AQ2273" s="19"/>
      <c r="AR2273" s="100"/>
      <c r="AS2273" s="93"/>
      <c r="AT2273" s="110" t="str">
        <f>$AT$2214</f>
        <v>1.09</v>
      </c>
      <c r="AU2273" t="str">
        <f>$Q$2197</f>
        <v>L2</v>
      </c>
      <c r="AV2273">
        <f>$E$21</f>
        <v>10.6875</v>
      </c>
      <c r="AW2273" cm="1">
        <f t="array" ref="AW2273">IFERROR(IF(AV2273=0,0,(INDEX($C$33:$C$38,MATCH($AZ$2214,$B$33:$B$38,0),0)*(AV2277+$BA$2214)+$AW$2214*COUNTIF(AV2273:AV2276,"&gt;0")*$C$32+$AY$2214*$C$31)*$AU$2214),0)</f>
        <v>0</v>
      </c>
      <c r="AX2273">
        <f>IF(AV2273=0,0,-(COUNTIF(AV2273:AV2276,"&gt;0")*$AW$2214*$C$32+$AY$2214*$C$31)*$H$27*$AU$2214)</f>
        <v>0</v>
      </c>
      <c r="AY2273">
        <f>IF(AV2273=0,0,$AY$2214*$H$26*$AU$2214)</f>
        <v>0</v>
      </c>
      <c r="AZ2273">
        <f>(0.6*AW2273+0.7*AX2273)*$AU$2214/2</f>
        <v>0</v>
      </c>
      <c r="BA2273">
        <f>(0.6*AW2273+0.6*AY2273)*$AU$2214/2</f>
        <v>0</v>
      </c>
      <c r="BC2273">
        <f>IF(AV2273=0,0,$BG$2214*$AP$2197)</f>
        <v>0</v>
      </c>
      <c r="BD2273">
        <f>IFERROR(BC2273/$AU$2214,0)</f>
        <v>0</v>
      </c>
      <c r="BE2273">
        <f>BC2273*($F$21+IF($F$21=0,0,($C$14+$C$15+IF($C$13="single",1.5,3)+3)/12))</f>
        <v>0</v>
      </c>
      <c r="BF2273">
        <f>BE2273-AZ2273</f>
        <v>0</v>
      </c>
      <c r="BG2273" cm="1">
        <f t="array" ref="BG2273">IFERROR(IF(BF2273&lt;0,0,BF2273/($AU$2214-INDEX(hd_off,MATCH(BT2273,hd_mark,0),0)/12)),0)</f>
        <v>0</v>
      </c>
      <c r="BH2273">
        <f>IF(AV2273=0,0,$BG$2214*$AM$2197)</f>
        <v>0</v>
      </c>
      <c r="BI2273">
        <f>IFERROR(BH2273/$AU$2214,0)</f>
        <v>0</v>
      </c>
      <c r="BJ2273">
        <f>BH2273*($F$21+IF($F$21=0,0,($C$14+$C$15+IF($C$13="single",1.5,3)+3)/12))</f>
        <v>0</v>
      </c>
      <c r="BK2273">
        <f>BJ2273-BA2273</f>
        <v>0</v>
      </c>
      <c r="BL2273" cm="1">
        <f t="array" ref="BL2273">IFERROR(IF(BK2273&lt;0,0,BK2273/($AU$2214-INDEX(hd_off,MATCH(BT2273,hd_mark,0),0)/12)),0)</f>
        <v>0</v>
      </c>
      <c r="BM2273">
        <f>MAX($F$21,$BB$2214)/$Q$2228</f>
        <v>0.30172413793103448</v>
      </c>
      <c r="BN2273">
        <f>IF(BM2273=0,0,IF(BM2273&gt;2,1.25-0.125*BM2273,1))</f>
        <v>1</v>
      </c>
      <c r="BO2273" cm="1">
        <f t="array" ref="BO2273">IFERROR(INDEX(sheath_ecap_asd,MATCH(BS2273,sheath_mark,0),0)*BN2273,0)</f>
        <v>0</v>
      </c>
      <c r="BP2273" cm="1">
        <f t="array" ref="BP2273">IFERROR(INDEX(sheath_wcap_asd,MATCH(BS2273,sheath_mark,0),0)*BN2273,0)</f>
        <v>0</v>
      </c>
      <c r="BQ2273" cm="1">
        <f t="array" ref="BQ2273">IFERROR(INDEX(hd_cap,MATCH(BT2273,hd_mark,0),0),0)</f>
        <v>0</v>
      </c>
      <c r="BS2273" s="19"/>
      <c r="BT2273" s="19"/>
      <c r="BU2273" s="100"/>
    </row>
    <row r="2274" x14ac:dyDescent="0.25">
      <c r="P2274" s="93"/>
      <c r="Q2274" s="109"/>
      <c r="R2274" t="str">
        <f>$Q$2198</f>
        <v>L3</v>
      </c>
      <c r="S2274">
        <f>$E$22</f>
        <v>21.375</v>
      </c>
      <c r="T2274" cm="1">
        <f t="array" ref="T2274">IFERROR(IF(S2274=0,0,(INDEX($C$33:$C$38,MATCH($W$2214,$B$33:$B$38,0),0)*(S2277+$X$2214)+$T$2214*COUNTIF(S2274:S2276,"&gt;0")*$C$32+$V$2214*$C$31)*$R$2214),0)</f>
        <v>0</v>
      </c>
      <c r="U2274">
        <f>IF(S2274=0,0,-(COUNTIF(S2274:S2276,"&gt;0")*$T$2214*$C$32+$V$2214*$C$31)*$H$27*$R$2214)</f>
        <v>0</v>
      </c>
      <c r="V2274">
        <f>IF(S2274=0,0,$V$2214*$H$26*$R$2214)</f>
        <v>0</v>
      </c>
      <c r="W2274">
        <f>(0.6*T2274+0.7*U2274)*$R$2214/2</f>
        <v>0</v>
      </c>
      <c r="X2274">
        <f>T2274*$R$2214/2</f>
        <v>0</v>
      </c>
      <c r="Z2274">
        <f>IF(S2274=0,0,$AD$2214*$AP$2198)</f>
        <v>0</v>
      </c>
      <c r="AA2274">
        <f>IFERROR(Z2274/$R$2214,0)</f>
        <v>0</v>
      </c>
      <c r="AB2274">
        <f>Z2274*($F$22+IF($F$22=0,0,($C$14+$C$15+IF($C$13="single",1.5,3)+3)/12))</f>
        <v>0</v>
      </c>
      <c r="AC2274">
        <f>AB2274-W2274</f>
        <v>0</v>
      </c>
      <c r="AD2274" cm="1">
        <f t="array" ref="AD2274">IFERROR(IF(AC2274&lt;0,0,AC2274/($R$2214-INDEX(hd_off,MATCH(AQ2274,hd_mark,0),0)/12)),0)</f>
        <v>0</v>
      </c>
      <c r="AE2274">
        <f>IF(S2274=0,0,$AD$2214*$AM$2198)</f>
        <v>0</v>
      </c>
      <c r="AF2274">
        <f>IFERROR(AE2274/$R$2214,0)</f>
        <v>0</v>
      </c>
      <c r="AG2274">
        <f>AE2274*($F$22+IF($F$22=0,0,($C$14+$C$15+IF($C$13="single",1.5,3)+3)/12))</f>
        <v>0</v>
      </c>
      <c r="AH2274">
        <f>AG2274-X2274</f>
        <v>0</v>
      </c>
      <c r="AI2274" cm="1">
        <f t="array" ref="AI2274">IFERROR(IF(AH2274&lt;0,0,AH2274/($R$2214-INDEX(hd_off,MATCH(AQ2274,hd_mark,0),0)/12)),0)</f>
        <v>0</v>
      </c>
      <c r="AJ2274">
        <f>MAX($F$22,$Z$2214)/$Q$2228</f>
        <v>0.30172413793103448</v>
      </c>
      <c r="AK2274">
        <f t="shared" ref="AK2274:AK2277" si="1405">IF(AJ2274=0,0,IF(AJ2274&gt;2,1.25-0.125*AJ2274,1))</f>
        <v>1</v>
      </c>
      <c r="AL2274" cm="1">
        <f t="array" ref="AL2274">IFERROR(INDEX(sheath_ecap_asd,MATCH(AP2274,sheath_mark,0),0)*AK2274,0)</f>
        <v>0</v>
      </c>
      <c r="AM2274" cm="1">
        <f t="array" ref="AM2274">IFERROR(INDEX(sheath_wcap_asd,MATCH(AP2274,sheath_mark,0),0)*AK2274,0)</f>
        <v>0</v>
      </c>
      <c r="AN2274" cm="1">
        <f t="array" ref="AN2274">IFERROR(INDEX(hd_cap,MATCH(AQ2274,hd_mark,0),0),0)</f>
        <v>0</v>
      </c>
      <c r="AP2274" s="19"/>
      <c r="AQ2274" s="19"/>
      <c r="AR2274" s="100"/>
      <c r="AS2274" s="93"/>
      <c r="AT2274" s="109"/>
      <c r="AU2274" t="str">
        <f>$Q$2198</f>
        <v>L3</v>
      </c>
      <c r="AV2274">
        <f>$E$22</f>
        <v>21.375</v>
      </c>
      <c r="AW2274" cm="1">
        <f t="array" ref="AW2274">IFERROR(IF(AV2274=0,0,(INDEX($C$33:$C$38,MATCH($AZ$2214,$B$33:$B$38,0),0)*(AV2277+$BA$2214)+$AW$2214*COUNTIF(AV2274:AV2276,"&gt;0")*$C$32+$AY$2214*$C$31)*$AU$2214),0)</f>
        <v>0</v>
      </c>
      <c r="AX2274">
        <f>IF(AV2274=0,0,-(COUNTIF(AV2274:AV2276,"&gt;0")*$AW$2214*$C$32+$AY$2214*$C$31)*$H$27*$AU$2214)</f>
        <v>0</v>
      </c>
      <c r="AY2274">
        <f>IF(AV2274=0,0,$AY$2214*$H$26*$AU$2214)</f>
        <v>0</v>
      </c>
      <c r="AZ2274">
        <f>(0.6*AW2274+0.7*AX2274)*$AU$2214/2</f>
        <v>0</v>
      </c>
      <c r="BA2274">
        <f>AW2274*$AU$2214/2</f>
        <v>0</v>
      </c>
      <c r="BC2274">
        <f>IF(AV2274=0,0,$BG$2214*$AP$2198)</f>
        <v>0</v>
      </c>
      <c r="BD2274">
        <f>IFERROR(BC2274/$AU$2214,0)</f>
        <v>0</v>
      </c>
      <c r="BE2274">
        <f>BC2274*($F$22+IF($F$22=0,0,($C$14+$C$15+IF($C$13="single",1.5,3)+3)/12))</f>
        <v>0</v>
      </c>
      <c r="BF2274">
        <f>BE2274-AZ2274</f>
        <v>0</v>
      </c>
      <c r="BG2274" cm="1">
        <f t="array" ref="BG2274">IFERROR(IF(BF2274&lt;0,0,BF2274/($AU$2214-INDEX(hd_off,MATCH(BT2274,hd_mark,0),0)/12)),0)</f>
        <v>0</v>
      </c>
      <c r="BH2274">
        <f>IF(AV2274=0,0,$BG$2214*$AM$2198)</f>
        <v>0</v>
      </c>
      <c r="BI2274">
        <f>IFERROR(BH2274/$AU$2214,0)</f>
        <v>0</v>
      </c>
      <c r="BJ2274">
        <f>BH2274*($F$22+IF($F$22=0,0,($C$14+$C$15+IF($C$13="single",1.5,3)+3)/12))</f>
        <v>0</v>
      </c>
      <c r="BK2274">
        <f>BJ2274-BA2274</f>
        <v>0</v>
      </c>
      <c r="BL2274" cm="1">
        <f t="array" ref="BL2274">IFERROR(IF(BK2274&lt;0,0,BK2274/($AU$2214-INDEX(hd_off,MATCH(BT2274,hd_mark,0),0)/12)),0)</f>
        <v>0</v>
      </c>
      <c r="BM2274">
        <f>MAX($F$22,$BC$2214)/$Q$2228</f>
        <v>0.30172413793103448</v>
      </c>
      <c r="BN2274">
        <f t="shared" ref="BN2274:BN2277" si="1406">IF(BM2274=0,0,IF(BM2274&gt;2,1.25-0.125*BM2274,1))</f>
        <v>1</v>
      </c>
      <c r="BO2274" cm="1">
        <f t="array" ref="BO2274">IFERROR(INDEX(sheath_ecap_asd,MATCH(BS2274,sheath_mark,0),0)*BN2274,0)</f>
        <v>0</v>
      </c>
      <c r="BP2274" cm="1">
        <f t="array" ref="BP2274">IFERROR(INDEX(sheath_wcap_asd,MATCH(BS2274,sheath_mark,0),0)*BN2274,0)</f>
        <v>0</v>
      </c>
      <c r="BQ2274" cm="1">
        <f t="array" ref="BQ2274">IFERROR(INDEX(hd_cap,MATCH(BT2274,hd_mark,0),0),0)</f>
        <v>0</v>
      </c>
      <c r="BS2274" s="19"/>
      <c r="BT2274" s="19"/>
      <c r="BU2274" s="100"/>
    </row>
    <row r="2275" x14ac:dyDescent="0.25">
      <c r="P2275" s="93"/>
      <c r="Q2275" s="109" t="s">
        <v>491</v>
      </c>
      <c r="R2275" t="str">
        <f>$Q$2199</f>
        <v>L4</v>
      </c>
      <c r="S2275">
        <f>$E$23</f>
        <v>0</v>
      </c>
      <c r="T2275" cm="1">
        <f t="array" ref="T2275">IFERROR(IF(S2275=0,0,(INDEX($C$33:$C$38,MATCH($W$2214,$B$33:$B$38,0),0)*(S2277+$X$2214)+$T$2214*COUNTIF(S2275:S2276,"&gt;0")*$C$32+$V$2214*$C$31)*$R$2214),0)</f>
        <v>0</v>
      </c>
      <c r="U2275">
        <f>IF(S2275=0,0,-(COUNTIF(S2275:S2276,"&gt;0")*$T$2214*$C$32+$V$2214*$C$31)*$H$27*$R$2214)</f>
        <v>0</v>
      </c>
      <c r="V2275">
        <f>IF(S2275=0,0,$V$2214*$H$26*$R$2214)</f>
        <v>0</v>
      </c>
      <c r="W2275">
        <f>(0.6*T2275+0.7*U2275)*$R$2214/2</f>
        <v>0</v>
      </c>
      <c r="X2275">
        <f>T2275*$R$2214/2</f>
        <v>0</v>
      </c>
      <c r="Z2275">
        <f>IF(S2275=0,0,$AD$2214*$AP$2199)</f>
        <v>0</v>
      </c>
      <c r="AA2275">
        <f>IFERROR(Z2275/$R$2214,0)</f>
        <v>0</v>
      </c>
      <c r="AB2275">
        <f>Z2275*($F$23+IF($F$23=0,0,($C$14+$C$15+IF($C$13="single",1.5,3)+3)/12))</f>
        <v>0</v>
      </c>
      <c r="AC2275">
        <f>AB2275-W2275</f>
        <v>0</v>
      </c>
      <c r="AD2275" cm="1">
        <f t="array" ref="AD2275">IFERROR(IF(AC2275&lt;0,0,AC2275/($R$2214-INDEX(hd_off,MATCH(AQ2275,hd_mark,0),0)/12)),0)</f>
        <v>0</v>
      </c>
      <c r="AE2275">
        <f>IF(S2275=0,0,$AD$2214*$AM$2199)</f>
        <v>0</v>
      </c>
      <c r="AF2275">
        <f>IFERROR(AE2275/$R$2214,0)</f>
        <v>0</v>
      </c>
      <c r="AG2275">
        <f>AE2275*($F$23+IF($F$23=0,0,($C$14+$C$15+IF($C$13="single",1.5,3)+3)/12))</f>
        <v>0</v>
      </c>
      <c r="AH2275">
        <f>AG2275-X2275</f>
        <v>0</v>
      </c>
      <c r="AI2275" cm="1">
        <f t="array" ref="AI2275">IFERROR(IF(AH2275&lt;0,0,AH2275/($R$2214-INDEX(hd_off,MATCH(AQ2275,hd_mark,0),0)/12)),0)</f>
        <v>0</v>
      </c>
      <c r="AJ2275">
        <f>MAX($F$23,$AA$2214)/$Q$2228</f>
        <v>0</v>
      </c>
      <c r="AK2275">
        <f t="shared" si="1405"/>
        <v>0</v>
      </c>
      <c r="AL2275" cm="1">
        <f t="array" ref="AL2275">IFERROR(INDEX(sheath_ecap_asd,MATCH(AP2275,sheath_mark,0),0)*AK2275,0)</f>
        <v>0</v>
      </c>
      <c r="AM2275" cm="1">
        <f t="array" ref="AM2275">IFERROR(INDEX(sheath_wcap_asd,MATCH(AP2275,sheath_mark,0),0)*AK2275,0)</f>
        <v>0</v>
      </c>
      <c r="AN2275" cm="1">
        <f t="array" ref="AN2275">IFERROR(INDEX(hd_cap,MATCH(AQ2275,hd_mark,0),0),0)</f>
        <v>0</v>
      </c>
      <c r="AP2275" s="19"/>
      <c r="AQ2275" s="19"/>
      <c r="AR2275" s="100"/>
      <c r="AS2275" s="93"/>
      <c r="AT2275" s="109" t="s">
        <v>491</v>
      </c>
      <c r="AU2275" t="str">
        <f>$Q$2199</f>
        <v>L4</v>
      </c>
      <c r="AV2275">
        <f>$E$23</f>
        <v>0</v>
      </c>
      <c r="AW2275" cm="1">
        <f t="array" ref="AW2275">IFERROR(IF(AV2275=0,0,(INDEX($C$33:$C$38,MATCH($AZ$2214,$B$33:$B$38,0),0)*(AV2277+$BA$2214)+$AW$2214*COUNTIF(AV2275:AV2276,"&gt;0")*$C$32+$AY$2214*$C$31)*$AU$2214),0)</f>
        <v>0</v>
      </c>
      <c r="AX2275">
        <f>IF(AV2275=0,0,-(COUNTIF(AV2275:AV2276,"&gt;0")*$AW$2214*$C$32+$AY$2214*$C$31)*$H$27*$AU$2214)</f>
        <v>0</v>
      </c>
      <c r="AY2275">
        <f>IF(AV2275=0,0,$AY$2214*$H$26*$AU$2214)</f>
        <v>0</v>
      </c>
      <c r="AZ2275">
        <f>(0.6*AW2275+0.7*AX2275)*$AU$2214/2</f>
        <v>0</v>
      </c>
      <c r="BA2275">
        <f>AW2275*$AU$2214/2</f>
        <v>0</v>
      </c>
      <c r="BC2275">
        <f>IF(AV2275=0,0,$BG$2214*$AP$2199)</f>
        <v>0</v>
      </c>
      <c r="BD2275">
        <f>IFERROR(BC2275/$AU$2214,0)</f>
        <v>0</v>
      </c>
      <c r="BE2275">
        <f>BC2275*($F$23+IF($F$23=0,0,($C$14+$C$15+IF($C$13="single",1.5,3)+3)/12))</f>
        <v>0</v>
      </c>
      <c r="BF2275">
        <f>BE2275-AZ2275</f>
        <v>0</v>
      </c>
      <c r="BG2275" cm="1">
        <f t="array" ref="BG2275">IFERROR(IF(BF2275&lt;0,0,BF2275/($AU$2214-INDEX(hd_off,MATCH(BT2275,hd_mark,0),0)/12)),0)</f>
        <v>0</v>
      </c>
      <c r="BH2275">
        <f>IF(AV2275=0,0,$BG$2214*$AM$2199)</f>
        <v>0</v>
      </c>
      <c r="BI2275">
        <f>IFERROR(BH2275/$AU$2214,0)</f>
        <v>0</v>
      </c>
      <c r="BJ2275">
        <f>BH2275*($F$23+IF($F$23=0,0,($C$14+$C$15+IF($C$13="single",1.5,3)+3)/12))</f>
        <v>0</v>
      </c>
      <c r="BK2275">
        <f>BJ2275-BA2275</f>
        <v>0</v>
      </c>
      <c r="BL2275" cm="1">
        <f t="array" ref="BL2275">IFERROR(IF(BK2275&lt;0,0,BK2275/($AU$2214-INDEX(hd_off,MATCH(BT2275,hd_mark,0),0)/12)),0)</f>
        <v>0</v>
      </c>
      <c r="BM2275">
        <f>MAX($F$23,$BD$2214)/$Q$2228</f>
        <v>0</v>
      </c>
      <c r="BN2275">
        <f t="shared" si="1406"/>
        <v>0</v>
      </c>
      <c r="BO2275" cm="1">
        <f t="array" ref="BO2275">IFERROR(INDEX(sheath_ecap_asd,MATCH(BS2275,sheath_mark,0),0)*BN2275,0)</f>
        <v>0</v>
      </c>
      <c r="BP2275" cm="1">
        <f t="array" ref="BP2275">IFERROR(INDEX(sheath_wcap_asd,MATCH(BS2275,sheath_mark,0),0)*BN2275,0)</f>
        <v>0</v>
      </c>
      <c r="BQ2275" cm="1">
        <f t="array" ref="BQ2275">IFERROR(INDEX(hd_cap,MATCH(BT2275,hd_mark,0),0),0)</f>
        <v>0</v>
      </c>
      <c r="BS2275" s="19"/>
      <c r="BT2275" s="19"/>
      <c r="BU2275" s="100"/>
    </row>
    <row r="2276" x14ac:dyDescent="0.25">
      <c r="P2276" s="93"/>
      <c r="Q2276" s="111">
        <f>$R$2214</f>
        <v>0</v>
      </c>
      <c r="R2276" t="str">
        <f>$Q$2200</f>
        <v>L5</v>
      </c>
      <c r="S2276">
        <f>$E$24</f>
        <v>0</v>
      </c>
      <c r="T2276" cm="1">
        <f t="array" ref="T2276">IFERROR(IF(S2276=0,0,(INDEX($C$33:$C$38,MATCH($W$2214,$B$33:$B$38,0),0)*(S2277+$X$2214)+$T$2214*COUNTIF(S2276:S2276,"&gt;0")*$C$32+$V$2214*$C$31)*$R$2214),0)</f>
        <v>0</v>
      </c>
      <c r="U2276">
        <f>IF(S2276=0,0,-(COUNTIF(S2276:S2276,"&gt;0")*$T$2214*$C$32+$V$2214*$C$31)*$H$27*$R$2214)</f>
        <v>0</v>
      </c>
      <c r="V2276">
        <f>IF(S2276=0,0,$V$2214*$H$26*$R$2214)</f>
        <v>0</v>
      </c>
      <c r="W2276">
        <f>(0.6*T2276+0.7*U2276)*$R$2214/2</f>
        <v>0</v>
      </c>
      <c r="X2276">
        <f>T2276*$R$2214/2</f>
        <v>0</v>
      </c>
      <c r="Z2276">
        <f>IF(S2276=0,0,$AD$2214*$AP$2200)</f>
        <v>0</v>
      </c>
      <c r="AA2276">
        <f>IFERROR(Z2276/$R$2214,0)</f>
        <v>0</v>
      </c>
      <c r="AB2276">
        <f>Z2276*($F$24+IF($F$24=0,0,($C$14+$C$15+IF($C$13="single",1.5,3)+3)/12))</f>
        <v>0</v>
      </c>
      <c r="AC2276">
        <f>AB2276-W2276</f>
        <v>0</v>
      </c>
      <c r="AD2276" cm="1">
        <f t="array" ref="AD2276">IFERROR(IF(AC2276&lt;0,0,AC2276/($R$2214-INDEX(hd_off,MATCH(AQ2276,hd_mark,0),0)/12)),0)</f>
        <v>0</v>
      </c>
      <c r="AE2276">
        <f>IF(S2276=0,0,$AD$2214*$AM$2200)</f>
        <v>0</v>
      </c>
      <c r="AF2276">
        <f>IFERROR(AE2276/$R$2214,0)</f>
        <v>0</v>
      </c>
      <c r="AG2276">
        <f>AE2276*($F$24+IF($F$24=0,0,($C$14+$C$15+IF($C$13="single",1.5,3)+3)/12))</f>
        <v>0</v>
      </c>
      <c r="AH2276">
        <f>AG2276-X2276</f>
        <v>0</v>
      </c>
      <c r="AI2276" cm="1">
        <f t="array" ref="AI2276">IFERROR(IF(AH2276&lt;0,0,AH2276/($R$2214-INDEX(hd_off,MATCH(AQ2276,hd_mark,0),0)/12)),0)</f>
        <v>0</v>
      </c>
      <c r="AJ2276">
        <f>MAX($F$24,$AB$2214)/$Q$2228</f>
        <v>0</v>
      </c>
      <c r="AK2276">
        <f t="shared" si="1405"/>
        <v>0</v>
      </c>
      <c r="AL2276" cm="1">
        <f t="array" ref="AL2276">IFERROR(INDEX(sheath_ecap_asd,MATCH(AP2276,sheath_mark,0),0)*AK2276,0)</f>
        <v>0</v>
      </c>
      <c r="AM2276" cm="1">
        <f t="array" ref="AM2276">IFERROR(INDEX(sheath_wcap_asd,MATCH(AP2276,sheath_mark,0),0)*AK2276,0)</f>
        <v>0</v>
      </c>
      <c r="AN2276" cm="1">
        <f t="array" ref="AN2276">IFERROR(INDEX(hd_cap,MATCH(AQ2276,hd_mark,0),0),0)</f>
        <v>0</v>
      </c>
      <c r="AP2276" s="19"/>
      <c r="AQ2276" s="19"/>
      <c r="AR2276" s="100"/>
      <c r="AS2276" s="93"/>
      <c r="AT2276" s="111">
        <f>$R$2214</f>
        <v>0</v>
      </c>
      <c r="AU2276" t="str">
        <f>$Q$2200</f>
        <v>L5</v>
      </c>
      <c r="AV2276">
        <f>$E$24</f>
        <v>0</v>
      </c>
      <c r="AW2276" cm="1">
        <f t="array" ref="AW2276">IFERROR(IF(AV2276=0,0,(INDEX($C$33:$C$38,MATCH($AZ$2214,$B$33:$B$38,0),0)*(AV2277+$BA$2214)+$AW$2214*COUNTIF(AV2276:AV2276,"&gt;0")*$C$32+$AY$2214*$C$31)*$AU$2214),0)</f>
        <v>0</v>
      </c>
      <c r="AX2276">
        <f>IF(AV2276=0,0,-(COUNTIF(AV2276:AV2276,"&gt;0")*$AW$2214*$C$32+$AY$2214*$C$31)*$H$27*$AU$2214)</f>
        <v>0</v>
      </c>
      <c r="AY2276">
        <f>IF(AV2276=0,0,$AY$2214*$H$26*$AU$2214)</f>
        <v>0</v>
      </c>
      <c r="AZ2276">
        <f>(0.6*AW2276+0.7*AX2276)*$AU$2214/2</f>
        <v>0</v>
      </c>
      <c r="BA2276">
        <f>AW2276*$AU$2214/2</f>
        <v>0</v>
      </c>
      <c r="BC2276">
        <f>IF(AV2276=0,0,$BG$2214*$AP$2200)</f>
        <v>0</v>
      </c>
      <c r="BD2276">
        <f>IFERROR(BC2276/$AU$2214,0)</f>
        <v>0</v>
      </c>
      <c r="BE2276">
        <f>BC2276*($F$24+IF($F$24=0,0,($C$14+$C$15+IF($C$13="single",1.5,3)+3)/12))</f>
        <v>0</v>
      </c>
      <c r="BF2276">
        <f>BE2276-AZ2276</f>
        <v>0</v>
      </c>
      <c r="BG2276" cm="1">
        <f t="array" ref="BG2276">IFERROR(IF(BF2276&lt;0,0,BF2276/($AU$2214-INDEX(hd_off,MATCH(BT2276,hd_mark,0),0)/12)),0)</f>
        <v>0</v>
      </c>
      <c r="BH2276">
        <f>IF(AV2276=0,0,$BG$2214*$AM$2200)</f>
        <v>0</v>
      </c>
      <c r="BI2276">
        <f>IFERROR(BH2276/$AU$2214,0)</f>
        <v>0</v>
      </c>
      <c r="BJ2276">
        <f>BH2276*($F$24+IF($F$24=0,0,($C$14+$C$15+IF($C$13="single",1.5,3)+3)/12))</f>
        <v>0</v>
      </c>
      <c r="BK2276">
        <f>BJ2276-BA2276</f>
        <v>0</v>
      </c>
      <c r="BL2276" cm="1">
        <f t="array" ref="BL2276">IFERROR(IF(BK2276&lt;0,0,BK2276/($AU$2214-INDEX(hd_off,MATCH(BT2276,hd_mark,0),0)/12)),0)</f>
        <v>0</v>
      </c>
      <c r="BM2276">
        <f>MAX($F$24,$BE$2214)/$Q$2228</f>
        <v>0</v>
      </c>
      <c r="BN2276">
        <f t="shared" si="1406"/>
        <v>0</v>
      </c>
      <c r="BO2276" cm="1">
        <f t="array" ref="BO2276">IFERROR(INDEX(sheath_ecap_asd,MATCH(BS2276,sheath_mark,0),0)*BN2276,0)</f>
        <v>0</v>
      </c>
      <c r="BP2276" cm="1">
        <f t="array" ref="BP2276">IFERROR(INDEX(sheath_wcap_asd,MATCH(BS2276,sheath_mark,0),0)*BN2276,0)</f>
        <v>0</v>
      </c>
      <c r="BQ2276" cm="1">
        <f t="array" ref="BQ2276">IFERROR(INDEX(hd_cap,MATCH(BT2276,hd_mark,0),0),0)</f>
        <v>0</v>
      </c>
      <c r="BS2276" s="19"/>
      <c r="BT2276" s="19"/>
      <c r="BU2276" s="100"/>
    </row>
    <row r="2277" x14ac:dyDescent="0.25">
      <c r="P2277" s="93"/>
      <c r="Q2277" s="109"/>
      <c r="R2277" t="str">
        <f>$Q$2201</f>
        <v>Roof</v>
      </c>
      <c r="S2277">
        <f>$E$25</f>
        <v>33.171875</v>
      </c>
      <c r="T2277" cm="1">
        <f t="array" ref="T2277">IFERROR(IF(S2277=0,0,(INDEX($C$33:$C$38,MATCH($W$2214,$B$33:$B$38,0),0)*(S2277+$X$2214)+$V$2214*$C$31)*$R$2214),0)</f>
        <v>0</v>
      </c>
      <c r="U2277">
        <f>IF(S2277=0,0,-$V$2214*$C$31*$H$27*$R$2214)</f>
        <v>0</v>
      </c>
      <c r="V2277">
        <f>IF(S2277=0,0,$V$2214*$H$26*$R$2214)</f>
        <v>0</v>
      </c>
      <c r="W2277">
        <f>(0.6*T2277+0.7*U2277)*$R$2214/2</f>
        <v>0</v>
      </c>
      <c r="X2277">
        <f>T2277*$R$2214/2</f>
        <v>0</v>
      </c>
      <c r="Z2277">
        <f>IF(S2277=0,0,$AD$2214*$AP$2201)</f>
        <v>0</v>
      </c>
      <c r="AA2277">
        <f>IFERROR(Z2277/$R$2214,0)</f>
        <v>0</v>
      </c>
      <c r="AB2277">
        <f>Z2277*($F$25+($C$16+$C$17+IF($C$13="single",1.5,3)+3)/12)</f>
        <v>0</v>
      </c>
      <c r="AC2277">
        <f>AB2277-W2277</f>
        <v>0</v>
      </c>
      <c r="AD2277" cm="1">
        <f t="array" ref="AD2277">IFERROR(IF(AC2277&lt;0,0,AC2277/($R$2214-INDEX(hd_off,MATCH(AQ2277,hd_mark,0),0)/12)),0)</f>
        <v>0</v>
      </c>
      <c r="AE2277">
        <f>IF(S2277=0,0,$AD$2214*$AM$2201)</f>
        <v>0</v>
      </c>
      <c r="AF2277">
        <f>IFERROR(AE2277/$R$2214,0)</f>
        <v>0</v>
      </c>
      <c r="AG2277">
        <f>AE2277*($F$25+($C$16+$C$17+IF($C$13="single",1.5,3)+3)/12)</f>
        <v>0</v>
      </c>
      <c r="AH2277">
        <f>AG2277-X2277</f>
        <v>0</v>
      </c>
      <c r="AI2277" cm="1">
        <f t="array" ref="AI2277">IFERROR(IF(AH2277&lt;0,0,AH2277/($R$2214-INDEX(hd_off,MATCH(AQ2277,hd_mark,0),0)/12)),0)</f>
        <v>0</v>
      </c>
      <c r="AJ2277">
        <f>MAX($F$25,$AC$2214)/$Q$2228</f>
        <v>0.29920977011494249</v>
      </c>
      <c r="AK2277">
        <f t="shared" si="1405"/>
        <v>1</v>
      </c>
      <c r="AL2277" cm="1">
        <f t="array" ref="AL2277">IFERROR(INDEX(sheath_ecap_asd,MATCH(AP2277,sheath_mark,0),0)*AK2277,0)</f>
        <v>0</v>
      </c>
      <c r="AM2277" cm="1">
        <f t="array" ref="AM2277">IFERROR(INDEX(sheath_wcap_asd,MATCH(AP2277,sheath_mark,0),0)*AK2277,0)</f>
        <v>0</v>
      </c>
      <c r="AN2277" cm="1">
        <f t="array" ref="AN2277">IFERROR(INDEX(hd_cap,MATCH(AQ2277,hd_mark,0),0),0)</f>
        <v>0</v>
      </c>
      <c r="AP2277" s="19"/>
      <c r="AQ2277" s="19"/>
      <c r="AR2277" s="100"/>
      <c r="AS2277" s="93"/>
      <c r="AT2277" s="109"/>
      <c r="AU2277" t="str">
        <f>$Q$2201</f>
        <v>Roof</v>
      </c>
      <c r="AV2277">
        <f>$E$25</f>
        <v>33.171875</v>
      </c>
      <c r="AW2277" cm="1">
        <f t="array" ref="AW2277">IFERROR(IF(AV2277=0,0,(INDEX($C$33:$C$38,MATCH($AZ$2214,$B$33:$B$38,0),0)*(AV2277+$BA$2214)+$AY$2214*$C$31)*$AU$2214),0)</f>
        <v>0</v>
      </c>
      <c r="AX2277">
        <f>IF(AV2277=0,0,-$AY$2214*$C$31*$H$27*$AU$2214)</f>
        <v>0</v>
      </c>
      <c r="AY2277">
        <f>IF(AV2277=0,0,$AY$2214*$H$26*$AU$2214)</f>
        <v>0</v>
      </c>
      <c r="AZ2277">
        <f>(0.6*AW2277+0.7*AX2277)*$AU$2214/2</f>
        <v>0</v>
      </c>
      <c r="BA2277">
        <f>AW2277*$AU$2214/2</f>
        <v>0</v>
      </c>
      <c r="BC2277">
        <f>IF(AV2277=0,0,$BG$2214*$AP$2201)</f>
        <v>0</v>
      </c>
      <c r="BD2277">
        <f>IFERROR(BC2277/$AU$2214,0)</f>
        <v>0</v>
      </c>
      <c r="BE2277">
        <f>BC2277*($F$25+($C$16+$C$17+IF($C$13="single",1.5,3)+3)/12)</f>
        <v>0</v>
      </c>
      <c r="BF2277">
        <f>BE2277-AZ2277</f>
        <v>0</v>
      </c>
      <c r="BG2277" cm="1">
        <f t="array" ref="BG2277">IFERROR(IF(BF2277&lt;0,0,BF2277/($AU$2214-INDEX(hd_off,MATCH(BT2277,hd_mark,0),0)/12)),0)</f>
        <v>0</v>
      </c>
      <c r="BH2277">
        <f>IF(AV2277=0,0,$BG$2214*$AM$2201)</f>
        <v>0</v>
      </c>
      <c r="BI2277">
        <f>IFERROR(BH2277/$AU$2214,0)</f>
        <v>0</v>
      </c>
      <c r="BJ2277">
        <f>BH2277*($F$25+($C$16+$C$17+IF($C$13="single",1.5,3)+3)/12)</f>
        <v>0</v>
      </c>
      <c r="BK2277">
        <f>BJ2277-BA2277</f>
        <v>0</v>
      </c>
      <c r="BL2277" cm="1">
        <f t="array" ref="BL2277">IFERROR(IF(BK2277&lt;0,0,BK2277/($AU$2214-INDEX(hd_off,MATCH(BT2277,hd_mark,0),0)/12)),0)</f>
        <v>0</v>
      </c>
      <c r="BM2277">
        <f>MAX($F$25,$BF$2214)/$Q$2228</f>
        <v>0.29920977011494249</v>
      </c>
      <c r="BN2277">
        <f t="shared" si="1406"/>
        <v>1</v>
      </c>
      <c r="BO2277" cm="1">
        <f t="array" ref="BO2277">IFERROR(INDEX(sheath_ecap_asd,MATCH(BS2277,sheath_mark,0),0)*BN2277,0)</f>
        <v>0</v>
      </c>
      <c r="BP2277" cm="1">
        <f t="array" ref="BP2277">IFERROR(INDEX(sheath_wcap_asd,MATCH(BS2277,sheath_mark,0),0)*BN2277,0)</f>
        <v>0</v>
      </c>
      <c r="BQ2277" cm="1">
        <f t="array" ref="BQ2277">IFERROR(INDEX(hd_cap,MATCH(BT2277,hd_mark,0),0),0)</f>
        <v>0</v>
      </c>
      <c r="BS2277" s="19"/>
      <c r="BT2277" s="19"/>
      <c r="BU2277" s="100"/>
    </row>
    <row r="2278" x14ac:dyDescent="0.25">
      <c r="P2278" s="93"/>
      <c r="AR2278" s="100"/>
      <c r="AS2278" s="93"/>
      <c r="BU2278" s="100"/>
    </row>
    <row r="2279" x14ac:dyDescent="0.25">
      <c r="P2279" s="93"/>
      <c r="Q2279" s="110" t="str">
        <f>$Q$2215</f>
        <v>A.10</v>
      </c>
      <c r="R2279" t="str">
        <f>$Q$2197</f>
        <v>L2</v>
      </c>
      <c r="S2279">
        <f>$E$21</f>
        <v>10.6875</v>
      </c>
      <c r="T2279" cm="1">
        <f t="array" ref="T2279">IFERROR(IF(S2279=0,0,(INDEX($C$33:$C$38,MATCH($W$2215,$B$33:$B$38,0),0)*(S2283+$X$2215)+$T$2215*COUNTIF(S2279:S2282,"&gt;0")*$C$32+$V$2215*$C$31)*$R$2215),0)</f>
        <v>0</v>
      </c>
      <c r="U2279">
        <f>IF(S2279=0,0,-(COUNTIF(S2279:S2282,"&gt;0")*$T$2215*$C$32+$V$2215*$C$31)*$H$27*$R$2215)</f>
        <v>0</v>
      </c>
      <c r="V2279">
        <f>IF(S2279=0,0,$V$2215*$H$26*$R$2215)</f>
        <v>0</v>
      </c>
      <c r="W2279">
        <f>(0.6*T2279+0.7*U2279)*$R$2215/2</f>
        <v>0</v>
      </c>
      <c r="X2279">
        <f>(0.6*T2279+0.6*V2279)*$R$2215/2</f>
        <v>0</v>
      </c>
      <c r="Z2279">
        <f>IF(S2279=0,0,$AD$2215*$AP$2197)</f>
        <v>0</v>
      </c>
      <c r="AA2279">
        <f>IFERROR(Z2279/$R$2215,0)</f>
        <v>0</v>
      </c>
      <c r="AB2279">
        <f>Z2279*($F$21+IF($F$21=0,0,($C$14+$C$15+IF($C$13="single",1.5,3)+3)/12))</f>
        <v>0</v>
      </c>
      <c r="AC2279">
        <f>AB2279-W2279</f>
        <v>0</v>
      </c>
      <c r="AD2279" cm="1">
        <f t="array" ref="AD2279">IFERROR(IF(AC2279&lt;0,0,AC2279/($R$2215-INDEX(hd_off,MATCH(AQ2279,hd_mark,0),0)/12)),0)</f>
        <v>0</v>
      </c>
      <c r="AE2279">
        <f>IF(S2279=0,0,$AD$2215*$AM$2197)</f>
        <v>0</v>
      </c>
      <c r="AF2279">
        <f>IFERROR(AE2279/$R$2215,0)</f>
        <v>0</v>
      </c>
      <c r="AG2279">
        <f>AE2279*($F$21+IF($F$21=0,0,($C$14+$C$15+IF($C$13="single",1.5,3)+3)/12))</f>
        <v>0</v>
      </c>
      <c r="AH2279">
        <f>AG2279-X2279</f>
        <v>0</v>
      </c>
      <c r="AI2279" cm="1">
        <f t="array" ref="AI2279">IFERROR(IF(AH2279&lt;0,0,AH2279/($R$2215-INDEX(hd_off,MATCH(AQ2279,hd_mark,0),0)/12)),0)</f>
        <v>0</v>
      </c>
      <c r="AJ2279">
        <f>MAX($F$21,$Y$2215)/$Q$2228</f>
        <v>0.30172413793103448</v>
      </c>
      <c r="AK2279">
        <f>IF(AJ2279=0,0,IF(AJ2279&gt;2,1.25-0.125*AJ2279,1))</f>
        <v>1</v>
      </c>
      <c r="AL2279" cm="1">
        <f t="array" ref="AL2279">IFERROR(INDEX(sheath_ecap_asd,MATCH(AP2279,sheath_mark,0),0)*AK2279,0)</f>
        <v>0</v>
      </c>
      <c r="AM2279" cm="1">
        <f t="array" ref="AM2279">IFERROR(INDEX(sheath_wcap_asd,MATCH(AP2279,sheath_mark,0),0)*AK2279,0)</f>
        <v>0</v>
      </c>
      <c r="AN2279" cm="1">
        <f t="array" ref="AN2279">IFERROR(INDEX(hd_cap,MATCH(AQ2279,hd_mark,0),0),0)</f>
        <v>0</v>
      </c>
      <c r="AP2279" s="19"/>
      <c r="AQ2279" s="19"/>
      <c r="AR2279" s="100"/>
      <c r="AS2279" s="93"/>
      <c r="AT2279" s="110" t="str">
        <f>$AT$2215</f>
        <v>1.10</v>
      </c>
      <c r="AU2279" t="str">
        <f>$Q$2197</f>
        <v>L2</v>
      </c>
      <c r="AV2279">
        <f>$E$21</f>
        <v>10.6875</v>
      </c>
      <c r="AW2279" cm="1">
        <f t="array" ref="AW2279">IFERROR(IF(AV2279=0,0,(INDEX($C$33:$C$38,MATCH($AZ$2215,$B$33:$B$38,0),0)*(AV2283+$BA$2215)+$AW$2215*COUNTIF(AV2279:AV2282,"&gt;0")*$C$32+$AY$2215*$C$31)*$AU$2215),0)</f>
        <v>0</v>
      </c>
      <c r="AX2279">
        <f>IF(AV2279=0,0,-(COUNTIF(AV2279:AV2282,"&gt;0")*$AW$2215*$C$32+$AY$2215*$C$31)*$H$27*$AU$2215)</f>
        <v>0</v>
      </c>
      <c r="AY2279">
        <f>IF(AV2279=0,0,$AY$2215*$H$26*$AU$2215)</f>
        <v>0</v>
      </c>
      <c r="AZ2279">
        <f>(0.6*AW2279+0.7*AX2279)*$AU$2215/2</f>
        <v>0</v>
      </c>
      <c r="BA2279">
        <f>(0.6*AW2279+0.6*AY2279)*$AU$2215/2</f>
        <v>0</v>
      </c>
      <c r="BC2279">
        <f>IF(AV2279=0,0,$BG$2215*$AP$2197)</f>
        <v>0</v>
      </c>
      <c r="BD2279">
        <f>IFERROR(BC2279/$AU$2215,0)</f>
        <v>0</v>
      </c>
      <c r="BE2279">
        <f>BC2279*($F$21+IF($F$21=0,0,($C$14+$C$15+IF($C$13="single",1.5,3)+3)/12))</f>
        <v>0</v>
      </c>
      <c r="BF2279">
        <f>BE2279-AZ2279</f>
        <v>0</v>
      </c>
      <c r="BG2279" cm="1">
        <f t="array" ref="BG2279">IFERROR(IF(BF2279&lt;0,0,BF2279/($AU$2215-INDEX(hd_off,MATCH(BT2279,hd_mark,0),0)/12)),0)</f>
        <v>0</v>
      </c>
      <c r="BH2279">
        <f>IF(AV2279=0,0,$BG$2215*$AM$2197)</f>
        <v>0</v>
      </c>
      <c r="BI2279">
        <f>IFERROR(BH2279/$AU$2215,0)</f>
        <v>0</v>
      </c>
      <c r="BJ2279">
        <f>BH2279*($F$21+IF($F$21=0,0,($C$14+$C$15+IF($C$13="single",1.5,3)+3)/12))</f>
        <v>0</v>
      </c>
      <c r="BK2279">
        <f>BJ2279-BA2279</f>
        <v>0</v>
      </c>
      <c r="BL2279" cm="1">
        <f t="array" ref="BL2279">IFERROR(IF(BK2279&lt;0,0,BK2279/($AU$2215-INDEX(hd_off,MATCH(BT2279,hd_mark,0),0)/12)),0)</f>
        <v>0</v>
      </c>
      <c r="BM2279">
        <f>MAX($F$21,$BB$2215)/$Q$2228</f>
        <v>0.30172413793103448</v>
      </c>
      <c r="BN2279">
        <f>IF(BM2279=0,0,IF(BM2279&gt;2,1.25-0.125*BM2279,1))</f>
        <v>1</v>
      </c>
      <c r="BO2279" cm="1">
        <f t="array" ref="BO2279">IFERROR(INDEX(sheath_ecap_asd,MATCH(BS2279,sheath_mark,0),0)*BN2279,0)</f>
        <v>0</v>
      </c>
      <c r="BP2279" cm="1">
        <f t="array" ref="BP2279">IFERROR(INDEX(sheath_wcap_asd,MATCH(BS2279,sheath_mark,0),0)*BN2279,0)</f>
        <v>0</v>
      </c>
      <c r="BQ2279" cm="1">
        <f t="array" ref="BQ2279">IFERROR(INDEX(hd_cap,MATCH(BT2279,hd_mark,0),0),0)</f>
        <v>0</v>
      </c>
      <c r="BS2279" s="19"/>
      <c r="BT2279" s="19"/>
      <c r="BU2279" s="100"/>
    </row>
    <row r="2280" x14ac:dyDescent="0.25">
      <c r="P2280" s="93"/>
      <c r="Q2280" s="109"/>
      <c r="R2280" t="str">
        <f>$Q$2198</f>
        <v>L3</v>
      </c>
      <c r="S2280">
        <f>$E$22</f>
        <v>21.375</v>
      </c>
      <c r="T2280" cm="1">
        <f t="array" ref="T2280">IFERROR(IF(S2280=0,0,(INDEX($C$33:$C$38,MATCH($W$2215,$B$33:$B$38,0),0)*(S2283+$X$2215)+$T$2215*COUNTIF(S2280:S2282,"&gt;0")*$C$32+$V$2215*$C$31)*$R$2215),0)</f>
        <v>0</v>
      </c>
      <c r="U2280">
        <f>IF(S2280=0,0,-(COUNTIF(S2280:S2282,"&gt;0")*$T$2215*$C$32+$V$2215*$C$31)*$H$27*$R$2215)</f>
        <v>0</v>
      </c>
      <c r="V2280">
        <f>IF(S2280=0,0,$V$2215*$H$26*$R$2215)</f>
        <v>0</v>
      </c>
      <c r="W2280">
        <f>(0.6*T2280+0.7*U2280)*$R$2215/2</f>
        <v>0</v>
      </c>
      <c r="X2280">
        <f>T2280*$R$2215/2</f>
        <v>0</v>
      </c>
      <c r="Z2280">
        <f>IF(S2280=0,0,$AD$2215*$AP$2198)</f>
        <v>0</v>
      </c>
      <c r="AA2280">
        <f>IFERROR(Z2280/$R$2215,0)</f>
        <v>0</v>
      </c>
      <c r="AB2280">
        <f>Z2280*($F$22+IF($F$22=0,0,($C$14+$C$15+IF($C$13="single",1.5,3)+3)/12))</f>
        <v>0</v>
      </c>
      <c r="AC2280">
        <f>AB2280-W2280</f>
        <v>0</v>
      </c>
      <c r="AD2280" cm="1">
        <f t="array" ref="AD2280">IFERROR(IF(AC2280&lt;0,0,AC2280/($R$2215-INDEX(hd_off,MATCH(AQ2280,hd_mark,0),0)/12)),0)</f>
        <v>0</v>
      </c>
      <c r="AE2280">
        <f>IF(S2280=0,0,$AD$2215*$AM$2198)</f>
        <v>0</v>
      </c>
      <c r="AF2280">
        <f>IFERROR(AE2280/$R$2215,0)</f>
        <v>0</v>
      </c>
      <c r="AG2280">
        <f>AE2280*($F$22+IF($F$22=0,0,($C$14+$C$15+IF($C$13="single",1.5,3)+3)/12))</f>
        <v>0</v>
      </c>
      <c r="AH2280">
        <f>AG2280-X2280</f>
        <v>0</v>
      </c>
      <c r="AI2280" cm="1">
        <f t="array" ref="AI2280">IFERROR(IF(AH2280&lt;0,0,AH2280/($R$2215-INDEX(hd_off,MATCH(AQ2280,hd_mark,0),0)/12)),0)</f>
        <v>0</v>
      </c>
      <c r="AJ2280">
        <f>MAX($F$22,$Z$2215)/$Q$2228</f>
        <v>0.30172413793103448</v>
      </c>
      <c r="AK2280">
        <f t="shared" ref="AK2280:AK2283" si="1407">IF(AJ2280=0,0,IF(AJ2280&gt;2,1.25-0.125*AJ2280,1))</f>
        <v>1</v>
      </c>
      <c r="AL2280" cm="1">
        <f t="array" ref="AL2280">IFERROR(INDEX(sheath_ecap_asd,MATCH(AP2280,sheath_mark,0),0)*AK2280,0)</f>
        <v>0</v>
      </c>
      <c r="AM2280" cm="1">
        <f t="array" ref="AM2280">IFERROR(INDEX(sheath_wcap_asd,MATCH(AP2280,sheath_mark,0),0)*AK2280,0)</f>
        <v>0</v>
      </c>
      <c r="AN2280" cm="1">
        <f t="array" ref="AN2280">IFERROR(INDEX(hd_cap,MATCH(AQ2280,hd_mark,0),0),0)</f>
        <v>0</v>
      </c>
      <c r="AP2280" s="19"/>
      <c r="AQ2280" s="19"/>
      <c r="AR2280" s="100"/>
      <c r="AS2280" s="93"/>
      <c r="AT2280" s="109"/>
      <c r="AU2280" t="str">
        <f>$Q$2198</f>
        <v>L3</v>
      </c>
      <c r="AV2280">
        <f>$E$22</f>
        <v>21.375</v>
      </c>
      <c r="AW2280" cm="1">
        <f t="array" ref="AW2280">IFERROR(IF(AV2280=0,0,(INDEX($C$33:$C$38,MATCH($AZ$2215,$B$33:$B$38,0),0)*(AV2283+$BA$2215)+$AW$2215*COUNTIF(AV2280:AV2282,"&gt;0")*$C$32+$AY$2215*$C$31)*$AU$2215),0)</f>
        <v>0</v>
      </c>
      <c r="AX2280">
        <f>IF(AV2280=0,0,-(COUNTIF(AV2280:AV2282,"&gt;0")*$AW$2215*$C$32+$AY$2215*$C$31)*$H$27*$AU$2215)</f>
        <v>0</v>
      </c>
      <c r="AY2280">
        <f>IF(AV2280=0,0,$AY$2215*$H$26*$AU$2215)</f>
        <v>0</v>
      </c>
      <c r="AZ2280">
        <f>(0.6*AW2280+0.7*AX2280)*$AU$2215/2</f>
        <v>0</v>
      </c>
      <c r="BA2280">
        <f>AW2280*$AU$2215/2</f>
        <v>0</v>
      </c>
      <c r="BC2280">
        <f>IF(AV2280=0,0,$BG$2215*$AP$2198)</f>
        <v>0</v>
      </c>
      <c r="BD2280">
        <f>IFERROR(BC2280/$AU$2215,0)</f>
        <v>0</v>
      </c>
      <c r="BE2280">
        <f>BC2280*($F$22+IF($F$22=0,0,($C$14+$C$15+IF($C$13="single",1.5,3)+3)/12))</f>
        <v>0</v>
      </c>
      <c r="BF2280">
        <f>BE2280-AZ2280</f>
        <v>0</v>
      </c>
      <c r="BG2280" cm="1">
        <f t="array" ref="BG2280">IFERROR(IF(BF2280&lt;0,0,BF2280/($AU$2215-INDEX(hd_off,MATCH(BT2280,hd_mark,0),0)/12)),0)</f>
        <v>0</v>
      </c>
      <c r="BH2280">
        <f>IF(AV2280=0,0,$BG$2215*$AM$2198)</f>
        <v>0</v>
      </c>
      <c r="BI2280">
        <f>IFERROR(BH2280/$AU$2215,0)</f>
        <v>0</v>
      </c>
      <c r="BJ2280">
        <f>BH2280*($F$22+IF($F$22=0,0,($C$14+$C$15+IF($C$13="single",1.5,3)+3)/12))</f>
        <v>0</v>
      </c>
      <c r="BK2280">
        <f>BJ2280-BA2280</f>
        <v>0</v>
      </c>
      <c r="BL2280" cm="1">
        <f t="array" ref="BL2280">IFERROR(IF(BK2280&lt;0,0,BK2280/($AU$2215-INDEX(hd_off,MATCH(BT2280,hd_mark,0),0)/12)),0)</f>
        <v>0</v>
      </c>
      <c r="BM2280">
        <f>MAX($F$22,$BC$2215)/$Q$2228</f>
        <v>0.30172413793103448</v>
      </c>
      <c r="BN2280">
        <f t="shared" ref="BN2280:BN2283" si="1408">IF(BM2280=0,0,IF(BM2280&gt;2,1.25-0.125*BM2280,1))</f>
        <v>1</v>
      </c>
      <c r="BO2280" cm="1">
        <f t="array" ref="BO2280">IFERROR(INDEX(sheath_ecap_asd,MATCH(BS2280,sheath_mark,0),0)*BN2280,0)</f>
        <v>0</v>
      </c>
      <c r="BP2280" cm="1">
        <f t="array" ref="BP2280">IFERROR(INDEX(sheath_wcap_asd,MATCH(BS2280,sheath_mark,0),0)*BN2280,0)</f>
        <v>0</v>
      </c>
      <c r="BQ2280" cm="1">
        <f t="array" ref="BQ2280">IFERROR(INDEX(hd_cap,MATCH(BT2280,hd_mark,0),0),0)</f>
        <v>0</v>
      </c>
      <c r="BS2280" s="19"/>
      <c r="BT2280" s="19"/>
      <c r="BU2280" s="100"/>
    </row>
    <row r="2281" x14ac:dyDescent="0.25">
      <c r="P2281" s="93"/>
      <c r="Q2281" s="109" t="s">
        <v>491</v>
      </c>
      <c r="R2281" t="str">
        <f>$Q$2199</f>
        <v>L4</v>
      </c>
      <c r="S2281">
        <f>$E$23</f>
        <v>0</v>
      </c>
      <c r="T2281" cm="1">
        <f t="array" ref="T2281">IFERROR(IF(S2281=0,0,(INDEX($C$33:$C$38,MATCH($W$2215,$B$33:$B$38,0),0)*(S2283+$X$2215)+$T$2215*COUNTIF(S2281:S2282,"&gt;0")*$C$32+$V$2215*$C$31)*$R$2215),0)</f>
        <v>0</v>
      </c>
      <c r="U2281">
        <f>IF(S2281=0,0,-(COUNTIF(S2281:S2282,"&gt;0")*$T$2215*$C$32+$V$2215*$C$31)*$H$27*$R$2215)</f>
        <v>0</v>
      </c>
      <c r="V2281">
        <f>IF(S2281=0,0,$V$2215*$H$26*$R$2215)</f>
        <v>0</v>
      </c>
      <c r="W2281">
        <f>(0.6*T2281+0.7*U2281)*$R$2215/2</f>
        <v>0</v>
      </c>
      <c r="X2281">
        <f>T2281*$R$2215/2</f>
        <v>0</v>
      </c>
      <c r="Z2281">
        <f>IF(S2281=0,0,$AD$2215*$AP$2199)</f>
        <v>0</v>
      </c>
      <c r="AA2281">
        <f>IFERROR(Z2281/$R$2215,0)</f>
        <v>0</v>
      </c>
      <c r="AB2281">
        <f>Z2281*($F$23+IF($F$23=0,0,($C$14+$C$15+IF($C$13="single",1.5,3)+3)/12))</f>
        <v>0</v>
      </c>
      <c r="AC2281">
        <f>AB2281-W2281</f>
        <v>0</v>
      </c>
      <c r="AD2281" cm="1">
        <f t="array" ref="AD2281">IFERROR(IF(AC2281&lt;0,0,AC2281/($R$2215-INDEX(hd_off,MATCH(AQ2281,hd_mark,0),0)/12)),0)</f>
        <v>0</v>
      </c>
      <c r="AE2281">
        <f>IF(S2281=0,0,$AD$2215*$AM$2199)</f>
        <v>0</v>
      </c>
      <c r="AF2281">
        <f>IFERROR(AE2281/$R$2215,0)</f>
        <v>0</v>
      </c>
      <c r="AG2281">
        <f>AE2281*($F$23+IF($F$23=0,0,($C$14+$C$15+IF($C$13="single",1.5,3)+3)/12))</f>
        <v>0</v>
      </c>
      <c r="AH2281">
        <f>AG2281-X2281</f>
        <v>0</v>
      </c>
      <c r="AI2281" cm="1">
        <f t="array" ref="AI2281">IFERROR(IF(AH2281&lt;0,0,AH2281/($R$2215-INDEX(hd_off,MATCH(AQ2281,hd_mark,0),0)/12)),0)</f>
        <v>0</v>
      </c>
      <c r="AJ2281">
        <f>MAX($F$23,$AA$2215)/$Q$2228</f>
        <v>0</v>
      </c>
      <c r="AK2281">
        <f t="shared" si="1407"/>
        <v>0</v>
      </c>
      <c r="AL2281" cm="1">
        <f t="array" ref="AL2281">IFERROR(INDEX(sheath_ecap_asd,MATCH(AP2281,sheath_mark,0),0)*AK2281,0)</f>
        <v>0</v>
      </c>
      <c r="AM2281" cm="1">
        <f t="array" ref="AM2281">IFERROR(INDEX(sheath_wcap_asd,MATCH(AP2281,sheath_mark,0),0)*AK2281,0)</f>
        <v>0</v>
      </c>
      <c r="AN2281" cm="1">
        <f t="array" ref="AN2281">IFERROR(INDEX(hd_cap,MATCH(AQ2281,hd_mark,0),0),0)</f>
        <v>0</v>
      </c>
      <c r="AP2281" s="19"/>
      <c r="AQ2281" s="19"/>
      <c r="AR2281" s="100"/>
      <c r="AS2281" s="93"/>
      <c r="AT2281" s="109" t="s">
        <v>491</v>
      </c>
      <c r="AU2281" t="str">
        <f>$Q$2199</f>
        <v>L4</v>
      </c>
      <c r="AV2281">
        <f>$E$23</f>
        <v>0</v>
      </c>
      <c r="AW2281" cm="1">
        <f t="array" ref="AW2281">IFERROR(IF(AV2281=0,0,(INDEX($C$33:$C$38,MATCH($AZ$2215,$B$33:$B$38,0),0)*(AV2283+$BA$2215)+$AW$2215*COUNTIF(AV2281:AV2282,"&gt;0")*$C$32+$AY$2215*$C$31)*$AU$2215),0)</f>
        <v>0</v>
      </c>
      <c r="AX2281">
        <f>IF(AV2281=0,0,-(COUNTIF(AV2281:AV2282,"&gt;0")*$AW$2215*$C$32+$AY$2215*$C$31)*$H$27*$AU$2215)</f>
        <v>0</v>
      </c>
      <c r="AY2281">
        <f>IF(AV2281=0,0,$AY$2215*$H$26*$AU$2215)</f>
        <v>0</v>
      </c>
      <c r="AZ2281">
        <f>(0.6*AW2281+0.7*AX2281)*$AU$2215/2</f>
        <v>0</v>
      </c>
      <c r="BA2281">
        <f>AW2281*$AU$2215/2</f>
        <v>0</v>
      </c>
      <c r="BC2281">
        <f>IF(AV2281=0,0,$BG$2215*$AP$2199)</f>
        <v>0</v>
      </c>
      <c r="BD2281">
        <f>IFERROR(BC2281/$AU$2215,0)</f>
        <v>0</v>
      </c>
      <c r="BE2281">
        <f>BC2281*($F$23+IF($F$23=0,0,($C$14+$C$15+IF($C$13="single",1.5,3)+3)/12))</f>
        <v>0</v>
      </c>
      <c r="BF2281">
        <f>BE2281-AZ2281</f>
        <v>0</v>
      </c>
      <c r="BG2281" cm="1">
        <f t="array" ref="BG2281">IFERROR(IF(BF2281&lt;0,0,BF2281/($AU$2215-INDEX(hd_off,MATCH(BT2281,hd_mark,0),0)/12)),0)</f>
        <v>0</v>
      </c>
      <c r="BH2281">
        <f>IF(AV2281=0,0,$BG$2215*$AM$2199)</f>
        <v>0</v>
      </c>
      <c r="BI2281">
        <f>IFERROR(BH2281/$AU$2215,0)</f>
        <v>0</v>
      </c>
      <c r="BJ2281">
        <f>BH2281*($F$23+IF($F$23=0,0,($C$14+$C$15+IF($C$13="single",1.5,3)+3)/12))</f>
        <v>0</v>
      </c>
      <c r="BK2281">
        <f>BJ2281-BA2281</f>
        <v>0</v>
      </c>
      <c r="BL2281" cm="1">
        <f t="array" ref="BL2281">IFERROR(IF(BK2281&lt;0,0,BK2281/($AU$2215-INDEX(hd_off,MATCH(BT2281,hd_mark,0),0)/12)),0)</f>
        <v>0</v>
      </c>
      <c r="BM2281">
        <f>MAX($F$23,$BD$2215)/$Q$2228</f>
        <v>0</v>
      </c>
      <c r="BN2281">
        <f t="shared" si="1408"/>
        <v>0</v>
      </c>
      <c r="BO2281" cm="1">
        <f t="array" ref="BO2281">IFERROR(INDEX(sheath_ecap_asd,MATCH(BS2281,sheath_mark,0),0)*BN2281,0)</f>
        <v>0</v>
      </c>
      <c r="BP2281" cm="1">
        <f t="array" ref="BP2281">IFERROR(INDEX(sheath_wcap_asd,MATCH(BS2281,sheath_mark,0),0)*BN2281,0)</f>
        <v>0</v>
      </c>
      <c r="BQ2281" cm="1">
        <f t="array" ref="BQ2281">IFERROR(INDEX(hd_cap,MATCH(BT2281,hd_mark,0),0),0)</f>
        <v>0</v>
      </c>
      <c r="BS2281" s="19"/>
      <c r="BT2281" s="19"/>
      <c r="BU2281" s="100"/>
    </row>
    <row r="2282" x14ac:dyDescent="0.25">
      <c r="P2282" s="93"/>
      <c r="Q2282" s="111">
        <f>$R$2215</f>
        <v>0</v>
      </c>
      <c r="R2282" t="str">
        <f>$Q$2200</f>
        <v>L5</v>
      </c>
      <c r="S2282">
        <f>$E$24</f>
        <v>0</v>
      </c>
      <c r="T2282" cm="1">
        <f t="array" ref="T2282">IFERROR(IF(S2282=0,0,(INDEX($C$33:$C$38,MATCH($W$2215,$B$33:$B$38,0),0)*(S2283+$X$2215)+$T$2215*COUNTIF(S2282:S2282,"&gt;0")*$C$32+$V$2215*$C$31)*$R$2215),0)</f>
        <v>0</v>
      </c>
      <c r="U2282">
        <f>IF(S2282=0,0,-(COUNTIF(S2282:S2282,"&gt;0")*$T$2215*$C$32+$V$2215*$C$31)*$H$27*$R$2215)</f>
        <v>0</v>
      </c>
      <c r="V2282">
        <f>IF(S2282=0,0,$V$2215*$H$26*$R$2215)</f>
        <v>0</v>
      </c>
      <c r="W2282">
        <f>(0.6*T2282+0.7*U2282)*$R$2215/2</f>
        <v>0</v>
      </c>
      <c r="X2282">
        <f>T2282*$R$2215/2</f>
        <v>0</v>
      </c>
      <c r="Z2282">
        <f>IF(S2282=0,0,$AD$2215*$AP$2200)</f>
        <v>0</v>
      </c>
      <c r="AA2282">
        <f>IFERROR(Z2282/$R$2215,0)</f>
        <v>0</v>
      </c>
      <c r="AB2282">
        <f>Z2282*($F$24+IF($F$24=0,0,($C$14+$C$15+IF($C$13="single",1.5,3)+3)/12))</f>
        <v>0</v>
      </c>
      <c r="AC2282">
        <f>AB2282-W2282</f>
        <v>0</v>
      </c>
      <c r="AD2282" cm="1">
        <f t="array" ref="AD2282">IFERROR(IF(AC2282&lt;0,0,AC2282/($R$2215-INDEX(hd_off,MATCH(AQ2282,hd_mark,0),0)/12)),0)</f>
        <v>0</v>
      </c>
      <c r="AE2282">
        <f>IF(S2282=0,0,$AD$2215*$AM$2200)</f>
        <v>0</v>
      </c>
      <c r="AF2282">
        <f>IFERROR(AE2282/$R$2215,0)</f>
        <v>0</v>
      </c>
      <c r="AG2282">
        <f>AE2282*($F$24+IF($F$24=0,0,($C$14+$C$15+IF($C$13="single",1.5,3)+3)/12))</f>
        <v>0</v>
      </c>
      <c r="AH2282">
        <f>AG2282-X2282</f>
        <v>0</v>
      </c>
      <c r="AI2282" cm="1">
        <f t="array" ref="AI2282">IFERROR(IF(AH2282&lt;0,0,AH2282/($R$2215-INDEX(hd_off,MATCH(AQ2282,hd_mark,0),0)/12)),0)</f>
        <v>0</v>
      </c>
      <c r="AJ2282">
        <f>MAX($F$24,$AB$2215)/$Q$2228</f>
        <v>0</v>
      </c>
      <c r="AK2282">
        <f t="shared" si="1407"/>
        <v>0</v>
      </c>
      <c r="AL2282" cm="1">
        <f t="array" ref="AL2282">IFERROR(INDEX(sheath_ecap_asd,MATCH(AP2282,sheath_mark,0),0)*AK2282,0)</f>
        <v>0</v>
      </c>
      <c r="AM2282" cm="1">
        <f t="array" ref="AM2282">IFERROR(INDEX(sheath_wcap_asd,MATCH(AP2282,sheath_mark,0),0)*AK2282,0)</f>
        <v>0</v>
      </c>
      <c r="AN2282" cm="1">
        <f t="array" ref="AN2282">IFERROR(INDEX(hd_cap,MATCH(AQ2282,hd_mark,0),0),0)</f>
        <v>0</v>
      </c>
      <c r="AP2282" s="19"/>
      <c r="AQ2282" s="19"/>
      <c r="AR2282" s="100"/>
      <c r="AS2282" s="93"/>
      <c r="AT2282" s="111">
        <f>$R$2215</f>
        <v>0</v>
      </c>
      <c r="AU2282" t="str">
        <f>$Q$2200</f>
        <v>L5</v>
      </c>
      <c r="AV2282">
        <f>$E$24</f>
        <v>0</v>
      </c>
      <c r="AW2282" cm="1">
        <f t="array" ref="AW2282">IFERROR(IF(AV2282=0,0,(INDEX($C$33:$C$38,MATCH($AZ$2215,$B$33:$B$38,0),0)*(AV2283+$BA$2215)+$AW$2215*COUNTIF(AV2282:AV2282,"&gt;0")*$C$32+$AY$2215*$C$31)*$AU$2215),0)</f>
        <v>0</v>
      </c>
      <c r="AX2282">
        <f>IF(AV2282=0,0,-(COUNTIF(AV2282:AV2282,"&gt;0")*$AW$2215*$C$32+$AY$2215*$C$31)*$H$27*$AU$2215)</f>
        <v>0</v>
      </c>
      <c r="AY2282">
        <f>IF(AV2282=0,0,$AY$2215*$H$26*$AU$2215)</f>
        <v>0</v>
      </c>
      <c r="AZ2282">
        <f>(0.6*AW2282+0.7*AX2282)*$AU$2215/2</f>
        <v>0</v>
      </c>
      <c r="BA2282">
        <f>AW2282*$AU$2215/2</f>
        <v>0</v>
      </c>
      <c r="BC2282">
        <f>IF(AV2282=0,0,$BG$2215*$AP$2200)</f>
        <v>0</v>
      </c>
      <c r="BD2282">
        <f>IFERROR(BC2282/$AU$2215,0)</f>
        <v>0</v>
      </c>
      <c r="BE2282">
        <f>BC2282*($F$24+IF($F$24=0,0,($C$14+$C$15+IF($C$13="single",1.5,3)+3)/12))</f>
        <v>0</v>
      </c>
      <c r="BF2282">
        <f>BE2282-AZ2282</f>
        <v>0</v>
      </c>
      <c r="BG2282" cm="1">
        <f t="array" ref="BG2282">IFERROR(IF(BF2282&lt;0,0,BF2282/($AU$2215-INDEX(hd_off,MATCH(BT2282,hd_mark,0),0)/12)),0)</f>
        <v>0</v>
      </c>
      <c r="BH2282">
        <f>IF(AV2282=0,0,$BG$2215*$AM$2200)</f>
        <v>0</v>
      </c>
      <c r="BI2282">
        <f>IFERROR(BH2282/$AU$2215,0)</f>
        <v>0</v>
      </c>
      <c r="BJ2282">
        <f>BH2282*($F$24+IF($F$24=0,0,($C$14+$C$15+IF($C$13="single",1.5,3)+3)/12))</f>
        <v>0</v>
      </c>
      <c r="BK2282">
        <f>BJ2282-BA2282</f>
        <v>0</v>
      </c>
      <c r="BL2282" cm="1">
        <f t="array" ref="BL2282">IFERROR(IF(BK2282&lt;0,0,BK2282/($AU$2215-INDEX(hd_off,MATCH(BT2282,hd_mark,0),0)/12)),0)</f>
        <v>0</v>
      </c>
      <c r="BM2282">
        <f>MAX($F$24,$BE$2215)/$Q$2228</f>
        <v>0</v>
      </c>
      <c r="BN2282">
        <f t="shared" si="1408"/>
        <v>0</v>
      </c>
      <c r="BO2282" cm="1">
        <f t="array" ref="BO2282">IFERROR(INDEX(sheath_ecap_asd,MATCH(BS2282,sheath_mark,0),0)*BN2282,0)</f>
        <v>0</v>
      </c>
      <c r="BP2282" cm="1">
        <f t="array" ref="BP2282">IFERROR(INDEX(sheath_wcap_asd,MATCH(BS2282,sheath_mark,0),0)*BN2282,0)</f>
        <v>0</v>
      </c>
      <c r="BQ2282" cm="1">
        <f t="array" ref="BQ2282">IFERROR(INDEX(hd_cap,MATCH(BT2282,hd_mark,0),0),0)</f>
        <v>0</v>
      </c>
      <c r="BS2282" s="19"/>
      <c r="BT2282" s="19"/>
      <c r="BU2282" s="100"/>
    </row>
    <row r="2283" x14ac:dyDescent="0.25">
      <c r="P2283" s="93"/>
      <c r="Q2283" s="109"/>
      <c r="R2283" t="str">
        <f>$Q$2201</f>
        <v>Roof</v>
      </c>
      <c r="S2283">
        <f>$E$25</f>
        <v>33.171875</v>
      </c>
      <c r="T2283" cm="1">
        <f t="array" ref="T2283">IFERROR(IF(S2283=0,0,(INDEX($C$33:$C$38,MATCH($W$2215,$B$33:$B$38,0),0)*(S2283+$X$2215)+$V$2215*$C$31)*$R$2215),0)</f>
        <v>0</v>
      </c>
      <c r="U2283">
        <f>IF(S2283=0,0,-$V$2215*$C$31*$H$27*$R$2215)</f>
        <v>0</v>
      </c>
      <c r="V2283">
        <f>IF(S2283=0,0,$V$2215*$H$26*$R$2215)</f>
        <v>0</v>
      </c>
      <c r="W2283">
        <f>(0.6*T2283+0.7*U2283)*$R$2215/2</f>
        <v>0</v>
      </c>
      <c r="X2283">
        <f>T2283*$R$2215/2</f>
        <v>0</v>
      </c>
      <c r="Z2283">
        <f>IF(S2283=0,0,$AD$2215*$AP$2201)</f>
        <v>0</v>
      </c>
      <c r="AA2283">
        <f>IFERROR(Z2283/$R$2215,0)</f>
        <v>0</v>
      </c>
      <c r="AB2283">
        <f>Z2283*($F$25+($C$16+$C$17+IF($C$13="single",1.5,3)+3)/12)</f>
        <v>0</v>
      </c>
      <c r="AC2283">
        <f>AB2283-W2283</f>
        <v>0</v>
      </c>
      <c r="AD2283" cm="1">
        <f t="array" ref="AD2283">IFERROR(IF(AC2283&lt;0,0,AC2283/($R$2215-INDEX(hd_off,MATCH(AQ2283,hd_mark,0),0)/12)),0)</f>
        <v>0</v>
      </c>
      <c r="AE2283">
        <f>IF(S2283=0,0,$AD$2215*$AM$2201)</f>
        <v>0</v>
      </c>
      <c r="AF2283">
        <f>IFERROR(AE2283/$R$2215,0)</f>
        <v>0</v>
      </c>
      <c r="AG2283">
        <f>AE2283*($F$25+($C$16+$C$17+IF($C$13="single",1.5,3)+3)/12)</f>
        <v>0</v>
      </c>
      <c r="AH2283">
        <f>AG2283-X2283</f>
        <v>0</v>
      </c>
      <c r="AI2283" cm="1">
        <f t="array" ref="AI2283">IFERROR(IF(AH2283&lt;0,0,AH2283/($R$2215-INDEX(hd_off,MATCH(AQ2283,hd_mark,0),0)/12)),0)</f>
        <v>0</v>
      </c>
      <c r="AJ2283">
        <f>MAX($F$25,$AC$2215)/$Q$2228</f>
        <v>0.29920977011494249</v>
      </c>
      <c r="AK2283">
        <f t="shared" si="1407"/>
        <v>1</v>
      </c>
      <c r="AL2283" cm="1">
        <f t="array" ref="AL2283">IFERROR(INDEX(sheath_ecap_asd,MATCH(AP2283,sheath_mark,0),0)*AK2283,0)</f>
        <v>0</v>
      </c>
      <c r="AM2283" cm="1">
        <f t="array" ref="AM2283">IFERROR(INDEX(sheath_wcap_asd,MATCH(AP2283,sheath_mark,0),0)*AK2283,0)</f>
        <v>0</v>
      </c>
      <c r="AN2283" cm="1">
        <f t="array" ref="AN2283">IFERROR(INDEX(hd_cap,MATCH(AQ2283,hd_mark,0),0),0)</f>
        <v>0</v>
      </c>
      <c r="AP2283" s="19"/>
      <c r="AQ2283" s="19"/>
      <c r="AR2283" s="100"/>
      <c r="AS2283" s="93"/>
      <c r="AT2283" s="109"/>
      <c r="AU2283" t="str">
        <f>$Q$2201</f>
        <v>Roof</v>
      </c>
      <c r="AV2283">
        <f>$E$25</f>
        <v>33.171875</v>
      </c>
      <c r="AW2283" cm="1">
        <f t="array" ref="AW2283">IFERROR(IF(AV2283=0,0,(INDEX($C$33:$C$38,MATCH($AZ$2215,$B$33:$B$38,0),0)*(AV2283+$BA$2215)+$AY$2215*$C$31)*$AU$2215),0)</f>
        <v>0</v>
      </c>
      <c r="AX2283">
        <f>IF(AV2283=0,0,-$AY$2215*$C$31*$H$27*$AU$2215)</f>
        <v>0</v>
      </c>
      <c r="AY2283">
        <f>IF(AV2283=0,0,$AY$2215*$H$26*$AU$2215)</f>
        <v>0</v>
      </c>
      <c r="AZ2283">
        <f>(0.6*AW2283+0.7*AX2283)*$AU$2215/2</f>
        <v>0</v>
      </c>
      <c r="BA2283">
        <f>AW2283*$AU$2215/2</f>
        <v>0</v>
      </c>
      <c r="BC2283">
        <f>IF(AV2283=0,0,$BG$2215*$AP$2201)</f>
        <v>0</v>
      </c>
      <c r="BD2283">
        <f>IFERROR(BC2283/$AU$2215,0)</f>
        <v>0</v>
      </c>
      <c r="BE2283">
        <f>BC2283*($F$25+($C$16+$C$17+IF($C$13="single",1.5,3)+3)/12)</f>
        <v>0</v>
      </c>
      <c r="BF2283">
        <f>BE2283-AZ2283</f>
        <v>0</v>
      </c>
      <c r="BG2283" cm="1">
        <f t="array" ref="BG2283">IFERROR(IF(BF2283&lt;0,0,BF2283/($AU$2215-INDEX(hd_off,MATCH(BT2283,hd_mark,0),0)/12)),0)</f>
        <v>0</v>
      </c>
      <c r="BH2283">
        <f>IF(AV2283=0,0,$BG$2215*$AM$2201)</f>
        <v>0</v>
      </c>
      <c r="BI2283">
        <f>IFERROR(BH2283/$AU$2215,0)</f>
        <v>0</v>
      </c>
      <c r="BJ2283">
        <f>BH2283*($F$25+($C$16+$C$17+IF($C$13="single",1.5,3)+3)/12)</f>
        <v>0</v>
      </c>
      <c r="BK2283">
        <f>BJ2283-BA2283</f>
        <v>0</v>
      </c>
      <c r="BL2283" cm="1">
        <f t="array" ref="BL2283">IFERROR(IF(BK2283&lt;0,0,BK2283/($AU$2215-INDEX(hd_off,MATCH(BT2283,hd_mark,0),0)/12)),0)</f>
        <v>0</v>
      </c>
      <c r="BM2283">
        <f>MAX($F$25,$BF$2215)/$Q$2228</f>
        <v>0.29920977011494249</v>
      </c>
      <c r="BN2283">
        <f t="shared" si="1408"/>
        <v>1</v>
      </c>
      <c r="BO2283" cm="1">
        <f t="array" ref="BO2283">IFERROR(INDEX(sheath_ecap_asd,MATCH(BS2283,sheath_mark,0),0)*BN2283,0)</f>
        <v>0</v>
      </c>
      <c r="BP2283" cm="1">
        <f t="array" ref="BP2283">IFERROR(INDEX(sheath_wcap_asd,MATCH(BS2283,sheath_mark,0),0)*BN2283,0)</f>
        <v>0</v>
      </c>
      <c r="BQ2283" cm="1">
        <f t="array" ref="BQ2283">IFERROR(INDEX(hd_cap,MATCH(BT2283,hd_mark,0),0),0)</f>
        <v>0</v>
      </c>
      <c r="BS2283" s="19"/>
      <c r="BT2283" s="19"/>
      <c r="BU2283" s="100"/>
    </row>
    <row r="2284" x14ac:dyDescent="0.25">
      <c r="P2284" s="93"/>
      <c r="AR2284" s="100"/>
      <c r="AS2284" s="93"/>
      <c r="BU2284" s="100"/>
    </row>
    <row r="2285" x14ac:dyDescent="0.25">
      <c r="P2285" s="93"/>
      <c r="Q2285" s="110" t="str">
        <f>$Q$2216</f>
        <v>A.11</v>
      </c>
      <c r="R2285" t="str">
        <f>$Q$2197</f>
        <v>L2</v>
      </c>
      <c r="S2285">
        <f>$E$21</f>
        <v>10.6875</v>
      </c>
      <c r="T2285" cm="1">
        <f t="array" ref="T2285">IFERROR(IF(S2285=0,0,(INDEX($C$33:$C$38,MATCH($W$2216,$B$33:$B$38,0),0)*(S2289+$X$2216)+$T$2216*COUNTIF(S2285:S2288,"&gt;0")*$C$32+$V$2216*$C$31)*$R$2216),0)</f>
        <v>0</v>
      </c>
      <c r="U2285">
        <f>IF(S2285=0,0,-(COUNTIF(S2285:S2288,"&gt;0")*$T$2216*$C$32+$V$2216*$C$31)*$H$27*$R$2216)</f>
        <v>0</v>
      </c>
      <c r="V2285">
        <f>IF(S2285=0,0,$V$2216*$H$26*$R$2216)</f>
        <v>0</v>
      </c>
      <c r="W2285">
        <f>(0.6*T2285+0.7*U2285)*$R$2216/2</f>
        <v>0</v>
      </c>
      <c r="X2285">
        <f>(0.6*T2285+0.6*V2285)*$R$2216/2</f>
        <v>0</v>
      </c>
      <c r="Z2285">
        <f>IF(S2285=0,0,$AD$2216*$AP$2197)</f>
        <v>0</v>
      </c>
      <c r="AA2285">
        <f>IFERROR(Z2285/$R$2216,0)</f>
        <v>0</v>
      </c>
      <c r="AB2285">
        <f>Z2285*($F$21+IF($F$21=0,0,($C$14+$C$15+IF($C$13="single",1.5,3)+3)/12))</f>
        <v>0</v>
      </c>
      <c r="AC2285">
        <f>AB2285-W2285</f>
        <v>0</v>
      </c>
      <c r="AD2285" cm="1">
        <f t="array" ref="AD2285">IFERROR(IF(AC2285&lt;0,0,AC2285/($R$2216-INDEX(hd_off,MATCH(AQ2285,hd_mark,0),0)/12)),0)</f>
        <v>0</v>
      </c>
      <c r="AE2285">
        <f>IF(S2285=0,0,$AD$2216*$AM$2197)</f>
        <v>0</v>
      </c>
      <c r="AF2285">
        <f>IFERROR(AE2285/$R$2216,0)</f>
        <v>0</v>
      </c>
      <c r="AG2285">
        <f>AE2285*($F$21+IF($F$21=0,0,($C$14+$C$15+IF($C$13="single",1.5,3)+3)/12))</f>
        <v>0</v>
      </c>
      <c r="AH2285">
        <f>AG2285-X2285</f>
        <v>0</v>
      </c>
      <c r="AI2285" cm="1">
        <f t="array" ref="AI2285">IFERROR(IF(AH2285&lt;0,0,AH2285/($R$2216-INDEX(hd_off,MATCH(AQ2285,hd_mark,0),0)/12)),0)</f>
        <v>0</v>
      </c>
      <c r="AJ2285">
        <f>MAX($F$21,$Y$2216)/$Q$2228</f>
        <v>0.30172413793103448</v>
      </c>
      <c r="AK2285">
        <f>IF(AJ2285=0,0,IF(AJ2285&gt;2,1.25-0.125*AJ2285,1))</f>
        <v>1</v>
      </c>
      <c r="AL2285" cm="1">
        <f t="array" ref="AL2285">IFERROR(INDEX(sheath_ecap_asd,MATCH(AP2285,sheath_mark,0),0)*AK2285,0)</f>
        <v>0</v>
      </c>
      <c r="AM2285" cm="1">
        <f t="array" ref="AM2285">IFERROR(INDEX(sheath_wcap_asd,MATCH(AP2285,sheath_mark,0),0)*AK2285,0)</f>
        <v>0</v>
      </c>
      <c r="AN2285" cm="1">
        <f t="array" ref="AN2285">IFERROR(INDEX(hd_cap,MATCH(AQ2285,hd_mark,0),0),0)</f>
        <v>0</v>
      </c>
      <c r="AP2285" s="19"/>
      <c r="AQ2285" s="19"/>
      <c r="AR2285" s="100"/>
      <c r="AS2285" s="93"/>
      <c r="AT2285" s="110" t="str">
        <f>$AT$2216</f>
        <v>1.11</v>
      </c>
      <c r="AU2285" t="str">
        <f>$Q$2197</f>
        <v>L2</v>
      </c>
      <c r="AV2285">
        <f>$E$21</f>
        <v>10.6875</v>
      </c>
      <c r="AW2285" cm="1">
        <f t="array" ref="AW2285">IFERROR(IF(AV2285=0,0,(INDEX($C$33:$C$38,MATCH($AZ$2216,$B$33:$B$38,0),0)*(AV2289+$BA$2216)+$AW$2216*COUNTIF(AV2285:AV2288,"&gt;0")*$C$32+$AY$2216*$C$31)*$AU$2216),0)</f>
        <v>0</v>
      </c>
      <c r="AX2285">
        <f>IF(AV2285=0,0,-(COUNTIF(AV2285:AV2288,"&gt;0")*$AW$2216*$C$32+$AY$2216*$C$31)*$H$27*$AU$2216)</f>
        <v>0</v>
      </c>
      <c r="AY2285">
        <f>IF(AV2285=0,0,$AY$2216*$H$26*$AU$2216)</f>
        <v>0</v>
      </c>
      <c r="AZ2285">
        <f>(0.6*AW2285+0.7*AX2285)*$AU$2216/2</f>
        <v>0</v>
      </c>
      <c r="BA2285">
        <f>(0.6*AW2285+0.6*AY2285)*$AU$2216/2</f>
        <v>0</v>
      </c>
      <c r="BC2285">
        <f>IF(AV2285=0,0,$BG$2216*$AP$2197)</f>
        <v>0</v>
      </c>
      <c r="BD2285">
        <f>IFERROR(BC2285/$AU$2216,0)</f>
        <v>0</v>
      </c>
      <c r="BE2285">
        <f>BC2285*($F$21+IF($F$21=0,0,($C$14+$C$15+IF($C$13="single",1.5,3)+3)/12))</f>
        <v>0</v>
      </c>
      <c r="BF2285">
        <f>BE2285-AZ2285</f>
        <v>0</v>
      </c>
      <c r="BG2285" cm="1">
        <f t="array" ref="BG2285">IFERROR(IF(BF2285&lt;0,0,BF2285/($AU$2216-INDEX(hd_off,MATCH(BT2285,hd_mark,0),0)/12)),0)</f>
        <v>0</v>
      </c>
      <c r="BH2285">
        <f>IF(AV2285=0,0,$BG$2216*$AM$2197)</f>
        <v>0</v>
      </c>
      <c r="BI2285">
        <f>IFERROR(BH2285/$AU$2216,0)</f>
        <v>0</v>
      </c>
      <c r="BJ2285">
        <f>BH2285*($F$21+IF($F$21=0,0,($C$14+$C$15+IF($C$13="single",1.5,3)+3)/12))</f>
        <v>0</v>
      </c>
      <c r="BK2285">
        <f>BJ2285-BA2285</f>
        <v>0</v>
      </c>
      <c r="BL2285" cm="1">
        <f t="array" ref="BL2285">IFERROR(IF(BK2285&lt;0,0,BK2285/($AU$2216-INDEX(hd_off,MATCH(BT2285,hd_mark,0),0)/12)),0)</f>
        <v>0</v>
      </c>
      <c r="BM2285">
        <f>MAX($F$21,$BB$2216)/$Q$2228</f>
        <v>0.30172413793103448</v>
      </c>
      <c r="BN2285">
        <f>IF(BM2285=0,0,IF(BM2285&gt;2,1.25-0.125*BM2285,1))</f>
        <v>1</v>
      </c>
      <c r="BO2285" cm="1">
        <f t="array" ref="BO2285">IFERROR(INDEX(sheath_ecap_asd,MATCH(BS2285,sheath_mark,0),0)*BN2285,0)</f>
        <v>0</v>
      </c>
      <c r="BP2285" cm="1">
        <f t="array" ref="BP2285">IFERROR(INDEX(sheath_wcap_asd,MATCH(BS2285,sheath_mark,0),0)*BN2285,0)</f>
        <v>0</v>
      </c>
      <c r="BQ2285" cm="1">
        <f t="array" ref="BQ2285">IFERROR(INDEX(hd_cap,MATCH(BT2285,hd_mark,0),0),0)</f>
        <v>0</v>
      </c>
      <c r="BS2285" s="19"/>
      <c r="BT2285" s="19"/>
      <c r="BU2285" s="100"/>
    </row>
    <row r="2286" x14ac:dyDescent="0.25">
      <c r="P2286" s="93"/>
      <c r="Q2286" s="109"/>
      <c r="R2286" t="str">
        <f>$Q$2198</f>
        <v>L3</v>
      </c>
      <c r="S2286">
        <f>$E$22</f>
        <v>21.375</v>
      </c>
      <c r="T2286" cm="1">
        <f t="array" ref="T2286">IFERROR(IF(S2286=0,0,(INDEX($C$33:$C$38,MATCH($W$2216,$B$33:$B$38,0),0)*(S2289+$X$2216)+$T$2216*COUNTIF(S2286:S2288,"&gt;0")*$C$32+$V$2216*$C$31)*$R$2216),0)</f>
        <v>0</v>
      </c>
      <c r="U2286">
        <f>IF(S2286=0,0,-(COUNTIF(S2286:S2288,"&gt;0")*$T$2216*$C$32+$V$2216*$C$31)*$H$27*$R$2216)</f>
        <v>0</v>
      </c>
      <c r="V2286">
        <f>IF(S2286=0,0,$V$2216*$H$26*$R$2216)</f>
        <v>0</v>
      </c>
      <c r="W2286">
        <f>(0.6*T2286+0.7*U2286)*$R$2216/2</f>
        <v>0</v>
      </c>
      <c r="X2286">
        <f>T2286*$R$2216/2</f>
        <v>0</v>
      </c>
      <c r="Z2286">
        <f>IF(S2286=0,0,$AD$2216*$AP$2198)</f>
        <v>0</v>
      </c>
      <c r="AA2286">
        <f>IFERROR(Z2286/$R$2216,0)</f>
        <v>0</v>
      </c>
      <c r="AB2286">
        <f>Z2286*($F$22+IF($F$22=0,0,($C$14+$C$15+IF($C$13="single",1.5,3)+3)/12))</f>
        <v>0</v>
      </c>
      <c r="AC2286">
        <f>AB2286-W2286</f>
        <v>0</v>
      </c>
      <c r="AD2286" cm="1">
        <f t="array" ref="AD2286">IFERROR(IF(AC2286&lt;0,0,AC2286/($R$2216-INDEX(hd_off,MATCH(AQ2286,hd_mark,0),0)/12)),0)</f>
        <v>0</v>
      </c>
      <c r="AE2286">
        <f>IF(S2286=0,0,$AD$2216*$AM$2198)</f>
        <v>0</v>
      </c>
      <c r="AF2286">
        <f>IFERROR(AE2286/$R$2216,0)</f>
        <v>0</v>
      </c>
      <c r="AG2286">
        <f>AE2286*($F$22+IF($F$22=0,0,($C$14+$C$15+IF($C$13="single",1.5,3)+3)/12))</f>
        <v>0</v>
      </c>
      <c r="AH2286">
        <f>AG2286-X2286</f>
        <v>0</v>
      </c>
      <c r="AI2286" cm="1">
        <f t="array" ref="AI2286">IFERROR(IF(AH2286&lt;0,0,AH2286/($R$2216-INDEX(hd_off,MATCH(AQ2286,hd_mark,0),0)/12)),0)</f>
        <v>0</v>
      </c>
      <c r="AJ2286">
        <f>MAX($F$22,$Z$2216)/$Q$2228</f>
        <v>0.30172413793103448</v>
      </c>
      <c r="AK2286">
        <f t="shared" ref="AK2286:AK2289" si="1409">IF(AJ2286=0,0,IF(AJ2286&gt;2,1.25-0.125*AJ2286,1))</f>
        <v>1</v>
      </c>
      <c r="AL2286" cm="1">
        <f t="array" ref="AL2286">IFERROR(INDEX(sheath_ecap_asd,MATCH(AP2286,sheath_mark,0),0)*AK2286,0)</f>
        <v>0</v>
      </c>
      <c r="AM2286" cm="1">
        <f t="array" ref="AM2286">IFERROR(INDEX(sheath_wcap_asd,MATCH(AP2286,sheath_mark,0),0)*AK2286,0)</f>
        <v>0</v>
      </c>
      <c r="AN2286" cm="1">
        <f t="array" ref="AN2286">IFERROR(INDEX(hd_cap,MATCH(AQ2286,hd_mark,0),0),0)</f>
        <v>0</v>
      </c>
      <c r="AP2286" s="19"/>
      <c r="AQ2286" s="19"/>
      <c r="AR2286" s="100"/>
      <c r="AS2286" s="93"/>
      <c r="AT2286" s="109"/>
      <c r="AU2286" t="str">
        <f>$Q$2198</f>
        <v>L3</v>
      </c>
      <c r="AV2286">
        <f>$E$22</f>
        <v>21.375</v>
      </c>
      <c r="AW2286" cm="1">
        <f t="array" ref="AW2286">IFERROR(IF(AV2286=0,0,(INDEX($C$33:$C$38,MATCH($AZ$2216,$B$33:$B$38,0),0)*(AV2289+$BA$2216)+$AW$2216*COUNTIF(AV2286:AV2288,"&gt;0")*$C$32+$AY$2216*$C$31)*$AU$2216),0)</f>
        <v>0</v>
      </c>
      <c r="AX2286">
        <f>IF(AV2286=0,0,-(COUNTIF(AV2286:AV2288,"&gt;0")*$AW$2216*$C$32+$AY$2216*$C$31)*$H$27*$AU$2216)</f>
        <v>0</v>
      </c>
      <c r="AY2286">
        <f>IF(AV2286=0,0,$AY$2216*$H$26*$AU$2216)</f>
        <v>0</v>
      </c>
      <c r="AZ2286">
        <f>(0.6*AW2286+0.7*AX2286)*$AU$2216/2</f>
        <v>0</v>
      </c>
      <c r="BA2286">
        <f>AW2286*$AU$2216/2</f>
        <v>0</v>
      </c>
      <c r="BC2286">
        <f>IF(AV2286=0,0,$BG$2216*$AP$2198)</f>
        <v>0</v>
      </c>
      <c r="BD2286">
        <f>IFERROR(BC2286/$AU$2216,0)</f>
        <v>0</v>
      </c>
      <c r="BE2286">
        <f>BC2286*($F$22+IF($F$22=0,0,($C$14+$C$15+IF($C$13="single",1.5,3)+3)/12))</f>
        <v>0</v>
      </c>
      <c r="BF2286">
        <f>BE2286-AZ2286</f>
        <v>0</v>
      </c>
      <c r="BG2286" cm="1">
        <f t="array" ref="BG2286">IFERROR(IF(BF2286&lt;0,0,BF2286/($AU$2216-INDEX(hd_off,MATCH(BT2286,hd_mark,0),0)/12)),0)</f>
        <v>0</v>
      </c>
      <c r="BH2286">
        <f>IF(AV2286=0,0,$BG$2216*$AM$2198)</f>
        <v>0</v>
      </c>
      <c r="BI2286">
        <f>IFERROR(BH2286/$AU$2216,0)</f>
        <v>0</v>
      </c>
      <c r="BJ2286">
        <f>BH2286*($F$22+IF($F$22=0,0,($C$14+$C$15+IF($C$13="single",1.5,3)+3)/12))</f>
        <v>0</v>
      </c>
      <c r="BK2286">
        <f>BJ2286-BA2286</f>
        <v>0</v>
      </c>
      <c r="BL2286" cm="1">
        <f t="array" ref="BL2286">IFERROR(IF(BK2286&lt;0,0,BK2286/($AU$2216-INDEX(hd_off,MATCH(BT2286,hd_mark,0),0)/12)),0)</f>
        <v>0</v>
      </c>
      <c r="BM2286">
        <f>MAX($F$22,$BC$2216)/$Q$2228</f>
        <v>0.30172413793103448</v>
      </c>
      <c r="BN2286">
        <f t="shared" ref="BN2286:BN2289" si="1410">IF(BM2286=0,0,IF(BM2286&gt;2,1.25-0.125*BM2286,1))</f>
        <v>1</v>
      </c>
      <c r="BO2286" cm="1">
        <f t="array" ref="BO2286">IFERROR(INDEX(sheath_ecap_asd,MATCH(BS2286,sheath_mark,0),0)*BN2286,0)</f>
        <v>0</v>
      </c>
      <c r="BP2286" cm="1">
        <f t="array" ref="BP2286">IFERROR(INDEX(sheath_wcap_asd,MATCH(BS2286,sheath_mark,0),0)*BN2286,0)</f>
        <v>0</v>
      </c>
      <c r="BQ2286" cm="1">
        <f t="array" ref="BQ2286">IFERROR(INDEX(hd_cap,MATCH(BT2286,hd_mark,0),0),0)</f>
        <v>0</v>
      </c>
      <c r="BS2286" s="19"/>
      <c r="BT2286" s="19"/>
      <c r="BU2286" s="100"/>
    </row>
    <row r="2287" x14ac:dyDescent="0.25">
      <c r="P2287" s="93"/>
      <c r="Q2287" s="109" t="s">
        <v>491</v>
      </c>
      <c r="R2287" t="str">
        <f>$Q$2199</f>
        <v>L4</v>
      </c>
      <c r="S2287">
        <f>$E$23</f>
        <v>0</v>
      </c>
      <c r="T2287" cm="1">
        <f t="array" ref="T2287">IFERROR(IF(S2287=0,0,(INDEX($C$33:$C$38,MATCH($W$2216,$B$33:$B$38,0),0)*(S2289+$X$2216)+$T$2216*COUNTIF(S2287:S2288,"&gt;0")*$C$32+$V$2216*$C$31)*$R$2216),0)</f>
        <v>0</v>
      </c>
      <c r="U2287">
        <f>IF(S2287=0,0,-(COUNTIF(S2287:S2288,"&gt;0")*$T$2216*$C$32+$V$2216*$C$31)*$H$27*$R$2216)</f>
        <v>0</v>
      </c>
      <c r="V2287">
        <f>IF(S2287=0,0,$V$2216*$H$26*$R$2216)</f>
        <v>0</v>
      </c>
      <c r="W2287">
        <f>(0.6*T2287+0.7*U2287)*$R$2216/2</f>
        <v>0</v>
      </c>
      <c r="X2287">
        <f>T2287*$R$2216/2</f>
        <v>0</v>
      </c>
      <c r="Z2287">
        <f>IF(S2287=0,0,$AD$2216*$AP$2199)</f>
        <v>0</v>
      </c>
      <c r="AA2287">
        <f>IFERROR(Z2287/$R$2216,0)</f>
        <v>0</v>
      </c>
      <c r="AB2287">
        <f>Z2287*($F$23+IF($F$23=0,0,($C$14+$C$15+IF($C$13="single",1.5,3)+3)/12))</f>
        <v>0</v>
      </c>
      <c r="AC2287">
        <f>AB2287-W2287</f>
        <v>0</v>
      </c>
      <c r="AD2287" cm="1">
        <f t="array" ref="AD2287">IFERROR(IF(AC2287&lt;0,0,AC2287/($R$2216-INDEX(hd_off,MATCH(AQ2287,hd_mark,0),0)/12)),0)</f>
        <v>0</v>
      </c>
      <c r="AE2287">
        <f>IF(S2287=0,0,$AD$2216*$AM$2199)</f>
        <v>0</v>
      </c>
      <c r="AF2287">
        <f>IFERROR(AE2287/$R$2216,0)</f>
        <v>0</v>
      </c>
      <c r="AG2287">
        <f>AE2287*($F$23+IF($F$23=0,0,($C$14+$C$15+IF($C$13="single",1.5,3)+3)/12))</f>
        <v>0</v>
      </c>
      <c r="AH2287">
        <f>AG2287-X2287</f>
        <v>0</v>
      </c>
      <c r="AI2287" cm="1">
        <f t="array" ref="AI2287">IFERROR(IF(AH2287&lt;0,0,AH2287/($R$2216-INDEX(hd_off,MATCH(AQ2287,hd_mark,0),0)/12)),0)</f>
        <v>0</v>
      </c>
      <c r="AJ2287">
        <f>MAX($F$23,$AA$2216)/$Q$2228</f>
        <v>0</v>
      </c>
      <c r="AK2287">
        <f t="shared" si="1409"/>
        <v>0</v>
      </c>
      <c r="AL2287" cm="1">
        <f t="array" ref="AL2287">IFERROR(INDEX(sheath_ecap_asd,MATCH(AP2287,sheath_mark,0),0)*AK2287,0)</f>
        <v>0</v>
      </c>
      <c r="AM2287" cm="1">
        <f t="array" ref="AM2287">IFERROR(INDEX(sheath_wcap_asd,MATCH(AP2287,sheath_mark,0),0)*AK2287,0)</f>
        <v>0</v>
      </c>
      <c r="AN2287" cm="1">
        <f t="array" ref="AN2287">IFERROR(INDEX(hd_cap,MATCH(AQ2287,hd_mark,0),0),0)</f>
        <v>0</v>
      </c>
      <c r="AP2287" s="19"/>
      <c r="AQ2287" s="19"/>
      <c r="AR2287" s="100"/>
      <c r="AS2287" s="93"/>
      <c r="AT2287" s="109" t="s">
        <v>491</v>
      </c>
      <c r="AU2287" t="str">
        <f>$Q$2199</f>
        <v>L4</v>
      </c>
      <c r="AV2287">
        <f>$E$23</f>
        <v>0</v>
      </c>
      <c r="AW2287" cm="1">
        <f t="array" ref="AW2287">IFERROR(IF(AV2287=0,0,(INDEX($C$33:$C$38,MATCH($AZ$2216,$B$33:$B$38,0),0)*(AV2289+$BA$2216)+$AW$2216*COUNTIF(AV2287:AV2288,"&gt;0")*$C$32+$AY$2216*$C$31)*$AU$2216),0)</f>
        <v>0</v>
      </c>
      <c r="AX2287">
        <f>IF(AV2287=0,0,-(COUNTIF(AV2287:AV2288,"&gt;0")*$AW$2216*$C$32+$AY$2216*$C$31)*$H$27*$AU$2216)</f>
        <v>0</v>
      </c>
      <c r="AY2287">
        <f>IF(AV2287=0,0,$AY$2216*$H$26*$AU$2216)</f>
        <v>0</v>
      </c>
      <c r="AZ2287">
        <f>(0.6*AW2287+0.7*AX2287)*$AU$2216/2</f>
        <v>0</v>
      </c>
      <c r="BA2287">
        <f>AW2287*$AU$2216/2</f>
        <v>0</v>
      </c>
      <c r="BC2287">
        <f>IF(AV2287=0,0,$BG$2216*$AP$2199)</f>
        <v>0</v>
      </c>
      <c r="BD2287">
        <f>IFERROR(BC2287/$AU$2216,0)</f>
        <v>0</v>
      </c>
      <c r="BE2287">
        <f>BC2287*($F$23+IF($F$23=0,0,($C$14+$C$15+IF($C$13="single",1.5,3)+3)/12))</f>
        <v>0</v>
      </c>
      <c r="BF2287">
        <f>BE2287-AZ2287</f>
        <v>0</v>
      </c>
      <c r="BG2287" cm="1">
        <f t="array" ref="BG2287">IFERROR(IF(BF2287&lt;0,0,BF2287/($AU$2216-INDEX(hd_off,MATCH(BT2287,hd_mark,0),0)/12)),0)</f>
        <v>0</v>
      </c>
      <c r="BH2287">
        <f>IF(AV2287=0,0,$BG$2216*$AM$2199)</f>
        <v>0</v>
      </c>
      <c r="BI2287">
        <f>IFERROR(BH2287/$AU$2216,0)</f>
        <v>0</v>
      </c>
      <c r="BJ2287">
        <f>BH2287*($F$23+IF($F$23=0,0,($C$14+$C$15+IF($C$13="single",1.5,3)+3)/12))</f>
        <v>0</v>
      </c>
      <c r="BK2287">
        <f>BJ2287-BA2287</f>
        <v>0</v>
      </c>
      <c r="BL2287" cm="1">
        <f t="array" ref="BL2287">IFERROR(IF(BK2287&lt;0,0,BK2287/($AU$2216-INDEX(hd_off,MATCH(BT2287,hd_mark,0),0)/12)),0)</f>
        <v>0</v>
      </c>
      <c r="BM2287">
        <f>MAX($F$23,$BD$2216)/$Q$2228</f>
        <v>0</v>
      </c>
      <c r="BN2287">
        <f t="shared" si="1410"/>
        <v>0</v>
      </c>
      <c r="BO2287" cm="1">
        <f t="array" ref="BO2287">IFERROR(INDEX(sheath_ecap_asd,MATCH(BS2287,sheath_mark,0),0)*BN2287,0)</f>
        <v>0</v>
      </c>
      <c r="BP2287" cm="1">
        <f t="array" ref="BP2287">IFERROR(INDEX(sheath_wcap_asd,MATCH(BS2287,sheath_mark,0),0)*BN2287,0)</f>
        <v>0</v>
      </c>
      <c r="BQ2287" cm="1">
        <f t="array" ref="BQ2287">IFERROR(INDEX(hd_cap,MATCH(BT2287,hd_mark,0),0),0)</f>
        <v>0</v>
      </c>
      <c r="BS2287" s="19"/>
      <c r="BT2287" s="19"/>
      <c r="BU2287" s="100"/>
    </row>
    <row r="2288" x14ac:dyDescent="0.25">
      <c r="P2288" s="93"/>
      <c r="Q2288" s="111">
        <f>$R$2216</f>
        <v>0</v>
      </c>
      <c r="R2288" t="str">
        <f>$Q$2200</f>
        <v>L5</v>
      </c>
      <c r="S2288">
        <f>$E$24</f>
        <v>0</v>
      </c>
      <c r="T2288" cm="1">
        <f t="array" ref="T2288">IFERROR(IF(S2288=0,0,(INDEX($C$33:$C$38,MATCH($W$2216,$B$33:$B$38,0),0)*(S2289+$X$2216)+$T$2216*COUNTIF(S2288:S2288,"&gt;0")*$C$32+$V$2216*$C$31)*$R$2216),0)</f>
        <v>0</v>
      </c>
      <c r="U2288">
        <f>IF(S2288=0,0,-(COUNTIF(S2288:S2288,"&gt;0")*$T$2216*$C$32+$V$2216*$C$31)*$H$27*$R$2216)</f>
        <v>0</v>
      </c>
      <c r="V2288">
        <f>IF(S2288=0,0,$V$2216*$H$26*$R$2216)</f>
        <v>0</v>
      </c>
      <c r="W2288">
        <f>(0.6*T2288+0.7*U2288)*$R$2216/2</f>
        <v>0</v>
      </c>
      <c r="X2288">
        <f>T2288*$R$2216/2</f>
        <v>0</v>
      </c>
      <c r="Z2288">
        <f>IF(S2288=0,0,$AD$2216*$AP$2200)</f>
        <v>0</v>
      </c>
      <c r="AA2288">
        <f>IFERROR(Z2288/$R$2216,0)</f>
        <v>0</v>
      </c>
      <c r="AB2288">
        <f>Z2288*($F$24+IF($F$24=0,0,($C$14+$C$15+IF($C$13="single",1.5,3)+3)/12))</f>
        <v>0</v>
      </c>
      <c r="AC2288">
        <f>AB2288-W2288</f>
        <v>0</v>
      </c>
      <c r="AD2288" cm="1">
        <f t="array" ref="AD2288">IFERROR(IF(AC2288&lt;0,0,AC2288/($R$2216-INDEX(hd_off,MATCH(AQ2288,hd_mark,0),0)/12)),0)</f>
        <v>0</v>
      </c>
      <c r="AE2288">
        <f>IF(S2288=0,0,$AD$2216*$AM$2200)</f>
        <v>0</v>
      </c>
      <c r="AF2288">
        <f>IFERROR(AE2288/$R$2216,0)</f>
        <v>0</v>
      </c>
      <c r="AG2288">
        <f>AE2288*($F$24+IF($F$24=0,0,($C$14+$C$15+IF($C$13="single",1.5,3)+3)/12))</f>
        <v>0</v>
      </c>
      <c r="AH2288">
        <f>AG2288-X2288</f>
        <v>0</v>
      </c>
      <c r="AI2288" cm="1">
        <f t="array" ref="AI2288">IFERROR(IF(AH2288&lt;0,0,AH2288/($R$2216-INDEX(hd_off,MATCH(AQ2288,hd_mark,0),0)/12)),0)</f>
        <v>0</v>
      </c>
      <c r="AJ2288">
        <f>MAX($F$24,$AB$2216)/$Q$2228</f>
        <v>0</v>
      </c>
      <c r="AK2288">
        <f t="shared" si="1409"/>
        <v>0</v>
      </c>
      <c r="AL2288" cm="1">
        <f t="array" ref="AL2288">IFERROR(INDEX(sheath_ecap_asd,MATCH(AP2288,sheath_mark,0),0)*AK2288,0)</f>
        <v>0</v>
      </c>
      <c r="AM2288" cm="1">
        <f t="array" ref="AM2288">IFERROR(INDEX(sheath_wcap_asd,MATCH(AP2288,sheath_mark,0),0)*AK2288,0)</f>
        <v>0</v>
      </c>
      <c r="AN2288" cm="1">
        <f t="array" ref="AN2288">IFERROR(INDEX(hd_cap,MATCH(AQ2288,hd_mark,0),0),0)</f>
        <v>0</v>
      </c>
      <c r="AP2288" s="19"/>
      <c r="AQ2288" s="19"/>
      <c r="AR2288" s="100"/>
      <c r="AS2288" s="93"/>
      <c r="AT2288" s="111">
        <f>$R$2216</f>
        <v>0</v>
      </c>
      <c r="AU2288" t="str">
        <f>$Q$2200</f>
        <v>L5</v>
      </c>
      <c r="AV2288">
        <f>$E$24</f>
        <v>0</v>
      </c>
      <c r="AW2288" cm="1">
        <f t="array" ref="AW2288">IFERROR(IF(AV2288=0,0,(INDEX($C$33:$C$38,MATCH($AZ$2216,$B$33:$B$38,0),0)*(AV2289+$BA$2216)+$AW$2216*COUNTIF(AV2288:AV2288,"&gt;0")*$C$32+$AY$2216*$C$31)*$AU$2216),0)</f>
        <v>0</v>
      </c>
      <c r="AX2288">
        <f>IF(AV2288=0,0,-(COUNTIF(AV2288:AV2288,"&gt;0")*$AW$2216*$C$32+$AY$2216*$C$31)*$H$27*$AU$2216)</f>
        <v>0</v>
      </c>
      <c r="AY2288">
        <f>IF(AV2288=0,0,$AY$2216*$H$26*$AU$2216)</f>
        <v>0</v>
      </c>
      <c r="AZ2288">
        <f>(0.6*AW2288+0.7*AX2288)*$AU$2216/2</f>
        <v>0</v>
      </c>
      <c r="BA2288">
        <f>AW2288*$AU$2216/2</f>
        <v>0</v>
      </c>
      <c r="BC2288">
        <f>IF(AV2288=0,0,$BG$2216*$AP$2200)</f>
        <v>0</v>
      </c>
      <c r="BD2288">
        <f>IFERROR(BC2288/$AU$2216,0)</f>
        <v>0</v>
      </c>
      <c r="BE2288">
        <f>BC2288*($F$24+IF($F$24=0,0,($C$14+$C$15+IF($C$13="single",1.5,3)+3)/12))</f>
        <v>0</v>
      </c>
      <c r="BF2288">
        <f>BE2288-AZ2288</f>
        <v>0</v>
      </c>
      <c r="BG2288" cm="1">
        <f t="array" ref="BG2288">IFERROR(IF(BF2288&lt;0,0,BF2288/($AU$2216-INDEX(hd_off,MATCH(BT2288,hd_mark,0),0)/12)),0)</f>
        <v>0</v>
      </c>
      <c r="BH2288">
        <f>IF(AV2288=0,0,$BG$2216*$AM$2200)</f>
        <v>0</v>
      </c>
      <c r="BI2288">
        <f>IFERROR(BH2288/$AU$2216,0)</f>
        <v>0</v>
      </c>
      <c r="BJ2288">
        <f>BH2288*($F$24+IF($F$24=0,0,($C$14+$C$15+IF($C$13="single",1.5,3)+3)/12))</f>
        <v>0</v>
      </c>
      <c r="BK2288">
        <f>BJ2288-BA2288</f>
        <v>0</v>
      </c>
      <c r="BL2288" cm="1">
        <f t="array" ref="BL2288">IFERROR(IF(BK2288&lt;0,0,BK2288/($AU$2216-INDEX(hd_off,MATCH(BT2288,hd_mark,0),0)/12)),0)</f>
        <v>0</v>
      </c>
      <c r="BM2288">
        <f>MAX($F$24,$BE$2216)/$Q$2228</f>
        <v>0</v>
      </c>
      <c r="BN2288">
        <f t="shared" si="1410"/>
        <v>0</v>
      </c>
      <c r="BO2288" cm="1">
        <f t="array" ref="BO2288">IFERROR(INDEX(sheath_ecap_asd,MATCH(BS2288,sheath_mark,0),0)*BN2288,0)</f>
        <v>0</v>
      </c>
      <c r="BP2288" cm="1">
        <f t="array" ref="BP2288">IFERROR(INDEX(sheath_wcap_asd,MATCH(BS2288,sheath_mark,0),0)*BN2288,0)</f>
        <v>0</v>
      </c>
      <c r="BQ2288" cm="1">
        <f t="array" ref="BQ2288">IFERROR(INDEX(hd_cap,MATCH(BT2288,hd_mark,0),0),0)</f>
        <v>0</v>
      </c>
      <c r="BS2288" s="19"/>
      <c r="BT2288" s="19"/>
      <c r="BU2288" s="100"/>
    </row>
    <row r="2289" x14ac:dyDescent="0.25">
      <c r="P2289" s="93"/>
      <c r="Q2289" s="109"/>
      <c r="R2289" t="str">
        <f>$Q$2201</f>
        <v>Roof</v>
      </c>
      <c r="S2289">
        <f>$E$25</f>
        <v>33.171875</v>
      </c>
      <c r="T2289" cm="1">
        <f t="array" ref="T2289">IFERROR(IF(S2289=0,0,(INDEX($C$33:$C$38,MATCH($W$2216,$B$33:$B$38,0),0)*(S2289+$X$2216)+$V$2216*$C$31)*$R$2216),0)</f>
        <v>0</v>
      </c>
      <c r="U2289">
        <f>IF(S2289=0,0,-$V$2216*$C$31*$H$27*$R$2216)</f>
        <v>0</v>
      </c>
      <c r="V2289">
        <f>IF(S2289=0,0,$V$2216*$H$26*$R$2216)</f>
        <v>0</v>
      </c>
      <c r="W2289">
        <f>(0.6*T2289+0.7*U2289)*$R$2216/2</f>
        <v>0</v>
      </c>
      <c r="X2289">
        <f>T2289*$R$2216/2</f>
        <v>0</v>
      </c>
      <c r="Z2289">
        <f>IF(S2289=0,0,$AD$2216*$AP$2201)</f>
        <v>0</v>
      </c>
      <c r="AA2289">
        <f>IFERROR(Z2289/$R$2216,0)</f>
        <v>0</v>
      </c>
      <c r="AB2289">
        <f>Z2289*($F$25+($C$16+$C$17+IF($C$13="single",1.5,3)+3)/12)</f>
        <v>0</v>
      </c>
      <c r="AC2289">
        <f>AB2289-W2289</f>
        <v>0</v>
      </c>
      <c r="AD2289" cm="1">
        <f t="array" ref="AD2289">IFERROR(IF(AC2289&lt;0,0,AC2289/($R$2216-INDEX(hd_off,MATCH(AQ2289,hd_mark,0),0)/12)),0)</f>
        <v>0</v>
      </c>
      <c r="AE2289">
        <f>IF(S2289=0,0,$AD$2216*$AM$2201)</f>
        <v>0</v>
      </c>
      <c r="AF2289">
        <f>IFERROR(AE2289/$R$2216,0)</f>
        <v>0</v>
      </c>
      <c r="AG2289">
        <f>AE2289*($F$25+($C$16+$C$17+IF($C$13="single",1.5,3)+3)/12)</f>
        <v>0</v>
      </c>
      <c r="AH2289">
        <f>AG2289-X2289</f>
        <v>0</v>
      </c>
      <c r="AI2289" cm="1">
        <f t="array" ref="AI2289">IFERROR(IF(AH2289&lt;0,0,AH2289/($R$2216-INDEX(hd_off,MATCH(AQ2289,hd_mark,0),0)/12)),0)</f>
        <v>0</v>
      </c>
      <c r="AJ2289">
        <f>MAX($F$25,$AC$2216)/$Q$2228</f>
        <v>0.29920977011494249</v>
      </c>
      <c r="AK2289">
        <f t="shared" si="1409"/>
        <v>1</v>
      </c>
      <c r="AL2289" cm="1">
        <f t="array" ref="AL2289">IFERROR(INDEX(sheath_ecap_asd,MATCH(AP2289,sheath_mark,0),0)*AK2289,0)</f>
        <v>0</v>
      </c>
      <c r="AM2289" cm="1">
        <f t="array" ref="AM2289">IFERROR(INDEX(sheath_wcap_asd,MATCH(AP2289,sheath_mark,0),0)*AK2289,0)</f>
        <v>0</v>
      </c>
      <c r="AN2289" cm="1">
        <f t="array" ref="AN2289">IFERROR(INDEX(hd_cap,MATCH(AQ2289,hd_mark,0),0),0)</f>
        <v>0</v>
      </c>
      <c r="AP2289" s="19"/>
      <c r="AQ2289" s="19"/>
      <c r="AR2289" s="100"/>
      <c r="AS2289" s="93"/>
      <c r="AT2289" s="109"/>
      <c r="AU2289" t="str">
        <f>$Q$2201</f>
        <v>Roof</v>
      </c>
      <c r="AV2289">
        <f>$E$25</f>
        <v>33.171875</v>
      </c>
      <c r="AW2289" cm="1">
        <f t="array" ref="AW2289">IFERROR(IF(AV2289=0,0,(INDEX($C$33:$C$38,MATCH($AZ$2216,$B$33:$B$38,0),0)*(AV2289+$BA$2216)+$AY$2216*$C$31)*$AU$2216),0)</f>
        <v>0</v>
      </c>
      <c r="AX2289">
        <f>IF(AV2289=0,0,-$AY$2216*$C$31*$H$27*$AU$2216)</f>
        <v>0</v>
      </c>
      <c r="AY2289">
        <f>IF(AV2289=0,0,$AY$2216*$H$26*$AU$2216)</f>
        <v>0</v>
      </c>
      <c r="AZ2289">
        <f>(0.6*AW2289+0.7*AX2289)*$AU$2216/2</f>
        <v>0</v>
      </c>
      <c r="BA2289">
        <f>AW2289*$AU$2216/2</f>
        <v>0</v>
      </c>
      <c r="BC2289">
        <f>IF(AV2289=0,0,$BG$2216*$AP$2201)</f>
        <v>0</v>
      </c>
      <c r="BD2289">
        <f>IFERROR(BC2289/$AU$2216,0)</f>
        <v>0</v>
      </c>
      <c r="BE2289">
        <f>BC2289*($F$25+($C$16+$C$17+IF($C$13="single",1.5,3)+3)/12)</f>
        <v>0</v>
      </c>
      <c r="BF2289">
        <f>BE2289-AZ2289</f>
        <v>0</v>
      </c>
      <c r="BG2289" cm="1">
        <f t="array" ref="BG2289">IFERROR(IF(BF2289&lt;0,0,BF2289/($AU$2216-INDEX(hd_off,MATCH(BT2289,hd_mark,0),0)/12)),0)</f>
        <v>0</v>
      </c>
      <c r="BH2289">
        <f>IF(AV2289=0,0,$BG$2216*$AM$2201)</f>
        <v>0</v>
      </c>
      <c r="BI2289">
        <f>IFERROR(BH2289/$AU$2216,0)</f>
        <v>0</v>
      </c>
      <c r="BJ2289">
        <f>BH2289*($F$25+($C$16+$C$17+IF($C$13="single",1.5,3)+3)/12)</f>
        <v>0</v>
      </c>
      <c r="BK2289">
        <f>BJ2289-BA2289</f>
        <v>0</v>
      </c>
      <c r="BL2289" cm="1">
        <f t="array" ref="BL2289">IFERROR(IF(BK2289&lt;0,0,BK2289/($AU$2216-INDEX(hd_off,MATCH(BT2289,hd_mark,0),0)/12)),0)</f>
        <v>0</v>
      </c>
      <c r="BM2289">
        <f>MAX($F$25,$BF$2216)/$Q$2228</f>
        <v>0.29920977011494249</v>
      </c>
      <c r="BN2289">
        <f t="shared" si="1410"/>
        <v>1</v>
      </c>
      <c r="BO2289" cm="1">
        <f t="array" ref="BO2289">IFERROR(INDEX(sheath_ecap_asd,MATCH(BS2289,sheath_mark,0),0)*BN2289,0)</f>
        <v>0</v>
      </c>
      <c r="BP2289" cm="1">
        <f t="array" ref="BP2289">IFERROR(INDEX(sheath_wcap_asd,MATCH(BS2289,sheath_mark,0),0)*BN2289,0)</f>
        <v>0</v>
      </c>
      <c r="BQ2289" cm="1">
        <f t="array" ref="BQ2289">IFERROR(INDEX(hd_cap,MATCH(BT2289,hd_mark,0),0),0)</f>
        <v>0</v>
      </c>
      <c r="BS2289" s="19"/>
      <c r="BT2289" s="19"/>
      <c r="BU2289" s="100"/>
    </row>
    <row r="2290" x14ac:dyDescent="0.25">
      <c r="P2290" s="93"/>
      <c r="AR2290" s="100"/>
      <c r="AS2290" s="93"/>
      <c r="BU2290" s="100"/>
    </row>
    <row r="2291" x14ac:dyDescent="0.25">
      <c r="P2291" s="93"/>
      <c r="Q2291" s="110" t="str">
        <f>$Q$2217</f>
        <v>A.12</v>
      </c>
      <c r="R2291" t="str">
        <f>$Q$2197</f>
        <v>L2</v>
      </c>
      <c r="S2291">
        <f>$E$21</f>
        <v>10.6875</v>
      </c>
      <c r="T2291" cm="1">
        <f t="array" ref="T2291">IFERROR(IF(S2291=0,0,(INDEX($C$33:$C$38,MATCH($W$2217,$B$33:$B$38,0),0)*(S2295+$X$2217)+$T$2217*COUNTIF(S2291:S2294,"&gt;0")*$C$32+$V$2217*$C$31)*$R$2217),0)</f>
        <v>0</v>
      </c>
      <c r="U2291">
        <f>IF(S2291=0,0,-(COUNTIF(S2291:S2294,"&gt;0")*$T$2217*$C$32+$V$2217*$C$31)*$H$27*$R$2217)</f>
        <v>0</v>
      </c>
      <c r="V2291">
        <f>IF(S2291=0,0,$V$2217*$H$26*$R$2217)</f>
        <v>0</v>
      </c>
      <c r="W2291">
        <f>(0.6*T2291+0.7*U2291)*$R$2217/2</f>
        <v>0</v>
      </c>
      <c r="X2291">
        <f>(0.6*T2291+0.6*V2291)*$R$2217/2</f>
        <v>0</v>
      </c>
      <c r="Z2291">
        <f>IF(S2291=0,0,$AD$2217*$AP$2197)</f>
        <v>0</v>
      </c>
      <c r="AA2291">
        <f>IFERROR(Z2291/$R$2217,0)</f>
        <v>0</v>
      </c>
      <c r="AB2291">
        <f>Z2291*($F$21+IF($F$21=0,0,($C$14+$C$15+IF($C$13="single",1.5,3)+3)/12))</f>
        <v>0</v>
      </c>
      <c r="AC2291">
        <f>AB2291-W2291</f>
        <v>0</v>
      </c>
      <c r="AD2291" cm="1">
        <f t="array" ref="AD2291">IFERROR(IF(AC2291&lt;0,0,AC2291/($R$2217-INDEX(hd_off,MATCH(AQ2291,hd_mark,0),0)/12)),0)</f>
        <v>0</v>
      </c>
      <c r="AE2291">
        <f>IF(S2291=0,0,$AD$2217*$AM$2197)</f>
        <v>0</v>
      </c>
      <c r="AF2291">
        <f>IFERROR(AE2291/$R$2217,0)</f>
        <v>0</v>
      </c>
      <c r="AG2291">
        <f>AE2291*($F$21+IF($F$21=0,0,($C$14+$C$15+IF($C$13="single",1.5,3)+3)/12))</f>
        <v>0</v>
      </c>
      <c r="AH2291">
        <f>AG2291-X2291</f>
        <v>0</v>
      </c>
      <c r="AI2291" cm="1">
        <f t="array" ref="AI2291">IFERROR(IF(AH2291&lt;0,0,AH2291/($R$2217-INDEX(hd_off,MATCH(AQ2291,hd_mark,0),0)/12)),0)</f>
        <v>0</v>
      </c>
      <c r="AJ2291">
        <f>MAX($F$21,$Y$2217)/$Q$2228</f>
        <v>0.30172413793103448</v>
      </c>
      <c r="AK2291">
        <f>IF(AJ2291=0,0,IF(AJ2291&gt;2,1.25-0.125*AJ2291,1))</f>
        <v>1</v>
      </c>
      <c r="AL2291" cm="1">
        <f t="array" ref="AL2291">IFERROR(INDEX(sheath_ecap_asd,MATCH(AP2291,sheath_mark,0),0)*AK2291,0)</f>
        <v>0</v>
      </c>
      <c r="AM2291" cm="1">
        <f t="array" ref="AM2291">IFERROR(INDEX(sheath_wcap_asd,MATCH(AP2291,sheath_mark,0),0)*AK2291,0)</f>
        <v>0</v>
      </c>
      <c r="AN2291" cm="1">
        <f t="array" ref="AN2291">IFERROR(INDEX(hd_cap,MATCH(AQ2291,hd_mark,0),0),0)</f>
        <v>0</v>
      </c>
      <c r="AP2291" s="19"/>
      <c r="AQ2291" s="19"/>
      <c r="AR2291" s="100"/>
      <c r="AS2291" s="93"/>
      <c r="AT2291" s="110" t="str">
        <f>$AT$2217</f>
        <v>1.12</v>
      </c>
      <c r="AU2291" t="str">
        <f>$Q$2197</f>
        <v>L2</v>
      </c>
      <c r="AV2291">
        <f>$E$21</f>
        <v>10.6875</v>
      </c>
      <c r="AW2291" cm="1">
        <f t="array" ref="AW2291">IFERROR(IF(AV2291=0,0,(INDEX($C$33:$C$38,MATCH($AZ$2217,$B$33:$B$38,0),0)*(AV2295+$BA$2217)+$AW$2217*COUNTIF(AV2291:AV2294,"&gt;0")*$C$32+$AY$2217*$C$31)*$AU$2217),0)</f>
        <v>0</v>
      </c>
      <c r="AX2291">
        <f>IF(AV2291=0,0,-(COUNTIF(AV2291:AV2294,"&gt;0")*$AW$2217*$C$32+$AY$2217*$C$31)*$H$27*$AU$2217)</f>
        <v>0</v>
      </c>
      <c r="AY2291">
        <f>IF(AV2291=0,0,$AY$2217*$H$26*$AU$2217)</f>
        <v>0</v>
      </c>
      <c r="AZ2291">
        <f>(0.6*AW2291+0.7*AX2291)*$AU$2217/2</f>
        <v>0</v>
      </c>
      <c r="BA2291">
        <f>(0.6*AW2291+0.6*AY2291)*$AU$2217/2</f>
        <v>0</v>
      </c>
      <c r="BC2291">
        <f>IF(AV2291=0,0,$BG$2217*$AP$2197)</f>
        <v>0</v>
      </c>
      <c r="BD2291">
        <f>IFERROR(BC2291/$AU$2217,0)</f>
        <v>0</v>
      </c>
      <c r="BE2291">
        <f>BC2291*($F$21+IF($F$21=0,0,($C$14+$C$15+IF($C$13="single",1.5,3)+3)/12))</f>
        <v>0</v>
      </c>
      <c r="BF2291">
        <f>BE2291-AZ2291</f>
        <v>0</v>
      </c>
      <c r="BG2291" cm="1">
        <f t="array" ref="BG2291">IFERROR(IF(BF2291&lt;0,0,BF2291/($AU$2217-INDEX(hd_off,MATCH(BT2291,hd_mark,0),0)/12)),0)</f>
        <v>0</v>
      </c>
      <c r="BH2291">
        <f>IF(AV2291=0,0,$BG$2217*$AM$2197)</f>
        <v>0</v>
      </c>
      <c r="BI2291">
        <f>IFERROR(BH2291/$AU$2217,0)</f>
        <v>0</v>
      </c>
      <c r="BJ2291">
        <f>BH2291*($F$21+IF($F$21=0,0,($C$14+$C$15+IF($C$13="single",1.5,3)+3)/12))</f>
        <v>0</v>
      </c>
      <c r="BK2291">
        <f>BJ2291-BA2291</f>
        <v>0</v>
      </c>
      <c r="BL2291" cm="1">
        <f t="array" ref="BL2291">IFERROR(IF(BK2291&lt;0,0,BK2291/($AU$2217-INDEX(hd_off,MATCH(BT2291,hd_mark,0),0)/12)),0)</f>
        <v>0</v>
      </c>
      <c r="BM2291">
        <f>MAX($F$21,$BB$2217)/$Q$2228</f>
        <v>0.30172413793103448</v>
      </c>
      <c r="BN2291">
        <f>IF(BM2291=0,0,IF(BM2291&gt;2,1.25-0.125*BM2291,1))</f>
        <v>1</v>
      </c>
      <c r="BO2291" cm="1">
        <f t="array" ref="BO2291">IFERROR(INDEX(sheath_ecap_asd,MATCH(BS2291,sheath_mark,0),0)*BN2291,0)</f>
        <v>0</v>
      </c>
      <c r="BP2291" cm="1">
        <f t="array" ref="BP2291">IFERROR(INDEX(sheath_wcap_asd,MATCH(BS2291,sheath_mark,0),0)*BN2291,0)</f>
        <v>0</v>
      </c>
      <c r="BQ2291" cm="1">
        <f t="array" ref="BQ2291">IFERROR(INDEX(hd_cap,MATCH(BT2291,hd_mark,0),0),0)</f>
        <v>0</v>
      </c>
      <c r="BS2291" s="19"/>
      <c r="BT2291" s="19"/>
      <c r="BU2291" s="100"/>
    </row>
    <row r="2292" x14ac:dyDescent="0.25">
      <c r="P2292" s="93"/>
      <c r="Q2292" s="109"/>
      <c r="R2292" t="str">
        <f>$Q$2198</f>
        <v>L3</v>
      </c>
      <c r="S2292">
        <f>$E$22</f>
        <v>21.375</v>
      </c>
      <c r="T2292" cm="1">
        <f t="array" ref="T2292">IFERROR(IF(S2292=0,0,(INDEX($C$33:$C$38,MATCH($W$2217,$B$33:$B$38,0),0)*(S2295+$X$2217)+$T$2217*COUNTIF(S2292:S2294,"&gt;0")*$C$32+$V$2217*$C$31)*$R$2217),0)</f>
        <v>0</v>
      </c>
      <c r="U2292">
        <f>IF(S2292=0,0,-(COUNTIF(S2292:S2294,"&gt;0")*$T$2217*$C$32+$V$2217*$C$31)*$H$27*$R$2217)</f>
        <v>0</v>
      </c>
      <c r="V2292">
        <f>IF(S2292=0,0,$V$2217*$H$26*$R$2217)</f>
        <v>0</v>
      </c>
      <c r="W2292">
        <f>(0.6*T2292+0.7*U2292)*$R$2217/2</f>
        <v>0</v>
      </c>
      <c r="X2292">
        <f>T2292*$R$2217/2</f>
        <v>0</v>
      </c>
      <c r="Z2292">
        <f>IF(S2292=0,0,$AD$2217*$AP$2198)</f>
        <v>0</v>
      </c>
      <c r="AA2292">
        <f>IFERROR(Z2292/$R$2217,0)</f>
        <v>0</v>
      </c>
      <c r="AB2292">
        <f>Z2292*($F$22+IF($F$22=0,0,($C$14+$C$15+IF($C$13="single",1.5,3)+3)/12))</f>
        <v>0</v>
      </c>
      <c r="AC2292">
        <f>AB2292-W2292</f>
        <v>0</v>
      </c>
      <c r="AD2292" cm="1">
        <f t="array" ref="AD2292">IFERROR(IF(AC2292&lt;0,0,AC2292/($R$2217-INDEX(hd_off,MATCH(AQ2292,hd_mark,0),0)/12)),0)</f>
        <v>0</v>
      </c>
      <c r="AE2292">
        <f>IF(S2292=0,0,$AD$2217*$AM$2198)</f>
        <v>0</v>
      </c>
      <c r="AF2292">
        <f>IFERROR(AE2292/$R$2217,0)</f>
        <v>0</v>
      </c>
      <c r="AG2292">
        <f>AE2292*($F$22+IF($F$22=0,0,($C$14+$C$15+IF($C$13="single",1.5,3)+3)/12))</f>
        <v>0</v>
      </c>
      <c r="AH2292">
        <f>AG2292-X2292</f>
        <v>0</v>
      </c>
      <c r="AI2292" cm="1">
        <f t="array" ref="AI2292">IFERROR(IF(AH2292&lt;0,0,AH2292/($R$2217-INDEX(hd_off,MATCH(AQ2292,hd_mark,0),0)/12)),0)</f>
        <v>0</v>
      </c>
      <c r="AJ2292">
        <f>MAX($F$22,$Z$2217)/$Q$2228</f>
        <v>0.30172413793103448</v>
      </c>
      <c r="AK2292">
        <f t="shared" ref="AK2292:AK2295" si="1411">IF(AJ2292=0,0,IF(AJ2292&gt;2,1.25-0.125*AJ2292,1))</f>
        <v>1</v>
      </c>
      <c r="AL2292" cm="1">
        <f t="array" ref="AL2292">IFERROR(INDEX(sheath_ecap_asd,MATCH(AP2292,sheath_mark,0),0)*AK2292,0)</f>
        <v>0</v>
      </c>
      <c r="AM2292" cm="1">
        <f t="array" ref="AM2292">IFERROR(INDEX(sheath_wcap_asd,MATCH(AP2292,sheath_mark,0),0)*AK2292,0)</f>
        <v>0</v>
      </c>
      <c r="AN2292" cm="1">
        <f t="array" ref="AN2292">IFERROR(INDEX(hd_cap,MATCH(AQ2292,hd_mark,0),0),0)</f>
        <v>0</v>
      </c>
      <c r="AP2292" s="19"/>
      <c r="AQ2292" s="19"/>
      <c r="AR2292" s="100"/>
      <c r="AS2292" s="93"/>
      <c r="AT2292" s="109"/>
      <c r="AU2292" t="str">
        <f>$Q$2198</f>
        <v>L3</v>
      </c>
      <c r="AV2292">
        <f>$E$22</f>
        <v>21.375</v>
      </c>
      <c r="AW2292" cm="1">
        <f t="array" ref="AW2292">IFERROR(IF(AV2292=0,0,(INDEX($C$33:$C$38,MATCH($AZ$2217,$B$33:$B$38,0),0)*(AV2295+$BA$2217)+$AW$2217*COUNTIF(AV2292:AV2294,"&gt;0")*$C$32+$AY$2217*$C$31)*$AU$2217),0)</f>
        <v>0</v>
      </c>
      <c r="AX2292">
        <f>IF(AV2292=0,0,-(COUNTIF(AV2292:AV2294,"&gt;0")*$AW$2217*$C$32+$AY$2217*$C$31)*$H$27*$AU$2217)</f>
        <v>0</v>
      </c>
      <c r="AY2292">
        <f>IF(AV2292=0,0,$AY$2217*$H$26*$AU$2217)</f>
        <v>0</v>
      </c>
      <c r="AZ2292">
        <f>(0.6*AW2292+0.7*AX2292)*$AU$2217/2</f>
        <v>0</v>
      </c>
      <c r="BA2292">
        <f>AW2292*$AU$2217/2</f>
        <v>0</v>
      </c>
      <c r="BC2292">
        <f>IF(AV2292=0,0,$BG$2217*$AP$2198)</f>
        <v>0</v>
      </c>
      <c r="BD2292">
        <f>IFERROR(BC2292/$AU$2217,0)</f>
        <v>0</v>
      </c>
      <c r="BE2292">
        <f>BC2292*($F$22+IF($F$22=0,0,($C$14+$C$15+IF($C$13="single",1.5,3)+3)/12))</f>
        <v>0</v>
      </c>
      <c r="BF2292">
        <f>BE2292-AZ2292</f>
        <v>0</v>
      </c>
      <c r="BG2292" cm="1">
        <f t="array" ref="BG2292">IFERROR(IF(BF2292&lt;0,0,BF2292/($AU$2217-INDEX(hd_off,MATCH(BT2292,hd_mark,0),0)/12)),0)</f>
        <v>0</v>
      </c>
      <c r="BH2292">
        <f>IF(AV2292=0,0,$BG$2217*$AM$2198)</f>
        <v>0</v>
      </c>
      <c r="BI2292">
        <f>IFERROR(BH2292/$AU$2217,0)</f>
        <v>0</v>
      </c>
      <c r="BJ2292">
        <f>BH2292*($F$22+IF($F$22=0,0,($C$14+$C$15+IF($C$13="single",1.5,3)+3)/12))</f>
        <v>0</v>
      </c>
      <c r="BK2292">
        <f>BJ2292-BA2292</f>
        <v>0</v>
      </c>
      <c r="BL2292" cm="1">
        <f t="array" ref="BL2292">IFERROR(IF(BK2292&lt;0,0,BK2292/($AU$2217-INDEX(hd_off,MATCH(BT2292,hd_mark,0),0)/12)),0)</f>
        <v>0</v>
      </c>
      <c r="BM2292">
        <f>MAX($F$22,$BC$2217)/$Q$2228</f>
        <v>0.30172413793103448</v>
      </c>
      <c r="BN2292">
        <f t="shared" ref="BN2292:BN2295" si="1412">IF(BM2292=0,0,IF(BM2292&gt;2,1.25-0.125*BM2292,1))</f>
        <v>1</v>
      </c>
      <c r="BO2292" cm="1">
        <f t="array" ref="BO2292">IFERROR(INDEX(sheath_ecap_asd,MATCH(BS2292,sheath_mark,0),0)*BN2292,0)</f>
        <v>0</v>
      </c>
      <c r="BP2292" cm="1">
        <f t="array" ref="BP2292">IFERROR(INDEX(sheath_wcap_asd,MATCH(BS2292,sheath_mark,0),0)*BN2292,0)</f>
        <v>0</v>
      </c>
      <c r="BQ2292" cm="1">
        <f t="array" ref="BQ2292">IFERROR(INDEX(hd_cap,MATCH(BT2292,hd_mark,0),0),0)</f>
        <v>0</v>
      </c>
      <c r="BS2292" s="19"/>
      <c r="BT2292" s="19"/>
      <c r="BU2292" s="100"/>
    </row>
    <row r="2293" x14ac:dyDescent="0.25">
      <c r="P2293" s="93"/>
      <c r="Q2293" s="109" t="s">
        <v>491</v>
      </c>
      <c r="R2293" t="str">
        <f>$Q$2199</f>
        <v>L4</v>
      </c>
      <c r="S2293">
        <f>$E$23</f>
        <v>0</v>
      </c>
      <c r="T2293" cm="1">
        <f t="array" ref="T2293">IFERROR(IF(S2293=0,0,(INDEX($C$33:$C$38,MATCH($W$2217,$B$33:$B$38,0),0)*(S2295+$X$2217)+$T$2217*COUNTIF(S2293:S2294,"&gt;0")*$C$32+$V$2217*$C$31)*$R$2217),0)</f>
        <v>0</v>
      </c>
      <c r="U2293">
        <f>IF(S2293=0,0,-(COUNTIF(S2293:S2294,"&gt;0")*$T$2217*$C$32+$V$2217*$C$31)*$H$27*$R$2217)</f>
        <v>0</v>
      </c>
      <c r="V2293">
        <f>IF(S2293=0,0,$V$2217*$H$26*$R$2217)</f>
        <v>0</v>
      </c>
      <c r="W2293">
        <f>(0.6*T2293+0.7*U2293)*$R$2217/2</f>
        <v>0</v>
      </c>
      <c r="X2293">
        <f>T2293*$R$2217/2</f>
        <v>0</v>
      </c>
      <c r="Z2293">
        <f>IF(S2293=0,0,$AD$2217*$AP$2199)</f>
        <v>0</v>
      </c>
      <c r="AA2293">
        <f>IFERROR(Z2293/$R$2217,0)</f>
        <v>0</v>
      </c>
      <c r="AB2293">
        <f>Z2293*($F$23+IF($F$23=0,0,($C$14+$C$15+IF($C$13="single",1.5,3)+3)/12))</f>
        <v>0</v>
      </c>
      <c r="AC2293">
        <f>AB2293-W2293</f>
        <v>0</v>
      </c>
      <c r="AD2293" cm="1">
        <f t="array" ref="AD2293">IFERROR(IF(AC2293&lt;0,0,AC2293/($R$2217-INDEX(hd_off,MATCH(AQ2293,hd_mark,0),0)/12)),0)</f>
        <v>0</v>
      </c>
      <c r="AE2293">
        <f>IF(S2293=0,0,$AD$2217*$AM$2199)</f>
        <v>0</v>
      </c>
      <c r="AF2293">
        <f>IFERROR(AE2293/$R$2217,0)</f>
        <v>0</v>
      </c>
      <c r="AG2293">
        <f>AE2293*($F$23+IF($F$23=0,0,($C$14+$C$15+IF($C$13="single",1.5,3)+3)/12))</f>
        <v>0</v>
      </c>
      <c r="AH2293">
        <f>AG2293-X2293</f>
        <v>0</v>
      </c>
      <c r="AI2293" cm="1">
        <f t="array" ref="AI2293">IFERROR(IF(AH2293&lt;0,0,AH2293/($R$2217-INDEX(hd_off,MATCH(AQ2293,hd_mark,0),0)/12)),0)</f>
        <v>0</v>
      </c>
      <c r="AJ2293">
        <f>MAX($F$23,$AA$2217)/$Q$2228</f>
        <v>0</v>
      </c>
      <c r="AK2293">
        <f t="shared" si="1411"/>
        <v>0</v>
      </c>
      <c r="AL2293" cm="1">
        <f t="array" ref="AL2293">IFERROR(INDEX(sheath_ecap_asd,MATCH(AP2293,sheath_mark,0),0)*AK2293,0)</f>
        <v>0</v>
      </c>
      <c r="AM2293" cm="1">
        <f t="array" ref="AM2293">IFERROR(INDEX(sheath_wcap_asd,MATCH(AP2293,sheath_mark,0),0)*AK2293,0)</f>
        <v>0</v>
      </c>
      <c r="AN2293" cm="1">
        <f t="array" ref="AN2293">IFERROR(INDEX(hd_cap,MATCH(AQ2293,hd_mark,0),0),0)</f>
        <v>0</v>
      </c>
      <c r="AP2293" s="19"/>
      <c r="AQ2293" s="19"/>
      <c r="AR2293" s="100"/>
      <c r="AS2293" s="93"/>
      <c r="AT2293" s="109" t="s">
        <v>491</v>
      </c>
      <c r="AU2293" t="str">
        <f>$Q$2199</f>
        <v>L4</v>
      </c>
      <c r="AV2293">
        <f>$E$23</f>
        <v>0</v>
      </c>
      <c r="AW2293" cm="1">
        <f t="array" ref="AW2293">IFERROR(IF(AV2293=0,0,(INDEX($C$33:$C$38,MATCH($AZ$2217,$B$33:$B$38,0),0)*(AV2295+$BA$2217)+$AW$2217*COUNTIF(AV2293:AV2294,"&gt;0")*$C$32+$AY$2217*$C$31)*$AU$2217),0)</f>
        <v>0</v>
      </c>
      <c r="AX2293">
        <f>IF(AV2293=0,0,-(COUNTIF(AV2293:AV2294,"&gt;0")*$AW$2217*$C$32+$AY$2217*$C$31)*$H$27*$AU$2217)</f>
        <v>0</v>
      </c>
      <c r="AY2293">
        <f>IF(AV2293=0,0,$AY$2217*$H$26*$AU$2217)</f>
        <v>0</v>
      </c>
      <c r="AZ2293">
        <f>(0.6*AW2293+0.7*AX2293)*$AU$2217/2</f>
        <v>0</v>
      </c>
      <c r="BA2293">
        <f>AW2293*$AU$2217/2</f>
        <v>0</v>
      </c>
      <c r="BC2293">
        <f>IF(AV2293=0,0,$BG$2217*$AP$2199)</f>
        <v>0</v>
      </c>
      <c r="BD2293">
        <f>IFERROR(BC2293/$AU$2217,0)</f>
        <v>0</v>
      </c>
      <c r="BE2293">
        <f>BC2293*($F$23+IF($F$23=0,0,($C$14+$C$15+IF($C$13="single",1.5,3)+3)/12))</f>
        <v>0</v>
      </c>
      <c r="BF2293">
        <f>BE2293-AZ2293</f>
        <v>0</v>
      </c>
      <c r="BG2293" cm="1">
        <f t="array" ref="BG2293">IFERROR(IF(BF2293&lt;0,0,BF2293/($AU$2217-INDEX(hd_off,MATCH(BT2293,hd_mark,0),0)/12)),0)</f>
        <v>0</v>
      </c>
      <c r="BH2293">
        <f>IF(AV2293=0,0,$BG$2217*$AM$2199)</f>
        <v>0</v>
      </c>
      <c r="BI2293">
        <f>IFERROR(BH2293/$AU$2217,0)</f>
        <v>0</v>
      </c>
      <c r="BJ2293">
        <f>BH2293*($F$23+IF($F$23=0,0,($C$14+$C$15+IF($C$13="single",1.5,3)+3)/12))</f>
        <v>0</v>
      </c>
      <c r="BK2293">
        <f>BJ2293-BA2293</f>
        <v>0</v>
      </c>
      <c r="BL2293" cm="1">
        <f t="array" ref="BL2293">IFERROR(IF(BK2293&lt;0,0,BK2293/($AU$2217-INDEX(hd_off,MATCH(BT2293,hd_mark,0),0)/12)),0)</f>
        <v>0</v>
      </c>
      <c r="BM2293">
        <f>MAX($F$23,$BD$2217)/$Q$2228</f>
        <v>0</v>
      </c>
      <c r="BN2293">
        <f t="shared" si="1412"/>
        <v>0</v>
      </c>
      <c r="BO2293" cm="1">
        <f t="array" ref="BO2293">IFERROR(INDEX(sheath_ecap_asd,MATCH(BS2293,sheath_mark,0),0)*BN2293,0)</f>
        <v>0</v>
      </c>
      <c r="BP2293" cm="1">
        <f t="array" ref="BP2293">IFERROR(INDEX(sheath_wcap_asd,MATCH(BS2293,sheath_mark,0),0)*BN2293,0)</f>
        <v>0</v>
      </c>
      <c r="BQ2293" cm="1">
        <f t="array" ref="BQ2293">IFERROR(INDEX(hd_cap,MATCH(BT2293,hd_mark,0),0),0)</f>
        <v>0</v>
      </c>
      <c r="BS2293" s="19"/>
      <c r="BT2293" s="19"/>
      <c r="BU2293" s="100"/>
    </row>
    <row r="2294" x14ac:dyDescent="0.25">
      <c r="P2294" s="93"/>
      <c r="Q2294" s="111">
        <f>$R$2217</f>
        <v>0</v>
      </c>
      <c r="R2294" t="str">
        <f>$Q$2200</f>
        <v>L5</v>
      </c>
      <c r="S2294">
        <f>$E$24</f>
        <v>0</v>
      </c>
      <c r="T2294" cm="1">
        <f t="array" ref="T2294">IFERROR(IF(S2294=0,0,(INDEX($C$33:$C$38,MATCH($W$2217,$B$33:$B$38,0),0)*(S2295+$X$2217)+$T$2217*COUNTIF(S2294:S2294,"&gt;0")*$C$32+$V$2217*$C$31)*$R$2217),0)</f>
        <v>0</v>
      </c>
      <c r="U2294">
        <f>IF(S2294=0,0,-(COUNTIF(S2294:S2294,"&gt;0")*$T$2217*$C$32+$V$2217*$C$31)*$H$27*$R$2217)</f>
        <v>0</v>
      </c>
      <c r="V2294">
        <f>IF(S2294=0,0,$V$2217*$H$26*$R$2217)</f>
        <v>0</v>
      </c>
      <c r="W2294">
        <f>(0.6*T2294+0.7*U2294)*$R$2217/2</f>
        <v>0</v>
      </c>
      <c r="X2294">
        <f>T2294*$R$2217/2</f>
        <v>0</v>
      </c>
      <c r="Z2294">
        <f>IF(S2294=0,0,$AD$2217*$AP$2200)</f>
        <v>0</v>
      </c>
      <c r="AA2294">
        <f>IFERROR(Z2294/$R$2217,0)</f>
        <v>0</v>
      </c>
      <c r="AB2294">
        <f>Z2294*($F$24+IF($F$24=0,0,($C$14+$C$15+IF($C$13="single",1.5,3)+3)/12))</f>
        <v>0</v>
      </c>
      <c r="AC2294">
        <f>AB2294-W2294</f>
        <v>0</v>
      </c>
      <c r="AD2294" cm="1">
        <f t="array" ref="AD2294">IFERROR(IF(AC2294&lt;0,0,AC2294/($R$2217-INDEX(hd_off,MATCH(AQ2294,hd_mark,0),0)/12)),0)</f>
        <v>0</v>
      </c>
      <c r="AE2294">
        <f>IF(S2294=0,0,$AD$2217*$AM$2200)</f>
        <v>0</v>
      </c>
      <c r="AF2294">
        <f>IFERROR(AE2294/$R$2217,0)</f>
        <v>0</v>
      </c>
      <c r="AG2294">
        <f>AE2294*($F$24+IF($F$24=0,0,($C$14+$C$15+IF($C$13="single",1.5,3)+3)/12))</f>
        <v>0</v>
      </c>
      <c r="AH2294">
        <f>AG2294-X2294</f>
        <v>0</v>
      </c>
      <c r="AI2294" cm="1">
        <f t="array" ref="AI2294">IFERROR(IF(AH2294&lt;0,0,AH2294/($R$2217-INDEX(hd_off,MATCH(AQ2294,hd_mark,0),0)/12)),0)</f>
        <v>0</v>
      </c>
      <c r="AJ2294">
        <f>MAX($F$24,$AB$2217)/$Q$2228</f>
        <v>0</v>
      </c>
      <c r="AK2294">
        <f t="shared" si="1411"/>
        <v>0</v>
      </c>
      <c r="AL2294" cm="1">
        <f t="array" ref="AL2294">IFERROR(INDEX(sheath_ecap_asd,MATCH(AP2294,sheath_mark,0),0)*AK2294,0)</f>
        <v>0</v>
      </c>
      <c r="AM2294" cm="1">
        <f t="array" ref="AM2294">IFERROR(INDEX(sheath_wcap_asd,MATCH(AP2294,sheath_mark,0),0)*AK2294,0)</f>
        <v>0</v>
      </c>
      <c r="AN2294" cm="1">
        <f t="array" ref="AN2294">IFERROR(INDEX(hd_cap,MATCH(AQ2294,hd_mark,0),0),0)</f>
        <v>0</v>
      </c>
      <c r="AP2294" s="19"/>
      <c r="AQ2294" s="19"/>
      <c r="AR2294" s="100"/>
      <c r="AS2294" s="93"/>
      <c r="AT2294" s="111">
        <f>$R$2217</f>
        <v>0</v>
      </c>
      <c r="AU2294" t="str">
        <f>$Q$2200</f>
        <v>L5</v>
      </c>
      <c r="AV2294">
        <f>$E$24</f>
        <v>0</v>
      </c>
      <c r="AW2294" cm="1">
        <f t="array" ref="AW2294">IFERROR(IF(AV2294=0,0,(INDEX($C$33:$C$38,MATCH($AZ$2217,$B$33:$B$38,0),0)*(AV2295+$BA$2217)+$AW$2217*COUNTIF(AV2294:AV2294,"&gt;0")*$C$32+$AY$2217*$C$31)*$AU$2217),0)</f>
        <v>0</v>
      </c>
      <c r="AX2294">
        <f>IF(AV2294=0,0,-(COUNTIF(AV2294:AV2294,"&gt;0")*$AW$2217*$C$32+$AY$2217*$C$31)*$H$27*$AU$2217)</f>
        <v>0</v>
      </c>
      <c r="AY2294">
        <f>IF(AV2294=0,0,$AY$2217*$H$26*$AU$2217)</f>
        <v>0</v>
      </c>
      <c r="AZ2294">
        <f>(0.6*AW2294+0.7*AX2294)*$AU$2217/2</f>
        <v>0</v>
      </c>
      <c r="BA2294">
        <f>AW2294*$AU$2217/2</f>
        <v>0</v>
      </c>
      <c r="BC2294">
        <f>IF(AV2294=0,0,$BG$2217*$AP$2200)</f>
        <v>0</v>
      </c>
      <c r="BD2294">
        <f>IFERROR(BC2294/$AU$2217,0)</f>
        <v>0</v>
      </c>
      <c r="BE2294">
        <f>BC2294*($F$24+IF($F$24=0,0,($C$14+$C$15+IF($C$13="single",1.5,3)+3)/12))</f>
        <v>0</v>
      </c>
      <c r="BF2294">
        <f>BE2294-AZ2294</f>
        <v>0</v>
      </c>
      <c r="BG2294" cm="1">
        <f t="array" ref="BG2294">IFERROR(IF(BF2294&lt;0,0,BF2294/($AU$2217-INDEX(hd_off,MATCH(BT2294,hd_mark,0),0)/12)),0)</f>
        <v>0</v>
      </c>
      <c r="BH2294">
        <f>IF(AV2294=0,0,$BG$2217*$AM$2200)</f>
        <v>0</v>
      </c>
      <c r="BI2294">
        <f>IFERROR(BH2294/$AU$2217,0)</f>
        <v>0</v>
      </c>
      <c r="BJ2294">
        <f>BH2294*($F$24+IF($F$24=0,0,($C$14+$C$15+IF($C$13="single",1.5,3)+3)/12))</f>
        <v>0</v>
      </c>
      <c r="BK2294">
        <f>BJ2294-BA2294</f>
        <v>0</v>
      </c>
      <c r="BL2294" cm="1">
        <f t="array" ref="BL2294">IFERROR(IF(BK2294&lt;0,0,BK2294/($AU$2217-INDEX(hd_off,MATCH(BT2294,hd_mark,0),0)/12)),0)</f>
        <v>0</v>
      </c>
      <c r="BM2294">
        <f>MAX($F$24,$BE$2217)/$Q$2228</f>
        <v>0</v>
      </c>
      <c r="BN2294">
        <f t="shared" si="1412"/>
        <v>0</v>
      </c>
      <c r="BO2294" cm="1">
        <f t="array" ref="BO2294">IFERROR(INDEX(sheath_ecap_asd,MATCH(BS2294,sheath_mark,0),0)*BN2294,0)</f>
        <v>0</v>
      </c>
      <c r="BP2294" cm="1">
        <f t="array" ref="BP2294">IFERROR(INDEX(sheath_wcap_asd,MATCH(BS2294,sheath_mark,0),0)*BN2294,0)</f>
        <v>0</v>
      </c>
      <c r="BQ2294" cm="1">
        <f t="array" ref="BQ2294">IFERROR(INDEX(hd_cap,MATCH(BT2294,hd_mark,0),0),0)</f>
        <v>0</v>
      </c>
      <c r="BS2294" s="19"/>
      <c r="BT2294" s="19"/>
      <c r="BU2294" s="100"/>
    </row>
    <row r="2295" x14ac:dyDescent="0.25">
      <c r="P2295" s="93"/>
      <c r="Q2295" s="109"/>
      <c r="R2295" t="str">
        <f>$Q$2201</f>
        <v>Roof</v>
      </c>
      <c r="S2295">
        <f>$E$25</f>
        <v>33.171875</v>
      </c>
      <c r="T2295" cm="1">
        <f t="array" ref="T2295">IFERROR(IF(S2295=0,0,(INDEX($C$33:$C$38,MATCH($W$2217,$B$33:$B$38,0),0)*(S2295+$X$2217)+$V$2217*$C$31)*$R$2217),0)</f>
        <v>0</v>
      </c>
      <c r="U2295">
        <f>IF(S2295=0,0,-$V$2217*$C$31*$H$27*$R$2217)</f>
        <v>0</v>
      </c>
      <c r="V2295">
        <f>IF(S2295=0,0,$V$2217*$H$26*$R$2217)</f>
        <v>0</v>
      </c>
      <c r="W2295">
        <f>(0.6*T2295+0.7*U2295)*$R$2217/2</f>
        <v>0</v>
      </c>
      <c r="X2295">
        <f>T2295*$R$2217/2</f>
        <v>0</v>
      </c>
      <c r="Z2295">
        <f>IF(S2295=0,0,$AD$2217*$AP$2201)</f>
        <v>0</v>
      </c>
      <c r="AA2295">
        <f>IFERROR(Z2295/$R$2217,0)</f>
        <v>0</v>
      </c>
      <c r="AB2295">
        <f>Z2295*($F$25+($C$16+$C$17+IF($C$13="single",1.5,3)+3)/12)</f>
        <v>0</v>
      </c>
      <c r="AC2295">
        <f>AB2295-W2295</f>
        <v>0</v>
      </c>
      <c r="AD2295" cm="1">
        <f t="array" ref="AD2295">IFERROR(IF(AC2295&lt;0,0,AC2295/($R$2217-INDEX(hd_off,MATCH(AQ2295,hd_mark,0),0)/12)),0)</f>
        <v>0</v>
      </c>
      <c r="AE2295">
        <f>IF(S2295=0,0,$AD$2217*$AM$2201)</f>
        <v>0</v>
      </c>
      <c r="AF2295">
        <f>IFERROR(AE2295/$R$2217,0)</f>
        <v>0</v>
      </c>
      <c r="AG2295">
        <f>AE2295*($F$25+($C$16+$C$17+IF($C$13="single",1.5,3)+3)/12)</f>
        <v>0</v>
      </c>
      <c r="AH2295">
        <f>AG2295-X2295</f>
        <v>0</v>
      </c>
      <c r="AI2295" cm="1">
        <f t="array" ref="AI2295">IFERROR(IF(AH2295&lt;0,0,AH2295/($R$2217-INDEX(hd_off,MATCH(AQ2295,hd_mark,0),0)/12)),0)</f>
        <v>0</v>
      </c>
      <c r="AJ2295">
        <f>MAX($F$25,$AC$2217)/$Q$2228</f>
        <v>0.29920977011494249</v>
      </c>
      <c r="AK2295">
        <f t="shared" si="1411"/>
        <v>1</v>
      </c>
      <c r="AL2295" cm="1">
        <f t="array" ref="AL2295">IFERROR(INDEX(sheath_ecap_asd,MATCH(AP2295,sheath_mark,0),0)*AK2295,0)</f>
        <v>0</v>
      </c>
      <c r="AM2295" cm="1">
        <f t="array" ref="AM2295">IFERROR(INDEX(sheath_wcap_asd,MATCH(AP2295,sheath_mark,0),0)*AK2295,0)</f>
        <v>0</v>
      </c>
      <c r="AN2295" cm="1">
        <f t="array" ref="AN2295">IFERROR(INDEX(hd_cap,MATCH(AQ2295,hd_mark,0),0),0)</f>
        <v>0</v>
      </c>
      <c r="AP2295" s="19"/>
      <c r="AQ2295" s="19"/>
      <c r="AR2295" s="100"/>
      <c r="AS2295" s="93"/>
      <c r="AT2295" s="109"/>
      <c r="AU2295" t="str">
        <f>$Q$2201</f>
        <v>Roof</v>
      </c>
      <c r="AV2295">
        <f>$E$25</f>
        <v>33.171875</v>
      </c>
      <c r="AW2295" cm="1">
        <f t="array" ref="AW2295">IFERROR(IF(AV2295=0,0,(INDEX($C$33:$C$38,MATCH($AZ$2217,$B$33:$B$38,0),0)*(AV2295+$BA$2217)+$AY$2217*$C$31)*$AU$2217),0)</f>
        <v>0</v>
      </c>
      <c r="AX2295">
        <f>IF(AV2295=0,0,-$AY$2217*$C$31*$H$27*$AU$2217)</f>
        <v>0</v>
      </c>
      <c r="AY2295">
        <f>IF(AV2295=0,0,$AY$2217*$H$26*$AU$2217)</f>
        <v>0</v>
      </c>
      <c r="AZ2295">
        <f>(0.6*AW2295+0.7*AX2295)*$AU$2217/2</f>
        <v>0</v>
      </c>
      <c r="BA2295">
        <f>AW2295*$AU$2217/2</f>
        <v>0</v>
      </c>
      <c r="BC2295">
        <f>IF(AV2295=0,0,$BG$2217*$AP$2201)</f>
        <v>0</v>
      </c>
      <c r="BD2295">
        <f>IFERROR(BC2295/$AU$2217,0)</f>
        <v>0</v>
      </c>
      <c r="BE2295">
        <f>BC2295*($F$25+($C$16+$C$17+IF($C$13="single",1.5,3)+3)/12)</f>
        <v>0</v>
      </c>
      <c r="BF2295">
        <f>BE2295-AZ2295</f>
        <v>0</v>
      </c>
      <c r="BG2295" cm="1">
        <f t="array" ref="BG2295">IFERROR(IF(BF2295&lt;0,0,BF2295/($AU$2217-INDEX(hd_off,MATCH(BT2295,hd_mark,0),0)/12)),0)</f>
        <v>0</v>
      </c>
      <c r="BH2295">
        <f>IF(AV2295=0,0,$BG$2217*$AM$2201)</f>
        <v>0</v>
      </c>
      <c r="BI2295">
        <f>IFERROR(BH2295/$AU$2217,0)</f>
        <v>0</v>
      </c>
      <c r="BJ2295">
        <f>BH2295*($F$25+($C$16+$C$17+IF($C$13="single",1.5,3)+3)/12)</f>
        <v>0</v>
      </c>
      <c r="BK2295">
        <f>BJ2295-BA2295</f>
        <v>0</v>
      </c>
      <c r="BL2295" cm="1">
        <f t="array" ref="BL2295">IFERROR(IF(BK2295&lt;0,0,BK2295/($AU$2217-INDEX(hd_off,MATCH(BT2295,hd_mark,0),0)/12)),0)</f>
        <v>0</v>
      </c>
      <c r="BM2295">
        <f>MAX($F$25,$BF$2217)/$Q$2228</f>
        <v>0.29920977011494249</v>
      </c>
      <c r="BN2295">
        <f t="shared" si="1412"/>
        <v>1</v>
      </c>
      <c r="BO2295" cm="1">
        <f t="array" ref="BO2295">IFERROR(INDEX(sheath_ecap_asd,MATCH(BS2295,sheath_mark,0),0)*BN2295,0)</f>
        <v>0</v>
      </c>
      <c r="BP2295" cm="1">
        <f t="array" ref="BP2295">IFERROR(INDEX(sheath_wcap_asd,MATCH(BS2295,sheath_mark,0),0)*BN2295,0)</f>
        <v>0</v>
      </c>
      <c r="BQ2295" cm="1">
        <f t="array" ref="BQ2295">IFERROR(INDEX(hd_cap,MATCH(BT2295,hd_mark,0),0),0)</f>
        <v>0</v>
      </c>
      <c r="BS2295" s="19"/>
      <c r="BT2295" s="19"/>
      <c r="BU2295" s="100"/>
    </row>
    <row r="2296" x14ac:dyDescent="0.25">
      <c r="P2296" s="93"/>
      <c r="AR2296" s="100"/>
      <c r="AS2296" s="93"/>
      <c r="BU2296" s="100"/>
    </row>
    <row r="2297" x14ac:dyDescent="0.25">
      <c r="P2297" s="93"/>
      <c r="Q2297" s="110" t="str">
        <f>$Q$2218</f>
        <v>A.13</v>
      </c>
      <c r="R2297" t="str">
        <f>$Q$2197</f>
        <v>L2</v>
      </c>
      <c r="S2297">
        <f>$E$21</f>
        <v>10.6875</v>
      </c>
      <c r="T2297" cm="1">
        <f t="array" ref="T2297">IFERROR(IF(S2297=0,0,(INDEX($C$33:$C$38,MATCH($W$2218,$B$33:$B$38,0),0)*(S2301+$X$2218)+$T$2218*COUNTIF(S2297:S2300,"&gt;0")*$C$32+$V$2218*$C$31)*$R$2218),0)</f>
        <v>0</v>
      </c>
      <c r="U2297">
        <f>IF(S2297=0,0,-(COUNTIF(S2297:S2300,"&gt;0")*$T$2218*$C$32+$V$2218*$C$31)*$H$27*$R$2218)</f>
        <v>0</v>
      </c>
      <c r="V2297">
        <f>IF(S2297=0,0,$V$2218*$H$26*$R$2218)</f>
        <v>0</v>
      </c>
      <c r="W2297">
        <f>(0.6*T2297+0.7*U2297)*$R$2218/2</f>
        <v>0</v>
      </c>
      <c r="X2297">
        <f>(0.6*T2297+0.6*V2297)*$R$2218/2</f>
        <v>0</v>
      </c>
      <c r="Z2297">
        <f>IF(S2297=0,0,$AD$2218*$AP$2197)</f>
        <v>0</v>
      </c>
      <c r="AA2297">
        <f>IFERROR(Z2297/$R$2218,0)</f>
        <v>0</v>
      </c>
      <c r="AB2297">
        <f>Z2297*($F$21+IF($F$21=0,0,($C$14+$C$15+IF($C$13="single",1.5,3)+3)/12))</f>
        <v>0</v>
      </c>
      <c r="AC2297">
        <f>AB2297-W2297</f>
        <v>0</v>
      </c>
      <c r="AD2297" cm="1">
        <f t="array" ref="AD2297">IFERROR(IF(AC2297&lt;0,0,AC2297/($R$2218-INDEX(hd_off,MATCH(AQ2297,hd_mark,0),0)/12)),0)</f>
        <v>0</v>
      </c>
      <c r="AE2297">
        <f>IF(S2297=0,0,$AD$2218*$AM$2197)</f>
        <v>0</v>
      </c>
      <c r="AF2297">
        <f>IFERROR(AE2297/$R$2218,0)</f>
        <v>0</v>
      </c>
      <c r="AG2297">
        <f>AE2297*($F$21+IF($F$21=0,0,($C$14+$C$15+IF($C$13="single",1.5,3)+3)/12))</f>
        <v>0</v>
      </c>
      <c r="AH2297">
        <f>AG2297-X2297</f>
        <v>0</v>
      </c>
      <c r="AI2297" cm="1">
        <f t="array" ref="AI2297">IFERROR(IF(AH2297&lt;0,0,AH2297/($R$2218-INDEX(hd_off,MATCH(AQ2297,hd_mark,0),0)/12)),0)</f>
        <v>0</v>
      </c>
      <c r="AJ2297">
        <f>MAX($F$21,$Y$2218)/$Q$2228</f>
        <v>0.30172413793103448</v>
      </c>
      <c r="AK2297">
        <f>IF(AJ2297=0,0,IF(AJ2297&gt;2,1.25-0.125*AJ2297,1))</f>
        <v>1</v>
      </c>
      <c r="AL2297" cm="1">
        <f t="array" ref="AL2297">IFERROR(INDEX(sheath_ecap_asd,MATCH(AP2297,sheath_mark,0),0)*AK2297,0)</f>
        <v>0</v>
      </c>
      <c r="AM2297" cm="1">
        <f t="array" ref="AM2297">IFERROR(INDEX(sheath_wcap_asd,MATCH(AP2297,sheath_mark,0),0)*AK2297,0)</f>
        <v>0</v>
      </c>
      <c r="AN2297" cm="1">
        <f t="array" ref="AN2297">IFERROR(INDEX(hd_cap,MATCH(AQ2297,hd_mark,0),0),0)</f>
        <v>0</v>
      </c>
      <c r="AP2297" s="19"/>
      <c r="AQ2297" s="19"/>
      <c r="AR2297" s="100"/>
      <c r="AS2297" s="93"/>
      <c r="AT2297" s="110" t="str">
        <f>$AT$2218</f>
        <v>1.13</v>
      </c>
      <c r="AU2297" t="str">
        <f>$Q$2197</f>
        <v>L2</v>
      </c>
      <c r="AV2297">
        <f>$E$21</f>
        <v>10.6875</v>
      </c>
      <c r="AW2297" cm="1">
        <f t="array" ref="AW2297">IFERROR(IF(AV2297=0,0,(INDEX($C$33:$C$38,MATCH($AZ$2218,$B$33:$B$38,0),0)*(AV2301+$BA$2218)+$AW$2218*COUNTIF(AV2297:AV2300,"&gt;0")*$C$32+$AY$2218*$C$31)*$AU$2218),0)</f>
        <v>0</v>
      </c>
      <c r="AX2297">
        <f>IF(AV2297=0,0,-(COUNTIF(AV2297:AV2300,"&gt;0")*$AW$2218*$C$32+$AY$2218*$C$31)*$H$27*$AU$2218)</f>
        <v>0</v>
      </c>
      <c r="AY2297">
        <f>IF(AV2297=0,0,$AY$2218*$H$26*$AU$2218)</f>
        <v>0</v>
      </c>
      <c r="AZ2297">
        <f>(0.6*AW2297+0.7*AX2297)*$AU$2218/2</f>
        <v>0</v>
      </c>
      <c r="BA2297">
        <f>(0.6*AW2297+0.6*AY2297)*$AU$2218/2</f>
        <v>0</v>
      </c>
      <c r="BC2297">
        <f>IF(AV2297=0,0,$BG$2218*$AP$2197)</f>
        <v>0</v>
      </c>
      <c r="BD2297">
        <f>IFERROR(BC2297/$AU$2218,0)</f>
        <v>0</v>
      </c>
      <c r="BE2297">
        <f>BC2297*($F$21+IF($F$21=0,0,($C$14+$C$15+IF($C$13="single",1.5,3)+3)/12))</f>
        <v>0</v>
      </c>
      <c r="BF2297">
        <f>BE2297-AZ2297</f>
        <v>0</v>
      </c>
      <c r="BG2297" cm="1">
        <f t="array" ref="BG2297">IFERROR(IF(BF2297&lt;0,0,BF2297/($AU$2218-INDEX(hd_off,MATCH(BT2297,hd_mark,0),0)/12)),0)</f>
        <v>0</v>
      </c>
      <c r="BH2297">
        <f>IF(AV2297=0,0,$BG$2218*$AM$2197)</f>
        <v>0</v>
      </c>
      <c r="BI2297">
        <f>IFERROR(BH2297/$AU$2218,0)</f>
        <v>0</v>
      </c>
      <c r="BJ2297">
        <f>BH2297*($F$21+IF($F$21=0,0,($C$14+$C$15+IF($C$13="single",1.5,3)+3)/12))</f>
        <v>0</v>
      </c>
      <c r="BK2297">
        <f>BJ2297-BA2297</f>
        <v>0</v>
      </c>
      <c r="BL2297" cm="1">
        <f t="array" ref="BL2297">IFERROR(IF(BK2297&lt;0,0,BK2297/($AU$2218-INDEX(hd_off,MATCH(BT2297,hd_mark,0),0)/12)),0)</f>
        <v>0</v>
      </c>
      <c r="BM2297">
        <f>MAX($F$21,$BB$2218)/$Q$2228</f>
        <v>0.30172413793103448</v>
      </c>
      <c r="BN2297">
        <f>IF(BM2297=0,0,IF(BM2297&gt;2,1.25-0.125*BM2297,1))</f>
        <v>1</v>
      </c>
      <c r="BO2297" cm="1">
        <f t="array" ref="BO2297">IFERROR(INDEX(sheath_ecap_asd,MATCH(BS2297,sheath_mark,0),0)*BN2297,0)</f>
        <v>0</v>
      </c>
      <c r="BP2297" cm="1">
        <f t="array" ref="BP2297">IFERROR(INDEX(sheath_wcap_asd,MATCH(BS2297,sheath_mark,0),0)*BN2297,0)</f>
        <v>0</v>
      </c>
      <c r="BQ2297" cm="1">
        <f t="array" ref="BQ2297">IFERROR(INDEX(hd_cap,MATCH(BT2297,hd_mark,0),0),0)</f>
        <v>0</v>
      </c>
      <c r="BS2297" s="19"/>
      <c r="BT2297" s="19"/>
      <c r="BU2297" s="100"/>
    </row>
    <row r="2298" x14ac:dyDescent="0.25">
      <c r="P2298" s="93"/>
      <c r="Q2298" s="109"/>
      <c r="R2298" t="str">
        <f>$Q$2198</f>
        <v>L3</v>
      </c>
      <c r="S2298">
        <f>$E$22</f>
        <v>21.375</v>
      </c>
      <c r="T2298" cm="1">
        <f t="array" ref="T2298">IFERROR(IF(S2298=0,0,(INDEX($C$33:$C$38,MATCH($W$2218,$B$33:$B$38,0),0)*(S2301+$X$2218)+$T$2218*COUNTIF(S2298:S2300,"&gt;0")*$C$32+$V$2218*$C$31)*$R$2218),0)</f>
        <v>0</v>
      </c>
      <c r="U2298">
        <f>IF(S2298=0,0,-(COUNTIF(S2298:S2300,"&gt;0")*$T$2218*$C$32+$V$2218*$C$31)*$H$27*$R$2218)</f>
        <v>0</v>
      </c>
      <c r="V2298">
        <f>IF(S2298=0,0,$V$2218*$H$26*$R$2218)</f>
        <v>0</v>
      </c>
      <c r="W2298">
        <f>(0.6*T2298+0.7*U2298)*$R$2218/2</f>
        <v>0</v>
      </c>
      <c r="X2298">
        <f>T2298*$R$2218/2</f>
        <v>0</v>
      </c>
      <c r="Z2298">
        <f>IF(S2298=0,0,$AD$2218*$AP$2198)</f>
        <v>0</v>
      </c>
      <c r="AA2298">
        <f>IFERROR(Z2298/$R$2218,0)</f>
        <v>0</v>
      </c>
      <c r="AB2298">
        <f>Z2298*($F$22+IF($F$22=0,0,($C$14+$C$15+IF($C$13="single",1.5,3)+3)/12))</f>
        <v>0</v>
      </c>
      <c r="AC2298">
        <f>AB2298-W2298</f>
        <v>0</v>
      </c>
      <c r="AD2298" cm="1">
        <f t="array" ref="AD2298">IFERROR(IF(AC2298&lt;0,0,AC2298/($R$2218-INDEX(hd_off,MATCH(AQ2298,hd_mark,0),0)/12)),0)</f>
        <v>0</v>
      </c>
      <c r="AE2298">
        <f>IF(S2298=0,0,$AD$2218*$AM$2198)</f>
        <v>0</v>
      </c>
      <c r="AF2298">
        <f>IFERROR(AE2298/$R$2218,0)</f>
        <v>0</v>
      </c>
      <c r="AG2298">
        <f>AE2298*($F$22+IF($F$22=0,0,($C$14+$C$15+IF($C$13="single",1.5,3)+3)/12))</f>
        <v>0</v>
      </c>
      <c r="AH2298">
        <f>AG2298-X2298</f>
        <v>0</v>
      </c>
      <c r="AI2298" cm="1">
        <f t="array" ref="AI2298">IFERROR(IF(AH2298&lt;0,0,AH2298/($R$2218-INDEX(hd_off,MATCH(AQ2298,hd_mark,0),0)/12)),0)</f>
        <v>0</v>
      </c>
      <c r="AJ2298">
        <f>MAX($F$22,$Z$2218)/$Q$2228</f>
        <v>0.30172413793103448</v>
      </c>
      <c r="AK2298">
        <f t="shared" ref="AK2298:AK2301" si="1413">IF(AJ2298=0,0,IF(AJ2298&gt;2,1.25-0.125*AJ2298,1))</f>
        <v>1</v>
      </c>
      <c r="AL2298" cm="1">
        <f t="array" ref="AL2298">IFERROR(INDEX(sheath_ecap_asd,MATCH(AP2298,sheath_mark,0),0)*AK2298,0)</f>
        <v>0</v>
      </c>
      <c r="AM2298" cm="1">
        <f t="array" ref="AM2298">IFERROR(INDEX(sheath_wcap_asd,MATCH(AP2298,sheath_mark,0),0)*AK2298,0)</f>
        <v>0</v>
      </c>
      <c r="AN2298" cm="1">
        <f t="array" ref="AN2298">IFERROR(INDEX(hd_cap,MATCH(AQ2298,hd_mark,0),0),0)</f>
        <v>0</v>
      </c>
      <c r="AP2298" s="19"/>
      <c r="AQ2298" s="19"/>
      <c r="AR2298" s="100"/>
      <c r="AS2298" s="93"/>
      <c r="AT2298" s="109"/>
      <c r="AU2298" t="str">
        <f>$Q$2198</f>
        <v>L3</v>
      </c>
      <c r="AV2298">
        <f>$E$22</f>
        <v>21.375</v>
      </c>
      <c r="AW2298" cm="1">
        <f t="array" ref="AW2298">IFERROR(IF(AV2298=0,0,(INDEX($C$33:$C$38,MATCH($AZ$2218,$B$33:$B$38,0),0)*(AV2301+$BA$2218)+$AW$2218*COUNTIF(AV2298:AV2300,"&gt;0")*$C$32+$AY$2218*$C$31)*$AU$2218),0)</f>
        <v>0</v>
      </c>
      <c r="AX2298">
        <f>IF(AV2298=0,0,-(COUNTIF(AV2298:AV2300,"&gt;0")*$AW$2218*$C$32+$AY$2218*$C$31)*$H$27*$AU$2218)</f>
        <v>0</v>
      </c>
      <c r="AY2298">
        <f>IF(AV2298=0,0,$AY$2218*$H$26*$AU$2218)</f>
        <v>0</v>
      </c>
      <c r="AZ2298">
        <f>(0.6*AW2298+0.7*AX2298)*$AU$2218/2</f>
        <v>0</v>
      </c>
      <c r="BA2298">
        <f>AW2298*$AU$2218/2</f>
        <v>0</v>
      </c>
      <c r="BC2298">
        <f>IF(AV2298=0,0,$BG$2218*$AP$2198)</f>
        <v>0</v>
      </c>
      <c r="BD2298">
        <f>IFERROR(BC2298/$AU$2218,0)</f>
        <v>0</v>
      </c>
      <c r="BE2298">
        <f>BC2298*($F$22+IF($F$22=0,0,($C$14+$C$15+IF($C$13="single",1.5,3)+3)/12))</f>
        <v>0</v>
      </c>
      <c r="BF2298">
        <f>BE2298-AZ2298</f>
        <v>0</v>
      </c>
      <c r="BG2298" cm="1">
        <f t="array" ref="BG2298">IFERROR(IF(BF2298&lt;0,0,BF2298/($AU$2218-INDEX(hd_off,MATCH(BT2298,hd_mark,0),0)/12)),0)</f>
        <v>0</v>
      </c>
      <c r="BH2298">
        <f>IF(AV2298=0,0,$BG$2218*$AM$2198)</f>
        <v>0</v>
      </c>
      <c r="BI2298">
        <f>IFERROR(BH2298/$AU$2218,0)</f>
        <v>0</v>
      </c>
      <c r="BJ2298">
        <f>BH2298*($F$22+IF($F$22=0,0,($C$14+$C$15+IF($C$13="single",1.5,3)+3)/12))</f>
        <v>0</v>
      </c>
      <c r="BK2298">
        <f>BJ2298-BA2298</f>
        <v>0</v>
      </c>
      <c r="BL2298" cm="1">
        <f t="array" ref="BL2298">IFERROR(IF(BK2298&lt;0,0,BK2298/($AU$2218-INDEX(hd_off,MATCH(BT2298,hd_mark,0),0)/12)),0)</f>
        <v>0</v>
      </c>
      <c r="BM2298">
        <f>MAX($F$22,$BC$2218)/$Q$2228</f>
        <v>0.30172413793103448</v>
      </c>
      <c r="BN2298">
        <f t="shared" ref="BN2298:BN2301" si="1414">IF(BM2298=0,0,IF(BM2298&gt;2,1.25-0.125*BM2298,1))</f>
        <v>1</v>
      </c>
      <c r="BO2298" cm="1">
        <f t="array" ref="BO2298">IFERROR(INDEX(sheath_ecap_asd,MATCH(BS2298,sheath_mark,0),0)*BN2298,0)</f>
        <v>0</v>
      </c>
      <c r="BP2298" cm="1">
        <f t="array" ref="BP2298">IFERROR(INDEX(sheath_wcap_asd,MATCH(BS2298,sheath_mark,0),0)*BN2298,0)</f>
        <v>0</v>
      </c>
      <c r="BQ2298" cm="1">
        <f t="array" ref="BQ2298">IFERROR(INDEX(hd_cap,MATCH(BT2298,hd_mark,0),0),0)</f>
        <v>0</v>
      </c>
      <c r="BS2298" s="19"/>
      <c r="BT2298" s="19"/>
      <c r="BU2298" s="100"/>
    </row>
    <row r="2299" x14ac:dyDescent="0.25">
      <c r="P2299" s="93"/>
      <c r="Q2299" s="109" t="s">
        <v>491</v>
      </c>
      <c r="R2299" t="str">
        <f>$Q$2199</f>
        <v>L4</v>
      </c>
      <c r="S2299">
        <f>$E$23</f>
        <v>0</v>
      </c>
      <c r="T2299" cm="1">
        <f t="array" ref="T2299">IFERROR(IF(S2299=0,0,(INDEX($C$33:$C$38,MATCH($W$2218,$B$33:$B$38,0),0)*(S2301+$X$2218)+$T$2218*COUNTIF(S2299:S2300,"&gt;0")*$C$32+$V$2218*$C$31)*$R$2218),0)</f>
        <v>0</v>
      </c>
      <c r="U2299">
        <f>IF(S2299=0,0,-(COUNTIF(S2299:S2300,"&gt;0")*$T$2218*$C$32+$V$2218*$C$31)*$H$27*$R$2218)</f>
        <v>0</v>
      </c>
      <c r="V2299">
        <f>IF(S2299=0,0,$V$2218*$H$26*$R$2218)</f>
        <v>0</v>
      </c>
      <c r="W2299">
        <f>(0.6*T2299+0.7*U2299)*$R$2218/2</f>
        <v>0</v>
      </c>
      <c r="X2299">
        <f>T2299*$R$2218/2</f>
        <v>0</v>
      </c>
      <c r="Z2299">
        <f>IF(S2299=0,0,$AD$2218*$AP$2199)</f>
        <v>0</v>
      </c>
      <c r="AA2299">
        <f>IFERROR(Z2299/$R$2218,0)</f>
        <v>0</v>
      </c>
      <c r="AB2299">
        <f>Z2299*($F$23+IF($F$23=0,0,($C$14+$C$15+IF($C$13="single",1.5,3)+3)/12))</f>
        <v>0</v>
      </c>
      <c r="AC2299">
        <f>AB2299-W2299</f>
        <v>0</v>
      </c>
      <c r="AD2299" cm="1">
        <f t="array" ref="AD2299">IFERROR(IF(AC2299&lt;0,0,AC2299/($R$2218-INDEX(hd_off,MATCH(AQ2299,hd_mark,0),0)/12)),0)</f>
        <v>0</v>
      </c>
      <c r="AE2299">
        <f>IF(S2299=0,0,$AD$2218*$AM$2199)</f>
        <v>0</v>
      </c>
      <c r="AF2299">
        <f>IFERROR(AE2299/$R$2218,0)</f>
        <v>0</v>
      </c>
      <c r="AG2299">
        <f>AE2299*($F$23+IF($F$23=0,0,($C$14+$C$15+IF($C$13="single",1.5,3)+3)/12))</f>
        <v>0</v>
      </c>
      <c r="AH2299">
        <f>AG2299-X2299</f>
        <v>0</v>
      </c>
      <c r="AI2299" cm="1">
        <f t="array" ref="AI2299">IFERROR(IF(AH2299&lt;0,0,AH2299/($R$2218-INDEX(hd_off,MATCH(AQ2299,hd_mark,0),0)/12)),0)</f>
        <v>0</v>
      </c>
      <c r="AJ2299">
        <f>MAX($F$23,$AA$2218)/$Q$2228</f>
        <v>0</v>
      </c>
      <c r="AK2299">
        <f t="shared" si="1413"/>
        <v>0</v>
      </c>
      <c r="AL2299" cm="1">
        <f t="array" ref="AL2299">IFERROR(INDEX(sheath_ecap_asd,MATCH(AP2299,sheath_mark,0),0)*AK2299,0)</f>
        <v>0</v>
      </c>
      <c r="AM2299" cm="1">
        <f t="array" ref="AM2299">IFERROR(INDEX(sheath_wcap_asd,MATCH(AP2299,sheath_mark,0),0)*AK2299,0)</f>
        <v>0</v>
      </c>
      <c r="AN2299" cm="1">
        <f t="array" ref="AN2299">IFERROR(INDEX(hd_cap,MATCH(AQ2299,hd_mark,0),0),0)</f>
        <v>0</v>
      </c>
      <c r="AP2299" s="19"/>
      <c r="AQ2299" s="19"/>
      <c r="AR2299" s="100"/>
      <c r="AS2299" s="93"/>
      <c r="AT2299" s="109" t="s">
        <v>491</v>
      </c>
      <c r="AU2299" t="str">
        <f>$Q$2199</f>
        <v>L4</v>
      </c>
      <c r="AV2299">
        <f>$E$23</f>
        <v>0</v>
      </c>
      <c r="AW2299" cm="1">
        <f t="array" ref="AW2299">IFERROR(IF(AV2299=0,0,(INDEX($C$33:$C$38,MATCH($AZ$2218,$B$33:$B$38,0),0)*(AV2301+$BA$2218)+$AW$2218*COUNTIF(AV2299:AV2300,"&gt;0")*$C$32+$AY$2218*$C$31)*$AU$2218),0)</f>
        <v>0</v>
      </c>
      <c r="AX2299">
        <f>IF(AV2299=0,0,-(COUNTIF(AV2299:AV2300,"&gt;0")*$AW$2218*$C$32+$AY$2218*$C$31)*$H$27*$AU$2218)</f>
        <v>0</v>
      </c>
      <c r="AY2299">
        <f>IF(AV2299=0,0,$AY$2218*$H$26*$AU$2218)</f>
        <v>0</v>
      </c>
      <c r="AZ2299">
        <f>(0.6*AW2299+0.7*AX2299)*$AU$2218/2</f>
        <v>0</v>
      </c>
      <c r="BA2299">
        <f>AW2299*$AU$2218/2</f>
        <v>0</v>
      </c>
      <c r="BC2299">
        <f>IF(AV2299=0,0,$BG$2218*$AP$2199)</f>
        <v>0</v>
      </c>
      <c r="BD2299">
        <f>IFERROR(BC2299/$AU$2218,0)</f>
        <v>0</v>
      </c>
      <c r="BE2299">
        <f>BC2299*($F$23+IF($F$23=0,0,($C$14+$C$15+IF($C$13="single",1.5,3)+3)/12))</f>
        <v>0</v>
      </c>
      <c r="BF2299">
        <f>BE2299-AZ2299</f>
        <v>0</v>
      </c>
      <c r="BG2299" cm="1">
        <f t="array" ref="BG2299">IFERROR(IF(BF2299&lt;0,0,BF2299/($AU$2218-INDEX(hd_off,MATCH(BT2299,hd_mark,0),0)/12)),0)</f>
        <v>0</v>
      </c>
      <c r="BH2299">
        <f>IF(AV2299=0,0,$BG$2218*$AM$2199)</f>
        <v>0</v>
      </c>
      <c r="BI2299">
        <f>IFERROR(BH2299/$AU$2218,0)</f>
        <v>0</v>
      </c>
      <c r="BJ2299">
        <f>BH2299*($F$23+IF($F$23=0,0,($C$14+$C$15+IF($C$13="single",1.5,3)+3)/12))</f>
        <v>0</v>
      </c>
      <c r="BK2299">
        <f>BJ2299-BA2299</f>
        <v>0</v>
      </c>
      <c r="BL2299" cm="1">
        <f t="array" ref="BL2299">IFERROR(IF(BK2299&lt;0,0,BK2299/($AU$2218-INDEX(hd_off,MATCH(BT2299,hd_mark,0),0)/12)),0)</f>
        <v>0</v>
      </c>
      <c r="BM2299">
        <f>MAX($F$23,$BD$2218)/$Q$2228</f>
        <v>0</v>
      </c>
      <c r="BN2299">
        <f t="shared" si="1414"/>
        <v>0</v>
      </c>
      <c r="BO2299" cm="1">
        <f t="array" ref="BO2299">IFERROR(INDEX(sheath_ecap_asd,MATCH(BS2299,sheath_mark,0),0)*BN2299,0)</f>
        <v>0</v>
      </c>
      <c r="BP2299" cm="1">
        <f t="array" ref="BP2299">IFERROR(INDEX(sheath_wcap_asd,MATCH(BS2299,sheath_mark,0),0)*BN2299,0)</f>
        <v>0</v>
      </c>
      <c r="BQ2299" cm="1">
        <f t="array" ref="BQ2299">IFERROR(INDEX(hd_cap,MATCH(BT2299,hd_mark,0),0),0)</f>
        <v>0</v>
      </c>
      <c r="BS2299" s="19"/>
      <c r="BT2299" s="19"/>
      <c r="BU2299" s="100"/>
    </row>
    <row r="2300" x14ac:dyDescent="0.25">
      <c r="P2300" s="93"/>
      <c r="Q2300" s="111">
        <f>$R$2218</f>
        <v>0</v>
      </c>
      <c r="R2300" t="str">
        <f>$Q$2200</f>
        <v>L5</v>
      </c>
      <c r="S2300">
        <f>$E$24</f>
        <v>0</v>
      </c>
      <c r="T2300" cm="1">
        <f t="array" ref="T2300">IFERROR(IF(S2300=0,0,(INDEX($C$33:$C$38,MATCH($W$2218,$B$33:$B$38,0),0)*(S2301+$X$2218)+$T$2218*COUNTIF(S2300:S2300,"&gt;0")*$C$32+$V$2218*$C$31)*$R$2218),0)</f>
        <v>0</v>
      </c>
      <c r="U2300">
        <f>IF(S2300=0,0,-(COUNTIF(S2300:S2300,"&gt;0")*$T$2218*$C$32+$V$2218*$C$31)*$H$27*$R$2218)</f>
        <v>0</v>
      </c>
      <c r="V2300">
        <f>IF(S2300=0,0,$V$2218*$H$26*$R$2218)</f>
        <v>0</v>
      </c>
      <c r="W2300">
        <f>(0.6*T2300+0.7*U2300)*$R$2218/2</f>
        <v>0</v>
      </c>
      <c r="X2300">
        <f>T2300*$R$2218/2</f>
        <v>0</v>
      </c>
      <c r="Z2300">
        <f>IF(S2300=0,0,$AD$2218*$AP$2200)</f>
        <v>0</v>
      </c>
      <c r="AA2300">
        <f>IFERROR(Z2300/$R$2218,0)</f>
        <v>0</v>
      </c>
      <c r="AB2300">
        <f>Z2300*($F$24+IF($F$24=0,0,($C$14+$C$15+IF($C$13="single",1.5,3)+3)/12))</f>
        <v>0</v>
      </c>
      <c r="AC2300">
        <f>AB2300-W2300</f>
        <v>0</v>
      </c>
      <c r="AD2300" cm="1">
        <f t="array" ref="AD2300">IFERROR(IF(AC2300&lt;0,0,AC2300/($R$2218-INDEX(hd_off,MATCH(AQ2300,hd_mark,0),0)/12)),0)</f>
        <v>0</v>
      </c>
      <c r="AE2300">
        <f>IF(S2300=0,0,$AD$2218*$AM$2200)</f>
        <v>0</v>
      </c>
      <c r="AF2300">
        <f>IFERROR(AE2300/$R$2218,0)</f>
        <v>0</v>
      </c>
      <c r="AG2300">
        <f>AE2300*($F$24+IF($F$24=0,0,($C$14+$C$15+IF($C$13="single",1.5,3)+3)/12))</f>
        <v>0</v>
      </c>
      <c r="AH2300">
        <f>AG2300-X2300</f>
        <v>0</v>
      </c>
      <c r="AI2300" cm="1">
        <f t="array" ref="AI2300">IFERROR(IF(AH2300&lt;0,0,AH2300/($R$2218-INDEX(hd_off,MATCH(AQ2300,hd_mark,0),0)/12)),0)</f>
        <v>0</v>
      </c>
      <c r="AJ2300">
        <f>MAX($F$24,$AB$2218)/$Q$2228</f>
        <v>0</v>
      </c>
      <c r="AK2300">
        <f t="shared" si="1413"/>
        <v>0</v>
      </c>
      <c r="AL2300" cm="1">
        <f t="array" ref="AL2300">IFERROR(INDEX(sheath_ecap_asd,MATCH(AP2300,sheath_mark,0),0)*AK2300,0)</f>
        <v>0</v>
      </c>
      <c r="AM2300" cm="1">
        <f t="array" ref="AM2300">IFERROR(INDEX(sheath_wcap_asd,MATCH(AP2300,sheath_mark,0),0)*AK2300,0)</f>
        <v>0</v>
      </c>
      <c r="AN2300" cm="1">
        <f t="array" ref="AN2300">IFERROR(INDEX(hd_cap,MATCH(AQ2300,hd_mark,0),0),0)</f>
        <v>0</v>
      </c>
      <c r="AP2300" s="19"/>
      <c r="AQ2300" s="19"/>
      <c r="AR2300" s="100"/>
      <c r="AS2300" s="93"/>
      <c r="AT2300" s="111">
        <f>$R$2218</f>
        <v>0</v>
      </c>
      <c r="AU2300" t="str">
        <f>$Q$2200</f>
        <v>L5</v>
      </c>
      <c r="AV2300">
        <f>$E$24</f>
        <v>0</v>
      </c>
      <c r="AW2300" cm="1">
        <f t="array" ref="AW2300">IFERROR(IF(AV2300=0,0,(INDEX($C$33:$C$38,MATCH($AZ$2218,$B$33:$B$38,0),0)*(AV2301+$BA$2218)+$AW$2218*COUNTIF(AV2300:AV2300,"&gt;0")*$C$32+$AY$2218*$C$31)*$AU$2218),0)</f>
        <v>0</v>
      </c>
      <c r="AX2300">
        <f>IF(AV2300=0,0,-(COUNTIF(AV2300:AV2300,"&gt;0")*$AW$2218*$C$32+$AY$2218*$C$31)*$H$27*$AU$2218)</f>
        <v>0</v>
      </c>
      <c r="AY2300">
        <f>IF(AV2300=0,0,$AY$2218*$H$26*$AU$2218)</f>
        <v>0</v>
      </c>
      <c r="AZ2300">
        <f>(0.6*AW2300+0.7*AX2300)*$AU$2218/2</f>
        <v>0</v>
      </c>
      <c r="BA2300">
        <f>AW2300*$AU$2218/2</f>
        <v>0</v>
      </c>
      <c r="BC2300">
        <f>IF(AV2300=0,0,$BG$2218*$AP$2200)</f>
        <v>0</v>
      </c>
      <c r="BD2300">
        <f>IFERROR(BC2300/$AU$2218,0)</f>
        <v>0</v>
      </c>
      <c r="BE2300">
        <f>BC2300*($F$24+IF($F$24=0,0,($C$14+$C$15+IF($C$13="single",1.5,3)+3)/12))</f>
        <v>0</v>
      </c>
      <c r="BF2300">
        <f>BE2300-AZ2300</f>
        <v>0</v>
      </c>
      <c r="BG2300" cm="1">
        <f t="array" ref="BG2300">IFERROR(IF(BF2300&lt;0,0,BF2300/($AU$2218-INDEX(hd_off,MATCH(BT2300,hd_mark,0),0)/12)),0)</f>
        <v>0</v>
      </c>
      <c r="BH2300">
        <f>IF(AV2300=0,0,$BG$2218*$AM$2200)</f>
        <v>0</v>
      </c>
      <c r="BI2300">
        <f>IFERROR(BH2300/$AU$2218,0)</f>
        <v>0</v>
      </c>
      <c r="BJ2300">
        <f>BH2300*($F$24+IF($F$24=0,0,($C$14+$C$15+IF($C$13="single",1.5,3)+3)/12))</f>
        <v>0</v>
      </c>
      <c r="BK2300">
        <f>BJ2300-BA2300</f>
        <v>0</v>
      </c>
      <c r="BL2300" cm="1">
        <f t="array" ref="BL2300">IFERROR(IF(BK2300&lt;0,0,BK2300/($AU$2218-INDEX(hd_off,MATCH(BT2300,hd_mark,0),0)/12)),0)</f>
        <v>0</v>
      </c>
      <c r="BM2300">
        <f>MAX($F$24,$BE$2218)/$Q$2228</f>
        <v>0</v>
      </c>
      <c r="BN2300">
        <f t="shared" si="1414"/>
        <v>0</v>
      </c>
      <c r="BO2300" cm="1">
        <f t="array" ref="BO2300">IFERROR(INDEX(sheath_ecap_asd,MATCH(BS2300,sheath_mark,0),0)*BN2300,0)</f>
        <v>0</v>
      </c>
      <c r="BP2300" cm="1">
        <f t="array" ref="BP2300">IFERROR(INDEX(sheath_wcap_asd,MATCH(BS2300,sheath_mark,0),0)*BN2300,0)</f>
        <v>0</v>
      </c>
      <c r="BQ2300" cm="1">
        <f t="array" ref="BQ2300">IFERROR(INDEX(hd_cap,MATCH(BT2300,hd_mark,0),0),0)</f>
        <v>0</v>
      </c>
      <c r="BS2300" s="19"/>
      <c r="BT2300" s="19"/>
      <c r="BU2300" s="100"/>
    </row>
    <row r="2301" x14ac:dyDescent="0.25">
      <c r="P2301" s="93"/>
      <c r="Q2301" s="109"/>
      <c r="R2301" t="str">
        <f>$Q$2201</f>
        <v>Roof</v>
      </c>
      <c r="S2301">
        <f>$E$25</f>
        <v>33.171875</v>
      </c>
      <c r="T2301" cm="1">
        <f t="array" ref="T2301">IFERROR(IF(S2301=0,0,(INDEX($C$33:$C$38,MATCH($W$2218,$B$33:$B$38,0),0)*(S2301+$X$2218)+$V$2218*$C$31)*$R$2218),0)</f>
        <v>0</v>
      </c>
      <c r="U2301">
        <f>IF(S2301=0,0,-$V$2218*$C$31*$H$27*$R$2218)</f>
        <v>0</v>
      </c>
      <c r="V2301">
        <f>IF(S2301=0,0,$V$2218*$H$26*$R$2218)</f>
        <v>0</v>
      </c>
      <c r="W2301">
        <f>(0.6*T2301+0.7*U2301)*$R$2218/2</f>
        <v>0</v>
      </c>
      <c r="X2301">
        <f>T2301*$R$2218/2</f>
        <v>0</v>
      </c>
      <c r="Z2301">
        <f>IF(S2301=0,0,$AD$2218*$AP$2201)</f>
        <v>0</v>
      </c>
      <c r="AA2301">
        <f>IFERROR(Z2301/$R$2218,0)</f>
        <v>0</v>
      </c>
      <c r="AB2301">
        <f>Z2301*($F$25+($C$16+$C$17+IF($C$13="single",1.5,3)+3)/12)</f>
        <v>0</v>
      </c>
      <c r="AC2301">
        <f>AB2301-W2301</f>
        <v>0</v>
      </c>
      <c r="AD2301" cm="1">
        <f t="array" ref="AD2301">IFERROR(IF(AC2301&lt;0,0,AC2301/($R$2218-INDEX(hd_off,MATCH(AQ2301,hd_mark,0),0)/12)),0)</f>
        <v>0</v>
      </c>
      <c r="AE2301">
        <f>IF(S2301=0,0,$AD$2218*$AM$2201)</f>
        <v>0</v>
      </c>
      <c r="AF2301">
        <f>IFERROR(AE2301/$R$2218,0)</f>
        <v>0</v>
      </c>
      <c r="AG2301">
        <f>AE2301*($F$25+($C$16+$C$17+IF($C$13="single",1.5,3)+3)/12)</f>
        <v>0</v>
      </c>
      <c r="AH2301">
        <f>AG2301-X2301</f>
        <v>0</v>
      </c>
      <c r="AI2301" cm="1">
        <f t="array" ref="AI2301">IFERROR(IF(AH2301&lt;0,0,AH2301/($R$2218-INDEX(hd_off,MATCH(AQ2301,hd_mark,0),0)/12)),0)</f>
        <v>0</v>
      </c>
      <c r="AJ2301">
        <f>MAX($F$25,$AC$2218)/$Q$2228</f>
        <v>0.29920977011494249</v>
      </c>
      <c r="AK2301">
        <f t="shared" si="1413"/>
        <v>1</v>
      </c>
      <c r="AL2301" cm="1">
        <f t="array" ref="AL2301">IFERROR(INDEX(sheath_ecap_asd,MATCH(AP2301,sheath_mark,0),0)*AK2301,0)</f>
        <v>0</v>
      </c>
      <c r="AM2301" cm="1">
        <f t="array" ref="AM2301">IFERROR(INDEX(sheath_wcap_asd,MATCH(AP2301,sheath_mark,0),0)*AK2301,0)</f>
        <v>0</v>
      </c>
      <c r="AN2301" cm="1">
        <f t="array" ref="AN2301">IFERROR(INDEX(hd_cap,MATCH(AQ2301,hd_mark,0),0),0)</f>
        <v>0</v>
      </c>
      <c r="AP2301" s="19"/>
      <c r="AQ2301" s="19"/>
      <c r="AR2301" s="100"/>
      <c r="AS2301" s="93"/>
      <c r="AT2301" s="109"/>
      <c r="AU2301" t="str">
        <f>$Q$2201</f>
        <v>Roof</v>
      </c>
      <c r="AV2301">
        <f>$E$25</f>
        <v>33.171875</v>
      </c>
      <c r="AW2301" cm="1">
        <f t="array" ref="AW2301">IFERROR(IF(AV2301=0,0,(INDEX($C$33:$C$38,MATCH($AZ$2218,$B$33:$B$38,0),0)*(AV2301+$BA$2218)+$AY$2218*$C$31)*$AU$2218),0)</f>
        <v>0</v>
      </c>
      <c r="AX2301">
        <f>IF(AV2301=0,0,-$AY$2218*$C$31*$H$27*$AU$2218)</f>
        <v>0</v>
      </c>
      <c r="AY2301">
        <f>IF(AV2301=0,0,$AY$2218*$H$26*$AU$2218)</f>
        <v>0</v>
      </c>
      <c r="AZ2301">
        <f>(0.6*AW2301+0.7*AX2301)*$AU$2218/2</f>
        <v>0</v>
      </c>
      <c r="BA2301">
        <f>AW2301*$AU$2218/2</f>
        <v>0</v>
      </c>
      <c r="BC2301">
        <f>IF(AV2301=0,0,$BG$2218*$AP$2201)</f>
        <v>0</v>
      </c>
      <c r="BD2301">
        <f>IFERROR(BC2301/$AU$2218,0)</f>
        <v>0</v>
      </c>
      <c r="BE2301">
        <f>BC2301*($F$25+($C$16+$C$17+IF($C$13="single",1.5,3)+3)/12)</f>
        <v>0</v>
      </c>
      <c r="BF2301">
        <f>BE2301-AZ2301</f>
        <v>0</v>
      </c>
      <c r="BG2301" cm="1">
        <f t="array" ref="BG2301">IFERROR(IF(BF2301&lt;0,0,BF2301/($AU$2218-INDEX(hd_off,MATCH(BT2301,hd_mark,0),0)/12)),0)</f>
        <v>0</v>
      </c>
      <c r="BH2301">
        <f>IF(AV2301=0,0,$BG$2218*$AM$2201)</f>
        <v>0</v>
      </c>
      <c r="BI2301">
        <f>IFERROR(BH2301/$AU$2218,0)</f>
        <v>0</v>
      </c>
      <c r="BJ2301">
        <f>BH2301*($F$25+($C$16+$C$17+IF($C$13="single",1.5,3)+3)/12)</f>
        <v>0</v>
      </c>
      <c r="BK2301">
        <f>BJ2301-BA2301</f>
        <v>0</v>
      </c>
      <c r="BL2301" cm="1">
        <f t="array" ref="BL2301">IFERROR(IF(BK2301&lt;0,0,BK2301/($AU$2218-INDEX(hd_off,MATCH(BT2301,hd_mark,0),0)/12)),0)</f>
        <v>0</v>
      </c>
      <c r="BM2301">
        <f>MAX($F$25,$BF$2218)/$Q$2228</f>
        <v>0.29920977011494249</v>
      </c>
      <c r="BN2301">
        <f t="shared" si="1414"/>
        <v>1</v>
      </c>
      <c r="BO2301" cm="1">
        <f t="array" ref="BO2301">IFERROR(INDEX(sheath_ecap_asd,MATCH(BS2301,sheath_mark,0),0)*BN2301,0)</f>
        <v>0</v>
      </c>
      <c r="BP2301" cm="1">
        <f t="array" ref="BP2301">IFERROR(INDEX(sheath_wcap_asd,MATCH(BS2301,sheath_mark,0),0)*BN2301,0)</f>
        <v>0</v>
      </c>
      <c r="BQ2301" cm="1">
        <f t="array" ref="BQ2301">IFERROR(INDEX(hd_cap,MATCH(BT2301,hd_mark,0),0),0)</f>
        <v>0</v>
      </c>
      <c r="BS2301" s="19"/>
      <c r="BT2301" s="19"/>
      <c r="BU2301" s="100"/>
    </row>
    <row r="2302" x14ac:dyDescent="0.25">
      <c r="P2302" s="93"/>
      <c r="AR2302" s="100"/>
      <c r="AS2302" s="93"/>
      <c r="BU2302" s="100"/>
    </row>
    <row r="2303" x14ac:dyDescent="0.25">
      <c r="P2303" s="93"/>
      <c r="Q2303" s="110" t="str">
        <f>$Q$2219</f>
        <v>A.14</v>
      </c>
      <c r="R2303" t="str">
        <f>$Q$2197</f>
        <v>L2</v>
      </c>
      <c r="S2303">
        <f>$E$21</f>
        <v>10.6875</v>
      </c>
      <c r="T2303" cm="1">
        <f t="array" ref="T2303">IFERROR(IF(S2303=0,0,(INDEX($C$33:$C$38,MATCH($W$2219,$B$33:$B$38,0),0)*(S2307+$X$2219)+$T$2219*COUNTIF(S2303:S2319,"&gt;0")*$C$32+$V$2219*$C$31)*$R$2219),0)</f>
        <v>0</v>
      </c>
      <c r="U2303">
        <f>IF(S2303=0,0,-(COUNTIF(S2303:S2319,"&gt;0")*$T$2219*$C$32+$V$2219*$C$31)*$H$27*$R$2219)</f>
        <v>0</v>
      </c>
      <c r="V2303">
        <f>IF(S2303=0,0,$V$2219*$H$26*$R$2219)</f>
        <v>0</v>
      </c>
      <c r="W2303">
        <f>(0.6*T2303+0.7*U2303)*$R$2219/2</f>
        <v>0</v>
      </c>
      <c r="X2303">
        <f>(0.6*T2303+0.6*V2303)*$R$2219/2</f>
        <v>0</v>
      </c>
      <c r="Z2303">
        <f>IF(S2303=0,0,$AD$2219*$AP$2197)</f>
        <v>0</v>
      </c>
      <c r="AA2303">
        <f>IFERROR(Z2303/$R$2219,0)</f>
        <v>0</v>
      </c>
      <c r="AB2303">
        <f>Z2303*($F$21+IF($F$21=0,0,($C$14+$C$15+IF($C$13="single",1.5,3)+3)/12))</f>
        <v>0</v>
      </c>
      <c r="AC2303">
        <f>AB2303-W2303</f>
        <v>0</v>
      </c>
      <c r="AD2303" cm="1">
        <f t="array" ref="AD2303">IFERROR(IF(AC2303&lt;0,0,AC2303/($R$2219-INDEX(hd_off,MATCH(AQ2303,hd_mark,0),0)/12)),0)</f>
        <v>0</v>
      </c>
      <c r="AE2303">
        <f>IF(S2303=0,0,$AD$2219*$AM$2197)</f>
        <v>0</v>
      </c>
      <c r="AF2303">
        <f>IFERROR(AE2303/$R$2219,0)</f>
        <v>0</v>
      </c>
      <c r="AG2303">
        <f>AE2303*($F$21+IF($F$21=0,0,($C$14+$C$15+IF($C$13="single",1.5,3)+3)/12))</f>
        <v>0</v>
      </c>
      <c r="AH2303">
        <f>AG2303-X2303</f>
        <v>0</v>
      </c>
      <c r="AI2303" cm="1">
        <f t="array" ref="AI2303">IFERROR(IF(AH2303&lt;0,0,AH2303/($R$2219-INDEX(hd_off,MATCH(AQ2303,hd_mark,0),0)/12)),0)</f>
        <v>0</v>
      </c>
      <c r="AJ2303">
        <f>MAX($F$21,$Y$2219)/$Q$2228</f>
        <v>0.30172413793103448</v>
      </c>
      <c r="AK2303">
        <f>IF(AJ2303=0,0,IF(AJ2303&gt;2,1.25-0.125*AJ2303,1))</f>
        <v>1</v>
      </c>
      <c r="AL2303" cm="1">
        <f t="array" ref="AL2303">IFERROR(INDEX(sheath_ecap_asd,MATCH(AP2303,sheath_mark,0),0)*AK2303,0)</f>
        <v>0</v>
      </c>
      <c r="AM2303" cm="1">
        <f t="array" ref="AM2303">IFERROR(INDEX(sheath_wcap_asd,MATCH(AP2303,sheath_mark,0),0)*AK2303,0)</f>
        <v>0</v>
      </c>
      <c r="AN2303" cm="1">
        <f t="array" ref="AN2303">IFERROR(INDEX(hd_cap,MATCH(AQ2303,hd_mark,0),0),0)</f>
        <v>0</v>
      </c>
      <c r="AP2303" s="19"/>
      <c r="AQ2303" s="19"/>
      <c r="AR2303" s="100"/>
      <c r="AS2303" s="93"/>
      <c r="AT2303" s="110" t="str">
        <f>$AT$2219</f>
        <v>1.14</v>
      </c>
      <c r="AU2303" t="str">
        <f>$Q$2197</f>
        <v>L2</v>
      </c>
      <c r="AV2303">
        <f>$E$21</f>
        <v>10.6875</v>
      </c>
      <c r="AW2303" cm="1">
        <f t="array" ref="AW2303">IFERROR(IF(AV2303=0,0,(INDEX($C$33:$C$38,MATCH($AZ$2219,$B$33:$B$38,0),0)*(AV2307+$BA$2219)+$AW$2219*COUNTIF(AV2303:AV2319,"&gt;0")*$C$32+$AY$2219*$C$31)*$AU$2219),0)</f>
        <v>0</v>
      </c>
      <c r="AX2303">
        <f>IF(AV2303=0,0,-(COUNTIF(AV2303:AV2319,"&gt;0")*$AW$2219*$C$32+$AY$2219*$C$31)*$H$27*$AU$2219)</f>
        <v>0</v>
      </c>
      <c r="AY2303">
        <f>IF(AV2303=0,0,$AY$2219*$H$26*$AU$2219)</f>
        <v>0</v>
      </c>
      <c r="AZ2303">
        <f>(0.6*AW2303+0.7*AX2303)*$AU$2219/2</f>
        <v>0</v>
      </c>
      <c r="BA2303">
        <f>(0.6*AW2303+0.6*AY2303)*$AU$2219/2</f>
        <v>0</v>
      </c>
      <c r="BC2303">
        <f>IF(AV2303=0,0,$BG$2219*$AP$2197)</f>
        <v>0</v>
      </c>
      <c r="BD2303">
        <f>IFERROR(BC2303/$AU$2219,0)</f>
        <v>0</v>
      </c>
      <c r="BE2303">
        <f>BC2303*($F$21+IF($F$21=0,0,($C$14+$C$15+IF($C$13="single",1.5,3)+3)/12))</f>
        <v>0</v>
      </c>
      <c r="BF2303">
        <f>BE2303-AZ2303</f>
        <v>0</v>
      </c>
      <c r="BG2303" cm="1">
        <f t="array" ref="BG2303">IFERROR(IF(BF2303&lt;0,0,BF2303/($AU$2219-INDEX(hd_off,MATCH(BT2303,hd_mark,0),0)/12)),0)</f>
        <v>0</v>
      </c>
      <c r="BH2303">
        <f>IF(AV2303=0,0,$BG$2219*$AM$2197)</f>
        <v>0</v>
      </c>
      <c r="BI2303">
        <f>IFERROR(BH2303/$AU$2219,0)</f>
        <v>0</v>
      </c>
      <c r="BJ2303">
        <f>BH2303*($F$21+IF($F$21=0,0,($C$14+$C$15+IF($C$13="single",1.5,3)+3)/12))</f>
        <v>0</v>
      </c>
      <c r="BK2303">
        <f>BJ2303-BA2303</f>
        <v>0</v>
      </c>
      <c r="BL2303" cm="1">
        <f t="array" ref="BL2303">IFERROR(IF(BK2303&lt;0,0,BK2303/($AU$2219-INDEX(hd_off,MATCH(BT2303,hd_mark,0),0)/12)),0)</f>
        <v>0</v>
      </c>
      <c r="BM2303">
        <f>MAX($F$21,$BB$2219)/$Q$2228</f>
        <v>0.30172413793103448</v>
      </c>
      <c r="BN2303">
        <f>IF(BM2303=0,0,IF(BM2303&gt;2,1.25-0.125*BM2303,1))</f>
        <v>1</v>
      </c>
      <c r="BO2303" cm="1">
        <f t="array" ref="BO2303">IFERROR(INDEX(sheath_ecap_asd,MATCH(BS2303,sheath_mark,0),0)*BN2303,0)</f>
        <v>0</v>
      </c>
      <c r="BP2303" cm="1">
        <f t="array" ref="BP2303">IFERROR(INDEX(sheath_wcap_asd,MATCH(BS2303,sheath_mark,0),0)*BN2303,0)</f>
        <v>0</v>
      </c>
      <c r="BQ2303" cm="1">
        <f t="array" ref="BQ2303">IFERROR(INDEX(hd_cap,MATCH(BT2303,hd_mark,0),0),0)</f>
        <v>0</v>
      </c>
      <c r="BS2303" s="19"/>
      <c r="BT2303" s="19"/>
      <c r="BU2303" s="100"/>
    </row>
    <row r="2304" x14ac:dyDescent="0.25">
      <c r="P2304" s="93"/>
      <c r="Q2304" s="109"/>
      <c r="R2304" t="str">
        <f>$Q$2198</f>
        <v>L3</v>
      </c>
      <c r="S2304">
        <f>$E$22</f>
        <v>21.375</v>
      </c>
      <c r="T2304" cm="1">
        <f t="array" ref="T2304">IFERROR(IF(S2304=0,0,(INDEX($C$33:$C$38,MATCH($W$2219,$B$33:$B$38,0),0)*(S2307+$X$2219)+$T$2219*COUNTIF(S2304:S2319,"&gt;0")*$C$32+$V$2219*$C$31)*$R$2219),0)</f>
        <v>0</v>
      </c>
      <c r="U2304">
        <f>IF(S2304=0,0,-(COUNTIF(S2304:S2319,"&gt;0")*$T$2219*$C$32+$V$2219*$C$31)*$H$27*$R$2219)</f>
        <v>0</v>
      </c>
      <c r="V2304">
        <f>IF(S2304=0,0,$V$2219*$H$26*$R$2219)</f>
        <v>0</v>
      </c>
      <c r="W2304">
        <f>(0.6*T2304+0.7*U2304)*$R$2219/2</f>
        <v>0</v>
      </c>
      <c r="X2304">
        <f>T2304*$R$2219/2</f>
        <v>0</v>
      </c>
      <c r="Z2304">
        <f>IF(S2304=0,0,$AD$2219*$AP$2198)</f>
        <v>0</v>
      </c>
      <c r="AA2304">
        <f>IFERROR(Z2304/$R$2219,0)</f>
        <v>0</v>
      </c>
      <c r="AB2304">
        <f>Z2304*($F$22+IF($F$22=0,0,($C$14+$C$15+IF($C$13="single",1.5,3)+3)/12))</f>
        <v>0</v>
      </c>
      <c r="AC2304">
        <f>AB2304-W2304</f>
        <v>0</v>
      </c>
      <c r="AD2304" cm="1">
        <f t="array" ref="AD2304">IFERROR(IF(AC2304&lt;0,0,AC2304/($R$2219-INDEX(hd_off,MATCH(AQ2304,hd_mark,0),0)/12)),0)</f>
        <v>0</v>
      </c>
      <c r="AE2304">
        <f>IF(S2304=0,0,$AD$2219*$AM$2198)</f>
        <v>0</v>
      </c>
      <c r="AF2304">
        <f>IFERROR(AE2304/$R$2219,0)</f>
        <v>0</v>
      </c>
      <c r="AG2304">
        <f>AE2304*($F$22+IF($F$22=0,0,($C$14+$C$15+IF($C$13="single",1.5,3)+3)/12))</f>
        <v>0</v>
      </c>
      <c r="AH2304">
        <f>AG2304-X2304</f>
        <v>0</v>
      </c>
      <c r="AI2304" cm="1">
        <f t="array" ref="AI2304">IFERROR(IF(AH2304&lt;0,0,AH2304/($R$2219-INDEX(hd_off,MATCH(AQ2304,hd_mark,0),0)/12)),0)</f>
        <v>0</v>
      </c>
      <c r="AJ2304">
        <f>MAX($F$22,$Z$2219)/$Q$2228</f>
        <v>0.30172413793103448</v>
      </c>
      <c r="AK2304">
        <f t="shared" ref="AK2304:AK2307" si="1415">IF(AJ2304=0,0,IF(AJ2304&gt;2,1.25-0.125*AJ2304,1))</f>
        <v>1</v>
      </c>
      <c r="AL2304" cm="1">
        <f t="array" ref="AL2304">IFERROR(INDEX(sheath_ecap_asd,MATCH(AP2304,sheath_mark,0),0)*AK2304,0)</f>
        <v>0</v>
      </c>
      <c r="AM2304" cm="1">
        <f t="array" ref="AM2304">IFERROR(INDEX(sheath_wcap_asd,MATCH(AP2304,sheath_mark,0),0)*AK2304,0)</f>
        <v>0</v>
      </c>
      <c r="AN2304" cm="1">
        <f t="array" ref="AN2304">IFERROR(INDEX(hd_cap,MATCH(AQ2304,hd_mark,0),0),0)</f>
        <v>0</v>
      </c>
      <c r="AP2304" s="19"/>
      <c r="AQ2304" s="19"/>
      <c r="AR2304" s="100"/>
      <c r="AS2304" s="93"/>
      <c r="AT2304" s="109"/>
      <c r="AU2304" t="str">
        <f>$Q$2198</f>
        <v>L3</v>
      </c>
      <c r="AV2304">
        <f>$E$22</f>
        <v>21.375</v>
      </c>
      <c r="AW2304" cm="1">
        <f t="array" ref="AW2304">IFERROR(IF(AV2304=0,0,(INDEX($C$33:$C$38,MATCH($AZ$2219,$B$33:$B$38,0),0)*(AV2307+$BA$2219)+$AW$2219*COUNTIF(AV2304:AV2319,"&gt;0")*$C$32+$AY$2219*$C$31)*$AU$2219),0)</f>
        <v>0</v>
      </c>
      <c r="AX2304">
        <f>IF(AV2304=0,0,-(COUNTIF(AV2304:AV2319,"&gt;0")*$AW$2219*$C$32+$AY$2219*$C$31)*$H$27*$AU$2219)</f>
        <v>0</v>
      </c>
      <c r="AY2304">
        <f>IF(AV2304=0,0,$AY$2219*$H$26*$AU$2219)</f>
        <v>0</v>
      </c>
      <c r="AZ2304">
        <f>(0.6*AW2304+0.7*AX2304)*$AU$2219/2</f>
        <v>0</v>
      </c>
      <c r="BA2304">
        <f>AW2304*$AU$2219/2</f>
        <v>0</v>
      </c>
      <c r="BC2304">
        <f>IF(AV2304=0,0,$BG$2219*$AP$2198)</f>
        <v>0</v>
      </c>
      <c r="BD2304">
        <f>IFERROR(BC2304/$AU$2219,0)</f>
        <v>0</v>
      </c>
      <c r="BE2304">
        <f>BC2304*($F$22+IF($F$22=0,0,($C$14+$C$15+IF($C$13="single",1.5,3)+3)/12))</f>
        <v>0</v>
      </c>
      <c r="BF2304">
        <f>BE2304-AZ2304</f>
        <v>0</v>
      </c>
      <c r="BG2304" cm="1">
        <f t="array" ref="BG2304">IFERROR(IF(BF2304&lt;0,0,BF2304/($AU$2219-INDEX(hd_off,MATCH(BT2304,hd_mark,0),0)/12)),0)</f>
        <v>0</v>
      </c>
      <c r="BH2304">
        <f>IF(AV2304=0,0,$BG$2219*$AM$2198)</f>
        <v>0</v>
      </c>
      <c r="BI2304">
        <f>IFERROR(BH2304/$AU$2219,0)</f>
        <v>0</v>
      </c>
      <c r="BJ2304">
        <f>BH2304*($F$22+IF($F$22=0,0,($C$14+$C$15+IF($C$13="single",1.5,3)+3)/12))</f>
        <v>0</v>
      </c>
      <c r="BK2304">
        <f>BJ2304-BA2304</f>
        <v>0</v>
      </c>
      <c r="BL2304" cm="1">
        <f t="array" ref="BL2304">IFERROR(IF(BK2304&lt;0,0,BK2304/($AU$2219-INDEX(hd_off,MATCH(BT2304,hd_mark,0),0)/12)),0)</f>
        <v>0</v>
      </c>
      <c r="BM2304">
        <f>MAX($F$22,$BC$2219)/$Q$2228</f>
        <v>0.30172413793103448</v>
      </c>
      <c r="BN2304">
        <f t="shared" ref="BN2304:BN2305" si="1416">IF(BM2304=0,0,IF(BM2304&gt;2,1.25-0.125*BM2304,1))</f>
        <v>1</v>
      </c>
      <c r="BO2304" cm="1">
        <f t="array" ref="BO2304">IFERROR(INDEX(sheath_ecap_asd,MATCH(BS2304,sheath_mark,0),0)*BN2304,0)</f>
        <v>0</v>
      </c>
      <c r="BP2304" cm="1">
        <f t="array" ref="BP2304">IFERROR(INDEX(sheath_wcap_asd,MATCH(BS2304,sheath_mark,0),0)*BN2304,0)</f>
        <v>0</v>
      </c>
      <c r="BQ2304" cm="1">
        <f t="array" ref="BQ2304">IFERROR(INDEX(hd_cap,MATCH(BT2304,hd_mark,0),0),0)</f>
        <v>0</v>
      </c>
      <c r="BS2304" s="19"/>
      <c r="BT2304" s="19"/>
      <c r="BU2304" s="100"/>
    </row>
    <row r="2305" x14ac:dyDescent="0.25">
      <c r="P2305" s="93"/>
      <c r="Q2305" s="109" t="s">
        <v>491</v>
      </c>
      <c r="R2305" t="str">
        <f>$Q$2199</f>
        <v>L4</v>
      </c>
      <c r="S2305">
        <f>$E$23</f>
        <v>0</v>
      </c>
      <c r="T2305" cm="1">
        <f t="array" ref="T2305">IFERROR(IF(S2305=0,0,(INDEX($C$33:$C$38,MATCH($W$2219,$B$33:$B$38,0),0)*(S2307+$X$2219)+$T$2219*COUNTIF(S2305:S2319,"&gt;0")*$C$32+$V$2219*$C$31)*$R$2219),0)</f>
        <v>0</v>
      </c>
      <c r="U2305">
        <f>IF(S2305=0,0,-(COUNTIF(S2305:S2319,"&gt;0")*$T$2219*$C$32+$V$2219*$C$31)*$H$27*$R$2219)</f>
        <v>0</v>
      </c>
      <c r="V2305">
        <f>IF(S2305=0,0,$V$2219*$H$26*$R$2219)</f>
        <v>0</v>
      </c>
      <c r="W2305">
        <f>(0.6*T2305+0.7*U2305)*$R$2219/2</f>
        <v>0</v>
      </c>
      <c r="X2305">
        <f>T2305*$R$2219/2</f>
        <v>0</v>
      </c>
      <c r="Z2305">
        <f>IF(S2305=0,0,$AD$2219*$AP$2199)</f>
        <v>0</v>
      </c>
      <c r="AA2305">
        <f>IFERROR(Z2305/$R$2219,0)</f>
        <v>0</v>
      </c>
      <c r="AB2305">
        <f>Z2305*($F$23+IF($F$23=0,0,($C$14+$C$15+IF($C$13="single",1.5,3)+3)/12))</f>
        <v>0</v>
      </c>
      <c r="AC2305">
        <f>AB2305-W2305</f>
        <v>0</v>
      </c>
      <c r="AD2305" cm="1">
        <f t="array" ref="AD2305">IFERROR(IF(AC2305&lt;0,0,AC2305/($R$2219-INDEX(hd_off,MATCH(AQ2305,hd_mark,0),0)/12)),0)</f>
        <v>0</v>
      </c>
      <c r="AE2305">
        <f>IF(S2305=0,0,$AD$2219*$AM$2199)</f>
        <v>0</v>
      </c>
      <c r="AF2305">
        <f>IFERROR(AE2305/$R$2219,0)</f>
        <v>0</v>
      </c>
      <c r="AG2305">
        <f>AE2305*($F$23+IF($F$23=0,0,($C$14+$C$15+IF($C$13="single",1.5,3)+3)/12))</f>
        <v>0</v>
      </c>
      <c r="AH2305">
        <f>AG2305-X2305</f>
        <v>0</v>
      </c>
      <c r="AI2305" cm="1">
        <f t="array" ref="AI2305">IFERROR(IF(AH2305&lt;0,0,AH2305/($R$2219-INDEX(hd_off,MATCH(AQ2305,hd_mark,0),0)/12)),0)</f>
        <v>0</v>
      </c>
      <c r="AJ2305">
        <f>MAX($F$23,$AA$2219)/$Q$2228</f>
        <v>0</v>
      </c>
      <c r="AK2305">
        <f t="shared" si="1415"/>
        <v>0</v>
      </c>
      <c r="AL2305" cm="1">
        <f t="array" ref="AL2305">IFERROR(INDEX(sheath_ecap_asd,MATCH(AP2305,sheath_mark,0),0)*AK2305,0)</f>
        <v>0</v>
      </c>
      <c r="AM2305" cm="1">
        <f t="array" ref="AM2305">IFERROR(INDEX(sheath_wcap_asd,MATCH(AP2305,sheath_mark,0),0)*AK2305,0)</f>
        <v>0</v>
      </c>
      <c r="AN2305" cm="1">
        <f t="array" ref="AN2305">IFERROR(INDEX(hd_cap,MATCH(AQ2305,hd_mark,0),0),0)</f>
        <v>0</v>
      </c>
      <c r="AP2305" s="19"/>
      <c r="AQ2305" s="19"/>
      <c r="AR2305" s="100"/>
      <c r="AS2305" s="93"/>
      <c r="AT2305" s="109" t="s">
        <v>491</v>
      </c>
      <c r="AU2305" t="str">
        <f>$Q$2199</f>
        <v>L4</v>
      </c>
      <c r="AV2305">
        <f>$E$23</f>
        <v>0</v>
      </c>
      <c r="AW2305" cm="1">
        <f t="array" ref="AW2305">IFERROR(IF(AV2305=0,0,(INDEX($C$33:$C$38,MATCH($AZ$2219,$B$33:$B$38,0),0)*(AV2307+$BA$2219)+$AW$2219*COUNTIF(AV2305:AV2319,"&gt;0")*$C$32+$AY$2219*$C$31)*$AU$2219),0)</f>
        <v>0</v>
      </c>
      <c r="AX2305">
        <f>IF(AV2305=0,0,-(COUNTIF(AV2305:AV2319,"&gt;0")*$AW$2219*$C$32+$AY$2219*$C$31)*$H$27*$AU$2219)</f>
        <v>0</v>
      </c>
      <c r="AY2305">
        <f>IF(AV2305=0,0,$AY$2219*$H$26*$AU$2219)</f>
        <v>0</v>
      </c>
      <c r="AZ2305">
        <f>(0.6*AW2305+0.7*AX2305)*$AU$2219/2</f>
        <v>0</v>
      </c>
      <c r="BA2305">
        <f>AW2305*$AU$2219/2</f>
        <v>0</v>
      </c>
      <c r="BC2305">
        <f>IF(AV2305=0,0,$BG$2219*$AP$2199)</f>
        <v>0</v>
      </c>
      <c r="BD2305">
        <f>IFERROR(BC2305/$AU$2219,0)</f>
        <v>0</v>
      </c>
      <c r="BE2305">
        <f>BC2305*($F$23+IF($F$23=0,0,($C$14+$C$15+IF($C$13="single",1.5,3)+3)/12))</f>
        <v>0</v>
      </c>
      <c r="BF2305">
        <f>BE2305-AZ2305</f>
        <v>0</v>
      </c>
      <c r="BG2305" cm="1">
        <f t="array" ref="BG2305">IFERROR(IF(BF2305&lt;0,0,BF2305/($AU$2219-INDEX(hd_off,MATCH(BT2305,hd_mark,0),0)/12)),0)</f>
        <v>0</v>
      </c>
      <c r="BH2305">
        <f>IF(AV2305=0,0,$BG$2219*$AM$2199)</f>
        <v>0</v>
      </c>
      <c r="BI2305">
        <f>IFERROR(BH2305/$AU$2219,0)</f>
        <v>0</v>
      </c>
      <c r="BJ2305">
        <f>BH2305*($F$23+IF($F$23=0,0,($C$14+$C$15+IF($C$13="single",1.5,3)+3)/12))</f>
        <v>0</v>
      </c>
      <c r="BK2305">
        <f>BJ2305-BA2305</f>
        <v>0</v>
      </c>
      <c r="BL2305" cm="1">
        <f t="array" ref="BL2305">IFERROR(IF(BK2305&lt;0,0,BK2305/($AU$2219-INDEX(hd_off,MATCH(BT2305,hd_mark,0),0)/12)),0)</f>
        <v>0</v>
      </c>
      <c r="BM2305">
        <f>MAX($F$23,$BD$2219)/$Q$2228</f>
        <v>0</v>
      </c>
      <c r="BN2305">
        <f t="shared" si="1416"/>
        <v>0</v>
      </c>
      <c r="BO2305" cm="1">
        <f t="array" ref="BO2305">IFERROR(INDEX(sheath_ecap_asd,MATCH(BS2305,sheath_mark,0),0)*BN2305,0)</f>
        <v>0</v>
      </c>
      <c r="BP2305" cm="1">
        <f t="array" ref="BP2305">IFERROR(INDEX(sheath_wcap_asd,MATCH(BS2305,sheath_mark,0),0)*BN2305,0)</f>
        <v>0</v>
      </c>
      <c r="BQ2305" cm="1">
        <f t="array" ref="BQ2305">IFERROR(INDEX(hd_cap,MATCH(BT2305,hd_mark,0),0),0)</f>
        <v>0</v>
      </c>
      <c r="BS2305" s="19"/>
      <c r="BT2305" s="19"/>
      <c r="BU2305" s="100"/>
    </row>
    <row r="2306" x14ac:dyDescent="0.25">
      <c r="P2306" s="93"/>
      <c r="Q2306" s="111">
        <f>$R$2219</f>
        <v>0</v>
      </c>
      <c r="R2306" t="str">
        <f>$Q$2200</f>
        <v>L5</v>
      </c>
      <c r="S2306">
        <f>$E$24</f>
        <v>0</v>
      </c>
      <c r="T2306" cm="1">
        <f t="array" ref="T2306">IFERROR(IF(S2319=0,0,(INDEX($C$33:$C$38,MATCH($W$2219,$B$33:$B$38,0),0)*(S2307+$X$2219)+$T$2219*COUNTIF(S2319:S2319,"&gt;0")*$C$32+$V$2219*$C$31)*$R$2219),0)</f>
        <v>0</v>
      </c>
      <c r="U2306">
        <f>IF(S2319=0,0,-(COUNTIF(S2319:S2319,"&gt;0")*$T$2219*$C$32+$V$2219*$C$31)*$H$27*$R$2219)</f>
        <v>0</v>
      </c>
      <c r="V2306">
        <f>IF(S2319=0,0,$V$2219*$H$26*$R$2219)</f>
        <v>0</v>
      </c>
      <c r="W2306">
        <f>(0.6*T2319+0.7*U2319)*$R$2219/2</f>
        <v>0</v>
      </c>
      <c r="X2306">
        <f>T2319*$R$2219/2</f>
        <v>0</v>
      </c>
      <c r="Z2306">
        <f>IF(S2319=0,0,$AD$2219*$AP$2200)</f>
        <v>0</v>
      </c>
      <c r="AA2306">
        <f>IFERROR(Z2319/$R$2219,0)</f>
        <v>0</v>
      </c>
      <c r="AB2306">
        <f>Z2319*($F$24+IF($F$24=0,0,($C$14+$C$15+IF($C$13="single",1.5,3)+3)/12))</f>
        <v>0</v>
      </c>
      <c r="AC2306">
        <f>AB2319-W2319</f>
        <v>0</v>
      </c>
      <c r="AD2306" cm="1">
        <f t="array" ref="AD2306">IFERROR(IF(AC2319&lt;0,0,AC2319/($R$2219-INDEX(hd_off,MATCH(AQ2319,hd_mark,0),0)/12)),0)</f>
        <v>0</v>
      </c>
      <c r="AE2306">
        <f>IF(S2319=0,0,$AD$2219*$AM$2200)</f>
        <v>0</v>
      </c>
      <c r="AF2306">
        <f>IFERROR(AE2319/$R$2219,0)</f>
        <v>0</v>
      </c>
      <c r="AG2306">
        <f>AE2319*($F$24+IF($F$24=0,0,($C$14+$C$15+IF($C$13="single",1.5,3)+3)/12))</f>
        <v>0</v>
      </c>
      <c r="AH2306">
        <f>AG2319-X2319</f>
        <v>0</v>
      </c>
      <c r="AI2306" cm="1">
        <f t="array" ref="AI2306">IFERROR(IF(AH2319&lt;0,0,AH2319/($R$2219-INDEX(hd_off,MATCH(AQ2319,hd_mark,0),0)/12)),0)</f>
        <v>0</v>
      </c>
      <c r="AJ2306">
        <f>MAX($F$24,$AB$2219)/$Q$2228</f>
        <v>0</v>
      </c>
      <c r="AK2306">
        <f>IF(AJ2319=0,0,IF(AJ2319&gt;2,1.25-0.125*AJ2319,1))</f>
        <v>1</v>
      </c>
      <c r="AL2306" cm="1">
        <f t="array" ref="AL2306">IFERROR(INDEX(sheath_ecap_asd,MATCH(AP2319,sheath_mark,0),0)*AK2319,0)</f>
        <v>0</v>
      </c>
      <c r="AM2306" cm="1">
        <f t="array" ref="AM2306">IFERROR(INDEX(sheath_wcap_asd,MATCH(AP2319,sheath_mark,0),0)*AK2319,0)</f>
        <v>0</v>
      </c>
      <c r="AN2306" cm="1">
        <f t="array" ref="AN2306">IFERROR(INDEX(hd_cap,MATCH(AQ2319,hd_mark,0),0),0)</f>
        <v>0</v>
      </c>
      <c r="AP2306" s="19"/>
      <c r="AQ2306" s="19"/>
      <c r="AR2306" s="100"/>
      <c r="AS2306" s="93"/>
      <c r="AT2306" s="111">
        <f>$R$2219</f>
        <v>0</v>
      </c>
      <c r="AU2306" t="str">
        <f>$Q$2200</f>
        <v>L5</v>
      </c>
      <c r="AV2306">
        <f>$E$24</f>
        <v>0</v>
      </c>
      <c r="AW2306" cm="1">
        <f t="array" ref="AW2306">IFERROR(IF(AV2319=0,0,(INDEX($C$33:$C$38,MATCH($AZ$2219,$B$33:$B$38,0),0)*(AV2307+$BA$2219)+$AW$2219*COUNTIF(AV2319:AV2319,"&gt;0")*$C$32+$AY$2219*$C$31)*$AU$2219),0)</f>
        <v>0</v>
      </c>
      <c r="AX2306">
        <f>IF(AV2319=0,0,-(COUNTIF(AV2319:AV2319,"&gt;0")*$AW$2219*$C$32+$AY$2219*$C$31)*$H$27*$AU$2219)</f>
        <v>0</v>
      </c>
      <c r="AY2306">
        <f>IF(AV2319=0,0,$AY$2219*$H$26*$AU$2219)</f>
        <v>0</v>
      </c>
      <c r="AZ2306">
        <f>(0.6*AW2319+0.7*AX2319)*$AU$2219/2</f>
        <v>0</v>
      </c>
      <c r="BA2306">
        <f>AW2319*$AU$2219/2</f>
        <v>0</v>
      </c>
      <c r="BC2306">
        <f>IF(AV2319=0,0,$BG$2219*$AP$2200)</f>
        <v>0</v>
      </c>
      <c r="BD2306">
        <f>IFERROR(BC2319/$AU$2219,0)</f>
        <v>0</v>
      </c>
      <c r="BE2306">
        <f>BC2319*($F$24+IF($F$24=0,0,($C$14+$C$15+IF($C$13="single",1.5,3)+3)/12))</f>
        <v>0</v>
      </c>
      <c r="BF2306">
        <f>BE2319-AZ2319</f>
        <v>0</v>
      </c>
      <c r="BG2306" cm="1">
        <f t="array" ref="BG2306">IFERROR(IF(BF2319&lt;0,0,BF2319/($AU$2219-INDEX(hd_off,MATCH(BT2319,hd_mark,0),0)/12)),0)</f>
        <v>0</v>
      </c>
      <c r="BH2306">
        <f>IF(AV2319=0,0,$BG$2219*$AM$2200)</f>
        <v>0</v>
      </c>
      <c r="BI2306">
        <f>IFERROR(BH2319/$AU$2219,0)</f>
        <v>0</v>
      </c>
      <c r="BJ2306">
        <f>BH2319*($F$24+IF($F$24=0,0,($C$14+$C$15+IF($C$13="single",1.5,3)+3)/12))</f>
        <v>0</v>
      </c>
      <c r="BK2306">
        <f>BJ2319-BA2319</f>
        <v>0</v>
      </c>
      <c r="BL2306" cm="1">
        <f t="array" ref="BL2306">IFERROR(IF(BK2319&lt;0,0,BK2319/($AU$2219-INDEX(hd_off,MATCH(BT2319,hd_mark,0),0)/12)),0)</f>
        <v>0</v>
      </c>
      <c r="BM2306">
        <f>MAX($F$24,$BE$2219)/$Q$2228</f>
        <v>0</v>
      </c>
      <c r="BN2306">
        <f>IF(BM2319=0,0,IF(BM2319&gt;2,1.25-0.125*BM2319,1))</f>
        <v>0</v>
      </c>
      <c r="BO2306" cm="1">
        <f t="array" ref="BO2306">IFERROR(INDEX(sheath_ecap_asd,MATCH(BS2319,sheath_mark,0),0)*BN2319,0)</f>
        <v>0</v>
      </c>
      <c r="BP2306" cm="1">
        <f t="array" ref="BP2306">IFERROR(INDEX(sheath_wcap_asd,MATCH(BS2319,sheath_mark,0),0)*BN2319,0)</f>
        <v>0</v>
      </c>
      <c r="BQ2306" cm="1">
        <f t="array" ref="BQ2306">IFERROR(INDEX(hd_cap,MATCH(BT2319,hd_mark,0),0),0)</f>
        <v>0</v>
      </c>
      <c r="BS2306" s="19"/>
      <c r="BT2306" s="19"/>
      <c r="BU2306" s="100"/>
    </row>
    <row r="2307" x14ac:dyDescent="0.25">
      <c r="P2307" s="93"/>
      <c r="Q2307" s="109"/>
      <c r="R2307" t="str">
        <f>$Q$2201</f>
        <v>Roof</v>
      </c>
      <c r="S2307">
        <f>$E$25</f>
        <v>33.171875</v>
      </c>
      <c r="T2307" cm="1">
        <f t="array" ref="T2307">IFERROR(IF(S2307=0,0,(INDEX($C$33:$C$38,MATCH($W$2219,$B$33:$B$38,0),0)*(S2307+$X$2219)+$V$2219*$C$31)*$R$2219),0)</f>
        <v>0</v>
      </c>
      <c r="U2307">
        <f>IF(S2307=0,0,-$V$2219*$C$31*$H$27*$R$2219)</f>
        <v>0</v>
      </c>
      <c r="V2307">
        <f>IF(S2307=0,0,$V$2219*$H$26*$R$2219)</f>
        <v>0</v>
      </c>
      <c r="W2307">
        <f>(0.6*T2307+0.7*U2307)*$R$2219/2</f>
        <v>0</v>
      </c>
      <c r="X2307">
        <f>T2307*$R$2219/2</f>
        <v>0</v>
      </c>
      <c r="Z2307">
        <f>IF(S2307=0,0,$AD$2219*$AP$2201)</f>
        <v>0</v>
      </c>
      <c r="AA2307">
        <f>IFERROR(Z2307/$R$2219,0)</f>
        <v>0</v>
      </c>
      <c r="AB2307">
        <f>Z2307*($F$25+($C$16+$C$17+IF($C$13="single",1.5,3)+3)/12)</f>
        <v>0</v>
      </c>
      <c r="AC2307">
        <f>AB2307-W2307</f>
        <v>0</v>
      </c>
      <c r="AD2307" cm="1">
        <f t="array" ref="AD2307">IFERROR(IF(AC2307&lt;0,0,AC2307/($R$2219-INDEX(hd_off,MATCH(AQ2307,hd_mark,0),0)/12)),0)</f>
        <v>0</v>
      </c>
      <c r="AE2307">
        <f>IF(S2307=0,0,$AD$2219*$AM$2201)</f>
        <v>0</v>
      </c>
      <c r="AF2307">
        <f>IFERROR(AE2307/$R$2219,0)</f>
        <v>0</v>
      </c>
      <c r="AG2307">
        <f>AE2307*($F$25+($C$16+$C$17+IF($C$13="single",1.5,3)+3)/12)</f>
        <v>0</v>
      </c>
      <c r="AH2307">
        <f>AG2307-X2307</f>
        <v>0</v>
      </c>
      <c r="AI2307" cm="1">
        <f t="array" ref="AI2307">IFERROR(IF(AH2307&lt;0,0,AH2307/($R$2219-INDEX(hd_off,MATCH(AQ2307,hd_mark,0),0)/12)),0)</f>
        <v>0</v>
      </c>
      <c r="AJ2307">
        <f>MAX($F$25,$AC$2219)/$Q$2228</f>
        <v>0.29920977011494249</v>
      </c>
      <c r="AK2307">
        <f t="shared" si="1415"/>
        <v>1</v>
      </c>
      <c r="AL2307" cm="1">
        <f t="array" ref="AL2307">IFERROR(INDEX(sheath_ecap_asd,MATCH(AP2307,sheath_mark,0),0)*AK2307,0)</f>
        <v>0</v>
      </c>
      <c r="AM2307" cm="1">
        <f t="array" ref="AM2307">IFERROR(INDEX(sheath_wcap_asd,MATCH(AP2307,sheath_mark,0),0)*AK2307,0)</f>
        <v>0</v>
      </c>
      <c r="AN2307" cm="1">
        <f t="array" ref="AN2307">IFERROR(INDEX(hd_cap,MATCH(AQ2307,hd_mark,0),0),0)</f>
        <v>0</v>
      </c>
      <c r="AP2307" s="19"/>
      <c r="AQ2307" s="19"/>
      <c r="AR2307" s="100"/>
      <c r="AS2307" s="93"/>
      <c r="AT2307" s="109"/>
      <c r="AU2307" t="str">
        <f>$Q$2201</f>
        <v>Roof</v>
      </c>
      <c r="AV2307">
        <f>$E$25</f>
        <v>33.171875</v>
      </c>
      <c r="AW2307" cm="1">
        <f t="array" ref="AW2307">IFERROR(IF(AV2307=0,0,(INDEX($C$33:$C$38,MATCH($AZ$2219,$B$33:$B$38,0),0)*(AV2307+$BA$2219)+$AY$2219*$C$31)*$AU$2219),0)</f>
        <v>0</v>
      </c>
      <c r="AX2307">
        <f>IF(AV2307=0,0,-$AY$2219*$C$31*$H$27*$AU$2219)</f>
        <v>0</v>
      </c>
      <c r="AY2307">
        <f>IF(AV2307=0,0,$AY$2219*$H$26*$AU$2219)</f>
        <v>0</v>
      </c>
      <c r="AZ2307">
        <f>(0.6*AW2307+0.7*AX2307)*$AU$2219/2</f>
        <v>0</v>
      </c>
      <c r="BA2307">
        <f>AW2307*$AU$2219/2</f>
        <v>0</v>
      </c>
      <c r="BC2307">
        <f>IF(AV2307=0,0,$BG$2219*$AP$2201)</f>
        <v>0</v>
      </c>
      <c r="BD2307">
        <f>IFERROR(BC2307/$AU$2219,0)</f>
        <v>0</v>
      </c>
      <c r="BE2307">
        <f>BC2307*($F$25+($C$16+$C$17+IF($C$13="single",1.5,3)+3)/12)</f>
        <v>0</v>
      </c>
      <c r="BF2307">
        <f>BE2307-AZ2307</f>
        <v>0</v>
      </c>
      <c r="BG2307" cm="1">
        <f t="array" ref="BG2307">IFERROR(IF(BF2307&lt;0,0,BF2307/($AU$2219-INDEX(hd_off,MATCH(BT2307,hd_mark,0),0)/12)),0)</f>
        <v>0</v>
      </c>
      <c r="BH2307">
        <f>IF(AV2307=0,0,$BG$2219*$AM$2201)</f>
        <v>0</v>
      </c>
      <c r="BI2307">
        <f>IFERROR(BH2307/$AU$2219,0)</f>
        <v>0</v>
      </c>
      <c r="BJ2307">
        <f>BH2307*($F$25+($C$16+$C$17+IF($C$13="single",1.5,3)+3)/12)</f>
        <v>0</v>
      </c>
      <c r="BK2307">
        <f>BJ2307-BA2307</f>
        <v>0</v>
      </c>
      <c r="BL2307" cm="1">
        <f t="array" ref="BL2307">IFERROR(IF(BK2307&lt;0,0,BK2307/($AU$2219-INDEX(hd_off,MATCH(BT2307,hd_mark,0),0)/12)),0)</f>
        <v>0</v>
      </c>
      <c r="BM2307">
        <f>MAX($F$25,$BF$2219)/$Q$2228</f>
        <v>0.29920977011494249</v>
      </c>
      <c r="BN2307">
        <f t="shared" ref="BN2307" si="1417">IF(BM2307=0,0,IF(BM2307&gt;2,1.25-0.125*BM2307,1))</f>
        <v>1</v>
      </c>
      <c r="BO2307" cm="1">
        <f t="array" ref="BO2307">IFERROR(INDEX(sheath_ecap_asd,MATCH(BS2307,sheath_mark,0),0)*BN2307,0)</f>
        <v>0</v>
      </c>
      <c r="BP2307" cm="1">
        <f t="array" ref="BP2307">IFERROR(INDEX(sheath_wcap_asd,MATCH(BS2307,sheath_mark,0),0)*BN2307,0)</f>
        <v>0</v>
      </c>
      <c r="BQ2307" cm="1">
        <f t="array" ref="BQ2307">IFERROR(INDEX(hd_cap,MATCH(BT2307,hd_mark,0),0),0)</f>
        <v>0</v>
      </c>
      <c r="BS2307" s="19"/>
      <c r="BT2307" s="19"/>
      <c r="BU2307" s="100"/>
    </row>
    <row r="2308" x14ac:dyDescent="0.25">
      <c r="P2308" s="93"/>
      <c r="AR2308" s="100"/>
      <c r="AS2308" s="93"/>
      <c r="BU2308" s="100"/>
    </row>
    <row r="2309" x14ac:dyDescent="0.25">
      <c r="P2309" s="93"/>
      <c r="Q2309" s="110" t="str">
        <f>$Q$2220</f>
        <v>A.15</v>
      </c>
      <c r="R2309" t="str">
        <f>$Q$2197</f>
        <v>L2</v>
      </c>
      <c r="S2309">
        <f>$E$21</f>
        <v>10.6875</v>
      </c>
      <c r="T2309" cm="1">
        <f t="array" ref="T2309">IFERROR(IF(S2309=0,0,(INDEX($C$33:$C$38,MATCH($W$2220,$B$33:$B$38,0),0)*(S2313+$X$2220)+$T$2220*COUNTIF(S2309:S2312,"&gt;0")*$C$32+$V$2220*$C$31)*$R$2220),0)</f>
        <v>0</v>
      </c>
      <c r="U2309">
        <f>IF(S2309=0,0,-(COUNTIF(S2309:S2312,"&gt;0")*$T$2220*$C$32+$V$2220*$C$31)*$H$27*$R$2220)</f>
        <v>0</v>
      </c>
      <c r="V2309">
        <f>IF(S2309=0,0,$V$2220*$H$26*$R$2220)</f>
        <v>0</v>
      </c>
      <c r="W2309">
        <f>(0.6*T2309+0.7*U2309)*$R$2220/2</f>
        <v>0</v>
      </c>
      <c r="X2309">
        <f>(0.6*T2309+0.6*V2309)*$R$2220/2</f>
        <v>0</v>
      </c>
      <c r="Z2309">
        <f>IF(S2309=0,0,$AD$2220*$AP$2197)</f>
        <v>0</v>
      </c>
      <c r="AA2309">
        <f>IFERROR(Z2309/$R$2220,0)</f>
        <v>0</v>
      </c>
      <c r="AB2309">
        <f>Z2309*($F$21+IF($F$21=0,0,($C$14+$C$15+IF($C$13="single",1.5,3)+3)/12))</f>
        <v>0</v>
      </c>
      <c r="AC2309">
        <f>AB2309-W2309</f>
        <v>0</v>
      </c>
      <c r="AD2309" cm="1">
        <f t="array" ref="AD2309">IFERROR(IF(AC2309&lt;0,0,AC2309/($R$2220-INDEX(hd_off,MATCH(AQ2309,hd_mark,0),0)/12)),0)</f>
        <v>0</v>
      </c>
      <c r="AE2309">
        <f>IF(S2309=0,0,$AD$2220*$AM$2197)</f>
        <v>0</v>
      </c>
      <c r="AF2309">
        <f>IFERROR(AE2309/$R$2220,0)</f>
        <v>0</v>
      </c>
      <c r="AG2309">
        <f>AE2309*($F$21+IF($F$21=0,0,($C$14+$C$15+IF($C$13="single",1.5,3)+3)/12))</f>
        <v>0</v>
      </c>
      <c r="AH2309">
        <f>AG2309-X2309</f>
        <v>0</v>
      </c>
      <c r="AI2309" cm="1">
        <f t="array" ref="AI2309">IFERROR(IF(AH2309&lt;0,0,AH2309/($R$2220-INDEX(hd_off,MATCH(AQ2309,hd_mark,0),0)/12)),0)</f>
        <v>0</v>
      </c>
      <c r="AJ2309">
        <f>MAX($F$21,$Y$2220)/$Q$2228</f>
        <v>0.30172413793103448</v>
      </c>
      <c r="AK2309">
        <f>IF(AJ2309=0,0,IF(AJ2309&gt;2,1.25-0.125*AJ2309,1))</f>
        <v>1</v>
      </c>
      <c r="AL2309" cm="1">
        <f t="array" ref="AL2309">IFERROR(INDEX(sheath_ecap_asd,MATCH(AP2309,sheath_mark,0),0)*AK2309,0)</f>
        <v>0</v>
      </c>
      <c r="AM2309" cm="1">
        <f t="array" ref="AM2309">IFERROR(INDEX(sheath_wcap_asd,MATCH(AP2309,sheath_mark,0),0)*AK2309,0)</f>
        <v>0</v>
      </c>
      <c r="AN2309" cm="1">
        <f t="array" ref="AN2309">IFERROR(INDEX(hd_cap,MATCH(AQ2309,hd_mark,0),0),0)</f>
        <v>0</v>
      </c>
      <c r="AP2309" s="19"/>
      <c r="AQ2309" s="19"/>
      <c r="AR2309" s="100"/>
      <c r="AS2309" s="93"/>
      <c r="AT2309" s="110" t="str">
        <f>$AT$2220</f>
        <v>1.15</v>
      </c>
      <c r="AU2309" t="str">
        <f>$Q$2197</f>
        <v>L2</v>
      </c>
      <c r="AV2309">
        <f>$E$21</f>
        <v>10.6875</v>
      </c>
      <c r="AW2309" cm="1">
        <f t="array" ref="AW2309">IFERROR(IF(AV2309=0,0,(INDEX($C$33:$C$38,MATCH($AZ$2220,$B$33:$B$38,0),0)*(AV2313+$BA$2220)+$AW$2220*COUNTIF(AV2309:AV2312,"&gt;0")*$C$32+$AY$2220*$C$31)*$AU$2220),0)</f>
        <v>0</v>
      </c>
      <c r="AX2309">
        <f>IF(AV2309=0,0,-(COUNTIF(AV2309:AV2312,"&gt;0")*$AW$2220*$C$32+$AY$2220*$C$31)*$H$27*$AU$2220)</f>
        <v>0</v>
      </c>
      <c r="AY2309">
        <f>IF(AV2309=0,0,$AY$2220*$H$26*$AU$2220)</f>
        <v>0</v>
      </c>
      <c r="AZ2309">
        <f>(0.6*AW2309+0.7*AX2309)*$AU$2220/2</f>
        <v>0</v>
      </c>
      <c r="BA2309">
        <f>(0.6*AW2309+0.6*AY2309)*$AU$2220/2</f>
        <v>0</v>
      </c>
      <c r="BC2309">
        <f>IF(AV2309=0,0,$BG$2220*$AP$2197)</f>
        <v>0</v>
      </c>
      <c r="BD2309">
        <f>IFERROR(BC2309/$AU$2220,0)</f>
        <v>0</v>
      </c>
      <c r="BE2309">
        <f>BC2309*($F$21+IF($F$21=0,0,($C$14+$C$15+IF($C$13="single",1.5,3)+3)/12))</f>
        <v>0</v>
      </c>
      <c r="BF2309">
        <f>BE2309-AZ2309</f>
        <v>0</v>
      </c>
      <c r="BG2309" cm="1">
        <f t="array" ref="BG2309">IFERROR(IF(BF2309&lt;0,0,BF2309/($AU$2220-INDEX(hd_off,MATCH(BT2309,hd_mark,0),0)/12)),0)</f>
        <v>0</v>
      </c>
      <c r="BH2309">
        <f>IF(AV2309=0,0,$BG$2220*$AM$2197)</f>
        <v>0</v>
      </c>
      <c r="BI2309">
        <f>IFERROR(BH2309/$AU$2220,0)</f>
        <v>0</v>
      </c>
      <c r="BJ2309">
        <f>BH2309*($F$21+IF($F$21=0,0,($C$14+$C$15+IF($C$13="single",1.5,3)+3)/12))</f>
        <v>0</v>
      </c>
      <c r="BK2309">
        <f>BJ2309-BA2309</f>
        <v>0</v>
      </c>
      <c r="BL2309" cm="1">
        <f t="array" ref="BL2309">IFERROR(IF(BK2309&lt;0,0,BK2309/($AU$2220-INDEX(hd_off,MATCH(BT2309,hd_mark,0),0)/12)),0)</f>
        <v>0</v>
      </c>
      <c r="BM2309">
        <f>MAX($F$21,$BB$2220)/$Q$2228</f>
        <v>0.30172413793103448</v>
      </c>
      <c r="BN2309">
        <f>IF(BM2309=0,0,IF(BM2309&gt;2,1.25-0.125*BM2309,1))</f>
        <v>1</v>
      </c>
      <c r="BO2309" cm="1">
        <f t="array" ref="BO2309">IFERROR(INDEX(sheath_ecap_asd,MATCH(BS2309,sheath_mark,0),0)*BN2309,0)</f>
        <v>0</v>
      </c>
      <c r="BP2309" cm="1">
        <f t="array" ref="BP2309">IFERROR(INDEX(sheath_wcap_asd,MATCH(BS2309,sheath_mark,0),0)*BN2309,0)</f>
        <v>0</v>
      </c>
      <c r="BQ2309" cm="1">
        <f t="array" ref="BQ2309">IFERROR(INDEX(hd_cap,MATCH(BT2309,hd_mark,0),0),0)</f>
        <v>0</v>
      </c>
      <c r="BS2309" s="19"/>
      <c r="BT2309" s="19"/>
      <c r="BU2309" s="100"/>
    </row>
    <row r="2310" x14ac:dyDescent="0.25">
      <c r="P2310" s="93"/>
      <c r="Q2310" s="109"/>
      <c r="R2310" t="str">
        <f>$Q$2198</f>
        <v>L3</v>
      </c>
      <c r="S2310">
        <f>$E$22</f>
        <v>21.375</v>
      </c>
      <c r="T2310" cm="1">
        <f t="array" ref="T2310">IFERROR(IF(S2310=0,0,(INDEX($C$33:$C$38,MATCH($W$2220,$B$33:$B$38,0),0)*(S2313+$X$2220)+$T$2220*COUNTIF(S2310:S2312,"&gt;0")*$C$32+$V$2220*$C$31)*$R$2220),0)</f>
        <v>0</v>
      </c>
      <c r="U2310">
        <f>IF(S2310=0,0,-(COUNTIF(S2310:S2312,"&gt;0")*$T$2220*$C$32+$V$2220*$C$31)*$H$27*$R$2220)</f>
        <v>0</v>
      </c>
      <c r="V2310">
        <f>IF(S2310=0,0,$V$2220*$H$26*$R$2220)</f>
        <v>0</v>
      </c>
      <c r="W2310">
        <f>(0.6*T2310+0.7*U2310)*$R$2220/2</f>
        <v>0</v>
      </c>
      <c r="X2310">
        <f>T2310*$R$2220/2</f>
        <v>0</v>
      </c>
      <c r="Z2310">
        <f>IF(S2310=0,0,$AD$2220*$AP$2198)</f>
        <v>0</v>
      </c>
      <c r="AA2310">
        <f>IFERROR(Z2310/$R$2220,0)</f>
        <v>0</v>
      </c>
      <c r="AB2310">
        <f>Z2310*($F$22+IF($F$22=0,0,($C$14+$C$15+IF($C$13="single",1.5,3)+3)/12))</f>
        <v>0</v>
      </c>
      <c r="AC2310">
        <f>AB2310-W2310</f>
        <v>0</v>
      </c>
      <c r="AD2310" cm="1">
        <f t="array" ref="AD2310">IFERROR(IF(AC2310&lt;0,0,AC2310/($R$2220-INDEX(hd_off,MATCH(AQ2310,hd_mark,0),0)/12)),0)</f>
        <v>0</v>
      </c>
      <c r="AE2310">
        <f>IF(S2310=0,0,$AD$2220*$AM$2198)</f>
        <v>0</v>
      </c>
      <c r="AF2310">
        <f>IFERROR(AE2310/$R$2220,0)</f>
        <v>0</v>
      </c>
      <c r="AG2310">
        <f>AE2310*($F$22+IF($F$22=0,0,($C$14+$C$15+IF($C$13="single",1.5,3)+3)/12))</f>
        <v>0</v>
      </c>
      <c r="AH2310">
        <f>AG2310-X2310</f>
        <v>0</v>
      </c>
      <c r="AI2310" cm="1">
        <f t="array" ref="AI2310">IFERROR(IF(AH2310&lt;0,0,AH2310/($R$2220-INDEX(hd_off,MATCH(AQ2310,hd_mark,0),0)/12)),0)</f>
        <v>0</v>
      </c>
      <c r="AJ2310">
        <f>MAX($F$22,$Z$2220)/$Q$2228</f>
        <v>0.30172413793103448</v>
      </c>
      <c r="AK2310">
        <f t="shared" ref="AK2310:AK2313" si="1418">IF(AJ2310=0,0,IF(AJ2310&gt;2,1.25-0.125*AJ2310,1))</f>
        <v>1</v>
      </c>
      <c r="AL2310" cm="1">
        <f t="array" ref="AL2310">IFERROR(INDEX(sheath_ecap_asd,MATCH(AP2310,sheath_mark,0),0)*AK2310,0)</f>
        <v>0</v>
      </c>
      <c r="AM2310" cm="1">
        <f t="array" ref="AM2310">IFERROR(INDEX(sheath_wcap_asd,MATCH(AP2310,sheath_mark,0),0)*AK2310,0)</f>
        <v>0</v>
      </c>
      <c r="AN2310" cm="1">
        <f t="array" ref="AN2310">IFERROR(INDEX(hd_cap,MATCH(AQ2310,hd_mark,0),0),0)</f>
        <v>0</v>
      </c>
      <c r="AP2310" s="19"/>
      <c r="AQ2310" s="19"/>
      <c r="AR2310" s="100"/>
      <c r="AS2310" s="93"/>
      <c r="AT2310" s="109"/>
      <c r="AU2310" t="str">
        <f>$Q$2198</f>
        <v>L3</v>
      </c>
      <c r="AV2310">
        <f>$E$22</f>
        <v>21.375</v>
      </c>
      <c r="AW2310" cm="1">
        <f t="array" ref="AW2310">IFERROR(IF(AV2310=0,0,(INDEX($C$33:$C$38,MATCH($AZ$2220,$B$33:$B$38,0),0)*(AV2313+$BA$2220)+$AW$2220*COUNTIF(AV2310:AV2312,"&gt;0")*$C$32+$AY$2220*$C$31)*$AU$2220),0)</f>
        <v>0</v>
      </c>
      <c r="AX2310">
        <f>IF(AV2310=0,0,-(COUNTIF(AV2310:AV2312,"&gt;0")*$AW$2220*$C$32+$AY$2220*$C$31)*$H$27*$AU$2220)</f>
        <v>0</v>
      </c>
      <c r="AY2310">
        <f>IF(AV2310=0,0,$AY$2220*$H$26*$AU$2220)</f>
        <v>0</v>
      </c>
      <c r="AZ2310">
        <f>(0.6*AW2310+0.7*AX2310)*$AU$2220/2</f>
        <v>0</v>
      </c>
      <c r="BA2310">
        <f>AW2310*$AU$2220/2</f>
        <v>0</v>
      </c>
      <c r="BC2310">
        <f>IF(AV2310=0,0,$BG$2220*$AP$2198)</f>
        <v>0</v>
      </c>
      <c r="BD2310">
        <f>IFERROR(BC2310/$AU$2220,0)</f>
        <v>0</v>
      </c>
      <c r="BE2310">
        <f>BC2310*($F$22+IF($F$22=0,0,($C$14+$C$15+IF($C$13="single",1.5,3)+3)/12))</f>
        <v>0</v>
      </c>
      <c r="BF2310">
        <f>BE2310-AZ2310</f>
        <v>0</v>
      </c>
      <c r="BG2310" cm="1">
        <f t="array" ref="BG2310">IFERROR(IF(BF2310&lt;0,0,BF2310/($AU$2220-INDEX(hd_off,MATCH(BT2310,hd_mark,0),0)/12)),0)</f>
        <v>0</v>
      </c>
      <c r="BH2310">
        <f>IF(AV2310=0,0,$BG$2220*$AM$2198)</f>
        <v>0</v>
      </c>
      <c r="BI2310">
        <f>IFERROR(BH2310/$AU$2220,0)</f>
        <v>0</v>
      </c>
      <c r="BJ2310">
        <f>BH2310*($F$22+IF($F$22=0,0,($C$14+$C$15+IF($C$13="single",1.5,3)+3)/12))</f>
        <v>0</v>
      </c>
      <c r="BK2310">
        <f>BJ2310-BA2310</f>
        <v>0</v>
      </c>
      <c r="BL2310" cm="1">
        <f t="array" ref="BL2310">IFERROR(IF(BK2310&lt;0,0,BK2310/($AU$2220-INDEX(hd_off,MATCH(BT2310,hd_mark,0),0)/12)),0)</f>
        <v>0</v>
      </c>
      <c r="BM2310">
        <f>MAX($F$22,$BC$2220)/$Q$2228</f>
        <v>0.30172413793103448</v>
      </c>
      <c r="BN2310">
        <f t="shared" ref="BN2310:BN2313" si="1419">IF(BM2310=0,0,IF(BM2310&gt;2,1.25-0.125*BM2310,1))</f>
        <v>1</v>
      </c>
      <c r="BO2310" cm="1">
        <f t="array" ref="BO2310">IFERROR(INDEX(sheath_ecap_asd,MATCH(BS2310,sheath_mark,0),0)*BN2310,0)</f>
        <v>0</v>
      </c>
      <c r="BP2310" cm="1">
        <f t="array" ref="BP2310">IFERROR(INDEX(sheath_wcap_asd,MATCH(BS2310,sheath_mark,0),0)*BN2310,0)</f>
        <v>0</v>
      </c>
      <c r="BQ2310" cm="1">
        <f t="array" ref="BQ2310">IFERROR(INDEX(hd_cap,MATCH(BT2310,hd_mark,0),0),0)</f>
        <v>0</v>
      </c>
      <c r="BS2310" s="19"/>
      <c r="BT2310" s="19"/>
      <c r="BU2310" s="100"/>
    </row>
    <row r="2311" x14ac:dyDescent="0.25">
      <c r="P2311" s="93"/>
      <c r="Q2311" s="109" t="s">
        <v>491</v>
      </c>
      <c r="R2311" t="str">
        <f>$Q$2199</f>
        <v>L4</v>
      </c>
      <c r="S2311">
        <f>$E$23</f>
        <v>0</v>
      </c>
      <c r="T2311" cm="1">
        <f t="array" ref="T2311">IFERROR(IF(S2311=0,0,(INDEX($C$33:$C$38,MATCH($W$2220,$B$33:$B$38,0),0)*(S2313+$X$2220)+$T$2220*COUNTIF(S2311:S2312,"&gt;0")*$C$32+$V$2220*$C$31)*$R$2220),0)</f>
        <v>0</v>
      </c>
      <c r="U2311">
        <f>IF(S2311=0,0,-(COUNTIF(S2311:S2312,"&gt;0")*$T$2220*$C$32+$V$2220*$C$31)*$H$27*$R$2220)</f>
        <v>0</v>
      </c>
      <c r="V2311">
        <f>IF(S2311=0,0,$V$2220*$H$26*$R$2220)</f>
        <v>0</v>
      </c>
      <c r="W2311">
        <f>(0.6*T2311+0.7*U2311)*$R$2220/2</f>
        <v>0</v>
      </c>
      <c r="X2311">
        <f>T2311*$R$2220/2</f>
        <v>0</v>
      </c>
      <c r="Z2311">
        <f>IF(S2311=0,0,$AD$2220*$AP$2199)</f>
        <v>0</v>
      </c>
      <c r="AA2311">
        <f>IFERROR(Z2311/$R$2220,0)</f>
        <v>0</v>
      </c>
      <c r="AB2311">
        <f>Z2311*($F$23+IF($F$23=0,0,($C$14+$C$15+IF($C$13="single",1.5,3)+3)/12))</f>
        <v>0</v>
      </c>
      <c r="AC2311">
        <f>AB2311-W2311</f>
        <v>0</v>
      </c>
      <c r="AD2311" cm="1">
        <f t="array" ref="AD2311">IFERROR(IF(AC2311&lt;0,0,AC2311/($R$2220-INDEX(hd_off,MATCH(AQ2311,hd_mark,0),0)/12)),0)</f>
        <v>0</v>
      </c>
      <c r="AE2311">
        <f>IF(S2311=0,0,$AD$2220*$AM$2199)</f>
        <v>0</v>
      </c>
      <c r="AF2311">
        <f>IFERROR(AE2311/$R$2220,0)</f>
        <v>0</v>
      </c>
      <c r="AG2311">
        <f>AE2311*($F$23+IF($F$23=0,0,($C$14+$C$15+IF($C$13="single",1.5,3)+3)/12))</f>
        <v>0</v>
      </c>
      <c r="AH2311">
        <f>AG2311-X2311</f>
        <v>0</v>
      </c>
      <c r="AI2311" cm="1">
        <f t="array" ref="AI2311">IFERROR(IF(AH2311&lt;0,0,AH2311/($R$2220-INDEX(hd_off,MATCH(AQ2311,hd_mark,0),0)/12)),0)</f>
        <v>0</v>
      </c>
      <c r="AJ2311">
        <f>MAX($F$23,$AA$2220)/$Q$2228</f>
        <v>0</v>
      </c>
      <c r="AK2311">
        <f t="shared" si="1418"/>
        <v>0</v>
      </c>
      <c r="AL2311" cm="1">
        <f t="array" ref="AL2311">IFERROR(INDEX(sheath_ecap_asd,MATCH(AP2311,sheath_mark,0),0)*AK2311,0)</f>
        <v>0</v>
      </c>
      <c r="AM2311" cm="1">
        <f t="array" ref="AM2311">IFERROR(INDEX(sheath_wcap_asd,MATCH(AP2311,sheath_mark,0),0)*AK2311,0)</f>
        <v>0</v>
      </c>
      <c r="AN2311" cm="1">
        <f t="array" ref="AN2311">IFERROR(INDEX(hd_cap,MATCH(AQ2311,hd_mark,0),0),0)</f>
        <v>0</v>
      </c>
      <c r="AP2311" s="19"/>
      <c r="AQ2311" s="19"/>
      <c r="AR2311" s="100"/>
      <c r="AS2311" s="93"/>
      <c r="AT2311" s="109" t="s">
        <v>491</v>
      </c>
      <c r="AU2311" t="str">
        <f>$Q$2199</f>
        <v>L4</v>
      </c>
      <c r="AV2311">
        <f>$E$23</f>
        <v>0</v>
      </c>
      <c r="AW2311" cm="1">
        <f t="array" ref="AW2311">IFERROR(IF(AV2311=0,0,(INDEX($C$33:$C$38,MATCH($AZ$2220,$B$33:$B$38,0),0)*(AV2313+$BA$2220)+$AW$2220*COUNTIF(AV2311:AV2312,"&gt;0")*$C$32+$AY$2220*$C$31)*$AU$2220),0)</f>
        <v>0</v>
      </c>
      <c r="AX2311">
        <f>IF(AV2311=0,0,-(COUNTIF(AV2311:AV2312,"&gt;0")*$AW$2220*$C$32+$AY$2220*$C$31)*$H$27*$AU$2220)</f>
        <v>0</v>
      </c>
      <c r="AY2311">
        <f>IF(AV2311=0,0,$AY$2220*$H$26*$AU$2220)</f>
        <v>0</v>
      </c>
      <c r="AZ2311">
        <f>(0.6*AW2311+0.7*AX2311)*$AU$2220/2</f>
        <v>0</v>
      </c>
      <c r="BA2311">
        <f>AW2311*$AU$2220/2</f>
        <v>0</v>
      </c>
      <c r="BC2311">
        <f>IF(AV2311=0,0,$BG$2220*$AP$2199)</f>
        <v>0</v>
      </c>
      <c r="BD2311">
        <f>IFERROR(BC2311/$AU$2220,0)</f>
        <v>0</v>
      </c>
      <c r="BE2311">
        <f>BC2311*($F$23+IF($F$23=0,0,($C$14+$C$15+IF($C$13="single",1.5,3)+3)/12))</f>
        <v>0</v>
      </c>
      <c r="BF2311">
        <f>BE2311-AZ2311</f>
        <v>0</v>
      </c>
      <c r="BG2311" cm="1">
        <f t="array" ref="BG2311">IFERROR(IF(BF2311&lt;0,0,BF2311/($AU$2220-INDEX(hd_off,MATCH(BT2311,hd_mark,0),0)/12)),0)</f>
        <v>0</v>
      </c>
      <c r="BH2311">
        <f>IF(AV2311=0,0,$BG$2220*$AM$2199)</f>
        <v>0</v>
      </c>
      <c r="BI2311">
        <f>IFERROR(BH2311/$AU$2220,0)</f>
        <v>0</v>
      </c>
      <c r="BJ2311">
        <f>BH2311*($F$23+IF($F$23=0,0,($C$14+$C$15+IF($C$13="single",1.5,3)+3)/12))</f>
        <v>0</v>
      </c>
      <c r="BK2311">
        <f>BJ2311-BA2311</f>
        <v>0</v>
      </c>
      <c r="BL2311" cm="1">
        <f t="array" ref="BL2311">IFERROR(IF(BK2311&lt;0,0,BK2311/($AU$2220-INDEX(hd_off,MATCH(BT2311,hd_mark,0),0)/12)),0)</f>
        <v>0</v>
      </c>
      <c r="BM2311">
        <f>MAX($F$23,$BD$2220)/$Q$2228</f>
        <v>0</v>
      </c>
      <c r="BN2311">
        <f t="shared" si="1419"/>
        <v>0</v>
      </c>
      <c r="BO2311" cm="1">
        <f t="array" ref="BO2311">IFERROR(INDEX(sheath_ecap_asd,MATCH(BS2311,sheath_mark,0),0)*BN2311,0)</f>
        <v>0</v>
      </c>
      <c r="BP2311" cm="1">
        <f t="array" ref="BP2311">IFERROR(INDEX(sheath_wcap_asd,MATCH(BS2311,sheath_mark,0),0)*BN2311,0)</f>
        <v>0</v>
      </c>
      <c r="BQ2311" cm="1">
        <f t="array" ref="BQ2311">IFERROR(INDEX(hd_cap,MATCH(BT2311,hd_mark,0),0),0)</f>
        <v>0</v>
      </c>
      <c r="BS2311" s="19"/>
      <c r="BT2311" s="19"/>
      <c r="BU2311" s="100"/>
    </row>
    <row r="2312" x14ac:dyDescent="0.25">
      <c r="P2312" s="93"/>
      <c r="Q2312" s="111">
        <f>$R$2220</f>
        <v>0</v>
      </c>
      <c r="R2312" t="str">
        <f>$Q$2200</f>
        <v>L5</v>
      </c>
      <c r="S2312">
        <f>$E$24</f>
        <v>0</v>
      </c>
      <c r="T2312" cm="1">
        <f t="array" ref="T2312">IFERROR(IF(S2312=0,0,(INDEX($C$33:$C$38,MATCH($W$2220,$B$33:$B$38,0),0)*(S2313+$X$2220)+$T$2220*COUNTIF(S2312:S2312,"&gt;0")*$C$32+$V$2220*$C$31)*$R$2220),0)</f>
        <v>0</v>
      </c>
      <c r="U2312">
        <f>IF(S2312=0,0,-(COUNTIF(S2312:S2312,"&gt;0")*$T$2220*$C$32+$V$2220*$C$31)*$H$27*$R$2220)</f>
        <v>0</v>
      </c>
      <c r="V2312">
        <f>IF(S2312=0,0,$V$2220*$H$26*$R$2220)</f>
        <v>0</v>
      </c>
      <c r="W2312">
        <f>(0.6*T2312+0.7*U2312)*$R$2220/2</f>
        <v>0</v>
      </c>
      <c r="X2312">
        <f>T2312*$R$2220/2</f>
        <v>0</v>
      </c>
      <c r="Z2312">
        <f>IF(S2312=0,0,$AD$2220*$AP$2200)</f>
        <v>0</v>
      </c>
      <c r="AA2312">
        <f>IFERROR(Z2312/$R$2220,0)</f>
        <v>0</v>
      </c>
      <c r="AB2312">
        <f>Z2312*($F$24+IF($F$24=0,0,($C$14+$C$15+IF($C$13="single",1.5,3)+3)/12))</f>
        <v>0</v>
      </c>
      <c r="AC2312">
        <f>AB2312-W2312</f>
        <v>0</v>
      </c>
      <c r="AD2312" cm="1">
        <f t="array" ref="AD2312">IFERROR(IF(AC2312&lt;0,0,AC2312/($R$2220-INDEX(hd_off,MATCH(AQ2312,hd_mark,0),0)/12)),0)</f>
        <v>0</v>
      </c>
      <c r="AE2312">
        <f>IF(S2312=0,0,$AD$2220*$AM$2200)</f>
        <v>0</v>
      </c>
      <c r="AF2312">
        <f>IFERROR(AE2312/$R$2220,0)</f>
        <v>0</v>
      </c>
      <c r="AG2312">
        <f>AE2312*($F$24+IF($F$24=0,0,($C$14+$C$15+IF($C$13="single",1.5,3)+3)/12))</f>
        <v>0</v>
      </c>
      <c r="AH2312">
        <f>AG2312-X2312</f>
        <v>0</v>
      </c>
      <c r="AI2312" cm="1">
        <f t="array" ref="AI2312">IFERROR(IF(AH2312&lt;0,0,AH2312/($R$2220-INDEX(hd_off,MATCH(AQ2312,hd_mark,0),0)/12)),0)</f>
        <v>0</v>
      </c>
      <c r="AJ2312">
        <f>MAX($F$24,$AB$2220)/$Q$2228</f>
        <v>0</v>
      </c>
      <c r="AK2312">
        <f t="shared" si="1418"/>
        <v>0</v>
      </c>
      <c r="AL2312" cm="1">
        <f t="array" ref="AL2312">IFERROR(INDEX(sheath_ecap_asd,MATCH(AP2312,sheath_mark,0),0)*AK2312,0)</f>
        <v>0</v>
      </c>
      <c r="AM2312" cm="1">
        <f t="array" ref="AM2312">IFERROR(INDEX(sheath_wcap_asd,MATCH(AP2312,sheath_mark,0),0)*AK2312,0)</f>
        <v>0</v>
      </c>
      <c r="AN2312" cm="1">
        <f t="array" ref="AN2312">IFERROR(INDEX(hd_cap,MATCH(AQ2312,hd_mark,0),0),0)</f>
        <v>0</v>
      </c>
      <c r="AP2312" s="19"/>
      <c r="AQ2312" s="19"/>
      <c r="AR2312" s="100"/>
      <c r="AS2312" s="93"/>
      <c r="AT2312" s="111">
        <f>$R$2220</f>
        <v>0</v>
      </c>
      <c r="AU2312" t="str">
        <f>$Q$2200</f>
        <v>L5</v>
      </c>
      <c r="AV2312">
        <f>$E$24</f>
        <v>0</v>
      </c>
      <c r="AW2312" cm="1">
        <f t="array" ref="AW2312">IFERROR(IF(AV2312=0,0,(INDEX($C$33:$C$38,MATCH($AZ$2220,$B$33:$B$38,0),0)*(AV2313+$BA$2220)+$AW$2220*COUNTIF(AV2312:AV2312,"&gt;0")*$C$32+$AY$2220*$C$31)*$AU$2220),0)</f>
        <v>0</v>
      </c>
      <c r="AX2312">
        <f>IF(AV2312=0,0,-(COUNTIF(AV2312:AV2312,"&gt;0")*$AW$2220*$C$32+$AY$2220*$C$31)*$H$27*$AU$2220)</f>
        <v>0</v>
      </c>
      <c r="AY2312">
        <f>IF(AV2312=0,0,$AY$2220*$H$26*$AU$2220)</f>
        <v>0</v>
      </c>
      <c r="AZ2312">
        <f>(0.6*AW2312+0.7*AX2312)*$AU$2220/2</f>
        <v>0</v>
      </c>
      <c r="BA2312">
        <f>AW2312*$AU$2220/2</f>
        <v>0</v>
      </c>
      <c r="BC2312">
        <f>IF(AV2312=0,0,$BG$2220*$AP$2200)</f>
        <v>0</v>
      </c>
      <c r="BD2312">
        <f>IFERROR(BC2312/$AU$2220,0)</f>
        <v>0</v>
      </c>
      <c r="BE2312">
        <f>BC2312*($F$24+IF($F$24=0,0,($C$14+$C$15+IF($C$13="single",1.5,3)+3)/12))</f>
        <v>0</v>
      </c>
      <c r="BF2312">
        <f>BE2312-AZ2312</f>
        <v>0</v>
      </c>
      <c r="BG2312" cm="1">
        <f t="array" ref="BG2312">IFERROR(IF(BF2312&lt;0,0,BF2312/($AU$2220-INDEX(hd_off,MATCH(BT2312,hd_mark,0),0)/12)),0)</f>
        <v>0</v>
      </c>
      <c r="BH2312">
        <f>IF(AV2312=0,0,$BG$2220*$AM$2200)</f>
        <v>0</v>
      </c>
      <c r="BI2312">
        <f>IFERROR(BH2312/$AU$2220,0)</f>
        <v>0</v>
      </c>
      <c r="BJ2312">
        <f>BH2312*($F$24+IF($F$24=0,0,($C$14+$C$15+IF($C$13="single",1.5,3)+3)/12))</f>
        <v>0</v>
      </c>
      <c r="BK2312">
        <f>BJ2312-BA2312</f>
        <v>0</v>
      </c>
      <c r="BL2312" cm="1">
        <f t="array" ref="BL2312">IFERROR(IF(BK2312&lt;0,0,BK2312/($AU$2220-INDEX(hd_off,MATCH(BT2312,hd_mark,0),0)/12)),0)</f>
        <v>0</v>
      </c>
      <c r="BM2312">
        <f>MAX($F$24,$BE$2220)/$Q$2228</f>
        <v>0</v>
      </c>
      <c r="BN2312">
        <f t="shared" si="1419"/>
        <v>0</v>
      </c>
      <c r="BO2312" cm="1">
        <f t="array" ref="BO2312">IFERROR(INDEX(sheath_ecap_asd,MATCH(BS2312,sheath_mark,0),0)*BN2312,0)</f>
        <v>0</v>
      </c>
      <c r="BP2312" cm="1">
        <f t="array" ref="BP2312">IFERROR(INDEX(sheath_wcap_asd,MATCH(BS2312,sheath_mark,0),0)*BN2312,0)</f>
        <v>0</v>
      </c>
      <c r="BQ2312" cm="1">
        <f t="array" ref="BQ2312">IFERROR(INDEX(hd_cap,MATCH(BT2312,hd_mark,0),0),0)</f>
        <v>0</v>
      </c>
      <c r="BS2312" s="19"/>
      <c r="BT2312" s="19"/>
      <c r="BU2312" s="100"/>
    </row>
    <row r="2313" x14ac:dyDescent="0.25">
      <c r="P2313" s="93"/>
      <c r="Q2313" s="109"/>
      <c r="R2313" t="str">
        <f>$Q$2201</f>
        <v>Roof</v>
      </c>
      <c r="S2313">
        <f>$E$25</f>
        <v>33.171875</v>
      </c>
      <c r="T2313" cm="1">
        <f t="array" ref="T2313">IFERROR(IF(S2313=0,0,(INDEX($C$33:$C$38,MATCH($W$2220,$B$33:$B$38,0),0)*(S2313+$X$2220)+$V$2220*$C$31)*$R$2220),0)</f>
        <v>0</v>
      </c>
      <c r="U2313">
        <f>IF(S2313=0,0,-$V$2220*$C$31*$H$27*$R$2220)</f>
        <v>0</v>
      </c>
      <c r="V2313">
        <f>IF(S2313=0,0,$V$2220*$H$26*$R$2220)</f>
        <v>0</v>
      </c>
      <c r="W2313">
        <f>(0.6*T2313+0.7*U2313)*$R$2220/2</f>
        <v>0</v>
      </c>
      <c r="X2313">
        <f>T2313*$R$2220/2</f>
        <v>0</v>
      </c>
      <c r="Z2313">
        <f>IF(S2313=0,0,$AD$2220*$AP$2201)</f>
        <v>0</v>
      </c>
      <c r="AA2313">
        <f>IFERROR(Z2313/$R$2220,0)</f>
        <v>0</v>
      </c>
      <c r="AB2313">
        <f>Z2313*($F$25+($C$16+$C$17+IF($C$13="single",1.5,3)+3)/12)</f>
        <v>0</v>
      </c>
      <c r="AC2313">
        <f>AB2313-W2313</f>
        <v>0</v>
      </c>
      <c r="AD2313" cm="1">
        <f t="array" ref="AD2313">IFERROR(IF(AC2313&lt;0,0,AC2313/($R$2220-INDEX(hd_off,MATCH(AQ2313,hd_mark,0),0)/12)),0)</f>
        <v>0</v>
      </c>
      <c r="AE2313">
        <f>IF(S2313=0,0,$AD$2220*$AM$2201)</f>
        <v>0</v>
      </c>
      <c r="AF2313">
        <f>IFERROR(AE2313/$R$2220,0)</f>
        <v>0</v>
      </c>
      <c r="AG2313">
        <f>AE2313*($F$25+($C$16+$C$17+IF($C$13="single",1.5,3)+3)/12)</f>
        <v>0</v>
      </c>
      <c r="AH2313">
        <f>AG2313-X2313</f>
        <v>0</v>
      </c>
      <c r="AI2313" cm="1">
        <f t="array" ref="AI2313">IFERROR(IF(AH2313&lt;0,0,AH2313/($R$2220-INDEX(hd_off,MATCH(AQ2313,hd_mark,0),0)/12)),0)</f>
        <v>0</v>
      </c>
      <c r="AJ2313">
        <f>MAX($F$25,$AC$2220)/$Q$2228</f>
        <v>0.29920977011494249</v>
      </c>
      <c r="AK2313">
        <f t="shared" si="1418"/>
        <v>1</v>
      </c>
      <c r="AL2313" cm="1">
        <f t="array" ref="AL2313">IFERROR(INDEX(sheath_ecap_asd,MATCH(AP2313,sheath_mark,0),0)*AK2313,0)</f>
        <v>0</v>
      </c>
      <c r="AM2313" cm="1">
        <f t="array" ref="AM2313">IFERROR(INDEX(sheath_wcap_asd,MATCH(AP2313,sheath_mark,0),0)*AK2313,0)</f>
        <v>0</v>
      </c>
      <c r="AN2313" cm="1">
        <f t="array" ref="AN2313">IFERROR(INDEX(hd_cap,MATCH(AQ2313,hd_mark,0),0),0)</f>
        <v>0</v>
      </c>
      <c r="AP2313" s="19"/>
      <c r="AQ2313" s="19"/>
      <c r="AR2313" s="100"/>
      <c r="AS2313" s="93"/>
      <c r="AT2313" s="109"/>
      <c r="AU2313" t="str">
        <f>$Q$2201</f>
        <v>Roof</v>
      </c>
      <c r="AV2313">
        <f>$E$25</f>
        <v>33.171875</v>
      </c>
      <c r="AW2313" cm="1">
        <f t="array" ref="AW2313">IFERROR(IF(AV2313=0,0,(INDEX($C$33:$C$38,MATCH($AZ$2220,$B$33:$B$38,0),0)*(AV2313+$BA$2220)+$AY$2220*$C$31)*$AU$2220),0)</f>
        <v>0</v>
      </c>
      <c r="AX2313">
        <f>IF(AV2313=0,0,-$AY$2220*$C$31*$H$27*$AU$2220)</f>
        <v>0</v>
      </c>
      <c r="AY2313">
        <f>IF(AV2313=0,0,$AY$2220*$H$26*$AU$2220)</f>
        <v>0</v>
      </c>
      <c r="AZ2313">
        <f>(0.6*AW2313+0.7*AX2313)*$AU$2220/2</f>
        <v>0</v>
      </c>
      <c r="BA2313">
        <f>AW2313*$AU$2220/2</f>
        <v>0</v>
      </c>
      <c r="BC2313">
        <f>IF(AV2313=0,0,$BG$2220*$AP$2201)</f>
        <v>0</v>
      </c>
      <c r="BD2313">
        <f>IFERROR(BC2313/$AU$2220,0)</f>
        <v>0</v>
      </c>
      <c r="BE2313">
        <f>BC2313*($F$25+($C$16+$C$17+IF($C$13="single",1.5,3)+3)/12)</f>
        <v>0</v>
      </c>
      <c r="BF2313">
        <f>BE2313-AZ2313</f>
        <v>0</v>
      </c>
      <c r="BG2313" cm="1">
        <f t="array" ref="BG2313">IFERROR(IF(BF2313&lt;0,0,BF2313/($AU$2220-INDEX(hd_off,MATCH(BT2313,hd_mark,0),0)/12)),0)</f>
        <v>0</v>
      </c>
      <c r="BH2313">
        <f>IF(AV2313=0,0,$BG$2220*$AM$2201)</f>
        <v>0</v>
      </c>
      <c r="BI2313">
        <f>IFERROR(BH2313/$AU$2220,0)</f>
        <v>0</v>
      </c>
      <c r="BJ2313">
        <f>BH2313*($F$25+($C$16+$C$17+IF($C$13="single",1.5,3)+3)/12)</f>
        <v>0</v>
      </c>
      <c r="BK2313">
        <f>BJ2313-BA2313</f>
        <v>0</v>
      </c>
      <c r="BL2313" cm="1">
        <f t="array" ref="BL2313">IFERROR(IF(BK2313&lt;0,0,BK2313/($AU$2220-INDEX(hd_off,MATCH(BT2313,hd_mark,0),0)/12)),0)</f>
        <v>0</v>
      </c>
      <c r="BM2313">
        <f>MAX($F$25,$BF$2220)/$Q$2228</f>
        <v>0.29920977011494249</v>
      </c>
      <c r="BN2313">
        <f t="shared" si="1419"/>
        <v>1</v>
      </c>
      <c r="BO2313" cm="1">
        <f t="array" ref="BO2313">IFERROR(INDEX(sheath_ecap_asd,MATCH(BS2313,sheath_mark,0),0)*BN2313,0)</f>
        <v>0</v>
      </c>
      <c r="BP2313" cm="1">
        <f t="array" ref="BP2313">IFERROR(INDEX(sheath_wcap_asd,MATCH(BS2313,sheath_mark,0),0)*BN2313,0)</f>
        <v>0</v>
      </c>
      <c r="BQ2313" cm="1">
        <f t="array" ref="BQ2313">IFERROR(INDEX(hd_cap,MATCH(BT2313,hd_mark,0),0),0)</f>
        <v>0</v>
      </c>
      <c r="BS2313" s="19"/>
      <c r="BT2313" s="19"/>
      <c r="BU2313" s="100"/>
    </row>
    <row r="2314" x14ac:dyDescent="0.25">
      <c r="P2314" s="93"/>
      <c r="AR2314" s="100"/>
      <c r="AS2314" s="93"/>
      <c r="BU2314" s="100"/>
    </row>
    <row r="2315" x14ac:dyDescent="0.25">
      <c r="P2315" s="93"/>
      <c r="Q2315" s="110" t="str">
        <f>$Q$2221</f>
        <v>A.16</v>
      </c>
      <c r="R2315" t="str">
        <f>$Q$2197</f>
        <v>L2</v>
      </c>
      <c r="S2315">
        <f>$E$21</f>
        <v>10.6875</v>
      </c>
      <c r="T2315" cm="1">
        <f t="array" ref="T2315">IFERROR(IF(S2315=0,0,(INDEX($C$33:$C$38,MATCH($W$2221,$B$33:$B$38,0),0)*(S2319+$X$2221)+$T$2221*COUNTIF(S2315:S2318,"&gt;0")*$C$32+$V$2221*$C$31)*$R$2221),0)</f>
        <v>0</v>
      </c>
      <c r="U2315">
        <f>IF(S2315=0,0,-(COUNTIF(S2315:S2318,"&gt;0")*$T$2221*$C$32+$V$2221*$C$31)*$H$27*$R$2221)</f>
        <v>0</v>
      </c>
      <c r="V2315">
        <f>IF(S2315=0,0,$V$2221*$H$26*$R$2221)</f>
        <v>0</v>
      </c>
      <c r="W2315">
        <f>(0.6*T2315+0.7*U2315)*$R$2221/2</f>
        <v>0</v>
      </c>
      <c r="X2315">
        <f>(0.6*T2315+0.6*V2315)*$R$2221/2</f>
        <v>0</v>
      </c>
      <c r="Z2315">
        <f>IF(S2315=0,0,$AD$2221*$AP$2197)</f>
        <v>0</v>
      </c>
      <c r="AA2315">
        <f>IFERROR(Z2315/$R$2221,0)</f>
        <v>0</v>
      </c>
      <c r="AB2315">
        <f>Z2315*($F$21+IF($F$21=0,0,($C$14+$C$15+IF($C$13="single",1.5,3)+3)/12))</f>
        <v>0</v>
      </c>
      <c r="AC2315">
        <f>AB2315-W2315</f>
        <v>0</v>
      </c>
      <c r="AD2315" cm="1">
        <f t="array" ref="AD2315">IFERROR(IF(AC2315&lt;0,0,AC2315/($R$2221-INDEX(hd_off,MATCH(AQ2315,hd_mark,0),0)/12)),0)</f>
        <v>0</v>
      </c>
      <c r="AE2315">
        <f>IF(S2315=0,0,$AD$2221*$AM$2197)</f>
        <v>0</v>
      </c>
      <c r="AF2315">
        <f>IFERROR(AE2315/$R$2221,0)</f>
        <v>0</v>
      </c>
      <c r="AG2315">
        <f>AE2315*($F$21+IF($F$21=0,0,($C$14+$C$15+IF($C$13="single",1.5,3)+3)/12))</f>
        <v>0</v>
      </c>
      <c r="AH2315">
        <f>AG2315-X2315</f>
        <v>0</v>
      </c>
      <c r="AI2315" cm="1">
        <f t="array" ref="AI2315">IFERROR(IF(AH2315&lt;0,0,AH2315/($R$2221-INDEX(hd_off,MATCH(AQ2315,hd_mark,0),0)/12)),0)</f>
        <v>0</v>
      </c>
      <c r="AJ2315">
        <f>MAX($F$21,$Y$2221)/$Q$2228</f>
        <v>0.30172413793103448</v>
      </c>
      <c r="AK2315">
        <f>IF(AJ2315=0,0,IF(AJ2315&gt;2,1.25-0.125*AJ2315,1))</f>
        <v>1</v>
      </c>
      <c r="AL2315" cm="1">
        <f t="array" ref="AL2315">IFERROR(INDEX(sheath_ecap_asd,MATCH(AP2315,sheath_mark,0),0)*AK2315,0)</f>
        <v>0</v>
      </c>
      <c r="AM2315" cm="1">
        <f t="array" ref="AM2315">IFERROR(INDEX(sheath_wcap_asd,MATCH(AP2315,sheath_mark,0),0)*AK2315,0)</f>
        <v>0</v>
      </c>
      <c r="AN2315" cm="1">
        <f t="array" ref="AN2315">IFERROR(INDEX(hd_cap,MATCH(AQ2315,hd_mark,0),0),0)</f>
        <v>0</v>
      </c>
      <c r="AP2315" s="19"/>
      <c r="AQ2315" s="19"/>
      <c r="AR2315" s="100"/>
      <c r="AS2315" s="93"/>
      <c r="AT2315" s="110" t="str">
        <f>$AT$2221</f>
        <v>1.16</v>
      </c>
      <c r="AU2315" t="str">
        <f>$Q$2197</f>
        <v>L2</v>
      </c>
      <c r="AV2315">
        <f>$E$21</f>
        <v>10.6875</v>
      </c>
      <c r="AW2315" cm="1">
        <f t="array" ref="AW2315">IFERROR(IF(AV2315=0,0,(INDEX($C$33:$C$38,MATCH($AZ$2221,$B$33:$B$38,0),0)*(AV2319+$BA$2221)+$AW$2221*COUNTIF(AV2315:AV2318,"&gt;0")*$C$32+$AY$2221*$C$31)*$AU$2221),0)</f>
        <v>0</v>
      </c>
      <c r="AX2315">
        <f>IF(AV2315=0,0,-(COUNTIF(AV2315:AV2318,"&gt;0")*$AW$2221*$C$32+$AY$2221*$C$31)*$H$27*$AU$2221)</f>
        <v>0</v>
      </c>
      <c r="AY2315">
        <f>IF(AV2315=0,0,$AY$2221*$H$26*$AU$2221)</f>
        <v>0</v>
      </c>
      <c r="AZ2315">
        <f>(0.6*AW2315+0.7*AX2315)*$AU$2221/2</f>
        <v>0</v>
      </c>
      <c r="BA2315">
        <f>(0.6*AW2315+0.6*AY2315)*$AU$2221/2</f>
        <v>0</v>
      </c>
      <c r="BC2315">
        <f>IF(AV2315=0,0,$BG$2221*$AP$2197)</f>
        <v>0</v>
      </c>
      <c r="BD2315">
        <f>IFERROR(BC2315/$AU$2221,0)</f>
        <v>0</v>
      </c>
      <c r="BE2315">
        <f>BC2315*($F$21+IF($F$21=0,0,($C$14+$C$15+IF($C$13="single",1.5,3)+3)/12))</f>
        <v>0</v>
      </c>
      <c r="BF2315">
        <f>BE2315-AZ2315</f>
        <v>0</v>
      </c>
      <c r="BG2315" cm="1">
        <f t="array" ref="BG2315">IFERROR(IF(BF2315&lt;0,0,BF2315/($AU$2221-INDEX(hd_off,MATCH(BT2315,hd_mark,0),0)/12)),0)</f>
        <v>0</v>
      </c>
      <c r="BH2315">
        <f>IF(AV2315=0,0,$BG$2221*$AM$2197)</f>
        <v>0</v>
      </c>
      <c r="BI2315">
        <f>IFERROR(BH2315/$AU$2221,0)</f>
        <v>0</v>
      </c>
      <c r="BJ2315">
        <f>BH2315*($F$21+IF($F$21=0,0,($C$14+$C$15+IF($C$13="single",1.5,3)+3)/12))</f>
        <v>0</v>
      </c>
      <c r="BK2315">
        <f>BJ2315-BA2315</f>
        <v>0</v>
      </c>
      <c r="BL2315" cm="1">
        <f t="array" ref="BL2315">IFERROR(IF(BK2315&lt;0,0,BK2315/($AU$2221-INDEX(hd_off,MATCH(BT2315,hd_mark,0),0)/12)),0)</f>
        <v>0</v>
      </c>
      <c r="BM2315">
        <f>MAX($F$21,$BB$2221)/$Q$2228</f>
        <v>0.30172413793103448</v>
      </c>
      <c r="BN2315">
        <f>IF(BM2315=0,0,IF(BM2315&gt;2,1.25-0.125*BM2315,1))</f>
        <v>1</v>
      </c>
      <c r="BO2315" cm="1">
        <f t="array" ref="BO2315">IFERROR(INDEX(sheath_ecap_asd,MATCH(BS2315,sheath_mark,0),0)*BN2315,0)</f>
        <v>0</v>
      </c>
      <c r="BP2315" cm="1">
        <f t="array" ref="BP2315">IFERROR(INDEX(sheath_wcap_asd,MATCH(BS2315,sheath_mark,0),0)*BN2315,0)</f>
        <v>0</v>
      </c>
      <c r="BQ2315" cm="1">
        <f t="array" ref="BQ2315">IFERROR(INDEX(hd_cap,MATCH(BT2315,hd_mark,0),0),0)</f>
        <v>0</v>
      </c>
      <c r="BS2315" s="19"/>
      <c r="BT2315" s="19"/>
      <c r="BU2315" s="100"/>
    </row>
    <row r="2316" x14ac:dyDescent="0.25">
      <c r="P2316" s="93"/>
      <c r="Q2316" s="109"/>
      <c r="R2316" t="str">
        <f>$Q$2198</f>
        <v>L3</v>
      </c>
      <c r="S2316">
        <f>$E$22</f>
        <v>21.375</v>
      </c>
      <c r="T2316" cm="1">
        <f t="array" ref="T2316">IFERROR(IF(S2316=0,0,(INDEX($C$33:$C$38,MATCH($W$2221,$B$33:$B$38,0),0)*(S2319+$X$2221)+$T$2221*COUNTIF(S2316:S2318,"&gt;0")*$C$32+$V$2221*$C$31)*$R$2221),0)</f>
        <v>0</v>
      </c>
      <c r="U2316">
        <f>IF(S2316=0,0,-(COUNTIF(S2316:S2318,"&gt;0")*$T$2221*$C$32+$V$2221*$C$31)*$H$27*$R$2221)</f>
        <v>0</v>
      </c>
      <c r="V2316">
        <f>IF(S2316=0,0,$V$2221*$H$26*$R$2221)</f>
        <v>0</v>
      </c>
      <c r="W2316">
        <f>(0.6*T2316+0.7*U2316)*$R$2221/2</f>
        <v>0</v>
      </c>
      <c r="X2316">
        <f>T2316*$R$2221/2</f>
        <v>0</v>
      </c>
      <c r="Z2316">
        <f>IF(S2316=0,0,$AD$2221*$AP$2198)</f>
        <v>0</v>
      </c>
      <c r="AA2316">
        <f>IFERROR(Z2316/$R$2221,0)</f>
        <v>0</v>
      </c>
      <c r="AB2316">
        <f>Z2316*($F$22+IF($F$22=0,0,($C$14+$C$15+IF($C$13="single",1.5,3)+3)/12))</f>
        <v>0</v>
      </c>
      <c r="AC2316">
        <f>AB2316-W2316</f>
        <v>0</v>
      </c>
      <c r="AD2316" cm="1">
        <f t="array" ref="AD2316">IFERROR(IF(AC2316&lt;0,0,AC2316/($R$2221-INDEX(hd_off,MATCH(AQ2316,hd_mark,0),0)/12)),0)</f>
        <v>0</v>
      </c>
      <c r="AE2316">
        <f>IF(S2316=0,0,$AD$2221*$AM$2198)</f>
        <v>0</v>
      </c>
      <c r="AF2316">
        <f>IFERROR(AE2316/$R$2221,0)</f>
        <v>0</v>
      </c>
      <c r="AG2316">
        <f>AE2316*($F$22+IF($F$22=0,0,($C$14+$C$15+IF($C$13="single",1.5,3)+3)/12))</f>
        <v>0</v>
      </c>
      <c r="AH2316">
        <f>AG2316-X2316</f>
        <v>0</v>
      </c>
      <c r="AI2316" cm="1">
        <f t="array" ref="AI2316">IFERROR(IF(AH2316&lt;0,0,AH2316/($R$2221-INDEX(hd_off,MATCH(AQ2316,hd_mark,0),0)/12)),0)</f>
        <v>0</v>
      </c>
      <c r="AJ2316">
        <f>MAX($F$22,$Z$2221)/$Q$2228</f>
        <v>0.30172413793103448</v>
      </c>
      <c r="AK2316">
        <f t="shared" ref="AK2316:AK2319" si="1420">IF(AJ2316=0,0,IF(AJ2316&gt;2,1.25-0.125*AJ2316,1))</f>
        <v>1</v>
      </c>
      <c r="AL2316" cm="1">
        <f t="array" ref="AL2316">IFERROR(INDEX(sheath_ecap_asd,MATCH(AP2316,sheath_mark,0),0)*AK2316,0)</f>
        <v>0</v>
      </c>
      <c r="AM2316" cm="1">
        <f t="array" ref="AM2316">IFERROR(INDEX(sheath_wcap_asd,MATCH(AP2316,sheath_mark,0),0)*AK2316,0)</f>
        <v>0</v>
      </c>
      <c r="AN2316" cm="1">
        <f t="array" ref="AN2316">IFERROR(INDEX(hd_cap,MATCH(AQ2316,hd_mark,0),0),0)</f>
        <v>0</v>
      </c>
      <c r="AP2316" s="19"/>
      <c r="AQ2316" s="19"/>
      <c r="AR2316" s="100"/>
      <c r="AS2316" s="93"/>
      <c r="AT2316" s="109"/>
      <c r="AU2316" t="str">
        <f>$Q$2198</f>
        <v>L3</v>
      </c>
      <c r="AV2316">
        <f>$E$22</f>
        <v>21.375</v>
      </c>
      <c r="AW2316" cm="1">
        <f t="array" ref="AW2316">IFERROR(IF(AV2316=0,0,(INDEX($C$33:$C$38,MATCH($AZ$2221,$B$33:$B$38,0),0)*(AV2319+$BA$2221)+$AW$2221*COUNTIF(AV2316:AV2318,"&gt;0")*$C$32+$AY$2221*$C$31)*$AU$2221),0)</f>
        <v>0</v>
      </c>
      <c r="AX2316">
        <f>IF(AV2316=0,0,-(COUNTIF(AV2316:AV2318,"&gt;0")*$AW$2221*$C$32+$AY$2221*$C$31)*$H$27*$AU$2221)</f>
        <v>0</v>
      </c>
      <c r="AY2316">
        <f>IF(AV2316=0,0,$AY$2221*$H$26*$AU$2221)</f>
        <v>0</v>
      </c>
      <c r="AZ2316">
        <f>(0.6*AW2316+0.7*AX2316)*$AU$2221/2</f>
        <v>0</v>
      </c>
      <c r="BA2316">
        <f>AW2316*$AU$2221/2</f>
        <v>0</v>
      </c>
      <c r="BC2316">
        <f>IF(AV2316=0,0,$BG$2221*$AP$2198)</f>
        <v>0</v>
      </c>
      <c r="BD2316">
        <f>IFERROR(BC2316/$AU$2221,0)</f>
        <v>0</v>
      </c>
      <c r="BE2316">
        <f>BC2316*($F$22+IF($F$22=0,0,($C$14+$C$15+IF($C$13="single",1.5,3)+3)/12))</f>
        <v>0</v>
      </c>
      <c r="BF2316">
        <f>BE2316-AZ2316</f>
        <v>0</v>
      </c>
      <c r="BG2316" cm="1">
        <f t="array" ref="BG2316">IFERROR(IF(BF2316&lt;0,0,BF2316/($AU$2221-INDEX(hd_off,MATCH(BT2316,hd_mark,0),0)/12)),0)</f>
        <v>0</v>
      </c>
      <c r="BH2316">
        <f>IF(AV2316=0,0,$BG$2221*$AM$2198)</f>
        <v>0</v>
      </c>
      <c r="BI2316">
        <f>IFERROR(BH2316/$AU$2221,0)</f>
        <v>0</v>
      </c>
      <c r="BJ2316">
        <f>BH2316*($F$22+IF($F$22=0,0,($C$14+$C$15+IF($C$13="single",1.5,3)+3)/12))</f>
        <v>0</v>
      </c>
      <c r="BK2316">
        <f>BJ2316-BA2316</f>
        <v>0</v>
      </c>
      <c r="BL2316" cm="1">
        <f t="array" ref="BL2316">IFERROR(IF(BK2316&lt;0,0,BK2316/($AU$2221-INDEX(hd_off,MATCH(BT2316,hd_mark,0),0)/12)),0)</f>
        <v>0</v>
      </c>
      <c r="BM2316">
        <f>MAX($F$22,$BC$2221)/$Q$2228</f>
        <v>0.30172413793103448</v>
      </c>
      <c r="BN2316">
        <f t="shared" ref="BN2316:BN2318" si="1421">IF(BM2316=0,0,IF(BM2316&gt;2,1.25-0.125*BM2316,1))</f>
        <v>1</v>
      </c>
      <c r="BO2316" cm="1">
        <f t="array" ref="BO2316">IFERROR(INDEX(sheath_ecap_asd,MATCH(BS2316,sheath_mark,0),0)*BN2316,0)</f>
        <v>0</v>
      </c>
      <c r="BP2316" cm="1">
        <f t="array" ref="BP2316">IFERROR(INDEX(sheath_wcap_asd,MATCH(BS2316,sheath_mark,0),0)*BN2316,0)</f>
        <v>0</v>
      </c>
      <c r="BQ2316" cm="1">
        <f t="array" ref="BQ2316">IFERROR(INDEX(hd_cap,MATCH(BT2316,hd_mark,0),0),0)</f>
        <v>0</v>
      </c>
      <c r="BS2316" s="19"/>
      <c r="BT2316" s="19"/>
      <c r="BU2316" s="100"/>
    </row>
    <row r="2317" x14ac:dyDescent="0.25">
      <c r="P2317" s="93"/>
      <c r="Q2317" s="109" t="s">
        <v>491</v>
      </c>
      <c r="R2317" t="str">
        <f>$Q$2199</f>
        <v>L4</v>
      </c>
      <c r="S2317">
        <f>$E$23</f>
        <v>0</v>
      </c>
      <c r="T2317" cm="1">
        <f t="array" ref="T2317">IFERROR(IF(S2317=0,0,(INDEX($C$33:$C$38,MATCH($W$2221,$B$33:$B$38,0),0)*(S2319+$X$2221)+$T$2221*COUNTIF(S2317:S2318,"&gt;0")*$C$32+$V$2221*$C$31)*$R$2221),0)</f>
        <v>0</v>
      </c>
      <c r="U2317">
        <f>IF(S2317=0,0,-(COUNTIF(S2317:S2318,"&gt;0")*$T$2221*$C$32+$V$2221*$C$31)*$H$27*$R$2221)</f>
        <v>0</v>
      </c>
      <c r="V2317">
        <f>IF(S2317=0,0,$V$2221*$H$26*$R$2221)</f>
        <v>0</v>
      </c>
      <c r="W2317">
        <f>(0.6*T2317+0.7*U2317)*$R$2221/2</f>
        <v>0</v>
      </c>
      <c r="X2317">
        <f>T2317*$R$2221/2</f>
        <v>0</v>
      </c>
      <c r="Z2317">
        <f>IF(S2317=0,0,$AD$2221*$AP$2199)</f>
        <v>0</v>
      </c>
      <c r="AA2317">
        <f>IFERROR(Z2317/$R$2221,0)</f>
        <v>0</v>
      </c>
      <c r="AB2317">
        <f>Z2317*($F$23+IF($F$23=0,0,($C$14+$C$15+IF($C$13="single",1.5,3)+3)/12))</f>
        <v>0</v>
      </c>
      <c r="AC2317">
        <f>AB2317-W2317</f>
        <v>0</v>
      </c>
      <c r="AD2317" cm="1">
        <f t="array" ref="AD2317">IFERROR(IF(AC2317&lt;0,0,AC2317/($R$2221-INDEX(hd_off,MATCH(AQ2317,hd_mark,0),0)/12)),0)</f>
        <v>0</v>
      </c>
      <c r="AE2317">
        <f>IF(S2317=0,0,$AD$2221*$AM$2199)</f>
        <v>0</v>
      </c>
      <c r="AF2317">
        <f>IFERROR(AE2317/$R$2221,0)</f>
        <v>0</v>
      </c>
      <c r="AG2317">
        <f>AE2317*($F$23+IF($F$23=0,0,($C$14+$C$15+IF($C$13="single",1.5,3)+3)/12))</f>
        <v>0</v>
      </c>
      <c r="AH2317">
        <f>AG2317-X2317</f>
        <v>0</v>
      </c>
      <c r="AI2317" cm="1">
        <f t="array" ref="AI2317">IFERROR(IF(AH2317&lt;0,0,AH2317/($R$2221-INDEX(hd_off,MATCH(AQ2317,hd_mark,0),0)/12)),0)</f>
        <v>0</v>
      </c>
      <c r="AJ2317">
        <f>MAX($F$23,$AA$2221)/$Q$2228</f>
        <v>0</v>
      </c>
      <c r="AK2317">
        <f t="shared" si="1420"/>
        <v>0</v>
      </c>
      <c r="AL2317" cm="1">
        <f t="array" ref="AL2317">IFERROR(INDEX(sheath_ecap_asd,MATCH(AP2317,sheath_mark,0),0)*AK2317,0)</f>
        <v>0</v>
      </c>
      <c r="AM2317" cm="1">
        <f t="array" ref="AM2317">IFERROR(INDEX(sheath_wcap_asd,MATCH(AP2317,sheath_mark,0),0)*AK2317,0)</f>
        <v>0</v>
      </c>
      <c r="AN2317" cm="1">
        <f t="array" ref="AN2317">IFERROR(INDEX(hd_cap,MATCH(AQ2317,hd_mark,0),0),0)</f>
        <v>0</v>
      </c>
      <c r="AP2317" s="19"/>
      <c r="AQ2317" s="19"/>
      <c r="AR2317" s="100"/>
      <c r="AS2317" s="93"/>
      <c r="AT2317" s="109" t="s">
        <v>491</v>
      </c>
      <c r="AU2317" t="str">
        <f>$Q$2199</f>
        <v>L4</v>
      </c>
      <c r="AV2317">
        <f>$E$23</f>
        <v>0</v>
      </c>
      <c r="AW2317" cm="1">
        <f t="array" ref="AW2317">IFERROR(IF(AV2317=0,0,(INDEX($C$33:$C$38,MATCH($AZ$2221,$B$33:$B$38,0),0)*(AV2319+$BA$2221)+$AW$2221*COUNTIF(AV2317:AV2318,"&gt;0")*$C$32+$AY$2221*$C$31)*$AU$2221),0)</f>
        <v>0</v>
      </c>
      <c r="AX2317">
        <f>IF(AV2317=0,0,-(COUNTIF(AV2317:AV2318,"&gt;0")*$AW$2221*$C$32+$AY$2221*$C$31)*$H$27*$AU$2221)</f>
        <v>0</v>
      </c>
      <c r="AY2317">
        <f>IF(AV2317=0,0,$AY$2221*$H$26*$AU$2221)</f>
        <v>0</v>
      </c>
      <c r="AZ2317">
        <f>(0.6*AW2317+0.7*AX2317)*$AU$2221/2</f>
        <v>0</v>
      </c>
      <c r="BA2317">
        <f>AW2317*$AU$2221/2</f>
        <v>0</v>
      </c>
      <c r="BC2317">
        <f>IF(AV2317=0,0,$BG$2221*$AP$2199)</f>
        <v>0</v>
      </c>
      <c r="BD2317">
        <f>IFERROR(BC2317/$AU$2221,0)</f>
        <v>0</v>
      </c>
      <c r="BE2317">
        <f>BC2317*($F$23+IF($F$23=0,0,($C$14+$C$15+IF($C$13="single",1.5,3)+3)/12))</f>
        <v>0</v>
      </c>
      <c r="BF2317">
        <f>BE2317-AZ2317</f>
        <v>0</v>
      </c>
      <c r="BG2317" cm="1">
        <f t="array" ref="BG2317">IFERROR(IF(BF2317&lt;0,0,BF2317/($AU$2221-INDEX(hd_off,MATCH(BT2317,hd_mark,0),0)/12)),0)</f>
        <v>0</v>
      </c>
      <c r="BH2317">
        <f>IF(AV2317=0,0,$BG$2221*$AM$2199)</f>
        <v>0</v>
      </c>
      <c r="BI2317">
        <f>IFERROR(BH2317/$AU$2221,0)</f>
        <v>0</v>
      </c>
      <c r="BJ2317">
        <f>BH2317*($F$23+IF($F$23=0,0,($C$14+$C$15+IF($C$13="single",1.5,3)+3)/12))</f>
        <v>0</v>
      </c>
      <c r="BK2317">
        <f>BJ2317-BA2317</f>
        <v>0</v>
      </c>
      <c r="BL2317" cm="1">
        <f t="array" ref="BL2317">IFERROR(IF(BK2317&lt;0,0,BK2317/($AU$2221-INDEX(hd_off,MATCH(BT2317,hd_mark,0),0)/12)),0)</f>
        <v>0</v>
      </c>
      <c r="BM2317">
        <f>MAX($F$23,$BD$2221)/$Q$2228</f>
        <v>0</v>
      </c>
      <c r="BN2317">
        <f t="shared" si="1421"/>
        <v>0</v>
      </c>
      <c r="BO2317" cm="1">
        <f t="array" ref="BO2317">IFERROR(INDEX(sheath_ecap_asd,MATCH(BS2317,sheath_mark,0),0)*BN2317,0)</f>
        <v>0</v>
      </c>
      <c r="BP2317" cm="1">
        <f t="array" ref="BP2317">IFERROR(INDEX(sheath_wcap_asd,MATCH(BS2317,sheath_mark,0),0)*BN2317,0)</f>
        <v>0</v>
      </c>
      <c r="BQ2317" cm="1">
        <f t="array" ref="BQ2317">IFERROR(INDEX(hd_cap,MATCH(BT2317,hd_mark,0),0),0)</f>
        <v>0</v>
      </c>
      <c r="BS2317" s="19"/>
      <c r="BT2317" s="19"/>
      <c r="BU2317" s="100"/>
    </row>
    <row r="2318" x14ac:dyDescent="0.25">
      <c r="P2318" s="93"/>
      <c r="Q2318" s="111">
        <f>$R$2221</f>
        <v>0</v>
      </c>
      <c r="R2318" t="str">
        <f>$Q$2200</f>
        <v>L5</v>
      </c>
      <c r="S2318">
        <f>$E$24</f>
        <v>0</v>
      </c>
      <c r="T2318" cm="1">
        <f t="array" ref="T2318">IFERROR(IF(S2318=0,0,(INDEX($C$33:$C$38,MATCH($W$2221,$B$33:$B$38,0),0)*(S2319+$X$2221)+$T$2221*COUNTIF(S2318:S2318,"&gt;0")*$C$32+$V$2221*$C$31)*$R$2221),0)</f>
        <v>0</v>
      </c>
      <c r="U2318">
        <f>IF(S2318=0,0,-(COUNTIF(S2318:S2318,"&gt;0")*$T$2221*$C$32+$V$2221*$C$31)*$H$27*$R$2221)</f>
        <v>0</v>
      </c>
      <c r="V2318">
        <f>IF(S2318=0,0,$V$2221*$H$26*$R$2221)</f>
        <v>0</v>
      </c>
      <c r="W2318">
        <f>(0.6*T2318+0.7*U2318)*$R$2221/2</f>
        <v>0</v>
      </c>
      <c r="X2318">
        <f>T2318*$R$2221/2</f>
        <v>0</v>
      </c>
      <c r="Z2318">
        <f>IF(S2318=0,0,$AD$2221*$AP$2200)</f>
        <v>0</v>
      </c>
      <c r="AA2318">
        <f>IFERROR(Z2318/$R$2221,0)</f>
        <v>0</v>
      </c>
      <c r="AB2318">
        <f>Z2318*($F$24+IF($F$24=0,0,($C$14+$C$15+IF($C$13="single",1.5,3)+3)/12))</f>
        <v>0</v>
      </c>
      <c r="AC2318">
        <f>AB2318-W2318</f>
        <v>0</v>
      </c>
      <c r="AD2318" cm="1">
        <f t="array" ref="AD2318">IFERROR(IF(AC2318&lt;0,0,AC2318/($R$2221-INDEX(hd_off,MATCH(AQ2318,hd_mark,0),0)/12)),0)</f>
        <v>0</v>
      </c>
      <c r="AE2318">
        <f>IF(S2318=0,0,$AD$2221*$AM$2200)</f>
        <v>0</v>
      </c>
      <c r="AF2318">
        <f>IFERROR(AE2318/$R$2221,0)</f>
        <v>0</v>
      </c>
      <c r="AG2318">
        <f>AE2318*($F$24+IF($F$24=0,0,($C$14+$C$15+IF($C$13="single",1.5,3)+3)/12))</f>
        <v>0</v>
      </c>
      <c r="AH2318">
        <f>AG2318-X2318</f>
        <v>0</v>
      </c>
      <c r="AI2318" cm="1">
        <f t="array" ref="AI2318">IFERROR(IF(AH2318&lt;0,0,AH2318/($R$2221-INDEX(hd_off,MATCH(AQ2318,hd_mark,0),0)/12)),0)</f>
        <v>0</v>
      </c>
      <c r="AJ2318">
        <f>MAX($F$24,$AB$2221)/$Q$2228</f>
        <v>0</v>
      </c>
      <c r="AK2318">
        <f t="shared" si="1420"/>
        <v>0</v>
      </c>
      <c r="AL2318" cm="1">
        <f t="array" ref="AL2318">IFERROR(INDEX(sheath_ecap_asd,MATCH(AP2318,sheath_mark,0),0)*AK2318,0)</f>
        <v>0</v>
      </c>
      <c r="AM2318" cm="1">
        <f t="array" ref="AM2318">IFERROR(INDEX(sheath_wcap_asd,MATCH(AP2318,sheath_mark,0),0)*AK2318,0)</f>
        <v>0</v>
      </c>
      <c r="AN2318" cm="1">
        <f t="array" ref="AN2318">IFERROR(INDEX(hd_cap,MATCH(AQ2318,hd_mark,0),0),0)</f>
        <v>0</v>
      </c>
      <c r="AP2318" s="19"/>
      <c r="AQ2318" s="19"/>
      <c r="AR2318" s="100"/>
      <c r="AS2318" s="93"/>
      <c r="AT2318" s="111">
        <f>$R$2221</f>
        <v>0</v>
      </c>
      <c r="AU2318" t="str">
        <f>$Q$2200</f>
        <v>L5</v>
      </c>
      <c r="AV2318">
        <f>$E$24</f>
        <v>0</v>
      </c>
      <c r="AW2318" cm="1">
        <f t="array" ref="AW2318">IFERROR(IF(AV2318=0,0,(INDEX($C$33:$C$38,MATCH($AZ$2221,$B$33:$B$38,0),0)*(AV2319+$BA$2221)+$AW$2221*COUNTIF(AV2318:AV2318,"&gt;0")*$C$32+$AY$2221*$C$31)*$AU$2221),0)</f>
        <v>0</v>
      </c>
      <c r="AX2318">
        <f>IF(AV2318=0,0,-(COUNTIF(AV2318:AV2318,"&gt;0")*$AW$2221*$C$32+$AY$2221*$C$31)*$H$27*$AU$2221)</f>
        <v>0</v>
      </c>
      <c r="AY2318">
        <f>IF(AV2318=0,0,$AY$2221*$H$26*$AU$2221)</f>
        <v>0</v>
      </c>
      <c r="AZ2318">
        <f>(0.6*AW2318+0.7*AX2318)*$AU$2221/2</f>
        <v>0</v>
      </c>
      <c r="BA2318">
        <f>AW2318*$AU$2221/2</f>
        <v>0</v>
      </c>
      <c r="BC2318">
        <f>IF(AV2318=0,0,$BG$2221*$AP$2200)</f>
        <v>0</v>
      </c>
      <c r="BD2318">
        <f>IFERROR(BC2318/$AU$2221,0)</f>
        <v>0</v>
      </c>
      <c r="BE2318">
        <f>BC2318*($F$24+IF($F$24=0,0,($C$14+$C$15+IF($C$13="single",1.5,3)+3)/12))</f>
        <v>0</v>
      </c>
      <c r="BF2318">
        <f>BE2318-AZ2318</f>
        <v>0</v>
      </c>
      <c r="BG2318" cm="1">
        <f t="array" ref="BG2318">IFERROR(IF(BF2318&lt;0,0,BF2318/($AU$2221-INDEX(hd_off,MATCH(BT2318,hd_mark,0),0)/12)),0)</f>
        <v>0</v>
      </c>
      <c r="BH2318">
        <f>IF(AV2318=0,0,$BG$2221*$AM$2200)</f>
        <v>0</v>
      </c>
      <c r="BI2318">
        <f>IFERROR(BH2318/$AU$2221,0)</f>
        <v>0</v>
      </c>
      <c r="BJ2318">
        <f>BH2318*($F$24+IF($F$24=0,0,($C$14+$C$15+IF($C$13="single",1.5,3)+3)/12))</f>
        <v>0</v>
      </c>
      <c r="BK2318">
        <f>BJ2318-BA2318</f>
        <v>0</v>
      </c>
      <c r="BL2318" cm="1">
        <f t="array" ref="BL2318">IFERROR(IF(BK2318&lt;0,0,BK2318/($AU$2221-INDEX(hd_off,MATCH(BT2318,hd_mark,0),0)/12)),0)</f>
        <v>0</v>
      </c>
      <c r="BM2318">
        <f>MAX($F$24,$BE$2221)/$Q$2228</f>
        <v>0</v>
      </c>
      <c r="BN2318">
        <f t="shared" si="1421"/>
        <v>0</v>
      </c>
      <c r="BO2318" cm="1">
        <f t="array" ref="BO2318">IFERROR(INDEX(sheath_ecap_asd,MATCH(BS2318,sheath_mark,0),0)*BN2318,0)</f>
        <v>0</v>
      </c>
      <c r="BP2318" cm="1">
        <f t="array" ref="BP2318">IFERROR(INDEX(sheath_wcap_asd,MATCH(BS2318,sheath_mark,0),0)*BN2318,0)</f>
        <v>0</v>
      </c>
      <c r="BQ2318" cm="1">
        <f t="array" ref="BQ2318">IFERROR(INDEX(hd_cap,MATCH(BT2318,hd_mark,0),0),0)</f>
        <v>0</v>
      </c>
      <c r="BS2318" s="19"/>
      <c r="BT2318" s="19"/>
      <c r="BU2318" s="100"/>
    </row>
    <row r="2319" x14ac:dyDescent="0.25">
      <c r="P2319" s="93"/>
      <c r="Q2319" s="109"/>
      <c r="R2319" t="str">
        <f>$Q$2201</f>
        <v>Roof</v>
      </c>
      <c r="S2319">
        <f>$E$25</f>
        <v>33.171875</v>
      </c>
      <c r="T2319" cm="1">
        <f t="array" ref="T2319">IFERROR(IF(S2319=0,0,(INDEX($C$33:$C$38,MATCH($W$2221,$B$33:$B$38,0),0)*(S2319+$X$2221)+$V$2221*$C$31)*$R$2221),0)</f>
        <v>0</v>
      </c>
      <c r="U2319">
        <f>IF(S2319=0,0,-$V$2221*$C$31*$H$27*$R$2221)</f>
        <v>0</v>
      </c>
      <c r="V2319">
        <f>IF(S2319=0,0,$V$2221*$H$26*$R$2221)</f>
        <v>0</v>
      </c>
      <c r="W2319">
        <f>(0.6*T2319+0.7*U2319)*$R$2221/2</f>
        <v>0</v>
      </c>
      <c r="X2319">
        <f>T2319*$R$2221/2</f>
        <v>0</v>
      </c>
      <c r="Z2319">
        <f>IF(S2319=0,0,$AD$2221*$AP$2201)</f>
        <v>0</v>
      </c>
      <c r="AA2319">
        <f>IFERROR(Z2319/$R$2221,0)</f>
        <v>0</v>
      </c>
      <c r="AB2319">
        <f>Z2319*($F$25+($C$16+$C$17+IF($C$13="single",1.5,3)+3)/12)</f>
        <v>0</v>
      </c>
      <c r="AC2319">
        <f>AB2319-W2319</f>
        <v>0</v>
      </c>
      <c r="AD2319" cm="1">
        <f t="array" ref="AD2319">IFERROR(IF(AC2319&lt;0,0,AC2319/($R$2221-INDEX(hd_off,MATCH(AQ2319,hd_mark,0),0)/12)),0)</f>
        <v>0</v>
      </c>
      <c r="AE2319">
        <f>IF(S2319=0,0,$AD$2221*$AM$2201)</f>
        <v>0</v>
      </c>
      <c r="AF2319">
        <f>IFERROR(AE2319/$R$2221,0)</f>
        <v>0</v>
      </c>
      <c r="AG2319">
        <f>AE2319*($F$25+($C$16+$C$17+IF($C$13="single",1.5,3)+3)/12)</f>
        <v>0</v>
      </c>
      <c r="AH2319">
        <f>AG2319-X2319</f>
        <v>0</v>
      </c>
      <c r="AI2319" cm="1">
        <f t="array" ref="AI2319">IFERROR(IF(AH2319&lt;0,0,AH2319/($R$2221-INDEX(hd_off,MATCH(AQ2319,hd_mark,0),0)/12)),0)</f>
        <v>0</v>
      </c>
      <c r="AJ2319">
        <f>MAX($F$25,$AC$2221)/$Q$2228</f>
        <v>0.29920977011494249</v>
      </c>
      <c r="AK2319">
        <f t="shared" si="1420"/>
        <v>1</v>
      </c>
      <c r="AL2319" cm="1">
        <f t="array" ref="AL2319">IFERROR(INDEX(sheath_ecap_asd,MATCH(AP2319,sheath_mark,0),0)*AK2319,0)</f>
        <v>0</v>
      </c>
      <c r="AM2319" cm="1">
        <f t="array" ref="AM2319">IFERROR(INDEX(sheath_wcap_asd,MATCH(AP2319,sheath_mark,0),0)*AK2319,0)</f>
        <v>0</v>
      </c>
      <c r="AN2319" cm="1">
        <f t="array" ref="AN2319">IFERROR(INDEX(hd_cap,MATCH(AQ2319,hd_mark,0),0),0)</f>
        <v>0</v>
      </c>
      <c r="AP2319" s="19"/>
      <c r="AQ2319" s="19"/>
      <c r="AR2319" s="100"/>
      <c r="AS2319" s="93"/>
      <c r="BU2319" s="100"/>
    </row>
    <row r="2320" x14ac:dyDescent="0.25">
      <c r="B2320" s="1" t="s">
        <v>569</v>
      </c>
      <c r="C2320">
        <f>E16+H16*12</f>
        <v>32.4375</v>
      </c>
      <c r="E2320" s="19">
        <v>24</v>
      </c>
      <c r="F2320" s="19">
        <f>32+5.625/12</f>
        <v>32.46875</v>
      </c>
      <c r="G2320" s="19">
        <f>33+10.5/12</f>
        <v>33.875</v>
      </c>
      <c r="H2320">
        <f>(G16-F16)/2</f>
        <v>0.703125</v>
      </c>
      <c r="P2320" s="93"/>
      <c r="Q2320" t="s">
        <v>524</v>
      </c>
      <c r="R2320" s="2" t="str">
        <f>$B$60</f>
        <v>A</v>
      </c>
      <c r="AR2320" s="100"/>
      <c r="AS2320" s="93"/>
      <c r="AT2320" t="s">
        <v>524</v>
      </c>
      <c r="AU2320" s="2">
        <f>H60</f>
        <v>1</v>
      </c>
      <c r="BU2320" s="100"/>
    </row>
    <row r="2321" x14ac:dyDescent="0.25">
      <c r="B2321" s="1" t="s">
        <v>500</v>
      </c>
      <c r="C2321" s="19">
        <v>0.5</v>
      </c>
      <c r="P2321" s="93"/>
      <c r="AR2321" s="100"/>
      <c r="AS2321" s="93"/>
      <c r="BU2321" s="100"/>
    </row>
    <row r="2322" x14ac:dyDescent="0.25">
      <c r="P2322" s="93"/>
      <c r="R2322" t="s">
        <v>482</v>
      </c>
      <c r="Z2322" t="s">
        <v>483</v>
      </c>
      <c r="AH2322" t="s">
        <v>502</v>
      </c>
      <c r="AJ2322" t="s">
        <v>454</v>
      </c>
      <c r="AR2322" s="100"/>
      <c r="AS2322" s="93"/>
      <c r="AU2322" t="s">
        <v>482</v>
      </c>
      <c r="BC2322" t="s">
        <v>483</v>
      </c>
      <c r="BK2322" t="s">
        <v>502</v>
      </c>
      <c r="BM2322" t="s">
        <v>454</v>
      </c>
      <c r="BU2322" s="100"/>
    </row>
    <row r="2323" x14ac:dyDescent="0.25">
      <c r="B2323" t="s">
        <v>448</v>
      </c>
      <c r="C2323" t="s">
        <v>272</v>
      </c>
      <c r="D2323" t="s">
        <v>193</v>
      </c>
      <c r="E2323" s="70" t="s">
        <v>454</v>
      </c>
      <c r="F2323" s="71" t="s">
        <v>501</v>
      </c>
      <c r="H2323" t="s">
        <v>475</v>
      </c>
      <c r="J2323" t="s">
        <v>476</v>
      </c>
      <c r="P2323" s="93"/>
      <c r="R2323" t="s">
        <v>480</v>
      </c>
      <c r="S2323" t="s">
        <v>481</v>
      </c>
      <c r="T2323" t="s">
        <v>486</v>
      </c>
      <c r="U2323" t="s">
        <v>487</v>
      </c>
      <c r="V2323" t="s">
        <v>484</v>
      </c>
      <c r="W2323" t="s">
        <v>485</v>
      </c>
      <c r="X2323" t="s">
        <v>488</v>
      </c>
      <c r="Y2323" t="s">
        <v>489</v>
      </c>
      <c r="Z2323" t="s">
        <v>480</v>
      </c>
      <c r="AA2323" t="s">
        <v>481</v>
      </c>
      <c r="AB2323" t="s">
        <v>486</v>
      </c>
      <c r="AC2323" t="s">
        <v>487</v>
      </c>
      <c r="AD2323" t="s">
        <v>484</v>
      </c>
      <c r="AE2323" t="s">
        <v>485</v>
      </c>
      <c r="AF2323" t="s">
        <v>488</v>
      </c>
      <c r="AG2323" t="s">
        <v>489</v>
      </c>
      <c r="AH2323" t="s">
        <v>312</v>
      </c>
      <c r="AI2323" t="s">
        <v>258</v>
      </c>
      <c r="AJ2323" t="s">
        <v>486</v>
      </c>
      <c r="AK2323" t="s">
        <v>490</v>
      </c>
      <c r="AL2323" t="s">
        <v>487</v>
      </c>
      <c r="AM2323" t="s">
        <v>490</v>
      </c>
      <c r="AN2323" t="s">
        <v>488</v>
      </c>
      <c r="AO2323" t="s">
        <v>490</v>
      </c>
      <c r="AP2323" t="s">
        <v>489</v>
      </c>
      <c r="AQ2323" t="s">
        <v>490</v>
      </c>
      <c r="AR2323" s="100"/>
      <c r="AS2323" s="93"/>
      <c r="AU2323" t="s">
        <v>480</v>
      </c>
      <c r="AV2323" t="s">
        <v>481</v>
      </c>
      <c r="AW2323" t="s">
        <v>486</v>
      </c>
      <c r="AX2323" t="s">
        <v>487</v>
      </c>
      <c r="AY2323" t="s">
        <v>484</v>
      </c>
      <c r="AZ2323" t="s">
        <v>485</v>
      </c>
      <c r="BA2323" t="s">
        <v>488</v>
      </c>
      <c r="BB2323" t="s">
        <v>489</v>
      </c>
      <c r="BC2323" t="s">
        <v>480</v>
      </c>
      <c r="BD2323" t="s">
        <v>481</v>
      </c>
      <c r="BE2323" t="s">
        <v>486</v>
      </c>
      <c r="BF2323" t="s">
        <v>487</v>
      </c>
      <c r="BG2323" t="s">
        <v>484</v>
      </c>
      <c r="BH2323" t="s">
        <v>485</v>
      </c>
      <c r="BI2323" t="s">
        <v>488</v>
      </c>
      <c r="BJ2323" t="s">
        <v>489</v>
      </c>
      <c r="BK2323" t="s">
        <v>312</v>
      </c>
      <c r="BL2323" t="s">
        <v>258</v>
      </c>
      <c r="BM2323" t="s">
        <v>486</v>
      </c>
      <c r="BN2323" t="s">
        <v>490</v>
      </c>
      <c r="BO2323" t="s">
        <v>487</v>
      </c>
      <c r="BP2323" t="s">
        <v>490</v>
      </c>
      <c r="BQ2323" t="s">
        <v>488</v>
      </c>
      <c r="BR2323" t="s">
        <v>490</v>
      </c>
      <c r="BS2323" t="s">
        <v>489</v>
      </c>
      <c r="BT2323" t="s">
        <v>490</v>
      </c>
      <c r="BU2323" s="100"/>
    </row>
    <row r="2324" x14ac:dyDescent="0.25">
      <c r="B2324" t="s">
        <v>449</v>
      </c>
      <c r="C2324" s="19">
        <v>0</v>
      </c>
      <c r="D2324" s="19">
        <v>0</v>
      </c>
      <c r="E2324" s="66">
        <f>C20+D20/12</f>
        <v>0</v>
      </c>
      <c r="F2324" s="67">
        <v>0</v>
      </c>
      <c r="H2324" s="19">
        <v>0</v>
      </c>
      <c r="I2324" s="64" t="s">
        <v>196</v>
      </c>
      <c r="J2324" s="19">
        <v>0</v>
      </c>
      <c r="K2324" s="19">
        <v>0</v>
      </c>
      <c r="L2324" s="19">
        <v>0</v>
      </c>
      <c r="M2324" s="19">
        <v>0</v>
      </c>
      <c r="P2324" s="93"/>
      <c r="Q2324" t="s">
        <v>449</v>
      </c>
      <c r="R2324" s="19">
        <f>$H$20</f>
        <v>0</v>
      </c>
      <c r="S2324">
        <f>R2324*0.6</f>
        <v>0</v>
      </c>
      <c r="T2324">
        <f>$C$60/2*R2324</f>
        <v>0</v>
      </c>
      <c r="U2324">
        <f>T2324*0.6</f>
        <v>0</v>
      </c>
      <c r="V2324" s="19">
        <v>0</v>
      </c>
      <c r="W2324">
        <f>V2324*0.7</f>
        <v>0</v>
      </c>
      <c r="X2324">
        <f>$C$60/2*V2324</f>
        <v>0</v>
      </c>
      <c r="Y2324">
        <f>X2324*0.7</f>
        <v>0</v>
      </c>
      <c r="Z2324" s="19">
        <f>$H$20</f>
        <v>0</v>
      </c>
      <c r="AA2324">
        <f>Z2324*0.6</f>
        <v>0</v>
      </c>
      <c r="AB2324">
        <f>$D$60/2*Z2324</f>
        <v>0</v>
      </c>
      <c r="AC2324">
        <f t="shared" ref="AC2324:AC2330" si="1422">0.6*AB2324</f>
        <v>0</v>
      </c>
      <c r="AD2324" s="19">
        <v>0</v>
      </c>
      <c r="AE2324">
        <f>AD2324*0.7</f>
        <v>0</v>
      </c>
      <c r="AF2324">
        <f>$D$60/2*AD2324</f>
        <v>0</v>
      </c>
      <c r="AG2324">
        <f>AF2324*0.7</f>
        <v>0</v>
      </c>
      <c r="AH2324" s="19">
        <v>0</v>
      </c>
      <c r="AI2324" s="19">
        <v>0</v>
      </c>
      <c r="AJ2324" s="17">
        <f>T2324+AB2324+AH2324</f>
        <v>0</v>
      </c>
      <c r="AK2324" s="17">
        <f>AK2325+AJ2324</f>
        <v>13166</v>
      </c>
      <c r="AL2324" s="17">
        <f>AJ2324*0.6</f>
        <v>0</v>
      </c>
      <c r="AM2324" s="17">
        <f>AM2325+AL2324</f>
        <v>7899.5999999999995</v>
      </c>
      <c r="AN2324" s="17">
        <f>X2324+AF2324+AI2324</f>
        <v>0</v>
      </c>
      <c r="AO2324" s="17">
        <f t="shared" ref="AO2324:AQ2327" si="1423">AN2324+AO2325</f>
        <v>1302.0999999999999</v>
      </c>
      <c r="AP2324" s="17">
        <f>AN2324*0.7</f>
        <v>0</v>
      </c>
      <c r="AQ2324" s="17">
        <f>AP2324+AQ2325</f>
        <v>911.46999999999991</v>
      </c>
      <c r="AR2324" s="100"/>
      <c r="AS2324" s="93"/>
      <c r="AT2324" t="s">
        <v>449</v>
      </c>
      <c r="AU2324" s="19">
        <f>$H$20</f>
        <v>0</v>
      </c>
      <c r="AV2324">
        <f>AU2324*0.6</f>
        <v>0</v>
      </c>
      <c r="AW2324">
        <f t="shared" ref="AW2324:AW2330" si="1424">$I$60/2*AU2324</f>
        <v>0</v>
      </c>
      <c r="AX2324">
        <f>AW2324*0.6</f>
        <v>0</v>
      </c>
      <c r="AY2324" s="19">
        <v>0</v>
      </c>
      <c r="AZ2324">
        <f>AY2324*0.7</f>
        <v>0</v>
      </c>
      <c r="BA2324">
        <f t="shared" ref="BA2324:BA2329" si="1425">$I$60/2*AY2324</f>
        <v>0</v>
      </c>
      <c r="BB2324">
        <f>BA2324*0.7</f>
        <v>0</v>
      </c>
      <c r="BC2324" s="19">
        <f>$H$20</f>
        <v>0</v>
      </c>
      <c r="BD2324">
        <f>BC2324*0.6</f>
        <v>0</v>
      </c>
      <c r="BE2324">
        <f t="shared" ref="BE2324:BE2330" si="1426">$J$60/2*BC2324</f>
        <v>0</v>
      </c>
      <c r="BF2324">
        <f t="shared" ref="BF2324:BF2330" si="1427">0.6*BE2324</f>
        <v>0</v>
      </c>
      <c r="BG2324" s="19">
        <v>0</v>
      </c>
      <c r="BH2324">
        <f>BG2324*0.7</f>
        <v>0</v>
      </c>
      <c r="BI2324">
        <f t="shared" ref="BI2324:BI2329" si="1428">$J$60/2*BG2324</f>
        <v>0</v>
      </c>
      <c r="BJ2324">
        <f>BI2324*0.7</f>
        <v>0</v>
      </c>
      <c r="BK2324" s="19">
        <v>0</v>
      </c>
      <c r="BL2324" s="19">
        <v>0</v>
      </c>
      <c r="BM2324" s="17">
        <f>AW2324+BE2324+BK2324</f>
        <v>0</v>
      </c>
      <c r="BN2324" s="17">
        <f>BN2325+BM2324</f>
        <v>12258</v>
      </c>
      <c r="BO2324" s="17">
        <f>BM2324*0.6</f>
        <v>0</v>
      </c>
      <c r="BP2324" s="17">
        <f>BP2325+BO2324</f>
        <v>7354.7999999999993</v>
      </c>
      <c r="BQ2324" s="17">
        <f>BA2324+BI2324+BL2324</f>
        <v>0</v>
      </c>
      <c r="BR2324" s="17">
        <f t="shared" ref="BR2324:BR2327" si="1429">BQ2324+BR2325</f>
        <v>1212.3</v>
      </c>
      <c r="BS2324" s="17">
        <f>BQ2324*0.7</f>
        <v>0</v>
      </c>
      <c r="BT2324" s="17">
        <f>BS2324+BT2325</f>
        <v>848.6099999999999</v>
      </c>
      <c r="BU2324" s="100"/>
    </row>
    <row r="2325" x14ac:dyDescent="0.25">
      <c r="B2325" t="s">
        <v>450</v>
      </c>
      <c r="C2325" s="19">
        <v>10</v>
      </c>
      <c r="D2325" s="19">
        <v>8.25</v>
      </c>
      <c r="E2325" s="66">
        <f>C21+D21/12</f>
        <v>10.6875</v>
      </c>
      <c r="F2325" s="67">
        <f>IF(E21&gt;0,E21-(C15+C14+2*1.5+IF(C13="single",1.5,3))/12-_xlfn.XLOOKUP(E21,E20,E20,,-1),0)</f>
        <v>8.75</v>
      </c>
      <c r="H2325" s="19">
        <v>236</v>
      </c>
      <c r="I2325" s="64" t="s">
        <v>196</v>
      </c>
      <c r="J2325" s="19">
        <v>33.799999999999997</v>
      </c>
      <c r="K2325" s="19">
        <v>65.599999999999994</v>
      </c>
      <c r="L2325" s="19">
        <v>19.3</v>
      </c>
      <c r="M2325" s="19">
        <v>119.6</v>
      </c>
      <c r="P2325" s="93"/>
      <c r="Q2325" t="s">
        <v>450</v>
      </c>
      <c r="R2325" s="19">
        <f>$H$21</f>
        <v>236</v>
      </c>
      <c r="S2325">
        <f t="shared" ref="S2325:S2330" si="1430">R2325*0.6</f>
        <v>141.6</v>
      </c>
      <c r="T2325">
        <f t="shared" ref="T2325:T2329" si="1431">$C$60/2*R2325</f>
        <v>0</v>
      </c>
      <c r="U2325">
        <f>T2325*0.6</f>
        <v>0</v>
      </c>
      <c r="V2325" s="19">
        <v>33.799999999999997</v>
      </c>
      <c r="W2325">
        <f t="shared" ref="W2325:W2329" si="1432">V2325*0.7</f>
        <v>23.659999999999997</v>
      </c>
      <c r="X2325">
        <f t="shared" ref="X2325:X2329" si="1433">$C$60/2*V2325</f>
        <v>0</v>
      </c>
      <c r="Y2325">
        <f t="shared" ref="Y2325:Y2329" si="1434">X2325*0.7</f>
        <v>0</v>
      </c>
      <c r="Z2325" s="19">
        <f>$H$21</f>
        <v>236</v>
      </c>
      <c r="AA2325">
        <f t="shared" ref="AA2325:AA2329" si="1435">Z2325*0.6</f>
        <v>141.6</v>
      </c>
      <c r="AB2325">
        <f t="shared" ref="AB2325:AB2329" si="1436">$D$60/2*Z2325</f>
        <v>3422</v>
      </c>
      <c r="AC2325">
        <f t="shared" si="1422"/>
        <v>2053.1999999999998</v>
      </c>
      <c r="AD2325" s="19">
        <v>33.799999999999997</v>
      </c>
      <c r="AE2325">
        <f t="shared" ref="AE2325:AE2329" si="1437">AD2325*0.7</f>
        <v>23.659999999999997</v>
      </c>
      <c r="AF2325">
        <f t="shared" ref="AF2325:AF2329" si="1438">$D$60/2*AD2325</f>
        <v>490.09999999999997</v>
      </c>
      <c r="AG2325">
        <f t="shared" ref="AG2325:AG2329" si="1439">AF2325*0.7</f>
        <v>343.06999999999994</v>
      </c>
      <c r="AH2325" s="19">
        <v>0</v>
      </c>
      <c r="AI2325" s="19">
        <v>0</v>
      </c>
      <c r="AJ2325" s="17">
        <f>T2325+AB2325+AH2325</f>
        <v>3422</v>
      </c>
      <c r="AK2325" s="17">
        <f>AK2326+AJ2325</f>
        <v>13166</v>
      </c>
      <c r="AL2325" s="17">
        <f t="shared" ref="AL2325:AL2329" si="1440">AJ2325*0.6</f>
        <v>2053.1999999999998</v>
      </c>
      <c r="AM2325" s="17">
        <f t="shared" ref="AM2325:AM2327" si="1441">AM2326+AL2325</f>
        <v>7899.5999999999995</v>
      </c>
      <c r="AN2325" s="17">
        <f t="shared" ref="AN2325:AN2328" si="1442">X2325+AF2325+AI2325</f>
        <v>490.09999999999997</v>
      </c>
      <c r="AO2325" s="17">
        <f t="shared" si="1423"/>
        <v>1302.0999999999999</v>
      </c>
      <c r="AP2325" s="17">
        <f t="shared" ref="AP2325:AP2328" si="1443">AN2325*0.7</f>
        <v>343.06999999999994</v>
      </c>
      <c r="AQ2325" s="17">
        <f t="shared" si="1423"/>
        <v>911.46999999999991</v>
      </c>
      <c r="AR2325" s="100"/>
      <c r="AS2325" s="93"/>
      <c r="AT2325" t="s">
        <v>450</v>
      </c>
      <c r="AU2325" s="19">
        <f>$H$21</f>
        <v>236</v>
      </c>
      <c r="AV2325">
        <f t="shared" ref="AV2325:AV2330" si="1444">AU2325*0.6</f>
        <v>141.6</v>
      </c>
      <c r="AW2325">
        <f t="shared" si="1424"/>
        <v>0</v>
      </c>
      <c r="AX2325">
        <f>AW2325*0.6</f>
        <v>0</v>
      </c>
      <c r="AY2325" s="19">
        <v>33.799999999999997</v>
      </c>
      <c r="AZ2325">
        <f t="shared" ref="AZ2325:AZ2329" si="1445">AY2325*0.7</f>
        <v>23.659999999999997</v>
      </c>
      <c r="BA2325">
        <f t="shared" si="1425"/>
        <v>0</v>
      </c>
      <c r="BB2325">
        <f t="shared" ref="BB2325:BB2329" si="1446">BA2325*0.7</f>
        <v>0</v>
      </c>
      <c r="BC2325" s="19">
        <f>$H$21</f>
        <v>236</v>
      </c>
      <c r="BD2325">
        <f t="shared" ref="BD2325:BD2329" si="1447">BC2325*0.6</f>
        <v>141.6</v>
      </c>
      <c r="BE2325">
        <f t="shared" si="1426"/>
        <v>3186</v>
      </c>
      <c r="BF2325">
        <f t="shared" si="1427"/>
        <v>1911.6</v>
      </c>
      <c r="BG2325" s="19">
        <v>33.799999999999997</v>
      </c>
      <c r="BH2325">
        <f t="shared" ref="BH2325:BH2329" si="1448">BG2325*0.7</f>
        <v>23.659999999999997</v>
      </c>
      <c r="BI2325">
        <f t="shared" si="1428"/>
        <v>456.29999999999995</v>
      </c>
      <c r="BJ2325">
        <f t="shared" ref="BJ2325:BJ2329" si="1449">BI2325*0.7</f>
        <v>319.40999999999997</v>
      </c>
      <c r="BK2325" s="19">
        <v>0</v>
      </c>
      <c r="BL2325" s="19">
        <v>0</v>
      </c>
      <c r="BM2325" s="17">
        <f>AW2325+BE2325+BK2325</f>
        <v>3186</v>
      </c>
      <c r="BN2325" s="17">
        <f>BN2326+BM2325</f>
        <v>12258</v>
      </c>
      <c r="BO2325" s="17">
        <f t="shared" ref="BO2325" si="1450">BM2325*0.6</f>
        <v>1911.6</v>
      </c>
      <c r="BP2325" s="17">
        <f t="shared" ref="BP2325:BP2327" si="1451">BP2326+BO2325</f>
        <v>7354.7999999999993</v>
      </c>
      <c r="BQ2325" s="17">
        <f t="shared" ref="BQ2325:BQ2328" si="1452">BA2325+BI2325+BL2325</f>
        <v>456.29999999999995</v>
      </c>
      <c r="BR2325" s="17">
        <f t="shared" si="1429"/>
        <v>1212.3</v>
      </c>
      <c r="BS2325" s="17">
        <f t="shared" ref="BS2325:BS2328" si="1453">BQ2325*0.7</f>
        <v>319.40999999999997</v>
      </c>
      <c r="BT2325" s="17">
        <f t="shared" ref="BT2325:BT2327" si="1454">BS2325+BT2326</f>
        <v>848.6099999999999</v>
      </c>
      <c r="BU2325" s="100"/>
    </row>
    <row r="2326" x14ac:dyDescent="0.25">
      <c r="B2326" t="s">
        <v>451</v>
      </c>
      <c r="C2326" s="19">
        <v>21</v>
      </c>
      <c r="D2326" s="19">
        <v>4.5</v>
      </c>
      <c r="E2326" s="66">
        <f t="shared" ref="E22:E25" si="1455">C22+D22/12</f>
        <v>21.375</v>
      </c>
      <c r="F2326" s="67">
        <f>IF(E22&gt;0,E22-(C15+C14+2*1.5+IF(C13="single",1.5,3))/12-_xlfn.XLOOKUP(E22,E20:E21,E20:E21,,-1),0)</f>
        <v>8.75</v>
      </c>
      <c r="H2326" s="19">
        <v>229</v>
      </c>
      <c r="I2326" s="64" t="s">
        <v>196</v>
      </c>
      <c r="J2326" s="19">
        <v>37.1</v>
      </c>
      <c r="K2326" s="19">
        <v>71.8</v>
      </c>
      <c r="L2326" s="19">
        <v>21.1</v>
      </c>
      <c r="M2326" s="19">
        <v>131.1</v>
      </c>
      <c r="P2326" s="93"/>
      <c r="Q2326" t="s">
        <v>451</v>
      </c>
      <c r="R2326" s="19">
        <f>$H$22</f>
        <v>229</v>
      </c>
      <c r="S2326">
        <f t="shared" si="1430"/>
        <v>137.4</v>
      </c>
      <c r="T2326">
        <f t="shared" si="1431"/>
        <v>0</v>
      </c>
      <c r="U2326">
        <f t="shared" ref="U2326:U2330" si="1456">T2326*0.6</f>
        <v>0</v>
      </c>
      <c r="V2326" s="19">
        <v>37.1</v>
      </c>
      <c r="W2326">
        <f t="shared" si="1432"/>
        <v>25.97</v>
      </c>
      <c r="X2326">
        <f>$C$60/2*V2326</f>
        <v>0</v>
      </c>
      <c r="Y2326">
        <f t="shared" si="1434"/>
        <v>0</v>
      </c>
      <c r="Z2326" s="19">
        <f>$H$22</f>
        <v>229</v>
      </c>
      <c r="AA2326">
        <f t="shared" si="1435"/>
        <v>137.4</v>
      </c>
      <c r="AB2326">
        <f t="shared" si="1436"/>
        <v>3320.5</v>
      </c>
      <c r="AC2326">
        <f t="shared" si="1422"/>
        <v>1992.3</v>
      </c>
      <c r="AD2326" s="19">
        <v>37.1</v>
      </c>
      <c r="AE2326">
        <f t="shared" si="1437"/>
        <v>25.97</v>
      </c>
      <c r="AF2326">
        <f t="shared" si="1438"/>
        <v>537.95000000000005</v>
      </c>
      <c r="AG2326">
        <f t="shared" si="1439"/>
        <v>376.565</v>
      </c>
      <c r="AH2326" s="19">
        <v>0</v>
      </c>
      <c r="AI2326" s="19">
        <v>0</v>
      </c>
      <c r="AJ2326" s="17">
        <f t="shared" ref="AJ2326:AJ2328" si="1457">T2326+AB2326+AH2326</f>
        <v>3320.5</v>
      </c>
      <c r="AK2326" s="17">
        <f>AK2327+AJ2326</f>
        <v>9744</v>
      </c>
      <c r="AL2326" s="17">
        <f>AJ2326*0.6</f>
        <v>1992.3</v>
      </c>
      <c r="AM2326" s="17">
        <f t="shared" si="1441"/>
        <v>5846.4</v>
      </c>
      <c r="AN2326" s="17">
        <f t="shared" si="1442"/>
        <v>537.95000000000005</v>
      </c>
      <c r="AO2326" s="17">
        <f t="shared" si="1423"/>
        <v>812</v>
      </c>
      <c r="AP2326" s="17">
        <f t="shared" si="1443"/>
        <v>376.565</v>
      </c>
      <c r="AQ2326" s="17">
        <f t="shared" si="1423"/>
        <v>568.4</v>
      </c>
      <c r="AR2326" s="100"/>
      <c r="AS2326" s="93"/>
      <c r="AT2326" t="s">
        <v>451</v>
      </c>
      <c r="AU2326" s="19">
        <f>$H$22</f>
        <v>229</v>
      </c>
      <c r="AV2326">
        <f t="shared" si="1444"/>
        <v>137.4</v>
      </c>
      <c r="AW2326">
        <f t="shared" si="1424"/>
        <v>0</v>
      </c>
      <c r="AX2326">
        <f t="shared" ref="AX2326:AX2330" si="1458">AW2326*0.6</f>
        <v>0</v>
      </c>
      <c r="AY2326" s="19">
        <v>37.1</v>
      </c>
      <c r="AZ2326">
        <f t="shared" si="1445"/>
        <v>25.97</v>
      </c>
      <c r="BA2326">
        <f t="shared" si="1425"/>
        <v>0</v>
      </c>
      <c r="BB2326">
        <f t="shared" si="1446"/>
        <v>0</v>
      </c>
      <c r="BC2326" s="19">
        <f>$H$22</f>
        <v>229</v>
      </c>
      <c r="BD2326">
        <f t="shared" si="1447"/>
        <v>137.4</v>
      </c>
      <c r="BE2326">
        <f t="shared" si="1426"/>
        <v>3091.5</v>
      </c>
      <c r="BF2326">
        <f t="shared" si="1427"/>
        <v>1854.8999999999999</v>
      </c>
      <c r="BG2326" s="19">
        <v>37.1</v>
      </c>
      <c r="BH2326">
        <f t="shared" si="1448"/>
        <v>25.97</v>
      </c>
      <c r="BI2326">
        <f t="shared" si="1428"/>
        <v>500.85</v>
      </c>
      <c r="BJ2326">
        <f t="shared" si="1449"/>
        <v>350.59499999999997</v>
      </c>
      <c r="BK2326" s="19">
        <v>0</v>
      </c>
      <c r="BL2326" s="19">
        <v>0</v>
      </c>
      <c r="BM2326" s="17">
        <f t="shared" ref="BM2326:BM2328" si="1459">AW2326+BE2326+BK2326</f>
        <v>3091.5</v>
      </c>
      <c r="BN2326" s="17">
        <f>BN2327+BM2326</f>
        <v>9072</v>
      </c>
      <c r="BO2326" s="17">
        <f>BM2326*0.6</f>
        <v>1854.8999999999999</v>
      </c>
      <c r="BP2326" s="17">
        <f t="shared" si="1451"/>
        <v>5443.2</v>
      </c>
      <c r="BQ2326" s="17">
        <f t="shared" si="1452"/>
        <v>500.85</v>
      </c>
      <c r="BR2326" s="17">
        <f t="shared" si="1429"/>
        <v>756</v>
      </c>
      <c r="BS2326" s="17">
        <f t="shared" si="1453"/>
        <v>350.59499999999997</v>
      </c>
      <c r="BT2326" s="17">
        <f t="shared" si="1454"/>
        <v>529.19999999999993</v>
      </c>
      <c r="BU2326" s="100"/>
    </row>
    <row r="2327" x14ac:dyDescent="0.25">
      <c r="B2327" t="s">
        <v>452</v>
      </c>
      <c r="C2327" s="19">
        <v>0</v>
      </c>
      <c r="D2327" s="19">
        <v>0</v>
      </c>
      <c r="E2327" s="66">
        <f t="shared" si="1455"/>
        <v>0</v>
      </c>
      <c r="F2327" s="67">
        <f>IF(E23&gt;0,E23-(C15+C14+2*1.5+IF(C13="single",1.5,3))/12-_xlfn.XLOOKUP(E23,E20:E22,E20:E22,,-1),0)</f>
        <v>0</v>
      </c>
      <c r="H2327" s="19">
        <v>0</v>
      </c>
      <c r="I2327" s="64" t="s">
        <v>196</v>
      </c>
      <c r="J2327" s="19">
        <v>0</v>
      </c>
      <c r="K2327" s="19">
        <v>0</v>
      </c>
      <c r="L2327" s="19">
        <v>0</v>
      </c>
      <c r="M2327" s="19">
        <v>0</v>
      </c>
      <c r="P2327" s="93"/>
      <c r="Q2327" t="s">
        <v>452</v>
      </c>
      <c r="R2327" s="19">
        <f>$H$23</f>
        <v>0</v>
      </c>
      <c r="S2327">
        <f t="shared" si="1430"/>
        <v>0</v>
      </c>
      <c r="T2327">
        <f t="shared" si="1431"/>
        <v>0</v>
      </c>
      <c r="U2327">
        <f t="shared" si="1456"/>
        <v>0</v>
      </c>
      <c r="V2327" s="19">
        <v>0</v>
      </c>
      <c r="W2327">
        <f t="shared" si="1432"/>
        <v>0</v>
      </c>
      <c r="X2327">
        <f t="shared" si="1433"/>
        <v>0</v>
      </c>
      <c r="Y2327">
        <f t="shared" si="1434"/>
        <v>0</v>
      </c>
      <c r="Z2327" s="19">
        <f>$H$23</f>
        <v>0</v>
      </c>
      <c r="AA2327">
        <f t="shared" si="1435"/>
        <v>0</v>
      </c>
      <c r="AB2327">
        <f t="shared" si="1436"/>
        <v>0</v>
      </c>
      <c r="AC2327">
        <f t="shared" si="1422"/>
        <v>0</v>
      </c>
      <c r="AD2327" s="19">
        <v>0</v>
      </c>
      <c r="AE2327">
        <f t="shared" si="1437"/>
        <v>0</v>
      </c>
      <c r="AF2327">
        <f t="shared" si="1438"/>
        <v>0</v>
      </c>
      <c r="AG2327">
        <f t="shared" si="1439"/>
        <v>0</v>
      </c>
      <c r="AH2327" s="19">
        <v>0</v>
      </c>
      <c r="AI2327" s="19">
        <v>0</v>
      </c>
      <c r="AJ2327" s="17">
        <f t="shared" si="1457"/>
        <v>0</v>
      </c>
      <c r="AK2327" s="17">
        <f>AK2328+AJ2327</f>
        <v>6423.5</v>
      </c>
      <c r="AL2327" s="17">
        <f>AJ2327*0.6</f>
        <v>0</v>
      </c>
      <c r="AM2327" s="17">
        <f t="shared" si="1441"/>
        <v>3854.1</v>
      </c>
      <c r="AN2327" s="17">
        <f t="shared" si="1442"/>
        <v>0</v>
      </c>
      <c r="AO2327" s="17">
        <f t="shared" si="1423"/>
        <v>274.04999999999995</v>
      </c>
      <c r="AP2327" s="17">
        <f t="shared" si="1443"/>
        <v>0</v>
      </c>
      <c r="AQ2327" s="17">
        <f t="shared" si="1423"/>
        <v>191.83499999999995</v>
      </c>
      <c r="AR2327" s="100"/>
      <c r="AS2327" s="93"/>
      <c r="AT2327" t="s">
        <v>452</v>
      </c>
      <c r="AU2327" s="19">
        <f>$H$23</f>
        <v>0</v>
      </c>
      <c r="AV2327">
        <f t="shared" si="1444"/>
        <v>0</v>
      </c>
      <c r="AW2327">
        <f t="shared" si="1424"/>
        <v>0</v>
      </c>
      <c r="AX2327">
        <f t="shared" si="1458"/>
        <v>0</v>
      </c>
      <c r="AY2327" s="19">
        <v>0</v>
      </c>
      <c r="AZ2327">
        <f t="shared" si="1445"/>
        <v>0</v>
      </c>
      <c r="BA2327">
        <f t="shared" si="1425"/>
        <v>0</v>
      </c>
      <c r="BB2327">
        <f t="shared" si="1446"/>
        <v>0</v>
      </c>
      <c r="BC2327" s="19">
        <f>$H$23</f>
        <v>0</v>
      </c>
      <c r="BD2327">
        <f t="shared" si="1447"/>
        <v>0</v>
      </c>
      <c r="BE2327">
        <f t="shared" si="1426"/>
        <v>0</v>
      </c>
      <c r="BF2327">
        <f t="shared" si="1427"/>
        <v>0</v>
      </c>
      <c r="BG2327" s="19">
        <v>0</v>
      </c>
      <c r="BH2327">
        <f t="shared" si="1448"/>
        <v>0</v>
      </c>
      <c r="BI2327">
        <f t="shared" si="1428"/>
        <v>0</v>
      </c>
      <c r="BJ2327">
        <f t="shared" si="1449"/>
        <v>0</v>
      </c>
      <c r="BK2327" s="19">
        <v>0</v>
      </c>
      <c r="BL2327" s="19">
        <v>0</v>
      </c>
      <c r="BM2327" s="17">
        <f t="shared" si="1459"/>
        <v>0</v>
      </c>
      <c r="BN2327" s="17">
        <f>BN2328+BM2327</f>
        <v>5980.5</v>
      </c>
      <c r="BO2327" s="17">
        <f>BM2327*0.6</f>
        <v>0</v>
      </c>
      <c r="BP2327" s="17">
        <f t="shared" si="1451"/>
        <v>3588.2999999999997</v>
      </c>
      <c r="BQ2327" s="17">
        <f t="shared" si="1452"/>
        <v>0</v>
      </c>
      <c r="BR2327" s="17">
        <f t="shared" si="1429"/>
        <v>255.14999999999998</v>
      </c>
      <c r="BS2327" s="17">
        <f t="shared" si="1453"/>
        <v>0</v>
      </c>
      <c r="BT2327" s="17">
        <f t="shared" si="1454"/>
        <v>178.60499999999996</v>
      </c>
      <c r="BU2327" s="100"/>
    </row>
    <row r="2328" x14ac:dyDescent="0.25">
      <c r="B2328" t="s">
        <v>453</v>
      </c>
      <c r="C2328" s="19">
        <v>0</v>
      </c>
      <c r="D2328" s="19">
        <v>0</v>
      </c>
      <c r="E2328" s="66">
        <f t="shared" si="1455"/>
        <v>0</v>
      </c>
      <c r="F2328" s="67">
        <f>IF(E24&gt;0,E24-(C15+C14+2*1.5+IF(C13="single",1.5,3))/12-_xlfn.XLOOKUP(E24,E20:E23,E20:E23,,-1),0)</f>
        <v>0</v>
      </c>
      <c r="H2328" s="19">
        <v>0</v>
      </c>
      <c r="I2328" s="64" t="s">
        <v>196</v>
      </c>
      <c r="J2328" s="19">
        <v>0</v>
      </c>
      <c r="K2328" s="19">
        <v>0</v>
      </c>
      <c r="L2328" s="19">
        <v>0</v>
      </c>
      <c r="M2328" s="19">
        <v>0</v>
      </c>
      <c r="P2328" s="93"/>
      <c r="Q2328" t="s">
        <v>453</v>
      </c>
      <c r="R2328" s="19">
        <f>$H$24</f>
        <v>0</v>
      </c>
      <c r="S2328">
        <f t="shared" si="1430"/>
        <v>0</v>
      </c>
      <c r="T2328">
        <f t="shared" si="1431"/>
        <v>0</v>
      </c>
      <c r="U2328">
        <f t="shared" si="1456"/>
        <v>0</v>
      </c>
      <c r="V2328" s="19">
        <v>0</v>
      </c>
      <c r="W2328">
        <f t="shared" si="1432"/>
        <v>0</v>
      </c>
      <c r="X2328">
        <f t="shared" si="1433"/>
        <v>0</v>
      </c>
      <c r="Y2328">
        <f t="shared" si="1434"/>
        <v>0</v>
      </c>
      <c r="Z2328" s="19">
        <f>$H$24</f>
        <v>0</v>
      </c>
      <c r="AA2328">
        <f t="shared" si="1435"/>
        <v>0</v>
      </c>
      <c r="AB2328">
        <f t="shared" si="1436"/>
        <v>0</v>
      </c>
      <c r="AC2328">
        <f t="shared" si="1422"/>
        <v>0</v>
      </c>
      <c r="AD2328" s="19">
        <v>0</v>
      </c>
      <c r="AE2328">
        <f t="shared" si="1437"/>
        <v>0</v>
      </c>
      <c r="AF2328">
        <f t="shared" si="1438"/>
        <v>0</v>
      </c>
      <c r="AG2328">
        <f t="shared" si="1439"/>
        <v>0</v>
      </c>
      <c r="AH2328" s="19">
        <v>0</v>
      </c>
      <c r="AI2328" s="19">
        <v>0</v>
      </c>
      <c r="AJ2328" s="17">
        <f t="shared" si="1457"/>
        <v>0</v>
      </c>
      <c r="AK2328" s="17">
        <f>AK2329+IF(AJ2328=0,0,AJ2328)</f>
        <v>6423.5</v>
      </c>
      <c r="AL2328" s="17">
        <f t="shared" si="1440"/>
        <v>0</v>
      </c>
      <c r="AM2328" s="17">
        <f>AM2329+AL2328</f>
        <v>3854.1</v>
      </c>
      <c r="AN2328" s="17">
        <f t="shared" si="1442"/>
        <v>0</v>
      </c>
      <c r="AO2328" s="17">
        <f>AN2328+AO2329</f>
        <v>274.04999999999995</v>
      </c>
      <c r="AP2328" s="17">
        <f t="shared" si="1443"/>
        <v>0</v>
      </c>
      <c r="AQ2328" s="17">
        <f>AP2328+AQ2329</f>
        <v>191.83499999999995</v>
      </c>
      <c r="AR2328" s="100"/>
      <c r="AS2328" s="93"/>
      <c r="AT2328" t="s">
        <v>453</v>
      </c>
      <c r="AU2328" s="19">
        <f>$H$24</f>
        <v>0</v>
      </c>
      <c r="AV2328">
        <f t="shared" si="1444"/>
        <v>0</v>
      </c>
      <c r="AW2328">
        <f t="shared" si="1424"/>
        <v>0</v>
      </c>
      <c r="AX2328">
        <f t="shared" si="1458"/>
        <v>0</v>
      </c>
      <c r="AY2328" s="19">
        <v>0</v>
      </c>
      <c r="AZ2328">
        <f t="shared" si="1445"/>
        <v>0</v>
      </c>
      <c r="BA2328">
        <f t="shared" si="1425"/>
        <v>0</v>
      </c>
      <c r="BB2328">
        <f t="shared" si="1446"/>
        <v>0</v>
      </c>
      <c r="BC2328" s="19">
        <f>$H$24</f>
        <v>0</v>
      </c>
      <c r="BD2328">
        <f t="shared" si="1447"/>
        <v>0</v>
      </c>
      <c r="BE2328">
        <f t="shared" si="1426"/>
        <v>0</v>
      </c>
      <c r="BF2328">
        <f t="shared" si="1427"/>
        <v>0</v>
      </c>
      <c r="BG2328" s="19">
        <v>0</v>
      </c>
      <c r="BH2328">
        <f t="shared" si="1448"/>
        <v>0</v>
      </c>
      <c r="BI2328">
        <f t="shared" si="1428"/>
        <v>0</v>
      </c>
      <c r="BJ2328">
        <f t="shared" si="1449"/>
        <v>0</v>
      </c>
      <c r="BK2328" s="19">
        <v>0</v>
      </c>
      <c r="BL2328" s="19">
        <v>0</v>
      </c>
      <c r="BM2328" s="17">
        <f t="shared" si="1459"/>
        <v>0</v>
      </c>
      <c r="BN2328" s="17">
        <f>BN2329+IF(BM2328=0,0,BM2328)</f>
        <v>5980.5</v>
      </c>
      <c r="BO2328" s="17">
        <f t="shared" ref="BO2328:BO2329" si="1460">BM2328*0.6</f>
        <v>0</v>
      </c>
      <c r="BP2328" s="17">
        <f>BP2329+BO2328</f>
        <v>3588.2999999999997</v>
      </c>
      <c r="BQ2328" s="17">
        <f t="shared" si="1452"/>
        <v>0</v>
      </c>
      <c r="BR2328" s="17">
        <f>BQ2328+BR2329</f>
        <v>255.14999999999998</v>
      </c>
      <c r="BS2328" s="17">
        <f t="shared" si="1453"/>
        <v>0</v>
      </c>
      <c r="BT2328" s="17">
        <f>BS2328+BT2329</f>
        <v>178.60499999999996</v>
      </c>
      <c r="BU2328" s="100"/>
    </row>
    <row r="2329" x14ac:dyDescent="0.25">
      <c r="B2329" t="s">
        <v>275</v>
      </c>
      <c r="C2329" s="19">
        <f>(33+32)/2</f>
        <v>32.5</v>
      </c>
      <c r="D2329" s="19">
        <f>(10.5+5.625)/2</f>
        <v>8.0625</v>
      </c>
      <c r="E2329" s="68">
        <f t="shared" si="1455"/>
        <v>33.171875</v>
      </c>
      <c r="F2329" s="69">
        <f>E25-(C17+C16+2*1.5+IF(C13="single",1.5,3))/12-_xlfn.XLOOKUP(E25,E20:E24,E20:E24,,-1)</f>
        <v>8.6770833333333321</v>
      </c>
      <c r="H2329" s="19">
        <v>443</v>
      </c>
      <c r="I2329" s="64" t="s">
        <v>196</v>
      </c>
      <c r="J2329" s="19">
        <v>18.899999999999999</v>
      </c>
      <c r="K2329" s="19">
        <v>36.6</v>
      </c>
      <c r="L2329" s="19">
        <v>10.8</v>
      </c>
      <c r="M2329" s="19">
        <v>66.7</v>
      </c>
      <c r="P2329" s="93"/>
      <c r="Q2329" t="s">
        <v>275</v>
      </c>
      <c r="R2329" s="19">
        <f>$H$25</f>
        <v>443</v>
      </c>
      <c r="S2329">
        <f t="shared" si="1430"/>
        <v>265.8</v>
      </c>
      <c r="T2329">
        <f t="shared" si="1431"/>
        <v>0</v>
      </c>
      <c r="U2329">
        <f t="shared" si="1456"/>
        <v>0</v>
      </c>
      <c r="V2329" s="19">
        <v>18.899999999999999</v>
      </c>
      <c r="W2329">
        <f t="shared" si="1432"/>
        <v>13.229999999999999</v>
      </c>
      <c r="X2329">
        <f t="shared" si="1433"/>
        <v>0</v>
      </c>
      <c r="Y2329">
        <f t="shared" si="1434"/>
        <v>0</v>
      </c>
      <c r="Z2329" s="19">
        <f>$H$25</f>
        <v>443</v>
      </c>
      <c r="AA2329">
        <f t="shared" si="1435"/>
        <v>265.8</v>
      </c>
      <c r="AB2329">
        <f t="shared" si="1436"/>
        <v>6423.5</v>
      </c>
      <c r="AC2329">
        <f t="shared" si="1422"/>
        <v>3854.1</v>
      </c>
      <c r="AD2329" s="19">
        <v>18.899999999999999</v>
      </c>
      <c r="AE2329">
        <f t="shared" si="1437"/>
        <v>13.229999999999999</v>
      </c>
      <c r="AF2329">
        <f t="shared" si="1438"/>
        <v>274.04999999999995</v>
      </c>
      <c r="AG2329">
        <f t="shared" si="1439"/>
        <v>191.83499999999995</v>
      </c>
      <c r="AH2329" s="19">
        <v>0</v>
      </c>
      <c r="AI2329" s="19">
        <v>0</v>
      </c>
      <c r="AJ2329" s="17">
        <f>T2329+AB2329+AH2329</f>
        <v>6423.5</v>
      </c>
      <c r="AK2329" s="17">
        <f>AJ2329</f>
        <v>6423.5</v>
      </c>
      <c r="AL2329" s="17">
        <f t="shared" si="1440"/>
        <v>3854.1</v>
      </c>
      <c r="AM2329" s="17">
        <f>AL2329</f>
        <v>3854.1</v>
      </c>
      <c r="AN2329" s="17">
        <f>X2329+AF2329+AI2329</f>
        <v>274.04999999999995</v>
      </c>
      <c r="AO2329" s="17">
        <f>AN2329</f>
        <v>274.04999999999995</v>
      </c>
      <c r="AP2329" s="17">
        <f>AN2329*0.7</f>
        <v>191.83499999999995</v>
      </c>
      <c r="AQ2329" s="17">
        <f>AP2329</f>
        <v>191.83499999999995</v>
      </c>
      <c r="AR2329" s="100"/>
      <c r="AS2329" s="93"/>
      <c r="AT2329" t="s">
        <v>275</v>
      </c>
      <c r="AU2329" s="19">
        <f>$H$25</f>
        <v>443</v>
      </c>
      <c r="AV2329">
        <f t="shared" si="1444"/>
        <v>265.8</v>
      </c>
      <c r="AW2329">
        <f t="shared" si="1424"/>
        <v>0</v>
      </c>
      <c r="AX2329">
        <f t="shared" si="1458"/>
        <v>0</v>
      </c>
      <c r="AY2329" s="19">
        <v>18.899999999999999</v>
      </c>
      <c r="AZ2329">
        <f t="shared" si="1445"/>
        <v>13.229999999999999</v>
      </c>
      <c r="BA2329">
        <f t="shared" si="1425"/>
        <v>0</v>
      </c>
      <c r="BB2329">
        <f t="shared" si="1446"/>
        <v>0</v>
      </c>
      <c r="BC2329" s="19">
        <f>$H$25</f>
        <v>443</v>
      </c>
      <c r="BD2329">
        <f t="shared" si="1447"/>
        <v>265.8</v>
      </c>
      <c r="BE2329">
        <f t="shared" si="1426"/>
        <v>5980.5</v>
      </c>
      <c r="BF2329">
        <f t="shared" si="1427"/>
        <v>3588.2999999999997</v>
      </c>
      <c r="BG2329" s="19">
        <v>18.899999999999999</v>
      </c>
      <c r="BH2329">
        <f t="shared" si="1448"/>
        <v>13.229999999999999</v>
      </c>
      <c r="BI2329">
        <f t="shared" si="1428"/>
        <v>255.14999999999998</v>
      </c>
      <c r="BJ2329">
        <f t="shared" si="1449"/>
        <v>178.60499999999996</v>
      </c>
      <c r="BK2329" s="19">
        <v>0</v>
      </c>
      <c r="BL2329" s="19">
        <v>0</v>
      </c>
      <c r="BM2329" s="17">
        <f>AW2329+BE2329+BK2329</f>
        <v>5980.5</v>
      </c>
      <c r="BN2329" s="17">
        <f>BM2329</f>
        <v>5980.5</v>
      </c>
      <c r="BO2329" s="17">
        <f t="shared" si="1460"/>
        <v>3588.2999999999997</v>
      </c>
      <c r="BP2329" s="17">
        <f>BO2329</f>
        <v>3588.2999999999997</v>
      </c>
      <c r="BQ2329" s="17">
        <f>BA2329+BI2329+BL2329</f>
        <v>255.14999999999998</v>
      </c>
      <c r="BR2329" s="17">
        <f>BQ2329</f>
        <v>255.14999999999998</v>
      </c>
      <c r="BS2329" s="17">
        <f>BQ2329*0.7</f>
        <v>178.60499999999996</v>
      </c>
      <c r="BT2329" s="17">
        <f>BS2329</f>
        <v>178.60499999999996</v>
      </c>
      <c r="BU2329" s="100"/>
    </row>
    <row r="2330" x14ac:dyDescent="0.25">
      <c r="B2330" t="s">
        <v>530</v>
      </c>
      <c r="E2330" s="73"/>
      <c r="F2330" s="73"/>
      <c r="H2330" s="19">
        <v>-22.9</v>
      </c>
      <c r="I2330" s="64" t="s">
        <v>270</v>
      </c>
      <c r="P2330" s="93"/>
      <c r="R2330" s="19">
        <f>$H$26</f>
        <v>-22.9</v>
      </c>
      <c r="S2330">
        <f t="shared" si="1430"/>
        <v>-13.739999999999998</v>
      </c>
      <c r="T2330">
        <f>$I$60/2*R2330</f>
        <v>0</v>
      </c>
      <c r="U2330">
        <f t="shared" si="1456"/>
        <v>0</v>
      </c>
      <c r="Z2330" s="19">
        <f>$H$26</f>
        <v>-22.9</v>
      </c>
      <c r="AA2330">
        <f>Z2330*0.6</f>
        <v>-13.739999999999998</v>
      </c>
      <c r="AB2330">
        <f>$J$60/2*Z2330</f>
        <v>-309.14999999999998</v>
      </c>
      <c r="AC2330">
        <f t="shared" si="1422"/>
        <v>-185.48999999999998</v>
      </c>
      <c r="AR2330" s="100"/>
      <c r="AS2330" s="93"/>
      <c r="AU2330" s="19">
        <f>$H$26</f>
        <v>-22.9</v>
      </c>
      <c r="AV2330">
        <f t="shared" si="1444"/>
        <v>-13.739999999999998</v>
      </c>
      <c r="AW2330">
        <f t="shared" si="1424"/>
        <v>0</v>
      </c>
      <c r="AX2330">
        <f t="shared" si="1458"/>
        <v>0</v>
      </c>
      <c r="BC2330" s="19">
        <f>$H$26</f>
        <v>-22.9</v>
      </c>
      <c r="BD2330">
        <f>BC2330*0.6</f>
        <v>-13.739999999999998</v>
      </c>
      <c r="BE2330">
        <f t="shared" si="1426"/>
        <v>-309.14999999999998</v>
      </c>
      <c r="BF2330">
        <f t="shared" si="1427"/>
        <v>-185.48999999999998</v>
      </c>
      <c r="BU2330" s="100"/>
    </row>
    <row r="2331" x14ac:dyDescent="0.25">
      <c r="B2331" t="s">
        <v>531</v>
      </c>
      <c r="C2331" s="1" t="s">
        <v>533</v>
      </c>
      <c r="D2331" s="19">
        <v>0.18</v>
      </c>
      <c r="E2331" s="73"/>
      <c r="F2331" s="73"/>
      <c r="H2331">
        <f>0.2*D27</f>
        <v>3.5999999999999997E-2</v>
      </c>
      <c r="I2331" s="64" t="s">
        <v>534</v>
      </c>
      <c r="P2331" s="93"/>
      <c r="Q2331" s="1"/>
      <c r="AR2331" s="100"/>
      <c r="AS2331" s="93"/>
      <c r="AT2331" s="1"/>
      <c r="BU2331" s="100"/>
    </row>
    <row r="2332" x14ac:dyDescent="0.25">
      <c r="P2332" s="93"/>
      <c r="Y2332" s="112" t="s">
        <v>752</v>
      </c>
      <c r="Z2332" s="112"/>
      <c r="AA2332" s="112"/>
      <c r="AB2332" s="112"/>
      <c r="AC2332" s="112"/>
      <c r="AR2332" s="100"/>
      <c r="AS2332" s="93"/>
      <c r="BB2332" s="112" t="s">
        <v>752</v>
      </c>
      <c r="BC2332" s="112"/>
      <c r="BD2332" s="112"/>
      <c r="BE2332" s="112"/>
      <c r="BF2332" s="112"/>
      <c r="BU2332" s="100"/>
    </row>
    <row r="2333" x14ac:dyDescent="0.25">
      <c r="B2333" t="s">
        <v>513</v>
      </c>
      <c r="P2333" s="93"/>
      <c r="Q2333" t="s">
        <v>479</v>
      </c>
      <c r="R2333" t="s">
        <v>491</v>
      </c>
      <c r="S2333" t="s">
        <v>508</v>
      </c>
      <c r="T2333" t="s">
        <v>507</v>
      </c>
      <c r="U2333" t="s">
        <v>535</v>
      </c>
      <c r="V2333" t="s">
        <v>536</v>
      </c>
      <c r="W2333" t="s">
        <v>479</v>
      </c>
      <c r="X2333" t="s">
        <v>537</v>
      </c>
      <c r="Y2333" t="s">
        <v>450</v>
      </c>
      <c r="Z2333" t="s">
        <v>451</v>
      </c>
      <c r="AA2333" t="s">
        <v>452</v>
      </c>
      <c r="AB2333" t="s">
        <v>453</v>
      </c>
      <c r="AC2333" t="s">
        <v>753</v>
      </c>
      <c r="AD2333" t="s">
        <v>519</v>
      </c>
      <c r="AR2333" s="100"/>
      <c r="AS2333" s="93"/>
      <c r="AT2333" t="s">
        <v>479</v>
      </c>
      <c r="AU2333" t="s">
        <v>491</v>
      </c>
      <c r="AV2333" t="s">
        <v>508</v>
      </c>
      <c r="AW2333" t="s">
        <v>507</v>
      </c>
      <c r="AX2333" t="s">
        <v>535</v>
      </c>
      <c r="AY2333" t="s">
        <v>536</v>
      </c>
      <c r="AZ2333" t="s">
        <v>479</v>
      </c>
      <c r="BA2333" t="s">
        <v>537</v>
      </c>
      <c r="BB2333" t="s">
        <v>450</v>
      </c>
      <c r="BC2333" t="s">
        <v>451</v>
      </c>
      <c r="BD2333" t="s">
        <v>452</v>
      </c>
      <c r="BE2333" t="s">
        <v>453</v>
      </c>
      <c r="BF2333" t="s">
        <v>753</v>
      </c>
      <c r="BG2333" t="s">
        <v>519</v>
      </c>
      <c r="BU2333" s="100"/>
    </row>
    <row r="2334" x14ac:dyDescent="0.25">
      <c r="B2334" s="1" t="s">
        <v>275</v>
      </c>
      <c r="C2334" s="19">
        <v>20</v>
      </c>
      <c r="D2334" t="s">
        <v>567</v>
      </c>
      <c r="P2334" s="93"/>
      <c r="Q2334" s="109" t="str">
        <f>R2320&amp;".01"</f>
        <v>A.01</v>
      </c>
      <c r="R2334" s="19">
        <v>29</v>
      </c>
      <c r="S2334" s="19">
        <v>12</v>
      </c>
      <c r="T2334">
        <f>S2334/2</f>
        <v>6</v>
      </c>
      <c r="U2334" s="19">
        <v>4</v>
      </c>
      <c r="V2334">
        <f>U2334/2</f>
        <v>2</v>
      </c>
      <c r="W2334" s="19" t="s">
        <v>515</v>
      </c>
      <c r="X2334" s="19">
        <v>6</v>
      </c>
      <c r="Y2334" s="19"/>
      <c r="Z2334" s="19"/>
      <c r="AA2334" s="19"/>
      <c r="AB2334" s="19"/>
      <c r="AC2334" s="19"/>
      <c r="AD2334" s="108">
        <f>R2334/R2350</f>
        <v>1</v>
      </c>
      <c r="AR2334" s="100"/>
      <c r="AS2334" s="93"/>
      <c r="AT2334" s="109" t="str">
        <f>AU$2320&amp;".01"</f>
        <v>1.01</v>
      </c>
      <c r="AU2334" s="19">
        <v>29</v>
      </c>
      <c r="AV2334" s="19">
        <v>12</v>
      </c>
      <c r="AW2334">
        <f>AV2334/2</f>
        <v>6</v>
      </c>
      <c r="AX2334" s="19">
        <v>4</v>
      </c>
      <c r="AY2334">
        <f>AX2334/2</f>
        <v>2</v>
      </c>
      <c r="AZ2334" s="19" t="s">
        <v>515</v>
      </c>
      <c r="BA2334" s="19">
        <v>6</v>
      </c>
      <c r="BB2334" s="19"/>
      <c r="BC2334" s="19"/>
      <c r="BD2334" s="19"/>
      <c r="BE2334" s="19"/>
      <c r="BF2334" s="19"/>
      <c r="BG2334" s="108">
        <f>AU2334/AU2350</f>
        <v>1</v>
      </c>
      <c r="BU2334" s="100"/>
    </row>
    <row r="2335" x14ac:dyDescent="0.25">
      <c r="B2335" s="1"/>
      <c r="C2335">
        <f>0.9*C30</f>
        <v>18</v>
      </c>
      <c r="D2335" t="s">
        <v>532</v>
      </c>
      <c r="P2335" s="93"/>
      <c r="Q2335" s="109" t="str">
        <f>R2320&amp;".02"</f>
        <v>A.02</v>
      </c>
      <c r="R2335" s="19"/>
      <c r="S2335" s="19"/>
      <c r="T2335">
        <f t="shared" ref="T2335:T2349" si="1461">S2335/2</f>
        <v>0</v>
      </c>
      <c r="U2335" s="19"/>
      <c r="V2335">
        <f t="shared" ref="V2335:V2349" si="1462">U2335/2</f>
        <v>0</v>
      </c>
      <c r="W2335" s="19"/>
      <c r="X2335" s="19"/>
      <c r="Y2335" s="19"/>
      <c r="Z2335" s="19"/>
      <c r="AA2335" s="19"/>
      <c r="AB2335" s="19"/>
      <c r="AC2335" s="19"/>
      <c r="AR2335" s="100"/>
      <c r="AS2335" s="93"/>
      <c r="AT2335" s="109" t="str">
        <f>AU$2320&amp;".02"</f>
        <v>1.02</v>
      </c>
      <c r="AU2335" s="19"/>
      <c r="AV2335" s="19"/>
      <c r="AW2335">
        <f t="shared" ref="AW2335:AW2349" si="1463">AV2335/2</f>
        <v>0</v>
      </c>
      <c r="AX2335" s="19"/>
      <c r="AY2335">
        <f t="shared" ref="AY2335:AY2349" si="1464">AX2335/2</f>
        <v>0</v>
      </c>
      <c r="AZ2335" s="19"/>
      <c r="BA2335" s="19"/>
      <c r="BB2335" s="19"/>
      <c r="BC2335" s="19"/>
      <c r="BD2335" s="19"/>
      <c r="BE2335" s="19"/>
      <c r="BF2335" s="19"/>
      <c r="BU2335" s="100"/>
    </row>
    <row r="2336" x14ac:dyDescent="0.25">
      <c r="B2336" s="1" t="s">
        <v>514</v>
      </c>
      <c r="C2336" s="19">
        <v>26</v>
      </c>
      <c r="D2336" t="s">
        <v>512</v>
      </c>
      <c r="P2336" s="93"/>
      <c r="Q2336" s="109" t="str">
        <f>R2320&amp;".03"</f>
        <v>A.03</v>
      </c>
      <c r="R2336" s="19"/>
      <c r="S2336" s="19"/>
      <c r="T2336">
        <f t="shared" si="1461"/>
        <v>0</v>
      </c>
      <c r="U2336" s="19"/>
      <c r="V2336">
        <f t="shared" si="1462"/>
        <v>0</v>
      </c>
      <c r="W2336" s="19"/>
      <c r="X2336" s="19"/>
      <c r="Y2336" s="19"/>
      <c r="Z2336" s="19"/>
      <c r="AA2336" s="19"/>
      <c r="AB2336" s="19"/>
      <c r="AC2336" s="19"/>
      <c r="AR2336" s="100"/>
      <c r="AS2336" s="93"/>
      <c r="AT2336" s="109" t="str">
        <f>AU$2320&amp;".03"</f>
        <v>1.03</v>
      </c>
      <c r="AU2336" s="19"/>
      <c r="AV2336" s="19"/>
      <c r="AW2336">
        <f t="shared" si="1463"/>
        <v>0</v>
      </c>
      <c r="AX2336" s="19"/>
      <c r="AY2336">
        <f t="shared" si="1464"/>
        <v>0</v>
      </c>
      <c r="AZ2336" s="19"/>
      <c r="BA2336" s="19"/>
      <c r="BB2336" s="19"/>
      <c r="BC2336" s="19"/>
      <c r="BD2336" s="19"/>
      <c r="BE2336" s="19"/>
      <c r="BF2336" s="19"/>
      <c r="BU2336" s="100"/>
    </row>
    <row r="2337" x14ac:dyDescent="0.25">
      <c r="B2337" s="1" t="s">
        <v>477</v>
      </c>
      <c r="C2337" s="19">
        <v>11</v>
      </c>
      <c r="D2337" t="s">
        <v>509</v>
      </c>
      <c r="P2337" s="93"/>
      <c r="Q2337" s="109" t="str">
        <f>R2320&amp;".04"</f>
        <v>A.04</v>
      </c>
      <c r="R2337" s="19"/>
      <c r="S2337" s="19"/>
      <c r="T2337">
        <f t="shared" si="1461"/>
        <v>0</v>
      </c>
      <c r="U2337" s="19"/>
      <c r="V2337">
        <f t="shared" si="1462"/>
        <v>0</v>
      </c>
      <c r="W2337" s="19"/>
      <c r="X2337" s="19"/>
      <c r="Y2337" s="19"/>
      <c r="Z2337" s="19"/>
      <c r="AA2337" s="19"/>
      <c r="AB2337" s="19"/>
      <c r="AC2337" s="19"/>
      <c r="AR2337" s="100"/>
      <c r="AS2337" s="93"/>
      <c r="AT2337" s="109" t="str">
        <f>AU$2320&amp;".04"</f>
        <v>1.04</v>
      </c>
      <c r="AU2337" s="19"/>
      <c r="AV2337" s="19"/>
      <c r="AW2337">
        <f t="shared" si="1463"/>
        <v>0</v>
      </c>
      <c r="AX2337" s="19"/>
      <c r="AY2337">
        <f t="shared" si="1464"/>
        <v>0</v>
      </c>
      <c r="AZ2337" s="19"/>
      <c r="BA2337" s="19"/>
      <c r="BB2337" s="19"/>
      <c r="BC2337" s="19"/>
      <c r="BD2337" s="19"/>
      <c r="BE2337" s="19"/>
      <c r="BF2337" s="19"/>
      <c r="BU2337" s="100"/>
    </row>
    <row r="2338" x14ac:dyDescent="0.25">
      <c r="B2338" s="1" t="s">
        <v>478</v>
      </c>
      <c r="C2338" s="19">
        <v>13</v>
      </c>
      <c r="D2338" t="s">
        <v>510</v>
      </c>
      <c r="P2338" s="93"/>
      <c r="Q2338" s="109" t="str">
        <f>R2320&amp;".05"</f>
        <v>A.05</v>
      </c>
      <c r="R2338" s="19"/>
      <c r="S2338" s="19"/>
      <c r="T2338">
        <f t="shared" si="1461"/>
        <v>0</v>
      </c>
      <c r="U2338" s="19"/>
      <c r="V2338">
        <f t="shared" si="1462"/>
        <v>0</v>
      </c>
      <c r="W2338" s="19"/>
      <c r="X2338" s="19"/>
      <c r="Y2338" s="19"/>
      <c r="Z2338" s="19"/>
      <c r="AA2338" s="19"/>
      <c r="AB2338" s="19"/>
      <c r="AC2338" s="19"/>
      <c r="AR2338" s="100"/>
      <c r="AS2338" s="93"/>
      <c r="AT2338" s="109" t="str">
        <f>AU$2320&amp;".05"</f>
        <v>1.05</v>
      </c>
      <c r="AU2338" s="19"/>
      <c r="AV2338" s="19"/>
      <c r="AW2338">
        <f t="shared" si="1463"/>
        <v>0</v>
      </c>
      <c r="AX2338" s="19"/>
      <c r="AY2338">
        <f t="shared" si="1464"/>
        <v>0</v>
      </c>
      <c r="AZ2338" s="19"/>
      <c r="BA2338" s="19"/>
      <c r="BB2338" s="19"/>
      <c r="BC2338" s="19"/>
      <c r="BD2338" s="19"/>
      <c r="BE2338" s="19"/>
      <c r="BF2338" s="19"/>
      <c r="BU2338" s="100"/>
    </row>
    <row r="2339" x14ac:dyDescent="0.25">
      <c r="B2339" s="1" t="s">
        <v>515</v>
      </c>
      <c r="C2339" s="19">
        <v>18</v>
      </c>
      <c r="D2339" t="s">
        <v>511</v>
      </c>
      <c r="P2339" s="93"/>
      <c r="Q2339" s="109" t="str">
        <f>R2320&amp;".06"</f>
        <v>A.06</v>
      </c>
      <c r="R2339" s="19"/>
      <c r="S2339" s="19"/>
      <c r="T2339">
        <f t="shared" si="1461"/>
        <v>0</v>
      </c>
      <c r="U2339" s="19"/>
      <c r="V2339">
        <f t="shared" si="1462"/>
        <v>0</v>
      </c>
      <c r="W2339" s="19"/>
      <c r="X2339" s="19"/>
      <c r="Y2339" s="19"/>
      <c r="Z2339" s="19"/>
      <c r="AA2339" s="19"/>
      <c r="AB2339" s="19"/>
      <c r="AC2339" s="19"/>
      <c r="AR2339" s="100"/>
      <c r="AS2339" s="93"/>
      <c r="AT2339" s="109" t="str">
        <f>AU$2320&amp;".06"</f>
        <v>1.06</v>
      </c>
      <c r="AU2339" s="19"/>
      <c r="AV2339" s="19"/>
      <c r="AW2339">
        <f t="shared" si="1463"/>
        <v>0</v>
      </c>
      <c r="AX2339" s="19"/>
      <c r="AY2339">
        <f t="shared" si="1464"/>
        <v>0</v>
      </c>
      <c r="AZ2339" s="19"/>
      <c r="BA2339" s="19"/>
      <c r="BB2339" s="19"/>
      <c r="BC2339" s="19"/>
      <c r="BD2339" s="19"/>
      <c r="BE2339" s="19"/>
      <c r="BF2339" s="19"/>
      <c r="BU2339" s="100"/>
    </row>
    <row r="2340" x14ac:dyDescent="0.25">
      <c r="B2340" s="1" t="s">
        <v>516</v>
      </c>
      <c r="P2340" s="93"/>
      <c r="Q2340" s="109" t="str">
        <f>R2320&amp;".07"</f>
        <v>A.07</v>
      </c>
      <c r="R2340" s="19"/>
      <c r="S2340" s="19"/>
      <c r="T2340">
        <f t="shared" si="1461"/>
        <v>0</v>
      </c>
      <c r="U2340" s="19"/>
      <c r="V2340">
        <f t="shared" si="1462"/>
        <v>0</v>
      </c>
      <c r="W2340" s="19"/>
      <c r="X2340" s="19"/>
      <c r="Y2340" s="19"/>
      <c r="Z2340" s="19"/>
      <c r="AA2340" s="19"/>
      <c r="AB2340" s="19"/>
      <c r="AC2340" s="19"/>
      <c r="AF2340" s="109"/>
      <c r="AR2340" s="100"/>
      <c r="AS2340" s="93"/>
      <c r="AT2340" s="109" t="str">
        <f>AU$2320&amp;".07"</f>
        <v>1.07</v>
      </c>
      <c r="AU2340" s="19"/>
      <c r="AV2340" s="19"/>
      <c r="AW2340">
        <f t="shared" si="1463"/>
        <v>0</v>
      </c>
      <c r="AX2340" s="19"/>
      <c r="AY2340">
        <f t="shared" si="1464"/>
        <v>0</v>
      </c>
      <c r="AZ2340" s="19"/>
      <c r="BA2340" s="19"/>
      <c r="BB2340" s="19"/>
      <c r="BC2340" s="19"/>
      <c r="BD2340" s="19"/>
      <c r="BE2340" s="19"/>
      <c r="BF2340" s="19"/>
      <c r="BI2340" s="109"/>
      <c r="BU2340" s="100"/>
    </row>
    <row r="2341" x14ac:dyDescent="0.25">
      <c r="B2341" s="1" t="s">
        <v>517</v>
      </c>
      <c r="P2341" s="93"/>
      <c r="Q2341" s="109" t="str">
        <f>R2320&amp;".08"</f>
        <v>A.08</v>
      </c>
      <c r="R2341" s="19"/>
      <c r="S2341" s="19"/>
      <c r="T2341">
        <f t="shared" si="1461"/>
        <v>0</v>
      </c>
      <c r="U2341" s="19"/>
      <c r="V2341">
        <f t="shared" si="1462"/>
        <v>0</v>
      </c>
      <c r="W2341" s="19"/>
      <c r="X2341" s="19"/>
      <c r="Y2341" s="19"/>
      <c r="Z2341" s="19"/>
      <c r="AA2341" s="19"/>
      <c r="AB2341" s="19"/>
      <c r="AC2341" s="19"/>
      <c r="AF2341" s="109"/>
      <c r="AR2341" s="100"/>
      <c r="AS2341" s="93"/>
      <c r="AT2341" s="109" t="str">
        <f>AU$2320&amp;".08"</f>
        <v>1.08</v>
      </c>
      <c r="AU2341" s="19"/>
      <c r="AV2341" s="19"/>
      <c r="AW2341">
        <f t="shared" si="1463"/>
        <v>0</v>
      </c>
      <c r="AX2341" s="19"/>
      <c r="AY2341">
        <f t="shared" si="1464"/>
        <v>0</v>
      </c>
      <c r="AZ2341" s="19"/>
      <c r="BA2341" s="19"/>
      <c r="BB2341" s="19"/>
      <c r="BC2341" s="19"/>
      <c r="BD2341" s="19"/>
      <c r="BE2341" s="19"/>
      <c r="BF2341" s="19"/>
      <c r="BI2341" s="109"/>
      <c r="BU2341" s="100"/>
    </row>
    <row r="2342" x14ac:dyDescent="0.25">
      <c r="B2342" s="1" t="s">
        <v>518</v>
      </c>
      <c r="P2342" s="93"/>
      <c r="Q2342" s="109" t="str">
        <f>R2320&amp;".09"</f>
        <v>A.09</v>
      </c>
      <c r="R2342" s="19"/>
      <c r="S2342" s="19"/>
      <c r="T2342">
        <f t="shared" si="1461"/>
        <v>0</v>
      </c>
      <c r="U2342" s="19"/>
      <c r="V2342">
        <f t="shared" si="1462"/>
        <v>0</v>
      </c>
      <c r="W2342" s="19"/>
      <c r="X2342" s="19"/>
      <c r="Y2342" s="19"/>
      <c r="Z2342" s="19"/>
      <c r="AA2342" s="19"/>
      <c r="AB2342" s="19"/>
      <c r="AC2342" s="19"/>
      <c r="AF2342" s="109"/>
      <c r="AR2342" s="100"/>
      <c r="AS2342" s="93"/>
      <c r="AT2342" s="109" t="str">
        <f>AU$2320&amp;".09"</f>
        <v>1.09</v>
      </c>
      <c r="AU2342" s="19"/>
      <c r="AV2342" s="19"/>
      <c r="AW2342">
        <f t="shared" si="1463"/>
        <v>0</v>
      </c>
      <c r="AX2342" s="19"/>
      <c r="AY2342">
        <f t="shared" si="1464"/>
        <v>0</v>
      </c>
      <c r="AZ2342" s="19"/>
      <c r="BA2342" s="19"/>
      <c r="BB2342" s="19"/>
      <c r="BC2342" s="19"/>
      <c r="BD2342" s="19"/>
      <c r="BE2342" s="19"/>
      <c r="BF2342" s="19"/>
      <c r="BI2342" s="109"/>
      <c r="BU2342" s="100"/>
    </row>
    <row r="2343" x14ac:dyDescent="0.25">
      <c r="P2343" s="93"/>
      <c r="Q2343" s="109" t="str">
        <f>R2320&amp;".10"</f>
        <v>A.10</v>
      </c>
      <c r="R2343" s="19"/>
      <c r="S2343" s="19"/>
      <c r="T2343">
        <f t="shared" si="1461"/>
        <v>0</v>
      </c>
      <c r="U2343" s="19"/>
      <c r="V2343">
        <f t="shared" si="1462"/>
        <v>0</v>
      </c>
      <c r="W2343" s="19"/>
      <c r="X2343" s="19"/>
      <c r="Y2343" s="19"/>
      <c r="Z2343" s="19"/>
      <c r="AA2343" s="19"/>
      <c r="AB2343" s="19"/>
      <c r="AC2343" s="19"/>
      <c r="AF2343" s="109"/>
      <c r="AR2343" s="100"/>
      <c r="AS2343" s="93"/>
      <c r="AT2343" s="109" t="str">
        <f>AU$2320&amp;".10"</f>
        <v>1.10</v>
      </c>
      <c r="AU2343" s="19"/>
      <c r="AV2343" s="19"/>
      <c r="AW2343">
        <f t="shared" si="1463"/>
        <v>0</v>
      </c>
      <c r="AX2343" s="19"/>
      <c r="AY2343">
        <f t="shared" si="1464"/>
        <v>0</v>
      </c>
      <c r="AZ2343" s="19"/>
      <c r="BA2343" s="19"/>
      <c r="BB2343" s="19"/>
      <c r="BC2343" s="19"/>
      <c r="BD2343" s="19"/>
      <c r="BE2343" s="19"/>
      <c r="BF2343" s="19"/>
      <c r="BI2343" s="109"/>
      <c r="BU2343" s="100"/>
    </row>
    <row r="2344" x14ac:dyDescent="0.25">
      <c r="C2344" s="112" t="s">
        <v>495</v>
      </c>
      <c r="D2344" s="112"/>
      <c r="E2344" s="112"/>
      <c r="I2344" s="112" t="s">
        <v>495</v>
      </c>
      <c r="J2344" s="112"/>
      <c r="K2344" s="112"/>
      <c r="P2344" s="93"/>
      <c r="Q2344" s="109" t="str">
        <f>R2320&amp;".11"</f>
        <v>A.11</v>
      </c>
      <c r="R2344" s="19"/>
      <c r="S2344" s="19"/>
      <c r="T2344">
        <f t="shared" si="1461"/>
        <v>0</v>
      </c>
      <c r="U2344" s="19"/>
      <c r="V2344">
        <f t="shared" si="1462"/>
        <v>0</v>
      </c>
      <c r="W2344" s="19"/>
      <c r="X2344" s="19"/>
      <c r="Y2344" s="19"/>
      <c r="Z2344" s="19"/>
      <c r="AA2344" s="19"/>
      <c r="AB2344" s="19"/>
      <c r="AC2344" s="19"/>
      <c r="AF2344" s="109"/>
      <c r="AR2344" s="100"/>
      <c r="AS2344" s="93"/>
      <c r="AT2344" s="109" t="str">
        <f>AU$2320&amp;".11"</f>
        <v>1.11</v>
      </c>
      <c r="AU2344" s="19"/>
      <c r="AV2344" s="19"/>
      <c r="AW2344">
        <f t="shared" si="1463"/>
        <v>0</v>
      </c>
      <c r="AX2344" s="19"/>
      <c r="AY2344">
        <f t="shared" si="1464"/>
        <v>0</v>
      </c>
      <c r="AZ2344" s="19"/>
      <c r="BA2344" s="19"/>
      <c r="BB2344" s="19"/>
      <c r="BC2344" s="19"/>
      <c r="BD2344" s="19"/>
      <c r="BE2344" s="19"/>
      <c r="BF2344" s="19"/>
      <c r="BI2344" s="109"/>
      <c r="BU2344" s="100"/>
    </row>
    <row r="2345" x14ac:dyDescent="0.25">
      <c r="B2345" t="s">
        <v>474</v>
      </c>
      <c r="C2345" t="s">
        <v>492</v>
      </c>
      <c r="D2345" t="s">
        <v>493</v>
      </c>
      <c r="E2345" t="s">
        <v>494</v>
      </c>
      <c r="H2345" t="s">
        <v>455</v>
      </c>
      <c r="I2345" t="s">
        <v>492</v>
      </c>
      <c r="J2345" t="s">
        <v>493</v>
      </c>
      <c r="K2345" t="s">
        <v>494</v>
      </c>
      <c r="P2345" s="93"/>
      <c r="Q2345" s="109" t="str">
        <f>R2320&amp;".12"</f>
        <v>A.12</v>
      </c>
      <c r="R2345" s="19"/>
      <c r="S2345" s="19"/>
      <c r="T2345">
        <f t="shared" si="1461"/>
        <v>0</v>
      </c>
      <c r="U2345" s="19"/>
      <c r="V2345">
        <f t="shared" si="1462"/>
        <v>0</v>
      </c>
      <c r="W2345" s="19"/>
      <c r="X2345" s="19"/>
      <c r="Y2345" s="19"/>
      <c r="Z2345" s="19"/>
      <c r="AA2345" s="19"/>
      <c r="AB2345" s="19"/>
      <c r="AC2345" s="19"/>
      <c r="AF2345" s="109"/>
      <c r="AR2345" s="100"/>
      <c r="AS2345" s="93"/>
      <c r="AT2345" s="109" t="str">
        <f>AU$2320&amp;".12"</f>
        <v>1.12</v>
      </c>
      <c r="AU2345" s="19"/>
      <c r="AV2345" s="19"/>
      <c r="AW2345">
        <f t="shared" si="1463"/>
        <v>0</v>
      </c>
      <c r="AX2345" s="19"/>
      <c r="AY2345">
        <f t="shared" si="1464"/>
        <v>0</v>
      </c>
      <c r="AZ2345" s="19"/>
      <c r="BA2345" s="19"/>
      <c r="BB2345" s="19"/>
      <c r="BC2345" s="19"/>
      <c r="BD2345" s="19"/>
      <c r="BE2345" s="19"/>
      <c r="BF2345" s="19"/>
      <c r="BI2345" s="109"/>
      <c r="BU2345" s="100"/>
    </row>
    <row r="2346" x14ac:dyDescent="0.25">
      <c r="B2346" t="s">
        <v>274</v>
      </c>
      <c r="C2346" s="19">
        <v>0</v>
      </c>
      <c r="D2346" s="19">
        <v>29</v>
      </c>
      <c r="E2346">
        <f>C60+D60</f>
        <v>29</v>
      </c>
      <c r="H2346">
        <v>1</v>
      </c>
      <c r="I2346" s="19">
        <v>0</v>
      </c>
      <c r="J2346" s="19">
        <v>27</v>
      </c>
      <c r="K2346">
        <f>I60+J60</f>
        <v>27</v>
      </c>
      <c r="P2346" s="93"/>
      <c r="Q2346" s="109" t="str">
        <f>R2320&amp;".13"</f>
        <v>A.13</v>
      </c>
      <c r="R2346" s="19"/>
      <c r="S2346" s="19"/>
      <c r="T2346">
        <f t="shared" si="1461"/>
        <v>0</v>
      </c>
      <c r="U2346" s="19"/>
      <c r="V2346">
        <f t="shared" si="1462"/>
        <v>0</v>
      </c>
      <c r="W2346" s="19"/>
      <c r="X2346" s="19"/>
      <c r="Y2346" s="19"/>
      <c r="Z2346" s="19"/>
      <c r="AA2346" s="19"/>
      <c r="AB2346" s="19"/>
      <c r="AC2346" s="19"/>
      <c r="AF2346" s="109"/>
      <c r="AR2346" s="100"/>
      <c r="AS2346" s="93"/>
      <c r="AT2346" s="109" t="str">
        <f>AU$2320&amp;".13"</f>
        <v>1.13</v>
      </c>
      <c r="AU2346" s="19"/>
      <c r="AV2346" s="19"/>
      <c r="AW2346">
        <f t="shared" si="1463"/>
        <v>0</v>
      </c>
      <c r="AX2346" s="19"/>
      <c r="AY2346">
        <f t="shared" si="1464"/>
        <v>0</v>
      </c>
      <c r="AZ2346" s="19"/>
      <c r="BA2346" s="19"/>
      <c r="BB2346" s="19"/>
      <c r="BC2346" s="19"/>
      <c r="BD2346" s="19"/>
      <c r="BE2346" s="19"/>
      <c r="BF2346" s="19"/>
      <c r="BI2346" s="109"/>
      <c r="BU2346" s="100"/>
    </row>
    <row r="2347" x14ac:dyDescent="0.25">
      <c r="B2347" t="s">
        <v>279</v>
      </c>
      <c r="C2347" s="19">
        <v>29</v>
      </c>
      <c r="D2347" s="19">
        <v>6</v>
      </c>
      <c r="E2347">
        <f t="shared" ref="E43:E67" si="1465">C43+D43</f>
        <v>35</v>
      </c>
      <c r="H2347">
        <v>2</v>
      </c>
      <c r="I2347" s="19">
        <v>27</v>
      </c>
      <c r="J2347" s="19">
        <v>14</v>
      </c>
      <c r="K2347">
        <f t="shared" ref="K43:K67" si="1466">I43+J43</f>
        <v>41</v>
      </c>
      <c r="P2347" s="93"/>
      <c r="Q2347" s="109" t="str">
        <f>R2320&amp;".14"</f>
        <v>A.14</v>
      </c>
      <c r="R2347" s="19"/>
      <c r="S2347" s="19"/>
      <c r="T2347">
        <f t="shared" si="1461"/>
        <v>0</v>
      </c>
      <c r="U2347" s="19"/>
      <c r="V2347">
        <f t="shared" si="1462"/>
        <v>0</v>
      </c>
      <c r="W2347" s="19"/>
      <c r="X2347" s="19"/>
      <c r="Y2347" s="19"/>
      <c r="Z2347" s="19"/>
      <c r="AA2347" s="19"/>
      <c r="AB2347" s="19"/>
      <c r="AC2347" s="19"/>
      <c r="AF2347" s="109"/>
      <c r="AR2347" s="100"/>
      <c r="AS2347" s="93"/>
      <c r="AT2347" s="109" t="str">
        <f>AU$2320&amp;".14"</f>
        <v>1.14</v>
      </c>
      <c r="AU2347" s="19"/>
      <c r="AV2347" s="19"/>
      <c r="AW2347">
        <f t="shared" si="1463"/>
        <v>0</v>
      </c>
      <c r="AX2347" s="19"/>
      <c r="AY2347">
        <f t="shared" si="1464"/>
        <v>0</v>
      </c>
      <c r="AZ2347" s="19"/>
      <c r="BA2347" s="19"/>
      <c r="BB2347" s="19"/>
      <c r="BC2347" s="19"/>
      <c r="BD2347" s="19"/>
      <c r="BE2347" s="19"/>
      <c r="BF2347" s="19"/>
      <c r="BI2347" s="109"/>
      <c r="BU2347" s="100"/>
    </row>
    <row r="2348" x14ac:dyDescent="0.25">
      <c r="B2348" t="s">
        <v>283</v>
      </c>
      <c r="C2348" s="19">
        <v>6</v>
      </c>
      <c r="D2348" s="19">
        <v>29</v>
      </c>
      <c r="E2348">
        <f t="shared" si="1465"/>
        <v>35</v>
      </c>
      <c r="H2348">
        <v>3</v>
      </c>
      <c r="I2348" s="19">
        <v>14</v>
      </c>
      <c r="J2348" s="19">
        <v>13</v>
      </c>
      <c r="K2348">
        <f t="shared" si="1466"/>
        <v>27</v>
      </c>
      <c r="P2348" s="93"/>
      <c r="Q2348" s="109" t="str">
        <f>R2320&amp;".15"</f>
        <v>A.15</v>
      </c>
      <c r="R2348" s="19"/>
      <c r="S2348" s="19"/>
      <c r="T2348">
        <f t="shared" si="1461"/>
        <v>0</v>
      </c>
      <c r="U2348" s="19"/>
      <c r="V2348">
        <f t="shared" si="1462"/>
        <v>0</v>
      </c>
      <c r="W2348" s="19"/>
      <c r="X2348" s="19"/>
      <c r="Y2348" s="19"/>
      <c r="Z2348" s="19"/>
      <c r="AA2348" s="19"/>
      <c r="AB2348" s="19"/>
      <c r="AC2348" s="19"/>
      <c r="AF2348" s="109"/>
      <c r="AR2348" s="100"/>
      <c r="AS2348" s="93"/>
      <c r="AT2348" s="109" t="str">
        <f>AU$2320&amp;".15"</f>
        <v>1.15</v>
      </c>
      <c r="AU2348" s="19"/>
      <c r="AV2348" s="19"/>
      <c r="AW2348">
        <f t="shared" si="1463"/>
        <v>0</v>
      </c>
      <c r="AX2348" s="19"/>
      <c r="AY2348">
        <f t="shared" si="1464"/>
        <v>0</v>
      </c>
      <c r="AZ2348" s="19"/>
      <c r="BA2348" s="19"/>
      <c r="BB2348" s="19"/>
      <c r="BC2348" s="19"/>
      <c r="BD2348" s="19"/>
      <c r="BE2348" s="19"/>
      <c r="BF2348" s="19"/>
      <c r="BI2348" s="109"/>
      <c r="BU2348" s="100"/>
    </row>
    <row r="2349" x14ac:dyDescent="0.25">
      <c r="B2349" t="s">
        <v>287</v>
      </c>
      <c r="C2349" s="19">
        <v>26</v>
      </c>
      <c r="D2349" s="19">
        <v>26</v>
      </c>
      <c r="E2349">
        <f t="shared" si="1465"/>
        <v>52</v>
      </c>
      <c r="F2349" t="s">
        <v>506</v>
      </c>
      <c r="H2349">
        <v>4</v>
      </c>
      <c r="I2349" s="19">
        <v>13</v>
      </c>
      <c r="J2349" s="19">
        <v>27</v>
      </c>
      <c r="K2349">
        <f t="shared" si="1466"/>
        <v>40</v>
      </c>
      <c r="P2349" s="93"/>
      <c r="Q2349" s="109" t="str">
        <f>R2320&amp;".16"</f>
        <v>A.16</v>
      </c>
      <c r="R2349" s="19"/>
      <c r="S2349" s="19"/>
      <c r="T2349">
        <f t="shared" si="1461"/>
        <v>0</v>
      </c>
      <c r="U2349" s="19"/>
      <c r="V2349">
        <f t="shared" si="1462"/>
        <v>0</v>
      </c>
      <c r="W2349" s="19"/>
      <c r="X2349" s="19"/>
      <c r="Y2349" s="19"/>
      <c r="Z2349" s="19"/>
      <c r="AA2349" s="19"/>
      <c r="AB2349" s="19"/>
      <c r="AC2349" s="19"/>
      <c r="AF2349" s="109"/>
      <c r="AR2349" s="100"/>
      <c r="AS2349" s="93"/>
      <c r="AT2349" s="109" t="str">
        <f>AU$2320&amp;".16"</f>
        <v>1.16</v>
      </c>
      <c r="AU2349" s="19"/>
      <c r="AV2349" s="19"/>
      <c r="AW2349">
        <f t="shared" si="1463"/>
        <v>0</v>
      </c>
      <c r="AX2349" s="19"/>
      <c r="AY2349">
        <f t="shared" si="1464"/>
        <v>0</v>
      </c>
      <c r="AZ2349" s="19"/>
      <c r="BA2349" s="19"/>
      <c r="BB2349" s="19"/>
      <c r="BC2349" s="19"/>
      <c r="BD2349" s="19"/>
      <c r="BE2349" s="19"/>
      <c r="BF2349" s="19"/>
      <c r="BI2349" s="109"/>
      <c r="BU2349" s="100"/>
    </row>
    <row r="2350" x14ac:dyDescent="0.25">
      <c r="B2350" t="s">
        <v>288</v>
      </c>
      <c r="C2350" s="19">
        <v>29</v>
      </c>
      <c r="D2350" s="19">
        <v>0</v>
      </c>
      <c r="E2350">
        <f t="shared" si="1465"/>
        <v>29</v>
      </c>
      <c r="H2350">
        <v>5</v>
      </c>
      <c r="I2350" s="19">
        <v>27</v>
      </c>
      <c r="J2350" s="19">
        <v>11</v>
      </c>
      <c r="K2350">
        <f t="shared" si="1466"/>
        <v>38</v>
      </c>
      <c r="P2350" s="93"/>
      <c r="R2350">
        <f>SUM(R2334:R2349)</f>
        <v>29</v>
      </c>
      <c r="AR2350" s="100"/>
      <c r="AS2350" s="93"/>
      <c r="AU2350">
        <f>SUM(AU2334:AU2349)</f>
        <v>29</v>
      </c>
      <c r="BU2350" s="100"/>
    </row>
    <row r="2351" x14ac:dyDescent="0.25">
      <c r="B2351" t="s">
        <v>293</v>
      </c>
      <c r="C2351" s="19">
        <v>17</v>
      </c>
      <c r="D2351" s="19">
        <v>27</v>
      </c>
      <c r="E2351">
        <f t="shared" si="1465"/>
        <v>44</v>
      </c>
      <c r="H2351">
        <v>6</v>
      </c>
      <c r="I2351" s="19">
        <v>11</v>
      </c>
      <c r="J2351" s="19">
        <v>6</v>
      </c>
      <c r="K2351">
        <f t="shared" si="1466"/>
        <v>17</v>
      </c>
      <c r="P2351" s="93"/>
      <c r="AP2351" t="s">
        <v>746</v>
      </c>
      <c r="AR2351" s="100"/>
      <c r="AS2351" s="93"/>
      <c r="BS2351" t="s">
        <v>746</v>
      </c>
      <c r="BU2351" s="100"/>
    </row>
    <row r="2352" x14ac:dyDescent="0.25">
      <c r="B2352" t="s">
        <v>456</v>
      </c>
      <c r="C2352" s="19">
        <v>27</v>
      </c>
      <c r="D2352" s="19">
        <v>27</v>
      </c>
      <c r="E2352">
        <f t="shared" si="1465"/>
        <v>54</v>
      </c>
      <c r="H2352">
        <v>7</v>
      </c>
      <c r="I2352" s="19">
        <v>6</v>
      </c>
      <c r="J2352" s="19">
        <v>11</v>
      </c>
      <c r="K2352">
        <f t="shared" si="1466"/>
        <v>17</v>
      </c>
      <c r="P2352" s="93"/>
      <c r="Q2352" t="s">
        <v>525</v>
      </c>
      <c r="R2352" t="s">
        <v>263</v>
      </c>
      <c r="S2352" t="s">
        <v>526</v>
      </c>
      <c r="T2352" t="s">
        <v>570</v>
      </c>
      <c r="U2352" t="s">
        <v>571</v>
      </c>
      <c r="V2352" t="s">
        <v>572</v>
      </c>
      <c r="W2352" t="s">
        <v>539</v>
      </c>
      <c r="X2352" t="s">
        <v>538</v>
      </c>
      <c r="Z2352" t="s">
        <v>522</v>
      </c>
      <c r="AA2352" t="s">
        <v>523</v>
      </c>
      <c r="AB2352" t="s">
        <v>541</v>
      </c>
      <c r="AC2352" t="s">
        <v>540</v>
      </c>
      <c r="AD2352" t="s">
        <v>542</v>
      </c>
      <c r="AE2352" t="s">
        <v>520</v>
      </c>
      <c r="AF2352" t="s">
        <v>521</v>
      </c>
      <c r="AG2352" t="s">
        <v>527</v>
      </c>
      <c r="AH2352" t="s">
        <v>528</v>
      </c>
      <c r="AI2352" t="s">
        <v>543</v>
      </c>
      <c r="AJ2352" t="s">
        <v>744</v>
      </c>
      <c r="AK2352" t="s">
        <v>745</v>
      </c>
      <c r="AL2352" t="s">
        <v>749</v>
      </c>
      <c r="AM2352" t="s">
        <v>750</v>
      </c>
      <c r="AN2352" t="s">
        <v>751</v>
      </c>
      <c r="AP2352" t="s">
        <v>747</v>
      </c>
      <c r="AQ2352" t="s">
        <v>748</v>
      </c>
      <c r="AR2352" s="100"/>
      <c r="AS2352" s="93"/>
      <c r="AT2352" t="s">
        <v>525</v>
      </c>
      <c r="AU2352" t="s">
        <v>263</v>
      </c>
      <c r="AV2352" t="s">
        <v>526</v>
      </c>
      <c r="AW2352" t="s">
        <v>570</v>
      </c>
      <c r="AX2352" t="s">
        <v>571</v>
      </c>
      <c r="AY2352" t="s">
        <v>572</v>
      </c>
      <c r="AZ2352" t="s">
        <v>539</v>
      </c>
      <c r="BA2352" t="s">
        <v>538</v>
      </c>
      <c r="BC2352" t="s">
        <v>522</v>
      </c>
      <c r="BD2352" t="s">
        <v>523</v>
      </c>
      <c r="BE2352" t="s">
        <v>541</v>
      </c>
      <c r="BF2352" t="s">
        <v>540</v>
      </c>
      <c r="BG2352" t="s">
        <v>542</v>
      </c>
      <c r="BH2352" t="s">
        <v>520</v>
      </c>
      <c r="BI2352" t="s">
        <v>521</v>
      </c>
      <c r="BJ2352" t="s">
        <v>527</v>
      </c>
      <c r="BK2352" t="s">
        <v>528</v>
      </c>
      <c r="BL2352" t="s">
        <v>543</v>
      </c>
      <c r="BM2352" t="s">
        <v>744</v>
      </c>
      <c r="BN2352" t="s">
        <v>745</v>
      </c>
      <c r="BO2352" t="s">
        <v>749</v>
      </c>
      <c r="BP2352" t="s">
        <v>750</v>
      </c>
      <c r="BQ2352" t="s">
        <v>751</v>
      </c>
      <c r="BS2352" t="s">
        <v>747</v>
      </c>
      <c r="BT2352" t="s">
        <v>748</v>
      </c>
      <c r="BU2352" s="100"/>
    </row>
    <row r="2353" x14ac:dyDescent="0.25">
      <c r="B2353" t="s">
        <v>457</v>
      </c>
      <c r="C2353" s="19">
        <v>27</v>
      </c>
      <c r="D2353" s="19">
        <v>27</v>
      </c>
      <c r="E2353">
        <f t="shared" si="1465"/>
        <v>54</v>
      </c>
      <c r="H2353">
        <v>8</v>
      </c>
      <c r="I2353" s="19">
        <v>20</v>
      </c>
      <c r="J2353" s="19">
        <v>0</v>
      </c>
      <c r="K2353">
        <f t="shared" si="1466"/>
        <v>20</v>
      </c>
      <c r="L2353" t="s">
        <v>506</v>
      </c>
      <c r="P2353" s="93"/>
      <c r="Q2353" s="110" t="str">
        <f>$Q$2334</f>
        <v>A.01</v>
      </c>
      <c r="R2353" t="str">
        <f>$Q$2325</f>
        <v>L2</v>
      </c>
      <c r="S2353">
        <f>$E$21</f>
        <v>10.6875</v>
      </c>
      <c r="T2353" cm="1">
        <f t="array" ref="T2353">IFERROR(IF(S2353=0,0,(INDEX($C$33:$C$38,MATCH($W$2334,$B$33:$B$38,0),0)*(S2357+$X$2334)+$T$2334*COUNTIF(S2353:S2356,"&gt;0")*$C$32+$V$2334*$C$31)*$R$2334),0)</f>
        <v>30539.71875</v>
      </c>
      <c r="U2353">
        <f>IF(S2353=0,0,-(COUNTIF(S2353:S2356,"&gt;0")*$T$2334*$C$32+$V$2334*$C$31)*$H$27*$R$2334)</f>
        <v>-363.31199999999995</v>
      </c>
      <c r="V2353">
        <f>IF(S2353=0,0,$V$2334*$H$26*$R$2334)</f>
        <v>-1328.1999999999998</v>
      </c>
      <c r="W2353">
        <f>(0.6*T2353+0.7*U2353)*$R$2334/2</f>
        <v>262007.93632499999</v>
      </c>
      <c r="X2353">
        <f>(0.6*T2353+0.6*V2353)*$R$2334/2</f>
        <v>254140.21312500001</v>
      </c>
      <c r="Z2353">
        <f>IF(S2353=0,0,$AD$2334*$AP$2325)</f>
        <v>343.06999999999994</v>
      </c>
      <c r="AA2353">
        <f>IFERROR(Z2353/$R$2334,0)</f>
        <v>11.829999999999998</v>
      </c>
      <c r="AB2353">
        <f>Z2353*($F$21+IF($F$21=0,0,($C$14+$C$15+IF($C$13="single",1.5,3)+3)/12))</f>
        <v>3666.5606249999992</v>
      </c>
      <c r="AC2353">
        <f>AB2353-W2353</f>
        <v>-258341.37569999998</v>
      </c>
      <c r="AD2353" cm="1">
        <f t="array" ref="AD2353">IFERROR(IF(AC2353&lt;0,0,AC2353/($R$2334-INDEX(hd_off,MATCH(AQ2353,hd_mark,0),0)/12)),0)</f>
        <v>0</v>
      </c>
      <c r="AE2353">
        <f>IF(S2353=0,0,$AD$2334*$AM$2325)</f>
        <v>7899.5999999999995</v>
      </c>
      <c r="AF2353">
        <f>IFERROR(AE2353/$R$2334,0)</f>
        <v>272.39999999999998</v>
      </c>
      <c r="AG2353">
        <f>AE2353*($F$21+IF($F$21=0,0,($C$14+$C$15+IF($C$13="single",1.5,3)+3)/12))</f>
        <v>84426.974999999991</v>
      </c>
      <c r="AH2353">
        <f>AG2353-X2353</f>
        <v>-169713.23812500003</v>
      </c>
      <c r="AI2353" cm="1">
        <f t="array" ref="AI2353">IFERROR(IF(AH2353&lt;0,0,AH2353/($R$2334-INDEX(hd_off,MATCH(AQ2353,hd_mark,0),0)/12)),0)</f>
        <v>0</v>
      </c>
      <c r="AJ2353">
        <f>MAX($F$21,$Y$2334)/$Q$2356</f>
        <v>0.30172413793103448</v>
      </c>
      <c r="AK2353">
        <f>IF(AJ2353=0,0,IF(AJ2353&gt;2,1.25-0.125*AJ2353,1))</f>
        <v>1</v>
      </c>
      <c r="AL2353" cm="1">
        <f t="array" ref="AL2353">IFERROR(INDEX(sheath_ecap_asd,MATCH(AP2353,sheath_mark,0),0)*AK2353,0)</f>
        <v>239.85714285714286</v>
      </c>
      <c r="AM2353" cm="1">
        <f t="array" ref="AM2353">IFERROR(INDEX(sheath_wcap_asd,MATCH(AP2353,sheath_mark,0),0)*AK2353,0)</f>
        <v>335.8</v>
      </c>
      <c r="AN2353" cm="1">
        <f t="array" ref="AN2353">IFERROR(INDEX(hd_cap,MATCH(AQ2353,hd_mark,0),0),0)</f>
        <v>0</v>
      </c>
      <c r="AP2353" s="19">
        <v>21</v>
      </c>
      <c r="AQ2353" s="19"/>
      <c r="AR2353" s="100"/>
      <c r="AS2353" s="93"/>
      <c r="AT2353" s="110" t="str">
        <f>$AT$2334</f>
        <v>1.01</v>
      </c>
      <c r="AU2353" t="str">
        <f>$Q$2325</f>
        <v>L2</v>
      </c>
      <c r="AV2353">
        <f>$E$21</f>
        <v>10.6875</v>
      </c>
      <c r="AW2353" cm="1">
        <f t="array" ref="AW2353">IFERROR(IF(AV2353=0,0,(INDEX($C$33:$C$38,MATCH($AZ$2334,$B$33:$B$38,0),0)*(AV2357+$BA$2334)+$AW$2334*COUNTIF(AV2353:AV2356,"&gt;0")*$C$32+$AY$2334*$C$31)*$AU$2334),0)</f>
        <v>30539.71875</v>
      </c>
      <c r="AX2353">
        <f>IF(AV2353=0,0,-(COUNTIF(AV2353:AV2356,"&gt;0")*$AW$2334*$C$32+$AY$2334*$C$31)*$H$27*$AU$2334)</f>
        <v>-363.31199999999995</v>
      </c>
      <c r="AY2353">
        <f>IF(AV2353=0,0,$AY$2334*$H$26*$AU$2334)</f>
        <v>-1328.1999999999998</v>
      </c>
      <c r="AZ2353">
        <f>(0.6*AW2353+0.7*AX2353)*$AU$2334/2</f>
        <v>262007.93632499999</v>
      </c>
      <c r="BA2353">
        <f>(0.6*AW2353+0.6*AY2353)*$AU$2334/2</f>
        <v>254140.21312500001</v>
      </c>
      <c r="BC2353">
        <f>IF(AV2353=0,0,$BG$2334*$AP$2325)</f>
        <v>343.06999999999994</v>
      </c>
      <c r="BD2353">
        <f>IFERROR(BC2353/$AU$2334,0)</f>
        <v>11.829999999999998</v>
      </c>
      <c r="BE2353">
        <f>BC2353*($F$21+IF($F$21=0,0,($C$14+$C$15+IF($C$13="single",1.5,3)+3)/12))</f>
        <v>3666.5606249999992</v>
      </c>
      <c r="BF2353">
        <f>BE2353-AZ2353</f>
        <v>-258341.37569999998</v>
      </c>
      <c r="BG2353" cm="1">
        <f t="array" ref="BG2353">IFERROR(IF(BF2353&lt;0,0,BF2353/($AU$2334-INDEX(hd_off,MATCH(BT2353,hd_mark,0),0)/12)),0)</f>
        <v>0</v>
      </c>
      <c r="BH2353">
        <f>IF(AV2353=0,0,$BG$2334*$AM$2325)</f>
        <v>7899.5999999999995</v>
      </c>
      <c r="BI2353">
        <f>IFERROR(BH2353/$AU$2334,0)</f>
        <v>272.39999999999998</v>
      </c>
      <c r="BJ2353">
        <f>BH2353*($F$21+IF($F$21=0,0,($C$14+$C$15+IF($C$13="single",1.5,3)+3)/12))</f>
        <v>84426.974999999991</v>
      </c>
      <c r="BK2353">
        <f>BJ2353-BA2353</f>
        <v>-169713.23812500003</v>
      </c>
      <c r="BL2353" cm="1">
        <f t="array" ref="BL2353">IFERROR(IF(BK2353&lt;0,0,BK2353/($AU$2334-INDEX(hd_off,MATCH(BT2353,hd_mark,0),0)/12)),0)</f>
        <v>0</v>
      </c>
      <c r="BM2353">
        <f>MAX($F$21,$BB$2334)/$Q$2356</f>
        <v>0.30172413793103448</v>
      </c>
      <c r="BN2353">
        <f>IF(BM2353=0,0,IF(BM2353&gt;2,1.25-0.125*BM2353,1))</f>
        <v>1</v>
      </c>
      <c r="BO2353" cm="1">
        <f t="array" ref="BO2353">IFERROR(INDEX(sheath_ecap_asd,MATCH(BS2353,sheath_mark,0),0)*BN2353,0)</f>
        <v>239.85714285714286</v>
      </c>
      <c r="BP2353" cm="1">
        <f t="array" ref="BP2353">IFERROR(INDEX(sheath_wcap_asd,MATCH(BS2353,sheath_mark,0),0)*BN2353,0)</f>
        <v>335.8</v>
      </c>
      <c r="BQ2353" cm="1">
        <f t="array" ref="BQ2353">IFERROR(INDEX(hd_cap,MATCH(BT2353,hd_mark,0),0),0)</f>
        <v>0</v>
      </c>
      <c r="BS2353" s="19">
        <v>21</v>
      </c>
      <c r="BT2353" s="19"/>
      <c r="BU2353" s="100"/>
    </row>
    <row r="2354" x14ac:dyDescent="0.25">
      <c r="B2354" t="s">
        <v>458</v>
      </c>
      <c r="C2354" s="19">
        <v>27</v>
      </c>
      <c r="D2354" s="19">
        <v>27</v>
      </c>
      <c r="E2354">
        <f t="shared" si="1465"/>
        <v>54</v>
      </c>
      <c r="H2354">
        <v>9</v>
      </c>
      <c r="I2354" s="19">
        <v>30</v>
      </c>
      <c r="J2354" s="19">
        <v>0</v>
      </c>
      <c r="K2354">
        <f t="shared" si="1466"/>
        <v>30</v>
      </c>
      <c r="P2354" s="93"/>
      <c r="Q2354" s="109"/>
      <c r="R2354" t="str">
        <f>$Q$2326</f>
        <v>L3</v>
      </c>
      <c r="S2354">
        <f>$E$22</f>
        <v>21.375</v>
      </c>
      <c r="T2354" cm="1">
        <f t="array" ref="T2354">IFERROR(IF(S2354=0,0,(INDEX($C$33:$C$38,MATCH($W$2334,$B$33:$B$38,0),0)*(S2357+$X$2334)+$T$2334*COUNTIF(S2354:S2356,"&gt;0")*$C$32+$V$2334*$C$31)*$R$2334),0)</f>
        <v>26015.71875</v>
      </c>
      <c r="U2354">
        <f>IF(S2354=0,0,-(COUNTIF(S2354:S2356,"&gt;0")*$T$2334*$C$32+$V$2334*$C$31)*$H$27*$R$2334)</f>
        <v>-200.44799999999998</v>
      </c>
      <c r="V2354">
        <f>IF(S2354=0,0,$V$2334*$H$26*$R$2334)</f>
        <v>-1328.1999999999998</v>
      </c>
      <c r="W2354">
        <f t="shared" ref="W2354:W2356" si="1467">(0.6*T2354+0.7*U2354)*$R$2334/2</f>
        <v>224302.20592500002</v>
      </c>
      <c r="X2354">
        <f>T2354*$R$2334/2</f>
        <v>377227.921875</v>
      </c>
      <c r="Z2354">
        <f>IF(S2354=0,0,$AD$2334*$AP$2326)</f>
        <v>376.565</v>
      </c>
      <c r="AA2354">
        <f>IFERROR(Z2354/$R$2334,0)</f>
        <v>12.984999999999999</v>
      </c>
      <c r="AB2354">
        <f>Z2354*($F$22+IF($F$22=0,0,($C$14+$C$15+IF($C$13="single",1.5,3)+3)/12))</f>
        <v>4024.5384374999999</v>
      </c>
      <c r="AC2354">
        <f>AB2354-W2354</f>
        <v>-220277.6674875</v>
      </c>
      <c r="AD2354" cm="1">
        <f t="array" ref="AD2354">IFERROR(IF(AC2354&lt;0,0,AC2354/($R$2334-INDEX(hd_off,MATCH(AQ2354,hd_mark,0),0)/12)),0)</f>
        <v>0</v>
      </c>
      <c r="AE2354">
        <f>IF(S2354=0,0,$AD$2334*$AM$2326)</f>
        <v>5846.4</v>
      </c>
      <c r="AF2354">
        <f>IFERROR(AE2354/$R$2334,0)</f>
        <v>201.6</v>
      </c>
      <c r="AG2354">
        <f>AE2354*($F$22+IF($F$22=0,0,($C$14+$C$15+IF($C$13="single",1.5,3)+3)/12))</f>
        <v>62483.399999999994</v>
      </c>
      <c r="AH2354">
        <f>AG2354-X2354</f>
        <v>-314744.52187499998</v>
      </c>
      <c r="AI2354" cm="1">
        <f t="array" ref="AI2354">IFERROR(IF(AH2354&lt;0,0,AH2354/($R$2334-INDEX(hd_off,MATCH(AQ2354,hd_mark,0),0)/12)),0)</f>
        <v>0</v>
      </c>
      <c r="AJ2354">
        <f>MAX($F$22,$Z$2334)/$Q$2356</f>
        <v>0.30172413793103448</v>
      </c>
      <c r="AK2354">
        <f t="shared" ref="AK2354:AK2357" si="1468">IF(AJ2354=0,0,IF(AJ2354&gt;2,1.25-0.125*AJ2354,1))</f>
        <v>1</v>
      </c>
      <c r="AL2354" cm="1">
        <f t="array" ref="AL2354">IFERROR(INDEX(sheath_ecap_asd,MATCH(AP2354,sheath_mark,0),0)*AK2354,0)</f>
        <v>239.85714285714286</v>
      </c>
      <c r="AM2354" cm="1">
        <f t="array" ref="AM2354">IFERROR(INDEX(sheath_wcap_asd,MATCH(AP2354,sheath_mark,0),0)*AK2354,0)</f>
        <v>335.8</v>
      </c>
      <c r="AN2354" cm="1">
        <f t="array" ref="AN2354">IFERROR(INDEX(hd_cap,MATCH(AQ2354,hd_mark,0),0),0)</f>
        <v>0</v>
      </c>
      <c r="AP2354" s="19">
        <v>21</v>
      </c>
      <c r="AQ2354" s="19"/>
      <c r="AR2354" s="100"/>
      <c r="AS2354" s="93"/>
      <c r="AT2354" s="109"/>
      <c r="AU2354" t="str">
        <f>$Q$2326</f>
        <v>L3</v>
      </c>
      <c r="AV2354">
        <f>$E$22</f>
        <v>21.375</v>
      </c>
      <c r="AW2354" cm="1">
        <f t="array" ref="AW2354">IFERROR(IF(AV2354=0,0,(INDEX($C$33:$C$38,MATCH($AZ$2334,$B$33:$B$38,0),0)*(AV2357+$BA$2334)+$AW$2334*COUNTIF(AV2354:AV2356,"&gt;0")*$C$32+$AY$2334*$C$31)*$AU$2334),0)</f>
        <v>26015.71875</v>
      </c>
      <c r="AX2354">
        <f>IF(AV2354=0,0,-(COUNTIF(AV2354:AV2356,"&gt;0")*$AW$2334*$C$32+$AY$2334*$C$31)*$H$27*$AU$2334)</f>
        <v>-200.44799999999998</v>
      </c>
      <c r="AY2354">
        <f>IF(AV2354=0,0,$AY$2334*$H$26*$AU$2334)</f>
        <v>-1328.1999999999998</v>
      </c>
      <c r="AZ2354">
        <f>(0.6*AW2354+0.7*AX2354)*$AU$2334/2</f>
        <v>224302.20592500002</v>
      </c>
      <c r="BA2354">
        <f>AW2354*$AU$2334/2</f>
        <v>377227.921875</v>
      </c>
      <c r="BC2354">
        <f>IF(AV2354=0,0,$BG$2334*$AP$2326)</f>
        <v>376.565</v>
      </c>
      <c r="BD2354">
        <f>IFERROR(BC2354/$AU$2334,0)</f>
        <v>12.984999999999999</v>
      </c>
      <c r="BE2354">
        <f>BC2354*($F$22+IF($F$22=0,0,($C$14+$C$15+IF($C$13="single",1.5,3)+3)/12))</f>
        <v>4024.5384374999999</v>
      </c>
      <c r="BF2354">
        <f>BE2354-AZ2354</f>
        <v>-220277.6674875</v>
      </c>
      <c r="BG2354" cm="1">
        <f t="array" ref="BG2354">IFERROR(IF(BF2354&lt;0,0,BF2354/($AU$2334-INDEX(hd_off,MATCH(BT2354,hd_mark,0),0)/12)),0)</f>
        <v>0</v>
      </c>
      <c r="BH2354">
        <f>IF(AV2354=0,0,$BG$2334*$AM$2326)</f>
        <v>5846.4</v>
      </c>
      <c r="BI2354">
        <f>IFERROR(BH2354/$AU$2334,0)</f>
        <v>201.6</v>
      </c>
      <c r="BJ2354">
        <f>BH2354*($F$22+IF($F$22=0,0,($C$14+$C$15+IF($C$13="single",1.5,3)+3)/12))</f>
        <v>62483.399999999994</v>
      </c>
      <c r="BK2354">
        <f>BJ2354-BA2354</f>
        <v>-314744.52187499998</v>
      </c>
      <c r="BL2354" cm="1">
        <f t="array" ref="BL2354">IFERROR(IF(BK2354&lt;0,0,BK2354/($AU$2334-INDEX(hd_off,MATCH(BT2354,hd_mark,0),0)/12)),0)</f>
        <v>0</v>
      </c>
      <c r="BM2354">
        <f>MAX($F$22,$BC$2334)/$Q$2356</f>
        <v>0.30172413793103448</v>
      </c>
      <c r="BN2354">
        <f t="shared" ref="BN2354:BN2357" si="1469">IF(BM2354=0,0,IF(BM2354&gt;2,1.25-0.125*BM2354,1))</f>
        <v>1</v>
      </c>
      <c r="BO2354" cm="1">
        <f t="array" ref="BO2354">IFERROR(INDEX(sheath_ecap_asd,MATCH(BS2354,sheath_mark,0),0)*BN2354,0)</f>
        <v>239.85714285714286</v>
      </c>
      <c r="BP2354" cm="1">
        <f t="array" ref="BP2354">IFERROR(INDEX(sheath_wcap_asd,MATCH(BS2354,sheath_mark,0),0)*BN2354,0)</f>
        <v>335.8</v>
      </c>
      <c r="BQ2354" cm="1">
        <f t="array" ref="BQ2354">IFERROR(INDEX(hd_cap,MATCH(BT2354,hd_mark,0),0),0)</f>
        <v>0</v>
      </c>
      <c r="BS2354" s="19">
        <v>21</v>
      </c>
      <c r="BT2354" s="19"/>
      <c r="BU2354" s="100"/>
    </row>
    <row r="2355" x14ac:dyDescent="0.25">
      <c r="B2355" t="s">
        <v>459</v>
      </c>
      <c r="C2355" s="19">
        <v>27</v>
      </c>
      <c r="D2355" s="19">
        <v>41</v>
      </c>
      <c r="E2355">
        <f t="shared" si="1465"/>
        <v>68</v>
      </c>
      <c r="F2355" t="s">
        <v>506</v>
      </c>
      <c r="H2355">
        <v>10</v>
      </c>
      <c r="I2355" s="19">
        <v>30</v>
      </c>
      <c r="J2355" s="19">
        <v>0</v>
      </c>
      <c r="K2355">
        <f t="shared" si="1466"/>
        <v>30</v>
      </c>
      <c r="P2355" s="93"/>
      <c r="Q2355" s="109" t="s">
        <v>491</v>
      </c>
      <c r="R2355" t="str">
        <f>$Q$2327</f>
        <v>L4</v>
      </c>
      <c r="S2355">
        <f>$E$23</f>
        <v>0</v>
      </c>
      <c r="T2355" cm="1">
        <f t="array" ref="T2355">IFERROR(IF(S2355=0,0,(INDEX($C$33:$C$38,MATCH($W$2334,$B$33:$B$38,0),0)*(S2357+$X$2334)+$T$2334*COUNTIF(S2355:S2356,"&gt;0")*$C$32+$V$2334*$C$31)*$R$2334),0)</f>
        <v>0</v>
      </c>
      <c r="U2355">
        <f>IF(S2355=0,0,-(COUNTIF(S2355:S2356,"&gt;0")*$T$2334*$C$32+$V$2334*$C$31)*$H$27*$R$2334)</f>
        <v>0</v>
      </c>
      <c r="V2355">
        <f>IF(S2355=0,0,$V$2334*$H$26*$R$2334)</f>
        <v>0</v>
      </c>
      <c r="W2355">
        <f t="shared" si="1467"/>
        <v>0</v>
      </c>
      <c r="X2355">
        <f>T2355*$R$2334/2</f>
        <v>0</v>
      </c>
      <c r="Z2355">
        <f>IF(S2355=0,0,$AD$2334*$AP$2327)</f>
        <v>0</v>
      </c>
      <c r="AA2355">
        <f>IFERROR(Z2355/$R$2334,0)</f>
        <v>0</v>
      </c>
      <c r="AB2355">
        <f>Z2355*($F$23+IF($F$23=0,0,($C$14+$C$15+IF($C$13="single",1.5,3)+3)/12))</f>
        <v>0</v>
      </c>
      <c r="AC2355">
        <f>AB2355-W2355</f>
        <v>0</v>
      </c>
      <c r="AD2355" cm="1">
        <f t="array" ref="AD2355">IFERROR(IF(AC2355&lt;0,0,AC2355/($R$2334-INDEX(hd_off,MATCH(AQ2355,hd_mark,0),0)/12)),0)</f>
        <v>0</v>
      </c>
      <c r="AE2355">
        <f>IF(S2355=0,0,$AD$2334*$AM$2327)</f>
        <v>0</v>
      </c>
      <c r="AF2355">
        <f>IFERROR(AE2355/$R$2334,0)</f>
        <v>0</v>
      </c>
      <c r="AG2355">
        <f>AE2355*($F$23+IF($F$23=0,0,($C$14+$C$15+IF($C$13="single",1.5,3)+3)/12))</f>
        <v>0</v>
      </c>
      <c r="AH2355">
        <f>AG2355-X2355</f>
        <v>0</v>
      </c>
      <c r="AI2355" cm="1">
        <f t="array" ref="AI2355">IFERROR(IF(AH2355&lt;0,0,AH2355/($R$2334-INDEX(hd_off,MATCH(AQ2355,hd_mark,0),0)/12)),0)</f>
        <v>0</v>
      </c>
      <c r="AJ2355">
        <f>MAX($F$23,$AA$2334)/$Q$2356</f>
        <v>0</v>
      </c>
      <c r="AK2355">
        <f t="shared" si="1468"/>
        <v>0</v>
      </c>
      <c r="AL2355" cm="1">
        <f t="array" ref="AL2355">IFERROR(INDEX(sheath_ecap_asd,MATCH(AP2355,sheath_mark,0),0)*AK2355,0)</f>
        <v>0</v>
      </c>
      <c r="AM2355" cm="1">
        <f t="array" ref="AM2355">IFERROR(INDEX(sheath_wcap_asd,MATCH(AP2355,sheath_mark,0),0)*AK2355,0)</f>
        <v>0</v>
      </c>
      <c r="AN2355" cm="1">
        <f t="array" ref="AN2355">IFERROR(INDEX(hd_cap,MATCH(AQ2355,hd_mark,0),0),0)</f>
        <v>0</v>
      </c>
      <c r="AP2355" s="19"/>
      <c r="AQ2355" s="19"/>
      <c r="AR2355" s="100"/>
      <c r="AS2355" s="93"/>
      <c r="AT2355" s="109" t="s">
        <v>491</v>
      </c>
      <c r="AU2355" t="str">
        <f>$Q$2327</f>
        <v>L4</v>
      </c>
      <c r="AV2355">
        <f>$E$23</f>
        <v>0</v>
      </c>
      <c r="AW2355" cm="1">
        <f t="array" ref="AW2355">IFERROR(IF(AV2355=0,0,(INDEX($C$33:$C$38,MATCH($AZ$2334,$B$33:$B$38,0),0)*(AV2357+$BA$2334)+$AW$2334*COUNTIF(AV2355:AV2356,"&gt;0")*$C$32+$AY$2334*$C$31)*$AU$2334),0)</f>
        <v>0</v>
      </c>
      <c r="AX2355">
        <f>IF(AV2355=0,0,-(COUNTIF(AV2355:AV2356,"&gt;0")*$AW$2334*$C$32+$AY$2334*$C$31)*$H$27*$AU$2334)</f>
        <v>0</v>
      </c>
      <c r="AY2355">
        <f>IF(AV2355=0,0,$AY$2334*$H$26*$AU$2334)</f>
        <v>0</v>
      </c>
      <c r="AZ2355">
        <f>(0.6*AW2355+0.7*AX2355)*$AU$2334/2</f>
        <v>0</v>
      </c>
      <c r="BA2355">
        <f>AW2355*$AU$2334/2</f>
        <v>0</v>
      </c>
      <c r="BC2355">
        <f>IF(AV2355=0,0,$BG$2334*$AP$2327)</f>
        <v>0</v>
      </c>
      <c r="BD2355">
        <f>IFERROR(BC2355/$AU$2334,0)</f>
        <v>0</v>
      </c>
      <c r="BE2355">
        <f>BC2355*($F$23+IF($F$23=0,0,($C$14+$C$15+IF($C$13="single",1.5,3)+3)/12))</f>
        <v>0</v>
      </c>
      <c r="BF2355">
        <f>BE2355-AZ2355</f>
        <v>0</v>
      </c>
      <c r="BG2355" cm="1">
        <f t="array" ref="BG2355">IFERROR(IF(BF2355&lt;0,0,BF2355/($AU$2334-INDEX(hd_off,MATCH(BT2355,hd_mark,0),0)/12)),0)</f>
        <v>0</v>
      </c>
      <c r="BH2355">
        <f>IF(AV2355=0,0,$BG$2334*$AM$2327)</f>
        <v>0</v>
      </c>
      <c r="BI2355">
        <f>IFERROR(BH2355/$AU$2334,0)</f>
        <v>0</v>
      </c>
      <c r="BJ2355">
        <f>BH2355*($F$23+IF($F$23=0,0,($C$14+$C$15+IF($C$13="single",1.5,3)+3)/12))</f>
        <v>0</v>
      </c>
      <c r="BK2355">
        <f>BJ2355-BA2355</f>
        <v>0</v>
      </c>
      <c r="BL2355" cm="1">
        <f t="array" ref="BL2355">IFERROR(IF(BK2355&lt;0,0,BK2355/($AU$2334-INDEX(hd_off,MATCH(BT2355,hd_mark,0),0)/12)),0)</f>
        <v>0</v>
      </c>
      <c r="BM2355">
        <f>MAX($F$23,$BD$2334)/$Q$2356</f>
        <v>0</v>
      </c>
      <c r="BN2355">
        <f t="shared" si="1469"/>
        <v>0</v>
      </c>
      <c r="BO2355" cm="1">
        <f t="array" ref="BO2355">IFERROR(INDEX(sheath_ecap_asd,MATCH(BS2355,sheath_mark,0),0)*BN2355,0)</f>
        <v>0</v>
      </c>
      <c r="BP2355" cm="1">
        <f t="array" ref="BP2355">IFERROR(INDEX(sheath_wcap_asd,MATCH(BS2355,sheath_mark,0),0)*BN2355,0)</f>
        <v>0</v>
      </c>
      <c r="BQ2355" cm="1">
        <f t="array" ref="BQ2355">IFERROR(INDEX(hd_cap,MATCH(BT2355,hd_mark,0),0),0)</f>
        <v>0</v>
      </c>
      <c r="BS2355" s="19"/>
      <c r="BT2355" s="19"/>
      <c r="BU2355" s="100"/>
    </row>
    <row r="2356" x14ac:dyDescent="0.25">
      <c r="B2356" t="s">
        <v>171</v>
      </c>
      <c r="C2356" s="19">
        <v>0</v>
      </c>
      <c r="D2356" s="19">
        <v>29</v>
      </c>
      <c r="E2356">
        <f t="shared" si="1465"/>
        <v>29</v>
      </c>
      <c r="H2356">
        <v>11</v>
      </c>
      <c r="I2356" s="19">
        <v>0</v>
      </c>
      <c r="J2356" s="19">
        <v>27</v>
      </c>
      <c r="K2356">
        <f t="shared" si="1466"/>
        <v>27</v>
      </c>
      <c r="P2356" s="93"/>
      <c r="Q2356" s="111">
        <f>$R$2334</f>
        <v>29</v>
      </c>
      <c r="R2356" t="str">
        <f>$Q$2328</f>
        <v>L5</v>
      </c>
      <c r="S2356">
        <f>$E$24</f>
        <v>0</v>
      </c>
      <c r="T2356" cm="1">
        <f t="array" ref="T2356">IFERROR(IF(S2356=0,0,(INDEX($C$33:$C$38,MATCH($W$2334,$B$33:$B$38,0),0)*(S2357+$X$2334)+$T$2334*COUNTIF(S2356:S2356,"&gt;0")*$C$32+$V$2334*$C$31)*$R$2334),0)</f>
        <v>0</v>
      </c>
      <c r="U2356">
        <f>IF(S2356=0,0,-(COUNTIF(S2356:S2356,"&gt;0")*$T$2334*$C$32+$V$2334*$C$31)*$H$27*$R$2334)</f>
        <v>0</v>
      </c>
      <c r="V2356">
        <f>IF(S2356=0,0,$V$2334*$H$26*$R$2334)</f>
        <v>0</v>
      </c>
      <c r="W2356">
        <f t="shared" si="1467"/>
        <v>0</v>
      </c>
      <c r="X2356">
        <f>T2356*$R$2334/2</f>
        <v>0</v>
      </c>
      <c r="Z2356">
        <f>IF(S2356=0,0,$AD$2334*$AP$2328)</f>
        <v>0</v>
      </c>
      <c r="AA2356">
        <f>IFERROR(Z2356/$R$2334,0)</f>
        <v>0</v>
      </c>
      <c r="AB2356">
        <f>Z2356*($F$24+IF($F$24=0,0,($C$14+$C$15+IF($C$13="single",1.5,3)+3)/12))</f>
        <v>0</v>
      </c>
      <c r="AC2356">
        <f>AB2356-W2356</f>
        <v>0</v>
      </c>
      <c r="AD2356" cm="1">
        <f t="array" ref="AD2356">IFERROR(IF(AC2356&lt;0,0,AC2356/($R$2334-INDEX(hd_off,MATCH(AQ2356,hd_mark,0),0)/12)),0)</f>
        <v>0</v>
      </c>
      <c r="AE2356">
        <f>IF(S2356=0,0,$AD$2334*$AM$2328)</f>
        <v>0</v>
      </c>
      <c r="AF2356">
        <f>IFERROR(AE2356/$R$2334,0)</f>
        <v>0</v>
      </c>
      <c r="AG2356">
        <f>AE2356*($F$24+IF($F$24=0,0,($C$14+$C$15+IF($C$13="single",1.5,3)+3)/12))</f>
        <v>0</v>
      </c>
      <c r="AH2356">
        <f>AG2356-X2356</f>
        <v>0</v>
      </c>
      <c r="AI2356" cm="1">
        <f t="array" ref="AI2356">IFERROR(IF(AH2356&lt;0,0,AH2356/($R$2334-INDEX(hd_off,MATCH(AQ2356,hd_mark,0),0)/12)),0)</f>
        <v>0</v>
      </c>
      <c r="AJ2356">
        <f>MAX($F$24,$AB$2334)/$Q$2356</f>
        <v>0</v>
      </c>
      <c r="AK2356">
        <f t="shared" si="1468"/>
        <v>0</v>
      </c>
      <c r="AL2356" cm="1">
        <f t="array" ref="AL2356">IFERROR(INDEX(sheath_ecap_asd,MATCH(AP2356,sheath_mark,0),0)*AK2356,0)</f>
        <v>0</v>
      </c>
      <c r="AM2356" cm="1">
        <f t="array" ref="AM2356">IFERROR(INDEX(sheath_wcap_asd,MATCH(AP2356,sheath_mark,0),0)*AK2356,0)</f>
        <v>0</v>
      </c>
      <c r="AN2356" cm="1">
        <f t="array" ref="AN2356">IFERROR(INDEX(hd_cap,MATCH(AQ2356,hd_mark,0),0),0)</f>
        <v>0</v>
      </c>
      <c r="AP2356" s="19"/>
      <c r="AQ2356" s="19"/>
      <c r="AR2356" s="100"/>
      <c r="AS2356" s="93"/>
      <c r="AT2356" s="111">
        <f>$R$2334</f>
        <v>29</v>
      </c>
      <c r="AU2356" t="str">
        <f>$Q$2328</f>
        <v>L5</v>
      </c>
      <c r="AV2356">
        <f>$E$24</f>
        <v>0</v>
      </c>
      <c r="AW2356" cm="1">
        <f t="array" ref="AW2356">IFERROR(IF(AV2356=0,0,(INDEX($C$33:$C$38,MATCH($AZ$2334,$B$33:$B$38,0),0)*(AV2357+$BA$2334)+$AW$2334*COUNTIF(AV2356:AV2356,"&gt;0")*$C$32+$AY$2334*$C$31)*$AU$2334),0)</f>
        <v>0</v>
      </c>
      <c r="AX2356">
        <f>IF(AV2356=0,0,-(COUNTIF(AV2356:AV2356,"&gt;0")*$AW$2334*$C$32+$AY$2334*$C$31)*$H$27*$AU$2334)</f>
        <v>0</v>
      </c>
      <c r="AY2356">
        <f>IF(AV2356=0,0,$AY$2334*$H$26*$AU$2334)</f>
        <v>0</v>
      </c>
      <c r="AZ2356">
        <f>(0.6*AW2356+0.7*AX2356)*$AU$2334/2</f>
        <v>0</v>
      </c>
      <c r="BA2356">
        <f>AW2356*$AU$2334/2</f>
        <v>0</v>
      </c>
      <c r="BC2356">
        <f>IF(AV2356=0,0,$BG$2334*$AP$2328)</f>
        <v>0</v>
      </c>
      <c r="BD2356">
        <f>IFERROR(BC2356/$AU$2334,0)</f>
        <v>0</v>
      </c>
      <c r="BE2356">
        <f>BC2356*($F$24+IF($F$24=0,0,($C$14+$C$15+IF($C$13="single",1.5,3)+3)/12))</f>
        <v>0</v>
      </c>
      <c r="BF2356">
        <f>BE2356-AZ2356</f>
        <v>0</v>
      </c>
      <c r="BG2356" cm="1">
        <f t="array" ref="BG2356">IFERROR(IF(BF2356&lt;0,0,BF2356/($AU$2334-INDEX(hd_off,MATCH(BT2356,hd_mark,0),0)/12)),0)</f>
        <v>0</v>
      </c>
      <c r="BH2356">
        <f>IF(AV2356=0,0,$BG$2334*$AM$2328)</f>
        <v>0</v>
      </c>
      <c r="BI2356">
        <f>IFERROR(BH2356/$AU$2334,0)</f>
        <v>0</v>
      </c>
      <c r="BJ2356">
        <f>BH2356*($F$24+IF($F$24=0,0,($C$14+$C$15+IF($C$13="single",1.5,3)+3)/12))</f>
        <v>0</v>
      </c>
      <c r="BK2356">
        <f>BJ2356-BA2356</f>
        <v>0</v>
      </c>
      <c r="BL2356" cm="1">
        <f t="array" ref="BL2356">IFERROR(IF(BK2356&lt;0,0,BK2356/($AU$2334-INDEX(hd_off,MATCH(BT2356,hd_mark,0),0)/12)),0)</f>
        <v>0</v>
      </c>
      <c r="BM2356">
        <f>MAX($F$24,$BE$2334)/$Q$2356</f>
        <v>0</v>
      </c>
      <c r="BN2356">
        <f t="shared" si="1469"/>
        <v>0</v>
      </c>
      <c r="BO2356" cm="1">
        <f t="array" ref="BO2356">IFERROR(INDEX(sheath_ecap_asd,MATCH(BS2356,sheath_mark,0),0)*BN2356,0)</f>
        <v>0</v>
      </c>
      <c r="BP2356" cm="1">
        <f t="array" ref="BP2356">IFERROR(INDEX(sheath_wcap_asd,MATCH(BS2356,sheath_mark,0),0)*BN2356,0)</f>
        <v>0</v>
      </c>
      <c r="BQ2356" cm="1">
        <f t="array" ref="BQ2356">IFERROR(INDEX(hd_cap,MATCH(BT2356,hd_mark,0),0),0)</f>
        <v>0</v>
      </c>
      <c r="BS2356" s="19"/>
      <c r="BT2356" s="19"/>
      <c r="BU2356" s="100"/>
    </row>
    <row r="2357" x14ac:dyDescent="0.25">
      <c r="B2357" t="s">
        <v>460</v>
      </c>
      <c r="C2357" s="19">
        <v>29</v>
      </c>
      <c r="D2357" s="19">
        <v>6</v>
      </c>
      <c r="E2357">
        <f t="shared" si="1465"/>
        <v>35</v>
      </c>
      <c r="H2357">
        <v>12</v>
      </c>
      <c r="I2357" s="19">
        <v>27</v>
      </c>
      <c r="J2357" s="19">
        <v>14</v>
      </c>
      <c r="K2357">
        <f t="shared" si="1466"/>
        <v>41</v>
      </c>
      <c r="P2357" s="93"/>
      <c r="Q2357" s="109"/>
      <c r="R2357" t="str">
        <f>$Q$2329</f>
        <v>Roof</v>
      </c>
      <c r="S2357">
        <f>$E$25</f>
        <v>33.171875</v>
      </c>
      <c r="T2357" cm="1">
        <f t="array" ref="T2357">IFERROR(IF(S2357=0,0,(INDEX($C$33:$C$38,MATCH($W$2334,$B$33:$B$38,0),0)*(S2357+$X$2334)+$V$2334*$C$31)*$R$2334),0)</f>
        <v>21491.71875</v>
      </c>
      <c r="U2357">
        <f>IF(S2357=0,0,-$V$2334*$C$31*$H$27*$R$2334)</f>
        <v>-37.583999999999996</v>
      </c>
      <c r="V2357">
        <f>IF(S2357=0,0,$V$2334*$H$26*$R$2334)</f>
        <v>-1328.1999999999998</v>
      </c>
      <c r="W2357">
        <f>(0.6*T2357+0.7*U2357)*$R$2334/2</f>
        <v>186596.47552499999</v>
      </c>
      <c r="X2357">
        <f>T2357*$R$2334/2</f>
        <v>311629.921875</v>
      </c>
      <c r="Z2357">
        <f>IF(S2357=0,0,$AD$2334*$AP$2329)</f>
        <v>191.83499999999995</v>
      </c>
      <c r="AA2357">
        <f>IFERROR(Z2357/$R$2334,0)</f>
        <v>6.6149999999999984</v>
      </c>
      <c r="AB2357">
        <f>Z2357*($F$25+($C$16+$C$17+IF($C$13="single",1.5,3)+3)/12)</f>
        <v>2263.0535156249989</v>
      </c>
      <c r="AC2357">
        <f>AB2357-W2357</f>
        <v>-184333.42200937498</v>
      </c>
      <c r="AD2357" cm="1">
        <f t="array" ref="AD2357">IFERROR(IF(AC2357&lt;0,0,AC2357/($R$2334-INDEX(hd_off,MATCH(AQ2357,hd_mark,0),0)/12)),0)</f>
        <v>0</v>
      </c>
      <c r="AE2357">
        <f>IF(S2357=0,0,$AD$2334*$AM$2329)</f>
        <v>3854.1</v>
      </c>
      <c r="AF2357">
        <f>IFERROR(AE2357/$R$2334,0)</f>
        <v>132.9</v>
      </c>
      <c r="AG2357">
        <f>AE2357*($F$25+($C$16+$C$17+IF($C$13="single",1.5,3)+3)/12)</f>
        <v>45466.335937499993</v>
      </c>
      <c r="AH2357">
        <f>AG2357-X2357</f>
        <v>-266163.5859375</v>
      </c>
      <c r="AI2357" cm="1">
        <f t="array" ref="AI2357">IFERROR(IF(AH2357&lt;0,0,AH2357/($R$2334-INDEX(hd_off,MATCH(AQ2357,hd_mark,0),0)/12)),0)</f>
        <v>0</v>
      </c>
      <c r="AJ2357">
        <f>MAX($F$25,$AC$2334)/$Q$2356</f>
        <v>0.29920977011494249</v>
      </c>
      <c r="AK2357">
        <f t="shared" si="1468"/>
        <v>1</v>
      </c>
      <c r="AL2357" cm="1">
        <f t="array" ref="AL2357">IFERROR(INDEX(sheath_ecap_asd,MATCH(AP2357,sheath_mark,0),0)*AK2357,0)</f>
        <v>95.285714285714306</v>
      </c>
      <c r="AM2357" cm="1">
        <f t="array" ref="AM2357">IFERROR(INDEX(sheath_wcap_asd,MATCH(AP2357,sheath_mark,0),0)*AK2357,0)</f>
        <v>133.4</v>
      </c>
      <c r="AN2357" cm="1">
        <f t="array" ref="AN2357">IFERROR(INDEX(hd_cap,MATCH(AQ2357,hd_mark,0),0),0)</f>
        <v>0</v>
      </c>
      <c r="AP2357" s="19">
        <v>11</v>
      </c>
      <c r="AQ2357" s="19"/>
      <c r="AR2357" s="100"/>
      <c r="AS2357" s="93"/>
      <c r="AT2357" s="109"/>
      <c r="AU2357" t="str">
        <f>$Q$2329</f>
        <v>Roof</v>
      </c>
      <c r="AV2357">
        <f>$E$25</f>
        <v>33.171875</v>
      </c>
      <c r="AW2357" cm="1">
        <f t="array" ref="AW2357">IFERROR(IF(AV2357=0,0,(INDEX($C$33:$C$38,MATCH($AZ$2334,$B$33:$B$38,0),0)*(AV2357+$BA$2334)+$AY$2334*$C$31)*$AU$2334),0)</f>
        <v>21491.71875</v>
      </c>
      <c r="AX2357">
        <f>IF(AV2357=0,0,-$AY$2334*$C$31*$H$27*$AU$2334)</f>
        <v>-37.583999999999996</v>
      </c>
      <c r="AY2357">
        <f>IF(AV2357=0,0,$AY$2334*$H$26*$AU$2334)</f>
        <v>-1328.1999999999998</v>
      </c>
      <c r="AZ2357">
        <f>(0.6*AW2357+0.7*AX2357)*$AU$2334/2</f>
        <v>186596.47552499999</v>
      </c>
      <c r="BA2357">
        <f>AW2357*$AU$2334/2</f>
        <v>311629.921875</v>
      </c>
      <c r="BC2357">
        <f>IF(AV2357=0,0,$BG$2334*$AP$2329)</f>
        <v>191.83499999999995</v>
      </c>
      <c r="BD2357">
        <f>IFERROR(BC2357/$AU$2334,0)</f>
        <v>6.6149999999999984</v>
      </c>
      <c r="BE2357">
        <f>BC2357*($F$25+($C$16+$C$17+IF($C$13="single",1.5,3)+3)/12)</f>
        <v>2263.0535156249989</v>
      </c>
      <c r="BF2357">
        <f>BE2357-AZ2357</f>
        <v>-184333.42200937498</v>
      </c>
      <c r="BG2357" cm="1">
        <f t="array" ref="BG2357">IFERROR(IF(BF2357&lt;0,0,BF2357/($AU$2334-INDEX(hd_off,MATCH(BT2357,hd_mark,0),0)/12)),0)</f>
        <v>0</v>
      </c>
      <c r="BH2357">
        <f>IF(AV2357=0,0,$BG$2334*$AM$2329)</f>
        <v>3854.1</v>
      </c>
      <c r="BI2357">
        <f>IFERROR(BH2357/$AU$2334,0)</f>
        <v>132.9</v>
      </c>
      <c r="BJ2357">
        <f>BH2357*($F$25+($C$16+$C$17+IF($C$13="single",1.5,3)+3)/12)</f>
        <v>45466.335937499993</v>
      </c>
      <c r="BK2357">
        <f>BJ2357-BA2357</f>
        <v>-266163.5859375</v>
      </c>
      <c r="BL2357" cm="1">
        <f t="array" ref="BL2357">IFERROR(IF(BK2357&lt;0,0,BK2357/($AU$2334-INDEX(hd_off,MATCH(BT2357,hd_mark,0),0)/12)),0)</f>
        <v>0</v>
      </c>
      <c r="BM2357">
        <f>MAX($F$25,$BF$2334)/$Q$2356</f>
        <v>0.29920977011494249</v>
      </c>
      <c r="BN2357">
        <f t="shared" si="1469"/>
        <v>1</v>
      </c>
      <c r="BO2357" cm="1">
        <f t="array" ref="BO2357">IFERROR(INDEX(sheath_ecap_asd,MATCH(BS2357,sheath_mark,0),0)*BN2357,0)</f>
        <v>95.285714285714306</v>
      </c>
      <c r="BP2357" cm="1">
        <f t="array" ref="BP2357">IFERROR(INDEX(sheath_wcap_asd,MATCH(BS2357,sheath_mark,0),0)*BN2357,0)</f>
        <v>133.4</v>
      </c>
      <c r="BQ2357" cm="1">
        <f t="array" ref="BQ2357">IFERROR(INDEX(hd_cap,MATCH(BT2357,hd_mark,0),0),0)</f>
        <v>0</v>
      </c>
      <c r="BS2357" s="19">
        <v>11</v>
      </c>
      <c r="BT2357" s="19"/>
      <c r="BU2357" s="100"/>
    </row>
    <row r="2358" x14ac:dyDescent="0.25">
      <c r="B2358" t="s">
        <v>461</v>
      </c>
      <c r="C2358" s="19">
        <v>6</v>
      </c>
      <c r="D2358" s="19">
        <v>29</v>
      </c>
      <c r="E2358">
        <f t="shared" si="1465"/>
        <v>35</v>
      </c>
      <c r="H2358">
        <v>13</v>
      </c>
      <c r="I2358" s="19">
        <v>14</v>
      </c>
      <c r="J2358" s="19">
        <v>12</v>
      </c>
      <c r="K2358">
        <f t="shared" si="1466"/>
        <v>26</v>
      </c>
      <c r="P2358" s="93"/>
      <c r="Q2358" s="109"/>
      <c r="AR2358" s="100"/>
      <c r="AS2358" s="93"/>
      <c r="AT2358" s="109"/>
      <c r="BU2358" s="100"/>
    </row>
    <row r="2359" x14ac:dyDescent="0.25">
      <c r="B2359" t="s">
        <v>462</v>
      </c>
      <c r="C2359" s="19">
        <v>29</v>
      </c>
      <c r="D2359" s="19">
        <v>0</v>
      </c>
      <c r="E2359">
        <f t="shared" si="1465"/>
        <v>29</v>
      </c>
      <c r="H2359">
        <v>14</v>
      </c>
      <c r="I2359" s="19">
        <v>12</v>
      </c>
      <c r="J2359" s="19">
        <v>27</v>
      </c>
      <c r="K2359">
        <f t="shared" si="1466"/>
        <v>39</v>
      </c>
      <c r="P2359" s="93"/>
      <c r="Q2359" s="110" t="str">
        <f>$Q$2335</f>
        <v>A.02</v>
      </c>
      <c r="R2359" t="str">
        <f>$Q$2325</f>
        <v>L2</v>
      </c>
      <c r="S2359">
        <f>$E$21</f>
        <v>10.6875</v>
      </c>
      <c r="T2359" cm="1">
        <f t="array" ref="T2359">IFERROR(IF(S2359=0,0,(INDEX($C$33:$C$38,MATCH($W$2335,$B$33:$B$38,0),0)*(S2363+$X$2335)+$T$2335*COUNTIF(S2359:S2362,"&gt;0")*$C$32+$V$2335*$C$31)*$R$2335),0)</f>
        <v>0</v>
      </c>
      <c r="U2359">
        <f>IF(S2359=0,0,-(COUNTIF(S2359:S2362,"&gt;0")*$T$2335*$C$32+$V$2335*$C$31)*$H$27*$R$2335)</f>
        <v>0</v>
      </c>
      <c r="V2359">
        <f>IF(S2359=0,0,$V$2335*$H$26*$R$2335)</f>
        <v>0</v>
      </c>
      <c r="W2359">
        <f>(0.6*T2359+0.7*U2359)*$R$2335/2</f>
        <v>0</v>
      </c>
      <c r="X2359">
        <f>(0.6*T2359+0.6*V2359)*$R$2335/2</f>
        <v>0</v>
      </c>
      <c r="Z2359">
        <f>IF(S2359=0,0,$AD$2335*$AP$2325)</f>
        <v>0</v>
      </c>
      <c r="AA2359">
        <f>IFERROR(Z2359/$R$2335,0)</f>
        <v>0</v>
      </c>
      <c r="AB2359">
        <f>Z2359*($F$21+IF($F$21=0,0,($C$14+$C$15+IF($C$13="single",1.5,3)+3)/12))</f>
        <v>0</v>
      </c>
      <c r="AC2359">
        <f>AB2359-W2359</f>
        <v>0</v>
      </c>
      <c r="AD2359" cm="1">
        <f t="array" ref="AD2359">IFERROR(IF(AC2359&lt;0,0,AC2359/($R$2335-INDEX(hd_off,MATCH(AQ2359,hd_mark,0),0)/12)),0)</f>
        <v>0</v>
      </c>
      <c r="AE2359">
        <f>IF(S2359=0,0,$AD$2335*$AM$2325)</f>
        <v>0</v>
      </c>
      <c r="AF2359">
        <f>IFERROR(AE2359/$R$2335,0)</f>
        <v>0</v>
      </c>
      <c r="AG2359">
        <f>AE2359*($F$21+IF($F$21=0,0,($C$14+$C$15+IF($C$13="single",1.5,3)+3)/12))</f>
        <v>0</v>
      </c>
      <c r="AH2359">
        <f>AG2359-X2359</f>
        <v>0</v>
      </c>
      <c r="AI2359" cm="1">
        <f t="array" ref="AI2359">IFERROR(IF(AH2359&lt;0,0,AH2359/($R$2335-INDEX(hd_off,MATCH(AQ2359,hd_mark,0),0)/12)),0)</f>
        <v>0</v>
      </c>
      <c r="AJ2359">
        <f>MAX($F$21,$Y$2335)/$Q$2356</f>
        <v>0.30172413793103448</v>
      </c>
      <c r="AK2359">
        <f>IF(AJ2359=0,0,IF(AJ2359&gt;2,1.25-0.125*AJ2359,1))</f>
        <v>1</v>
      </c>
      <c r="AL2359" cm="1">
        <f t="array" ref="AL2359">IFERROR(INDEX(sheath_ecap_asd,MATCH(AP2359,sheath_mark,0),0)*AK2359,0)</f>
        <v>0</v>
      </c>
      <c r="AM2359" cm="1">
        <f t="array" ref="AM2359">IFERROR(INDEX(sheath_wcap_asd,MATCH(AP2359,sheath_mark,0),0)*AK2359,0)</f>
        <v>0</v>
      </c>
      <c r="AN2359" cm="1">
        <f t="array" ref="AN2359">IFERROR(INDEX(hd_cap,MATCH(AQ2359,hd_mark,0),0),0)</f>
        <v>0</v>
      </c>
      <c r="AP2359" s="19"/>
      <c r="AQ2359" s="19"/>
      <c r="AR2359" s="100"/>
      <c r="AS2359" s="93"/>
      <c r="AT2359" s="110" t="str">
        <f>$AT$2335</f>
        <v>1.02</v>
      </c>
      <c r="AU2359" t="str">
        <f>$Q$2325</f>
        <v>L2</v>
      </c>
      <c r="AV2359">
        <f>$E$21</f>
        <v>10.6875</v>
      </c>
      <c r="AW2359" cm="1">
        <f t="array" ref="AW2359">IFERROR(IF(AV2359=0,0,(INDEX($C$33:$C$38,MATCH($AZ$2335,$B$33:$B$38,0),0)*(AV2363+$BA$2335)+$AW$2335*COUNTIF(AV2359:AV2362,"&gt;0")*$C$32+$AY$2335*$C$31)*$AU$2335),0)</f>
        <v>0</v>
      </c>
      <c r="AX2359">
        <f>IF(AV2359=0,0,-(COUNTIF(AV2359:AV2362,"&gt;0")*$AW$2335*$C$32+$AY$2335*$C$31)*$H$27*$AU$2335)</f>
        <v>0</v>
      </c>
      <c r="AY2359">
        <f>IF(AV2359=0,0,$AY$2335*$H$26*$AU$2335)</f>
        <v>0</v>
      </c>
      <c r="AZ2359">
        <f>(0.6*AW2359+0.7*AX2359)*$AU$2335/2</f>
        <v>0</v>
      </c>
      <c r="BA2359">
        <f>(0.6*AW2359+0.6*AY2359)*$AU$2335/2</f>
        <v>0</v>
      </c>
      <c r="BC2359">
        <f>IF(AV2359=0,0,$BG$2335*$AP$2325)</f>
        <v>0</v>
      </c>
      <c r="BD2359">
        <f>IFERROR(BC2359/$AU$2335,0)</f>
        <v>0</v>
      </c>
      <c r="BE2359">
        <f>BC2359*($F$21+IF($F$21=0,0,($C$14+$C$15+IF($C$13="single",1.5,3)+3)/12))</f>
        <v>0</v>
      </c>
      <c r="BF2359">
        <f>BE2359-AZ2359</f>
        <v>0</v>
      </c>
      <c r="BG2359" cm="1">
        <f t="array" ref="BG2359">IFERROR(IF(BF2359&lt;0,0,BF2359/($AU$2335-INDEX(hd_off,MATCH(BT2359,hd_mark,0),0)/12)),0)</f>
        <v>0</v>
      </c>
      <c r="BH2359">
        <f>IF(AV2359=0,0,$BG$2335*$AM$2325)</f>
        <v>0</v>
      </c>
      <c r="BI2359">
        <f>IFERROR(BH2359/$AU$2335,0)</f>
        <v>0</v>
      </c>
      <c r="BJ2359">
        <f>BH2359*($F$21+IF($F$21=0,0,($C$14+$C$15+IF($C$13="single",1.5,3)+3)/12))</f>
        <v>0</v>
      </c>
      <c r="BK2359">
        <f>BJ2359-BA2359</f>
        <v>0</v>
      </c>
      <c r="BL2359" cm="1">
        <f t="array" ref="BL2359">IFERROR(IF(BK2359&lt;0,0,BK2359/($AU$2335-INDEX(hd_off,MATCH(BT2359,hd_mark,0),0)/12)),0)</f>
        <v>0</v>
      </c>
      <c r="BM2359">
        <f>MAX($F$21,$BB$2335)/$Q$2356</f>
        <v>0.30172413793103448</v>
      </c>
      <c r="BN2359">
        <f>IF(BM2359=0,0,IF(BM2359&gt;2,1.25-0.125*BM2359,1))</f>
        <v>1</v>
      </c>
      <c r="BO2359" cm="1">
        <f t="array" ref="BO2359">IFERROR(INDEX(sheath_ecap_asd,MATCH(BS2359,sheath_mark,0),0)*BN2359,0)</f>
        <v>0</v>
      </c>
      <c r="BP2359" cm="1">
        <f t="array" ref="BP2359">IFERROR(INDEX(sheath_wcap_asd,MATCH(BS2359,sheath_mark,0),0)*BN2359,0)</f>
        <v>0</v>
      </c>
      <c r="BQ2359" cm="1">
        <f t="array" ref="BQ2359">IFERROR(INDEX(hd_cap,MATCH(BT2359,hd_mark,0),0),0)</f>
        <v>0</v>
      </c>
      <c r="BS2359" s="19"/>
      <c r="BT2359" s="19"/>
      <c r="BU2359" s="100"/>
    </row>
    <row r="2360" x14ac:dyDescent="0.25">
      <c r="B2360" t="s">
        <v>463</v>
      </c>
      <c r="C2360" s="19"/>
      <c r="D2360" s="19"/>
      <c r="E2360">
        <f t="shared" si="1465"/>
        <v>0</v>
      </c>
      <c r="H2360">
        <v>15</v>
      </c>
      <c r="I2360" s="19">
        <v>27</v>
      </c>
      <c r="J2360" s="19">
        <v>18</v>
      </c>
      <c r="K2360">
        <f t="shared" si="1466"/>
        <v>45</v>
      </c>
      <c r="P2360" s="93"/>
      <c r="Q2360" s="109"/>
      <c r="R2360" t="str">
        <f>$Q$2326</f>
        <v>L3</v>
      </c>
      <c r="S2360">
        <f>$E$22</f>
        <v>21.375</v>
      </c>
      <c r="T2360" cm="1">
        <f t="array" ref="T2360">IFERROR(IF(S2360=0,0,(INDEX($C$33:$C$38,MATCH($W$2335,$B$33:$B$38,0),0)*(S2363+$X$2335)+$T$2335*COUNTIF(S2360:S2362,"&gt;0")*$C$32+$V$2335*$C$31)*$R$2335),0)</f>
        <v>0</v>
      </c>
      <c r="U2360">
        <f>IF(S2360=0,0,-(COUNTIF(S2360:S2362,"&gt;0")*$T$2335*$C$32+$V$2335*$C$31)*$H$27*$R$2335)</f>
        <v>0</v>
      </c>
      <c r="V2360">
        <f>IF(S2360=0,0,$V$2335*$H$26*$R$2335)</f>
        <v>0</v>
      </c>
      <c r="W2360">
        <f>(0.6*T2360+0.7*U2360)*$R$2335/2</f>
        <v>0</v>
      </c>
      <c r="X2360">
        <f>T2360*$R$2335/2</f>
        <v>0</v>
      </c>
      <c r="Z2360">
        <f>IF(S2360=0,0,$AD$2335*$AP$2326)</f>
        <v>0</v>
      </c>
      <c r="AA2360">
        <f>IFERROR(Z2360/$R$2335,0)</f>
        <v>0</v>
      </c>
      <c r="AB2360">
        <f>Z2360*($F$22+IF($F$22=0,0,($C$14+$C$15+IF($C$13="single",1.5,3)+3)/12))</f>
        <v>0</v>
      </c>
      <c r="AC2360">
        <f>AB2360-W2360</f>
        <v>0</v>
      </c>
      <c r="AD2360" cm="1">
        <f t="array" ref="AD2360">IFERROR(IF(AC2360&lt;0,0,AC2360/($R$2335-INDEX(hd_off,MATCH(AQ2360,hd_mark,0),0)/12)),0)</f>
        <v>0</v>
      </c>
      <c r="AE2360">
        <f>IF(S2360=0,0,$AD$2335*$AM$2326)</f>
        <v>0</v>
      </c>
      <c r="AF2360">
        <f>IFERROR(AE2360/$R$2335,0)</f>
        <v>0</v>
      </c>
      <c r="AG2360">
        <f>AE2360*($F$22+IF($F$22=0,0,($C$14+$C$15+IF($C$13="single",1.5,3)+3)/12))</f>
        <v>0</v>
      </c>
      <c r="AH2360">
        <f>AG2360-X2360</f>
        <v>0</v>
      </c>
      <c r="AI2360" cm="1">
        <f t="array" ref="AI2360">IFERROR(IF(AH2360&lt;0,0,AH2360/($R$2335-INDEX(hd_off,MATCH(AQ2360,hd_mark,0),0)/12)),0)</f>
        <v>0</v>
      </c>
      <c r="AJ2360">
        <f>MAX($F$22,$Z$2335)/$Q$2356</f>
        <v>0.30172413793103448</v>
      </c>
      <c r="AK2360">
        <f t="shared" ref="AK2360:AK2363" si="1470">IF(AJ2360=0,0,IF(AJ2360&gt;2,1.25-0.125*AJ2360,1))</f>
        <v>1</v>
      </c>
      <c r="AL2360" cm="1">
        <f t="array" ref="AL2360">IFERROR(INDEX(sheath_ecap_asd,MATCH(AP2360,sheath_mark,0),0)*AK2360,0)</f>
        <v>0</v>
      </c>
      <c r="AM2360" cm="1">
        <f t="array" ref="AM2360">IFERROR(INDEX(sheath_wcap_asd,MATCH(AP2360,sheath_mark,0),0)*AK2360,0)</f>
        <v>0</v>
      </c>
      <c r="AN2360" cm="1">
        <f t="array" ref="AN2360">IFERROR(INDEX(hd_cap,MATCH(AQ2360,hd_mark,0),0),0)</f>
        <v>0</v>
      </c>
      <c r="AP2360" s="19"/>
      <c r="AQ2360" s="19"/>
      <c r="AR2360" s="100"/>
      <c r="AS2360" s="93"/>
      <c r="AT2360" s="109"/>
      <c r="AU2360" t="str">
        <f>$Q$2326</f>
        <v>L3</v>
      </c>
      <c r="AV2360">
        <f>$E$22</f>
        <v>21.375</v>
      </c>
      <c r="AW2360" cm="1">
        <f t="array" ref="AW2360">IFERROR(IF(AV2360=0,0,(INDEX($C$33:$C$38,MATCH($AZ$2335,$B$33:$B$38,0),0)*(AV2363+$BA$2335)+$AW$2335*COUNTIF(AV2360:AV2362,"&gt;0")*$C$32+$AY$2335*$C$31)*$AU$2335),0)</f>
        <v>0</v>
      </c>
      <c r="AX2360">
        <f>IF(AV2360=0,0,-(COUNTIF(AV2360:AV2362,"&gt;0")*$AW$2335*$C$32+$AY$2335*$C$31)*$H$27*$AU$2335)</f>
        <v>0</v>
      </c>
      <c r="AY2360">
        <f>IF(AV2360=0,0,$AY$2335*$H$26*$AU$2335)</f>
        <v>0</v>
      </c>
      <c r="AZ2360">
        <f>(0.6*AW2360+0.7*AX2360)*$AU$2335/2</f>
        <v>0</v>
      </c>
      <c r="BA2360">
        <f>AW2360*$AU$2335/2</f>
        <v>0</v>
      </c>
      <c r="BC2360">
        <f>IF(AV2360=0,0,$BG$2335*$AP$2326)</f>
        <v>0</v>
      </c>
      <c r="BD2360">
        <f>IFERROR(BC2360/$AU$2335,0)</f>
        <v>0</v>
      </c>
      <c r="BE2360">
        <f>BC2360*($F$22+IF($F$22=0,0,($C$14+$C$15+IF($C$13="single",1.5,3)+3)/12))</f>
        <v>0</v>
      </c>
      <c r="BF2360">
        <f>BE2360-AZ2360</f>
        <v>0</v>
      </c>
      <c r="BG2360" cm="1">
        <f t="array" ref="BG2360">IFERROR(IF(BF2360&lt;0,0,BF2360/($AU$2335-INDEX(hd_off,MATCH(BT2360,hd_mark,0),0)/12)),0)</f>
        <v>0</v>
      </c>
      <c r="BH2360">
        <f>IF(AV2360=0,0,$BG$2335*$AM$2326)</f>
        <v>0</v>
      </c>
      <c r="BI2360">
        <f>IFERROR(BH2360/$AU$2335,0)</f>
        <v>0</v>
      </c>
      <c r="BJ2360">
        <f>BH2360*($F$22+IF($F$22=0,0,($C$14+$C$15+IF($C$13="single",1.5,3)+3)/12))</f>
        <v>0</v>
      </c>
      <c r="BK2360">
        <f>BJ2360-BA2360</f>
        <v>0</v>
      </c>
      <c r="BL2360" cm="1">
        <f t="array" ref="BL2360">IFERROR(IF(BK2360&lt;0,0,BK2360/($AU$2335-INDEX(hd_off,MATCH(BT2360,hd_mark,0),0)/12)),0)</f>
        <v>0</v>
      </c>
      <c r="BM2360">
        <f>MAX($F$22,$BC$2335)/$Q$2356</f>
        <v>0.30172413793103448</v>
      </c>
      <c r="BN2360">
        <f t="shared" ref="BN2360:BN2363" si="1471">IF(BM2360=0,0,IF(BM2360&gt;2,1.25-0.125*BM2360,1))</f>
        <v>1</v>
      </c>
      <c r="BO2360" cm="1">
        <f t="array" ref="BO2360">IFERROR(INDEX(sheath_ecap_asd,MATCH(BS2360,sheath_mark,0),0)*BN2360,0)</f>
        <v>0</v>
      </c>
      <c r="BP2360" cm="1">
        <f t="array" ref="BP2360">IFERROR(INDEX(sheath_wcap_asd,MATCH(BS2360,sheath_mark,0),0)*BN2360,0)</f>
        <v>0</v>
      </c>
      <c r="BQ2360" cm="1">
        <f t="array" ref="BQ2360">IFERROR(INDEX(hd_cap,MATCH(BT2360,hd_mark,0),0),0)</f>
        <v>0</v>
      </c>
      <c r="BS2360" s="19"/>
      <c r="BT2360" s="19"/>
      <c r="BU2360" s="100"/>
    </row>
    <row r="2361" x14ac:dyDescent="0.25">
      <c r="B2361" t="s">
        <v>464</v>
      </c>
      <c r="C2361" s="19"/>
      <c r="D2361" s="19"/>
      <c r="E2361">
        <f t="shared" si="1465"/>
        <v>0</v>
      </c>
      <c r="H2361">
        <v>16</v>
      </c>
      <c r="I2361" s="19"/>
      <c r="J2361" s="19"/>
      <c r="K2361">
        <f t="shared" si="1466"/>
        <v>0</v>
      </c>
      <c r="P2361" s="93"/>
      <c r="Q2361" s="109" t="s">
        <v>491</v>
      </c>
      <c r="R2361" t="str">
        <f>$Q$2327</f>
        <v>L4</v>
      </c>
      <c r="S2361">
        <f>$E$23</f>
        <v>0</v>
      </c>
      <c r="T2361" cm="1">
        <f t="array" ref="T2361">IFERROR(IF(S2361=0,0,(INDEX($C$33:$C$38,MATCH($W$2335,$B$33:$B$38,0),0)*(S2363+$X$2335)+$T$2335*COUNTIF(S2361:S2362,"&gt;0")*$C$32+$V$2335*$C$31)*$R$2335),0)</f>
        <v>0</v>
      </c>
      <c r="U2361">
        <f>IF(S2361=0,0,-(COUNTIF(S2361:S2362,"&gt;0")*$T$2335*$C$32+$V$2335*$C$31)*$H$27*$R$2335)</f>
        <v>0</v>
      </c>
      <c r="V2361">
        <f>IF(S2361=0,0,$V$2335*$H$26*$R$2335)</f>
        <v>0</v>
      </c>
      <c r="W2361">
        <f>(0.6*T2361+0.7*U2361)*$R$2335/2</f>
        <v>0</v>
      </c>
      <c r="X2361">
        <f>T2361*$R$2335/2</f>
        <v>0</v>
      </c>
      <c r="Z2361">
        <f>IF(S2361=0,0,$AD$2335*$AP$2327)</f>
        <v>0</v>
      </c>
      <c r="AA2361">
        <f>IFERROR(Z2361/$R$2335,0)</f>
        <v>0</v>
      </c>
      <c r="AB2361">
        <f>Z2361*($F$23+IF($F$23=0,0,($C$14+$C$15+IF($C$13="single",1.5,3)+3)/12))</f>
        <v>0</v>
      </c>
      <c r="AC2361">
        <f>AB2361-W2361</f>
        <v>0</v>
      </c>
      <c r="AD2361" cm="1">
        <f t="array" ref="AD2361">IFERROR(IF(AC2361&lt;0,0,AC2361/($R$2335-INDEX(hd_off,MATCH(AQ2361,hd_mark,0),0)/12)),0)</f>
        <v>0</v>
      </c>
      <c r="AE2361">
        <f>IF(S2361=0,0,$AD$2335*$AM$2327)</f>
        <v>0</v>
      </c>
      <c r="AF2361">
        <f>IFERROR(AE2361/$R$2335,0)</f>
        <v>0</v>
      </c>
      <c r="AG2361">
        <f>AE2361*($F$23+IF($F$23=0,0,($C$14+$C$15+IF($C$13="single",1.5,3)+3)/12))</f>
        <v>0</v>
      </c>
      <c r="AH2361">
        <f>AG2361-X2361</f>
        <v>0</v>
      </c>
      <c r="AI2361" cm="1">
        <f t="array" ref="AI2361">IFERROR(IF(AH2361&lt;0,0,AH2361/($R$2335-INDEX(hd_off,MATCH(AQ2361,hd_mark,0),0)/12)),0)</f>
        <v>0</v>
      </c>
      <c r="AJ2361">
        <f>MAX($F$23,$AA$2335)/$Q$2356</f>
        <v>0</v>
      </c>
      <c r="AK2361">
        <f t="shared" si="1470"/>
        <v>0</v>
      </c>
      <c r="AL2361" cm="1">
        <f t="array" ref="AL2361">IFERROR(INDEX(sheath_ecap_asd,MATCH(AP2361,sheath_mark,0),0)*AK2361,0)</f>
        <v>0</v>
      </c>
      <c r="AM2361" cm="1">
        <f t="array" ref="AM2361">IFERROR(INDEX(sheath_wcap_asd,MATCH(AP2361,sheath_mark,0),0)*AK2361,0)</f>
        <v>0</v>
      </c>
      <c r="AN2361" cm="1">
        <f t="array" ref="AN2361">IFERROR(INDEX(hd_cap,MATCH(AQ2361,hd_mark,0),0),0)</f>
        <v>0</v>
      </c>
      <c r="AP2361" s="19"/>
      <c r="AQ2361" s="19"/>
      <c r="AR2361" s="100"/>
      <c r="AS2361" s="93"/>
      <c r="AT2361" s="109" t="s">
        <v>491</v>
      </c>
      <c r="AU2361" t="str">
        <f>$Q$2327</f>
        <v>L4</v>
      </c>
      <c r="AV2361">
        <f>$E$23</f>
        <v>0</v>
      </c>
      <c r="AW2361" cm="1">
        <f t="array" ref="AW2361">IFERROR(IF(AV2361=0,0,(INDEX($C$33:$C$38,MATCH($AZ$2335,$B$33:$B$38,0),0)*(AV2363+$BA$2335)+$AW$2335*COUNTIF(AV2361:AV2362,"&gt;0")*$C$32+$AY$2335*$C$31)*$AU$2335),0)</f>
        <v>0</v>
      </c>
      <c r="AX2361">
        <f>IF(AV2361=0,0,-(COUNTIF(AV2361:AV2362,"&gt;0")*$AW$2335*$C$32+$AY$2335*$C$31)*$H$27*$AU$2335)</f>
        <v>0</v>
      </c>
      <c r="AY2361">
        <f>IF(AV2361=0,0,$AY$2335*$H$26*$AU$2335)</f>
        <v>0</v>
      </c>
      <c r="AZ2361">
        <f>(0.6*AW2361+0.7*AX2361)*$AU$2335/2</f>
        <v>0</v>
      </c>
      <c r="BA2361">
        <f>AW2361*$AU$2335/2</f>
        <v>0</v>
      </c>
      <c r="BC2361">
        <f>IF(AV2361=0,0,$BG$2335*$AP$2327)</f>
        <v>0</v>
      </c>
      <c r="BD2361">
        <f>IFERROR(BC2361/$AU$2335,0)</f>
        <v>0</v>
      </c>
      <c r="BE2361">
        <f>BC2361*($F$23+IF($F$23=0,0,($C$14+$C$15+IF($C$13="single",1.5,3)+3)/12))</f>
        <v>0</v>
      </c>
      <c r="BF2361">
        <f>BE2361-AZ2361</f>
        <v>0</v>
      </c>
      <c r="BG2361" cm="1">
        <f t="array" ref="BG2361">IFERROR(IF(BF2361&lt;0,0,BF2361/($AU$2335-INDEX(hd_off,MATCH(BT2361,hd_mark,0),0)/12)),0)</f>
        <v>0</v>
      </c>
      <c r="BH2361">
        <f>IF(AV2361=0,0,$BG$2335*$AM$2327)</f>
        <v>0</v>
      </c>
      <c r="BI2361">
        <f>IFERROR(BH2361/$AU$2335,0)</f>
        <v>0</v>
      </c>
      <c r="BJ2361">
        <f>BH2361*($F$23+IF($F$23=0,0,($C$14+$C$15+IF($C$13="single",1.5,3)+3)/12))</f>
        <v>0</v>
      </c>
      <c r="BK2361">
        <f>BJ2361-BA2361</f>
        <v>0</v>
      </c>
      <c r="BL2361" cm="1">
        <f t="array" ref="BL2361">IFERROR(IF(BK2361&lt;0,0,BK2361/($AU$2335-INDEX(hd_off,MATCH(BT2361,hd_mark,0),0)/12)),0)</f>
        <v>0</v>
      </c>
      <c r="BM2361">
        <f>MAX($F$23,$BD$2335)/$Q$2356</f>
        <v>0</v>
      </c>
      <c r="BN2361">
        <f t="shared" si="1471"/>
        <v>0</v>
      </c>
      <c r="BO2361" cm="1">
        <f t="array" ref="BO2361">IFERROR(INDEX(sheath_ecap_asd,MATCH(BS2361,sheath_mark,0),0)*BN2361,0)</f>
        <v>0</v>
      </c>
      <c r="BP2361" cm="1">
        <f t="array" ref="BP2361">IFERROR(INDEX(sheath_wcap_asd,MATCH(BS2361,sheath_mark,0),0)*BN2361,0)</f>
        <v>0</v>
      </c>
      <c r="BQ2361" cm="1">
        <f t="array" ref="BQ2361">IFERROR(INDEX(hd_cap,MATCH(BT2361,hd_mark,0),0),0)</f>
        <v>0</v>
      </c>
      <c r="BS2361" s="19"/>
      <c r="BT2361" s="19"/>
      <c r="BU2361" s="100"/>
    </row>
    <row r="2362" x14ac:dyDescent="0.25">
      <c r="B2362" t="s">
        <v>465</v>
      </c>
      <c r="C2362" s="19"/>
      <c r="D2362" s="19"/>
      <c r="E2362">
        <f t="shared" si="1465"/>
        <v>0</v>
      </c>
      <c r="H2362">
        <v>17</v>
      </c>
      <c r="I2362" s="19"/>
      <c r="J2362" s="19"/>
      <c r="K2362">
        <f t="shared" si="1466"/>
        <v>0</v>
      </c>
      <c r="P2362" s="93"/>
      <c r="Q2362" s="111">
        <f>$R$2335</f>
        <v>0</v>
      </c>
      <c r="R2362" t="str">
        <f>$Q$2328</f>
        <v>L5</v>
      </c>
      <c r="S2362">
        <f>$E$24</f>
        <v>0</v>
      </c>
      <c r="T2362" cm="1">
        <f t="array" ref="T2362">IFERROR(IF(S2362=0,0,(INDEX($C$33:$C$38,MATCH($W$2335,$B$33:$B$38,0),0)*(S2363+$X$2335)+$T$2335*COUNTIF(S2362:S2362,"&gt;0")*$C$32+$V$2335*$C$31)*$R$2335),0)</f>
        <v>0</v>
      </c>
      <c r="U2362">
        <f>IF(S2362=0,0,-(COUNTIF(S2362:S2362,"&gt;0")*$T$2335*$C$32+$V$2335*$C$31)*$H$27*$R$2335)</f>
        <v>0</v>
      </c>
      <c r="V2362">
        <f>IF(S2362=0,0,$V$2335*$H$26*$R$2335)</f>
        <v>0</v>
      </c>
      <c r="W2362">
        <f>(0.6*T2362+0.7*U2362)*$R$2335/2</f>
        <v>0</v>
      </c>
      <c r="X2362">
        <f>T2362*$R$2335/2</f>
        <v>0</v>
      </c>
      <c r="Z2362">
        <f>IF(S2362=0,0,$AD$2335*$AP$2328)</f>
        <v>0</v>
      </c>
      <c r="AA2362">
        <f>IFERROR(Z2362/$R$2335,0)</f>
        <v>0</v>
      </c>
      <c r="AB2362">
        <f>Z2362*($F$24+IF($F$24=0,0,($C$14+$C$15+IF($C$13="single",1.5,3)+3)/12))</f>
        <v>0</v>
      </c>
      <c r="AC2362">
        <f>AB2362-W2362</f>
        <v>0</v>
      </c>
      <c r="AD2362" cm="1">
        <f t="array" ref="AD2362">IFERROR(IF(AC2362&lt;0,0,AC2362/($R$2335-INDEX(hd_off,MATCH(AQ2362,hd_mark,0),0)/12)),0)</f>
        <v>0</v>
      </c>
      <c r="AE2362">
        <f>IF(S2362=0,0,$AD$2335*$AM$2328)</f>
        <v>0</v>
      </c>
      <c r="AF2362">
        <f>IFERROR(AE2362/$R$2335,0)</f>
        <v>0</v>
      </c>
      <c r="AG2362">
        <f>AE2362*($F$24+IF($F$24=0,0,($C$14+$C$15+IF($C$13="single",1.5,3)+3)/12))</f>
        <v>0</v>
      </c>
      <c r="AH2362">
        <f>AG2362-X2362</f>
        <v>0</v>
      </c>
      <c r="AI2362" cm="1">
        <f t="array" ref="AI2362">IFERROR(IF(AH2362&lt;0,0,AH2362/($R$2335-INDEX(hd_off,MATCH(AQ2362,hd_mark,0),0)/12)),0)</f>
        <v>0</v>
      </c>
      <c r="AJ2362">
        <f>MAX($F$24,$AB$2335)/$Q$2356</f>
        <v>0</v>
      </c>
      <c r="AK2362">
        <f t="shared" si="1470"/>
        <v>0</v>
      </c>
      <c r="AL2362" cm="1">
        <f t="array" ref="AL2362">IFERROR(INDEX(sheath_ecap_asd,MATCH(AP2362,sheath_mark,0),0)*AK2362,0)</f>
        <v>0</v>
      </c>
      <c r="AM2362" cm="1">
        <f t="array" ref="AM2362">IFERROR(INDEX(sheath_wcap_asd,MATCH(AP2362,sheath_mark,0),0)*AK2362,0)</f>
        <v>0</v>
      </c>
      <c r="AN2362" cm="1">
        <f t="array" ref="AN2362">IFERROR(INDEX(hd_cap,MATCH(AQ2362,hd_mark,0),0),0)</f>
        <v>0</v>
      </c>
      <c r="AP2362" s="19"/>
      <c r="AQ2362" s="19"/>
      <c r="AR2362" s="100"/>
      <c r="AS2362" s="93"/>
      <c r="AT2362" s="111">
        <f>$R$2335</f>
        <v>0</v>
      </c>
      <c r="AU2362" t="str">
        <f>$Q$2328</f>
        <v>L5</v>
      </c>
      <c r="AV2362">
        <f>$E$24</f>
        <v>0</v>
      </c>
      <c r="AW2362" cm="1">
        <f t="array" ref="AW2362">IFERROR(IF(AV2362=0,0,(INDEX($C$33:$C$38,MATCH($AZ$2335,$B$33:$B$38,0),0)*(AV2363+$BA$2335)+$AW$2335*COUNTIF(AV2362:AV2362,"&gt;0")*$C$32+$AY$2335*$C$31)*$AU$2335),0)</f>
        <v>0</v>
      </c>
      <c r="AX2362">
        <f>IF(AV2362=0,0,-(COUNTIF(AV2362:AV2362,"&gt;0")*$AW$2335*$C$32+$AY$2335*$C$31)*$H$27*$AU$2335)</f>
        <v>0</v>
      </c>
      <c r="AY2362">
        <f>IF(AV2362=0,0,$AY$2335*$H$26*$AU$2335)</f>
        <v>0</v>
      </c>
      <c r="AZ2362">
        <f>(0.6*AW2362+0.7*AX2362)*$AU$2335/2</f>
        <v>0</v>
      </c>
      <c r="BA2362">
        <f>AW2362*$AU$2335/2</f>
        <v>0</v>
      </c>
      <c r="BC2362">
        <f>IF(AV2362=0,0,$BG$2335*$AP$2328)</f>
        <v>0</v>
      </c>
      <c r="BD2362">
        <f>IFERROR(BC2362/$AU$2335,0)</f>
        <v>0</v>
      </c>
      <c r="BE2362">
        <f>BC2362*($F$24+IF($F$24=0,0,($C$14+$C$15+IF($C$13="single",1.5,3)+3)/12))</f>
        <v>0</v>
      </c>
      <c r="BF2362">
        <f>BE2362-AZ2362</f>
        <v>0</v>
      </c>
      <c r="BG2362" cm="1">
        <f t="array" ref="BG2362">IFERROR(IF(BF2362&lt;0,0,BF2362/($AU$2335-INDEX(hd_off,MATCH(BT2362,hd_mark,0),0)/12)),0)</f>
        <v>0</v>
      </c>
      <c r="BH2362">
        <f>IF(AV2362=0,0,$BG$2335*$AM$2328)</f>
        <v>0</v>
      </c>
      <c r="BI2362">
        <f>IFERROR(BH2362/$AU$2335,0)</f>
        <v>0</v>
      </c>
      <c r="BJ2362">
        <f>BH2362*($F$24+IF($F$24=0,0,($C$14+$C$15+IF($C$13="single",1.5,3)+3)/12))</f>
        <v>0</v>
      </c>
      <c r="BK2362">
        <f>BJ2362-BA2362</f>
        <v>0</v>
      </c>
      <c r="BL2362" cm="1">
        <f t="array" ref="BL2362">IFERROR(IF(BK2362&lt;0,0,BK2362/($AU$2335-INDEX(hd_off,MATCH(BT2362,hd_mark,0),0)/12)),0)</f>
        <v>0</v>
      </c>
      <c r="BM2362">
        <f>MAX($F$24,$BE$2335)/$Q$2356</f>
        <v>0</v>
      </c>
      <c r="BN2362">
        <f t="shared" si="1471"/>
        <v>0</v>
      </c>
      <c r="BO2362" cm="1">
        <f t="array" ref="BO2362">IFERROR(INDEX(sheath_ecap_asd,MATCH(BS2362,sheath_mark,0),0)*BN2362,0)</f>
        <v>0</v>
      </c>
      <c r="BP2362" cm="1">
        <f t="array" ref="BP2362">IFERROR(INDEX(sheath_wcap_asd,MATCH(BS2362,sheath_mark,0),0)*BN2362,0)</f>
        <v>0</v>
      </c>
      <c r="BQ2362" cm="1">
        <f t="array" ref="BQ2362">IFERROR(INDEX(hd_cap,MATCH(BT2362,hd_mark,0),0),0)</f>
        <v>0</v>
      </c>
      <c r="BS2362" s="19"/>
      <c r="BT2362" s="19"/>
      <c r="BU2362" s="100"/>
    </row>
    <row r="2363" x14ac:dyDescent="0.25">
      <c r="B2363" t="s">
        <v>466</v>
      </c>
      <c r="C2363" s="19"/>
      <c r="D2363" s="19"/>
      <c r="E2363">
        <f t="shared" si="1465"/>
        <v>0</v>
      </c>
      <c r="H2363">
        <v>18</v>
      </c>
      <c r="I2363" s="19"/>
      <c r="J2363" s="19"/>
      <c r="K2363">
        <f t="shared" si="1466"/>
        <v>0</v>
      </c>
      <c r="P2363" s="93"/>
      <c r="Q2363" s="109"/>
      <c r="R2363" t="str">
        <f>$Q$2329</f>
        <v>Roof</v>
      </c>
      <c r="S2363">
        <f>$E$25</f>
        <v>33.171875</v>
      </c>
      <c r="T2363" cm="1">
        <f t="array" ref="T2363">IFERROR(IF(S2363=0,0,(INDEX($C$33:$C$38,MATCH($W$2335,$B$33:$B$38,0),0)*(S2363+$X$2335)+$V$2335*$C$31)*$R$2335),0)</f>
        <v>0</v>
      </c>
      <c r="U2363">
        <f>IF(S2363=0,0,-$V$2335*$C$31*$H$27*$R$2335)</f>
        <v>0</v>
      </c>
      <c r="V2363">
        <f>IF(S2363=0,0,$V$2335*$H$26*$R$2335)</f>
        <v>0</v>
      </c>
      <c r="W2363">
        <f>(0.6*T2363+0.7*U2363)*$R$2335/2</f>
        <v>0</v>
      </c>
      <c r="X2363">
        <f>T2363*$R$2335/2</f>
        <v>0</v>
      </c>
      <c r="Z2363">
        <f>IF(S2363=0,0,$AD$2335*$AP$2329)</f>
        <v>0</v>
      </c>
      <c r="AA2363">
        <f>IFERROR(Z2363/$R$2335,0)</f>
        <v>0</v>
      </c>
      <c r="AB2363">
        <f>Z2363*($F$25+($C$16+$C$17+IF($C$13="single",1.5,3)+3)/12)</f>
        <v>0</v>
      </c>
      <c r="AC2363">
        <f>AB2363-W2363</f>
        <v>0</v>
      </c>
      <c r="AD2363" cm="1">
        <f t="array" ref="AD2363">IFERROR(IF(AC2363&lt;0,0,AC2363/($R$2335-INDEX(hd_off,MATCH(AQ2363,hd_mark,0),0)/12)),0)</f>
        <v>0</v>
      </c>
      <c r="AE2363">
        <f>IF(S2363=0,0,$AD$2335*$AM$2329)</f>
        <v>0</v>
      </c>
      <c r="AF2363">
        <f>IFERROR(AE2363/$R$2335,0)</f>
        <v>0</v>
      </c>
      <c r="AG2363">
        <f>AE2363*($F$25+($C$16+$C$17+IF($C$13="single",1.5,3)+3)/12)</f>
        <v>0</v>
      </c>
      <c r="AH2363">
        <f>AG2363-X2363</f>
        <v>0</v>
      </c>
      <c r="AI2363" cm="1">
        <f t="array" ref="AI2363">IFERROR(IF(AH2363&lt;0,0,AH2363/($R$2335-INDEX(hd_off,MATCH(AQ2363,hd_mark,0),0)/12)),0)</f>
        <v>0</v>
      </c>
      <c r="AJ2363">
        <f>MAX($F$25,$AC$2335)/$Q$2356</f>
        <v>0.29920977011494249</v>
      </c>
      <c r="AK2363">
        <f t="shared" si="1470"/>
        <v>1</v>
      </c>
      <c r="AL2363" cm="1">
        <f t="array" ref="AL2363">IFERROR(INDEX(sheath_ecap_asd,MATCH(AP2363,sheath_mark,0),0)*AK2363,0)</f>
        <v>0</v>
      </c>
      <c r="AM2363" cm="1">
        <f t="array" ref="AM2363">IFERROR(INDEX(sheath_wcap_asd,MATCH(AP2363,sheath_mark,0),0)*AK2363,0)</f>
        <v>0</v>
      </c>
      <c r="AN2363" cm="1">
        <f t="array" ref="AN2363">IFERROR(INDEX(hd_cap,MATCH(AQ2363,hd_mark,0),0),0)</f>
        <v>0</v>
      </c>
      <c r="AP2363" s="19"/>
      <c r="AQ2363" s="19"/>
      <c r="AR2363" s="100"/>
      <c r="AS2363" s="93"/>
      <c r="AT2363" s="109"/>
      <c r="AU2363" t="str">
        <f>$Q$2329</f>
        <v>Roof</v>
      </c>
      <c r="AV2363">
        <f>$E$25</f>
        <v>33.171875</v>
      </c>
      <c r="AW2363" cm="1">
        <f t="array" ref="AW2363">IFERROR(IF(AV2363=0,0,(INDEX($C$33:$C$38,MATCH($AZ$2335,$B$33:$B$38,0),0)*(AV2363+$BA$2335)+$AY$2335*$C$31)*$AU$2335),0)</f>
        <v>0</v>
      </c>
      <c r="AX2363">
        <f>IF(AV2363=0,0,-$AY$2335*$C$31*$H$27*$AU$2335)</f>
        <v>0</v>
      </c>
      <c r="AY2363">
        <f>IF(AV2363=0,0,$AY$2335*$H$26*$AU$2335)</f>
        <v>0</v>
      </c>
      <c r="AZ2363">
        <f>(0.6*AW2363+0.7*AX2363)*$AU$2335/2</f>
        <v>0</v>
      </c>
      <c r="BA2363">
        <f>AW2363*$AU$2335/2</f>
        <v>0</v>
      </c>
      <c r="BC2363">
        <f>IF(AV2363=0,0,$BG$2335*$AP$2329)</f>
        <v>0</v>
      </c>
      <c r="BD2363">
        <f>IFERROR(BC2363/$AU$2335,0)</f>
        <v>0</v>
      </c>
      <c r="BE2363">
        <f>BC2363*($F$25+($C$16+$C$17+IF($C$13="single",1.5,3)+3)/12)</f>
        <v>0</v>
      </c>
      <c r="BF2363">
        <f>BE2363-AZ2363</f>
        <v>0</v>
      </c>
      <c r="BG2363" cm="1">
        <f t="array" ref="BG2363">IFERROR(IF(BF2363&lt;0,0,BF2363/($AU$2335-INDEX(hd_off,MATCH(BT2363,hd_mark,0),0)/12)),0)</f>
        <v>0</v>
      </c>
      <c r="BH2363">
        <f>IF(AV2363=0,0,$BG$2335*$AM$2329)</f>
        <v>0</v>
      </c>
      <c r="BI2363">
        <f>IFERROR(BH2363/$AU$2335,0)</f>
        <v>0</v>
      </c>
      <c r="BJ2363">
        <f>BH2363*($F$25+($C$16+$C$17+IF($C$13="single",1.5,3)+3)/12)</f>
        <v>0</v>
      </c>
      <c r="BK2363">
        <f>BJ2363-BA2363</f>
        <v>0</v>
      </c>
      <c r="BL2363" cm="1">
        <f t="array" ref="BL2363">IFERROR(IF(BK2363&lt;0,0,BK2363/($AU$2335-INDEX(hd_off,MATCH(BT2363,hd_mark,0),0)/12)),0)</f>
        <v>0</v>
      </c>
      <c r="BM2363">
        <f>MAX($F$25,$BF$2335)/$Q$2356</f>
        <v>0.29920977011494249</v>
      </c>
      <c r="BN2363">
        <f t="shared" si="1471"/>
        <v>1</v>
      </c>
      <c r="BO2363" cm="1">
        <f t="array" ref="BO2363">IFERROR(INDEX(sheath_ecap_asd,MATCH(BS2363,sheath_mark,0),0)*BN2363,0)</f>
        <v>0</v>
      </c>
      <c r="BP2363" cm="1">
        <f t="array" ref="BP2363">IFERROR(INDEX(sheath_wcap_asd,MATCH(BS2363,sheath_mark,0),0)*BN2363,0)</f>
        <v>0</v>
      </c>
      <c r="BQ2363" cm="1">
        <f t="array" ref="BQ2363">IFERROR(INDEX(hd_cap,MATCH(BT2363,hd_mark,0),0),0)</f>
        <v>0</v>
      </c>
      <c r="BS2363" s="19"/>
      <c r="BT2363" s="19"/>
      <c r="BU2363" s="100"/>
    </row>
    <row r="2364" x14ac:dyDescent="0.25">
      <c r="B2364" t="s">
        <v>467</v>
      </c>
      <c r="C2364" s="19"/>
      <c r="D2364" s="19"/>
      <c r="E2364">
        <f t="shared" si="1465"/>
        <v>0</v>
      </c>
      <c r="H2364">
        <v>19</v>
      </c>
      <c r="I2364" s="19"/>
      <c r="J2364" s="19"/>
      <c r="K2364">
        <f t="shared" si="1466"/>
        <v>0</v>
      </c>
      <c r="P2364" s="93"/>
      <c r="AR2364" s="100"/>
      <c r="AS2364" s="93"/>
      <c r="BU2364" s="100"/>
    </row>
    <row r="2365" x14ac:dyDescent="0.25">
      <c r="B2365" t="s">
        <v>468</v>
      </c>
      <c r="C2365" s="19"/>
      <c r="D2365" s="19"/>
      <c r="E2365">
        <f t="shared" si="1465"/>
        <v>0</v>
      </c>
      <c r="H2365">
        <v>20</v>
      </c>
      <c r="I2365" s="19"/>
      <c r="J2365" s="19"/>
      <c r="K2365">
        <f t="shared" si="1466"/>
        <v>0</v>
      </c>
      <c r="P2365" s="93"/>
      <c r="Q2365" s="110" t="str">
        <f>$Q$2336</f>
        <v>A.03</v>
      </c>
      <c r="R2365" t="str">
        <f>$Q$2325</f>
        <v>L2</v>
      </c>
      <c r="S2365">
        <f>$E$21</f>
        <v>10.6875</v>
      </c>
      <c r="T2365" cm="1">
        <f t="array" ref="T2365">IFERROR(IF(S2365=0,0,(INDEX($C$33:$C$38,MATCH($W$2336,$B$33:$B$38,0),0)*(S2369+$X$2336)+$T$2336*COUNTIF(S2365:S2368,"&gt;0")*$C$32+$V$2336*$C$31)*$R$2336),0)</f>
        <v>0</v>
      </c>
      <c r="U2365">
        <f>IF(S2365=0,0,-(COUNTIF(S2365:S2368,"&gt;0")*$T$2336*$C$32+$V$2336*$C$31)*$H$27*$R$2336)</f>
        <v>0</v>
      </c>
      <c r="V2365">
        <f>IF(S2365=0,0,$V$2336*$H$26*$R$2336)</f>
        <v>0</v>
      </c>
      <c r="W2365">
        <f>(0.6*T2365+0.7*U2365)*$R$2336/2</f>
        <v>0</v>
      </c>
      <c r="X2365">
        <f>(0.6*T2365+0.6*V2365)*$R$2336/2</f>
        <v>0</v>
      </c>
      <c r="Z2365">
        <f>IF(S2365=0,0,$AD$2336*$AP$2325)</f>
        <v>0</v>
      </c>
      <c r="AA2365">
        <f>IFERROR(Z2365/$R$2336,0)</f>
        <v>0</v>
      </c>
      <c r="AB2365">
        <f>Z2365*($F$21+IF($F$21=0,0,($C$14+$C$15+IF($C$13="single",1.5,3)+3)/12))</f>
        <v>0</v>
      </c>
      <c r="AC2365">
        <f>AB2365-W2365</f>
        <v>0</v>
      </c>
      <c r="AD2365" cm="1">
        <f t="array" ref="AD2365">IFERROR(IF(AC2365&lt;0,0,AC2365/($R$2336-INDEX(hd_off,MATCH(AQ2365,hd_mark,0),0)/12)),0)</f>
        <v>0</v>
      </c>
      <c r="AE2365">
        <f>IF(S2365=0,0,$AD$2336*$AM$2325)</f>
        <v>0</v>
      </c>
      <c r="AF2365">
        <f>IFERROR(AE2365/$R$2336,0)</f>
        <v>0</v>
      </c>
      <c r="AG2365">
        <f>AE2365*($F$21+IF($F$21=0,0,($C$14+$C$15+IF($C$13="single",1.5,3)+3)/12))</f>
        <v>0</v>
      </c>
      <c r="AH2365">
        <f>AG2365-X2365</f>
        <v>0</v>
      </c>
      <c r="AI2365" cm="1">
        <f t="array" ref="AI2365">IFERROR(IF(AH2365&lt;0,0,AH2365/($R$2336-INDEX(hd_off,MATCH(AQ2365,hd_mark,0),0)/12)),0)</f>
        <v>0</v>
      </c>
      <c r="AJ2365">
        <f>MAX($F$21,$Y$2336)/$Q$2356</f>
        <v>0.30172413793103448</v>
      </c>
      <c r="AK2365">
        <f>IF(AJ2365=0,0,IF(AJ2365&gt;2,1.25-0.125*AJ2365,1))</f>
        <v>1</v>
      </c>
      <c r="AL2365" cm="1">
        <f t="array" ref="AL2365">IFERROR(INDEX(sheath_ecap_asd,MATCH(AP2365,sheath_mark,0),0)*AK2365,0)</f>
        <v>0</v>
      </c>
      <c r="AM2365" cm="1">
        <f t="array" ref="AM2365">IFERROR(INDEX(sheath_wcap_asd,MATCH(AP2365,sheath_mark,0),0)*AK2365,0)</f>
        <v>0</v>
      </c>
      <c r="AN2365" cm="1">
        <f t="array" ref="AN2365">IFERROR(INDEX(hd_cap,MATCH(AQ2365,hd_mark,0),0),0)</f>
        <v>0</v>
      </c>
      <c r="AP2365" s="19"/>
      <c r="AQ2365" s="19"/>
      <c r="AR2365" s="100"/>
      <c r="AS2365" s="93"/>
      <c r="AT2365" s="110" t="str">
        <f>$AT$2336</f>
        <v>1.03</v>
      </c>
      <c r="AU2365" t="str">
        <f>$Q$2325</f>
        <v>L2</v>
      </c>
      <c r="AV2365">
        <f>$E$21</f>
        <v>10.6875</v>
      </c>
      <c r="AW2365" cm="1">
        <f t="array" ref="AW2365">IFERROR(IF(AV2365=0,0,(INDEX($C$33:$C$38,MATCH($AZ$2336,$B$33:$B$38,0),0)*(AV2369+$BA$2336)+$AW$2336*COUNTIF(AV2365:AV2368,"&gt;0")*$C$32+$AY$2336*$C$31)*$AU$2336),0)</f>
        <v>0</v>
      </c>
      <c r="AX2365">
        <f>IF(AV2365=0,0,-(COUNTIF(AV2365:AV2368,"&gt;0")*$AW$2336*$C$32+$AY$2336*$C$31)*$H$27*$AU$2336)</f>
        <v>0</v>
      </c>
      <c r="AY2365">
        <f>IF(AV2365=0,0,$AY$2336*$H$26*$AU$2336)</f>
        <v>0</v>
      </c>
      <c r="AZ2365">
        <f>(0.6*AW2365+0.7*AX2365)*$AU$2336/2</f>
        <v>0</v>
      </c>
      <c r="BA2365">
        <f>(0.6*AW2365+0.6*AY2365)*$AU$2336/2</f>
        <v>0</v>
      </c>
      <c r="BC2365">
        <f>IF(AV2365=0,0,$BG$2336*$AP$2325)</f>
        <v>0</v>
      </c>
      <c r="BD2365">
        <f>IFERROR(BC2365/$AU$2336,0)</f>
        <v>0</v>
      </c>
      <c r="BE2365">
        <f>BC2365*($F$21+IF($F$21=0,0,($C$14+$C$15+IF($C$13="single",1.5,3)+3)/12))</f>
        <v>0</v>
      </c>
      <c r="BF2365">
        <f>BE2365-AZ2365</f>
        <v>0</v>
      </c>
      <c r="BG2365" cm="1">
        <f t="array" ref="BG2365">IFERROR(IF(BF2365&lt;0,0,BF2365/($AU$2336-INDEX(hd_off,MATCH(BT2365,hd_mark,0),0)/12)),0)</f>
        <v>0</v>
      </c>
      <c r="BH2365">
        <f>IF(AV2365=0,0,$BG$2336*$AM$2325)</f>
        <v>0</v>
      </c>
      <c r="BI2365">
        <f>IFERROR(BH2365/$AU$2336,0)</f>
        <v>0</v>
      </c>
      <c r="BJ2365">
        <f>BH2365*($F$21+IF($F$21=0,0,($C$14+$C$15+IF($C$13="single",1.5,3)+3)/12))</f>
        <v>0</v>
      </c>
      <c r="BK2365">
        <f>BJ2365-BA2365</f>
        <v>0</v>
      </c>
      <c r="BL2365" cm="1">
        <f t="array" ref="BL2365">IFERROR(IF(BK2365&lt;0,0,BK2365/($AU$2336-INDEX(hd_off,MATCH(BT2365,hd_mark,0),0)/12)),0)</f>
        <v>0</v>
      </c>
      <c r="BM2365">
        <f>MAX($F$21,$BB$2336)/$Q$2356</f>
        <v>0.30172413793103448</v>
      </c>
      <c r="BN2365">
        <f>IF(BM2365=0,0,IF(BM2365&gt;2,1.25-0.125*BM2365,1))</f>
        <v>1</v>
      </c>
      <c r="BO2365" cm="1">
        <f t="array" ref="BO2365">IFERROR(INDEX(sheath_ecap_asd,MATCH(BS2365,sheath_mark,0),0)*BN2365,0)</f>
        <v>0</v>
      </c>
      <c r="BP2365" cm="1">
        <f t="array" ref="BP2365">IFERROR(INDEX(sheath_wcap_asd,MATCH(BS2365,sheath_mark,0),0)*BN2365,0)</f>
        <v>0</v>
      </c>
      <c r="BQ2365" cm="1">
        <f t="array" ref="BQ2365">IFERROR(INDEX(hd_cap,MATCH(BT2365,hd_mark,0),0),0)</f>
        <v>0</v>
      </c>
      <c r="BS2365" s="19"/>
      <c r="BT2365" s="19"/>
      <c r="BU2365" s="100"/>
    </row>
    <row r="2366" x14ac:dyDescent="0.25">
      <c r="B2366" t="s">
        <v>469</v>
      </c>
      <c r="C2366" s="19"/>
      <c r="D2366" s="19"/>
      <c r="E2366">
        <f t="shared" si="1465"/>
        <v>0</v>
      </c>
      <c r="H2366">
        <v>21</v>
      </c>
      <c r="I2366" s="19"/>
      <c r="J2366" s="19"/>
      <c r="K2366">
        <f t="shared" si="1466"/>
        <v>0</v>
      </c>
      <c r="P2366" s="93"/>
      <c r="Q2366" s="109"/>
      <c r="R2366" t="str">
        <f>$Q$2326</f>
        <v>L3</v>
      </c>
      <c r="S2366">
        <f>$E$22</f>
        <v>21.375</v>
      </c>
      <c r="T2366" cm="1">
        <f t="array" ref="T2366">IFERROR(IF(S2366=0,0,(INDEX($C$33:$C$38,MATCH($W$2336,$B$33:$B$38,0),0)*(S2369+$X$2336)+$T$2336*COUNTIF(S2366:S2368,"&gt;0")*$C$32+$V$2336*$C$31)*$R$2336),0)</f>
        <v>0</v>
      </c>
      <c r="U2366">
        <f>IF(S2366=0,0,-(COUNTIF(S2366:S2368,"&gt;0")*$T$2336*$C$32+$V$2336*$C$31)*$H$27*$R$2336)</f>
        <v>0</v>
      </c>
      <c r="V2366">
        <f>IF(S2366=0,0,$V$2336*$H$26*$R$2336)</f>
        <v>0</v>
      </c>
      <c r="W2366">
        <f>(0.6*T2366+0.7*U2366)*$R$2336/2</f>
        <v>0</v>
      </c>
      <c r="X2366">
        <f>T2366*$R$2336/2</f>
        <v>0</v>
      </c>
      <c r="Z2366">
        <f>IF(S2366=0,0,$AD$2336*$AP$2326)</f>
        <v>0</v>
      </c>
      <c r="AA2366">
        <f>IFERROR(Z2366/$R$2336,0)</f>
        <v>0</v>
      </c>
      <c r="AB2366">
        <f>Z2366*($F$22+IF($F$22=0,0,($C$14+$C$15+IF($C$13="single",1.5,3)+3)/12))</f>
        <v>0</v>
      </c>
      <c r="AC2366">
        <f>AB2366-W2366</f>
        <v>0</v>
      </c>
      <c r="AD2366" cm="1">
        <f t="array" ref="AD2366">IFERROR(IF(AC2366&lt;0,0,AC2366/($R$2336-INDEX(hd_off,MATCH(AQ2366,hd_mark,0),0)/12)),0)</f>
        <v>0</v>
      </c>
      <c r="AE2366">
        <f>IF(S2366=0,0,$AD$2336*$AM$2326)</f>
        <v>0</v>
      </c>
      <c r="AF2366">
        <f>IFERROR(AE2366/$R$2336,0)</f>
        <v>0</v>
      </c>
      <c r="AG2366">
        <f>AE2366*($F$22+IF($F$22=0,0,($C$14+$C$15+IF($C$13="single",1.5,3)+3)/12))</f>
        <v>0</v>
      </c>
      <c r="AH2366">
        <f>AG2366-X2366</f>
        <v>0</v>
      </c>
      <c r="AI2366" cm="1">
        <f t="array" ref="AI2366">IFERROR(IF(AH2366&lt;0,0,AH2366/($R$2336-INDEX(hd_off,MATCH(AQ2366,hd_mark,0),0)/12)),0)</f>
        <v>0</v>
      </c>
      <c r="AJ2366">
        <f>MAX($F$22,$Z$2336)/$Q$2356</f>
        <v>0.30172413793103448</v>
      </c>
      <c r="AK2366">
        <f t="shared" ref="AK2366:AK2369" si="1472">IF(AJ2366=0,0,IF(AJ2366&gt;2,1.25-0.125*AJ2366,1))</f>
        <v>1</v>
      </c>
      <c r="AL2366" cm="1">
        <f t="array" ref="AL2366">IFERROR(INDEX(sheath_ecap_asd,MATCH(AP2366,sheath_mark,0),0)*AK2366,0)</f>
        <v>0</v>
      </c>
      <c r="AM2366" cm="1">
        <f t="array" ref="AM2366">IFERROR(INDEX(sheath_wcap_asd,MATCH(AP2366,sheath_mark,0),0)*AK2366,0)</f>
        <v>0</v>
      </c>
      <c r="AN2366" cm="1">
        <f t="array" ref="AN2366">IFERROR(INDEX(hd_cap,MATCH(AQ2366,hd_mark,0),0),0)</f>
        <v>0</v>
      </c>
      <c r="AP2366" s="19"/>
      <c r="AQ2366" s="19"/>
      <c r="AR2366" s="100"/>
      <c r="AS2366" s="93"/>
      <c r="AT2366" s="109"/>
      <c r="AU2366" t="str">
        <f>$Q$2326</f>
        <v>L3</v>
      </c>
      <c r="AV2366">
        <f>$E$22</f>
        <v>21.375</v>
      </c>
      <c r="AW2366" cm="1">
        <f t="array" ref="AW2366">IFERROR(IF(AV2366=0,0,(INDEX($C$33:$C$38,MATCH($AZ$2336,$B$33:$B$38,0),0)*(AV2369+$BA$2336)+$AW$2336*COUNTIF(AV2366:AV2368,"&gt;0")*$C$32+$AY$2336*$C$31)*$AU$2336),0)</f>
        <v>0</v>
      </c>
      <c r="AX2366">
        <f>IF(AV2366=0,0,-(COUNTIF(AV2366:AV2368,"&gt;0")*$AW$2336*$C$32+$AY$2336*$C$31)*$H$27*$AU$2336)</f>
        <v>0</v>
      </c>
      <c r="AY2366">
        <f>IF(AV2366=0,0,$AY$2336*$H$26*$AU$2336)</f>
        <v>0</v>
      </c>
      <c r="AZ2366">
        <f>(0.6*AW2366+0.7*AX2366)*$AU$2336/2</f>
        <v>0</v>
      </c>
      <c r="BA2366">
        <f>AW2366*$AU$2336/2</f>
        <v>0</v>
      </c>
      <c r="BC2366">
        <f>IF(AV2366=0,0,$BG$2336*$AP$2326)</f>
        <v>0</v>
      </c>
      <c r="BD2366">
        <f>IFERROR(BC2366/$AU$2336,0)</f>
        <v>0</v>
      </c>
      <c r="BE2366">
        <f>BC2366*($F$22+IF($F$22=0,0,($C$14+$C$15+IF($C$13="single",1.5,3)+3)/12))</f>
        <v>0</v>
      </c>
      <c r="BF2366">
        <f>BE2366-AZ2366</f>
        <v>0</v>
      </c>
      <c r="BG2366" cm="1">
        <f t="array" ref="BG2366">IFERROR(IF(BF2366&lt;0,0,BF2366/($AU$2336-INDEX(hd_off,MATCH(BT2366,hd_mark,0),0)/12)),0)</f>
        <v>0</v>
      </c>
      <c r="BH2366">
        <f>IF(AV2366=0,0,$BG$2336*$AM$2326)</f>
        <v>0</v>
      </c>
      <c r="BI2366">
        <f>IFERROR(BH2366/$AU$2336,0)</f>
        <v>0</v>
      </c>
      <c r="BJ2366">
        <f>BH2366*($F$22+IF($F$22=0,0,($C$14+$C$15+IF($C$13="single",1.5,3)+3)/12))</f>
        <v>0</v>
      </c>
      <c r="BK2366">
        <f>BJ2366-BA2366</f>
        <v>0</v>
      </c>
      <c r="BL2366" cm="1">
        <f t="array" ref="BL2366">IFERROR(IF(BK2366&lt;0,0,BK2366/($AU$2336-INDEX(hd_off,MATCH(BT2366,hd_mark,0),0)/12)),0)</f>
        <v>0</v>
      </c>
      <c r="BM2366">
        <f>MAX($F$22,$BC$2336)/$Q$2356</f>
        <v>0.30172413793103448</v>
      </c>
      <c r="BN2366">
        <f t="shared" ref="BN2366:BN2369" si="1473">IF(BM2366=0,0,IF(BM2366&gt;2,1.25-0.125*BM2366,1))</f>
        <v>1</v>
      </c>
      <c r="BO2366" cm="1">
        <f t="array" ref="BO2366">IFERROR(INDEX(sheath_ecap_asd,MATCH(BS2366,sheath_mark,0),0)*BN2366,0)</f>
        <v>0</v>
      </c>
      <c r="BP2366" cm="1">
        <f t="array" ref="BP2366">IFERROR(INDEX(sheath_wcap_asd,MATCH(BS2366,sheath_mark,0),0)*BN2366,0)</f>
        <v>0</v>
      </c>
      <c r="BQ2366" cm="1">
        <f t="array" ref="BQ2366">IFERROR(INDEX(hd_cap,MATCH(BT2366,hd_mark,0),0),0)</f>
        <v>0</v>
      </c>
      <c r="BS2366" s="19"/>
      <c r="BT2366" s="19"/>
      <c r="BU2366" s="100"/>
    </row>
    <row r="2367" x14ac:dyDescent="0.25">
      <c r="B2367" t="s">
        <v>285</v>
      </c>
      <c r="C2367" s="19"/>
      <c r="D2367" s="19"/>
      <c r="E2367">
        <f t="shared" si="1465"/>
        <v>0</v>
      </c>
      <c r="H2367">
        <v>22</v>
      </c>
      <c r="I2367" s="19"/>
      <c r="J2367" s="19"/>
      <c r="K2367">
        <f t="shared" si="1466"/>
        <v>0</v>
      </c>
      <c r="P2367" s="93"/>
      <c r="Q2367" s="109" t="s">
        <v>491</v>
      </c>
      <c r="R2367" t="str">
        <f>$Q$2327</f>
        <v>L4</v>
      </c>
      <c r="S2367">
        <f>$E$23</f>
        <v>0</v>
      </c>
      <c r="T2367" cm="1">
        <f t="array" ref="T2367">IFERROR(IF(S2367=0,0,(INDEX($C$33:$C$38,MATCH($W$2336,$B$33:$B$38,0),0)*(S2369+$X$2336)+$T$2336*COUNTIF(S2367:S2368,"&gt;0")*$C$32+$V$2336*$C$31)*$R$2336),0)</f>
        <v>0</v>
      </c>
      <c r="U2367">
        <f>IF(S2367=0,0,-(COUNTIF(S2367:S2368,"&gt;0")*$T$2336*$C$32+$V$2336*$C$31)*$H$27*$R$2336)</f>
        <v>0</v>
      </c>
      <c r="V2367">
        <f>IF(S2367=0,0,$V$2336*$H$26*$R$2336)</f>
        <v>0</v>
      </c>
      <c r="W2367">
        <f>(0.6*T2367+0.7*U2367)*$R$2336/2</f>
        <v>0</v>
      </c>
      <c r="X2367">
        <f>T2367*$R$2336/2</f>
        <v>0</v>
      </c>
      <c r="Z2367">
        <f>IF(S2367=0,0,$AD$2336*$AP$2327)</f>
        <v>0</v>
      </c>
      <c r="AA2367">
        <f>IFERROR(Z2367/$R$2336,0)</f>
        <v>0</v>
      </c>
      <c r="AB2367">
        <f>Z2367*($F$23+IF($F$23=0,0,($C$14+$C$15+IF($C$13="single",1.5,3)+3)/12))</f>
        <v>0</v>
      </c>
      <c r="AC2367">
        <f>AB2367-W2367</f>
        <v>0</v>
      </c>
      <c r="AD2367" cm="1">
        <f t="array" ref="AD2367">IFERROR(IF(AC2367&lt;0,0,AC2367/($R$2336-INDEX(hd_off,MATCH(AQ2367,hd_mark,0),0)/12)),0)</f>
        <v>0</v>
      </c>
      <c r="AE2367">
        <f>IF(S2367=0,0,$AD$2336*$AM$2327)</f>
        <v>0</v>
      </c>
      <c r="AF2367">
        <f>IFERROR(AE2367/$R$2336,0)</f>
        <v>0</v>
      </c>
      <c r="AG2367">
        <f>AE2367*($F$23+IF($F$23=0,0,($C$14+$C$15+IF($C$13="single",1.5,3)+3)/12))</f>
        <v>0</v>
      </c>
      <c r="AH2367">
        <f>AG2367-X2367</f>
        <v>0</v>
      </c>
      <c r="AI2367" cm="1">
        <f t="array" ref="AI2367">IFERROR(IF(AH2367&lt;0,0,AH2367/($R$2336-INDEX(hd_off,MATCH(AQ2367,hd_mark,0),0)/12)),0)</f>
        <v>0</v>
      </c>
      <c r="AJ2367">
        <f>MAX($F$23,$AA$2336)/$Q$2356</f>
        <v>0</v>
      </c>
      <c r="AK2367">
        <f t="shared" si="1472"/>
        <v>0</v>
      </c>
      <c r="AL2367" cm="1">
        <f t="array" ref="AL2367">IFERROR(INDEX(sheath_ecap_asd,MATCH(AP2367,sheath_mark,0),0)*AK2367,0)</f>
        <v>0</v>
      </c>
      <c r="AM2367" cm="1">
        <f t="array" ref="AM2367">IFERROR(INDEX(sheath_wcap_asd,MATCH(AP2367,sheath_mark,0),0)*AK2367,0)</f>
        <v>0</v>
      </c>
      <c r="AN2367" cm="1">
        <f t="array" ref="AN2367">IFERROR(INDEX(hd_cap,MATCH(AQ2367,hd_mark,0),0),0)</f>
        <v>0</v>
      </c>
      <c r="AP2367" s="19"/>
      <c r="AQ2367" s="19"/>
      <c r="AR2367" s="100"/>
      <c r="AS2367" s="93"/>
      <c r="AT2367" s="109" t="s">
        <v>491</v>
      </c>
      <c r="AU2367" t="str">
        <f>$Q$2327</f>
        <v>L4</v>
      </c>
      <c r="AV2367">
        <f>$E$23</f>
        <v>0</v>
      </c>
      <c r="AW2367" cm="1">
        <f t="array" ref="AW2367">IFERROR(IF(AV2367=0,0,(INDEX($C$33:$C$38,MATCH($AZ$2336,$B$33:$B$38,0),0)*(AV2369+$BA$2336)+$AW$2336*COUNTIF(AV2367:AV2368,"&gt;0")*$C$32+$AY$2336*$C$31)*$AU$2336),0)</f>
        <v>0</v>
      </c>
      <c r="AX2367">
        <f>IF(AV2367=0,0,-(COUNTIF(AV2367:AV2368,"&gt;0")*$AW$2336*$C$32+$AY$2336*$C$31)*$H$27*$AU$2336)</f>
        <v>0</v>
      </c>
      <c r="AY2367">
        <f>IF(AV2367=0,0,$AY$2336*$H$26*$AU$2336)</f>
        <v>0</v>
      </c>
      <c r="AZ2367">
        <f>(0.6*AW2367+0.7*AX2367)*$AU$2336/2</f>
        <v>0</v>
      </c>
      <c r="BA2367">
        <f>AW2367*$AU$2336/2</f>
        <v>0</v>
      </c>
      <c r="BC2367">
        <f>IF(AV2367=0,0,$BG$2336*$AP$2327)</f>
        <v>0</v>
      </c>
      <c r="BD2367">
        <f>IFERROR(BC2367/$AU$2336,0)</f>
        <v>0</v>
      </c>
      <c r="BE2367">
        <f>BC2367*($F$23+IF($F$23=0,0,($C$14+$C$15+IF($C$13="single",1.5,3)+3)/12))</f>
        <v>0</v>
      </c>
      <c r="BF2367">
        <f>BE2367-AZ2367</f>
        <v>0</v>
      </c>
      <c r="BG2367" cm="1">
        <f t="array" ref="BG2367">IFERROR(IF(BF2367&lt;0,0,BF2367/($AU$2336-INDEX(hd_off,MATCH(BT2367,hd_mark,0),0)/12)),0)</f>
        <v>0</v>
      </c>
      <c r="BH2367">
        <f>IF(AV2367=0,0,$BG$2336*$AM$2327)</f>
        <v>0</v>
      </c>
      <c r="BI2367">
        <f>IFERROR(BH2367/$AU$2336,0)</f>
        <v>0</v>
      </c>
      <c r="BJ2367">
        <f>BH2367*($F$23+IF($F$23=0,0,($C$14+$C$15+IF($C$13="single",1.5,3)+3)/12))</f>
        <v>0</v>
      </c>
      <c r="BK2367">
        <f>BJ2367-BA2367</f>
        <v>0</v>
      </c>
      <c r="BL2367" cm="1">
        <f t="array" ref="BL2367">IFERROR(IF(BK2367&lt;0,0,BK2367/($AU$2336-INDEX(hd_off,MATCH(BT2367,hd_mark,0),0)/12)),0)</f>
        <v>0</v>
      </c>
      <c r="BM2367">
        <f>MAX($F$23,$BD$2336)/$Q$2356</f>
        <v>0</v>
      </c>
      <c r="BN2367">
        <f t="shared" si="1473"/>
        <v>0</v>
      </c>
      <c r="BO2367" cm="1">
        <f t="array" ref="BO2367">IFERROR(INDEX(sheath_ecap_asd,MATCH(BS2367,sheath_mark,0),0)*BN2367,0)</f>
        <v>0</v>
      </c>
      <c r="BP2367" cm="1">
        <f t="array" ref="BP2367">IFERROR(INDEX(sheath_wcap_asd,MATCH(BS2367,sheath_mark,0),0)*BN2367,0)</f>
        <v>0</v>
      </c>
      <c r="BQ2367" cm="1">
        <f t="array" ref="BQ2367">IFERROR(INDEX(hd_cap,MATCH(BT2367,hd_mark,0),0),0)</f>
        <v>0</v>
      </c>
      <c r="BS2367" s="19"/>
      <c r="BT2367" s="19"/>
      <c r="BU2367" s="100"/>
    </row>
    <row r="2368" x14ac:dyDescent="0.25">
      <c r="B2368" t="s">
        <v>470</v>
      </c>
      <c r="C2368" s="19"/>
      <c r="D2368" s="19"/>
      <c r="E2368">
        <f t="shared" si="1465"/>
        <v>0</v>
      </c>
      <c r="H2368">
        <v>23</v>
      </c>
      <c r="I2368" s="19"/>
      <c r="J2368" s="19"/>
      <c r="K2368">
        <f t="shared" si="1466"/>
        <v>0</v>
      </c>
      <c r="P2368" s="93"/>
      <c r="Q2368" s="111">
        <f>$R$2336</f>
        <v>0</v>
      </c>
      <c r="R2368" t="str">
        <f>$Q$2328</f>
        <v>L5</v>
      </c>
      <c r="S2368">
        <f>$E$24</f>
        <v>0</v>
      </c>
      <c r="T2368" cm="1">
        <f t="array" ref="T2368">IFERROR(IF(S2368=0,0,(INDEX($C$33:$C$38,MATCH($W$2336,$B$33:$B$38,0),0)*(S2369+$X$2336)+$T$2336*COUNTIF(S2368:S2368,"&gt;0")*$C$32+$V$2336*$C$31)*$R$2336),0)</f>
        <v>0</v>
      </c>
      <c r="U2368">
        <f>IF(S2368=0,0,-(COUNTIF(S2368:S2368,"&gt;0")*$T$2336*$C$32+$V$2336*$C$31)*$H$27*$R$2336)</f>
        <v>0</v>
      </c>
      <c r="V2368">
        <f>IF(S2368=0,0,$V$2336*$H$26*$R$2336)</f>
        <v>0</v>
      </c>
      <c r="W2368">
        <f>(0.6*T2368+0.7*U2368)*$R$2336/2</f>
        <v>0</v>
      </c>
      <c r="X2368">
        <f>T2368*$R$2336/2</f>
        <v>0</v>
      </c>
      <c r="Z2368">
        <f>IF(S2368=0,0,$AD$2336*$AP$2328)</f>
        <v>0</v>
      </c>
      <c r="AA2368">
        <f>IFERROR(Z2368/$R$2336,0)</f>
        <v>0</v>
      </c>
      <c r="AB2368">
        <f>Z2368*($F$24+IF($F$24=0,0,($C$14+$C$15+IF($C$13="single",1.5,3)+3)/12))</f>
        <v>0</v>
      </c>
      <c r="AC2368">
        <f>AB2368-W2368</f>
        <v>0</v>
      </c>
      <c r="AD2368" cm="1">
        <f t="array" ref="AD2368">IFERROR(IF(AC2368&lt;0,0,AC2368/($R$2336-INDEX(hd_off,MATCH(AQ2368,hd_mark,0),0)/12)),0)</f>
        <v>0</v>
      </c>
      <c r="AE2368">
        <f>IF(S2368=0,0,$AD$2336*$AM$2328)</f>
        <v>0</v>
      </c>
      <c r="AF2368">
        <f>IFERROR(AE2368/$R$2336,0)</f>
        <v>0</v>
      </c>
      <c r="AG2368">
        <f>AE2368*($F$24+IF($F$24=0,0,($C$14+$C$15+IF($C$13="single",1.5,3)+3)/12))</f>
        <v>0</v>
      </c>
      <c r="AH2368">
        <f>AG2368-X2368</f>
        <v>0</v>
      </c>
      <c r="AI2368" cm="1">
        <f t="array" ref="AI2368">IFERROR(IF(AH2368&lt;0,0,AH2368/($R$2336-INDEX(hd_off,MATCH(AQ2368,hd_mark,0),0)/12)),0)</f>
        <v>0</v>
      </c>
      <c r="AJ2368">
        <f>MAX($F$24,$AB$2336)/$Q$2356</f>
        <v>0</v>
      </c>
      <c r="AK2368">
        <f t="shared" si="1472"/>
        <v>0</v>
      </c>
      <c r="AL2368" cm="1">
        <f t="array" ref="AL2368">IFERROR(INDEX(sheath_ecap_asd,MATCH(AP2368,sheath_mark,0),0)*AK2368,0)</f>
        <v>0</v>
      </c>
      <c r="AM2368" cm="1">
        <f t="array" ref="AM2368">IFERROR(INDEX(sheath_wcap_asd,MATCH(AP2368,sheath_mark,0),0)*AK2368,0)</f>
        <v>0</v>
      </c>
      <c r="AN2368" cm="1">
        <f t="array" ref="AN2368">IFERROR(INDEX(hd_cap,MATCH(AQ2368,hd_mark,0),0),0)</f>
        <v>0</v>
      </c>
      <c r="AP2368" s="19"/>
      <c r="AQ2368" s="19"/>
      <c r="AR2368" s="100"/>
      <c r="AS2368" s="93"/>
      <c r="AT2368" s="111">
        <f>$R$2336</f>
        <v>0</v>
      </c>
      <c r="AU2368" t="str">
        <f>$Q$2328</f>
        <v>L5</v>
      </c>
      <c r="AV2368">
        <f>$E$24</f>
        <v>0</v>
      </c>
      <c r="AW2368" cm="1">
        <f t="array" ref="AW2368">IFERROR(IF(AV2368=0,0,(INDEX($C$33:$C$38,MATCH($AZ$2336,$B$33:$B$38,0),0)*(AV2369+$BA$2336)+$AW$2336*COUNTIF(AV2368:AV2368,"&gt;0")*$C$32+$AY$2336*$C$31)*$AU$2336),0)</f>
        <v>0</v>
      </c>
      <c r="AX2368">
        <f>IF(AV2368=0,0,-(COUNTIF(AV2368:AV2368,"&gt;0")*$AW$2336*$C$32+$AY$2336*$C$31)*$H$27*$AU$2336)</f>
        <v>0</v>
      </c>
      <c r="AY2368">
        <f>IF(AV2368=0,0,$AY$2336*$H$26*$AU$2336)</f>
        <v>0</v>
      </c>
      <c r="AZ2368">
        <f>(0.6*AW2368+0.7*AX2368)*$AU$2336/2</f>
        <v>0</v>
      </c>
      <c r="BA2368">
        <f>AW2368*$AU$2336/2</f>
        <v>0</v>
      </c>
      <c r="BC2368">
        <f>IF(AV2368=0,0,$BG$2336*$AP$2328)</f>
        <v>0</v>
      </c>
      <c r="BD2368">
        <f>IFERROR(BC2368/$AU$2336,0)</f>
        <v>0</v>
      </c>
      <c r="BE2368">
        <f>BC2368*($F$24+IF($F$24=0,0,($C$14+$C$15+IF($C$13="single",1.5,3)+3)/12))</f>
        <v>0</v>
      </c>
      <c r="BF2368">
        <f>BE2368-AZ2368</f>
        <v>0</v>
      </c>
      <c r="BG2368" cm="1">
        <f t="array" ref="BG2368">IFERROR(IF(BF2368&lt;0,0,BF2368/($AU$2336-INDEX(hd_off,MATCH(BT2368,hd_mark,0),0)/12)),0)</f>
        <v>0</v>
      </c>
      <c r="BH2368">
        <f>IF(AV2368=0,0,$BG$2336*$AM$2328)</f>
        <v>0</v>
      </c>
      <c r="BI2368">
        <f>IFERROR(BH2368/$AU$2336,0)</f>
        <v>0</v>
      </c>
      <c r="BJ2368">
        <f>BH2368*($F$24+IF($F$24=0,0,($C$14+$C$15+IF($C$13="single",1.5,3)+3)/12))</f>
        <v>0</v>
      </c>
      <c r="BK2368">
        <f>BJ2368-BA2368</f>
        <v>0</v>
      </c>
      <c r="BL2368" cm="1">
        <f t="array" ref="BL2368">IFERROR(IF(BK2368&lt;0,0,BK2368/($AU$2336-INDEX(hd_off,MATCH(BT2368,hd_mark,0),0)/12)),0)</f>
        <v>0</v>
      </c>
      <c r="BM2368">
        <f>MAX($F$24,$BE$2336)/$Q$2356</f>
        <v>0</v>
      </c>
      <c r="BN2368">
        <f t="shared" si="1473"/>
        <v>0</v>
      </c>
      <c r="BO2368" cm="1">
        <f t="array" ref="BO2368">IFERROR(INDEX(sheath_ecap_asd,MATCH(BS2368,sheath_mark,0),0)*BN2368,0)</f>
        <v>0</v>
      </c>
      <c r="BP2368" cm="1">
        <f t="array" ref="BP2368">IFERROR(INDEX(sheath_wcap_asd,MATCH(BS2368,sheath_mark,0),0)*BN2368,0)</f>
        <v>0</v>
      </c>
      <c r="BQ2368" cm="1">
        <f t="array" ref="BQ2368">IFERROR(INDEX(hd_cap,MATCH(BT2368,hd_mark,0),0),0)</f>
        <v>0</v>
      </c>
      <c r="BS2368" s="19"/>
      <c r="BT2368" s="19"/>
      <c r="BU2368" s="100"/>
    </row>
    <row r="2369" x14ac:dyDescent="0.25">
      <c r="B2369" t="s">
        <v>471</v>
      </c>
      <c r="C2369" s="19"/>
      <c r="D2369" s="19"/>
      <c r="E2369">
        <f t="shared" si="1465"/>
        <v>0</v>
      </c>
      <c r="H2369">
        <v>24</v>
      </c>
      <c r="I2369" s="19"/>
      <c r="J2369" s="19"/>
      <c r="K2369">
        <f t="shared" si="1466"/>
        <v>0</v>
      </c>
      <c r="P2369" s="93"/>
      <c r="Q2369" s="109"/>
      <c r="R2369" t="str">
        <f>$Q$2329</f>
        <v>Roof</v>
      </c>
      <c r="S2369">
        <f>$E$25</f>
        <v>33.171875</v>
      </c>
      <c r="T2369" cm="1">
        <f t="array" ref="T2369">IFERROR(IF(S2369=0,0,(INDEX($C$33:$C$38,MATCH($W$2336,$B$33:$B$38,0),0)*(S2369+$X$2336)+$V$2336*$C$31)*$R$2336),0)</f>
        <v>0</v>
      </c>
      <c r="U2369">
        <f>IF(S2369=0,0,-$V$2336*$C$31*$H$27*$R$2336)</f>
        <v>0</v>
      </c>
      <c r="V2369">
        <f>IF(S2369=0,0,$V$2336*$H$26*$R$2336)</f>
        <v>0</v>
      </c>
      <c r="W2369">
        <f>(0.6*T2369+0.7*U2369)*$R$2336/2</f>
        <v>0</v>
      </c>
      <c r="X2369">
        <f>T2369*$R$2336/2</f>
        <v>0</v>
      </c>
      <c r="Z2369">
        <f>IF(S2369=0,0,$AD$2336*$AP$2329)</f>
        <v>0</v>
      </c>
      <c r="AA2369">
        <f>IFERROR(Z2369/$R$2336,0)</f>
        <v>0</v>
      </c>
      <c r="AB2369">
        <f>Z2369*($F$25+($C$16+$C$17+IF($C$13="single",1.5,3)+3)/12)</f>
        <v>0</v>
      </c>
      <c r="AC2369">
        <f>AB2369-W2369</f>
        <v>0</v>
      </c>
      <c r="AD2369" cm="1">
        <f t="array" ref="AD2369">IFERROR(IF(AC2369&lt;0,0,AC2369/($R$2336-INDEX(hd_off,MATCH(AQ2369,hd_mark,0),0)/12)),0)</f>
        <v>0</v>
      </c>
      <c r="AE2369">
        <f>IF(S2369=0,0,$AD$2336*$AM$2329)</f>
        <v>0</v>
      </c>
      <c r="AF2369">
        <f>IFERROR(AE2369/$R$2336,0)</f>
        <v>0</v>
      </c>
      <c r="AG2369">
        <f>AE2369*($F$25+($C$16+$C$17+IF($C$13="single",1.5,3)+3)/12)</f>
        <v>0</v>
      </c>
      <c r="AH2369">
        <f>AG2369-X2369</f>
        <v>0</v>
      </c>
      <c r="AI2369" cm="1">
        <f t="array" ref="AI2369">IFERROR(IF(AH2369&lt;0,0,AH2369/($R$2336-INDEX(hd_off,MATCH(AQ2369,hd_mark,0),0)/12)),0)</f>
        <v>0</v>
      </c>
      <c r="AJ2369">
        <f>MAX($F$25,$AC$2336)/$Q$2356</f>
        <v>0.29920977011494249</v>
      </c>
      <c r="AK2369">
        <f t="shared" si="1472"/>
        <v>1</v>
      </c>
      <c r="AL2369" cm="1">
        <f t="array" ref="AL2369">IFERROR(INDEX(sheath_ecap_asd,MATCH(AP2369,sheath_mark,0),0)*AK2369,0)</f>
        <v>0</v>
      </c>
      <c r="AM2369" cm="1">
        <f t="array" ref="AM2369">IFERROR(INDEX(sheath_wcap_asd,MATCH(AP2369,sheath_mark,0),0)*AK2369,0)</f>
        <v>0</v>
      </c>
      <c r="AN2369" cm="1">
        <f t="array" ref="AN2369">IFERROR(INDEX(hd_cap,MATCH(AQ2369,hd_mark,0),0),0)</f>
        <v>0</v>
      </c>
      <c r="AP2369" s="19"/>
      <c r="AQ2369" s="19"/>
      <c r="AR2369" s="100"/>
      <c r="AS2369" s="93"/>
      <c r="AT2369" s="109"/>
      <c r="AU2369" t="str">
        <f>$Q$2329</f>
        <v>Roof</v>
      </c>
      <c r="AV2369">
        <f>$E$25</f>
        <v>33.171875</v>
      </c>
      <c r="AW2369" cm="1">
        <f t="array" ref="AW2369">IFERROR(IF(AV2369=0,0,(INDEX($C$33:$C$38,MATCH($AZ$2336,$B$33:$B$38,0),0)*(AV2369+$BA$2336)+$AY$2336*$C$31)*$AU$2336),0)</f>
        <v>0</v>
      </c>
      <c r="AX2369">
        <f>IF(AV2369=0,0,-$AY$2336*$C$31*$H$27*$AU$2336)</f>
        <v>0</v>
      </c>
      <c r="AY2369">
        <f>IF(AV2369=0,0,$AY$2336*$H$26*$AU$2336)</f>
        <v>0</v>
      </c>
      <c r="AZ2369">
        <f>(0.6*AW2369+0.7*AX2369)*$AU$2336/2</f>
        <v>0</v>
      </c>
      <c r="BA2369">
        <f>AW2369*$AU$2336/2</f>
        <v>0</v>
      </c>
      <c r="BC2369">
        <f>IF(AV2369=0,0,$BG$2336*$AP$2329)</f>
        <v>0</v>
      </c>
      <c r="BD2369">
        <f>IFERROR(BC2369/$AU$2336,0)</f>
        <v>0</v>
      </c>
      <c r="BE2369">
        <f>BC2369*($F$25+($C$16+$C$17+IF($C$13="single",1.5,3)+3)/12)</f>
        <v>0</v>
      </c>
      <c r="BF2369">
        <f>BE2369-AZ2369</f>
        <v>0</v>
      </c>
      <c r="BG2369" cm="1">
        <f t="array" ref="BG2369">IFERROR(IF(BF2369&lt;0,0,BF2369/($AU$2336-INDEX(hd_off,MATCH(BT2369,hd_mark,0),0)/12)),0)</f>
        <v>0</v>
      </c>
      <c r="BH2369">
        <f>IF(AV2369=0,0,$BG$2336*$AM$2329)</f>
        <v>0</v>
      </c>
      <c r="BI2369">
        <f>IFERROR(BH2369/$AU$2336,0)</f>
        <v>0</v>
      </c>
      <c r="BJ2369">
        <f>BH2369*($F$25+($C$16+$C$17+IF($C$13="single",1.5,3)+3)/12)</f>
        <v>0</v>
      </c>
      <c r="BK2369">
        <f>BJ2369-BA2369</f>
        <v>0</v>
      </c>
      <c r="BL2369" cm="1">
        <f t="array" ref="BL2369">IFERROR(IF(BK2369&lt;0,0,BK2369/($AU$2336-INDEX(hd_off,MATCH(BT2369,hd_mark,0),0)/12)),0)</f>
        <v>0</v>
      </c>
      <c r="BM2369">
        <f>MAX($F$25,$BF$2336)/$Q$2356</f>
        <v>0.29920977011494249</v>
      </c>
      <c r="BN2369">
        <f t="shared" si="1473"/>
        <v>1</v>
      </c>
      <c r="BO2369" cm="1">
        <f t="array" ref="BO2369">IFERROR(INDEX(sheath_ecap_asd,MATCH(BS2369,sheath_mark,0),0)*BN2369,0)</f>
        <v>0</v>
      </c>
      <c r="BP2369" cm="1">
        <f t="array" ref="BP2369">IFERROR(INDEX(sheath_wcap_asd,MATCH(BS2369,sheath_mark,0),0)*BN2369,0)</f>
        <v>0</v>
      </c>
      <c r="BQ2369" cm="1">
        <f t="array" ref="BQ2369">IFERROR(INDEX(hd_cap,MATCH(BT2369,hd_mark,0),0),0)</f>
        <v>0</v>
      </c>
      <c r="BS2369" s="19"/>
      <c r="BT2369" s="19"/>
      <c r="BU2369" s="100"/>
    </row>
    <row r="2370" x14ac:dyDescent="0.25">
      <c r="B2370" t="s">
        <v>472</v>
      </c>
      <c r="C2370" s="19"/>
      <c r="D2370" s="19"/>
      <c r="E2370">
        <f t="shared" si="1465"/>
        <v>0</v>
      </c>
      <c r="H2370">
        <v>25</v>
      </c>
      <c r="I2370" s="19"/>
      <c r="J2370" s="19"/>
      <c r="K2370">
        <f t="shared" si="1466"/>
        <v>0</v>
      </c>
      <c r="P2370" s="93"/>
      <c r="AR2370" s="100"/>
      <c r="AS2370" s="93"/>
      <c r="BU2370" s="100"/>
    </row>
    <row r="2371" x14ac:dyDescent="0.25">
      <c r="B2371" t="s">
        <v>473</v>
      </c>
      <c r="C2371" s="19"/>
      <c r="D2371" s="19"/>
      <c r="E2371">
        <f t="shared" si="1465"/>
        <v>0</v>
      </c>
      <c r="H2371">
        <v>26</v>
      </c>
      <c r="I2371" s="19"/>
      <c r="J2371" s="19"/>
      <c r="K2371">
        <f t="shared" si="1466"/>
        <v>0</v>
      </c>
      <c r="P2371" s="93"/>
      <c r="Q2371" s="110" t="str">
        <f>$Q$2337</f>
        <v>A.04</v>
      </c>
      <c r="R2371" t="str">
        <f>$Q$2325</f>
        <v>L2</v>
      </c>
      <c r="S2371">
        <f>$E$21</f>
        <v>10.6875</v>
      </c>
      <c r="T2371" cm="1">
        <f t="array" ref="T2371">IFERROR(IF(S2371=0,0,(INDEX($C$33:$C$38,MATCH($W$2337,$B$33:$B$38,0),0)*(S2375+$X$2337)+$T$2337*COUNTIF(S2371:S2374,"&gt;0")*$C$32+$V$2337*$C$31)*$R$2337),0)</f>
        <v>0</v>
      </c>
      <c r="U2371">
        <f>IF(S2371=0,0,-(COUNTIF(S2371:S2374,"&gt;0")*$T$2337*$C$32+$V$2337*$C$31)*$H$27*$R$2337)</f>
        <v>0</v>
      </c>
      <c r="V2371">
        <f>IF(S2371=0,0,$V$2337*$H$26*$R$2337)</f>
        <v>0</v>
      </c>
      <c r="W2371">
        <f>(0.6*T2371+0.7*U2371)*$R$2337/2</f>
        <v>0</v>
      </c>
      <c r="X2371">
        <f>(0.6*T2371+0.6*V2371)*$R$2337/2</f>
        <v>0</v>
      </c>
      <c r="Z2371">
        <f>IF(S2371=0,0,$AD$2337*$AP$2325)</f>
        <v>0</v>
      </c>
      <c r="AA2371">
        <f>IFERROR(Z2371/$R$2337,0)</f>
        <v>0</v>
      </c>
      <c r="AB2371">
        <f>Z2371*($F$21+IF($F$21=0,0,($C$14+$C$15+IF($C$13="single",1.5,3)+3)/12))</f>
        <v>0</v>
      </c>
      <c r="AC2371">
        <f>AB2371-W2371</f>
        <v>0</v>
      </c>
      <c r="AD2371" cm="1">
        <f t="array" ref="AD2371">IFERROR(IF(AC2371&lt;0,0,AC2371/($R$2337-INDEX(hd_off,MATCH(AQ2371,hd_mark,0),0)/12)),0)</f>
        <v>0</v>
      </c>
      <c r="AE2371">
        <f>IF(S2371=0,0,$AD$2337*$AM$2325)</f>
        <v>0</v>
      </c>
      <c r="AF2371">
        <f>IFERROR(AE2371/$R$2337,0)</f>
        <v>0</v>
      </c>
      <c r="AG2371">
        <f>AE2371*($F$21+IF($F$21=0,0,($C$14+$C$15+IF($C$13="single",1.5,3)+3)/12))</f>
        <v>0</v>
      </c>
      <c r="AH2371">
        <f>AG2371-X2371</f>
        <v>0</v>
      </c>
      <c r="AI2371" cm="1">
        <f t="array" ref="AI2371">IFERROR(IF(AH2371&lt;0,0,AH2371/($R$2337-INDEX(hd_off,MATCH(AQ2371,hd_mark,0),0)/12)),0)</f>
        <v>0</v>
      </c>
      <c r="AJ2371">
        <f>MAX($F$21,$Y$2337)/$Q$2356</f>
        <v>0.30172413793103448</v>
      </c>
      <c r="AK2371">
        <f>IF(AJ2371=0,0,IF(AJ2371&gt;2,1.25-0.125*AJ2371,1))</f>
        <v>1</v>
      </c>
      <c r="AL2371" cm="1">
        <f t="array" ref="AL2371">IFERROR(INDEX(sheath_ecap_asd,MATCH(AP2371,sheath_mark,0),0)*AK2371,0)</f>
        <v>0</v>
      </c>
      <c r="AM2371" cm="1">
        <f t="array" ref="AM2371">IFERROR(INDEX(sheath_wcap_asd,MATCH(AP2371,sheath_mark,0),0)*AK2371,0)</f>
        <v>0</v>
      </c>
      <c r="AN2371" cm="1">
        <f t="array" ref="AN2371">IFERROR(INDEX(hd_cap,MATCH(AQ2371,hd_mark,0),0),0)</f>
        <v>0</v>
      </c>
      <c r="AP2371" s="19"/>
      <c r="AQ2371" s="19"/>
      <c r="AR2371" s="100"/>
      <c r="AS2371" s="93"/>
      <c r="AT2371" s="110" t="str">
        <f>$AT$2337</f>
        <v>1.04</v>
      </c>
      <c r="AU2371" t="str">
        <f>$Q$2325</f>
        <v>L2</v>
      </c>
      <c r="AV2371">
        <f>$E$21</f>
        <v>10.6875</v>
      </c>
      <c r="AW2371" cm="1">
        <f t="array" ref="AW2371">IFERROR(IF(AV2371=0,0,(INDEX($C$33:$C$38,MATCH($AZ$2337,$B$33:$B$38,0),0)*(AV2375+$BA$2337)+$AW$2337*COUNTIF(AV2371:AV2374,"&gt;0")*$C$32+$AY$2337*$C$31)*$AU$2337),0)</f>
        <v>0</v>
      </c>
      <c r="AX2371">
        <f>IF(AV2371=0,0,-(COUNTIF(AV2371:AV2374,"&gt;0")*$AW$2337*$C$32+$AY$2337*$C$31)*$H$27*$AU$2337)</f>
        <v>0</v>
      </c>
      <c r="AY2371">
        <f>IF(AV2371=0,0,$AY$2337*$H$26*$AU$2337)</f>
        <v>0</v>
      </c>
      <c r="AZ2371">
        <f>(0.6*AW2371+0.7*AX2371)*$AU$2337/2</f>
        <v>0</v>
      </c>
      <c r="BA2371">
        <f>(0.6*AW2371+0.6*AY2371)*$AU$2337/2</f>
        <v>0</v>
      </c>
      <c r="BC2371">
        <f>IF(AV2371=0,0,$BG$2337*$AP$2325)</f>
        <v>0</v>
      </c>
      <c r="BD2371">
        <f>IFERROR(BC2371/$AU$2337,0)</f>
        <v>0</v>
      </c>
      <c r="BE2371">
        <f>BC2371*($F$21+IF($F$21=0,0,($C$14+$C$15+IF($C$13="single",1.5,3)+3)/12))</f>
        <v>0</v>
      </c>
      <c r="BF2371">
        <f>BE2371-AZ2371</f>
        <v>0</v>
      </c>
      <c r="BG2371" cm="1">
        <f t="array" ref="BG2371">IFERROR(IF(BF2371&lt;0,0,BF2371/($AU$2337-INDEX(hd_off,MATCH(BT2371,hd_mark,0),0)/12)),0)</f>
        <v>0</v>
      </c>
      <c r="BH2371">
        <f>IF(AV2371=0,0,$BG$2337*$AM$2325)</f>
        <v>0</v>
      </c>
      <c r="BI2371">
        <f>IFERROR(BH2371/$AU$2337,0)</f>
        <v>0</v>
      </c>
      <c r="BJ2371">
        <f>BH2371*($F$21+IF($F$21=0,0,($C$14+$C$15+IF($C$13="single",1.5,3)+3)/12))</f>
        <v>0</v>
      </c>
      <c r="BK2371">
        <f>BJ2371-BA2371</f>
        <v>0</v>
      </c>
      <c r="BL2371" cm="1">
        <f t="array" ref="BL2371">IFERROR(IF(BK2371&lt;0,0,BK2371/($AU$2337-INDEX(hd_off,MATCH(BT2371,hd_mark,0),0)/12)),0)</f>
        <v>0</v>
      </c>
      <c r="BM2371">
        <f>MAX($F$21,$BB$2337)/$Q$2356</f>
        <v>0.30172413793103448</v>
      </c>
      <c r="BN2371">
        <f>IF(BM2371=0,0,IF(BM2371&gt;2,1.25-0.125*BM2371,1))</f>
        <v>1</v>
      </c>
      <c r="BO2371" cm="1">
        <f t="array" ref="BO2371">IFERROR(INDEX(sheath_ecap_asd,MATCH(BS2371,sheath_mark,0),0)*BN2371,0)</f>
        <v>0</v>
      </c>
      <c r="BP2371" cm="1">
        <f t="array" ref="BP2371">IFERROR(INDEX(sheath_wcap_asd,MATCH(BS2371,sheath_mark,0),0)*BN2371,0)</f>
        <v>0</v>
      </c>
      <c r="BQ2371" cm="1">
        <f t="array" ref="BQ2371">IFERROR(INDEX(hd_cap,MATCH(BT2371,hd_mark,0),0),0)</f>
        <v>0</v>
      </c>
      <c r="BS2371" s="19"/>
      <c r="BT2371" s="19"/>
      <c r="BU2371" s="100"/>
    </row>
    <row r="2372" x14ac:dyDescent="0.25">
      <c r="P2372" s="93"/>
      <c r="Q2372" s="109"/>
      <c r="R2372" t="str">
        <f>$Q$2326</f>
        <v>L3</v>
      </c>
      <c r="S2372">
        <f>$E$22</f>
        <v>21.375</v>
      </c>
      <c r="T2372" cm="1">
        <f t="array" ref="T2372">IFERROR(IF(S2372=0,0,(INDEX($C$33:$C$38,MATCH($W$2337,$B$33:$B$38,0),0)*(S2375+$X$2337)+$T$2337*COUNTIF(S2372:S2374,"&gt;0")*$C$32+$V$2337*$C$31)*$R$2337),0)</f>
        <v>0</v>
      </c>
      <c r="U2372">
        <f>IF(S2372=0,0,-(COUNTIF(S2372:S2374,"&gt;0")*$T$2337*$C$32+$V$2337*$C$31)*$H$27*$R$2337)</f>
        <v>0</v>
      </c>
      <c r="V2372">
        <f>IF(S2372=0,0,$V$2337*$H$26*$R$2337)</f>
        <v>0</v>
      </c>
      <c r="W2372">
        <f>(0.6*T2372+0.7*U2372)*$R$2337/2</f>
        <v>0</v>
      </c>
      <c r="X2372">
        <f>T2372*$R$2337/2</f>
        <v>0</v>
      </c>
      <c r="Z2372">
        <f>IF(S2372=0,0,$AD$2337*$AP$2326)</f>
        <v>0</v>
      </c>
      <c r="AA2372">
        <f>IFERROR(Z2372/$R$2337,0)</f>
        <v>0</v>
      </c>
      <c r="AB2372">
        <f>Z2372*($F$22+IF($F$22=0,0,($C$14+$C$15+IF($C$13="single",1.5,3)+3)/12))</f>
        <v>0</v>
      </c>
      <c r="AC2372">
        <f>AB2372-W2372</f>
        <v>0</v>
      </c>
      <c r="AD2372" cm="1">
        <f t="array" ref="AD2372">IFERROR(IF(AC2372&lt;0,0,AC2372/($R$2337-INDEX(hd_off,MATCH(AQ2372,hd_mark,0),0)/12)),0)</f>
        <v>0</v>
      </c>
      <c r="AE2372">
        <f>IF(S2372=0,0,$AD$2337*$AM$2326)</f>
        <v>0</v>
      </c>
      <c r="AF2372">
        <f>IFERROR(AE2372/$R$2337,0)</f>
        <v>0</v>
      </c>
      <c r="AG2372">
        <f>AE2372*($F$22+IF($F$22=0,0,($C$14+$C$15+IF($C$13="single",1.5,3)+3)/12))</f>
        <v>0</v>
      </c>
      <c r="AH2372">
        <f>AG2372-X2372</f>
        <v>0</v>
      </c>
      <c r="AI2372" cm="1">
        <f t="array" ref="AI2372">IFERROR(IF(AH2372&lt;0,0,AH2372/($R$2337-INDEX(hd_off,MATCH(AQ2372,hd_mark,0),0)/12)),0)</f>
        <v>0</v>
      </c>
      <c r="AJ2372">
        <f>MAX($F$22,$Z$2337)/$Q$2356</f>
        <v>0.30172413793103448</v>
      </c>
      <c r="AK2372">
        <f t="shared" ref="AK2372:AK2375" si="1474">IF(AJ2372=0,0,IF(AJ2372&gt;2,1.25-0.125*AJ2372,1))</f>
        <v>1</v>
      </c>
      <c r="AL2372" cm="1">
        <f t="array" ref="AL2372">IFERROR(INDEX(sheath_ecap_asd,MATCH(AP2372,sheath_mark,0),0)*AK2372,0)</f>
        <v>0</v>
      </c>
      <c r="AM2372" cm="1">
        <f t="array" ref="AM2372">IFERROR(INDEX(sheath_wcap_asd,MATCH(AP2372,sheath_mark,0),0)*AK2372,0)</f>
        <v>0</v>
      </c>
      <c r="AN2372" cm="1">
        <f t="array" ref="AN2372">IFERROR(INDEX(hd_cap,MATCH(AQ2372,hd_mark,0),0),0)</f>
        <v>0</v>
      </c>
      <c r="AP2372" s="19"/>
      <c r="AQ2372" s="19"/>
      <c r="AR2372" s="100"/>
      <c r="AS2372" s="93"/>
      <c r="AT2372" s="109"/>
      <c r="AU2372" t="str">
        <f>$Q$2326</f>
        <v>L3</v>
      </c>
      <c r="AV2372">
        <f>$E$22</f>
        <v>21.375</v>
      </c>
      <c r="AW2372" cm="1">
        <f t="array" ref="AW2372">IFERROR(IF(AV2372=0,0,(INDEX($C$33:$C$38,MATCH($AZ$2337,$B$33:$B$38,0),0)*(AV2375+$BA$2337)+$AW$2337*COUNTIF(AV2372:AV2374,"&gt;0")*$C$32+$AY$2337*$C$31)*$AU$2337),0)</f>
        <v>0</v>
      </c>
      <c r="AX2372">
        <f>IF(AV2372=0,0,-(COUNTIF(AV2372:AV2374,"&gt;0")*$AW$2337*$C$32+$AY$2337*$C$31)*$H$27*$AU$2337)</f>
        <v>0</v>
      </c>
      <c r="AY2372">
        <f>IF(AV2372=0,0,$AY$2337*$H$26*$AU$2337)</f>
        <v>0</v>
      </c>
      <c r="AZ2372">
        <f>(0.6*AW2372+0.7*AX2372)*$AU$2337/2</f>
        <v>0</v>
      </c>
      <c r="BA2372">
        <f>AW2372*$AU$2337/2</f>
        <v>0</v>
      </c>
      <c r="BC2372">
        <f>IF(AV2372=0,0,$BG$2337*$AP$2326)</f>
        <v>0</v>
      </c>
      <c r="BD2372">
        <f>IFERROR(BC2372/$AU$2337,0)</f>
        <v>0</v>
      </c>
      <c r="BE2372">
        <f>BC2372*($F$22+IF($F$22=0,0,($C$14+$C$15+IF($C$13="single",1.5,3)+3)/12))</f>
        <v>0</v>
      </c>
      <c r="BF2372">
        <f>BE2372-AZ2372</f>
        <v>0</v>
      </c>
      <c r="BG2372" cm="1">
        <f t="array" ref="BG2372">IFERROR(IF(BF2372&lt;0,0,BF2372/($AU$2337-INDEX(hd_off,MATCH(BT2372,hd_mark,0),0)/12)),0)</f>
        <v>0</v>
      </c>
      <c r="BH2372">
        <f>IF(AV2372=0,0,$BG$2337*$AM$2326)</f>
        <v>0</v>
      </c>
      <c r="BI2372">
        <f>IFERROR(BH2372/$AU$2337,0)</f>
        <v>0</v>
      </c>
      <c r="BJ2372">
        <f>BH2372*($F$22+IF($F$22=0,0,($C$14+$C$15+IF($C$13="single",1.5,3)+3)/12))</f>
        <v>0</v>
      </c>
      <c r="BK2372">
        <f>BJ2372-BA2372</f>
        <v>0</v>
      </c>
      <c r="BL2372" cm="1">
        <f t="array" ref="BL2372">IFERROR(IF(BK2372&lt;0,0,BK2372/($AU$2337-INDEX(hd_off,MATCH(BT2372,hd_mark,0),0)/12)),0)</f>
        <v>0</v>
      </c>
      <c r="BM2372">
        <f>MAX($F$22,$BC$2337)/$Q$2356</f>
        <v>0.30172413793103448</v>
      </c>
      <c r="BN2372">
        <f t="shared" ref="BN2372:BN2375" si="1475">IF(BM2372=0,0,IF(BM2372&gt;2,1.25-0.125*BM2372,1))</f>
        <v>1</v>
      </c>
      <c r="BO2372" cm="1">
        <f t="array" ref="BO2372">IFERROR(INDEX(sheath_ecap_asd,MATCH(BS2372,sheath_mark,0),0)*BN2372,0)</f>
        <v>0</v>
      </c>
      <c r="BP2372" cm="1">
        <f t="array" ref="BP2372">IFERROR(INDEX(sheath_wcap_asd,MATCH(BS2372,sheath_mark,0),0)*BN2372,0)</f>
        <v>0</v>
      </c>
      <c r="BQ2372" cm="1">
        <f t="array" ref="BQ2372">IFERROR(INDEX(hd_cap,MATCH(BT2372,hd_mark,0),0),0)</f>
        <v>0</v>
      </c>
      <c r="BS2372" s="19"/>
      <c r="BT2372" s="19"/>
      <c r="BU2372" s="100"/>
    </row>
    <row r="2373" x14ac:dyDescent="0.25">
      <c r="B2373" s="1"/>
      <c r="P2373" s="93"/>
      <c r="Q2373" s="109" t="s">
        <v>491</v>
      </c>
      <c r="R2373" t="str">
        <f>$Q$2327</f>
        <v>L4</v>
      </c>
      <c r="S2373">
        <f>$E$23</f>
        <v>0</v>
      </c>
      <c r="T2373" cm="1">
        <f t="array" ref="T2373">IFERROR(IF(S2373=0,0,(INDEX($C$33:$C$38,MATCH($W$2337,$B$33:$B$38,0),0)*(S2375+$X$2337)+$T$2337*COUNTIF(S2373:S2374,"&gt;0")*$C$32+$V$2337*$C$31)*$R$2337),0)</f>
        <v>0</v>
      </c>
      <c r="U2373">
        <f>IF(S2373=0,0,-(COUNTIF(S2373:S2374,"&gt;0")*$T$2337*$C$32+$V$2337*$C$31)*$H$27*$R$2337)</f>
        <v>0</v>
      </c>
      <c r="V2373">
        <f>IF(S2373=0,0,$V$2337*$H$26*$R$2337)</f>
        <v>0</v>
      </c>
      <c r="W2373">
        <f>(0.6*T2373+0.7*U2373)*$R$2337/2</f>
        <v>0</v>
      </c>
      <c r="X2373">
        <f>T2373*$R$2337/2</f>
        <v>0</v>
      </c>
      <c r="Z2373">
        <f>IF(S2373=0,0,$AD$2337*$AP$2327)</f>
        <v>0</v>
      </c>
      <c r="AA2373">
        <f>IFERROR(Z2373/$R$2337,0)</f>
        <v>0</v>
      </c>
      <c r="AB2373">
        <f>Z2373*($F$23+IF($F$23=0,0,($C$14+$C$15+IF($C$13="single",1.5,3)+3)/12))</f>
        <v>0</v>
      </c>
      <c r="AC2373">
        <f>AB2373-W2373</f>
        <v>0</v>
      </c>
      <c r="AD2373" cm="1">
        <f t="array" ref="AD2373">IFERROR(IF(AC2373&lt;0,0,AC2373/($R$2337-INDEX(hd_off,MATCH(AQ2373,hd_mark,0),0)/12)),0)</f>
        <v>0</v>
      </c>
      <c r="AE2373">
        <f>IF(S2373=0,0,$AD$2337*$AM$2327)</f>
        <v>0</v>
      </c>
      <c r="AF2373">
        <f>IFERROR(AE2373/$R$2337,0)</f>
        <v>0</v>
      </c>
      <c r="AG2373">
        <f>AE2373*($F$23+IF($F$23=0,0,($C$14+$C$15+IF($C$13="single",1.5,3)+3)/12))</f>
        <v>0</v>
      </c>
      <c r="AH2373">
        <f>AG2373-X2373</f>
        <v>0</v>
      </c>
      <c r="AI2373" cm="1">
        <f t="array" ref="AI2373">IFERROR(IF(AH2373&lt;0,0,AH2373/($R$2337-INDEX(hd_off,MATCH(AQ2373,hd_mark,0),0)/12)),0)</f>
        <v>0</v>
      </c>
      <c r="AJ2373">
        <f>MAX($F$23,$AA$2337)/$Q$2356</f>
        <v>0</v>
      </c>
      <c r="AK2373">
        <f t="shared" si="1474"/>
        <v>0</v>
      </c>
      <c r="AL2373" cm="1">
        <f t="array" ref="AL2373">IFERROR(INDEX(sheath_ecap_asd,MATCH(AP2373,sheath_mark,0),0)*AK2373,0)</f>
        <v>0</v>
      </c>
      <c r="AM2373" cm="1">
        <f t="array" ref="AM2373">IFERROR(INDEX(sheath_wcap_asd,MATCH(AP2373,sheath_mark,0),0)*AK2373,0)</f>
        <v>0</v>
      </c>
      <c r="AN2373" cm="1">
        <f t="array" ref="AN2373">IFERROR(INDEX(hd_cap,MATCH(AQ2373,hd_mark,0),0),0)</f>
        <v>0</v>
      </c>
      <c r="AP2373" s="19"/>
      <c r="AQ2373" s="19"/>
      <c r="AR2373" s="100"/>
      <c r="AS2373" s="93"/>
      <c r="AT2373" s="109" t="s">
        <v>491</v>
      </c>
      <c r="AU2373" t="str">
        <f>$Q$2327</f>
        <v>L4</v>
      </c>
      <c r="AV2373">
        <f>$E$23</f>
        <v>0</v>
      </c>
      <c r="AW2373" cm="1">
        <f t="array" ref="AW2373">IFERROR(IF(AV2373=0,0,(INDEX($C$33:$C$38,MATCH($AZ$2337,$B$33:$B$38,0),0)*(AV2375+$BA$2337)+$AW$2337*COUNTIF(AV2373:AV2374,"&gt;0")*$C$32+$AY$2337*$C$31)*$AU$2337),0)</f>
        <v>0</v>
      </c>
      <c r="AX2373">
        <f>IF(AV2373=0,0,-(COUNTIF(AV2373:AV2374,"&gt;0")*$AW$2337*$C$32+$AY$2337*$C$31)*$H$27*$AU$2337)</f>
        <v>0</v>
      </c>
      <c r="AY2373">
        <f>IF(AV2373=0,0,$AY$2337*$H$26*$AU$2337)</f>
        <v>0</v>
      </c>
      <c r="AZ2373">
        <f>(0.6*AW2373+0.7*AX2373)*$AU$2337/2</f>
        <v>0</v>
      </c>
      <c r="BA2373">
        <f>AW2373*$AU$2337/2</f>
        <v>0</v>
      </c>
      <c r="BC2373">
        <f>IF(AV2373=0,0,$BG$2337*$AP$2327)</f>
        <v>0</v>
      </c>
      <c r="BD2373">
        <f>IFERROR(BC2373/$AU$2337,0)</f>
        <v>0</v>
      </c>
      <c r="BE2373">
        <f>BC2373*($F$23+IF($F$23=0,0,($C$14+$C$15+IF($C$13="single",1.5,3)+3)/12))</f>
        <v>0</v>
      </c>
      <c r="BF2373">
        <f>BE2373-AZ2373</f>
        <v>0</v>
      </c>
      <c r="BG2373" cm="1">
        <f t="array" ref="BG2373">IFERROR(IF(BF2373&lt;0,0,BF2373/($AU$2337-INDEX(hd_off,MATCH(BT2373,hd_mark,0),0)/12)),0)</f>
        <v>0</v>
      </c>
      <c r="BH2373">
        <f>IF(AV2373=0,0,$BG$2337*$AM$2327)</f>
        <v>0</v>
      </c>
      <c r="BI2373">
        <f>IFERROR(BH2373/$AU$2337,0)</f>
        <v>0</v>
      </c>
      <c r="BJ2373">
        <f>BH2373*($F$23+IF($F$23=0,0,($C$14+$C$15+IF($C$13="single",1.5,3)+3)/12))</f>
        <v>0</v>
      </c>
      <c r="BK2373">
        <f>BJ2373-BA2373</f>
        <v>0</v>
      </c>
      <c r="BL2373" cm="1">
        <f t="array" ref="BL2373">IFERROR(IF(BK2373&lt;0,0,BK2373/($AU$2337-INDEX(hd_off,MATCH(BT2373,hd_mark,0),0)/12)),0)</f>
        <v>0</v>
      </c>
      <c r="BM2373">
        <f>MAX($F$23,$BD$2337)/$Q$2356</f>
        <v>0</v>
      </c>
      <c r="BN2373">
        <f t="shared" si="1475"/>
        <v>0</v>
      </c>
      <c r="BO2373" cm="1">
        <f t="array" ref="BO2373">IFERROR(INDEX(sheath_ecap_asd,MATCH(BS2373,sheath_mark,0),0)*BN2373,0)</f>
        <v>0</v>
      </c>
      <c r="BP2373" cm="1">
        <f t="array" ref="BP2373">IFERROR(INDEX(sheath_wcap_asd,MATCH(BS2373,sheath_mark,0),0)*BN2373,0)</f>
        <v>0</v>
      </c>
      <c r="BQ2373" cm="1">
        <f t="array" ref="BQ2373">IFERROR(INDEX(hd_cap,MATCH(BT2373,hd_mark,0),0),0)</f>
        <v>0</v>
      </c>
      <c r="BS2373" s="19"/>
      <c r="BT2373" s="19"/>
      <c r="BU2373" s="100"/>
    </row>
    <row r="2374" x14ac:dyDescent="0.25">
      <c r="P2374" s="93"/>
      <c r="Q2374" s="111">
        <f>$R$2337</f>
        <v>0</v>
      </c>
      <c r="R2374" t="str">
        <f>$Q$2328</f>
        <v>L5</v>
      </c>
      <c r="S2374">
        <f>$E$24</f>
        <v>0</v>
      </c>
      <c r="T2374" cm="1">
        <f t="array" ref="T2374">IFERROR(IF(S2374=0,0,(INDEX($C$33:$C$38,MATCH($W$2337,$B$33:$B$38,0),0)*(S2375+$X$2337)+$T$2337*COUNTIF(S2374:S2374,"&gt;0")*$C$32+$V$2337*$C$31)*$R$2337),0)</f>
        <v>0</v>
      </c>
      <c r="U2374">
        <f>IF(S2374=0,0,-(COUNTIF(S2374:S2374,"&gt;0")*$T$2337*$C$32+$V$2337*$C$31)*$H$27*$R$2337)</f>
        <v>0</v>
      </c>
      <c r="V2374">
        <f>IF(S2374=0,0,$V$2337*$H$26*$R$2337)</f>
        <v>0</v>
      </c>
      <c r="W2374">
        <f>(0.6*T2374+0.7*U2374)*$R$2337/2</f>
        <v>0</v>
      </c>
      <c r="X2374">
        <f>T2374*$R$2337/2</f>
        <v>0</v>
      </c>
      <c r="Z2374">
        <f>IF(S2374=0,0,$AD$2337*$AP$2328)</f>
        <v>0</v>
      </c>
      <c r="AA2374">
        <f>IFERROR(Z2374/$R$2337,0)</f>
        <v>0</v>
      </c>
      <c r="AB2374">
        <f>Z2374*($F$24+IF($F$24=0,0,($C$14+$C$15+IF($C$13="single",1.5,3)+3)/12))</f>
        <v>0</v>
      </c>
      <c r="AC2374">
        <f>AB2374-W2374</f>
        <v>0</v>
      </c>
      <c r="AD2374" cm="1">
        <f t="array" ref="AD2374">IFERROR(IF(AC2374&lt;0,0,AC2374/($R$2337-INDEX(hd_off,MATCH(AQ2374,hd_mark,0),0)/12)),0)</f>
        <v>0</v>
      </c>
      <c r="AE2374">
        <f>IF(S2374=0,0,$AD$2337*$AM$2328)</f>
        <v>0</v>
      </c>
      <c r="AF2374">
        <f>IFERROR(AE2374/$R$2337,0)</f>
        <v>0</v>
      </c>
      <c r="AG2374">
        <f>AE2374*($F$24+IF($F$24=0,0,($C$14+$C$15+IF($C$13="single",1.5,3)+3)/12))</f>
        <v>0</v>
      </c>
      <c r="AH2374">
        <f>AG2374-X2374</f>
        <v>0</v>
      </c>
      <c r="AI2374" cm="1">
        <f t="array" ref="AI2374">IFERROR(IF(AH2374&lt;0,0,AH2374/($R$2337-INDEX(hd_off,MATCH(AQ2374,hd_mark,0),0)/12)),0)</f>
        <v>0</v>
      </c>
      <c r="AJ2374">
        <f>MAX($F$24,$AB$2337)/$Q$2356</f>
        <v>0</v>
      </c>
      <c r="AK2374">
        <f t="shared" si="1474"/>
        <v>0</v>
      </c>
      <c r="AL2374" cm="1">
        <f t="array" ref="AL2374">IFERROR(INDEX(sheath_ecap_asd,MATCH(AP2374,sheath_mark,0),0)*AK2374,0)</f>
        <v>0</v>
      </c>
      <c r="AM2374" cm="1">
        <f t="array" ref="AM2374">IFERROR(INDEX(sheath_wcap_asd,MATCH(AP2374,sheath_mark,0),0)*AK2374,0)</f>
        <v>0</v>
      </c>
      <c r="AN2374" cm="1">
        <f t="array" ref="AN2374">IFERROR(INDEX(hd_cap,MATCH(AQ2374,hd_mark,0),0),0)</f>
        <v>0</v>
      </c>
      <c r="AP2374" s="19"/>
      <c r="AQ2374" s="19"/>
      <c r="AR2374" s="100"/>
      <c r="AS2374" s="93"/>
      <c r="AT2374" s="111">
        <f>$R$2337</f>
        <v>0</v>
      </c>
      <c r="AU2374" t="str">
        <f>$Q$2328</f>
        <v>L5</v>
      </c>
      <c r="AV2374">
        <f>$E$24</f>
        <v>0</v>
      </c>
      <c r="AW2374" cm="1">
        <f t="array" ref="AW2374">IFERROR(IF(AV2374=0,0,(INDEX($C$33:$C$38,MATCH($AZ$2337,$B$33:$B$38,0),0)*(AV2375+$BA$2337)+$AW$2337*COUNTIF(AV2374:AV2374,"&gt;0")*$C$32+$AY$2337*$C$31)*$AU$2337),0)</f>
        <v>0</v>
      </c>
      <c r="AX2374">
        <f>IF(AV2374=0,0,-(COUNTIF(AV2374:AV2374,"&gt;0")*$AW$2337*$C$32+$AY$2337*$C$31)*$H$27*$AU$2337)</f>
        <v>0</v>
      </c>
      <c r="AY2374">
        <f>IF(AV2374=0,0,$AY$2337*$H$26*$AU$2337)</f>
        <v>0</v>
      </c>
      <c r="AZ2374">
        <f>(0.6*AW2374+0.7*AX2374)*$AU$2337/2</f>
        <v>0</v>
      </c>
      <c r="BA2374">
        <f>AW2374*$AU$2337/2</f>
        <v>0</v>
      </c>
      <c r="BC2374">
        <f>IF(AV2374=0,0,$BG$2337*$AP$2328)</f>
        <v>0</v>
      </c>
      <c r="BD2374">
        <f>IFERROR(BC2374/$AU$2337,0)</f>
        <v>0</v>
      </c>
      <c r="BE2374">
        <f>BC2374*($F$24+IF($F$24=0,0,($C$14+$C$15+IF($C$13="single",1.5,3)+3)/12))</f>
        <v>0</v>
      </c>
      <c r="BF2374">
        <f>BE2374-AZ2374</f>
        <v>0</v>
      </c>
      <c r="BG2374" cm="1">
        <f t="array" ref="BG2374">IFERROR(IF(BF2374&lt;0,0,BF2374/($AU$2337-INDEX(hd_off,MATCH(BT2374,hd_mark,0),0)/12)),0)</f>
        <v>0</v>
      </c>
      <c r="BH2374">
        <f>IF(AV2374=0,0,$BG$2337*$AM$2328)</f>
        <v>0</v>
      </c>
      <c r="BI2374">
        <f>IFERROR(BH2374/$AU$2337,0)</f>
        <v>0</v>
      </c>
      <c r="BJ2374">
        <f>BH2374*($F$24+IF($F$24=0,0,($C$14+$C$15+IF($C$13="single",1.5,3)+3)/12))</f>
        <v>0</v>
      </c>
      <c r="BK2374">
        <f>BJ2374-BA2374</f>
        <v>0</v>
      </c>
      <c r="BL2374" cm="1">
        <f t="array" ref="BL2374">IFERROR(IF(BK2374&lt;0,0,BK2374/($AU$2337-INDEX(hd_off,MATCH(BT2374,hd_mark,0),0)/12)),0)</f>
        <v>0</v>
      </c>
      <c r="BM2374">
        <f>MAX($F$24,$BE$2337)/$Q$2356</f>
        <v>0</v>
      </c>
      <c r="BN2374">
        <f t="shared" si="1475"/>
        <v>0</v>
      </c>
      <c r="BO2374" cm="1">
        <f t="array" ref="BO2374">IFERROR(INDEX(sheath_ecap_asd,MATCH(BS2374,sheath_mark,0),0)*BN2374,0)</f>
        <v>0</v>
      </c>
      <c r="BP2374" cm="1">
        <f t="array" ref="BP2374">IFERROR(INDEX(sheath_wcap_asd,MATCH(BS2374,sheath_mark,0),0)*BN2374,0)</f>
        <v>0</v>
      </c>
      <c r="BQ2374" cm="1">
        <f t="array" ref="BQ2374">IFERROR(INDEX(hd_cap,MATCH(BT2374,hd_mark,0),0),0)</f>
        <v>0</v>
      </c>
      <c r="BS2374" s="19"/>
      <c r="BT2374" s="19"/>
      <c r="BU2374" s="100"/>
    </row>
    <row r="2375" x14ac:dyDescent="0.25">
      <c r="P2375" s="93"/>
      <c r="Q2375" s="109"/>
      <c r="R2375" t="str">
        <f>$Q$2329</f>
        <v>Roof</v>
      </c>
      <c r="S2375">
        <f>$E$25</f>
        <v>33.171875</v>
      </c>
      <c r="T2375" cm="1">
        <f t="array" ref="T2375">IFERROR(IF(S2375=0,0,(INDEX($C$33:$C$38,MATCH($W$2337,$B$33:$B$38,0),0)*(S2375+$X$2337)+$V$2337*$C$31)*$R$2337),0)</f>
        <v>0</v>
      </c>
      <c r="U2375">
        <f>IF(S2375=0,0,-$V$2337*$C$31*$H$27*$R$2337)</f>
        <v>0</v>
      </c>
      <c r="V2375">
        <f>IF(S2375=0,0,$V$2337*$H$26*$R$2337)</f>
        <v>0</v>
      </c>
      <c r="W2375">
        <f>(0.6*T2375+0.7*U2375)*$R$2337/2</f>
        <v>0</v>
      </c>
      <c r="X2375">
        <f>T2375*$R$2337/2</f>
        <v>0</v>
      </c>
      <c r="Z2375">
        <f>IF(S2375=0,0,$AD$2337*$AP$2329)</f>
        <v>0</v>
      </c>
      <c r="AA2375">
        <f>IFERROR(Z2375/$R$2337,0)</f>
        <v>0</v>
      </c>
      <c r="AB2375">
        <f>Z2375*($F$25+($C$16+$C$17+IF($C$13="single",1.5,3)+3)/12)</f>
        <v>0</v>
      </c>
      <c r="AC2375">
        <f>AB2375-W2375</f>
        <v>0</v>
      </c>
      <c r="AD2375" cm="1">
        <f t="array" ref="AD2375">IFERROR(IF(AC2375&lt;0,0,AC2375/($R$2337-INDEX(hd_off,MATCH(AQ2375,hd_mark,0),0)/12)),0)</f>
        <v>0</v>
      </c>
      <c r="AE2375">
        <f>IF(S2375=0,0,$AD$2337*$AM$2329)</f>
        <v>0</v>
      </c>
      <c r="AF2375">
        <f>IFERROR(AE2375/$R$2337,0)</f>
        <v>0</v>
      </c>
      <c r="AG2375">
        <f>AE2375*($F$25+($C$16+$C$17+IF($C$13="single",1.5,3)+3)/12)</f>
        <v>0</v>
      </c>
      <c r="AH2375">
        <f>AG2375-X2375</f>
        <v>0</v>
      </c>
      <c r="AI2375" cm="1">
        <f t="array" ref="AI2375">IFERROR(IF(AH2375&lt;0,0,AH2375/($R$2337-INDEX(hd_off,MATCH(AQ2375,hd_mark,0),0)/12)),0)</f>
        <v>0</v>
      </c>
      <c r="AJ2375">
        <f>MAX($F$25,$AC$2337)/$Q$2356</f>
        <v>0.29920977011494249</v>
      </c>
      <c r="AK2375">
        <f t="shared" si="1474"/>
        <v>1</v>
      </c>
      <c r="AL2375" cm="1">
        <f t="array" ref="AL2375">IFERROR(INDEX(sheath_ecap_asd,MATCH(AP2375,sheath_mark,0),0)*AK2375,0)</f>
        <v>0</v>
      </c>
      <c r="AM2375" cm="1">
        <f t="array" ref="AM2375">IFERROR(INDEX(sheath_wcap_asd,MATCH(AP2375,sheath_mark,0),0)*AK2375,0)</f>
        <v>0</v>
      </c>
      <c r="AN2375" cm="1">
        <f t="array" ref="AN2375">IFERROR(INDEX(hd_cap,MATCH(AQ2375,hd_mark,0),0),0)</f>
        <v>0</v>
      </c>
      <c r="AP2375" s="19"/>
      <c r="AQ2375" s="19"/>
      <c r="AR2375" s="100"/>
      <c r="AS2375" s="93"/>
      <c r="AT2375" s="109"/>
      <c r="AU2375" t="str">
        <f>$Q$2329</f>
        <v>Roof</v>
      </c>
      <c r="AV2375">
        <f>$E$25</f>
        <v>33.171875</v>
      </c>
      <c r="AW2375" cm="1">
        <f t="array" ref="AW2375">IFERROR(IF(AV2375=0,0,(INDEX($C$33:$C$38,MATCH($AZ$2337,$B$33:$B$38,0),0)*(AV2375+$BA$2337)+$AY$2337*$C$31)*$AU$2337),0)</f>
        <v>0</v>
      </c>
      <c r="AX2375">
        <f>IF(AV2375=0,0,-$AY$2337*$C$31*$H$27*$AU$2337)</f>
        <v>0</v>
      </c>
      <c r="AY2375">
        <f>IF(AV2375=0,0,$AY$2337*$H$26*$AU$2337)</f>
        <v>0</v>
      </c>
      <c r="AZ2375">
        <f>(0.6*AW2375+0.7*AX2375)*$AU$2337/2</f>
        <v>0</v>
      </c>
      <c r="BA2375">
        <f>AW2375*$AU$2337/2</f>
        <v>0</v>
      </c>
      <c r="BC2375">
        <f>IF(AV2375=0,0,$BG$2337*$AP$2329)</f>
        <v>0</v>
      </c>
      <c r="BD2375">
        <f>IFERROR(BC2375/$AU$2337,0)</f>
        <v>0</v>
      </c>
      <c r="BE2375">
        <f>BC2375*($F$25+($C$16+$C$17+IF($C$13="single",1.5,3)+3)/12)</f>
        <v>0</v>
      </c>
      <c r="BF2375">
        <f>BE2375-AZ2375</f>
        <v>0</v>
      </c>
      <c r="BG2375" cm="1">
        <f t="array" ref="BG2375">IFERROR(IF(BF2375&lt;0,0,BF2375/($AU$2337-INDEX(hd_off,MATCH(BT2375,hd_mark,0),0)/12)),0)</f>
        <v>0</v>
      </c>
      <c r="BH2375">
        <f>IF(AV2375=0,0,$BG$2337*$AM$2329)</f>
        <v>0</v>
      </c>
      <c r="BI2375">
        <f>IFERROR(BH2375/$AU$2337,0)</f>
        <v>0</v>
      </c>
      <c r="BJ2375">
        <f>BH2375*($F$25+($C$16+$C$17+IF($C$13="single",1.5,3)+3)/12)</f>
        <v>0</v>
      </c>
      <c r="BK2375">
        <f>BJ2375-BA2375</f>
        <v>0</v>
      </c>
      <c r="BL2375" cm="1">
        <f t="array" ref="BL2375">IFERROR(IF(BK2375&lt;0,0,BK2375/($AU$2337-INDEX(hd_off,MATCH(BT2375,hd_mark,0),0)/12)),0)</f>
        <v>0</v>
      </c>
      <c r="BM2375">
        <f>MAX($F$25,$BF$2337)/$Q$2356</f>
        <v>0.29920977011494249</v>
      </c>
      <c r="BN2375">
        <f t="shared" si="1475"/>
        <v>1</v>
      </c>
      <c r="BO2375" cm="1">
        <f t="array" ref="BO2375">IFERROR(INDEX(sheath_ecap_asd,MATCH(BS2375,sheath_mark,0),0)*BN2375,0)</f>
        <v>0</v>
      </c>
      <c r="BP2375" cm="1">
        <f t="array" ref="BP2375">IFERROR(INDEX(sheath_wcap_asd,MATCH(BS2375,sheath_mark,0),0)*BN2375,0)</f>
        <v>0</v>
      </c>
      <c r="BQ2375" cm="1">
        <f t="array" ref="BQ2375">IFERROR(INDEX(hd_cap,MATCH(BT2375,hd_mark,0),0),0)</f>
        <v>0</v>
      </c>
      <c r="BS2375" s="19"/>
      <c r="BT2375" s="19"/>
      <c r="BU2375" s="100"/>
    </row>
    <row r="2376" x14ac:dyDescent="0.25">
      <c r="P2376" s="93"/>
      <c r="AR2376" s="100"/>
      <c r="AS2376" s="93"/>
      <c r="BU2376" s="100"/>
    </row>
    <row r="2377" x14ac:dyDescent="0.25">
      <c r="P2377" s="93"/>
      <c r="Q2377" s="110" t="str">
        <f>$Q$2338</f>
        <v>A.05</v>
      </c>
      <c r="R2377" t="str">
        <f>$Q$2325</f>
        <v>L2</v>
      </c>
      <c r="S2377">
        <f>$E$21</f>
        <v>10.6875</v>
      </c>
      <c r="T2377" cm="1">
        <f t="array" ref="T2377">IFERROR(IF(S2377=0,0,(INDEX($C$33:$C$38,MATCH($W$2338,$B$33:$B$38,0),0)*(S2381+$X$2338)+$T$2338*COUNTIF(S2377:S2380,"&gt;0")*$C$32+$V$2338*$C$31)*$R$2338),0)</f>
        <v>0</v>
      </c>
      <c r="U2377">
        <f>IF(S2377=0,0,-(COUNTIF(S2377:S2380,"&gt;0")*$T$2338*$C$32+$V$2338*$C$31)*$H$27*$R$2338)</f>
        <v>0</v>
      </c>
      <c r="V2377">
        <f>IF(S2377=0,0,$V$2338*$H$26*$R$2338)</f>
        <v>0</v>
      </c>
      <c r="W2377">
        <f>(0.6*T2377+0.7*U2377)*$R$2338/2</f>
        <v>0</v>
      </c>
      <c r="X2377">
        <f>(0.6*T2377+0.6*V2377)*$R$2338/2</f>
        <v>0</v>
      </c>
      <c r="Z2377">
        <f>IF(S2377=0,0,$AD$2338*$AP$2325)</f>
        <v>0</v>
      </c>
      <c r="AA2377">
        <f>IFERROR(Z2377/$R$2338,0)</f>
        <v>0</v>
      </c>
      <c r="AB2377">
        <f>Z2377*($F$21+IF($F$21=0,0,($C$14+$C$15+IF($C$13="single",1.5,3)+3)/12))</f>
        <v>0</v>
      </c>
      <c r="AC2377">
        <f>AB2377-W2377</f>
        <v>0</v>
      </c>
      <c r="AD2377" cm="1">
        <f t="array" ref="AD2377">IFERROR(IF(AC2377&lt;0,0,AC2377/($R$2338-INDEX(hd_off,MATCH(AQ2377,hd_mark,0),0)/12)),0)</f>
        <v>0</v>
      </c>
      <c r="AE2377">
        <f>IF(S2377=0,0,$AD$2338*$AM$2325)</f>
        <v>0</v>
      </c>
      <c r="AF2377">
        <f>IFERROR(AE2377/$R$2338,0)</f>
        <v>0</v>
      </c>
      <c r="AG2377">
        <f>AE2377*($F$21+IF($F$21=0,0,($C$14+$C$15+IF($C$13="single",1.5,3)+3)/12))</f>
        <v>0</v>
      </c>
      <c r="AH2377">
        <f>AG2377-X2377</f>
        <v>0</v>
      </c>
      <c r="AI2377" cm="1">
        <f t="array" ref="AI2377">IFERROR(IF(AH2377&lt;0,0,AH2377/($R$2338-INDEX(hd_off,MATCH(AQ2377,hd_mark,0),0)/12)),0)</f>
        <v>0</v>
      </c>
      <c r="AJ2377">
        <f>MAX($F$21,$Y$2338)/$Q$2356</f>
        <v>0.30172413793103448</v>
      </c>
      <c r="AK2377">
        <f>IF(AJ2377=0,0,IF(AJ2377&gt;2,1.25-0.125*AJ2377,1))</f>
        <v>1</v>
      </c>
      <c r="AL2377" cm="1">
        <f t="array" ref="AL2377">IFERROR(INDEX(sheath_ecap_asd,MATCH(AP2377,sheath_mark,0),0)*AK2377,0)</f>
        <v>0</v>
      </c>
      <c r="AM2377" cm="1">
        <f t="array" ref="AM2377">IFERROR(INDEX(sheath_wcap_asd,MATCH(AP2377,sheath_mark,0),0)*AK2377,0)</f>
        <v>0</v>
      </c>
      <c r="AN2377" cm="1">
        <f t="array" ref="AN2377">IFERROR(INDEX(hd_cap,MATCH(AQ2377,hd_mark,0),0),0)</f>
        <v>0</v>
      </c>
      <c r="AP2377" s="19"/>
      <c r="AQ2377" s="19"/>
      <c r="AR2377" s="100"/>
      <c r="AS2377" s="93"/>
      <c r="AT2377" s="110" t="str">
        <f>$AT$2338</f>
        <v>1.05</v>
      </c>
      <c r="AU2377" t="str">
        <f>$Q$2325</f>
        <v>L2</v>
      </c>
      <c r="AV2377">
        <f>$E$21</f>
        <v>10.6875</v>
      </c>
      <c r="AW2377" cm="1">
        <f t="array" ref="AW2377">IFERROR(IF(AV2377=0,0,(INDEX($C$33:$C$38,MATCH($AZ$2338,$B$33:$B$38,0),0)*(AV2381+$BA$2338)+$AW$2338*COUNTIF(AV2377:AV2380,"&gt;0")*$C$32+$AY$2338*$C$31)*$AU$2338),0)</f>
        <v>0</v>
      </c>
      <c r="AX2377">
        <f>IF(AV2377=0,0,-(COUNTIF(AV2377:AV2380,"&gt;0")*$AW$2338*$C$32+$AY$2338*$C$31)*$H$27*$AU$2338)</f>
        <v>0</v>
      </c>
      <c r="AY2377">
        <f>IF(AV2377=0,0,$AY$2338*$H$26*$AU$2338)</f>
        <v>0</v>
      </c>
      <c r="AZ2377">
        <f>(0.6*AW2377+0.7*AX2377)*$AU$2338/2</f>
        <v>0</v>
      </c>
      <c r="BA2377">
        <f>(0.6*AW2377+0.6*AY2377)*$AU$2338/2</f>
        <v>0</v>
      </c>
      <c r="BC2377">
        <f>IF(AV2377=0,0,$BG$2338*$AP$2325)</f>
        <v>0</v>
      </c>
      <c r="BD2377">
        <f>IFERROR(BC2377/$AU$2338,0)</f>
        <v>0</v>
      </c>
      <c r="BE2377">
        <f>BC2377*($F$21+IF($F$21=0,0,($C$14+$C$15+IF($C$13="single",1.5,3)+3)/12))</f>
        <v>0</v>
      </c>
      <c r="BF2377">
        <f>BE2377-AZ2377</f>
        <v>0</v>
      </c>
      <c r="BG2377" cm="1">
        <f t="array" ref="BG2377">IFERROR(IF(BF2377&lt;0,0,BF2377/($AU$2338-INDEX(hd_off,MATCH(BT2377,hd_mark,0),0)/12)),0)</f>
        <v>0</v>
      </c>
      <c r="BH2377">
        <f>IF(AV2377=0,0,$BG$2338*$AM$2325)</f>
        <v>0</v>
      </c>
      <c r="BI2377">
        <f>IFERROR(BH2377/$AU$2338,0)</f>
        <v>0</v>
      </c>
      <c r="BJ2377">
        <f>BH2377*($F$21+IF($F$21=0,0,($C$14+$C$15+IF($C$13="single",1.5,3)+3)/12))</f>
        <v>0</v>
      </c>
      <c r="BK2377">
        <f>BJ2377-BA2377</f>
        <v>0</v>
      </c>
      <c r="BL2377" cm="1">
        <f t="array" ref="BL2377">IFERROR(IF(BK2377&lt;0,0,BK2377/($AU$2338-INDEX(hd_off,MATCH(BT2377,hd_mark,0),0)/12)),0)</f>
        <v>0</v>
      </c>
      <c r="BM2377">
        <f>MAX($F$21,$BB$2338)/$Q$2356</f>
        <v>0.30172413793103448</v>
      </c>
      <c r="BN2377">
        <f>IF(BM2377=0,0,IF(BM2377&gt;2,1.25-0.125*BM2377,1))</f>
        <v>1</v>
      </c>
      <c r="BO2377" cm="1">
        <f t="array" ref="BO2377">IFERROR(INDEX(sheath_ecap_asd,MATCH(BS2377,sheath_mark,0),0)*BN2377,0)</f>
        <v>0</v>
      </c>
      <c r="BP2377" cm="1">
        <f t="array" ref="BP2377">IFERROR(INDEX(sheath_wcap_asd,MATCH(BS2377,sheath_mark,0),0)*BN2377,0)</f>
        <v>0</v>
      </c>
      <c r="BQ2377" cm="1">
        <f t="array" ref="BQ2377">IFERROR(INDEX(hd_cap,MATCH(BT2377,hd_mark,0),0),0)</f>
        <v>0</v>
      </c>
      <c r="BS2377" s="19"/>
      <c r="BT2377" s="19"/>
      <c r="BU2377" s="100"/>
    </row>
    <row r="2378" x14ac:dyDescent="0.25">
      <c r="B2378" s="1"/>
      <c r="P2378" s="93"/>
      <c r="Q2378" s="109"/>
      <c r="R2378" t="str">
        <f>$Q$2326</f>
        <v>L3</v>
      </c>
      <c r="S2378">
        <f>$E$22</f>
        <v>21.375</v>
      </c>
      <c r="T2378" cm="1">
        <f t="array" ref="T2378">IFERROR(IF(S2378=0,0,(INDEX($C$33:$C$38,MATCH($W$2338,$B$33:$B$38,0),0)*(S2381+$X$2338)+$T$2338*COUNTIF(S2378:S2380,"&gt;0")*$C$32+$V$2338*$C$31)*$R$2338),0)</f>
        <v>0</v>
      </c>
      <c r="U2378">
        <f>IF(S2378=0,0,-(COUNTIF(S2378:S2380,"&gt;0")*$T$2338*$C$32+$V$2338*$C$31)*$H$27*$R$2338)</f>
        <v>0</v>
      </c>
      <c r="V2378">
        <f>IF(S2378=0,0,$V$2338*$H$26*$R$2338)</f>
        <v>0</v>
      </c>
      <c r="W2378">
        <f>(0.6*T2378+0.7*U2378)*$R$2338/2</f>
        <v>0</v>
      </c>
      <c r="X2378">
        <f>T2378*$R$2338/2</f>
        <v>0</v>
      </c>
      <c r="Z2378">
        <f>IF(S2378=0,0,$AD$2338*$AP$2326)</f>
        <v>0</v>
      </c>
      <c r="AA2378">
        <f>IFERROR(Z2378/$R$2338,0)</f>
        <v>0</v>
      </c>
      <c r="AB2378">
        <f>Z2378*($F$22+IF($F$22=0,0,($C$14+$C$15+IF($C$13="single",1.5,3)+3)/12))</f>
        <v>0</v>
      </c>
      <c r="AC2378">
        <f>AB2378-W2378</f>
        <v>0</v>
      </c>
      <c r="AD2378" cm="1">
        <f t="array" ref="AD2378">IFERROR(IF(AC2378&lt;0,0,AC2378/($R$2338-INDEX(hd_off,MATCH(AQ2378,hd_mark,0),0)/12)),0)</f>
        <v>0</v>
      </c>
      <c r="AE2378">
        <f>IF(S2378=0,0,$AD$2338*$AM$2326)</f>
        <v>0</v>
      </c>
      <c r="AF2378">
        <f>IFERROR(AE2378/$R$2338,0)</f>
        <v>0</v>
      </c>
      <c r="AG2378">
        <f>AE2378*($F$22+IF($F$22=0,0,($C$14+$C$15+IF($C$13="single",1.5,3)+3)/12))</f>
        <v>0</v>
      </c>
      <c r="AH2378">
        <f>AG2378-X2378</f>
        <v>0</v>
      </c>
      <c r="AI2378" cm="1">
        <f t="array" ref="AI2378">IFERROR(IF(AH2378&lt;0,0,AH2378/($R$2338-INDEX(hd_off,MATCH(AQ2378,hd_mark,0),0)/12)),0)</f>
        <v>0</v>
      </c>
      <c r="AJ2378">
        <f>MAX($F$22,$Z$2338)/$Q$2356</f>
        <v>0.30172413793103448</v>
      </c>
      <c r="AK2378">
        <f t="shared" ref="AK2378:AK2381" si="1476">IF(AJ2378=0,0,IF(AJ2378&gt;2,1.25-0.125*AJ2378,1))</f>
        <v>1</v>
      </c>
      <c r="AL2378" cm="1">
        <f t="array" ref="AL2378">IFERROR(INDEX(sheath_ecap_asd,MATCH(AP2378,sheath_mark,0),0)*AK2378,0)</f>
        <v>0</v>
      </c>
      <c r="AM2378" cm="1">
        <f t="array" ref="AM2378">IFERROR(INDEX(sheath_wcap_asd,MATCH(AP2378,sheath_mark,0),0)*AK2378,0)</f>
        <v>0</v>
      </c>
      <c r="AN2378" cm="1">
        <f t="array" ref="AN2378">IFERROR(INDEX(hd_cap,MATCH(AQ2378,hd_mark,0),0),0)</f>
        <v>0</v>
      </c>
      <c r="AP2378" s="19"/>
      <c r="AQ2378" s="19"/>
      <c r="AR2378" s="100"/>
      <c r="AS2378" s="93"/>
      <c r="AT2378" s="109"/>
      <c r="AU2378" t="str">
        <f>$Q$2326</f>
        <v>L3</v>
      </c>
      <c r="AV2378">
        <f>$E$22</f>
        <v>21.375</v>
      </c>
      <c r="AW2378" cm="1">
        <f t="array" ref="AW2378">IFERROR(IF(AV2378=0,0,(INDEX($C$33:$C$38,MATCH($AZ$2338,$B$33:$B$38,0),0)*(AV2381+$BA$2338)+$AW$2338*COUNTIF(AV2378:AV2380,"&gt;0")*$C$32+$AY$2338*$C$31)*$AU$2338),0)</f>
        <v>0</v>
      </c>
      <c r="AX2378">
        <f>IF(AV2378=0,0,-(COUNTIF(AV2378:AV2380,"&gt;0")*$AW$2338*$C$32+$AY$2338*$C$31)*$H$27*$AU$2338)</f>
        <v>0</v>
      </c>
      <c r="AY2378">
        <f>IF(AV2378=0,0,$AY$2338*$H$26*$AU$2338)</f>
        <v>0</v>
      </c>
      <c r="AZ2378">
        <f>(0.6*AW2378+0.7*AX2378)*$AU$2338/2</f>
        <v>0</v>
      </c>
      <c r="BA2378">
        <f>AW2378*$AU$2338/2</f>
        <v>0</v>
      </c>
      <c r="BC2378">
        <f>IF(AV2378=0,0,$BG$2338*$AP$2326)</f>
        <v>0</v>
      </c>
      <c r="BD2378">
        <f>IFERROR(BC2378/$AU$2338,0)</f>
        <v>0</v>
      </c>
      <c r="BE2378">
        <f>BC2378*($F$22+IF($F$22=0,0,($C$14+$C$15+IF($C$13="single",1.5,3)+3)/12))</f>
        <v>0</v>
      </c>
      <c r="BF2378">
        <f>BE2378-AZ2378</f>
        <v>0</v>
      </c>
      <c r="BG2378" cm="1">
        <f t="array" ref="BG2378">IFERROR(IF(BF2378&lt;0,0,BF2378/($AU$2338-INDEX(hd_off,MATCH(BT2378,hd_mark,0),0)/12)),0)</f>
        <v>0</v>
      </c>
      <c r="BH2378">
        <f>IF(AV2378=0,0,$BG$2338*$AM$2326)</f>
        <v>0</v>
      </c>
      <c r="BI2378">
        <f>IFERROR(BH2378/$AU$2338,0)</f>
        <v>0</v>
      </c>
      <c r="BJ2378">
        <f>BH2378*($F$22+IF($F$22=0,0,($C$14+$C$15+IF($C$13="single",1.5,3)+3)/12))</f>
        <v>0</v>
      </c>
      <c r="BK2378">
        <f>BJ2378-BA2378</f>
        <v>0</v>
      </c>
      <c r="BL2378" cm="1">
        <f t="array" ref="BL2378">IFERROR(IF(BK2378&lt;0,0,BK2378/($AU$2338-INDEX(hd_off,MATCH(BT2378,hd_mark,0),0)/12)),0)</f>
        <v>0</v>
      </c>
      <c r="BM2378">
        <f>MAX($F$22,$BC$2338)/$Q$2356</f>
        <v>0.30172413793103448</v>
      </c>
      <c r="BN2378">
        <f t="shared" ref="BN2378:BN2381" si="1477">IF(BM2378=0,0,IF(BM2378&gt;2,1.25-0.125*BM2378,1))</f>
        <v>1</v>
      </c>
      <c r="BO2378" cm="1">
        <f t="array" ref="BO2378">IFERROR(INDEX(sheath_ecap_asd,MATCH(BS2378,sheath_mark,0),0)*BN2378,0)</f>
        <v>0</v>
      </c>
      <c r="BP2378" cm="1">
        <f t="array" ref="BP2378">IFERROR(INDEX(sheath_wcap_asd,MATCH(BS2378,sheath_mark,0),0)*BN2378,0)</f>
        <v>0</v>
      </c>
      <c r="BQ2378" cm="1">
        <f t="array" ref="BQ2378">IFERROR(INDEX(hd_cap,MATCH(BT2378,hd_mark,0),0),0)</f>
        <v>0</v>
      </c>
      <c r="BS2378" s="19"/>
      <c r="BT2378" s="19"/>
      <c r="BU2378" s="100"/>
    </row>
    <row r="2379" x14ac:dyDescent="0.25">
      <c r="P2379" s="93"/>
      <c r="Q2379" s="109" t="s">
        <v>491</v>
      </c>
      <c r="R2379" t="str">
        <f>$Q$2327</f>
        <v>L4</v>
      </c>
      <c r="S2379">
        <f>$E$23</f>
        <v>0</v>
      </c>
      <c r="T2379" cm="1">
        <f t="array" ref="T2379">IFERROR(IF(S2379=0,0,(INDEX($C$33:$C$38,MATCH($W$2338,$B$33:$B$38,0),0)*(S2381+$X$2338)+$T$2338*COUNTIF(S2379:S2380,"&gt;0")*$C$32+$V$2338*$C$31)*$R$2338),0)</f>
        <v>0</v>
      </c>
      <c r="U2379">
        <f>IF(S2379=0,0,-(COUNTIF(S2379:S2380,"&gt;0")*$T$2338*$C$32+$V$2338*$C$31)*$H$27*$R$2338)</f>
        <v>0</v>
      </c>
      <c r="V2379">
        <f>IF(S2379=0,0,$V$2338*$H$26*$R$2338)</f>
        <v>0</v>
      </c>
      <c r="W2379">
        <f>(0.6*T2379+0.7*U2379)*$R$2338/2</f>
        <v>0</v>
      </c>
      <c r="X2379">
        <f>T2379*$R$2338/2</f>
        <v>0</v>
      </c>
      <c r="Z2379">
        <f>IF(S2379=0,0,$AD$2338*$AP$2327)</f>
        <v>0</v>
      </c>
      <c r="AA2379">
        <f>IFERROR(Z2379/$R$2338,0)</f>
        <v>0</v>
      </c>
      <c r="AB2379">
        <f>Z2379*($F$23+IF($F$23=0,0,($C$14+$C$15+IF($C$13="single",1.5,3)+3)/12))</f>
        <v>0</v>
      </c>
      <c r="AC2379">
        <f>AB2379-W2379</f>
        <v>0</v>
      </c>
      <c r="AD2379" cm="1">
        <f t="array" ref="AD2379">IFERROR(IF(AC2379&lt;0,0,AC2379/($R$2338-INDEX(hd_off,MATCH(AQ2379,hd_mark,0),0)/12)),0)</f>
        <v>0</v>
      </c>
      <c r="AE2379">
        <f>IF(S2379=0,0,$AD$2338*$AM$2327)</f>
        <v>0</v>
      </c>
      <c r="AF2379">
        <f>IFERROR(AE2379/$R$2338,0)</f>
        <v>0</v>
      </c>
      <c r="AG2379">
        <f>AE2379*($F$23+IF($F$23=0,0,($C$14+$C$15+IF($C$13="single",1.5,3)+3)/12))</f>
        <v>0</v>
      </c>
      <c r="AH2379">
        <f>AG2379-X2379</f>
        <v>0</v>
      </c>
      <c r="AI2379" cm="1">
        <f t="array" ref="AI2379">IFERROR(IF(AH2379&lt;0,0,AH2379/($R$2338-INDEX(hd_off,MATCH(AQ2379,hd_mark,0),0)/12)),0)</f>
        <v>0</v>
      </c>
      <c r="AJ2379">
        <f>MAX($F$23,$AA$2338)/$Q$2356</f>
        <v>0</v>
      </c>
      <c r="AK2379">
        <f t="shared" si="1476"/>
        <v>0</v>
      </c>
      <c r="AL2379" cm="1">
        <f t="array" ref="AL2379">IFERROR(INDEX(sheath_ecap_asd,MATCH(AP2379,sheath_mark,0),0)*AK2379,0)</f>
        <v>0</v>
      </c>
      <c r="AM2379" cm="1">
        <f t="array" ref="AM2379">IFERROR(INDEX(sheath_wcap_asd,MATCH(AP2379,sheath_mark,0),0)*AK2379,0)</f>
        <v>0</v>
      </c>
      <c r="AN2379" cm="1">
        <f t="array" ref="AN2379">IFERROR(INDEX(hd_cap,MATCH(AQ2379,hd_mark,0),0),0)</f>
        <v>0</v>
      </c>
      <c r="AP2379" s="19"/>
      <c r="AQ2379" s="19"/>
      <c r="AR2379" s="100"/>
      <c r="AS2379" s="93"/>
      <c r="AT2379" s="109" t="s">
        <v>491</v>
      </c>
      <c r="AU2379" t="str">
        <f>$Q$2327</f>
        <v>L4</v>
      </c>
      <c r="AV2379">
        <f>$E$23</f>
        <v>0</v>
      </c>
      <c r="AW2379" cm="1">
        <f t="array" ref="AW2379">IFERROR(IF(AV2379=0,0,(INDEX($C$33:$C$38,MATCH($AZ$2338,$B$33:$B$38,0),0)*(AV2381+$BA$2338)+$AW$2338*COUNTIF(AV2379:AV2380,"&gt;0")*$C$32+$AY$2338*$C$31)*$AU$2338),0)</f>
        <v>0</v>
      </c>
      <c r="AX2379">
        <f>IF(AV2379=0,0,-(COUNTIF(AV2379:AV2380,"&gt;0")*$AW$2338*$C$32+$AY$2338*$C$31)*$H$27*$AU$2338)</f>
        <v>0</v>
      </c>
      <c r="AY2379">
        <f>IF(AV2379=0,0,$AY$2338*$H$26*$AU$2338)</f>
        <v>0</v>
      </c>
      <c r="AZ2379">
        <f>(0.6*AW2379+0.7*AX2379)*$AU$2338/2</f>
        <v>0</v>
      </c>
      <c r="BA2379">
        <f>AW2379*$AU$2338/2</f>
        <v>0</v>
      </c>
      <c r="BC2379">
        <f>IF(AV2379=0,0,$BG$2338*$AP$2327)</f>
        <v>0</v>
      </c>
      <c r="BD2379">
        <f>IFERROR(BC2379/$AU$2338,0)</f>
        <v>0</v>
      </c>
      <c r="BE2379">
        <f>BC2379*($F$23+IF($F$23=0,0,($C$14+$C$15+IF($C$13="single",1.5,3)+3)/12))</f>
        <v>0</v>
      </c>
      <c r="BF2379">
        <f>BE2379-AZ2379</f>
        <v>0</v>
      </c>
      <c r="BG2379" cm="1">
        <f t="array" ref="BG2379">IFERROR(IF(BF2379&lt;0,0,BF2379/($AU$2338-INDEX(hd_off,MATCH(BT2379,hd_mark,0),0)/12)),0)</f>
        <v>0</v>
      </c>
      <c r="BH2379">
        <f>IF(AV2379=0,0,$BG$2338*$AM$2327)</f>
        <v>0</v>
      </c>
      <c r="BI2379">
        <f>IFERROR(BH2379/$AU$2338,0)</f>
        <v>0</v>
      </c>
      <c r="BJ2379">
        <f>BH2379*($F$23+IF($F$23=0,0,($C$14+$C$15+IF($C$13="single",1.5,3)+3)/12))</f>
        <v>0</v>
      </c>
      <c r="BK2379">
        <f>BJ2379-BA2379</f>
        <v>0</v>
      </c>
      <c r="BL2379" cm="1">
        <f t="array" ref="BL2379">IFERROR(IF(BK2379&lt;0,0,BK2379/($AU$2338-INDEX(hd_off,MATCH(BT2379,hd_mark,0),0)/12)),0)</f>
        <v>0</v>
      </c>
      <c r="BM2379">
        <f>MAX($F$23,$BD$2338)/$Q$2356</f>
        <v>0</v>
      </c>
      <c r="BN2379">
        <f t="shared" si="1477"/>
        <v>0</v>
      </c>
      <c r="BO2379" cm="1">
        <f t="array" ref="BO2379">IFERROR(INDEX(sheath_ecap_asd,MATCH(BS2379,sheath_mark,0),0)*BN2379,0)</f>
        <v>0</v>
      </c>
      <c r="BP2379" cm="1">
        <f t="array" ref="BP2379">IFERROR(INDEX(sheath_wcap_asd,MATCH(BS2379,sheath_mark,0),0)*BN2379,0)</f>
        <v>0</v>
      </c>
      <c r="BQ2379" cm="1">
        <f t="array" ref="BQ2379">IFERROR(INDEX(hd_cap,MATCH(BT2379,hd_mark,0),0),0)</f>
        <v>0</v>
      </c>
      <c r="BS2379" s="19"/>
      <c r="BT2379" s="19"/>
      <c r="BU2379" s="100"/>
    </row>
    <row r="2380" x14ac:dyDescent="0.25">
      <c r="P2380" s="93"/>
      <c r="Q2380" s="111">
        <f>$R$2338</f>
        <v>0</v>
      </c>
      <c r="R2380" t="str">
        <f>$Q$2328</f>
        <v>L5</v>
      </c>
      <c r="S2380">
        <f>$E$24</f>
        <v>0</v>
      </c>
      <c r="T2380" cm="1">
        <f t="array" ref="T2380">IFERROR(IF(S2380=0,0,(INDEX($C$33:$C$38,MATCH($W$2338,$B$33:$B$38,0),0)*(S2381+$X$2338)+$T$2338*COUNTIF(S2380:S2380,"&gt;0")*$C$32+$V$2338*$C$31)*$R$2338),0)</f>
        <v>0</v>
      </c>
      <c r="U2380">
        <f>IF(S2380=0,0,-(COUNTIF(S2380:S2380,"&gt;0")*$T$2338*$C$32+$V$2338*$C$31)*$H$27*$R$2338)</f>
        <v>0</v>
      </c>
      <c r="V2380">
        <f>IF(S2380=0,0,$V$2338*$H$26*$R$2338)</f>
        <v>0</v>
      </c>
      <c r="W2380">
        <f>(0.6*T2380+0.7*U2380)*$R$2338/2</f>
        <v>0</v>
      </c>
      <c r="X2380">
        <f>T2380*$R$2338/2</f>
        <v>0</v>
      </c>
      <c r="Z2380">
        <f>IF(S2380=0,0,$AD$2338*$AP$2328)</f>
        <v>0</v>
      </c>
      <c r="AA2380">
        <f>IFERROR(Z2380/$R$2338,0)</f>
        <v>0</v>
      </c>
      <c r="AB2380">
        <f>Z2380*($F$24+IF($F$24=0,0,($C$14+$C$15+IF($C$13="single",1.5,3)+3)/12))</f>
        <v>0</v>
      </c>
      <c r="AC2380">
        <f>AB2380-W2380</f>
        <v>0</v>
      </c>
      <c r="AD2380" cm="1">
        <f t="array" ref="AD2380">IFERROR(IF(AC2380&lt;0,0,AC2380/($R$2338-INDEX(hd_off,MATCH(AQ2380,hd_mark,0),0)/12)),0)</f>
        <v>0</v>
      </c>
      <c r="AE2380">
        <f>IF(S2380=0,0,$AD$2338*$AM$2328)</f>
        <v>0</v>
      </c>
      <c r="AF2380">
        <f>IFERROR(AE2380/$R$2338,0)</f>
        <v>0</v>
      </c>
      <c r="AG2380">
        <f>AE2380*($F$24+IF($F$24=0,0,($C$14+$C$15+IF($C$13="single",1.5,3)+3)/12))</f>
        <v>0</v>
      </c>
      <c r="AH2380">
        <f>AG2380-X2380</f>
        <v>0</v>
      </c>
      <c r="AI2380" cm="1">
        <f t="array" ref="AI2380">IFERROR(IF(AH2380&lt;0,0,AH2380/($R$2338-INDEX(hd_off,MATCH(AQ2380,hd_mark,0),0)/12)),0)</f>
        <v>0</v>
      </c>
      <c r="AJ2380">
        <f>MAX($F$24,$AB$2338)/$Q$2356</f>
        <v>0</v>
      </c>
      <c r="AK2380">
        <f t="shared" si="1476"/>
        <v>0</v>
      </c>
      <c r="AL2380" cm="1">
        <f t="array" ref="AL2380">IFERROR(INDEX(sheath_ecap_asd,MATCH(AP2380,sheath_mark,0),0)*AK2380,0)</f>
        <v>0</v>
      </c>
      <c r="AM2380" cm="1">
        <f t="array" ref="AM2380">IFERROR(INDEX(sheath_wcap_asd,MATCH(AP2380,sheath_mark,0),0)*AK2380,0)</f>
        <v>0</v>
      </c>
      <c r="AN2380" cm="1">
        <f t="array" ref="AN2380">IFERROR(INDEX(hd_cap,MATCH(AQ2380,hd_mark,0),0),0)</f>
        <v>0</v>
      </c>
      <c r="AP2380" s="19"/>
      <c r="AQ2380" s="19"/>
      <c r="AR2380" s="100"/>
      <c r="AS2380" s="93"/>
      <c r="AT2380" s="111">
        <f>$R$2338</f>
        <v>0</v>
      </c>
      <c r="AU2380" t="str">
        <f>$Q$2328</f>
        <v>L5</v>
      </c>
      <c r="AV2380">
        <f>$E$24</f>
        <v>0</v>
      </c>
      <c r="AW2380" cm="1">
        <f t="array" ref="AW2380">IFERROR(IF(AV2380=0,0,(INDEX($C$33:$C$38,MATCH($AZ$2338,$B$33:$B$38,0),0)*(AV2381+$BA$2338)+$AW$2338*COUNTIF(AV2380:AV2380,"&gt;0")*$C$32+$AY$2338*$C$31)*$AU$2338),0)</f>
        <v>0</v>
      </c>
      <c r="AX2380">
        <f>IF(AV2380=0,0,-(COUNTIF(AV2380:AV2380,"&gt;0")*$AW$2338*$C$32+$AY$2338*$C$31)*$H$27*$AU$2338)</f>
        <v>0</v>
      </c>
      <c r="AY2380">
        <f>IF(AV2380=0,0,$AY$2338*$H$26*$AU$2338)</f>
        <v>0</v>
      </c>
      <c r="AZ2380">
        <f>(0.6*AW2380+0.7*AX2380)*$AU$2338/2</f>
        <v>0</v>
      </c>
      <c r="BA2380">
        <f>AW2380*$AU$2338/2</f>
        <v>0</v>
      </c>
      <c r="BC2380">
        <f>IF(AV2380=0,0,$BG$2338*$AP$2328)</f>
        <v>0</v>
      </c>
      <c r="BD2380">
        <f>IFERROR(BC2380/$AU$2338,0)</f>
        <v>0</v>
      </c>
      <c r="BE2380">
        <f>BC2380*($F$24+IF($F$24=0,0,($C$14+$C$15+IF($C$13="single",1.5,3)+3)/12))</f>
        <v>0</v>
      </c>
      <c r="BF2380">
        <f>BE2380-AZ2380</f>
        <v>0</v>
      </c>
      <c r="BG2380" cm="1">
        <f t="array" ref="BG2380">IFERROR(IF(BF2380&lt;0,0,BF2380/($AU$2338-INDEX(hd_off,MATCH(BT2380,hd_mark,0),0)/12)),0)</f>
        <v>0</v>
      </c>
      <c r="BH2380">
        <f>IF(AV2380=0,0,$BG$2338*$AM$2328)</f>
        <v>0</v>
      </c>
      <c r="BI2380">
        <f>IFERROR(BH2380/$AU$2338,0)</f>
        <v>0</v>
      </c>
      <c r="BJ2380">
        <f>BH2380*($F$24+IF($F$24=0,0,($C$14+$C$15+IF($C$13="single",1.5,3)+3)/12))</f>
        <v>0</v>
      </c>
      <c r="BK2380">
        <f>BJ2380-BA2380</f>
        <v>0</v>
      </c>
      <c r="BL2380" cm="1">
        <f t="array" ref="BL2380">IFERROR(IF(BK2380&lt;0,0,BK2380/($AU$2338-INDEX(hd_off,MATCH(BT2380,hd_mark,0),0)/12)),0)</f>
        <v>0</v>
      </c>
      <c r="BM2380">
        <f>MAX($F$24,$BE$2338)/$Q$2356</f>
        <v>0</v>
      </c>
      <c r="BN2380">
        <f t="shared" si="1477"/>
        <v>0</v>
      </c>
      <c r="BO2380" cm="1">
        <f t="array" ref="BO2380">IFERROR(INDEX(sheath_ecap_asd,MATCH(BS2380,sheath_mark,0),0)*BN2380,0)</f>
        <v>0</v>
      </c>
      <c r="BP2380" cm="1">
        <f t="array" ref="BP2380">IFERROR(INDEX(sheath_wcap_asd,MATCH(BS2380,sheath_mark,0),0)*BN2380,0)</f>
        <v>0</v>
      </c>
      <c r="BQ2380" cm="1">
        <f t="array" ref="BQ2380">IFERROR(INDEX(hd_cap,MATCH(BT2380,hd_mark,0),0),0)</f>
        <v>0</v>
      </c>
      <c r="BS2380" s="19"/>
      <c r="BT2380" s="19"/>
      <c r="BU2380" s="100"/>
    </row>
    <row r="2381" x14ac:dyDescent="0.25">
      <c r="P2381" s="93"/>
      <c r="Q2381" s="109"/>
      <c r="R2381" t="str">
        <f>$Q$2329</f>
        <v>Roof</v>
      </c>
      <c r="S2381">
        <f>$E$25</f>
        <v>33.171875</v>
      </c>
      <c r="T2381" cm="1">
        <f t="array" ref="T2381">IFERROR(IF(S2381=0,0,(INDEX($C$33:$C$38,MATCH($W$2338,$B$33:$B$38,0),0)*(S2381+$X$2338)+$V$2338*$C$31)*$R$2338),0)</f>
        <v>0</v>
      </c>
      <c r="U2381">
        <f>IF(S2381=0,0,-$V$2338*$C$31*$H$27*$R$2338)</f>
        <v>0</v>
      </c>
      <c r="V2381">
        <f>IF(S2381=0,0,$V$2338*$H$26*$R$2338)</f>
        <v>0</v>
      </c>
      <c r="W2381">
        <f>(0.6*T2381+0.7*U2381)*$R$2338/2</f>
        <v>0</v>
      </c>
      <c r="X2381">
        <f>T2381*$R$2338/2</f>
        <v>0</v>
      </c>
      <c r="Z2381">
        <f>IF(S2381=0,0,$AD$2338*$AP$2329)</f>
        <v>0</v>
      </c>
      <c r="AA2381">
        <f>IFERROR(Z2381/$R$2338,0)</f>
        <v>0</v>
      </c>
      <c r="AB2381">
        <f>Z2381*($F$25+($C$16+$C$17+IF($C$13="single",1.5,3)+3)/12)</f>
        <v>0</v>
      </c>
      <c r="AC2381">
        <f>AB2381-W2381</f>
        <v>0</v>
      </c>
      <c r="AD2381" cm="1">
        <f t="array" ref="AD2381">IFERROR(IF(AC2381&lt;0,0,AC2381/($R$2338-INDEX(hd_off,MATCH(AQ2381,hd_mark,0),0)/12)),0)</f>
        <v>0</v>
      </c>
      <c r="AE2381">
        <f>IF(S2381=0,0,$AD$2338*$AM$2329)</f>
        <v>0</v>
      </c>
      <c r="AF2381">
        <f>IFERROR(AE2381/$R$2338,0)</f>
        <v>0</v>
      </c>
      <c r="AG2381">
        <f>AE2381*($F$25+($C$16+$C$17+IF($C$13="single",1.5,3)+3)/12)</f>
        <v>0</v>
      </c>
      <c r="AH2381">
        <f>AG2381-X2381</f>
        <v>0</v>
      </c>
      <c r="AI2381" cm="1">
        <f t="array" ref="AI2381">IFERROR(IF(AH2381&lt;0,0,AH2381/($R$2338-INDEX(hd_off,MATCH(AQ2381,hd_mark,0),0)/12)),0)</f>
        <v>0</v>
      </c>
      <c r="AJ2381">
        <f>MAX($F$25,$AC$2338)/$Q$2356</f>
        <v>0.29920977011494249</v>
      </c>
      <c r="AK2381">
        <f t="shared" si="1476"/>
        <v>1</v>
      </c>
      <c r="AL2381" cm="1">
        <f t="array" ref="AL2381">IFERROR(INDEX(sheath_ecap_asd,MATCH(AP2381,sheath_mark,0),0)*AK2381,0)</f>
        <v>0</v>
      </c>
      <c r="AM2381" cm="1">
        <f t="array" ref="AM2381">IFERROR(INDEX(sheath_wcap_asd,MATCH(AP2381,sheath_mark,0),0)*AK2381,0)</f>
        <v>0</v>
      </c>
      <c r="AN2381" cm="1">
        <f t="array" ref="AN2381">IFERROR(INDEX(hd_cap,MATCH(AQ2381,hd_mark,0),0),0)</f>
        <v>0</v>
      </c>
      <c r="AP2381" s="19"/>
      <c r="AQ2381" s="19"/>
      <c r="AR2381" s="100"/>
      <c r="AS2381" s="93"/>
      <c r="AT2381" s="109"/>
      <c r="AU2381" t="str">
        <f>$Q$2329</f>
        <v>Roof</v>
      </c>
      <c r="AV2381">
        <f>$E$25</f>
        <v>33.171875</v>
      </c>
      <c r="AW2381" cm="1">
        <f t="array" ref="AW2381">IFERROR(IF(AV2381=0,0,(INDEX($C$33:$C$38,MATCH($AZ$2338,$B$33:$B$38,0),0)*(AV2381+$BA$2338)+$AY$2338*$C$31)*$AU$2338),0)</f>
        <v>0</v>
      </c>
      <c r="AX2381">
        <f>IF(AV2381=0,0,-$AY$2338*$C$31*$H$27*$AU$2338)</f>
        <v>0</v>
      </c>
      <c r="AY2381">
        <f>IF(AV2381=0,0,$AY$2338*$H$26*$AU$2338)</f>
        <v>0</v>
      </c>
      <c r="AZ2381">
        <f>(0.6*AW2381+0.7*AX2381)*$AU$2338/2</f>
        <v>0</v>
      </c>
      <c r="BA2381">
        <f>AW2381*$AU$2338/2</f>
        <v>0</v>
      </c>
      <c r="BC2381">
        <f>IF(AV2381=0,0,$BG$2338*$AP$2329)</f>
        <v>0</v>
      </c>
      <c r="BD2381">
        <f>IFERROR(BC2381/$AU$2338,0)</f>
        <v>0</v>
      </c>
      <c r="BE2381">
        <f>BC2381*($F$25+($C$16+$C$17+IF($C$13="single",1.5,3)+3)/12)</f>
        <v>0</v>
      </c>
      <c r="BF2381">
        <f>BE2381-AZ2381</f>
        <v>0</v>
      </c>
      <c r="BG2381" cm="1">
        <f t="array" ref="BG2381">IFERROR(IF(BF2381&lt;0,0,BF2381/($AU$2338-INDEX(hd_off,MATCH(BT2381,hd_mark,0),0)/12)),0)</f>
        <v>0</v>
      </c>
      <c r="BH2381">
        <f>IF(AV2381=0,0,$BG$2338*$AM$2329)</f>
        <v>0</v>
      </c>
      <c r="BI2381">
        <f>IFERROR(BH2381/$AU$2338,0)</f>
        <v>0</v>
      </c>
      <c r="BJ2381">
        <f>BH2381*($F$25+($C$16+$C$17+IF($C$13="single",1.5,3)+3)/12)</f>
        <v>0</v>
      </c>
      <c r="BK2381">
        <f>BJ2381-BA2381</f>
        <v>0</v>
      </c>
      <c r="BL2381" cm="1">
        <f t="array" ref="BL2381">IFERROR(IF(BK2381&lt;0,0,BK2381/($AU$2338-INDEX(hd_off,MATCH(BT2381,hd_mark,0),0)/12)),0)</f>
        <v>0</v>
      </c>
      <c r="BM2381">
        <f>MAX($F$25,$BF$2338)/$Q$2356</f>
        <v>0.29920977011494249</v>
      </c>
      <c r="BN2381">
        <f t="shared" si="1477"/>
        <v>1</v>
      </c>
      <c r="BO2381" cm="1">
        <f t="array" ref="BO2381">IFERROR(INDEX(sheath_ecap_asd,MATCH(BS2381,sheath_mark,0),0)*BN2381,0)</f>
        <v>0</v>
      </c>
      <c r="BP2381" cm="1">
        <f t="array" ref="BP2381">IFERROR(INDEX(sheath_wcap_asd,MATCH(BS2381,sheath_mark,0),0)*BN2381,0)</f>
        <v>0</v>
      </c>
      <c r="BQ2381" cm="1">
        <f t="array" ref="BQ2381">IFERROR(INDEX(hd_cap,MATCH(BT2381,hd_mark,0),0),0)</f>
        <v>0</v>
      </c>
      <c r="BS2381" s="19"/>
      <c r="BT2381" s="19"/>
      <c r="BU2381" s="100"/>
    </row>
    <row r="2382" x14ac:dyDescent="0.25">
      <c r="P2382" s="93"/>
      <c r="AR2382" s="100"/>
      <c r="AS2382" s="93"/>
      <c r="BU2382" s="100"/>
    </row>
    <row r="2383" x14ac:dyDescent="0.25">
      <c r="P2383" s="93"/>
      <c r="Q2383" s="110" t="str">
        <f>$Q$2339</f>
        <v>A.06</v>
      </c>
      <c r="R2383" t="str">
        <f>$Q$2325</f>
        <v>L2</v>
      </c>
      <c r="S2383">
        <f>$E$21</f>
        <v>10.6875</v>
      </c>
      <c r="T2383" cm="1">
        <f t="array" ref="T2383">IFERROR(IF(S2383=0,0,(INDEX($C$33:$C$38,MATCH($W$2339,$B$33:$B$38,0),0)*(S2387+$X$2339)+$T$2339*COUNTIF(S2383:S2386,"&gt;0")*$C$32+$V$2339*$C$31)*$R$2339),0)</f>
        <v>0</v>
      </c>
      <c r="U2383">
        <f>IF(S2383=0,0,-(COUNTIF(S2383:S2386,"&gt;0")*$T$2339*$C$32+$V$2339*$C$31)*$H$27*$R$2339)</f>
        <v>0</v>
      </c>
      <c r="V2383">
        <f>IF(S2383=0,0,$V$2339*$H$26*$R$2339)</f>
        <v>0</v>
      </c>
      <c r="W2383">
        <f>(0.6*T2383+0.7*U2383)*$R$2339/2</f>
        <v>0</v>
      </c>
      <c r="X2383">
        <f>(0.6*T2383+0.6*V2383)*$R$2339/2</f>
        <v>0</v>
      </c>
      <c r="Z2383">
        <f>IF(S2383=0,0,$AD$2339*$AP$2325)</f>
        <v>0</v>
      </c>
      <c r="AA2383">
        <f>IFERROR(Z2383/$R$2339,0)</f>
        <v>0</v>
      </c>
      <c r="AB2383">
        <f>Z2383*($F$21+IF($F$21=0,0,($C$14+$C$15+IF($C$13="single",1.5,3)+3)/12))</f>
        <v>0</v>
      </c>
      <c r="AC2383">
        <f>AB2383-W2383</f>
        <v>0</v>
      </c>
      <c r="AD2383" cm="1">
        <f t="array" ref="AD2383">IFERROR(IF(AC2383&lt;0,0,AC2383/($R$2339-INDEX(hd_off,MATCH(AQ2383,hd_mark,0),0)/12)),0)</f>
        <v>0</v>
      </c>
      <c r="AE2383">
        <f>IF(S2383=0,0,$AD$2339*$AM$2325)</f>
        <v>0</v>
      </c>
      <c r="AF2383">
        <f>IFERROR(AE2383/$R$2339,0)</f>
        <v>0</v>
      </c>
      <c r="AG2383">
        <f>AE2383*($F$21+IF($F$21=0,0,($C$14+$C$15+IF($C$13="single",1.5,3)+3)/12))</f>
        <v>0</v>
      </c>
      <c r="AH2383">
        <f>AG2383-X2383</f>
        <v>0</v>
      </c>
      <c r="AI2383" cm="1">
        <f t="array" ref="AI2383">IFERROR(IF(AH2383&lt;0,0,AH2383/($R$2339-INDEX(hd_off,MATCH(AQ2383,hd_mark,0),0)/12)),0)</f>
        <v>0</v>
      </c>
      <c r="AJ2383">
        <f>MAX($F$21,$Y$2339)/$Q$2356</f>
        <v>0.30172413793103448</v>
      </c>
      <c r="AK2383">
        <f>IF(AJ2383=0,0,IF(AJ2383&gt;2,1.25-0.125*AJ2383,1))</f>
        <v>1</v>
      </c>
      <c r="AL2383" cm="1">
        <f t="array" ref="AL2383">IFERROR(INDEX(sheath_ecap_asd,MATCH(AP2383,sheath_mark,0),0)*AK2383,0)</f>
        <v>0</v>
      </c>
      <c r="AM2383" cm="1">
        <f t="array" ref="AM2383">IFERROR(INDEX(sheath_wcap_asd,MATCH(AP2383,sheath_mark,0),0)*AK2383,0)</f>
        <v>0</v>
      </c>
      <c r="AN2383" cm="1">
        <f t="array" ref="AN2383">IFERROR(INDEX(hd_cap,MATCH(AQ2383,hd_mark,0),0),0)</f>
        <v>0</v>
      </c>
      <c r="AP2383" s="19"/>
      <c r="AQ2383" s="19"/>
      <c r="AR2383" s="100"/>
      <c r="AS2383" s="93"/>
      <c r="AT2383" s="110" t="str">
        <f>$AT$2339</f>
        <v>1.06</v>
      </c>
      <c r="AU2383" t="str">
        <f>$Q$2325</f>
        <v>L2</v>
      </c>
      <c r="AV2383">
        <f>$E$21</f>
        <v>10.6875</v>
      </c>
      <c r="AW2383" cm="1">
        <f t="array" ref="AW2383">IFERROR(IF(AV2383=0,0,(INDEX($C$33:$C$38,MATCH($AZ$2339,$B$33:$B$38,0),0)*(AV2387+$BA$2339)+$AW$2339*COUNTIF(AV2383:AV2386,"&gt;0")*$C$32+$AY$2339*$C$31)*$AU$2339),0)</f>
        <v>0</v>
      </c>
      <c r="AX2383">
        <f>IF(AV2383=0,0,-(COUNTIF(AV2383:AV2386,"&gt;0")*$AW$2339*$C$32+$AY$2339*$C$31)*$H$27*$AU$2339)</f>
        <v>0</v>
      </c>
      <c r="AY2383">
        <f>IF(AV2383=0,0,$AY$2339*$H$26*$AU$2339)</f>
        <v>0</v>
      </c>
      <c r="AZ2383">
        <f>(0.6*AW2383+0.7*AX2383)*$AU$2339/2</f>
        <v>0</v>
      </c>
      <c r="BA2383">
        <f>(0.6*AW2383+0.6*AY2383)*$AU$2339/2</f>
        <v>0</v>
      </c>
      <c r="BC2383">
        <f>IF(AV2383=0,0,$BG$2339*$AP$2325)</f>
        <v>0</v>
      </c>
      <c r="BD2383">
        <f>IFERROR(BC2383/$AU$2339,0)</f>
        <v>0</v>
      </c>
      <c r="BE2383">
        <f>BC2383*($F$21+IF($F$21=0,0,($C$14+$C$15+IF($C$13="single",1.5,3)+3)/12))</f>
        <v>0</v>
      </c>
      <c r="BF2383">
        <f>BE2383-AZ2383</f>
        <v>0</v>
      </c>
      <c r="BG2383" cm="1">
        <f t="array" ref="BG2383">IFERROR(IF(BF2383&lt;0,0,BF2383/($AU$2339-INDEX(hd_off,MATCH(BT2383,hd_mark,0),0)/12)),0)</f>
        <v>0</v>
      </c>
      <c r="BH2383">
        <f>IF(AV2383=0,0,$BG$2339*$AM$2325)</f>
        <v>0</v>
      </c>
      <c r="BI2383">
        <f>IFERROR(BH2383/$AU$2339,0)</f>
        <v>0</v>
      </c>
      <c r="BJ2383">
        <f>BH2383*($F$21+IF($F$21=0,0,($C$14+$C$15+IF($C$13="single",1.5,3)+3)/12))</f>
        <v>0</v>
      </c>
      <c r="BK2383">
        <f>BJ2383-BA2383</f>
        <v>0</v>
      </c>
      <c r="BL2383" cm="1">
        <f t="array" ref="BL2383">IFERROR(IF(BK2383&lt;0,0,BK2383/($AU$2339-INDEX(hd_off,MATCH(BT2383,hd_mark,0),0)/12)),0)</f>
        <v>0</v>
      </c>
      <c r="BM2383">
        <f>MAX($F$21,$BB$2339)/$Q$2356</f>
        <v>0.30172413793103448</v>
      </c>
      <c r="BN2383">
        <f>IF(BM2383=0,0,IF(BM2383&gt;2,1.25-0.125*BM2383,1))</f>
        <v>1</v>
      </c>
      <c r="BO2383" cm="1">
        <f t="array" ref="BO2383">IFERROR(INDEX(sheath_ecap_asd,MATCH(BS2383,sheath_mark,0),0)*BN2383,0)</f>
        <v>0</v>
      </c>
      <c r="BP2383" cm="1">
        <f t="array" ref="BP2383">IFERROR(INDEX(sheath_wcap_asd,MATCH(BS2383,sheath_mark,0),0)*BN2383,0)</f>
        <v>0</v>
      </c>
      <c r="BQ2383" cm="1">
        <f t="array" ref="BQ2383">IFERROR(INDEX(hd_cap,MATCH(BT2383,hd_mark,0),0),0)</f>
        <v>0</v>
      </c>
      <c r="BS2383" s="19"/>
      <c r="BT2383" s="19"/>
      <c r="BU2383" s="100"/>
    </row>
    <row r="2384" x14ac:dyDescent="0.25">
      <c r="P2384" s="93"/>
      <c r="Q2384" s="109"/>
      <c r="R2384" t="str">
        <f>$Q$2326</f>
        <v>L3</v>
      </c>
      <c r="S2384">
        <f>$E$22</f>
        <v>21.375</v>
      </c>
      <c r="T2384" cm="1">
        <f t="array" ref="T2384">IFERROR(IF(S2384=0,0,(INDEX($C$33:$C$38,MATCH($W$2339,$B$33:$B$38,0),0)*(S2387+$X$2339)+$T$2339*COUNTIF(S2384:S2386,"&gt;0")*$C$32+$V$2339*$C$31)*$R$2339),0)</f>
        <v>0</v>
      </c>
      <c r="U2384">
        <f>IF(S2384=0,0,-(COUNTIF(S2384:S2386,"&gt;0")*$T$2339*$C$32+$V$2339*$C$31)*$H$27*$R$2339)</f>
        <v>0</v>
      </c>
      <c r="V2384">
        <f>IF(S2384=0,0,$V$2339*$H$26*$R$2339)</f>
        <v>0</v>
      </c>
      <c r="W2384">
        <f>(0.6*T2384+0.7*U2384)*$R$2339/2</f>
        <v>0</v>
      </c>
      <c r="X2384">
        <f>T2384*$R$2339/2</f>
        <v>0</v>
      </c>
      <c r="Z2384">
        <f>IF(S2384=0,0,$AD$2339*$AP$2326)</f>
        <v>0</v>
      </c>
      <c r="AA2384">
        <f>IFERROR(Z2384/$R$2339,0)</f>
        <v>0</v>
      </c>
      <c r="AB2384">
        <f>Z2384*($F$22+IF($F$22=0,0,($C$14+$C$15+IF($C$13="single",1.5,3)+3)/12))</f>
        <v>0</v>
      </c>
      <c r="AC2384">
        <f>AB2384-W2384</f>
        <v>0</v>
      </c>
      <c r="AD2384" cm="1">
        <f t="array" ref="AD2384">IFERROR(IF(AC2384&lt;0,0,AC2384/($R$2339-INDEX(hd_off,MATCH(AQ2384,hd_mark,0),0)/12)),0)</f>
        <v>0</v>
      </c>
      <c r="AE2384">
        <f>IF(S2384=0,0,$AD$2339*$AM$2326)</f>
        <v>0</v>
      </c>
      <c r="AF2384">
        <f>IFERROR(AE2384/$R$2339,0)</f>
        <v>0</v>
      </c>
      <c r="AG2384">
        <f>AE2384*($F$22+IF($F$22=0,0,($C$14+$C$15+IF($C$13="single",1.5,3)+3)/12))</f>
        <v>0</v>
      </c>
      <c r="AH2384">
        <f>AG2384-X2384</f>
        <v>0</v>
      </c>
      <c r="AI2384" cm="1">
        <f t="array" ref="AI2384">IFERROR(IF(AH2384&lt;0,0,AH2384/($R$2339-INDEX(hd_off,MATCH(AQ2384,hd_mark,0),0)/12)),0)</f>
        <v>0</v>
      </c>
      <c r="AJ2384">
        <f>MAX($F$22,$Z$2339)/$Q$2356</f>
        <v>0.30172413793103448</v>
      </c>
      <c r="AK2384">
        <f t="shared" ref="AK2384:AK2387" si="1478">IF(AJ2384=0,0,IF(AJ2384&gt;2,1.25-0.125*AJ2384,1))</f>
        <v>1</v>
      </c>
      <c r="AL2384" cm="1">
        <f t="array" ref="AL2384">IFERROR(INDEX(sheath_ecap_asd,MATCH(AP2384,sheath_mark,0),0)*AK2384,0)</f>
        <v>0</v>
      </c>
      <c r="AM2384" cm="1">
        <f t="array" ref="AM2384">IFERROR(INDEX(sheath_wcap_asd,MATCH(AP2384,sheath_mark,0),0)*AK2384,0)</f>
        <v>0</v>
      </c>
      <c r="AN2384" cm="1">
        <f t="array" ref="AN2384">IFERROR(INDEX(hd_cap,MATCH(AQ2384,hd_mark,0),0),0)</f>
        <v>0</v>
      </c>
      <c r="AP2384" s="19"/>
      <c r="AQ2384" s="19"/>
      <c r="AR2384" s="100"/>
      <c r="AS2384" s="93"/>
      <c r="AT2384" s="109"/>
      <c r="AU2384" t="str">
        <f>$Q$2326</f>
        <v>L3</v>
      </c>
      <c r="AV2384">
        <f>$E$22</f>
        <v>21.375</v>
      </c>
      <c r="AW2384" cm="1">
        <f t="array" ref="AW2384">IFERROR(IF(AV2384=0,0,(INDEX($C$33:$C$38,MATCH($AZ$2339,$B$33:$B$38,0),0)*(AV2387+$BA$2339)+$AW$2339*COUNTIF(AV2384:AV2386,"&gt;0")*$C$32+$AY$2339*$C$31)*$AU$2339),0)</f>
        <v>0</v>
      </c>
      <c r="AX2384">
        <f>IF(AV2384=0,0,-(COUNTIF(AV2384:AV2386,"&gt;0")*$AW$2339*$C$32+$AY$2339*$C$31)*$H$27*$AU$2339)</f>
        <v>0</v>
      </c>
      <c r="AY2384">
        <f>IF(AV2384=0,0,$AY$2339*$H$26*$AU$2339)</f>
        <v>0</v>
      </c>
      <c r="AZ2384">
        <f>(0.6*AW2384+0.7*AX2384)*$AU$2339/2</f>
        <v>0</v>
      </c>
      <c r="BA2384">
        <f>AW2384*$AU$2339/2</f>
        <v>0</v>
      </c>
      <c r="BC2384">
        <f>IF(AV2384=0,0,$BG$2339*$AP$2326)</f>
        <v>0</v>
      </c>
      <c r="BD2384">
        <f>IFERROR(BC2384/$AU$2339,0)</f>
        <v>0</v>
      </c>
      <c r="BE2384">
        <f>BC2384*($F$22+IF($F$22=0,0,($C$14+$C$15+IF($C$13="single",1.5,3)+3)/12))</f>
        <v>0</v>
      </c>
      <c r="BF2384">
        <f>BE2384-AZ2384</f>
        <v>0</v>
      </c>
      <c r="BG2384" cm="1">
        <f t="array" ref="BG2384">IFERROR(IF(BF2384&lt;0,0,BF2384/($AU$2339-INDEX(hd_off,MATCH(BT2384,hd_mark,0),0)/12)),0)</f>
        <v>0</v>
      </c>
      <c r="BH2384">
        <f>IF(AV2384=0,0,$BG$2339*$AM$2326)</f>
        <v>0</v>
      </c>
      <c r="BI2384">
        <f>IFERROR(BH2384/$AU$2339,0)</f>
        <v>0</v>
      </c>
      <c r="BJ2384">
        <f>BH2384*($F$22+IF($F$22=0,0,($C$14+$C$15+IF($C$13="single",1.5,3)+3)/12))</f>
        <v>0</v>
      </c>
      <c r="BK2384">
        <f>BJ2384-BA2384</f>
        <v>0</v>
      </c>
      <c r="BL2384" cm="1">
        <f t="array" ref="BL2384">IFERROR(IF(BK2384&lt;0,0,BK2384/($AU$2339-INDEX(hd_off,MATCH(BT2384,hd_mark,0),0)/12)),0)</f>
        <v>0</v>
      </c>
      <c r="BM2384">
        <f>MAX($F$22,$BC$2339)/$Q$2356</f>
        <v>0.30172413793103448</v>
      </c>
      <c r="BN2384">
        <f t="shared" ref="BN2384:BN2387" si="1479">IF(BM2384=0,0,IF(BM2384&gt;2,1.25-0.125*BM2384,1))</f>
        <v>1</v>
      </c>
      <c r="BO2384" cm="1">
        <f t="array" ref="BO2384">IFERROR(INDEX(sheath_ecap_asd,MATCH(BS2384,sheath_mark,0),0)*BN2384,0)</f>
        <v>0</v>
      </c>
      <c r="BP2384" cm="1">
        <f t="array" ref="BP2384">IFERROR(INDEX(sheath_wcap_asd,MATCH(BS2384,sheath_mark,0),0)*BN2384,0)</f>
        <v>0</v>
      </c>
      <c r="BQ2384" cm="1">
        <f t="array" ref="BQ2384">IFERROR(INDEX(hd_cap,MATCH(BT2384,hd_mark,0),0),0)</f>
        <v>0</v>
      </c>
      <c r="BS2384" s="19"/>
      <c r="BT2384" s="19"/>
      <c r="BU2384" s="100"/>
    </row>
    <row r="2385" x14ac:dyDescent="0.25">
      <c r="P2385" s="93"/>
      <c r="Q2385" s="109" t="s">
        <v>491</v>
      </c>
      <c r="R2385" t="str">
        <f>$Q$2327</f>
        <v>L4</v>
      </c>
      <c r="S2385">
        <f>$E$23</f>
        <v>0</v>
      </c>
      <c r="T2385" cm="1">
        <f t="array" ref="T2385">IFERROR(IF(S2385=0,0,(INDEX($C$33:$C$38,MATCH($W$2339,$B$33:$B$38,0),0)*(S2387+$X$2339)+$T$2339*COUNTIF(S2385:S2386,"&gt;0")*$C$32+$V$2339*$C$31)*$R$2339),0)</f>
        <v>0</v>
      </c>
      <c r="U2385">
        <f>IF(S2385=0,0,-(COUNTIF(S2385:S2386,"&gt;0")*$T$2339*$C$32+$V$2339*$C$31)*$H$27*$R$2339)</f>
        <v>0</v>
      </c>
      <c r="V2385">
        <f>IF(S2385=0,0,$V$2339*$H$26*$R$2339)</f>
        <v>0</v>
      </c>
      <c r="W2385">
        <f>(0.6*T2385+0.7*U2385)*$R$2339/2</f>
        <v>0</v>
      </c>
      <c r="X2385">
        <f>T2385*$R$2339/2</f>
        <v>0</v>
      </c>
      <c r="Z2385">
        <f>IF(S2385=0,0,$AD$2339*$AP$2327)</f>
        <v>0</v>
      </c>
      <c r="AA2385">
        <f>IFERROR(Z2385/$R$2339,0)</f>
        <v>0</v>
      </c>
      <c r="AB2385">
        <f>Z2385*($F$23+IF($F$23=0,0,($C$14+$C$15+IF($C$13="single",1.5,3)+3)/12))</f>
        <v>0</v>
      </c>
      <c r="AC2385">
        <f>AB2385-W2385</f>
        <v>0</v>
      </c>
      <c r="AD2385" cm="1">
        <f t="array" ref="AD2385">IFERROR(IF(AC2385&lt;0,0,AC2385/($R$2339-INDEX(hd_off,MATCH(AQ2385,hd_mark,0),0)/12)),0)</f>
        <v>0</v>
      </c>
      <c r="AE2385">
        <f>IF(S2385=0,0,$AD$2339*$AM$2327)</f>
        <v>0</v>
      </c>
      <c r="AF2385">
        <f>IFERROR(AE2385/$R$2339,0)</f>
        <v>0</v>
      </c>
      <c r="AG2385">
        <f>AE2385*($F$23+IF($F$23=0,0,($C$14+$C$15+IF($C$13="single",1.5,3)+3)/12))</f>
        <v>0</v>
      </c>
      <c r="AH2385">
        <f>AG2385-X2385</f>
        <v>0</v>
      </c>
      <c r="AI2385" cm="1">
        <f t="array" ref="AI2385">IFERROR(IF(AH2385&lt;0,0,AH2385/($R$2339-INDEX(hd_off,MATCH(AQ2385,hd_mark,0),0)/12)),0)</f>
        <v>0</v>
      </c>
      <c r="AJ2385">
        <f>MAX($F$23,$AA$2339)/$Q$2356</f>
        <v>0</v>
      </c>
      <c r="AK2385">
        <f t="shared" si="1478"/>
        <v>0</v>
      </c>
      <c r="AL2385" cm="1">
        <f t="array" ref="AL2385">IFERROR(INDEX(sheath_ecap_asd,MATCH(AP2385,sheath_mark,0),0)*AK2385,0)</f>
        <v>0</v>
      </c>
      <c r="AM2385" cm="1">
        <f t="array" ref="AM2385">IFERROR(INDEX(sheath_wcap_asd,MATCH(AP2385,sheath_mark,0),0)*AK2385,0)</f>
        <v>0</v>
      </c>
      <c r="AN2385" cm="1">
        <f t="array" ref="AN2385">IFERROR(INDEX(hd_cap,MATCH(AQ2385,hd_mark,0),0),0)</f>
        <v>0</v>
      </c>
      <c r="AP2385" s="19"/>
      <c r="AQ2385" s="19"/>
      <c r="AR2385" s="100"/>
      <c r="AS2385" s="93"/>
      <c r="AT2385" s="109" t="s">
        <v>491</v>
      </c>
      <c r="AU2385" t="str">
        <f>$Q$2327</f>
        <v>L4</v>
      </c>
      <c r="AV2385">
        <f>$E$23</f>
        <v>0</v>
      </c>
      <c r="AW2385" cm="1">
        <f t="array" ref="AW2385">IFERROR(IF(AV2385=0,0,(INDEX($C$33:$C$38,MATCH($AZ$2339,$B$33:$B$38,0),0)*(AV2387+$BA$2339)+$AW$2339*COUNTIF(AV2385:AV2386,"&gt;0")*$C$32+$AY$2339*$C$31)*$AU$2339),0)</f>
        <v>0</v>
      </c>
      <c r="AX2385">
        <f>IF(AV2385=0,0,-(COUNTIF(AV2385:AV2386,"&gt;0")*$AW$2339*$C$32+$AY$2339*$C$31)*$H$27*$AU$2339)</f>
        <v>0</v>
      </c>
      <c r="AY2385">
        <f>IF(AV2385=0,0,$AY$2339*$H$26*$AU$2339)</f>
        <v>0</v>
      </c>
      <c r="AZ2385">
        <f>(0.6*AW2385+0.7*AX2385)*$AU$2339/2</f>
        <v>0</v>
      </c>
      <c r="BA2385">
        <f>AW2385*$AU$2339/2</f>
        <v>0</v>
      </c>
      <c r="BC2385">
        <f>IF(AV2385=0,0,$BG$2339*$AP$2327)</f>
        <v>0</v>
      </c>
      <c r="BD2385">
        <f>IFERROR(BC2385/$AU$2339,0)</f>
        <v>0</v>
      </c>
      <c r="BE2385">
        <f>BC2385*($F$23+IF($F$23=0,0,($C$14+$C$15+IF($C$13="single",1.5,3)+3)/12))</f>
        <v>0</v>
      </c>
      <c r="BF2385">
        <f>BE2385-AZ2385</f>
        <v>0</v>
      </c>
      <c r="BG2385" cm="1">
        <f t="array" ref="BG2385">IFERROR(IF(BF2385&lt;0,0,BF2385/($AU$2339-INDEX(hd_off,MATCH(BT2385,hd_mark,0),0)/12)),0)</f>
        <v>0</v>
      </c>
      <c r="BH2385">
        <f>IF(AV2385=0,0,$BG$2339*$AM$2327)</f>
        <v>0</v>
      </c>
      <c r="BI2385">
        <f>IFERROR(BH2385/$AU$2339,0)</f>
        <v>0</v>
      </c>
      <c r="BJ2385">
        <f>BH2385*($F$23+IF($F$23=0,0,($C$14+$C$15+IF($C$13="single",1.5,3)+3)/12))</f>
        <v>0</v>
      </c>
      <c r="BK2385">
        <f>BJ2385-BA2385</f>
        <v>0</v>
      </c>
      <c r="BL2385" cm="1">
        <f t="array" ref="BL2385">IFERROR(IF(BK2385&lt;0,0,BK2385/($AU$2339-INDEX(hd_off,MATCH(BT2385,hd_mark,0),0)/12)),0)</f>
        <v>0</v>
      </c>
      <c r="BM2385">
        <f>MAX($F$23,$BD$2339)/$Q$2356</f>
        <v>0</v>
      </c>
      <c r="BN2385">
        <f t="shared" si="1479"/>
        <v>0</v>
      </c>
      <c r="BO2385" cm="1">
        <f t="array" ref="BO2385">IFERROR(INDEX(sheath_ecap_asd,MATCH(BS2385,sheath_mark,0),0)*BN2385,0)</f>
        <v>0</v>
      </c>
      <c r="BP2385" cm="1">
        <f t="array" ref="BP2385">IFERROR(INDEX(sheath_wcap_asd,MATCH(BS2385,sheath_mark,0),0)*BN2385,0)</f>
        <v>0</v>
      </c>
      <c r="BQ2385" cm="1">
        <f t="array" ref="BQ2385">IFERROR(INDEX(hd_cap,MATCH(BT2385,hd_mark,0),0),0)</f>
        <v>0</v>
      </c>
      <c r="BS2385" s="19"/>
      <c r="BT2385" s="19"/>
      <c r="BU2385" s="100"/>
    </row>
    <row r="2386" x14ac:dyDescent="0.25">
      <c r="P2386" s="93"/>
      <c r="Q2386" s="111">
        <f>$R$2339</f>
        <v>0</v>
      </c>
      <c r="R2386" t="str">
        <f>$Q$2328</f>
        <v>L5</v>
      </c>
      <c r="S2386">
        <f>$E$24</f>
        <v>0</v>
      </c>
      <c r="T2386" cm="1">
        <f t="array" ref="T2386">IFERROR(IF(S2386=0,0,(INDEX($C$33:$C$38,MATCH($W$2339,$B$33:$B$38,0),0)*(S2387+$X$2339)+$T$2339*COUNTIF(S2386:S2386,"&gt;0")*$C$32+$V$2339*$C$31)*$R$2339),0)</f>
        <v>0</v>
      </c>
      <c r="U2386">
        <f>IF(S2386=0,0,-(COUNTIF(S2386:S2386,"&gt;0")*$T$2339*$C$32+$V$2339*$C$31)*$H$27*$R$2339)</f>
        <v>0</v>
      </c>
      <c r="V2386">
        <f>IF(S2386=0,0,$V$2339*$H$26*$R$2339)</f>
        <v>0</v>
      </c>
      <c r="W2386">
        <f>(0.6*T2386+0.7*U2386)*$R$2339/2</f>
        <v>0</v>
      </c>
      <c r="X2386">
        <f>T2386*$R$2339/2</f>
        <v>0</v>
      </c>
      <c r="Z2386">
        <f>IF(S2386=0,0,$AD$2339*$AP$2328)</f>
        <v>0</v>
      </c>
      <c r="AA2386">
        <f>IFERROR(Z2386/$R$2339,0)</f>
        <v>0</v>
      </c>
      <c r="AB2386">
        <f>Z2386*($F$24+IF($F$24=0,0,($C$14+$C$15+IF($C$13="single",1.5,3)+3)/12))</f>
        <v>0</v>
      </c>
      <c r="AC2386">
        <f>AB2386-W2386</f>
        <v>0</v>
      </c>
      <c r="AD2386" cm="1">
        <f t="array" ref="AD2386">IFERROR(IF(AC2386&lt;0,0,AC2386/($R$2339-INDEX(hd_off,MATCH(AQ2386,hd_mark,0),0)/12)),0)</f>
        <v>0</v>
      </c>
      <c r="AE2386">
        <f>IF(S2386=0,0,$AD$2339*$AM$2328)</f>
        <v>0</v>
      </c>
      <c r="AF2386">
        <f>IFERROR(AE2386/$R$2339,0)</f>
        <v>0</v>
      </c>
      <c r="AG2386">
        <f>AE2386*($F$24+IF($F$24=0,0,($C$14+$C$15+IF($C$13="single",1.5,3)+3)/12))</f>
        <v>0</v>
      </c>
      <c r="AH2386">
        <f>AG2386-X2386</f>
        <v>0</v>
      </c>
      <c r="AI2386" cm="1">
        <f t="array" ref="AI2386">IFERROR(IF(AH2386&lt;0,0,AH2386/($R$2339-INDEX(hd_off,MATCH(AQ2386,hd_mark,0),0)/12)),0)</f>
        <v>0</v>
      </c>
      <c r="AJ2386">
        <f>MAX($F$24,$AB$2339)/$Q$2356</f>
        <v>0</v>
      </c>
      <c r="AK2386">
        <f t="shared" si="1478"/>
        <v>0</v>
      </c>
      <c r="AL2386" cm="1">
        <f t="array" ref="AL2386">IFERROR(INDEX(sheath_ecap_asd,MATCH(AP2386,sheath_mark,0),0)*AK2386,0)</f>
        <v>0</v>
      </c>
      <c r="AM2386" cm="1">
        <f t="array" ref="AM2386">IFERROR(INDEX(sheath_wcap_asd,MATCH(AP2386,sheath_mark,0),0)*AK2386,0)</f>
        <v>0</v>
      </c>
      <c r="AN2386" cm="1">
        <f t="array" ref="AN2386">IFERROR(INDEX(hd_cap,MATCH(AQ2386,hd_mark,0),0),0)</f>
        <v>0</v>
      </c>
      <c r="AP2386" s="19"/>
      <c r="AQ2386" s="19"/>
      <c r="AR2386" s="100"/>
      <c r="AS2386" s="93"/>
      <c r="AT2386" s="111">
        <f>$R$2339</f>
        <v>0</v>
      </c>
      <c r="AU2386" t="str">
        <f>$Q$2328</f>
        <v>L5</v>
      </c>
      <c r="AV2386">
        <f>$E$24</f>
        <v>0</v>
      </c>
      <c r="AW2386" cm="1">
        <f t="array" ref="AW2386">IFERROR(IF(AV2386=0,0,(INDEX($C$33:$C$38,MATCH($AZ$2339,$B$33:$B$38,0),0)*(AV2387+$BA$2339)+$AW$2339*COUNTIF(AV2386:AV2386,"&gt;0")*$C$32+$AY$2339*$C$31)*$AU$2339),0)</f>
        <v>0</v>
      </c>
      <c r="AX2386">
        <f>IF(AV2386=0,0,-(COUNTIF(AV2386:AV2386,"&gt;0")*$AW$2339*$C$32+$AY$2339*$C$31)*$H$27*$AU$2339)</f>
        <v>0</v>
      </c>
      <c r="AY2386">
        <f>IF(AV2386=0,0,$AY$2339*$H$26*$AU$2339)</f>
        <v>0</v>
      </c>
      <c r="AZ2386">
        <f>(0.6*AW2386+0.7*AX2386)*$AU$2339/2</f>
        <v>0</v>
      </c>
      <c r="BA2386">
        <f>AW2386*$AU$2339/2</f>
        <v>0</v>
      </c>
      <c r="BC2386">
        <f>IF(AV2386=0,0,$BG$2339*$AP$2328)</f>
        <v>0</v>
      </c>
      <c r="BD2386">
        <f>IFERROR(BC2386/$AU$2339,0)</f>
        <v>0</v>
      </c>
      <c r="BE2386">
        <f>BC2386*($F$24+IF($F$24=0,0,($C$14+$C$15+IF($C$13="single",1.5,3)+3)/12))</f>
        <v>0</v>
      </c>
      <c r="BF2386">
        <f>BE2386-AZ2386</f>
        <v>0</v>
      </c>
      <c r="BG2386" cm="1">
        <f t="array" ref="BG2386">IFERROR(IF(BF2386&lt;0,0,BF2386/($AU$2339-INDEX(hd_off,MATCH(BT2386,hd_mark,0),0)/12)),0)</f>
        <v>0</v>
      </c>
      <c r="BH2386">
        <f>IF(AV2386=0,0,$BG$2339*$AM$2328)</f>
        <v>0</v>
      </c>
      <c r="BI2386">
        <f>IFERROR(BH2386/$AU$2339,0)</f>
        <v>0</v>
      </c>
      <c r="BJ2386">
        <f>BH2386*($F$24+IF($F$24=0,0,($C$14+$C$15+IF($C$13="single",1.5,3)+3)/12))</f>
        <v>0</v>
      </c>
      <c r="BK2386">
        <f>BJ2386-BA2386</f>
        <v>0</v>
      </c>
      <c r="BL2386" cm="1">
        <f t="array" ref="BL2386">IFERROR(IF(BK2386&lt;0,0,BK2386/($AU$2339-INDEX(hd_off,MATCH(BT2386,hd_mark,0),0)/12)),0)</f>
        <v>0</v>
      </c>
      <c r="BM2386">
        <f>MAX($F$24,$BE$2339)/$Q$2356</f>
        <v>0</v>
      </c>
      <c r="BN2386">
        <f t="shared" si="1479"/>
        <v>0</v>
      </c>
      <c r="BO2386" cm="1">
        <f t="array" ref="BO2386">IFERROR(INDEX(sheath_ecap_asd,MATCH(BS2386,sheath_mark,0),0)*BN2386,0)</f>
        <v>0</v>
      </c>
      <c r="BP2386" cm="1">
        <f t="array" ref="BP2386">IFERROR(INDEX(sheath_wcap_asd,MATCH(BS2386,sheath_mark,0),0)*BN2386,0)</f>
        <v>0</v>
      </c>
      <c r="BQ2386" cm="1">
        <f t="array" ref="BQ2386">IFERROR(INDEX(hd_cap,MATCH(BT2386,hd_mark,0),0),0)</f>
        <v>0</v>
      </c>
      <c r="BS2386" s="19"/>
      <c r="BT2386" s="19"/>
      <c r="BU2386" s="100"/>
    </row>
    <row r="2387" x14ac:dyDescent="0.25">
      <c r="P2387" s="93"/>
      <c r="Q2387" s="109"/>
      <c r="R2387" t="str">
        <f>$Q$2329</f>
        <v>Roof</v>
      </c>
      <c r="S2387">
        <f>$E$25</f>
        <v>33.171875</v>
      </c>
      <c r="T2387" cm="1">
        <f t="array" ref="T2387">IFERROR(IF(S2387=0,0,(INDEX($C$33:$C$38,MATCH($W$2339,$B$33:$B$38,0),0)*(S2387+$X$2339)+$V$2339*$C$31)*$R$2339),0)</f>
        <v>0</v>
      </c>
      <c r="U2387">
        <f>IF(S2387=0,0,-$V$2339*$C$31*$H$27*$R$2339)</f>
        <v>0</v>
      </c>
      <c r="V2387">
        <f>IF(S2387=0,0,$V$2339*$H$26*$R$2339)</f>
        <v>0</v>
      </c>
      <c r="W2387">
        <f>(0.6*T2387+0.7*U2387)*$R$2339/2</f>
        <v>0</v>
      </c>
      <c r="X2387">
        <f>T2387*$R$2339/2</f>
        <v>0</v>
      </c>
      <c r="Z2387">
        <f>IF(S2387=0,0,$AD$2339*$AP$2329)</f>
        <v>0</v>
      </c>
      <c r="AA2387">
        <f>IFERROR(Z2387/$R$2339,0)</f>
        <v>0</v>
      </c>
      <c r="AB2387">
        <f>Z2387*($F$25+($C$16+$C$17+IF($C$13="single",1.5,3)+3)/12)</f>
        <v>0</v>
      </c>
      <c r="AC2387">
        <f>AB2387-W2387</f>
        <v>0</v>
      </c>
      <c r="AD2387" cm="1">
        <f t="array" ref="AD2387">IFERROR(IF(AC2387&lt;0,0,AC2387/($R$2339-INDEX(hd_off,MATCH(AQ2387,hd_mark,0),0)/12)),0)</f>
        <v>0</v>
      </c>
      <c r="AE2387">
        <f>IF(S2387=0,0,$AD$2339*$AM$2329)</f>
        <v>0</v>
      </c>
      <c r="AF2387">
        <f>IFERROR(AE2387/$R$2339,0)</f>
        <v>0</v>
      </c>
      <c r="AG2387">
        <f>AE2387*($F$25+($C$16+$C$17+IF($C$13="single",1.5,3)+3)/12)</f>
        <v>0</v>
      </c>
      <c r="AH2387">
        <f>AG2387-X2387</f>
        <v>0</v>
      </c>
      <c r="AI2387" cm="1">
        <f t="array" ref="AI2387">IFERROR(IF(AH2387&lt;0,0,AH2387/($R$2339-INDEX(hd_off,MATCH(AQ2387,hd_mark,0),0)/12)),0)</f>
        <v>0</v>
      </c>
      <c r="AJ2387">
        <f>MAX($F$25,$AC$2339)/$Q$2356</f>
        <v>0.29920977011494249</v>
      </c>
      <c r="AK2387">
        <f t="shared" si="1478"/>
        <v>1</v>
      </c>
      <c r="AL2387" cm="1">
        <f t="array" ref="AL2387">IFERROR(INDEX(sheath_ecap_asd,MATCH(AP2387,sheath_mark,0),0)*AK2387,0)</f>
        <v>0</v>
      </c>
      <c r="AM2387" cm="1">
        <f t="array" ref="AM2387">IFERROR(INDEX(sheath_wcap_asd,MATCH(AP2387,sheath_mark,0),0)*AK2387,0)</f>
        <v>0</v>
      </c>
      <c r="AN2387" cm="1">
        <f t="array" ref="AN2387">IFERROR(INDEX(hd_cap,MATCH(AQ2387,hd_mark,0),0),0)</f>
        <v>0</v>
      </c>
      <c r="AP2387" s="19"/>
      <c r="AQ2387" s="19"/>
      <c r="AR2387" s="100"/>
      <c r="AS2387" s="93"/>
      <c r="AT2387" s="109"/>
      <c r="AU2387" t="str">
        <f>$Q$2329</f>
        <v>Roof</v>
      </c>
      <c r="AV2387">
        <f>$E$25</f>
        <v>33.171875</v>
      </c>
      <c r="AW2387" cm="1">
        <f t="array" ref="AW2387">IFERROR(IF(AV2387=0,0,(INDEX($C$33:$C$38,MATCH($AZ$2339,$B$33:$B$38,0),0)*(AV2387+$BA$2339)+$AY$2339*$C$31)*$AU$2339),0)</f>
        <v>0</v>
      </c>
      <c r="AX2387">
        <f>IF(AV2387=0,0,-$AY$2339*$C$31*$H$27*$AU$2339)</f>
        <v>0</v>
      </c>
      <c r="AY2387">
        <f>IF(AV2387=0,0,$AY$2339*$H$26*$AU$2339)</f>
        <v>0</v>
      </c>
      <c r="AZ2387">
        <f>(0.6*AW2387+0.7*AX2387)*$AU$2339/2</f>
        <v>0</v>
      </c>
      <c r="BA2387">
        <f>AW2387*$AU$2339/2</f>
        <v>0</v>
      </c>
      <c r="BC2387">
        <f>IF(AV2387=0,0,$BG$2339*$AP$2329)</f>
        <v>0</v>
      </c>
      <c r="BD2387">
        <f>IFERROR(BC2387/$AU$2339,0)</f>
        <v>0</v>
      </c>
      <c r="BE2387">
        <f>BC2387*($F$25+($C$16+$C$17+IF($C$13="single",1.5,3)+3)/12)</f>
        <v>0</v>
      </c>
      <c r="BF2387">
        <f>BE2387-AZ2387</f>
        <v>0</v>
      </c>
      <c r="BG2387" cm="1">
        <f t="array" ref="BG2387">IFERROR(IF(BF2387&lt;0,0,BF2387/($AU$2339-INDEX(hd_off,MATCH(BT2387,hd_mark,0),0)/12)),0)</f>
        <v>0</v>
      </c>
      <c r="BH2387">
        <f>IF(AV2387=0,0,$BG$2339*$AM$2329)</f>
        <v>0</v>
      </c>
      <c r="BI2387">
        <f>IFERROR(BH2387/$AU$2339,0)</f>
        <v>0</v>
      </c>
      <c r="BJ2387">
        <f>BH2387*($F$25+($C$16+$C$17+IF($C$13="single",1.5,3)+3)/12)</f>
        <v>0</v>
      </c>
      <c r="BK2387">
        <f>BJ2387-BA2387</f>
        <v>0</v>
      </c>
      <c r="BL2387" cm="1">
        <f t="array" ref="BL2387">IFERROR(IF(BK2387&lt;0,0,BK2387/($AU$2339-INDEX(hd_off,MATCH(BT2387,hd_mark,0),0)/12)),0)</f>
        <v>0</v>
      </c>
      <c r="BM2387">
        <f>MAX($F$25,$BF$2339)/$Q$2356</f>
        <v>0.29920977011494249</v>
      </c>
      <c r="BN2387">
        <f t="shared" si="1479"/>
        <v>1</v>
      </c>
      <c r="BO2387" cm="1">
        <f t="array" ref="BO2387">IFERROR(INDEX(sheath_ecap_asd,MATCH(BS2387,sheath_mark,0),0)*BN2387,0)</f>
        <v>0</v>
      </c>
      <c r="BP2387" cm="1">
        <f t="array" ref="BP2387">IFERROR(INDEX(sheath_wcap_asd,MATCH(BS2387,sheath_mark,0),0)*BN2387,0)</f>
        <v>0</v>
      </c>
      <c r="BQ2387" cm="1">
        <f t="array" ref="BQ2387">IFERROR(INDEX(hd_cap,MATCH(BT2387,hd_mark,0),0),0)</f>
        <v>0</v>
      </c>
      <c r="BS2387" s="19"/>
      <c r="BT2387" s="19"/>
      <c r="BU2387" s="100"/>
    </row>
    <row r="2388" x14ac:dyDescent="0.25">
      <c r="P2388" s="93"/>
      <c r="AR2388" s="100"/>
      <c r="AS2388" s="93"/>
      <c r="BU2388" s="100"/>
    </row>
    <row r="2389" x14ac:dyDescent="0.25">
      <c r="P2389" s="93"/>
      <c r="Q2389" s="110" t="str">
        <f>$Q$2340</f>
        <v>A.07</v>
      </c>
      <c r="R2389" t="str">
        <f>$Q$2325</f>
        <v>L2</v>
      </c>
      <c r="S2389">
        <f>$E$21</f>
        <v>10.6875</v>
      </c>
      <c r="T2389" cm="1">
        <f t="array" ref="T2389">IFERROR(IF(S2389=0,0,(INDEX($C$33:$C$38,MATCH($W$2340,$B$33:$B$38,0),0)*(S2393+$X$2340)+$T$2340*COUNTIF(S2389:S2392,"&gt;0")*$C$32+$V$2340*$C$31)*$R$2340),0)</f>
        <v>0</v>
      </c>
      <c r="U2389">
        <f>IF(S2389=0,0,-(COUNTIF(S2389:S2392,"&gt;0")*$T$2340*$C$32+$V$2340*$C$31)*$H$27*$R$2340)</f>
        <v>0</v>
      </c>
      <c r="V2389">
        <f>IF(S2389=0,0,$V$2340*$H$26*$R$2340)</f>
        <v>0</v>
      </c>
      <c r="W2389">
        <f>(0.6*T2389+0.7*U2389)*$R$2340/2</f>
        <v>0</v>
      </c>
      <c r="X2389">
        <f>(0.6*T2389+0.6*V2389)*$R$2340/2</f>
        <v>0</v>
      </c>
      <c r="Z2389">
        <f>IF(S2389=0,0,$AD$2340*$AP$2325)</f>
        <v>0</v>
      </c>
      <c r="AA2389">
        <f>IFERROR(Z2389/$R$2340,0)</f>
        <v>0</v>
      </c>
      <c r="AB2389">
        <f>Z2389*($F$21+IF($F$21=0,0,($C$14+$C$15+IF($C$13="single",1.5,3)+3)/12))</f>
        <v>0</v>
      </c>
      <c r="AC2389">
        <f>AB2389-W2389</f>
        <v>0</v>
      </c>
      <c r="AD2389" cm="1">
        <f t="array" ref="AD2389">IFERROR(IF(AC2389&lt;0,0,AC2389/($R$2340-INDEX(hd_off,MATCH(AQ2389,hd_mark,0),0)/12)),0)</f>
        <v>0</v>
      </c>
      <c r="AE2389">
        <f>IF(S2389=0,0,$AD$2340*$AM$2325)</f>
        <v>0</v>
      </c>
      <c r="AF2389">
        <f>IFERROR(AE2389/$R$2340,0)</f>
        <v>0</v>
      </c>
      <c r="AG2389">
        <f>AE2389*($F$21+IF($F$21=0,0,($C$14+$C$15+IF($C$13="single",1.5,3)+3)/12))</f>
        <v>0</v>
      </c>
      <c r="AH2389">
        <f>AG2389-X2389</f>
        <v>0</v>
      </c>
      <c r="AI2389" cm="1">
        <f t="array" ref="AI2389">IFERROR(IF(AH2389&lt;0,0,AH2389/($R$2340-INDEX(hd_off,MATCH(AQ2389,hd_mark,0),0)/12)),0)</f>
        <v>0</v>
      </c>
      <c r="AJ2389">
        <f>MAX($F$21,$Y$2340)/$Q$2356</f>
        <v>0.30172413793103448</v>
      </c>
      <c r="AK2389">
        <f>IF(AJ2389=0,0,IF(AJ2389&gt;2,1.25-0.125*AJ2389,1))</f>
        <v>1</v>
      </c>
      <c r="AL2389" cm="1">
        <f t="array" ref="AL2389">IFERROR(INDEX(sheath_ecap_asd,MATCH(AP2389,sheath_mark,0),0)*AK2389,0)</f>
        <v>0</v>
      </c>
      <c r="AM2389" cm="1">
        <f t="array" ref="AM2389">IFERROR(INDEX(sheath_wcap_asd,MATCH(AP2389,sheath_mark,0),0)*AK2389,0)</f>
        <v>0</v>
      </c>
      <c r="AN2389" cm="1">
        <f t="array" ref="AN2389">IFERROR(INDEX(hd_cap,MATCH(AQ2389,hd_mark,0),0),0)</f>
        <v>0</v>
      </c>
      <c r="AP2389" s="19"/>
      <c r="AQ2389" s="19"/>
      <c r="AR2389" s="100"/>
      <c r="AS2389" s="93"/>
      <c r="AT2389" s="110" t="str">
        <f>$AT$2340</f>
        <v>1.07</v>
      </c>
      <c r="AU2389" t="str">
        <f>$Q$2325</f>
        <v>L2</v>
      </c>
      <c r="AV2389">
        <f>$E$21</f>
        <v>10.6875</v>
      </c>
      <c r="AW2389" cm="1">
        <f t="array" ref="AW2389">IFERROR(IF(AV2389=0,0,(INDEX($C$33:$C$38,MATCH($AZ$2340,$B$33:$B$38,0),0)*(AV2393+$BA$2340)+$AW$2340*COUNTIF(AV2389:AV2392,"&gt;0")*$C$32+$AY$2340*$C$31)*$AU$2340),0)</f>
        <v>0</v>
      </c>
      <c r="AX2389">
        <f>IF(AV2389=0,0,-(COUNTIF(AV2389:AV2392,"&gt;0")*$AW$2340*$C$32+$AY$2340*$C$31)*$H$27*$AU$2340)</f>
        <v>0</v>
      </c>
      <c r="AY2389">
        <f>IF(AV2389=0,0,$AY$2340*$H$26*$AU$2340)</f>
        <v>0</v>
      </c>
      <c r="AZ2389">
        <f>(0.6*AW2389+0.7*AX2389)*$AU$2340/2</f>
        <v>0</v>
      </c>
      <c r="BA2389">
        <f>(0.6*AW2389+0.6*AY2389)*$AU$2340/2</f>
        <v>0</v>
      </c>
      <c r="BC2389">
        <f>IF(AV2389=0,0,$BG$2340*$AP$2325)</f>
        <v>0</v>
      </c>
      <c r="BD2389">
        <f>IFERROR(BC2389/$AU$2340,0)</f>
        <v>0</v>
      </c>
      <c r="BE2389">
        <f>BC2389*($F$21+IF($F$21=0,0,($C$14+$C$15+IF($C$13="single",1.5,3)+3)/12))</f>
        <v>0</v>
      </c>
      <c r="BF2389">
        <f>BE2389-AZ2389</f>
        <v>0</v>
      </c>
      <c r="BG2389" cm="1">
        <f t="array" ref="BG2389">IFERROR(IF(BF2389&lt;0,0,BF2389/($AU$2340-INDEX(hd_off,MATCH(BT2389,hd_mark,0),0)/12)),0)</f>
        <v>0</v>
      </c>
      <c r="BH2389">
        <f>IF(AV2389=0,0,$BG$2340*$AM$2325)</f>
        <v>0</v>
      </c>
      <c r="BI2389">
        <f>IFERROR(BH2389/$AU$2340,0)</f>
        <v>0</v>
      </c>
      <c r="BJ2389">
        <f>BH2389*($F$21+IF($F$21=0,0,($C$14+$C$15+IF($C$13="single",1.5,3)+3)/12))</f>
        <v>0</v>
      </c>
      <c r="BK2389">
        <f>BJ2389-BA2389</f>
        <v>0</v>
      </c>
      <c r="BL2389" cm="1">
        <f t="array" ref="BL2389">IFERROR(IF(BK2389&lt;0,0,BK2389/($AU$2340-INDEX(hd_off,MATCH(BT2389,hd_mark,0),0)/12)),0)</f>
        <v>0</v>
      </c>
      <c r="BM2389">
        <f>MAX($F$21,$BB$2340)/$Q$2356</f>
        <v>0.30172413793103448</v>
      </c>
      <c r="BN2389">
        <f>IF(BM2389=0,0,IF(BM2389&gt;2,1.25-0.125*BM2389,1))</f>
        <v>1</v>
      </c>
      <c r="BO2389" cm="1">
        <f t="array" ref="BO2389">IFERROR(INDEX(sheath_ecap_asd,MATCH(BS2389,sheath_mark,0),0)*BN2389,0)</f>
        <v>0</v>
      </c>
      <c r="BP2389" cm="1">
        <f t="array" ref="BP2389">IFERROR(INDEX(sheath_wcap_asd,MATCH(BS2389,sheath_mark,0),0)*BN2389,0)</f>
        <v>0</v>
      </c>
      <c r="BQ2389" cm="1">
        <f t="array" ref="BQ2389">IFERROR(INDEX(hd_cap,MATCH(BT2389,hd_mark,0),0),0)</f>
        <v>0</v>
      </c>
      <c r="BS2389" s="19"/>
      <c r="BT2389" s="19"/>
      <c r="BU2389" s="100"/>
    </row>
    <row r="2390" x14ac:dyDescent="0.25">
      <c r="P2390" s="93"/>
      <c r="Q2390" s="109"/>
      <c r="R2390" t="str">
        <f>$Q$2326</f>
        <v>L3</v>
      </c>
      <c r="S2390">
        <f>$E$22</f>
        <v>21.375</v>
      </c>
      <c r="T2390" cm="1">
        <f t="array" ref="T2390">IFERROR(IF(S2390=0,0,(INDEX($C$33:$C$38,MATCH($W$2340,$B$33:$B$38,0),0)*(S2393+$X$2340)+$T$2340*COUNTIF(S2390:S2392,"&gt;0")*$C$32+$V$2340*$C$31)*$R$2340),0)</f>
        <v>0</v>
      </c>
      <c r="U2390">
        <f>IF(S2390=0,0,-(COUNTIF(S2390:S2392,"&gt;0")*$T$2340*$C$32+$V$2340*$C$31)*$H$27*$R$2340)</f>
        <v>0</v>
      </c>
      <c r="V2390">
        <f>IF(S2390=0,0,$V$2340*$H$26*$R$2340)</f>
        <v>0</v>
      </c>
      <c r="W2390">
        <f>(0.6*T2390+0.7*U2390)*$R$2340/2</f>
        <v>0</v>
      </c>
      <c r="X2390">
        <f>T2390*$R$2340/2</f>
        <v>0</v>
      </c>
      <c r="Z2390">
        <f>IF(S2390=0,0,$AD$2340*$AP$2326)</f>
        <v>0</v>
      </c>
      <c r="AA2390">
        <f>IFERROR(Z2390/$R$2340,0)</f>
        <v>0</v>
      </c>
      <c r="AB2390">
        <f>Z2390*($F$22+IF($F$22=0,0,($C$14+$C$15+IF($C$13="single",1.5,3)+3)/12))</f>
        <v>0</v>
      </c>
      <c r="AC2390">
        <f>AB2390-W2390</f>
        <v>0</v>
      </c>
      <c r="AD2390" cm="1">
        <f t="array" ref="AD2390">IFERROR(IF(AC2390&lt;0,0,AC2390/($R$2340-INDEX(hd_off,MATCH(AQ2390,hd_mark,0),0)/12)),0)</f>
        <v>0</v>
      </c>
      <c r="AE2390">
        <f>IF(S2390=0,0,$AD$2340*$AM$2326)</f>
        <v>0</v>
      </c>
      <c r="AF2390">
        <f>IFERROR(AE2390/$R$2340,0)</f>
        <v>0</v>
      </c>
      <c r="AG2390">
        <f>AE2390*($F$22+IF($F$22=0,0,($C$14+$C$15+IF($C$13="single",1.5,3)+3)/12))</f>
        <v>0</v>
      </c>
      <c r="AH2390">
        <f>AG2390-X2390</f>
        <v>0</v>
      </c>
      <c r="AI2390" cm="1">
        <f t="array" ref="AI2390">IFERROR(IF(AH2390&lt;0,0,AH2390/($R$2340-INDEX(hd_off,MATCH(AQ2390,hd_mark,0),0)/12)),0)</f>
        <v>0</v>
      </c>
      <c r="AJ2390">
        <f>MAX($F$22,$Z$2340)/$Q$2356</f>
        <v>0.30172413793103448</v>
      </c>
      <c r="AK2390">
        <f t="shared" ref="AK2390:AK2393" si="1480">IF(AJ2390=0,0,IF(AJ2390&gt;2,1.25-0.125*AJ2390,1))</f>
        <v>1</v>
      </c>
      <c r="AL2390" cm="1">
        <f t="array" ref="AL2390">IFERROR(INDEX(sheath_ecap_asd,MATCH(AP2390,sheath_mark,0),0)*AK2390,0)</f>
        <v>0</v>
      </c>
      <c r="AM2390" cm="1">
        <f t="array" ref="AM2390">IFERROR(INDEX(sheath_wcap_asd,MATCH(AP2390,sheath_mark,0),0)*AK2390,0)</f>
        <v>0</v>
      </c>
      <c r="AN2390" cm="1">
        <f t="array" ref="AN2390">IFERROR(INDEX(hd_cap,MATCH(AQ2390,hd_mark,0),0),0)</f>
        <v>0</v>
      </c>
      <c r="AP2390" s="19"/>
      <c r="AQ2390" s="19"/>
      <c r="AR2390" s="100"/>
      <c r="AS2390" s="93"/>
      <c r="AT2390" s="109"/>
      <c r="AU2390" t="str">
        <f>$Q$2326</f>
        <v>L3</v>
      </c>
      <c r="AV2390">
        <f>$E$22</f>
        <v>21.375</v>
      </c>
      <c r="AW2390" cm="1">
        <f t="array" ref="AW2390">IFERROR(IF(AV2390=0,0,(INDEX($C$33:$C$38,MATCH($AZ$2340,$B$33:$B$38,0),0)*(AV2393+$BA$2340)+$AW$2340*COUNTIF(AV2390:AV2392,"&gt;0")*$C$32+$AY$2340*$C$31)*$AU$2340),0)</f>
        <v>0</v>
      </c>
      <c r="AX2390">
        <f>IF(AV2390=0,0,-(COUNTIF(AV2390:AV2392,"&gt;0")*$AW$2340*$C$32+$AY$2340*$C$31)*$H$27*$AU$2340)</f>
        <v>0</v>
      </c>
      <c r="AY2390">
        <f>IF(AV2390=0,0,$AY$2340*$H$26*$AU$2340)</f>
        <v>0</v>
      </c>
      <c r="AZ2390">
        <f>(0.6*AW2390+0.7*AX2390)*$AU$2340/2</f>
        <v>0</v>
      </c>
      <c r="BA2390">
        <f>AW2390*$AU$2340/2</f>
        <v>0</v>
      </c>
      <c r="BC2390">
        <f>IF(AV2390=0,0,$BG$2340*$AP$2326)</f>
        <v>0</v>
      </c>
      <c r="BD2390">
        <f>IFERROR(BC2390/$AU$2340,0)</f>
        <v>0</v>
      </c>
      <c r="BE2390">
        <f>BC2390*($F$22+IF($F$22=0,0,($C$14+$C$15+IF($C$13="single",1.5,3)+3)/12))</f>
        <v>0</v>
      </c>
      <c r="BF2390">
        <f>BE2390-AZ2390</f>
        <v>0</v>
      </c>
      <c r="BG2390" cm="1">
        <f t="array" ref="BG2390">IFERROR(IF(BF2390&lt;0,0,BF2390/($AU$2340-INDEX(hd_off,MATCH(BT2390,hd_mark,0),0)/12)),0)</f>
        <v>0</v>
      </c>
      <c r="BH2390">
        <f>IF(AV2390=0,0,$BG$2340*$AM$2326)</f>
        <v>0</v>
      </c>
      <c r="BI2390">
        <f>IFERROR(BH2390/$AU$2340,0)</f>
        <v>0</v>
      </c>
      <c r="BJ2390">
        <f>BH2390*($F$22+IF($F$22=0,0,($C$14+$C$15+IF($C$13="single",1.5,3)+3)/12))</f>
        <v>0</v>
      </c>
      <c r="BK2390">
        <f>BJ2390-BA2390</f>
        <v>0</v>
      </c>
      <c r="BL2390" cm="1">
        <f t="array" ref="BL2390">IFERROR(IF(BK2390&lt;0,0,BK2390/($AU$2340-INDEX(hd_off,MATCH(BT2390,hd_mark,0),0)/12)),0)</f>
        <v>0</v>
      </c>
      <c r="BM2390">
        <f>MAX($F$22,$BC$2340)/$Q$2356</f>
        <v>0.30172413793103448</v>
      </c>
      <c r="BN2390">
        <f t="shared" ref="BN2390:BN2393" si="1481">IF(BM2390=0,0,IF(BM2390&gt;2,1.25-0.125*BM2390,1))</f>
        <v>1</v>
      </c>
      <c r="BO2390" cm="1">
        <f t="array" ref="BO2390">IFERROR(INDEX(sheath_ecap_asd,MATCH(BS2390,sheath_mark,0),0)*BN2390,0)</f>
        <v>0</v>
      </c>
      <c r="BP2390" cm="1">
        <f t="array" ref="BP2390">IFERROR(INDEX(sheath_wcap_asd,MATCH(BS2390,sheath_mark,0),0)*BN2390,0)</f>
        <v>0</v>
      </c>
      <c r="BQ2390" cm="1">
        <f t="array" ref="BQ2390">IFERROR(INDEX(hd_cap,MATCH(BT2390,hd_mark,0),0),0)</f>
        <v>0</v>
      </c>
      <c r="BS2390" s="19"/>
      <c r="BT2390" s="19"/>
      <c r="BU2390" s="100"/>
    </row>
    <row r="2391" x14ac:dyDescent="0.25">
      <c r="P2391" s="93"/>
      <c r="Q2391" s="109" t="s">
        <v>491</v>
      </c>
      <c r="R2391" t="str">
        <f>$Q$2327</f>
        <v>L4</v>
      </c>
      <c r="S2391">
        <f>$E$23</f>
        <v>0</v>
      </c>
      <c r="T2391" cm="1">
        <f t="array" ref="T2391">IFERROR(IF(S2391=0,0,(INDEX($C$33:$C$38,MATCH($W$2340,$B$33:$B$38,0),0)*(S2393+$X$2340)+$T$2340*COUNTIF(S2391:S2392,"&gt;0")*$C$32+$V$2340*$C$31)*$R$2340),0)</f>
        <v>0</v>
      </c>
      <c r="U2391">
        <f>IF(S2391=0,0,-(COUNTIF(S2391:S2392,"&gt;0")*$T$2340*$C$32+$V$2340*$C$31)*$H$27*$R$2340)</f>
        <v>0</v>
      </c>
      <c r="V2391">
        <f>IF(S2391=0,0,$V$2340*$H$26*$R$2340)</f>
        <v>0</v>
      </c>
      <c r="W2391">
        <f>(0.6*T2391+0.7*U2391)*$R$2340/2</f>
        <v>0</v>
      </c>
      <c r="X2391">
        <f>T2391*$R$2340/2</f>
        <v>0</v>
      </c>
      <c r="Z2391">
        <f>IF(S2391=0,0,$AD$2340*$AP$2327)</f>
        <v>0</v>
      </c>
      <c r="AA2391">
        <f>IFERROR(Z2391/$R$2340,0)</f>
        <v>0</v>
      </c>
      <c r="AB2391">
        <f>Z2391*($F$23+IF($F$23=0,0,($C$14+$C$15+IF($C$13="single",1.5,3)+3)/12))</f>
        <v>0</v>
      </c>
      <c r="AC2391">
        <f>AB2391-W2391</f>
        <v>0</v>
      </c>
      <c r="AD2391" cm="1">
        <f t="array" ref="AD2391">IFERROR(IF(AC2391&lt;0,0,AC2391/($R$2340-INDEX(hd_off,MATCH(AQ2391,hd_mark,0),0)/12)),0)</f>
        <v>0</v>
      </c>
      <c r="AE2391">
        <f>IF(S2391=0,0,$AD$2340*$AM$2327)</f>
        <v>0</v>
      </c>
      <c r="AF2391">
        <f>IFERROR(AE2391/$R$2340,0)</f>
        <v>0</v>
      </c>
      <c r="AG2391">
        <f>AE2391*($F$23+IF($F$23=0,0,($C$14+$C$15+IF($C$13="single",1.5,3)+3)/12))</f>
        <v>0</v>
      </c>
      <c r="AH2391">
        <f>AG2391-X2391</f>
        <v>0</v>
      </c>
      <c r="AI2391" cm="1">
        <f t="array" ref="AI2391">IFERROR(IF(AH2391&lt;0,0,AH2391/($R$2340-INDEX(hd_off,MATCH(AQ2391,hd_mark,0),0)/12)),0)</f>
        <v>0</v>
      </c>
      <c r="AJ2391">
        <f>MAX($F$23,$AA$2340)/$Q$2356</f>
        <v>0</v>
      </c>
      <c r="AK2391">
        <f t="shared" si="1480"/>
        <v>0</v>
      </c>
      <c r="AL2391" cm="1">
        <f t="array" ref="AL2391">IFERROR(INDEX(sheath_ecap_asd,MATCH(AP2391,sheath_mark,0),0)*AK2391,0)</f>
        <v>0</v>
      </c>
      <c r="AM2391" cm="1">
        <f t="array" ref="AM2391">IFERROR(INDEX(sheath_wcap_asd,MATCH(AP2391,sheath_mark,0),0)*AK2391,0)</f>
        <v>0</v>
      </c>
      <c r="AN2391" cm="1">
        <f t="array" ref="AN2391">IFERROR(INDEX(hd_cap,MATCH(AQ2391,hd_mark,0),0),0)</f>
        <v>0</v>
      </c>
      <c r="AP2391" s="19"/>
      <c r="AQ2391" s="19"/>
      <c r="AR2391" s="100"/>
      <c r="AS2391" s="93"/>
      <c r="AT2391" s="109" t="s">
        <v>491</v>
      </c>
      <c r="AU2391" t="str">
        <f>$Q$2327</f>
        <v>L4</v>
      </c>
      <c r="AV2391">
        <f>$E$23</f>
        <v>0</v>
      </c>
      <c r="AW2391" cm="1">
        <f t="array" ref="AW2391">IFERROR(IF(AV2391=0,0,(INDEX($C$33:$C$38,MATCH($AZ$2340,$B$33:$B$38,0),0)*(AV2393+$BA$2340)+$AW$2340*COUNTIF(AV2391:AV2392,"&gt;0")*$C$32+$AY$2340*$C$31)*$AU$2340),0)</f>
        <v>0</v>
      </c>
      <c r="AX2391">
        <f>IF(AV2391=0,0,-(COUNTIF(AV2391:AV2392,"&gt;0")*$AW$2340*$C$32+$AY$2340*$C$31)*$H$27*$AU$2340)</f>
        <v>0</v>
      </c>
      <c r="AY2391">
        <f>IF(AV2391=0,0,$AY$2340*$H$26*$AU$2340)</f>
        <v>0</v>
      </c>
      <c r="AZ2391">
        <f>(0.6*AW2391+0.7*AX2391)*$AU$2340/2</f>
        <v>0</v>
      </c>
      <c r="BA2391">
        <f>AW2391*$AU$2340/2</f>
        <v>0</v>
      </c>
      <c r="BC2391">
        <f>IF(AV2391=0,0,$BG$2340*$AP$2327)</f>
        <v>0</v>
      </c>
      <c r="BD2391">
        <f>IFERROR(BC2391/$AU$2340,0)</f>
        <v>0</v>
      </c>
      <c r="BE2391">
        <f>BC2391*($F$23+IF($F$23=0,0,($C$14+$C$15+IF($C$13="single",1.5,3)+3)/12))</f>
        <v>0</v>
      </c>
      <c r="BF2391">
        <f>BE2391-AZ2391</f>
        <v>0</v>
      </c>
      <c r="BG2391" cm="1">
        <f t="array" ref="BG2391">IFERROR(IF(BF2391&lt;0,0,BF2391/($AU$2340-INDEX(hd_off,MATCH(BT2391,hd_mark,0),0)/12)),0)</f>
        <v>0</v>
      </c>
      <c r="BH2391">
        <f>IF(AV2391=0,0,$BG$2340*$AM$2327)</f>
        <v>0</v>
      </c>
      <c r="BI2391">
        <f>IFERROR(BH2391/$AU$2340,0)</f>
        <v>0</v>
      </c>
      <c r="BJ2391">
        <f>BH2391*($F$23+IF($F$23=0,0,($C$14+$C$15+IF($C$13="single",1.5,3)+3)/12))</f>
        <v>0</v>
      </c>
      <c r="BK2391">
        <f>BJ2391-BA2391</f>
        <v>0</v>
      </c>
      <c r="BL2391" cm="1">
        <f t="array" ref="BL2391">IFERROR(IF(BK2391&lt;0,0,BK2391/($AU$2340-INDEX(hd_off,MATCH(BT2391,hd_mark,0),0)/12)),0)</f>
        <v>0</v>
      </c>
      <c r="BM2391">
        <f>MAX($F$23,$BD$2340)/$Q$2356</f>
        <v>0</v>
      </c>
      <c r="BN2391">
        <f t="shared" si="1481"/>
        <v>0</v>
      </c>
      <c r="BO2391" cm="1">
        <f t="array" ref="BO2391">IFERROR(INDEX(sheath_ecap_asd,MATCH(BS2391,sheath_mark,0),0)*BN2391,0)</f>
        <v>0</v>
      </c>
      <c r="BP2391" cm="1">
        <f t="array" ref="BP2391">IFERROR(INDEX(sheath_wcap_asd,MATCH(BS2391,sheath_mark,0),0)*BN2391,0)</f>
        <v>0</v>
      </c>
      <c r="BQ2391" cm="1">
        <f t="array" ref="BQ2391">IFERROR(INDEX(hd_cap,MATCH(BT2391,hd_mark,0),0),0)</f>
        <v>0</v>
      </c>
      <c r="BS2391" s="19"/>
      <c r="BT2391" s="19"/>
      <c r="BU2391" s="100"/>
    </row>
    <row r="2392" x14ac:dyDescent="0.25">
      <c r="P2392" s="93"/>
      <c r="Q2392" s="111">
        <f>$R$2340</f>
        <v>0</v>
      </c>
      <c r="R2392" t="str">
        <f>$Q$2328</f>
        <v>L5</v>
      </c>
      <c r="S2392">
        <f>$E$24</f>
        <v>0</v>
      </c>
      <c r="T2392" cm="1">
        <f t="array" ref="T2392">IFERROR(IF(S2392=0,0,(INDEX($C$33:$C$38,MATCH($W$2340,$B$33:$B$38,0),0)*(S2393+$X$2340)+$T$2340*COUNTIF(S2392:S2392,"&gt;0")*$C$32+$V$2340*$C$31)*$R$2340),0)</f>
        <v>0</v>
      </c>
      <c r="U2392">
        <f>IF(S2392=0,0,-(COUNTIF(S2392:S2392,"&gt;0")*$T$2340*$C$32+$V$2340*$C$31)*$H$27*$R$2340)</f>
        <v>0</v>
      </c>
      <c r="V2392">
        <f>IF(S2392=0,0,$V$2340*$H$26*$R$2340)</f>
        <v>0</v>
      </c>
      <c r="W2392">
        <f>(0.6*T2392+0.7*U2392)*$R$2340/2</f>
        <v>0</v>
      </c>
      <c r="X2392">
        <f>T2392*$R$2340/2</f>
        <v>0</v>
      </c>
      <c r="Z2392">
        <f>IF(S2392=0,0,$AD$2340*$AP$2328)</f>
        <v>0</v>
      </c>
      <c r="AA2392">
        <f>IFERROR(Z2392/$R$2340,0)</f>
        <v>0</v>
      </c>
      <c r="AB2392">
        <f>Z2392*($F$24+IF($F$24=0,0,($C$14+$C$15+IF($C$13="single",1.5,3)+3)/12))</f>
        <v>0</v>
      </c>
      <c r="AC2392">
        <f>AB2392-W2392</f>
        <v>0</v>
      </c>
      <c r="AD2392" cm="1">
        <f t="array" ref="AD2392">IFERROR(IF(AC2392&lt;0,0,AC2392/($R$2340-INDEX(hd_off,MATCH(AQ2392,hd_mark,0),0)/12)),0)</f>
        <v>0</v>
      </c>
      <c r="AE2392">
        <f>IF(S2392=0,0,$AD$2340*$AM$2328)</f>
        <v>0</v>
      </c>
      <c r="AF2392">
        <f>IFERROR(AE2392/$R$2340,0)</f>
        <v>0</v>
      </c>
      <c r="AG2392">
        <f>AE2392*($F$24+IF($F$24=0,0,($C$14+$C$15+IF($C$13="single",1.5,3)+3)/12))</f>
        <v>0</v>
      </c>
      <c r="AH2392">
        <f>AG2392-X2392</f>
        <v>0</v>
      </c>
      <c r="AI2392" cm="1">
        <f t="array" ref="AI2392">IFERROR(IF(AH2392&lt;0,0,AH2392/($R$2340-INDEX(hd_off,MATCH(AQ2392,hd_mark,0),0)/12)),0)</f>
        <v>0</v>
      </c>
      <c r="AJ2392">
        <f>MAX($F$24,$AB$2340)/$Q$2356</f>
        <v>0</v>
      </c>
      <c r="AK2392">
        <f t="shared" si="1480"/>
        <v>0</v>
      </c>
      <c r="AL2392" cm="1">
        <f t="array" ref="AL2392">IFERROR(INDEX(sheath_ecap_asd,MATCH(AP2392,sheath_mark,0),0)*AK2392,0)</f>
        <v>0</v>
      </c>
      <c r="AM2392" cm="1">
        <f t="array" ref="AM2392">IFERROR(INDEX(sheath_wcap_asd,MATCH(AP2392,sheath_mark,0),0)*AK2392,0)</f>
        <v>0</v>
      </c>
      <c r="AN2392" cm="1">
        <f t="array" ref="AN2392">IFERROR(INDEX(hd_cap,MATCH(AQ2392,hd_mark,0),0),0)</f>
        <v>0</v>
      </c>
      <c r="AP2392" s="19"/>
      <c r="AQ2392" s="19"/>
      <c r="AR2392" s="100"/>
      <c r="AS2392" s="93"/>
      <c r="AT2392" s="111">
        <f>$R$2340</f>
        <v>0</v>
      </c>
      <c r="AU2392" t="str">
        <f>$Q$2328</f>
        <v>L5</v>
      </c>
      <c r="AV2392">
        <f>$E$24</f>
        <v>0</v>
      </c>
      <c r="AW2392" cm="1">
        <f t="array" ref="AW2392">IFERROR(IF(AV2392=0,0,(INDEX($C$33:$C$38,MATCH($AZ$2340,$B$33:$B$38,0),0)*(AV2393+$BA$2340)+$AW$2340*COUNTIF(AV2392:AV2392,"&gt;0")*$C$32+$AY$2340*$C$31)*$AU$2340),0)</f>
        <v>0</v>
      </c>
      <c r="AX2392">
        <f>IF(AV2392=0,0,-(COUNTIF(AV2392:AV2392,"&gt;0")*$AW$2340*$C$32+$AY$2340*$C$31)*$H$27*$AU$2340)</f>
        <v>0</v>
      </c>
      <c r="AY2392">
        <f>IF(AV2392=0,0,$AY$2340*$H$26*$AU$2340)</f>
        <v>0</v>
      </c>
      <c r="AZ2392">
        <f>(0.6*AW2392+0.7*AX2392)*$AU$2340/2</f>
        <v>0</v>
      </c>
      <c r="BA2392">
        <f>AW2392*$AU$2340/2</f>
        <v>0</v>
      </c>
      <c r="BC2392">
        <f>IF(AV2392=0,0,$BG$2340*$AP$2328)</f>
        <v>0</v>
      </c>
      <c r="BD2392">
        <f>IFERROR(BC2392/$AU$2340,0)</f>
        <v>0</v>
      </c>
      <c r="BE2392">
        <f>BC2392*($F$24+IF($F$24=0,0,($C$14+$C$15+IF($C$13="single",1.5,3)+3)/12))</f>
        <v>0</v>
      </c>
      <c r="BF2392">
        <f>BE2392-AZ2392</f>
        <v>0</v>
      </c>
      <c r="BG2392" cm="1">
        <f t="array" ref="BG2392">IFERROR(IF(BF2392&lt;0,0,BF2392/($AU$2340-INDEX(hd_off,MATCH(BT2392,hd_mark,0),0)/12)),0)</f>
        <v>0</v>
      </c>
      <c r="BH2392">
        <f>IF(AV2392=0,0,$BG$2340*$AM$2328)</f>
        <v>0</v>
      </c>
      <c r="BI2392">
        <f>IFERROR(BH2392/$AU$2340,0)</f>
        <v>0</v>
      </c>
      <c r="BJ2392">
        <f>BH2392*($F$24+IF($F$24=0,0,($C$14+$C$15+IF($C$13="single",1.5,3)+3)/12))</f>
        <v>0</v>
      </c>
      <c r="BK2392">
        <f>BJ2392-BA2392</f>
        <v>0</v>
      </c>
      <c r="BL2392" cm="1">
        <f t="array" ref="BL2392">IFERROR(IF(BK2392&lt;0,0,BK2392/($AU$2340-INDEX(hd_off,MATCH(BT2392,hd_mark,0),0)/12)),0)</f>
        <v>0</v>
      </c>
      <c r="BM2392">
        <f>MAX($F$24,$BE$2340)/$Q$2356</f>
        <v>0</v>
      </c>
      <c r="BN2392">
        <f t="shared" si="1481"/>
        <v>0</v>
      </c>
      <c r="BO2392" cm="1">
        <f t="array" ref="BO2392">IFERROR(INDEX(sheath_ecap_asd,MATCH(BS2392,sheath_mark,0),0)*BN2392,0)</f>
        <v>0</v>
      </c>
      <c r="BP2392" cm="1">
        <f t="array" ref="BP2392">IFERROR(INDEX(sheath_wcap_asd,MATCH(BS2392,sheath_mark,0),0)*BN2392,0)</f>
        <v>0</v>
      </c>
      <c r="BQ2392" cm="1">
        <f t="array" ref="BQ2392">IFERROR(INDEX(hd_cap,MATCH(BT2392,hd_mark,0),0),0)</f>
        <v>0</v>
      </c>
      <c r="BS2392" s="19"/>
      <c r="BT2392" s="19"/>
      <c r="BU2392" s="100"/>
    </row>
    <row r="2393" x14ac:dyDescent="0.25">
      <c r="P2393" s="93"/>
      <c r="Q2393" s="109"/>
      <c r="R2393" t="str">
        <f>$Q$2329</f>
        <v>Roof</v>
      </c>
      <c r="S2393">
        <f>$E$25</f>
        <v>33.171875</v>
      </c>
      <c r="T2393" cm="1">
        <f t="array" ref="T2393">IFERROR(IF(S2393=0,0,(INDEX($C$33:$C$38,MATCH($W$2340,$B$33:$B$38,0),0)*(S2393+$X$2340)+$V$2340*$C$31)*$R$2340),0)</f>
        <v>0</v>
      </c>
      <c r="U2393">
        <f>IF(S2393=0,0,-$V$2340*$C$31*$H$27*$R$2340)</f>
        <v>0</v>
      </c>
      <c r="V2393">
        <f>IF(S2393=0,0,$V$2340*$H$26*$R$2340)</f>
        <v>0</v>
      </c>
      <c r="W2393">
        <f>(0.6*T2393+0.7*U2393)*$R$2340/2</f>
        <v>0</v>
      </c>
      <c r="X2393">
        <f>T2393*$R$2340/2</f>
        <v>0</v>
      </c>
      <c r="Z2393">
        <f>IF(S2393=0,0,$AD$2340*$AP$2329)</f>
        <v>0</v>
      </c>
      <c r="AA2393">
        <f>IFERROR(Z2393/$R$2340,0)</f>
        <v>0</v>
      </c>
      <c r="AB2393">
        <f>Z2393*($F$25+($C$16+$C$17+IF($C$13="single",1.5,3)+3)/12)</f>
        <v>0</v>
      </c>
      <c r="AC2393">
        <f>AB2393-W2393</f>
        <v>0</v>
      </c>
      <c r="AD2393" cm="1">
        <f t="array" ref="AD2393">IFERROR(IF(AC2393&lt;0,0,AC2393/($R$2340-INDEX(hd_off,MATCH(AQ2393,hd_mark,0),0)/12)),0)</f>
        <v>0</v>
      </c>
      <c r="AE2393">
        <f>IF(S2393=0,0,$AD$2340*$AM$2329)</f>
        <v>0</v>
      </c>
      <c r="AF2393">
        <f>IFERROR(AE2393/$R$2340,0)</f>
        <v>0</v>
      </c>
      <c r="AG2393">
        <f>AE2393*($F$25+($C$16+$C$17+IF($C$13="single",1.5,3)+3)/12)</f>
        <v>0</v>
      </c>
      <c r="AH2393">
        <f>AG2393-X2393</f>
        <v>0</v>
      </c>
      <c r="AI2393" cm="1">
        <f t="array" ref="AI2393">IFERROR(IF(AH2393&lt;0,0,AH2393/($R$2340-INDEX(hd_off,MATCH(AQ2393,hd_mark,0),0)/12)),0)</f>
        <v>0</v>
      </c>
      <c r="AJ2393">
        <f>MAX($F$25,$AC$2340)/$Q$2356</f>
        <v>0.29920977011494249</v>
      </c>
      <c r="AK2393">
        <f t="shared" si="1480"/>
        <v>1</v>
      </c>
      <c r="AL2393" cm="1">
        <f t="array" ref="AL2393">IFERROR(INDEX(sheath_ecap_asd,MATCH(AP2393,sheath_mark,0),0)*AK2393,0)</f>
        <v>0</v>
      </c>
      <c r="AM2393" cm="1">
        <f t="array" ref="AM2393">IFERROR(INDEX(sheath_wcap_asd,MATCH(AP2393,sheath_mark,0),0)*AK2393,0)</f>
        <v>0</v>
      </c>
      <c r="AN2393" cm="1">
        <f t="array" ref="AN2393">IFERROR(INDEX(hd_cap,MATCH(AQ2393,hd_mark,0),0),0)</f>
        <v>0</v>
      </c>
      <c r="AP2393" s="19"/>
      <c r="AQ2393" s="19"/>
      <c r="AR2393" s="100"/>
      <c r="AS2393" s="93"/>
      <c r="AT2393" s="109"/>
      <c r="AU2393" t="str">
        <f>$Q$2329</f>
        <v>Roof</v>
      </c>
      <c r="AV2393">
        <f>$E$25</f>
        <v>33.171875</v>
      </c>
      <c r="AW2393" cm="1">
        <f t="array" ref="AW2393">IFERROR(IF(AV2393=0,0,(INDEX($C$33:$C$38,MATCH($AZ$2340,$B$33:$B$38,0),0)*(AV2393+$BA$2340)+$AY$2340*$C$31)*$AU$2340),0)</f>
        <v>0</v>
      </c>
      <c r="AX2393">
        <f>IF(AV2393=0,0,-$AY$2340*$C$31*$H$27*$AU$2340)</f>
        <v>0</v>
      </c>
      <c r="AY2393">
        <f>IF(AV2393=0,0,$AY$2340*$H$26*$AU$2340)</f>
        <v>0</v>
      </c>
      <c r="AZ2393">
        <f>(0.6*AW2393+0.7*AX2393)*$AU$2340/2</f>
        <v>0</v>
      </c>
      <c r="BA2393">
        <f>AW2393*$AU$2340/2</f>
        <v>0</v>
      </c>
      <c r="BC2393">
        <f>IF(AV2393=0,0,$BG$2340*$AP$2329)</f>
        <v>0</v>
      </c>
      <c r="BD2393">
        <f>IFERROR(BC2393/$AU$2340,0)</f>
        <v>0</v>
      </c>
      <c r="BE2393">
        <f>BC2393*($F$25+($C$16+$C$17+IF($C$13="single",1.5,3)+3)/12)</f>
        <v>0</v>
      </c>
      <c r="BF2393">
        <f>BE2393-AZ2393</f>
        <v>0</v>
      </c>
      <c r="BG2393" cm="1">
        <f t="array" ref="BG2393">IFERROR(IF(BF2393&lt;0,0,BF2393/($AU$2340-INDEX(hd_off,MATCH(BT2393,hd_mark,0),0)/12)),0)</f>
        <v>0</v>
      </c>
      <c r="BH2393">
        <f>IF(AV2393=0,0,$BG$2340*$AM$2329)</f>
        <v>0</v>
      </c>
      <c r="BI2393">
        <f>IFERROR(BH2393/$AU$2340,0)</f>
        <v>0</v>
      </c>
      <c r="BJ2393">
        <f>BH2393*($F$25+($C$16+$C$17+IF($C$13="single",1.5,3)+3)/12)</f>
        <v>0</v>
      </c>
      <c r="BK2393">
        <f>BJ2393-BA2393</f>
        <v>0</v>
      </c>
      <c r="BL2393" cm="1">
        <f t="array" ref="BL2393">IFERROR(IF(BK2393&lt;0,0,BK2393/($AU$2340-INDEX(hd_off,MATCH(BT2393,hd_mark,0),0)/12)),0)</f>
        <v>0</v>
      </c>
      <c r="BM2393">
        <f>MAX($F$25,$BF$2340)/$Q$2356</f>
        <v>0.29920977011494249</v>
      </c>
      <c r="BN2393">
        <f t="shared" si="1481"/>
        <v>1</v>
      </c>
      <c r="BO2393" cm="1">
        <f t="array" ref="BO2393">IFERROR(INDEX(sheath_ecap_asd,MATCH(BS2393,sheath_mark,0),0)*BN2393,0)</f>
        <v>0</v>
      </c>
      <c r="BP2393" cm="1">
        <f t="array" ref="BP2393">IFERROR(INDEX(sheath_wcap_asd,MATCH(BS2393,sheath_mark,0),0)*BN2393,0)</f>
        <v>0</v>
      </c>
      <c r="BQ2393" cm="1">
        <f t="array" ref="BQ2393">IFERROR(INDEX(hd_cap,MATCH(BT2393,hd_mark,0),0),0)</f>
        <v>0</v>
      </c>
      <c r="BS2393" s="19"/>
      <c r="BT2393" s="19"/>
      <c r="BU2393" s="100"/>
    </row>
    <row r="2394" x14ac:dyDescent="0.25">
      <c r="P2394" s="93"/>
      <c r="AR2394" s="100"/>
      <c r="AS2394" s="93"/>
      <c r="BU2394" s="100"/>
    </row>
    <row r="2395" x14ac:dyDescent="0.25">
      <c r="P2395" s="93"/>
      <c r="Q2395" s="110" t="str">
        <f>$Q$2341</f>
        <v>A.08</v>
      </c>
      <c r="R2395" t="str">
        <f>$Q$2325</f>
        <v>L2</v>
      </c>
      <c r="S2395">
        <f>$E$21</f>
        <v>10.6875</v>
      </c>
      <c r="T2395" cm="1">
        <f t="array" ref="T2395">IFERROR(IF(S2395=0,0,(INDEX($C$33:$C$38,MATCH($W$2341,$B$33:$B$38,0),0)*(S2399+$X$2341)+$T$2341*COUNTIF(S2395:S2398,"&gt;0")*$C$32+$V$2341*$C$31)*$R$2341),0)</f>
        <v>0</v>
      </c>
      <c r="U2395">
        <f>IF(S2395=0,0,-(COUNTIF(S2395:S2398,"&gt;0")*$T$2341*$C$32+$V$2341*$C$31)*$H$27*$R$2341)</f>
        <v>0</v>
      </c>
      <c r="V2395">
        <f>IF(S2395=0,0,$V$2341*$H$26*$R$2341)</f>
        <v>0</v>
      </c>
      <c r="W2395">
        <f>(0.6*T2395+0.7*U2395)*$R$2341/2</f>
        <v>0</v>
      </c>
      <c r="X2395">
        <f>(0.6*T2395+0.6*V2395)*$R$2341/2</f>
        <v>0</v>
      </c>
      <c r="Z2395">
        <f>IF(S2395=0,0,$AD$2341*$AP$2325)</f>
        <v>0</v>
      </c>
      <c r="AA2395">
        <f>IFERROR(Z2395/$R$2341,0)</f>
        <v>0</v>
      </c>
      <c r="AB2395">
        <f>Z2395*($F$21+IF($F$21=0,0,($C$14+$C$15+IF($C$13="single",1.5,3)+3)/12))</f>
        <v>0</v>
      </c>
      <c r="AC2395">
        <f>AB2395-W2395</f>
        <v>0</v>
      </c>
      <c r="AD2395" cm="1">
        <f t="array" ref="AD2395">IFERROR(IF(AC2395&lt;0,0,AC2395/($R$2341-INDEX(hd_off,MATCH(AQ2395,hd_mark,0),0)/12)),0)</f>
        <v>0</v>
      </c>
      <c r="AE2395">
        <f>IF(S2395=0,0,$AD$2341*$AM$2325)</f>
        <v>0</v>
      </c>
      <c r="AF2395">
        <f>IFERROR(AE2395/$R$2341,0)</f>
        <v>0</v>
      </c>
      <c r="AG2395">
        <f>AE2395*($F$21+IF($F$21=0,0,($C$14+$C$15+IF($C$13="single",1.5,3)+3)/12))</f>
        <v>0</v>
      </c>
      <c r="AH2395">
        <f>AG2395-X2395</f>
        <v>0</v>
      </c>
      <c r="AI2395" cm="1">
        <f t="array" ref="AI2395">IFERROR(IF(AH2395&lt;0,0,AH2395/($R$2341-INDEX(hd_off,MATCH(AQ2395,hd_mark,0),0)/12)),0)</f>
        <v>0</v>
      </c>
      <c r="AJ2395">
        <f>MAX($F$21,$Y$2341)/$Q$2356</f>
        <v>0.30172413793103448</v>
      </c>
      <c r="AK2395">
        <f>IF(AJ2395=0,0,IF(AJ2395&gt;2,1.25-0.125*AJ2395,1))</f>
        <v>1</v>
      </c>
      <c r="AL2395" cm="1">
        <f t="array" ref="AL2395">IFERROR(INDEX(sheath_ecap_asd,MATCH(AP2395,sheath_mark,0),0)*AK2395,0)</f>
        <v>0</v>
      </c>
      <c r="AM2395" cm="1">
        <f t="array" ref="AM2395">IFERROR(INDEX(sheath_wcap_asd,MATCH(AP2395,sheath_mark,0),0)*AK2395,0)</f>
        <v>0</v>
      </c>
      <c r="AN2395" cm="1">
        <f t="array" ref="AN2395">IFERROR(INDEX(hd_cap,MATCH(AQ2395,hd_mark,0),0),0)</f>
        <v>0</v>
      </c>
      <c r="AP2395" s="19"/>
      <c r="AQ2395" s="19"/>
      <c r="AR2395" s="100"/>
      <c r="AS2395" s="93"/>
      <c r="AT2395" s="110" t="str">
        <f>$AT$2341</f>
        <v>1.08</v>
      </c>
      <c r="AU2395" t="str">
        <f>$Q$2325</f>
        <v>L2</v>
      </c>
      <c r="AV2395">
        <f>$E$21</f>
        <v>10.6875</v>
      </c>
      <c r="AW2395" cm="1">
        <f t="array" ref="AW2395">IFERROR(IF(AV2395=0,0,(INDEX($C$33:$C$38,MATCH($AZ$2341,$B$33:$B$38,0),0)*(AV2399+$BA$2341)+$AW$2341*COUNTIF(AV2395:AV2398,"&gt;0")*$C$32+$AY$2341*$C$31)*$AU$2341),0)</f>
        <v>0</v>
      </c>
      <c r="AX2395">
        <f>IF(AV2395=0,0,-(COUNTIF(AV2395:AV2398,"&gt;0")*$AW$2341*$C$32+$AY$2341*$C$31)*$H$27*$AU$2341)</f>
        <v>0</v>
      </c>
      <c r="AY2395">
        <f>IF(AV2395=0,0,$AY$2341*$H$26*$AU$2341)</f>
        <v>0</v>
      </c>
      <c r="AZ2395">
        <f>(0.6*AW2395+0.7*AX2395)*$AU$2341/2</f>
        <v>0</v>
      </c>
      <c r="BA2395">
        <f>(0.6*AW2395+0.6*AY2395)*$AU$2341/2</f>
        <v>0</v>
      </c>
      <c r="BC2395">
        <f>IF(AV2395=0,0,$BG$2341*$AP$2325)</f>
        <v>0</v>
      </c>
      <c r="BD2395">
        <f>IFERROR(BC2395/$AU$2341,0)</f>
        <v>0</v>
      </c>
      <c r="BE2395">
        <f>BC2395*($F$21+IF($F$21=0,0,($C$14+$C$15+IF($C$13="single",1.5,3)+3)/12))</f>
        <v>0</v>
      </c>
      <c r="BF2395">
        <f>BE2395-AZ2395</f>
        <v>0</v>
      </c>
      <c r="BG2395" cm="1">
        <f t="array" ref="BG2395">IFERROR(IF(BF2395&lt;0,0,BF2395/($AU$2341-INDEX(hd_off,MATCH(BT2395,hd_mark,0),0)/12)),0)</f>
        <v>0</v>
      </c>
      <c r="BH2395">
        <f>IF(AV2395=0,0,$BG$2341*$AM$2325)</f>
        <v>0</v>
      </c>
      <c r="BI2395">
        <f>IFERROR(BH2395/$AU$2341,0)</f>
        <v>0</v>
      </c>
      <c r="BJ2395">
        <f>BH2395*($F$21+IF($F$21=0,0,($C$14+$C$15+IF($C$13="single",1.5,3)+3)/12))</f>
        <v>0</v>
      </c>
      <c r="BK2395">
        <f>BJ2395-BA2395</f>
        <v>0</v>
      </c>
      <c r="BL2395" cm="1">
        <f t="array" ref="BL2395">IFERROR(IF(BK2395&lt;0,0,BK2395/($AU$2341-INDEX(hd_off,MATCH(BT2395,hd_mark,0),0)/12)),0)</f>
        <v>0</v>
      </c>
      <c r="BM2395">
        <f>MAX($F$21,$BB$2341)/$Q$2356</f>
        <v>0.30172413793103448</v>
      </c>
      <c r="BN2395">
        <f>IF(BM2395=0,0,IF(BM2395&gt;2,1.25-0.125*BM2395,1))</f>
        <v>1</v>
      </c>
      <c r="BO2395" cm="1">
        <f t="array" ref="BO2395">IFERROR(INDEX(sheath_ecap_asd,MATCH(BS2395,sheath_mark,0),0)*BN2395,0)</f>
        <v>0</v>
      </c>
      <c r="BP2395" cm="1">
        <f t="array" ref="BP2395">IFERROR(INDEX(sheath_wcap_asd,MATCH(BS2395,sheath_mark,0),0)*BN2395,0)</f>
        <v>0</v>
      </c>
      <c r="BQ2395" cm="1">
        <f t="array" ref="BQ2395">IFERROR(INDEX(hd_cap,MATCH(BT2395,hd_mark,0),0),0)</f>
        <v>0</v>
      </c>
      <c r="BS2395" s="19"/>
      <c r="BT2395" s="19"/>
      <c r="BU2395" s="100"/>
    </row>
    <row r="2396" x14ac:dyDescent="0.25">
      <c r="P2396" s="93"/>
      <c r="Q2396" s="109"/>
      <c r="R2396" t="str">
        <f>$Q$2326</f>
        <v>L3</v>
      </c>
      <c r="S2396">
        <f>$E$22</f>
        <v>21.375</v>
      </c>
      <c r="T2396" cm="1">
        <f t="array" ref="T2396">IFERROR(IF(S2396=0,0,(INDEX($C$33:$C$38,MATCH($W$2341,$B$33:$B$38,0),0)*(S2399+$X$2341)+$T$2341*COUNTIF(S2396:S2398,"&gt;0")*$C$32+$V$2341*$C$31)*$R$2341),0)</f>
        <v>0</v>
      </c>
      <c r="U2396">
        <f>IF(S2396=0,0,-(COUNTIF(S2396:S2398,"&gt;0")*$T$2341*$C$32+$V$2341*$C$31)*$H$27*$R$2341)</f>
        <v>0</v>
      </c>
      <c r="V2396">
        <f>IF(S2396=0,0,$V$2341*$H$26*$R$2341)</f>
        <v>0</v>
      </c>
      <c r="W2396">
        <f>(0.6*T2396+0.7*U2396)*$R$2341/2</f>
        <v>0</v>
      </c>
      <c r="X2396">
        <f>T2396*$R$2341/2</f>
        <v>0</v>
      </c>
      <c r="Z2396">
        <f>IF(S2396=0,0,$AD$2341*$AP$2326)</f>
        <v>0</v>
      </c>
      <c r="AA2396">
        <f>IFERROR(Z2396/$R$2341,0)</f>
        <v>0</v>
      </c>
      <c r="AB2396">
        <f>Z2396*($F$22+IF($F$22=0,0,($C$14+$C$15+IF($C$13="single",1.5,3)+3)/12))</f>
        <v>0</v>
      </c>
      <c r="AC2396">
        <f>AB2396-W2396</f>
        <v>0</v>
      </c>
      <c r="AD2396" cm="1">
        <f t="array" ref="AD2396">IFERROR(IF(AC2396&lt;0,0,AC2396/($R$2341-INDEX(hd_off,MATCH(AQ2396,hd_mark,0),0)/12)),0)</f>
        <v>0</v>
      </c>
      <c r="AE2396">
        <f>IF(S2396=0,0,$AD$2341*$AM$2326)</f>
        <v>0</v>
      </c>
      <c r="AF2396">
        <f>IFERROR(AE2396/$R$2341,0)</f>
        <v>0</v>
      </c>
      <c r="AG2396">
        <f>AE2396*($F$22+IF($F$22=0,0,($C$14+$C$15+IF($C$13="single",1.5,3)+3)/12))</f>
        <v>0</v>
      </c>
      <c r="AH2396">
        <f>AG2396-X2396</f>
        <v>0</v>
      </c>
      <c r="AI2396" cm="1">
        <f t="array" ref="AI2396">IFERROR(IF(AH2396&lt;0,0,AH2396/($R$2341-INDEX(hd_off,MATCH(AQ2396,hd_mark,0),0)/12)),0)</f>
        <v>0</v>
      </c>
      <c r="AJ2396">
        <f>MAX($F$22,$Z$2341)/$Q$2356</f>
        <v>0.30172413793103448</v>
      </c>
      <c r="AK2396">
        <f t="shared" ref="AK2396:AK2399" si="1482">IF(AJ2396=0,0,IF(AJ2396&gt;2,1.25-0.125*AJ2396,1))</f>
        <v>1</v>
      </c>
      <c r="AL2396" cm="1">
        <f t="array" ref="AL2396">IFERROR(INDEX(sheath_ecap_asd,MATCH(AP2396,sheath_mark,0),0)*AK2396,0)</f>
        <v>0</v>
      </c>
      <c r="AM2396" cm="1">
        <f t="array" ref="AM2396">IFERROR(INDEX(sheath_wcap_asd,MATCH(AP2396,sheath_mark,0),0)*AK2396,0)</f>
        <v>0</v>
      </c>
      <c r="AN2396" cm="1">
        <f t="array" ref="AN2396">IFERROR(INDEX(hd_cap,MATCH(AQ2396,hd_mark,0),0),0)</f>
        <v>0</v>
      </c>
      <c r="AP2396" s="19"/>
      <c r="AQ2396" s="19"/>
      <c r="AR2396" s="100"/>
      <c r="AS2396" s="93"/>
      <c r="AT2396" s="109"/>
      <c r="AU2396" t="str">
        <f>$Q$2326</f>
        <v>L3</v>
      </c>
      <c r="AV2396">
        <f>$E$22</f>
        <v>21.375</v>
      </c>
      <c r="AW2396" cm="1">
        <f t="array" ref="AW2396">IFERROR(IF(AV2396=0,0,(INDEX($C$33:$C$38,MATCH($AZ$2341,$B$33:$B$38,0),0)*(AV2399+$BA$2341)+$AW$2341*COUNTIF(AV2396:AV2398,"&gt;0")*$C$32+$AY$2341*$C$31)*$AU$2341),0)</f>
        <v>0</v>
      </c>
      <c r="AX2396">
        <f>IF(AV2396=0,0,-(COUNTIF(AV2396:AV2398,"&gt;0")*$AW$2341*$C$32+$AY$2341*$C$31)*$H$27*$AU$2341)</f>
        <v>0</v>
      </c>
      <c r="AY2396">
        <f>IF(AV2396=0,0,$AY$2341*$H$26*$AU$2341)</f>
        <v>0</v>
      </c>
      <c r="AZ2396">
        <f>(0.6*AW2396+0.7*AX2396)*$AU$2341/2</f>
        <v>0</v>
      </c>
      <c r="BA2396">
        <f>AW2396*$AU$2341/2</f>
        <v>0</v>
      </c>
      <c r="BC2396">
        <f>IF(AV2396=0,0,$BG$2341*$AP$2326)</f>
        <v>0</v>
      </c>
      <c r="BD2396">
        <f>IFERROR(BC2396/$AU$2341,0)</f>
        <v>0</v>
      </c>
      <c r="BE2396">
        <f>BC2396*($F$22+IF($F$22=0,0,($C$14+$C$15+IF($C$13="single",1.5,3)+3)/12))</f>
        <v>0</v>
      </c>
      <c r="BF2396">
        <f>BE2396-AZ2396</f>
        <v>0</v>
      </c>
      <c r="BG2396" cm="1">
        <f t="array" ref="BG2396">IFERROR(IF(BF2396&lt;0,0,BF2396/($AU$2341-INDEX(hd_off,MATCH(BT2396,hd_mark,0),0)/12)),0)</f>
        <v>0</v>
      </c>
      <c r="BH2396">
        <f>IF(AV2396=0,0,$BG$2341*$AM$2326)</f>
        <v>0</v>
      </c>
      <c r="BI2396">
        <f>IFERROR(BH2396/$AU$2341,0)</f>
        <v>0</v>
      </c>
      <c r="BJ2396">
        <f>BH2396*($F$22+IF($F$22=0,0,($C$14+$C$15+IF($C$13="single",1.5,3)+3)/12))</f>
        <v>0</v>
      </c>
      <c r="BK2396">
        <f>BJ2396-BA2396</f>
        <v>0</v>
      </c>
      <c r="BL2396" cm="1">
        <f t="array" ref="BL2396">IFERROR(IF(BK2396&lt;0,0,BK2396/($AU$2341-INDEX(hd_off,MATCH(BT2396,hd_mark,0),0)/12)),0)</f>
        <v>0</v>
      </c>
      <c r="BM2396">
        <f>MAX($F$22,$BC$2341)/$Q$2356</f>
        <v>0.30172413793103448</v>
      </c>
      <c r="BN2396">
        <f t="shared" ref="BN2396:BN2399" si="1483">IF(BM2396=0,0,IF(BM2396&gt;2,1.25-0.125*BM2396,1))</f>
        <v>1</v>
      </c>
      <c r="BO2396" cm="1">
        <f t="array" ref="BO2396">IFERROR(INDEX(sheath_ecap_asd,MATCH(BS2396,sheath_mark,0),0)*BN2396,0)</f>
        <v>0</v>
      </c>
      <c r="BP2396" cm="1">
        <f t="array" ref="BP2396">IFERROR(INDEX(sheath_wcap_asd,MATCH(BS2396,sheath_mark,0),0)*BN2396,0)</f>
        <v>0</v>
      </c>
      <c r="BQ2396" cm="1">
        <f t="array" ref="BQ2396">IFERROR(INDEX(hd_cap,MATCH(BT2396,hd_mark,0),0),0)</f>
        <v>0</v>
      </c>
      <c r="BS2396" s="19"/>
      <c r="BT2396" s="19"/>
      <c r="BU2396" s="100"/>
    </row>
    <row r="2397" x14ac:dyDescent="0.25">
      <c r="P2397" s="93"/>
      <c r="Q2397" s="109" t="s">
        <v>491</v>
      </c>
      <c r="R2397" t="str">
        <f>$Q$2327</f>
        <v>L4</v>
      </c>
      <c r="S2397">
        <f>$E$23</f>
        <v>0</v>
      </c>
      <c r="T2397" cm="1">
        <f t="array" ref="T2397">IFERROR(IF(S2397=0,0,(INDEX($C$33:$C$38,MATCH($W$2341,$B$33:$B$38,0),0)*(S2399+$X$2341)+$T$2341*COUNTIF(S2397:S2398,"&gt;0")*$C$32+$V$2341*$C$31)*$R$2341),0)</f>
        <v>0</v>
      </c>
      <c r="U2397">
        <f>IF(S2397=0,0,-(COUNTIF(S2397:S2398,"&gt;0")*$T$2341*$C$32+$V$2341*$C$31)*$H$27*$R$2341)</f>
        <v>0</v>
      </c>
      <c r="V2397">
        <f>IF(S2397=0,0,$V$2341*$H$26*$R$2341)</f>
        <v>0</v>
      </c>
      <c r="W2397">
        <f>(0.6*T2397+0.7*U2397)*$R$2341/2</f>
        <v>0</v>
      </c>
      <c r="X2397">
        <f>T2397*$R$2341/2</f>
        <v>0</v>
      </c>
      <c r="Z2397">
        <f>IF(S2397=0,0,$AD$2341*$AP$2327)</f>
        <v>0</v>
      </c>
      <c r="AA2397">
        <f>IFERROR(Z2397/$R$2341,0)</f>
        <v>0</v>
      </c>
      <c r="AB2397">
        <f>Z2397*($F$23+IF($F$23=0,0,($C$14+$C$15+IF($C$13="single",1.5,3)+3)/12))</f>
        <v>0</v>
      </c>
      <c r="AC2397">
        <f>AB2397-W2397</f>
        <v>0</v>
      </c>
      <c r="AD2397" cm="1">
        <f t="array" ref="AD2397">IFERROR(IF(AC2397&lt;0,0,AC2397/($R$2341-INDEX(hd_off,MATCH(AQ2397,hd_mark,0),0)/12)),0)</f>
        <v>0</v>
      </c>
      <c r="AE2397">
        <f>IF(S2397=0,0,$AD$2341*$AM$2327)</f>
        <v>0</v>
      </c>
      <c r="AF2397">
        <f>IFERROR(AE2397/$R$2341,0)</f>
        <v>0</v>
      </c>
      <c r="AG2397">
        <f>AE2397*($F$23+IF($F$23=0,0,($C$14+$C$15+IF($C$13="single",1.5,3)+3)/12))</f>
        <v>0</v>
      </c>
      <c r="AH2397">
        <f>AG2397-X2397</f>
        <v>0</v>
      </c>
      <c r="AI2397" cm="1">
        <f t="array" ref="AI2397">IFERROR(IF(AH2397&lt;0,0,AH2397/($R$2341-INDEX(hd_off,MATCH(AQ2397,hd_mark,0),0)/12)),0)</f>
        <v>0</v>
      </c>
      <c r="AJ2397">
        <f>MAX($F$23,$AA$2341)/$Q$2356</f>
        <v>0</v>
      </c>
      <c r="AK2397">
        <f t="shared" si="1482"/>
        <v>0</v>
      </c>
      <c r="AL2397" cm="1">
        <f t="array" ref="AL2397">IFERROR(INDEX(sheath_ecap_asd,MATCH(AP2397,sheath_mark,0),0)*AK2397,0)</f>
        <v>0</v>
      </c>
      <c r="AM2397" cm="1">
        <f t="array" ref="AM2397">IFERROR(INDEX(sheath_wcap_asd,MATCH(AP2397,sheath_mark,0),0)*AK2397,0)</f>
        <v>0</v>
      </c>
      <c r="AN2397" cm="1">
        <f t="array" ref="AN2397">IFERROR(INDEX(hd_cap,MATCH(AQ2397,hd_mark,0),0),0)</f>
        <v>0</v>
      </c>
      <c r="AP2397" s="19"/>
      <c r="AQ2397" s="19"/>
      <c r="AR2397" s="100"/>
      <c r="AS2397" s="93"/>
      <c r="AT2397" s="109" t="s">
        <v>491</v>
      </c>
      <c r="AU2397" t="str">
        <f>$Q$2327</f>
        <v>L4</v>
      </c>
      <c r="AV2397">
        <f>$E$23</f>
        <v>0</v>
      </c>
      <c r="AW2397" cm="1">
        <f t="array" ref="AW2397">IFERROR(IF(AV2397=0,0,(INDEX($C$33:$C$38,MATCH($AZ$2341,$B$33:$B$38,0),0)*(AV2399+$BA$2341)+$AW$2341*COUNTIF(AV2397:AV2398,"&gt;0")*$C$32+$AY$2341*$C$31)*$AU$2341),0)</f>
        <v>0</v>
      </c>
      <c r="AX2397">
        <f>IF(AV2397=0,0,-(COUNTIF(AV2397:AV2398,"&gt;0")*$AW$2341*$C$32+$AY$2341*$C$31)*$H$27*$AU$2341)</f>
        <v>0</v>
      </c>
      <c r="AY2397">
        <f>IF(AV2397=0,0,$AY$2341*$H$26*$AU$2341)</f>
        <v>0</v>
      </c>
      <c r="AZ2397">
        <f>(0.6*AW2397+0.7*AX2397)*$AU$2341/2</f>
        <v>0</v>
      </c>
      <c r="BA2397">
        <f>AW2397*$AU$2341/2</f>
        <v>0</v>
      </c>
      <c r="BC2397">
        <f>IF(AV2397=0,0,$BG$2341*$AP$2327)</f>
        <v>0</v>
      </c>
      <c r="BD2397">
        <f>IFERROR(BC2397/$AU$2341,0)</f>
        <v>0</v>
      </c>
      <c r="BE2397">
        <f>BC2397*($F$23+IF($F$23=0,0,($C$14+$C$15+IF($C$13="single",1.5,3)+3)/12))</f>
        <v>0</v>
      </c>
      <c r="BF2397">
        <f>BE2397-AZ2397</f>
        <v>0</v>
      </c>
      <c r="BG2397" cm="1">
        <f t="array" ref="BG2397">IFERROR(IF(BF2397&lt;0,0,BF2397/($AU$2341-INDEX(hd_off,MATCH(BT2397,hd_mark,0),0)/12)),0)</f>
        <v>0</v>
      </c>
      <c r="BH2397">
        <f>IF(AV2397=0,0,$BG$2341*$AM$2327)</f>
        <v>0</v>
      </c>
      <c r="BI2397">
        <f>IFERROR(BH2397/$AU$2341,0)</f>
        <v>0</v>
      </c>
      <c r="BJ2397">
        <f>BH2397*($F$23+IF($F$23=0,0,($C$14+$C$15+IF($C$13="single",1.5,3)+3)/12))</f>
        <v>0</v>
      </c>
      <c r="BK2397">
        <f>BJ2397-BA2397</f>
        <v>0</v>
      </c>
      <c r="BL2397" cm="1">
        <f t="array" ref="BL2397">IFERROR(IF(BK2397&lt;0,0,BK2397/($AU$2341-INDEX(hd_off,MATCH(BT2397,hd_mark,0),0)/12)),0)</f>
        <v>0</v>
      </c>
      <c r="BM2397">
        <f>MAX($F$23,$BD$2341)/$Q$2356</f>
        <v>0</v>
      </c>
      <c r="BN2397">
        <f t="shared" si="1483"/>
        <v>0</v>
      </c>
      <c r="BO2397" cm="1">
        <f t="array" ref="BO2397">IFERROR(INDEX(sheath_ecap_asd,MATCH(BS2397,sheath_mark,0),0)*BN2397,0)</f>
        <v>0</v>
      </c>
      <c r="BP2397" cm="1">
        <f t="array" ref="BP2397">IFERROR(INDEX(sheath_wcap_asd,MATCH(BS2397,sheath_mark,0),0)*BN2397,0)</f>
        <v>0</v>
      </c>
      <c r="BQ2397" cm="1">
        <f t="array" ref="BQ2397">IFERROR(INDEX(hd_cap,MATCH(BT2397,hd_mark,0),0),0)</f>
        <v>0</v>
      </c>
      <c r="BS2397" s="19"/>
      <c r="BT2397" s="19"/>
      <c r="BU2397" s="100"/>
    </row>
    <row r="2398" x14ac:dyDescent="0.25">
      <c r="P2398" s="93"/>
      <c r="Q2398" s="111">
        <f>$R$2341</f>
        <v>0</v>
      </c>
      <c r="R2398" t="str">
        <f>$Q$2328</f>
        <v>L5</v>
      </c>
      <c r="S2398">
        <f>$E$24</f>
        <v>0</v>
      </c>
      <c r="T2398" cm="1">
        <f t="array" ref="T2398">IFERROR(IF(S2398=0,0,(INDEX($C$33:$C$38,MATCH($W$2341,$B$33:$B$38,0),0)*(S2399+$X$2341)+$T$2341*COUNTIF(S2398:S2398,"&gt;0")*$C$32+$V$2341*$C$31)*$R$2341),0)</f>
        <v>0</v>
      </c>
      <c r="U2398">
        <f>IF(S2398=0,0,-(COUNTIF(S2398:S2398,"&gt;0")*$T$2341*$C$32+$V$2341*$C$31)*$H$27*$R$2341)</f>
        <v>0</v>
      </c>
      <c r="V2398">
        <f>IF(S2398=0,0,$V$2341*$H$26*$R$2341)</f>
        <v>0</v>
      </c>
      <c r="W2398">
        <f>(0.6*T2398+0.7*U2398)*$R$2341/2</f>
        <v>0</v>
      </c>
      <c r="X2398">
        <f>T2398*$R$2341/2</f>
        <v>0</v>
      </c>
      <c r="Z2398">
        <f>IF(S2398=0,0,$AD$2341*$AP$2328)</f>
        <v>0</v>
      </c>
      <c r="AA2398">
        <f>IFERROR(Z2398/$R$2341,0)</f>
        <v>0</v>
      </c>
      <c r="AB2398">
        <f>Z2398*($F$24+IF($F$24=0,0,($C$14+$C$15+IF($C$13="single",1.5,3)+3)/12))</f>
        <v>0</v>
      </c>
      <c r="AC2398">
        <f>AB2398-W2398</f>
        <v>0</v>
      </c>
      <c r="AD2398" cm="1">
        <f t="array" ref="AD2398">IFERROR(IF(AC2398&lt;0,0,AC2398/($R$2341-INDEX(hd_off,MATCH(AQ2398,hd_mark,0),0)/12)),0)</f>
        <v>0</v>
      </c>
      <c r="AE2398">
        <f>IF(S2398=0,0,$AD$2341*$AM$2328)</f>
        <v>0</v>
      </c>
      <c r="AF2398">
        <f>IFERROR(AE2398/$R$2341,0)</f>
        <v>0</v>
      </c>
      <c r="AG2398">
        <f>AE2398*($F$24+IF($F$24=0,0,($C$14+$C$15+IF($C$13="single",1.5,3)+3)/12))</f>
        <v>0</v>
      </c>
      <c r="AH2398">
        <f>AG2398-X2398</f>
        <v>0</v>
      </c>
      <c r="AI2398" cm="1">
        <f t="array" ref="AI2398">IFERROR(IF(AH2398&lt;0,0,AH2398/($R$2341-INDEX(hd_off,MATCH(AQ2398,hd_mark,0),0)/12)),0)</f>
        <v>0</v>
      </c>
      <c r="AJ2398">
        <f>MAX($F$24,$AB$2341)/$Q$2356</f>
        <v>0</v>
      </c>
      <c r="AK2398">
        <f t="shared" si="1482"/>
        <v>0</v>
      </c>
      <c r="AL2398" cm="1">
        <f t="array" ref="AL2398">IFERROR(INDEX(sheath_ecap_asd,MATCH(AP2398,sheath_mark,0),0)*AK2398,0)</f>
        <v>0</v>
      </c>
      <c r="AM2398" cm="1">
        <f t="array" ref="AM2398">IFERROR(INDEX(sheath_wcap_asd,MATCH(AP2398,sheath_mark,0),0)*AK2398,0)</f>
        <v>0</v>
      </c>
      <c r="AN2398" cm="1">
        <f t="array" ref="AN2398">IFERROR(INDEX(hd_cap,MATCH(AQ2398,hd_mark,0),0),0)</f>
        <v>0</v>
      </c>
      <c r="AP2398" s="19"/>
      <c r="AQ2398" s="19"/>
      <c r="AR2398" s="100"/>
      <c r="AS2398" s="93"/>
      <c r="AT2398" s="111">
        <f>$R$2341</f>
        <v>0</v>
      </c>
      <c r="AU2398" t="str">
        <f>$Q$2328</f>
        <v>L5</v>
      </c>
      <c r="AV2398">
        <f>$E$24</f>
        <v>0</v>
      </c>
      <c r="AW2398" cm="1">
        <f t="array" ref="AW2398">IFERROR(IF(AV2398=0,0,(INDEX($C$33:$C$38,MATCH($AZ$2341,$B$33:$B$38,0),0)*(AV2399+$BA$2341)+$AW$2341*COUNTIF(AV2398:AV2398,"&gt;0")*$C$32+$AY$2341*$C$31)*$AU$2341),0)</f>
        <v>0</v>
      </c>
      <c r="AX2398">
        <f>IF(AV2398=0,0,-(COUNTIF(AV2398:AV2398,"&gt;0")*$AW$2341*$C$32+$AY$2341*$C$31)*$H$27*$AU$2341)</f>
        <v>0</v>
      </c>
      <c r="AY2398">
        <f>IF(AV2398=0,0,$AY$2341*$H$26*$AU$2341)</f>
        <v>0</v>
      </c>
      <c r="AZ2398">
        <f>(0.6*AW2398+0.7*AX2398)*$AU$2341/2</f>
        <v>0</v>
      </c>
      <c r="BA2398">
        <f>AW2398*$AU$2341/2</f>
        <v>0</v>
      </c>
      <c r="BC2398">
        <f>IF(AV2398=0,0,$BG$2341*$AP$2328)</f>
        <v>0</v>
      </c>
      <c r="BD2398">
        <f>IFERROR(BC2398/$AU$2341,0)</f>
        <v>0</v>
      </c>
      <c r="BE2398">
        <f>BC2398*($F$24+IF($F$24=0,0,($C$14+$C$15+IF($C$13="single",1.5,3)+3)/12))</f>
        <v>0</v>
      </c>
      <c r="BF2398">
        <f>BE2398-AZ2398</f>
        <v>0</v>
      </c>
      <c r="BG2398" cm="1">
        <f t="array" ref="BG2398">IFERROR(IF(BF2398&lt;0,0,BF2398/($AU$2341-INDEX(hd_off,MATCH(BT2398,hd_mark,0),0)/12)),0)</f>
        <v>0</v>
      </c>
      <c r="BH2398">
        <f>IF(AV2398=0,0,$BG$2341*$AM$2328)</f>
        <v>0</v>
      </c>
      <c r="BI2398">
        <f>IFERROR(BH2398/$AU$2341,0)</f>
        <v>0</v>
      </c>
      <c r="BJ2398">
        <f>BH2398*($F$24+IF($F$24=0,0,($C$14+$C$15+IF($C$13="single",1.5,3)+3)/12))</f>
        <v>0</v>
      </c>
      <c r="BK2398">
        <f>BJ2398-BA2398</f>
        <v>0</v>
      </c>
      <c r="BL2398" cm="1">
        <f t="array" ref="BL2398">IFERROR(IF(BK2398&lt;0,0,BK2398/($AU$2341-INDEX(hd_off,MATCH(BT2398,hd_mark,0),0)/12)),0)</f>
        <v>0</v>
      </c>
      <c r="BM2398">
        <f>MAX($F$24,$BE$2341)/$Q$2356</f>
        <v>0</v>
      </c>
      <c r="BN2398">
        <f t="shared" si="1483"/>
        <v>0</v>
      </c>
      <c r="BO2398" cm="1">
        <f t="array" ref="BO2398">IFERROR(INDEX(sheath_ecap_asd,MATCH(BS2398,sheath_mark,0),0)*BN2398,0)</f>
        <v>0</v>
      </c>
      <c r="BP2398" cm="1">
        <f t="array" ref="BP2398">IFERROR(INDEX(sheath_wcap_asd,MATCH(BS2398,sheath_mark,0),0)*BN2398,0)</f>
        <v>0</v>
      </c>
      <c r="BQ2398" cm="1">
        <f t="array" ref="BQ2398">IFERROR(INDEX(hd_cap,MATCH(BT2398,hd_mark,0),0),0)</f>
        <v>0</v>
      </c>
      <c r="BS2398" s="19"/>
      <c r="BT2398" s="19"/>
      <c r="BU2398" s="100"/>
    </row>
    <row r="2399" x14ac:dyDescent="0.25">
      <c r="P2399" s="93"/>
      <c r="Q2399" s="109"/>
      <c r="R2399" t="str">
        <f>$Q$2329</f>
        <v>Roof</v>
      </c>
      <c r="S2399">
        <f>$E$25</f>
        <v>33.171875</v>
      </c>
      <c r="T2399" cm="1">
        <f t="array" ref="T2399">IFERROR(IF(S2399=0,0,(INDEX($C$33:$C$38,MATCH($W$2341,$B$33:$B$38,0),0)*(S2399+$X$2341)+$V$2341*$C$31)*$R$2341),0)</f>
        <v>0</v>
      </c>
      <c r="U2399">
        <f>IF(S2399=0,0,-$V$2341*$C$31*$H$27*$R$2341)</f>
        <v>0</v>
      </c>
      <c r="V2399">
        <f>IF(S2399=0,0,$V$2341*$H$26*$R$2341)</f>
        <v>0</v>
      </c>
      <c r="W2399">
        <f>(0.6*T2399+0.7*U2399)*$R$2341/2</f>
        <v>0</v>
      </c>
      <c r="X2399">
        <f>T2399*$R$2341/2</f>
        <v>0</v>
      </c>
      <c r="Z2399">
        <f>IF(S2399=0,0,$AD$2341*$AP$2329)</f>
        <v>0</v>
      </c>
      <c r="AA2399">
        <f>IFERROR(Z2399/$R$2341,0)</f>
        <v>0</v>
      </c>
      <c r="AB2399">
        <f>Z2399*($F$25+($C$16+$C$17+IF($C$13="single",1.5,3)+3)/12)</f>
        <v>0</v>
      </c>
      <c r="AC2399">
        <f>AB2399-W2399</f>
        <v>0</v>
      </c>
      <c r="AD2399" cm="1">
        <f t="array" ref="AD2399">IFERROR(IF(AC2399&lt;0,0,AC2399/($R$2341-INDEX(hd_off,MATCH(AQ2399,hd_mark,0),0)/12)),0)</f>
        <v>0</v>
      </c>
      <c r="AE2399">
        <f>IF(S2399=0,0,$AD$2341*$AM$2329)</f>
        <v>0</v>
      </c>
      <c r="AF2399">
        <f>IFERROR(AE2399/$R$2341,0)</f>
        <v>0</v>
      </c>
      <c r="AG2399">
        <f>AE2399*($F$25+($C$16+$C$17+IF($C$13="single",1.5,3)+3)/12)</f>
        <v>0</v>
      </c>
      <c r="AH2399">
        <f>AG2399-X2399</f>
        <v>0</v>
      </c>
      <c r="AI2399" cm="1">
        <f t="array" ref="AI2399">IFERROR(IF(AH2399&lt;0,0,AH2399/($R$2341-INDEX(hd_off,MATCH(AQ2399,hd_mark,0),0)/12)),0)</f>
        <v>0</v>
      </c>
      <c r="AJ2399">
        <f>MAX($F$25,$AC$2341)/$Q$2356</f>
        <v>0.29920977011494249</v>
      </c>
      <c r="AK2399">
        <f t="shared" si="1482"/>
        <v>1</v>
      </c>
      <c r="AL2399" cm="1">
        <f t="array" ref="AL2399">IFERROR(INDEX(sheath_ecap_asd,MATCH(AP2399,sheath_mark,0),0)*AK2399,0)</f>
        <v>0</v>
      </c>
      <c r="AM2399" cm="1">
        <f t="array" ref="AM2399">IFERROR(INDEX(sheath_wcap_asd,MATCH(AP2399,sheath_mark,0),0)*AK2399,0)</f>
        <v>0</v>
      </c>
      <c r="AN2399" cm="1">
        <f t="array" ref="AN2399">IFERROR(INDEX(hd_cap,MATCH(AQ2399,hd_mark,0),0),0)</f>
        <v>0</v>
      </c>
      <c r="AP2399" s="19"/>
      <c r="AQ2399" s="19"/>
      <c r="AR2399" s="100"/>
      <c r="AS2399" s="93"/>
      <c r="AT2399" s="109"/>
      <c r="AU2399" t="str">
        <f>$Q$2329</f>
        <v>Roof</v>
      </c>
      <c r="AV2399">
        <f>$E$25</f>
        <v>33.171875</v>
      </c>
      <c r="AW2399" cm="1">
        <f t="array" ref="AW2399">IFERROR(IF(AV2399=0,0,(INDEX($C$33:$C$38,MATCH($AZ$2341,$B$33:$B$38,0),0)*(AV2399+$BA$2341)+$AY$2341*$C$31)*$AU$2341),0)</f>
        <v>0</v>
      </c>
      <c r="AX2399">
        <f>IF(AV2399=0,0,-$AY$2341*$C$31*$H$27*$AU$2341)</f>
        <v>0</v>
      </c>
      <c r="AY2399">
        <f>IF(AV2399=0,0,$AY$2341*$H$26*$AU$2341)</f>
        <v>0</v>
      </c>
      <c r="AZ2399">
        <f>(0.6*AW2399+0.7*AX2399)*$AU$2341/2</f>
        <v>0</v>
      </c>
      <c r="BA2399">
        <f>AW2399*$AU$2341/2</f>
        <v>0</v>
      </c>
      <c r="BC2399">
        <f>IF(AV2399=0,0,$BG$2341*$AP$2329)</f>
        <v>0</v>
      </c>
      <c r="BD2399">
        <f>IFERROR(BC2399/$AU$2341,0)</f>
        <v>0</v>
      </c>
      <c r="BE2399">
        <f>BC2399*($F$25+($C$16+$C$17+IF($C$13="single",1.5,3)+3)/12)</f>
        <v>0</v>
      </c>
      <c r="BF2399">
        <f>BE2399-AZ2399</f>
        <v>0</v>
      </c>
      <c r="BG2399" cm="1">
        <f t="array" ref="BG2399">IFERROR(IF(BF2399&lt;0,0,BF2399/($AU$2341-INDEX(hd_off,MATCH(BT2399,hd_mark,0),0)/12)),0)</f>
        <v>0</v>
      </c>
      <c r="BH2399">
        <f>IF(AV2399=0,0,$BG$2341*$AM$2329)</f>
        <v>0</v>
      </c>
      <c r="BI2399">
        <f>IFERROR(BH2399/$AU$2341,0)</f>
        <v>0</v>
      </c>
      <c r="BJ2399">
        <f>BH2399*($F$25+($C$16+$C$17+IF($C$13="single",1.5,3)+3)/12)</f>
        <v>0</v>
      </c>
      <c r="BK2399">
        <f>BJ2399-BA2399</f>
        <v>0</v>
      </c>
      <c r="BL2399" cm="1">
        <f t="array" ref="BL2399">IFERROR(IF(BK2399&lt;0,0,BK2399/($AU$2341-INDEX(hd_off,MATCH(BT2399,hd_mark,0),0)/12)),0)</f>
        <v>0</v>
      </c>
      <c r="BM2399">
        <f>MAX($F$25,$BF$2341)/$Q$2356</f>
        <v>0.29920977011494249</v>
      </c>
      <c r="BN2399">
        <f t="shared" si="1483"/>
        <v>1</v>
      </c>
      <c r="BO2399" cm="1">
        <f t="array" ref="BO2399">IFERROR(INDEX(sheath_ecap_asd,MATCH(BS2399,sheath_mark,0),0)*BN2399,0)</f>
        <v>0</v>
      </c>
      <c r="BP2399" cm="1">
        <f t="array" ref="BP2399">IFERROR(INDEX(sheath_wcap_asd,MATCH(BS2399,sheath_mark,0),0)*BN2399,0)</f>
        <v>0</v>
      </c>
      <c r="BQ2399" cm="1">
        <f t="array" ref="BQ2399">IFERROR(INDEX(hd_cap,MATCH(BT2399,hd_mark,0),0),0)</f>
        <v>0</v>
      </c>
      <c r="BS2399" s="19"/>
      <c r="BT2399" s="19"/>
      <c r="BU2399" s="100"/>
    </row>
    <row r="2400" x14ac:dyDescent="0.25">
      <c r="P2400" s="93"/>
      <c r="AR2400" s="100"/>
      <c r="AS2400" s="93"/>
      <c r="BU2400" s="100"/>
    </row>
    <row r="2401" x14ac:dyDescent="0.25">
      <c r="P2401" s="93"/>
      <c r="Q2401" s="110" t="str">
        <f>$Q$2342</f>
        <v>A.09</v>
      </c>
      <c r="R2401" t="str">
        <f>$Q$2325</f>
        <v>L2</v>
      </c>
      <c r="S2401">
        <f>$E$21</f>
        <v>10.6875</v>
      </c>
      <c r="T2401" cm="1">
        <f t="array" ref="T2401">IFERROR(IF(S2401=0,0,(INDEX($C$33:$C$38,MATCH($W$2342,$B$33:$B$38,0),0)*(S2405+$X$2342)+$T$2342*COUNTIF(S2401:S2404,"&gt;0")*$C$32+$V$2342*$C$31)*$R$2342),0)</f>
        <v>0</v>
      </c>
      <c r="U2401">
        <f>IF(S2401=0,0,-(COUNTIF(S2401:S2404,"&gt;0")*$T$2342*$C$32+$V$2342*$C$31)*$H$27*$R$2342)</f>
        <v>0</v>
      </c>
      <c r="V2401">
        <f>IF(S2401=0,0,$V$2342*$H$26*$R$2342)</f>
        <v>0</v>
      </c>
      <c r="W2401">
        <f>(0.6*T2401+0.7*U2401)*$R$2342/2</f>
        <v>0</v>
      </c>
      <c r="X2401">
        <f>(0.6*T2401+0.6*V2401)*$R$2342/2</f>
        <v>0</v>
      </c>
      <c r="Z2401">
        <f>IF(S2401=0,0,$AD$2342*$AP$2325)</f>
        <v>0</v>
      </c>
      <c r="AA2401">
        <f>IFERROR(Z2401/$R$2342,0)</f>
        <v>0</v>
      </c>
      <c r="AB2401">
        <f>Z2401*($F$21+IF($F$21=0,0,($C$14+$C$15+IF($C$13="single",1.5,3)+3)/12))</f>
        <v>0</v>
      </c>
      <c r="AC2401">
        <f>AB2401-W2401</f>
        <v>0</v>
      </c>
      <c r="AD2401" cm="1">
        <f t="array" ref="AD2401">IFERROR(IF(AC2401&lt;0,0,AC2401/($R$2342-INDEX(hd_off,MATCH(AQ2401,hd_mark,0),0)/12)),0)</f>
        <v>0</v>
      </c>
      <c r="AE2401">
        <f>IF(S2401=0,0,$AD$2342*$AM$2325)</f>
        <v>0</v>
      </c>
      <c r="AF2401">
        <f>IFERROR(AE2401/$R$2342,0)</f>
        <v>0</v>
      </c>
      <c r="AG2401">
        <f>AE2401*($F$21+IF($F$21=0,0,($C$14+$C$15+IF($C$13="single",1.5,3)+3)/12))</f>
        <v>0</v>
      </c>
      <c r="AH2401">
        <f>AG2401-X2401</f>
        <v>0</v>
      </c>
      <c r="AI2401" cm="1">
        <f t="array" ref="AI2401">IFERROR(IF(AH2401&lt;0,0,AH2401/($R$2342-INDEX(hd_off,MATCH(AQ2401,hd_mark,0),0)/12)),0)</f>
        <v>0</v>
      </c>
      <c r="AJ2401">
        <f>MAX($F$21,$Y$2342)/$Q$2356</f>
        <v>0.30172413793103448</v>
      </c>
      <c r="AK2401">
        <f>IF(AJ2401=0,0,IF(AJ2401&gt;2,1.25-0.125*AJ2401,1))</f>
        <v>1</v>
      </c>
      <c r="AL2401" cm="1">
        <f t="array" ref="AL2401">IFERROR(INDEX(sheath_ecap_asd,MATCH(AP2401,sheath_mark,0),0)*AK2401,0)</f>
        <v>0</v>
      </c>
      <c r="AM2401" cm="1">
        <f t="array" ref="AM2401">IFERROR(INDEX(sheath_wcap_asd,MATCH(AP2401,sheath_mark,0),0)*AK2401,0)</f>
        <v>0</v>
      </c>
      <c r="AN2401" cm="1">
        <f t="array" ref="AN2401">IFERROR(INDEX(hd_cap,MATCH(AQ2401,hd_mark,0),0),0)</f>
        <v>0</v>
      </c>
      <c r="AP2401" s="19"/>
      <c r="AQ2401" s="19"/>
      <c r="AR2401" s="100"/>
      <c r="AS2401" s="93"/>
      <c r="AT2401" s="110" t="str">
        <f>$AT$2342</f>
        <v>1.09</v>
      </c>
      <c r="AU2401" t="str">
        <f>$Q$2325</f>
        <v>L2</v>
      </c>
      <c r="AV2401">
        <f>$E$21</f>
        <v>10.6875</v>
      </c>
      <c r="AW2401" cm="1">
        <f t="array" ref="AW2401">IFERROR(IF(AV2401=0,0,(INDEX($C$33:$C$38,MATCH($AZ$2342,$B$33:$B$38,0),0)*(AV2405+$BA$2342)+$AW$2342*COUNTIF(AV2401:AV2404,"&gt;0")*$C$32+$AY$2342*$C$31)*$AU$2342),0)</f>
        <v>0</v>
      </c>
      <c r="AX2401">
        <f>IF(AV2401=0,0,-(COUNTIF(AV2401:AV2404,"&gt;0")*$AW$2342*$C$32+$AY$2342*$C$31)*$H$27*$AU$2342)</f>
        <v>0</v>
      </c>
      <c r="AY2401">
        <f>IF(AV2401=0,0,$AY$2342*$H$26*$AU$2342)</f>
        <v>0</v>
      </c>
      <c r="AZ2401">
        <f>(0.6*AW2401+0.7*AX2401)*$AU$2342/2</f>
        <v>0</v>
      </c>
      <c r="BA2401">
        <f>(0.6*AW2401+0.6*AY2401)*$AU$2342/2</f>
        <v>0</v>
      </c>
      <c r="BC2401">
        <f>IF(AV2401=0,0,$BG$2342*$AP$2325)</f>
        <v>0</v>
      </c>
      <c r="BD2401">
        <f>IFERROR(BC2401/$AU$2342,0)</f>
        <v>0</v>
      </c>
      <c r="BE2401">
        <f>BC2401*($F$21+IF($F$21=0,0,($C$14+$C$15+IF($C$13="single",1.5,3)+3)/12))</f>
        <v>0</v>
      </c>
      <c r="BF2401">
        <f>BE2401-AZ2401</f>
        <v>0</v>
      </c>
      <c r="BG2401" cm="1">
        <f t="array" ref="BG2401">IFERROR(IF(BF2401&lt;0,0,BF2401/($AU$2342-INDEX(hd_off,MATCH(BT2401,hd_mark,0),0)/12)),0)</f>
        <v>0</v>
      </c>
      <c r="BH2401">
        <f>IF(AV2401=0,0,$BG$2342*$AM$2325)</f>
        <v>0</v>
      </c>
      <c r="BI2401">
        <f>IFERROR(BH2401/$AU$2342,0)</f>
        <v>0</v>
      </c>
      <c r="BJ2401">
        <f>BH2401*($F$21+IF($F$21=0,0,($C$14+$C$15+IF($C$13="single",1.5,3)+3)/12))</f>
        <v>0</v>
      </c>
      <c r="BK2401">
        <f>BJ2401-BA2401</f>
        <v>0</v>
      </c>
      <c r="BL2401" cm="1">
        <f t="array" ref="BL2401">IFERROR(IF(BK2401&lt;0,0,BK2401/($AU$2342-INDEX(hd_off,MATCH(BT2401,hd_mark,0),0)/12)),0)</f>
        <v>0</v>
      </c>
      <c r="BM2401">
        <f>MAX($F$21,$BB$2342)/$Q$2356</f>
        <v>0.30172413793103448</v>
      </c>
      <c r="BN2401">
        <f>IF(BM2401=0,0,IF(BM2401&gt;2,1.25-0.125*BM2401,1))</f>
        <v>1</v>
      </c>
      <c r="BO2401" cm="1">
        <f t="array" ref="BO2401">IFERROR(INDEX(sheath_ecap_asd,MATCH(BS2401,sheath_mark,0),0)*BN2401,0)</f>
        <v>0</v>
      </c>
      <c r="BP2401" cm="1">
        <f t="array" ref="BP2401">IFERROR(INDEX(sheath_wcap_asd,MATCH(BS2401,sheath_mark,0),0)*BN2401,0)</f>
        <v>0</v>
      </c>
      <c r="BQ2401" cm="1">
        <f t="array" ref="BQ2401">IFERROR(INDEX(hd_cap,MATCH(BT2401,hd_mark,0),0),0)</f>
        <v>0</v>
      </c>
      <c r="BS2401" s="19"/>
      <c r="BT2401" s="19"/>
      <c r="BU2401" s="100"/>
    </row>
    <row r="2402" x14ac:dyDescent="0.25">
      <c r="P2402" s="93"/>
      <c r="Q2402" s="109"/>
      <c r="R2402" t="str">
        <f>$Q$2326</f>
        <v>L3</v>
      </c>
      <c r="S2402">
        <f>$E$22</f>
        <v>21.375</v>
      </c>
      <c r="T2402" cm="1">
        <f t="array" ref="T2402">IFERROR(IF(S2402=0,0,(INDEX($C$33:$C$38,MATCH($W$2342,$B$33:$B$38,0),0)*(S2405+$X$2342)+$T$2342*COUNTIF(S2402:S2404,"&gt;0")*$C$32+$V$2342*$C$31)*$R$2342),0)</f>
        <v>0</v>
      </c>
      <c r="U2402">
        <f>IF(S2402=0,0,-(COUNTIF(S2402:S2404,"&gt;0")*$T$2342*$C$32+$V$2342*$C$31)*$H$27*$R$2342)</f>
        <v>0</v>
      </c>
      <c r="V2402">
        <f>IF(S2402=0,0,$V$2342*$H$26*$R$2342)</f>
        <v>0</v>
      </c>
      <c r="W2402">
        <f>(0.6*T2402+0.7*U2402)*$R$2342/2</f>
        <v>0</v>
      </c>
      <c r="X2402">
        <f>T2402*$R$2342/2</f>
        <v>0</v>
      </c>
      <c r="Z2402">
        <f>IF(S2402=0,0,$AD$2342*$AP$2326)</f>
        <v>0</v>
      </c>
      <c r="AA2402">
        <f>IFERROR(Z2402/$R$2342,0)</f>
        <v>0</v>
      </c>
      <c r="AB2402">
        <f>Z2402*($F$22+IF($F$22=0,0,($C$14+$C$15+IF($C$13="single",1.5,3)+3)/12))</f>
        <v>0</v>
      </c>
      <c r="AC2402">
        <f>AB2402-W2402</f>
        <v>0</v>
      </c>
      <c r="AD2402" cm="1">
        <f t="array" ref="AD2402">IFERROR(IF(AC2402&lt;0,0,AC2402/($R$2342-INDEX(hd_off,MATCH(AQ2402,hd_mark,0),0)/12)),0)</f>
        <v>0</v>
      </c>
      <c r="AE2402">
        <f>IF(S2402=0,0,$AD$2342*$AM$2326)</f>
        <v>0</v>
      </c>
      <c r="AF2402">
        <f>IFERROR(AE2402/$R$2342,0)</f>
        <v>0</v>
      </c>
      <c r="AG2402">
        <f>AE2402*($F$22+IF($F$22=0,0,($C$14+$C$15+IF($C$13="single",1.5,3)+3)/12))</f>
        <v>0</v>
      </c>
      <c r="AH2402">
        <f>AG2402-X2402</f>
        <v>0</v>
      </c>
      <c r="AI2402" cm="1">
        <f t="array" ref="AI2402">IFERROR(IF(AH2402&lt;0,0,AH2402/($R$2342-INDEX(hd_off,MATCH(AQ2402,hd_mark,0),0)/12)),0)</f>
        <v>0</v>
      </c>
      <c r="AJ2402">
        <f>MAX($F$22,$Z$2342)/$Q$2356</f>
        <v>0.30172413793103448</v>
      </c>
      <c r="AK2402">
        <f t="shared" ref="AK2402:AK2405" si="1484">IF(AJ2402=0,0,IF(AJ2402&gt;2,1.25-0.125*AJ2402,1))</f>
        <v>1</v>
      </c>
      <c r="AL2402" cm="1">
        <f t="array" ref="AL2402">IFERROR(INDEX(sheath_ecap_asd,MATCH(AP2402,sheath_mark,0),0)*AK2402,0)</f>
        <v>0</v>
      </c>
      <c r="AM2402" cm="1">
        <f t="array" ref="AM2402">IFERROR(INDEX(sheath_wcap_asd,MATCH(AP2402,sheath_mark,0),0)*AK2402,0)</f>
        <v>0</v>
      </c>
      <c r="AN2402" cm="1">
        <f t="array" ref="AN2402">IFERROR(INDEX(hd_cap,MATCH(AQ2402,hd_mark,0),0),0)</f>
        <v>0</v>
      </c>
      <c r="AP2402" s="19"/>
      <c r="AQ2402" s="19"/>
      <c r="AR2402" s="100"/>
      <c r="AS2402" s="93"/>
      <c r="AT2402" s="109"/>
      <c r="AU2402" t="str">
        <f>$Q$2326</f>
        <v>L3</v>
      </c>
      <c r="AV2402">
        <f>$E$22</f>
        <v>21.375</v>
      </c>
      <c r="AW2402" cm="1">
        <f t="array" ref="AW2402">IFERROR(IF(AV2402=0,0,(INDEX($C$33:$C$38,MATCH($AZ$2342,$B$33:$B$38,0),0)*(AV2405+$BA$2342)+$AW$2342*COUNTIF(AV2402:AV2404,"&gt;0")*$C$32+$AY$2342*$C$31)*$AU$2342),0)</f>
        <v>0</v>
      </c>
      <c r="AX2402">
        <f>IF(AV2402=0,0,-(COUNTIF(AV2402:AV2404,"&gt;0")*$AW$2342*$C$32+$AY$2342*$C$31)*$H$27*$AU$2342)</f>
        <v>0</v>
      </c>
      <c r="AY2402">
        <f>IF(AV2402=0,0,$AY$2342*$H$26*$AU$2342)</f>
        <v>0</v>
      </c>
      <c r="AZ2402">
        <f>(0.6*AW2402+0.7*AX2402)*$AU$2342/2</f>
        <v>0</v>
      </c>
      <c r="BA2402">
        <f>AW2402*$AU$2342/2</f>
        <v>0</v>
      </c>
      <c r="BC2402">
        <f>IF(AV2402=0,0,$BG$2342*$AP$2326)</f>
        <v>0</v>
      </c>
      <c r="BD2402">
        <f>IFERROR(BC2402/$AU$2342,0)</f>
        <v>0</v>
      </c>
      <c r="BE2402">
        <f>BC2402*($F$22+IF($F$22=0,0,($C$14+$C$15+IF($C$13="single",1.5,3)+3)/12))</f>
        <v>0</v>
      </c>
      <c r="BF2402">
        <f>BE2402-AZ2402</f>
        <v>0</v>
      </c>
      <c r="BG2402" cm="1">
        <f t="array" ref="BG2402">IFERROR(IF(BF2402&lt;0,0,BF2402/($AU$2342-INDEX(hd_off,MATCH(BT2402,hd_mark,0),0)/12)),0)</f>
        <v>0</v>
      </c>
      <c r="BH2402">
        <f>IF(AV2402=0,0,$BG$2342*$AM$2326)</f>
        <v>0</v>
      </c>
      <c r="BI2402">
        <f>IFERROR(BH2402/$AU$2342,0)</f>
        <v>0</v>
      </c>
      <c r="BJ2402">
        <f>BH2402*($F$22+IF($F$22=0,0,($C$14+$C$15+IF($C$13="single",1.5,3)+3)/12))</f>
        <v>0</v>
      </c>
      <c r="BK2402">
        <f>BJ2402-BA2402</f>
        <v>0</v>
      </c>
      <c r="BL2402" cm="1">
        <f t="array" ref="BL2402">IFERROR(IF(BK2402&lt;0,0,BK2402/($AU$2342-INDEX(hd_off,MATCH(BT2402,hd_mark,0),0)/12)),0)</f>
        <v>0</v>
      </c>
      <c r="BM2402">
        <f>MAX($F$22,$BC$2342)/$Q$2356</f>
        <v>0.30172413793103448</v>
      </c>
      <c r="BN2402">
        <f t="shared" ref="BN2402:BN2405" si="1485">IF(BM2402=0,0,IF(BM2402&gt;2,1.25-0.125*BM2402,1))</f>
        <v>1</v>
      </c>
      <c r="BO2402" cm="1">
        <f t="array" ref="BO2402">IFERROR(INDEX(sheath_ecap_asd,MATCH(BS2402,sheath_mark,0),0)*BN2402,0)</f>
        <v>0</v>
      </c>
      <c r="BP2402" cm="1">
        <f t="array" ref="BP2402">IFERROR(INDEX(sheath_wcap_asd,MATCH(BS2402,sheath_mark,0),0)*BN2402,0)</f>
        <v>0</v>
      </c>
      <c r="BQ2402" cm="1">
        <f t="array" ref="BQ2402">IFERROR(INDEX(hd_cap,MATCH(BT2402,hd_mark,0),0),0)</f>
        <v>0</v>
      </c>
      <c r="BS2402" s="19"/>
      <c r="BT2402" s="19"/>
      <c r="BU2402" s="100"/>
    </row>
    <row r="2403" x14ac:dyDescent="0.25">
      <c r="P2403" s="93"/>
      <c r="Q2403" s="109" t="s">
        <v>491</v>
      </c>
      <c r="R2403" t="str">
        <f>$Q$2327</f>
        <v>L4</v>
      </c>
      <c r="S2403">
        <f>$E$23</f>
        <v>0</v>
      </c>
      <c r="T2403" cm="1">
        <f t="array" ref="T2403">IFERROR(IF(S2403=0,0,(INDEX($C$33:$C$38,MATCH($W$2342,$B$33:$B$38,0),0)*(S2405+$X$2342)+$T$2342*COUNTIF(S2403:S2404,"&gt;0")*$C$32+$V$2342*$C$31)*$R$2342),0)</f>
        <v>0</v>
      </c>
      <c r="U2403">
        <f>IF(S2403=0,0,-(COUNTIF(S2403:S2404,"&gt;0")*$T$2342*$C$32+$V$2342*$C$31)*$H$27*$R$2342)</f>
        <v>0</v>
      </c>
      <c r="V2403">
        <f>IF(S2403=0,0,$V$2342*$H$26*$R$2342)</f>
        <v>0</v>
      </c>
      <c r="W2403">
        <f>(0.6*T2403+0.7*U2403)*$R$2342/2</f>
        <v>0</v>
      </c>
      <c r="X2403">
        <f>T2403*$R$2342/2</f>
        <v>0</v>
      </c>
      <c r="Z2403">
        <f>IF(S2403=0,0,$AD$2342*$AP$2327)</f>
        <v>0</v>
      </c>
      <c r="AA2403">
        <f>IFERROR(Z2403/$R$2342,0)</f>
        <v>0</v>
      </c>
      <c r="AB2403">
        <f>Z2403*($F$23+IF($F$23=0,0,($C$14+$C$15+IF($C$13="single",1.5,3)+3)/12))</f>
        <v>0</v>
      </c>
      <c r="AC2403">
        <f>AB2403-W2403</f>
        <v>0</v>
      </c>
      <c r="AD2403" cm="1">
        <f t="array" ref="AD2403">IFERROR(IF(AC2403&lt;0,0,AC2403/($R$2342-INDEX(hd_off,MATCH(AQ2403,hd_mark,0),0)/12)),0)</f>
        <v>0</v>
      </c>
      <c r="AE2403">
        <f>IF(S2403=0,0,$AD$2342*$AM$2327)</f>
        <v>0</v>
      </c>
      <c r="AF2403">
        <f>IFERROR(AE2403/$R$2342,0)</f>
        <v>0</v>
      </c>
      <c r="AG2403">
        <f>AE2403*($F$23+IF($F$23=0,0,($C$14+$C$15+IF($C$13="single",1.5,3)+3)/12))</f>
        <v>0</v>
      </c>
      <c r="AH2403">
        <f>AG2403-X2403</f>
        <v>0</v>
      </c>
      <c r="AI2403" cm="1">
        <f t="array" ref="AI2403">IFERROR(IF(AH2403&lt;0,0,AH2403/($R$2342-INDEX(hd_off,MATCH(AQ2403,hd_mark,0),0)/12)),0)</f>
        <v>0</v>
      </c>
      <c r="AJ2403">
        <f>MAX($F$23,$AA$2342)/$Q$2356</f>
        <v>0</v>
      </c>
      <c r="AK2403">
        <f t="shared" si="1484"/>
        <v>0</v>
      </c>
      <c r="AL2403" cm="1">
        <f t="array" ref="AL2403">IFERROR(INDEX(sheath_ecap_asd,MATCH(AP2403,sheath_mark,0),0)*AK2403,0)</f>
        <v>0</v>
      </c>
      <c r="AM2403" cm="1">
        <f t="array" ref="AM2403">IFERROR(INDEX(sheath_wcap_asd,MATCH(AP2403,sheath_mark,0),0)*AK2403,0)</f>
        <v>0</v>
      </c>
      <c r="AN2403" cm="1">
        <f t="array" ref="AN2403">IFERROR(INDEX(hd_cap,MATCH(AQ2403,hd_mark,0),0),0)</f>
        <v>0</v>
      </c>
      <c r="AP2403" s="19"/>
      <c r="AQ2403" s="19"/>
      <c r="AR2403" s="100"/>
      <c r="AS2403" s="93"/>
      <c r="AT2403" s="109" t="s">
        <v>491</v>
      </c>
      <c r="AU2403" t="str">
        <f>$Q$2327</f>
        <v>L4</v>
      </c>
      <c r="AV2403">
        <f>$E$23</f>
        <v>0</v>
      </c>
      <c r="AW2403" cm="1">
        <f t="array" ref="AW2403">IFERROR(IF(AV2403=0,0,(INDEX($C$33:$C$38,MATCH($AZ$2342,$B$33:$B$38,0),0)*(AV2405+$BA$2342)+$AW$2342*COUNTIF(AV2403:AV2404,"&gt;0")*$C$32+$AY$2342*$C$31)*$AU$2342),0)</f>
        <v>0</v>
      </c>
      <c r="AX2403">
        <f>IF(AV2403=0,0,-(COUNTIF(AV2403:AV2404,"&gt;0")*$AW$2342*$C$32+$AY$2342*$C$31)*$H$27*$AU$2342)</f>
        <v>0</v>
      </c>
      <c r="AY2403">
        <f>IF(AV2403=0,0,$AY$2342*$H$26*$AU$2342)</f>
        <v>0</v>
      </c>
      <c r="AZ2403">
        <f>(0.6*AW2403+0.7*AX2403)*$AU$2342/2</f>
        <v>0</v>
      </c>
      <c r="BA2403">
        <f>AW2403*$AU$2342/2</f>
        <v>0</v>
      </c>
      <c r="BC2403">
        <f>IF(AV2403=0,0,$BG$2342*$AP$2327)</f>
        <v>0</v>
      </c>
      <c r="BD2403">
        <f>IFERROR(BC2403/$AU$2342,0)</f>
        <v>0</v>
      </c>
      <c r="BE2403">
        <f>BC2403*($F$23+IF($F$23=0,0,($C$14+$C$15+IF($C$13="single",1.5,3)+3)/12))</f>
        <v>0</v>
      </c>
      <c r="BF2403">
        <f>BE2403-AZ2403</f>
        <v>0</v>
      </c>
      <c r="BG2403" cm="1">
        <f t="array" ref="BG2403">IFERROR(IF(BF2403&lt;0,0,BF2403/($AU$2342-INDEX(hd_off,MATCH(BT2403,hd_mark,0),0)/12)),0)</f>
        <v>0</v>
      </c>
      <c r="BH2403">
        <f>IF(AV2403=0,0,$BG$2342*$AM$2327)</f>
        <v>0</v>
      </c>
      <c r="BI2403">
        <f>IFERROR(BH2403/$AU$2342,0)</f>
        <v>0</v>
      </c>
      <c r="BJ2403">
        <f>BH2403*($F$23+IF($F$23=0,0,($C$14+$C$15+IF($C$13="single",1.5,3)+3)/12))</f>
        <v>0</v>
      </c>
      <c r="BK2403">
        <f>BJ2403-BA2403</f>
        <v>0</v>
      </c>
      <c r="BL2403" cm="1">
        <f t="array" ref="BL2403">IFERROR(IF(BK2403&lt;0,0,BK2403/($AU$2342-INDEX(hd_off,MATCH(BT2403,hd_mark,0),0)/12)),0)</f>
        <v>0</v>
      </c>
      <c r="BM2403">
        <f>MAX($F$23,$BD$2342)/$Q$2356</f>
        <v>0</v>
      </c>
      <c r="BN2403">
        <f t="shared" si="1485"/>
        <v>0</v>
      </c>
      <c r="BO2403" cm="1">
        <f t="array" ref="BO2403">IFERROR(INDEX(sheath_ecap_asd,MATCH(BS2403,sheath_mark,0),0)*BN2403,0)</f>
        <v>0</v>
      </c>
      <c r="BP2403" cm="1">
        <f t="array" ref="BP2403">IFERROR(INDEX(sheath_wcap_asd,MATCH(BS2403,sheath_mark,0),0)*BN2403,0)</f>
        <v>0</v>
      </c>
      <c r="BQ2403" cm="1">
        <f t="array" ref="BQ2403">IFERROR(INDEX(hd_cap,MATCH(BT2403,hd_mark,0),0),0)</f>
        <v>0</v>
      </c>
      <c r="BS2403" s="19"/>
      <c r="BT2403" s="19"/>
      <c r="BU2403" s="100"/>
    </row>
    <row r="2404" x14ac:dyDescent="0.25">
      <c r="P2404" s="93"/>
      <c r="Q2404" s="111">
        <f>$R$2342</f>
        <v>0</v>
      </c>
      <c r="R2404" t="str">
        <f>$Q$2328</f>
        <v>L5</v>
      </c>
      <c r="S2404">
        <f>$E$24</f>
        <v>0</v>
      </c>
      <c r="T2404" cm="1">
        <f t="array" ref="T2404">IFERROR(IF(S2404=0,0,(INDEX($C$33:$C$38,MATCH($W$2342,$B$33:$B$38,0),0)*(S2405+$X$2342)+$T$2342*COUNTIF(S2404:S2404,"&gt;0")*$C$32+$V$2342*$C$31)*$R$2342),0)</f>
        <v>0</v>
      </c>
      <c r="U2404">
        <f>IF(S2404=0,0,-(COUNTIF(S2404:S2404,"&gt;0")*$T$2342*$C$32+$V$2342*$C$31)*$H$27*$R$2342)</f>
        <v>0</v>
      </c>
      <c r="V2404">
        <f>IF(S2404=0,0,$V$2342*$H$26*$R$2342)</f>
        <v>0</v>
      </c>
      <c r="W2404">
        <f>(0.6*T2404+0.7*U2404)*$R$2342/2</f>
        <v>0</v>
      </c>
      <c r="X2404">
        <f>T2404*$R$2342/2</f>
        <v>0</v>
      </c>
      <c r="Z2404">
        <f>IF(S2404=0,0,$AD$2342*$AP$2328)</f>
        <v>0</v>
      </c>
      <c r="AA2404">
        <f>IFERROR(Z2404/$R$2342,0)</f>
        <v>0</v>
      </c>
      <c r="AB2404">
        <f>Z2404*($F$24+IF($F$24=0,0,($C$14+$C$15+IF($C$13="single",1.5,3)+3)/12))</f>
        <v>0</v>
      </c>
      <c r="AC2404">
        <f>AB2404-W2404</f>
        <v>0</v>
      </c>
      <c r="AD2404" cm="1">
        <f t="array" ref="AD2404">IFERROR(IF(AC2404&lt;0,0,AC2404/($R$2342-INDEX(hd_off,MATCH(AQ2404,hd_mark,0),0)/12)),0)</f>
        <v>0</v>
      </c>
      <c r="AE2404">
        <f>IF(S2404=0,0,$AD$2342*$AM$2328)</f>
        <v>0</v>
      </c>
      <c r="AF2404">
        <f>IFERROR(AE2404/$R$2342,0)</f>
        <v>0</v>
      </c>
      <c r="AG2404">
        <f>AE2404*($F$24+IF($F$24=0,0,($C$14+$C$15+IF($C$13="single",1.5,3)+3)/12))</f>
        <v>0</v>
      </c>
      <c r="AH2404">
        <f>AG2404-X2404</f>
        <v>0</v>
      </c>
      <c r="AI2404" cm="1">
        <f t="array" ref="AI2404">IFERROR(IF(AH2404&lt;0,0,AH2404/($R$2342-INDEX(hd_off,MATCH(AQ2404,hd_mark,0),0)/12)),0)</f>
        <v>0</v>
      </c>
      <c r="AJ2404">
        <f>MAX($F$24,$AB$2342)/$Q$2356</f>
        <v>0</v>
      </c>
      <c r="AK2404">
        <f t="shared" si="1484"/>
        <v>0</v>
      </c>
      <c r="AL2404" cm="1">
        <f t="array" ref="AL2404">IFERROR(INDEX(sheath_ecap_asd,MATCH(AP2404,sheath_mark,0),0)*AK2404,0)</f>
        <v>0</v>
      </c>
      <c r="AM2404" cm="1">
        <f t="array" ref="AM2404">IFERROR(INDEX(sheath_wcap_asd,MATCH(AP2404,sheath_mark,0),0)*AK2404,0)</f>
        <v>0</v>
      </c>
      <c r="AN2404" cm="1">
        <f t="array" ref="AN2404">IFERROR(INDEX(hd_cap,MATCH(AQ2404,hd_mark,0),0),0)</f>
        <v>0</v>
      </c>
      <c r="AP2404" s="19"/>
      <c r="AQ2404" s="19"/>
      <c r="AR2404" s="100"/>
      <c r="AS2404" s="93"/>
      <c r="AT2404" s="111">
        <f>$R$2342</f>
        <v>0</v>
      </c>
      <c r="AU2404" t="str">
        <f>$Q$2328</f>
        <v>L5</v>
      </c>
      <c r="AV2404">
        <f>$E$24</f>
        <v>0</v>
      </c>
      <c r="AW2404" cm="1">
        <f t="array" ref="AW2404">IFERROR(IF(AV2404=0,0,(INDEX($C$33:$C$38,MATCH($AZ$2342,$B$33:$B$38,0),0)*(AV2405+$BA$2342)+$AW$2342*COUNTIF(AV2404:AV2404,"&gt;0")*$C$32+$AY$2342*$C$31)*$AU$2342),0)</f>
        <v>0</v>
      </c>
      <c r="AX2404">
        <f>IF(AV2404=0,0,-(COUNTIF(AV2404:AV2404,"&gt;0")*$AW$2342*$C$32+$AY$2342*$C$31)*$H$27*$AU$2342)</f>
        <v>0</v>
      </c>
      <c r="AY2404">
        <f>IF(AV2404=0,0,$AY$2342*$H$26*$AU$2342)</f>
        <v>0</v>
      </c>
      <c r="AZ2404">
        <f>(0.6*AW2404+0.7*AX2404)*$AU$2342/2</f>
        <v>0</v>
      </c>
      <c r="BA2404">
        <f>AW2404*$AU$2342/2</f>
        <v>0</v>
      </c>
      <c r="BC2404">
        <f>IF(AV2404=0,0,$BG$2342*$AP$2328)</f>
        <v>0</v>
      </c>
      <c r="BD2404">
        <f>IFERROR(BC2404/$AU$2342,0)</f>
        <v>0</v>
      </c>
      <c r="BE2404">
        <f>BC2404*($F$24+IF($F$24=0,0,($C$14+$C$15+IF($C$13="single",1.5,3)+3)/12))</f>
        <v>0</v>
      </c>
      <c r="BF2404">
        <f>BE2404-AZ2404</f>
        <v>0</v>
      </c>
      <c r="BG2404" cm="1">
        <f t="array" ref="BG2404">IFERROR(IF(BF2404&lt;0,0,BF2404/($AU$2342-INDEX(hd_off,MATCH(BT2404,hd_mark,0),0)/12)),0)</f>
        <v>0</v>
      </c>
      <c r="BH2404">
        <f>IF(AV2404=0,0,$BG$2342*$AM$2328)</f>
        <v>0</v>
      </c>
      <c r="BI2404">
        <f>IFERROR(BH2404/$AU$2342,0)</f>
        <v>0</v>
      </c>
      <c r="BJ2404">
        <f>BH2404*($F$24+IF($F$24=0,0,($C$14+$C$15+IF($C$13="single",1.5,3)+3)/12))</f>
        <v>0</v>
      </c>
      <c r="BK2404">
        <f>BJ2404-BA2404</f>
        <v>0</v>
      </c>
      <c r="BL2404" cm="1">
        <f t="array" ref="BL2404">IFERROR(IF(BK2404&lt;0,0,BK2404/($AU$2342-INDEX(hd_off,MATCH(BT2404,hd_mark,0),0)/12)),0)</f>
        <v>0</v>
      </c>
      <c r="BM2404">
        <f>MAX($F$24,$BE$2342)/$Q$2356</f>
        <v>0</v>
      </c>
      <c r="BN2404">
        <f t="shared" si="1485"/>
        <v>0</v>
      </c>
      <c r="BO2404" cm="1">
        <f t="array" ref="BO2404">IFERROR(INDEX(sheath_ecap_asd,MATCH(BS2404,sheath_mark,0),0)*BN2404,0)</f>
        <v>0</v>
      </c>
      <c r="BP2404" cm="1">
        <f t="array" ref="BP2404">IFERROR(INDEX(sheath_wcap_asd,MATCH(BS2404,sheath_mark,0),0)*BN2404,0)</f>
        <v>0</v>
      </c>
      <c r="BQ2404" cm="1">
        <f t="array" ref="BQ2404">IFERROR(INDEX(hd_cap,MATCH(BT2404,hd_mark,0),0),0)</f>
        <v>0</v>
      </c>
      <c r="BS2404" s="19"/>
      <c r="BT2404" s="19"/>
      <c r="BU2404" s="100"/>
    </row>
    <row r="2405" x14ac:dyDescent="0.25">
      <c r="P2405" s="93"/>
      <c r="Q2405" s="109"/>
      <c r="R2405" t="str">
        <f>$Q$2329</f>
        <v>Roof</v>
      </c>
      <c r="S2405">
        <f>$E$25</f>
        <v>33.171875</v>
      </c>
      <c r="T2405" cm="1">
        <f t="array" ref="T2405">IFERROR(IF(S2405=0,0,(INDEX($C$33:$C$38,MATCH($W$2342,$B$33:$B$38,0),0)*(S2405+$X$2342)+$V$2342*$C$31)*$R$2342),0)</f>
        <v>0</v>
      </c>
      <c r="U2405">
        <f>IF(S2405=0,0,-$V$2342*$C$31*$H$27*$R$2342)</f>
        <v>0</v>
      </c>
      <c r="V2405">
        <f>IF(S2405=0,0,$V$2342*$H$26*$R$2342)</f>
        <v>0</v>
      </c>
      <c r="W2405">
        <f>(0.6*T2405+0.7*U2405)*$R$2342/2</f>
        <v>0</v>
      </c>
      <c r="X2405">
        <f>T2405*$R$2342/2</f>
        <v>0</v>
      </c>
      <c r="Z2405">
        <f>IF(S2405=0,0,$AD$2342*$AP$2329)</f>
        <v>0</v>
      </c>
      <c r="AA2405">
        <f>IFERROR(Z2405/$R$2342,0)</f>
        <v>0</v>
      </c>
      <c r="AB2405">
        <f>Z2405*($F$25+($C$16+$C$17+IF($C$13="single",1.5,3)+3)/12)</f>
        <v>0</v>
      </c>
      <c r="AC2405">
        <f>AB2405-W2405</f>
        <v>0</v>
      </c>
      <c r="AD2405" cm="1">
        <f t="array" ref="AD2405">IFERROR(IF(AC2405&lt;0,0,AC2405/($R$2342-INDEX(hd_off,MATCH(AQ2405,hd_mark,0),0)/12)),0)</f>
        <v>0</v>
      </c>
      <c r="AE2405">
        <f>IF(S2405=0,0,$AD$2342*$AM$2329)</f>
        <v>0</v>
      </c>
      <c r="AF2405">
        <f>IFERROR(AE2405/$R$2342,0)</f>
        <v>0</v>
      </c>
      <c r="AG2405">
        <f>AE2405*($F$25+($C$16+$C$17+IF($C$13="single",1.5,3)+3)/12)</f>
        <v>0</v>
      </c>
      <c r="AH2405">
        <f>AG2405-X2405</f>
        <v>0</v>
      </c>
      <c r="AI2405" cm="1">
        <f t="array" ref="AI2405">IFERROR(IF(AH2405&lt;0,0,AH2405/($R$2342-INDEX(hd_off,MATCH(AQ2405,hd_mark,0),0)/12)),0)</f>
        <v>0</v>
      </c>
      <c r="AJ2405">
        <f>MAX($F$25,$AC$2342)/$Q$2356</f>
        <v>0.29920977011494249</v>
      </c>
      <c r="AK2405">
        <f t="shared" si="1484"/>
        <v>1</v>
      </c>
      <c r="AL2405" cm="1">
        <f t="array" ref="AL2405">IFERROR(INDEX(sheath_ecap_asd,MATCH(AP2405,sheath_mark,0),0)*AK2405,0)</f>
        <v>0</v>
      </c>
      <c r="AM2405" cm="1">
        <f t="array" ref="AM2405">IFERROR(INDEX(sheath_wcap_asd,MATCH(AP2405,sheath_mark,0),0)*AK2405,0)</f>
        <v>0</v>
      </c>
      <c r="AN2405" cm="1">
        <f t="array" ref="AN2405">IFERROR(INDEX(hd_cap,MATCH(AQ2405,hd_mark,0),0),0)</f>
        <v>0</v>
      </c>
      <c r="AP2405" s="19"/>
      <c r="AQ2405" s="19"/>
      <c r="AR2405" s="100"/>
      <c r="AS2405" s="93"/>
      <c r="AT2405" s="109"/>
      <c r="AU2405" t="str">
        <f>$Q$2329</f>
        <v>Roof</v>
      </c>
      <c r="AV2405">
        <f>$E$25</f>
        <v>33.171875</v>
      </c>
      <c r="AW2405" cm="1">
        <f t="array" ref="AW2405">IFERROR(IF(AV2405=0,0,(INDEX($C$33:$C$38,MATCH($AZ$2342,$B$33:$B$38,0),0)*(AV2405+$BA$2342)+$AY$2342*$C$31)*$AU$2342),0)</f>
        <v>0</v>
      </c>
      <c r="AX2405">
        <f>IF(AV2405=0,0,-$AY$2342*$C$31*$H$27*$AU$2342)</f>
        <v>0</v>
      </c>
      <c r="AY2405">
        <f>IF(AV2405=0,0,$AY$2342*$H$26*$AU$2342)</f>
        <v>0</v>
      </c>
      <c r="AZ2405">
        <f>(0.6*AW2405+0.7*AX2405)*$AU$2342/2</f>
        <v>0</v>
      </c>
      <c r="BA2405">
        <f>AW2405*$AU$2342/2</f>
        <v>0</v>
      </c>
      <c r="BC2405">
        <f>IF(AV2405=0,0,$BG$2342*$AP$2329)</f>
        <v>0</v>
      </c>
      <c r="BD2405">
        <f>IFERROR(BC2405/$AU$2342,0)</f>
        <v>0</v>
      </c>
      <c r="BE2405">
        <f>BC2405*($F$25+($C$16+$C$17+IF($C$13="single",1.5,3)+3)/12)</f>
        <v>0</v>
      </c>
      <c r="BF2405">
        <f>BE2405-AZ2405</f>
        <v>0</v>
      </c>
      <c r="BG2405" cm="1">
        <f t="array" ref="BG2405">IFERROR(IF(BF2405&lt;0,0,BF2405/($AU$2342-INDEX(hd_off,MATCH(BT2405,hd_mark,0),0)/12)),0)</f>
        <v>0</v>
      </c>
      <c r="BH2405">
        <f>IF(AV2405=0,0,$BG$2342*$AM$2329)</f>
        <v>0</v>
      </c>
      <c r="BI2405">
        <f>IFERROR(BH2405/$AU$2342,0)</f>
        <v>0</v>
      </c>
      <c r="BJ2405">
        <f>BH2405*($F$25+($C$16+$C$17+IF($C$13="single",1.5,3)+3)/12)</f>
        <v>0</v>
      </c>
      <c r="BK2405">
        <f>BJ2405-BA2405</f>
        <v>0</v>
      </c>
      <c r="BL2405" cm="1">
        <f t="array" ref="BL2405">IFERROR(IF(BK2405&lt;0,0,BK2405/($AU$2342-INDEX(hd_off,MATCH(BT2405,hd_mark,0),0)/12)),0)</f>
        <v>0</v>
      </c>
      <c r="BM2405">
        <f>MAX($F$25,$BF$2342)/$Q$2356</f>
        <v>0.29920977011494249</v>
      </c>
      <c r="BN2405">
        <f t="shared" si="1485"/>
        <v>1</v>
      </c>
      <c r="BO2405" cm="1">
        <f t="array" ref="BO2405">IFERROR(INDEX(sheath_ecap_asd,MATCH(BS2405,sheath_mark,0),0)*BN2405,0)</f>
        <v>0</v>
      </c>
      <c r="BP2405" cm="1">
        <f t="array" ref="BP2405">IFERROR(INDEX(sheath_wcap_asd,MATCH(BS2405,sheath_mark,0),0)*BN2405,0)</f>
        <v>0</v>
      </c>
      <c r="BQ2405" cm="1">
        <f t="array" ref="BQ2405">IFERROR(INDEX(hd_cap,MATCH(BT2405,hd_mark,0),0),0)</f>
        <v>0</v>
      </c>
      <c r="BS2405" s="19"/>
      <c r="BT2405" s="19"/>
      <c r="BU2405" s="100"/>
    </row>
    <row r="2406" x14ac:dyDescent="0.25">
      <c r="P2406" s="93"/>
      <c r="AR2406" s="100"/>
      <c r="AS2406" s="93"/>
      <c r="BU2406" s="100"/>
    </row>
    <row r="2407" x14ac:dyDescent="0.25">
      <c r="P2407" s="93"/>
      <c r="Q2407" s="110" t="str">
        <f>$Q$2343</f>
        <v>A.10</v>
      </c>
      <c r="R2407" t="str">
        <f>$Q$2325</f>
        <v>L2</v>
      </c>
      <c r="S2407">
        <f>$E$21</f>
        <v>10.6875</v>
      </c>
      <c r="T2407" cm="1">
        <f t="array" ref="T2407">IFERROR(IF(S2407=0,0,(INDEX($C$33:$C$38,MATCH($W$2343,$B$33:$B$38,0),0)*(S2411+$X$2343)+$T$2343*COUNTIF(S2407:S2410,"&gt;0")*$C$32+$V$2343*$C$31)*$R$2343),0)</f>
        <v>0</v>
      </c>
      <c r="U2407">
        <f>IF(S2407=0,0,-(COUNTIF(S2407:S2410,"&gt;0")*$T$2343*$C$32+$V$2343*$C$31)*$H$27*$R$2343)</f>
        <v>0</v>
      </c>
      <c r="V2407">
        <f>IF(S2407=0,0,$V$2343*$H$26*$R$2343)</f>
        <v>0</v>
      </c>
      <c r="W2407">
        <f>(0.6*T2407+0.7*U2407)*$R$2343/2</f>
        <v>0</v>
      </c>
      <c r="X2407">
        <f>(0.6*T2407+0.6*V2407)*$R$2343/2</f>
        <v>0</v>
      </c>
      <c r="Z2407">
        <f>IF(S2407=0,0,$AD$2343*$AP$2325)</f>
        <v>0</v>
      </c>
      <c r="AA2407">
        <f>IFERROR(Z2407/$R$2343,0)</f>
        <v>0</v>
      </c>
      <c r="AB2407">
        <f>Z2407*($F$21+IF($F$21=0,0,($C$14+$C$15+IF($C$13="single",1.5,3)+3)/12))</f>
        <v>0</v>
      </c>
      <c r="AC2407">
        <f>AB2407-W2407</f>
        <v>0</v>
      </c>
      <c r="AD2407" cm="1">
        <f t="array" ref="AD2407">IFERROR(IF(AC2407&lt;0,0,AC2407/($R$2343-INDEX(hd_off,MATCH(AQ2407,hd_mark,0),0)/12)),0)</f>
        <v>0</v>
      </c>
      <c r="AE2407">
        <f>IF(S2407=0,0,$AD$2343*$AM$2325)</f>
        <v>0</v>
      </c>
      <c r="AF2407">
        <f>IFERROR(AE2407/$R$2343,0)</f>
        <v>0</v>
      </c>
      <c r="AG2407">
        <f>AE2407*($F$21+IF($F$21=0,0,($C$14+$C$15+IF($C$13="single",1.5,3)+3)/12))</f>
        <v>0</v>
      </c>
      <c r="AH2407">
        <f>AG2407-X2407</f>
        <v>0</v>
      </c>
      <c r="AI2407" cm="1">
        <f t="array" ref="AI2407">IFERROR(IF(AH2407&lt;0,0,AH2407/($R$2343-INDEX(hd_off,MATCH(AQ2407,hd_mark,0),0)/12)),0)</f>
        <v>0</v>
      </c>
      <c r="AJ2407">
        <f>MAX($F$21,$Y$2343)/$Q$2356</f>
        <v>0.30172413793103448</v>
      </c>
      <c r="AK2407">
        <f>IF(AJ2407=0,0,IF(AJ2407&gt;2,1.25-0.125*AJ2407,1))</f>
        <v>1</v>
      </c>
      <c r="AL2407" cm="1">
        <f t="array" ref="AL2407">IFERROR(INDEX(sheath_ecap_asd,MATCH(AP2407,sheath_mark,0),0)*AK2407,0)</f>
        <v>0</v>
      </c>
      <c r="AM2407" cm="1">
        <f t="array" ref="AM2407">IFERROR(INDEX(sheath_wcap_asd,MATCH(AP2407,sheath_mark,0),0)*AK2407,0)</f>
        <v>0</v>
      </c>
      <c r="AN2407" cm="1">
        <f t="array" ref="AN2407">IFERROR(INDEX(hd_cap,MATCH(AQ2407,hd_mark,0),0),0)</f>
        <v>0</v>
      </c>
      <c r="AP2407" s="19"/>
      <c r="AQ2407" s="19"/>
      <c r="AR2407" s="100"/>
      <c r="AS2407" s="93"/>
      <c r="AT2407" s="110" t="str">
        <f>$AT$2343</f>
        <v>1.10</v>
      </c>
      <c r="AU2407" t="str">
        <f>$Q$2325</f>
        <v>L2</v>
      </c>
      <c r="AV2407">
        <f>$E$21</f>
        <v>10.6875</v>
      </c>
      <c r="AW2407" cm="1">
        <f t="array" ref="AW2407">IFERROR(IF(AV2407=0,0,(INDEX($C$33:$C$38,MATCH($AZ$2343,$B$33:$B$38,0),0)*(AV2411+$BA$2343)+$AW$2343*COUNTIF(AV2407:AV2410,"&gt;0")*$C$32+$AY$2343*$C$31)*$AU$2343),0)</f>
        <v>0</v>
      </c>
      <c r="AX2407">
        <f>IF(AV2407=0,0,-(COUNTIF(AV2407:AV2410,"&gt;0")*$AW$2343*$C$32+$AY$2343*$C$31)*$H$27*$AU$2343)</f>
        <v>0</v>
      </c>
      <c r="AY2407">
        <f>IF(AV2407=0,0,$AY$2343*$H$26*$AU$2343)</f>
        <v>0</v>
      </c>
      <c r="AZ2407">
        <f>(0.6*AW2407+0.7*AX2407)*$AU$2343/2</f>
        <v>0</v>
      </c>
      <c r="BA2407">
        <f>(0.6*AW2407+0.6*AY2407)*$AU$2343/2</f>
        <v>0</v>
      </c>
      <c r="BC2407">
        <f>IF(AV2407=0,0,$BG$2343*$AP$2325)</f>
        <v>0</v>
      </c>
      <c r="BD2407">
        <f>IFERROR(BC2407/$AU$2343,0)</f>
        <v>0</v>
      </c>
      <c r="BE2407">
        <f>BC2407*($F$21+IF($F$21=0,0,($C$14+$C$15+IF($C$13="single",1.5,3)+3)/12))</f>
        <v>0</v>
      </c>
      <c r="BF2407">
        <f>BE2407-AZ2407</f>
        <v>0</v>
      </c>
      <c r="BG2407" cm="1">
        <f t="array" ref="BG2407">IFERROR(IF(BF2407&lt;0,0,BF2407/($AU$2343-INDEX(hd_off,MATCH(BT2407,hd_mark,0),0)/12)),0)</f>
        <v>0</v>
      </c>
      <c r="BH2407">
        <f>IF(AV2407=0,0,$BG$2343*$AM$2325)</f>
        <v>0</v>
      </c>
      <c r="BI2407">
        <f>IFERROR(BH2407/$AU$2343,0)</f>
        <v>0</v>
      </c>
      <c r="BJ2407">
        <f>BH2407*($F$21+IF($F$21=0,0,($C$14+$C$15+IF($C$13="single",1.5,3)+3)/12))</f>
        <v>0</v>
      </c>
      <c r="BK2407">
        <f>BJ2407-BA2407</f>
        <v>0</v>
      </c>
      <c r="BL2407" cm="1">
        <f t="array" ref="BL2407">IFERROR(IF(BK2407&lt;0,0,BK2407/($AU$2343-INDEX(hd_off,MATCH(BT2407,hd_mark,0),0)/12)),0)</f>
        <v>0</v>
      </c>
      <c r="BM2407">
        <f>MAX($F$21,$BB$2343)/$Q$2356</f>
        <v>0.30172413793103448</v>
      </c>
      <c r="BN2407">
        <f>IF(BM2407=0,0,IF(BM2407&gt;2,1.25-0.125*BM2407,1))</f>
        <v>1</v>
      </c>
      <c r="BO2407" cm="1">
        <f t="array" ref="BO2407">IFERROR(INDEX(sheath_ecap_asd,MATCH(BS2407,sheath_mark,0),0)*BN2407,0)</f>
        <v>0</v>
      </c>
      <c r="BP2407" cm="1">
        <f t="array" ref="BP2407">IFERROR(INDEX(sheath_wcap_asd,MATCH(BS2407,sheath_mark,0),0)*BN2407,0)</f>
        <v>0</v>
      </c>
      <c r="BQ2407" cm="1">
        <f t="array" ref="BQ2407">IFERROR(INDEX(hd_cap,MATCH(BT2407,hd_mark,0),0),0)</f>
        <v>0</v>
      </c>
      <c r="BS2407" s="19"/>
      <c r="BT2407" s="19"/>
      <c r="BU2407" s="100"/>
    </row>
    <row r="2408" x14ac:dyDescent="0.25">
      <c r="P2408" s="93"/>
      <c r="Q2408" s="109"/>
      <c r="R2408" t="str">
        <f>$Q$2326</f>
        <v>L3</v>
      </c>
      <c r="S2408">
        <f>$E$22</f>
        <v>21.375</v>
      </c>
      <c r="T2408" cm="1">
        <f t="array" ref="T2408">IFERROR(IF(S2408=0,0,(INDEX($C$33:$C$38,MATCH($W$2343,$B$33:$B$38,0),0)*(S2411+$X$2343)+$T$2343*COUNTIF(S2408:S2410,"&gt;0")*$C$32+$V$2343*$C$31)*$R$2343),0)</f>
        <v>0</v>
      </c>
      <c r="U2408">
        <f>IF(S2408=0,0,-(COUNTIF(S2408:S2410,"&gt;0")*$T$2343*$C$32+$V$2343*$C$31)*$H$27*$R$2343)</f>
        <v>0</v>
      </c>
      <c r="V2408">
        <f>IF(S2408=0,0,$V$2343*$H$26*$R$2343)</f>
        <v>0</v>
      </c>
      <c r="W2408">
        <f>(0.6*T2408+0.7*U2408)*$R$2343/2</f>
        <v>0</v>
      </c>
      <c r="X2408">
        <f>T2408*$R$2343/2</f>
        <v>0</v>
      </c>
      <c r="Z2408">
        <f>IF(S2408=0,0,$AD$2343*$AP$2326)</f>
        <v>0</v>
      </c>
      <c r="AA2408">
        <f>IFERROR(Z2408/$R$2343,0)</f>
        <v>0</v>
      </c>
      <c r="AB2408">
        <f>Z2408*($F$22+IF($F$22=0,0,($C$14+$C$15+IF($C$13="single",1.5,3)+3)/12))</f>
        <v>0</v>
      </c>
      <c r="AC2408">
        <f>AB2408-W2408</f>
        <v>0</v>
      </c>
      <c r="AD2408" cm="1">
        <f t="array" ref="AD2408">IFERROR(IF(AC2408&lt;0,0,AC2408/($R$2343-INDEX(hd_off,MATCH(AQ2408,hd_mark,0),0)/12)),0)</f>
        <v>0</v>
      </c>
      <c r="AE2408">
        <f>IF(S2408=0,0,$AD$2343*$AM$2326)</f>
        <v>0</v>
      </c>
      <c r="AF2408">
        <f>IFERROR(AE2408/$R$2343,0)</f>
        <v>0</v>
      </c>
      <c r="AG2408">
        <f>AE2408*($F$22+IF($F$22=0,0,($C$14+$C$15+IF($C$13="single",1.5,3)+3)/12))</f>
        <v>0</v>
      </c>
      <c r="AH2408">
        <f>AG2408-X2408</f>
        <v>0</v>
      </c>
      <c r="AI2408" cm="1">
        <f t="array" ref="AI2408">IFERROR(IF(AH2408&lt;0,0,AH2408/($R$2343-INDEX(hd_off,MATCH(AQ2408,hd_mark,0),0)/12)),0)</f>
        <v>0</v>
      </c>
      <c r="AJ2408">
        <f>MAX($F$22,$Z$2343)/$Q$2356</f>
        <v>0.30172413793103448</v>
      </c>
      <c r="AK2408">
        <f t="shared" ref="AK2408:AK2411" si="1486">IF(AJ2408=0,0,IF(AJ2408&gt;2,1.25-0.125*AJ2408,1))</f>
        <v>1</v>
      </c>
      <c r="AL2408" cm="1">
        <f t="array" ref="AL2408">IFERROR(INDEX(sheath_ecap_asd,MATCH(AP2408,sheath_mark,0),0)*AK2408,0)</f>
        <v>0</v>
      </c>
      <c r="AM2408" cm="1">
        <f t="array" ref="AM2408">IFERROR(INDEX(sheath_wcap_asd,MATCH(AP2408,sheath_mark,0),0)*AK2408,0)</f>
        <v>0</v>
      </c>
      <c r="AN2408" cm="1">
        <f t="array" ref="AN2408">IFERROR(INDEX(hd_cap,MATCH(AQ2408,hd_mark,0),0),0)</f>
        <v>0</v>
      </c>
      <c r="AP2408" s="19"/>
      <c r="AQ2408" s="19"/>
      <c r="AR2408" s="100"/>
      <c r="AS2408" s="93"/>
      <c r="AT2408" s="109"/>
      <c r="AU2408" t="str">
        <f>$Q$2326</f>
        <v>L3</v>
      </c>
      <c r="AV2408">
        <f>$E$22</f>
        <v>21.375</v>
      </c>
      <c r="AW2408" cm="1">
        <f t="array" ref="AW2408">IFERROR(IF(AV2408=0,0,(INDEX($C$33:$C$38,MATCH($AZ$2343,$B$33:$B$38,0),0)*(AV2411+$BA$2343)+$AW$2343*COUNTIF(AV2408:AV2410,"&gt;0")*$C$32+$AY$2343*$C$31)*$AU$2343),0)</f>
        <v>0</v>
      </c>
      <c r="AX2408">
        <f>IF(AV2408=0,0,-(COUNTIF(AV2408:AV2410,"&gt;0")*$AW$2343*$C$32+$AY$2343*$C$31)*$H$27*$AU$2343)</f>
        <v>0</v>
      </c>
      <c r="AY2408">
        <f>IF(AV2408=0,0,$AY$2343*$H$26*$AU$2343)</f>
        <v>0</v>
      </c>
      <c r="AZ2408">
        <f>(0.6*AW2408+0.7*AX2408)*$AU$2343/2</f>
        <v>0</v>
      </c>
      <c r="BA2408">
        <f>AW2408*$AU$2343/2</f>
        <v>0</v>
      </c>
      <c r="BC2408">
        <f>IF(AV2408=0,0,$BG$2343*$AP$2326)</f>
        <v>0</v>
      </c>
      <c r="BD2408">
        <f>IFERROR(BC2408/$AU$2343,0)</f>
        <v>0</v>
      </c>
      <c r="BE2408">
        <f>BC2408*($F$22+IF($F$22=0,0,($C$14+$C$15+IF($C$13="single",1.5,3)+3)/12))</f>
        <v>0</v>
      </c>
      <c r="BF2408">
        <f>BE2408-AZ2408</f>
        <v>0</v>
      </c>
      <c r="BG2408" cm="1">
        <f t="array" ref="BG2408">IFERROR(IF(BF2408&lt;0,0,BF2408/($AU$2343-INDEX(hd_off,MATCH(BT2408,hd_mark,0),0)/12)),0)</f>
        <v>0</v>
      </c>
      <c r="BH2408">
        <f>IF(AV2408=0,0,$BG$2343*$AM$2326)</f>
        <v>0</v>
      </c>
      <c r="BI2408">
        <f>IFERROR(BH2408/$AU$2343,0)</f>
        <v>0</v>
      </c>
      <c r="BJ2408">
        <f>BH2408*($F$22+IF($F$22=0,0,($C$14+$C$15+IF($C$13="single",1.5,3)+3)/12))</f>
        <v>0</v>
      </c>
      <c r="BK2408">
        <f>BJ2408-BA2408</f>
        <v>0</v>
      </c>
      <c r="BL2408" cm="1">
        <f t="array" ref="BL2408">IFERROR(IF(BK2408&lt;0,0,BK2408/($AU$2343-INDEX(hd_off,MATCH(BT2408,hd_mark,0),0)/12)),0)</f>
        <v>0</v>
      </c>
      <c r="BM2408">
        <f>MAX($F$22,$BC$2343)/$Q$2356</f>
        <v>0.30172413793103448</v>
      </c>
      <c r="BN2408">
        <f t="shared" ref="BN2408:BN2411" si="1487">IF(BM2408=0,0,IF(BM2408&gt;2,1.25-0.125*BM2408,1))</f>
        <v>1</v>
      </c>
      <c r="BO2408" cm="1">
        <f t="array" ref="BO2408">IFERROR(INDEX(sheath_ecap_asd,MATCH(BS2408,sheath_mark,0),0)*BN2408,0)</f>
        <v>0</v>
      </c>
      <c r="BP2408" cm="1">
        <f t="array" ref="BP2408">IFERROR(INDEX(sheath_wcap_asd,MATCH(BS2408,sheath_mark,0),0)*BN2408,0)</f>
        <v>0</v>
      </c>
      <c r="BQ2408" cm="1">
        <f t="array" ref="BQ2408">IFERROR(INDEX(hd_cap,MATCH(BT2408,hd_mark,0),0),0)</f>
        <v>0</v>
      </c>
      <c r="BS2408" s="19"/>
      <c r="BT2408" s="19"/>
      <c r="BU2408" s="100"/>
    </row>
    <row r="2409" x14ac:dyDescent="0.25">
      <c r="P2409" s="93"/>
      <c r="Q2409" s="109" t="s">
        <v>491</v>
      </c>
      <c r="R2409" t="str">
        <f>$Q$2327</f>
        <v>L4</v>
      </c>
      <c r="S2409">
        <f>$E$23</f>
        <v>0</v>
      </c>
      <c r="T2409" cm="1">
        <f t="array" ref="T2409">IFERROR(IF(S2409=0,0,(INDEX($C$33:$C$38,MATCH($W$2343,$B$33:$B$38,0),0)*(S2411+$X$2343)+$T$2343*COUNTIF(S2409:S2410,"&gt;0")*$C$32+$V$2343*$C$31)*$R$2343),0)</f>
        <v>0</v>
      </c>
      <c r="U2409">
        <f>IF(S2409=0,0,-(COUNTIF(S2409:S2410,"&gt;0")*$T$2343*$C$32+$V$2343*$C$31)*$H$27*$R$2343)</f>
        <v>0</v>
      </c>
      <c r="V2409">
        <f>IF(S2409=0,0,$V$2343*$H$26*$R$2343)</f>
        <v>0</v>
      </c>
      <c r="W2409">
        <f>(0.6*T2409+0.7*U2409)*$R$2343/2</f>
        <v>0</v>
      </c>
      <c r="X2409">
        <f>T2409*$R$2343/2</f>
        <v>0</v>
      </c>
      <c r="Z2409">
        <f>IF(S2409=0,0,$AD$2343*$AP$2327)</f>
        <v>0</v>
      </c>
      <c r="AA2409">
        <f>IFERROR(Z2409/$R$2343,0)</f>
        <v>0</v>
      </c>
      <c r="AB2409">
        <f>Z2409*($F$23+IF($F$23=0,0,($C$14+$C$15+IF($C$13="single",1.5,3)+3)/12))</f>
        <v>0</v>
      </c>
      <c r="AC2409">
        <f>AB2409-W2409</f>
        <v>0</v>
      </c>
      <c r="AD2409" cm="1">
        <f t="array" ref="AD2409">IFERROR(IF(AC2409&lt;0,0,AC2409/($R$2343-INDEX(hd_off,MATCH(AQ2409,hd_mark,0),0)/12)),0)</f>
        <v>0</v>
      </c>
      <c r="AE2409">
        <f>IF(S2409=0,0,$AD$2343*$AM$2327)</f>
        <v>0</v>
      </c>
      <c r="AF2409">
        <f>IFERROR(AE2409/$R$2343,0)</f>
        <v>0</v>
      </c>
      <c r="AG2409">
        <f>AE2409*($F$23+IF($F$23=0,0,($C$14+$C$15+IF($C$13="single",1.5,3)+3)/12))</f>
        <v>0</v>
      </c>
      <c r="AH2409">
        <f>AG2409-X2409</f>
        <v>0</v>
      </c>
      <c r="AI2409" cm="1">
        <f t="array" ref="AI2409">IFERROR(IF(AH2409&lt;0,0,AH2409/($R$2343-INDEX(hd_off,MATCH(AQ2409,hd_mark,0),0)/12)),0)</f>
        <v>0</v>
      </c>
      <c r="AJ2409">
        <f>MAX($F$23,$AA$2343)/$Q$2356</f>
        <v>0</v>
      </c>
      <c r="AK2409">
        <f t="shared" si="1486"/>
        <v>0</v>
      </c>
      <c r="AL2409" cm="1">
        <f t="array" ref="AL2409">IFERROR(INDEX(sheath_ecap_asd,MATCH(AP2409,sheath_mark,0),0)*AK2409,0)</f>
        <v>0</v>
      </c>
      <c r="AM2409" cm="1">
        <f t="array" ref="AM2409">IFERROR(INDEX(sheath_wcap_asd,MATCH(AP2409,sheath_mark,0),0)*AK2409,0)</f>
        <v>0</v>
      </c>
      <c r="AN2409" cm="1">
        <f t="array" ref="AN2409">IFERROR(INDEX(hd_cap,MATCH(AQ2409,hd_mark,0),0),0)</f>
        <v>0</v>
      </c>
      <c r="AP2409" s="19"/>
      <c r="AQ2409" s="19"/>
      <c r="AR2409" s="100"/>
      <c r="AS2409" s="93"/>
      <c r="AT2409" s="109" t="s">
        <v>491</v>
      </c>
      <c r="AU2409" t="str">
        <f>$Q$2327</f>
        <v>L4</v>
      </c>
      <c r="AV2409">
        <f>$E$23</f>
        <v>0</v>
      </c>
      <c r="AW2409" cm="1">
        <f t="array" ref="AW2409">IFERROR(IF(AV2409=0,0,(INDEX($C$33:$C$38,MATCH($AZ$2343,$B$33:$B$38,0),0)*(AV2411+$BA$2343)+$AW$2343*COUNTIF(AV2409:AV2410,"&gt;0")*$C$32+$AY$2343*$C$31)*$AU$2343),0)</f>
        <v>0</v>
      </c>
      <c r="AX2409">
        <f>IF(AV2409=0,0,-(COUNTIF(AV2409:AV2410,"&gt;0")*$AW$2343*$C$32+$AY$2343*$C$31)*$H$27*$AU$2343)</f>
        <v>0</v>
      </c>
      <c r="AY2409">
        <f>IF(AV2409=0,0,$AY$2343*$H$26*$AU$2343)</f>
        <v>0</v>
      </c>
      <c r="AZ2409">
        <f>(0.6*AW2409+0.7*AX2409)*$AU$2343/2</f>
        <v>0</v>
      </c>
      <c r="BA2409">
        <f>AW2409*$AU$2343/2</f>
        <v>0</v>
      </c>
      <c r="BC2409">
        <f>IF(AV2409=0,0,$BG$2343*$AP$2327)</f>
        <v>0</v>
      </c>
      <c r="BD2409">
        <f>IFERROR(BC2409/$AU$2343,0)</f>
        <v>0</v>
      </c>
      <c r="BE2409">
        <f>BC2409*($F$23+IF($F$23=0,0,($C$14+$C$15+IF($C$13="single",1.5,3)+3)/12))</f>
        <v>0</v>
      </c>
      <c r="BF2409">
        <f>BE2409-AZ2409</f>
        <v>0</v>
      </c>
      <c r="BG2409" cm="1">
        <f t="array" ref="BG2409">IFERROR(IF(BF2409&lt;0,0,BF2409/($AU$2343-INDEX(hd_off,MATCH(BT2409,hd_mark,0),0)/12)),0)</f>
        <v>0</v>
      </c>
      <c r="BH2409">
        <f>IF(AV2409=0,0,$BG$2343*$AM$2327)</f>
        <v>0</v>
      </c>
      <c r="BI2409">
        <f>IFERROR(BH2409/$AU$2343,0)</f>
        <v>0</v>
      </c>
      <c r="BJ2409">
        <f>BH2409*($F$23+IF($F$23=0,0,($C$14+$C$15+IF($C$13="single",1.5,3)+3)/12))</f>
        <v>0</v>
      </c>
      <c r="BK2409">
        <f>BJ2409-BA2409</f>
        <v>0</v>
      </c>
      <c r="BL2409" cm="1">
        <f t="array" ref="BL2409">IFERROR(IF(BK2409&lt;0,0,BK2409/($AU$2343-INDEX(hd_off,MATCH(BT2409,hd_mark,0),0)/12)),0)</f>
        <v>0</v>
      </c>
      <c r="BM2409">
        <f>MAX($F$23,$BD$2343)/$Q$2356</f>
        <v>0</v>
      </c>
      <c r="BN2409">
        <f t="shared" si="1487"/>
        <v>0</v>
      </c>
      <c r="BO2409" cm="1">
        <f t="array" ref="BO2409">IFERROR(INDEX(sheath_ecap_asd,MATCH(BS2409,sheath_mark,0),0)*BN2409,0)</f>
        <v>0</v>
      </c>
      <c r="BP2409" cm="1">
        <f t="array" ref="BP2409">IFERROR(INDEX(sheath_wcap_asd,MATCH(BS2409,sheath_mark,0),0)*BN2409,0)</f>
        <v>0</v>
      </c>
      <c r="BQ2409" cm="1">
        <f t="array" ref="BQ2409">IFERROR(INDEX(hd_cap,MATCH(BT2409,hd_mark,0),0),0)</f>
        <v>0</v>
      </c>
      <c r="BS2409" s="19"/>
      <c r="BT2409" s="19"/>
      <c r="BU2409" s="100"/>
    </row>
    <row r="2410" x14ac:dyDescent="0.25">
      <c r="P2410" s="93"/>
      <c r="Q2410" s="111">
        <f>$R$2343</f>
        <v>0</v>
      </c>
      <c r="R2410" t="str">
        <f>$Q$2328</f>
        <v>L5</v>
      </c>
      <c r="S2410">
        <f>$E$24</f>
        <v>0</v>
      </c>
      <c r="T2410" cm="1">
        <f t="array" ref="T2410">IFERROR(IF(S2410=0,0,(INDEX($C$33:$C$38,MATCH($W$2343,$B$33:$B$38,0),0)*(S2411+$X$2343)+$T$2343*COUNTIF(S2410:S2410,"&gt;0")*$C$32+$V$2343*$C$31)*$R$2343),0)</f>
        <v>0</v>
      </c>
      <c r="U2410">
        <f>IF(S2410=0,0,-(COUNTIF(S2410:S2410,"&gt;0")*$T$2343*$C$32+$V$2343*$C$31)*$H$27*$R$2343)</f>
        <v>0</v>
      </c>
      <c r="V2410">
        <f>IF(S2410=0,0,$V$2343*$H$26*$R$2343)</f>
        <v>0</v>
      </c>
      <c r="W2410">
        <f>(0.6*T2410+0.7*U2410)*$R$2343/2</f>
        <v>0</v>
      </c>
      <c r="X2410">
        <f>T2410*$R$2343/2</f>
        <v>0</v>
      </c>
      <c r="Z2410">
        <f>IF(S2410=0,0,$AD$2343*$AP$2328)</f>
        <v>0</v>
      </c>
      <c r="AA2410">
        <f>IFERROR(Z2410/$R$2343,0)</f>
        <v>0</v>
      </c>
      <c r="AB2410">
        <f>Z2410*($F$24+IF($F$24=0,0,($C$14+$C$15+IF($C$13="single",1.5,3)+3)/12))</f>
        <v>0</v>
      </c>
      <c r="AC2410">
        <f>AB2410-W2410</f>
        <v>0</v>
      </c>
      <c r="AD2410" cm="1">
        <f t="array" ref="AD2410">IFERROR(IF(AC2410&lt;0,0,AC2410/($R$2343-INDEX(hd_off,MATCH(AQ2410,hd_mark,0),0)/12)),0)</f>
        <v>0</v>
      </c>
      <c r="AE2410">
        <f>IF(S2410=0,0,$AD$2343*$AM$2328)</f>
        <v>0</v>
      </c>
      <c r="AF2410">
        <f>IFERROR(AE2410/$R$2343,0)</f>
        <v>0</v>
      </c>
      <c r="AG2410">
        <f>AE2410*($F$24+IF($F$24=0,0,($C$14+$C$15+IF($C$13="single",1.5,3)+3)/12))</f>
        <v>0</v>
      </c>
      <c r="AH2410">
        <f>AG2410-X2410</f>
        <v>0</v>
      </c>
      <c r="AI2410" cm="1">
        <f t="array" ref="AI2410">IFERROR(IF(AH2410&lt;0,0,AH2410/($R$2343-INDEX(hd_off,MATCH(AQ2410,hd_mark,0),0)/12)),0)</f>
        <v>0</v>
      </c>
      <c r="AJ2410">
        <f>MAX($F$24,$AB$2343)/$Q$2356</f>
        <v>0</v>
      </c>
      <c r="AK2410">
        <f t="shared" si="1486"/>
        <v>0</v>
      </c>
      <c r="AL2410" cm="1">
        <f t="array" ref="AL2410">IFERROR(INDEX(sheath_ecap_asd,MATCH(AP2410,sheath_mark,0),0)*AK2410,0)</f>
        <v>0</v>
      </c>
      <c r="AM2410" cm="1">
        <f t="array" ref="AM2410">IFERROR(INDEX(sheath_wcap_asd,MATCH(AP2410,sheath_mark,0),0)*AK2410,0)</f>
        <v>0</v>
      </c>
      <c r="AN2410" cm="1">
        <f t="array" ref="AN2410">IFERROR(INDEX(hd_cap,MATCH(AQ2410,hd_mark,0),0),0)</f>
        <v>0</v>
      </c>
      <c r="AP2410" s="19"/>
      <c r="AQ2410" s="19"/>
      <c r="AR2410" s="100"/>
      <c r="AS2410" s="93"/>
      <c r="AT2410" s="111">
        <f>$R$2343</f>
        <v>0</v>
      </c>
      <c r="AU2410" t="str">
        <f>$Q$2328</f>
        <v>L5</v>
      </c>
      <c r="AV2410">
        <f>$E$24</f>
        <v>0</v>
      </c>
      <c r="AW2410" cm="1">
        <f t="array" ref="AW2410">IFERROR(IF(AV2410=0,0,(INDEX($C$33:$C$38,MATCH($AZ$2343,$B$33:$B$38,0),0)*(AV2411+$BA$2343)+$AW$2343*COUNTIF(AV2410:AV2410,"&gt;0")*$C$32+$AY$2343*$C$31)*$AU$2343),0)</f>
        <v>0</v>
      </c>
      <c r="AX2410">
        <f>IF(AV2410=0,0,-(COUNTIF(AV2410:AV2410,"&gt;0")*$AW$2343*$C$32+$AY$2343*$C$31)*$H$27*$AU$2343)</f>
        <v>0</v>
      </c>
      <c r="AY2410">
        <f>IF(AV2410=0,0,$AY$2343*$H$26*$AU$2343)</f>
        <v>0</v>
      </c>
      <c r="AZ2410">
        <f>(0.6*AW2410+0.7*AX2410)*$AU$2343/2</f>
        <v>0</v>
      </c>
      <c r="BA2410">
        <f>AW2410*$AU$2343/2</f>
        <v>0</v>
      </c>
      <c r="BC2410">
        <f>IF(AV2410=0,0,$BG$2343*$AP$2328)</f>
        <v>0</v>
      </c>
      <c r="BD2410">
        <f>IFERROR(BC2410/$AU$2343,0)</f>
        <v>0</v>
      </c>
      <c r="BE2410">
        <f>BC2410*($F$24+IF($F$24=0,0,($C$14+$C$15+IF($C$13="single",1.5,3)+3)/12))</f>
        <v>0</v>
      </c>
      <c r="BF2410">
        <f>BE2410-AZ2410</f>
        <v>0</v>
      </c>
      <c r="BG2410" cm="1">
        <f t="array" ref="BG2410">IFERROR(IF(BF2410&lt;0,0,BF2410/($AU$2343-INDEX(hd_off,MATCH(BT2410,hd_mark,0),0)/12)),0)</f>
        <v>0</v>
      </c>
      <c r="BH2410">
        <f>IF(AV2410=0,0,$BG$2343*$AM$2328)</f>
        <v>0</v>
      </c>
      <c r="BI2410">
        <f>IFERROR(BH2410/$AU$2343,0)</f>
        <v>0</v>
      </c>
      <c r="BJ2410">
        <f>BH2410*($F$24+IF($F$24=0,0,($C$14+$C$15+IF($C$13="single",1.5,3)+3)/12))</f>
        <v>0</v>
      </c>
      <c r="BK2410">
        <f>BJ2410-BA2410</f>
        <v>0</v>
      </c>
      <c r="BL2410" cm="1">
        <f t="array" ref="BL2410">IFERROR(IF(BK2410&lt;0,0,BK2410/($AU$2343-INDEX(hd_off,MATCH(BT2410,hd_mark,0),0)/12)),0)</f>
        <v>0</v>
      </c>
      <c r="BM2410">
        <f>MAX($F$24,$BE$2343)/$Q$2356</f>
        <v>0</v>
      </c>
      <c r="BN2410">
        <f t="shared" si="1487"/>
        <v>0</v>
      </c>
      <c r="BO2410" cm="1">
        <f t="array" ref="BO2410">IFERROR(INDEX(sheath_ecap_asd,MATCH(BS2410,sheath_mark,0),0)*BN2410,0)</f>
        <v>0</v>
      </c>
      <c r="BP2410" cm="1">
        <f t="array" ref="BP2410">IFERROR(INDEX(sheath_wcap_asd,MATCH(BS2410,sheath_mark,0),0)*BN2410,0)</f>
        <v>0</v>
      </c>
      <c r="BQ2410" cm="1">
        <f t="array" ref="BQ2410">IFERROR(INDEX(hd_cap,MATCH(BT2410,hd_mark,0),0),0)</f>
        <v>0</v>
      </c>
      <c r="BS2410" s="19"/>
      <c r="BT2410" s="19"/>
      <c r="BU2410" s="100"/>
    </row>
    <row r="2411" x14ac:dyDescent="0.25">
      <c r="P2411" s="93"/>
      <c r="Q2411" s="109"/>
      <c r="R2411" t="str">
        <f>$Q$2329</f>
        <v>Roof</v>
      </c>
      <c r="S2411">
        <f>$E$25</f>
        <v>33.171875</v>
      </c>
      <c r="T2411" cm="1">
        <f t="array" ref="T2411">IFERROR(IF(S2411=0,0,(INDEX($C$33:$C$38,MATCH($W$2343,$B$33:$B$38,0),0)*(S2411+$X$2343)+$V$2343*$C$31)*$R$2343),0)</f>
        <v>0</v>
      </c>
      <c r="U2411">
        <f>IF(S2411=0,0,-$V$2343*$C$31*$H$27*$R$2343)</f>
        <v>0</v>
      </c>
      <c r="V2411">
        <f>IF(S2411=0,0,$V$2343*$H$26*$R$2343)</f>
        <v>0</v>
      </c>
      <c r="W2411">
        <f>(0.6*T2411+0.7*U2411)*$R$2343/2</f>
        <v>0</v>
      </c>
      <c r="X2411">
        <f>T2411*$R$2343/2</f>
        <v>0</v>
      </c>
      <c r="Z2411">
        <f>IF(S2411=0,0,$AD$2343*$AP$2329)</f>
        <v>0</v>
      </c>
      <c r="AA2411">
        <f>IFERROR(Z2411/$R$2343,0)</f>
        <v>0</v>
      </c>
      <c r="AB2411">
        <f>Z2411*($F$25+($C$16+$C$17+IF($C$13="single",1.5,3)+3)/12)</f>
        <v>0</v>
      </c>
      <c r="AC2411">
        <f>AB2411-W2411</f>
        <v>0</v>
      </c>
      <c r="AD2411" cm="1">
        <f t="array" ref="AD2411">IFERROR(IF(AC2411&lt;0,0,AC2411/($R$2343-INDEX(hd_off,MATCH(AQ2411,hd_mark,0),0)/12)),0)</f>
        <v>0</v>
      </c>
      <c r="AE2411">
        <f>IF(S2411=0,0,$AD$2343*$AM$2329)</f>
        <v>0</v>
      </c>
      <c r="AF2411">
        <f>IFERROR(AE2411/$R$2343,0)</f>
        <v>0</v>
      </c>
      <c r="AG2411">
        <f>AE2411*($F$25+($C$16+$C$17+IF($C$13="single",1.5,3)+3)/12)</f>
        <v>0</v>
      </c>
      <c r="AH2411">
        <f>AG2411-X2411</f>
        <v>0</v>
      </c>
      <c r="AI2411" cm="1">
        <f t="array" ref="AI2411">IFERROR(IF(AH2411&lt;0,0,AH2411/($R$2343-INDEX(hd_off,MATCH(AQ2411,hd_mark,0),0)/12)),0)</f>
        <v>0</v>
      </c>
      <c r="AJ2411">
        <f>MAX($F$25,$AC$2343)/$Q$2356</f>
        <v>0.29920977011494249</v>
      </c>
      <c r="AK2411">
        <f t="shared" si="1486"/>
        <v>1</v>
      </c>
      <c r="AL2411" cm="1">
        <f t="array" ref="AL2411">IFERROR(INDEX(sheath_ecap_asd,MATCH(AP2411,sheath_mark,0),0)*AK2411,0)</f>
        <v>0</v>
      </c>
      <c r="AM2411" cm="1">
        <f t="array" ref="AM2411">IFERROR(INDEX(sheath_wcap_asd,MATCH(AP2411,sheath_mark,0),0)*AK2411,0)</f>
        <v>0</v>
      </c>
      <c r="AN2411" cm="1">
        <f t="array" ref="AN2411">IFERROR(INDEX(hd_cap,MATCH(AQ2411,hd_mark,0),0),0)</f>
        <v>0</v>
      </c>
      <c r="AP2411" s="19"/>
      <c r="AQ2411" s="19"/>
      <c r="AR2411" s="100"/>
      <c r="AS2411" s="93"/>
      <c r="AT2411" s="109"/>
      <c r="AU2411" t="str">
        <f>$Q$2329</f>
        <v>Roof</v>
      </c>
      <c r="AV2411">
        <f>$E$25</f>
        <v>33.171875</v>
      </c>
      <c r="AW2411" cm="1">
        <f t="array" ref="AW2411">IFERROR(IF(AV2411=0,0,(INDEX($C$33:$C$38,MATCH($AZ$2343,$B$33:$B$38,0),0)*(AV2411+$BA$2343)+$AY$2343*$C$31)*$AU$2343),0)</f>
        <v>0</v>
      </c>
      <c r="AX2411">
        <f>IF(AV2411=0,0,-$AY$2343*$C$31*$H$27*$AU$2343)</f>
        <v>0</v>
      </c>
      <c r="AY2411">
        <f>IF(AV2411=0,0,$AY$2343*$H$26*$AU$2343)</f>
        <v>0</v>
      </c>
      <c r="AZ2411">
        <f>(0.6*AW2411+0.7*AX2411)*$AU$2343/2</f>
        <v>0</v>
      </c>
      <c r="BA2411">
        <f>AW2411*$AU$2343/2</f>
        <v>0</v>
      </c>
      <c r="BC2411">
        <f>IF(AV2411=0,0,$BG$2343*$AP$2329)</f>
        <v>0</v>
      </c>
      <c r="BD2411">
        <f>IFERROR(BC2411/$AU$2343,0)</f>
        <v>0</v>
      </c>
      <c r="BE2411">
        <f>BC2411*($F$25+($C$16+$C$17+IF($C$13="single",1.5,3)+3)/12)</f>
        <v>0</v>
      </c>
      <c r="BF2411">
        <f>BE2411-AZ2411</f>
        <v>0</v>
      </c>
      <c r="BG2411" cm="1">
        <f t="array" ref="BG2411">IFERROR(IF(BF2411&lt;0,0,BF2411/($AU$2343-INDEX(hd_off,MATCH(BT2411,hd_mark,0),0)/12)),0)</f>
        <v>0</v>
      </c>
      <c r="BH2411">
        <f>IF(AV2411=0,0,$BG$2343*$AM$2329)</f>
        <v>0</v>
      </c>
      <c r="BI2411">
        <f>IFERROR(BH2411/$AU$2343,0)</f>
        <v>0</v>
      </c>
      <c r="BJ2411">
        <f>BH2411*($F$25+($C$16+$C$17+IF($C$13="single",1.5,3)+3)/12)</f>
        <v>0</v>
      </c>
      <c r="BK2411">
        <f>BJ2411-BA2411</f>
        <v>0</v>
      </c>
      <c r="BL2411" cm="1">
        <f t="array" ref="BL2411">IFERROR(IF(BK2411&lt;0,0,BK2411/($AU$2343-INDEX(hd_off,MATCH(BT2411,hd_mark,0),0)/12)),0)</f>
        <v>0</v>
      </c>
      <c r="BM2411">
        <f>MAX($F$25,$BF$2343)/$Q$2356</f>
        <v>0.29920977011494249</v>
      </c>
      <c r="BN2411">
        <f t="shared" si="1487"/>
        <v>1</v>
      </c>
      <c r="BO2411" cm="1">
        <f t="array" ref="BO2411">IFERROR(INDEX(sheath_ecap_asd,MATCH(BS2411,sheath_mark,0),0)*BN2411,0)</f>
        <v>0</v>
      </c>
      <c r="BP2411" cm="1">
        <f t="array" ref="BP2411">IFERROR(INDEX(sheath_wcap_asd,MATCH(BS2411,sheath_mark,0),0)*BN2411,0)</f>
        <v>0</v>
      </c>
      <c r="BQ2411" cm="1">
        <f t="array" ref="BQ2411">IFERROR(INDEX(hd_cap,MATCH(BT2411,hd_mark,0),0),0)</f>
        <v>0</v>
      </c>
      <c r="BS2411" s="19"/>
      <c r="BT2411" s="19"/>
      <c r="BU2411" s="100"/>
    </row>
    <row r="2412" x14ac:dyDescent="0.25">
      <c r="P2412" s="93"/>
      <c r="AR2412" s="100"/>
      <c r="AS2412" s="93"/>
      <c r="BU2412" s="100"/>
    </row>
    <row r="2413" x14ac:dyDescent="0.25">
      <c r="P2413" s="93"/>
      <c r="Q2413" s="110" t="str">
        <f>$Q$2344</f>
        <v>A.11</v>
      </c>
      <c r="R2413" t="str">
        <f>$Q$2325</f>
        <v>L2</v>
      </c>
      <c r="S2413">
        <f>$E$21</f>
        <v>10.6875</v>
      </c>
      <c r="T2413" cm="1">
        <f t="array" ref="T2413">IFERROR(IF(S2413=0,0,(INDEX($C$33:$C$38,MATCH($W$2344,$B$33:$B$38,0),0)*(S2417+$X$2344)+$T$2344*COUNTIF(S2413:S2416,"&gt;0")*$C$32+$V$2344*$C$31)*$R$2344),0)</f>
        <v>0</v>
      </c>
      <c r="U2413">
        <f>IF(S2413=0,0,-(COUNTIF(S2413:S2416,"&gt;0")*$T$2344*$C$32+$V$2344*$C$31)*$H$27*$R$2344)</f>
        <v>0</v>
      </c>
      <c r="V2413">
        <f>IF(S2413=0,0,$V$2344*$H$26*$R$2344)</f>
        <v>0</v>
      </c>
      <c r="W2413">
        <f>(0.6*T2413+0.7*U2413)*$R$2344/2</f>
        <v>0</v>
      </c>
      <c r="X2413">
        <f>(0.6*T2413+0.6*V2413)*$R$2344/2</f>
        <v>0</v>
      </c>
      <c r="Z2413">
        <f>IF(S2413=0,0,$AD$2344*$AP$2325)</f>
        <v>0</v>
      </c>
      <c r="AA2413">
        <f>IFERROR(Z2413/$R$2344,0)</f>
        <v>0</v>
      </c>
      <c r="AB2413">
        <f>Z2413*($F$21+IF($F$21=0,0,($C$14+$C$15+IF($C$13="single",1.5,3)+3)/12))</f>
        <v>0</v>
      </c>
      <c r="AC2413">
        <f>AB2413-W2413</f>
        <v>0</v>
      </c>
      <c r="AD2413" cm="1">
        <f t="array" ref="AD2413">IFERROR(IF(AC2413&lt;0,0,AC2413/($R$2344-INDEX(hd_off,MATCH(AQ2413,hd_mark,0),0)/12)),0)</f>
        <v>0</v>
      </c>
      <c r="AE2413">
        <f>IF(S2413=0,0,$AD$2344*$AM$2325)</f>
        <v>0</v>
      </c>
      <c r="AF2413">
        <f>IFERROR(AE2413/$R$2344,0)</f>
        <v>0</v>
      </c>
      <c r="AG2413">
        <f>AE2413*($F$21+IF($F$21=0,0,($C$14+$C$15+IF($C$13="single",1.5,3)+3)/12))</f>
        <v>0</v>
      </c>
      <c r="AH2413">
        <f>AG2413-X2413</f>
        <v>0</v>
      </c>
      <c r="AI2413" cm="1">
        <f t="array" ref="AI2413">IFERROR(IF(AH2413&lt;0,0,AH2413/($R$2344-INDEX(hd_off,MATCH(AQ2413,hd_mark,0),0)/12)),0)</f>
        <v>0</v>
      </c>
      <c r="AJ2413">
        <f>MAX($F$21,$Y$2344)/$Q$2356</f>
        <v>0.30172413793103448</v>
      </c>
      <c r="AK2413">
        <f>IF(AJ2413=0,0,IF(AJ2413&gt;2,1.25-0.125*AJ2413,1))</f>
        <v>1</v>
      </c>
      <c r="AL2413" cm="1">
        <f t="array" ref="AL2413">IFERROR(INDEX(sheath_ecap_asd,MATCH(AP2413,sheath_mark,0),0)*AK2413,0)</f>
        <v>0</v>
      </c>
      <c r="AM2413" cm="1">
        <f t="array" ref="AM2413">IFERROR(INDEX(sheath_wcap_asd,MATCH(AP2413,sheath_mark,0),0)*AK2413,0)</f>
        <v>0</v>
      </c>
      <c r="AN2413" cm="1">
        <f t="array" ref="AN2413">IFERROR(INDEX(hd_cap,MATCH(AQ2413,hd_mark,0),0),0)</f>
        <v>0</v>
      </c>
      <c r="AP2413" s="19"/>
      <c r="AQ2413" s="19"/>
      <c r="AR2413" s="100"/>
      <c r="AS2413" s="93"/>
      <c r="AT2413" s="110" t="str">
        <f>$AT$2344</f>
        <v>1.11</v>
      </c>
      <c r="AU2413" t="str">
        <f>$Q$2325</f>
        <v>L2</v>
      </c>
      <c r="AV2413">
        <f>$E$21</f>
        <v>10.6875</v>
      </c>
      <c r="AW2413" cm="1">
        <f t="array" ref="AW2413">IFERROR(IF(AV2413=0,0,(INDEX($C$33:$C$38,MATCH($AZ$2344,$B$33:$B$38,0),0)*(AV2417+$BA$2344)+$AW$2344*COUNTIF(AV2413:AV2416,"&gt;0")*$C$32+$AY$2344*$C$31)*$AU$2344),0)</f>
        <v>0</v>
      </c>
      <c r="AX2413">
        <f>IF(AV2413=0,0,-(COUNTIF(AV2413:AV2416,"&gt;0")*$AW$2344*$C$32+$AY$2344*$C$31)*$H$27*$AU$2344)</f>
        <v>0</v>
      </c>
      <c r="AY2413">
        <f>IF(AV2413=0,0,$AY$2344*$H$26*$AU$2344)</f>
        <v>0</v>
      </c>
      <c r="AZ2413">
        <f>(0.6*AW2413+0.7*AX2413)*$AU$2344/2</f>
        <v>0</v>
      </c>
      <c r="BA2413">
        <f>(0.6*AW2413+0.6*AY2413)*$AU$2344/2</f>
        <v>0</v>
      </c>
      <c r="BC2413">
        <f>IF(AV2413=0,0,$BG$2344*$AP$2325)</f>
        <v>0</v>
      </c>
      <c r="BD2413">
        <f>IFERROR(BC2413/$AU$2344,0)</f>
        <v>0</v>
      </c>
      <c r="BE2413">
        <f>BC2413*($F$21+IF($F$21=0,0,($C$14+$C$15+IF($C$13="single",1.5,3)+3)/12))</f>
        <v>0</v>
      </c>
      <c r="BF2413">
        <f>BE2413-AZ2413</f>
        <v>0</v>
      </c>
      <c r="BG2413" cm="1">
        <f t="array" ref="BG2413">IFERROR(IF(BF2413&lt;0,0,BF2413/($AU$2344-INDEX(hd_off,MATCH(BT2413,hd_mark,0),0)/12)),0)</f>
        <v>0</v>
      </c>
      <c r="BH2413">
        <f>IF(AV2413=0,0,$BG$2344*$AM$2325)</f>
        <v>0</v>
      </c>
      <c r="BI2413">
        <f>IFERROR(BH2413/$AU$2344,0)</f>
        <v>0</v>
      </c>
      <c r="BJ2413">
        <f>BH2413*($F$21+IF($F$21=0,0,($C$14+$C$15+IF($C$13="single",1.5,3)+3)/12))</f>
        <v>0</v>
      </c>
      <c r="BK2413">
        <f>BJ2413-BA2413</f>
        <v>0</v>
      </c>
      <c r="BL2413" cm="1">
        <f t="array" ref="BL2413">IFERROR(IF(BK2413&lt;0,0,BK2413/($AU$2344-INDEX(hd_off,MATCH(BT2413,hd_mark,0),0)/12)),0)</f>
        <v>0</v>
      </c>
      <c r="BM2413">
        <f>MAX($F$21,$BB$2344)/$Q$2356</f>
        <v>0.30172413793103448</v>
      </c>
      <c r="BN2413">
        <f>IF(BM2413=0,0,IF(BM2413&gt;2,1.25-0.125*BM2413,1))</f>
        <v>1</v>
      </c>
      <c r="BO2413" cm="1">
        <f t="array" ref="BO2413">IFERROR(INDEX(sheath_ecap_asd,MATCH(BS2413,sheath_mark,0),0)*BN2413,0)</f>
        <v>0</v>
      </c>
      <c r="BP2413" cm="1">
        <f t="array" ref="BP2413">IFERROR(INDEX(sheath_wcap_asd,MATCH(BS2413,sheath_mark,0),0)*BN2413,0)</f>
        <v>0</v>
      </c>
      <c r="BQ2413" cm="1">
        <f t="array" ref="BQ2413">IFERROR(INDEX(hd_cap,MATCH(BT2413,hd_mark,0),0),0)</f>
        <v>0</v>
      </c>
      <c r="BS2413" s="19"/>
      <c r="BT2413" s="19"/>
      <c r="BU2413" s="100"/>
    </row>
    <row r="2414" x14ac:dyDescent="0.25">
      <c r="P2414" s="93"/>
      <c r="Q2414" s="109"/>
      <c r="R2414" t="str">
        <f>$Q$2326</f>
        <v>L3</v>
      </c>
      <c r="S2414">
        <f>$E$22</f>
        <v>21.375</v>
      </c>
      <c r="T2414" cm="1">
        <f t="array" ref="T2414">IFERROR(IF(S2414=0,0,(INDEX($C$33:$C$38,MATCH($W$2344,$B$33:$B$38,0),0)*(S2417+$X$2344)+$T$2344*COUNTIF(S2414:S2416,"&gt;0")*$C$32+$V$2344*$C$31)*$R$2344),0)</f>
        <v>0</v>
      </c>
      <c r="U2414">
        <f>IF(S2414=0,0,-(COUNTIF(S2414:S2416,"&gt;0")*$T$2344*$C$32+$V$2344*$C$31)*$H$27*$R$2344)</f>
        <v>0</v>
      </c>
      <c r="V2414">
        <f>IF(S2414=0,0,$V$2344*$H$26*$R$2344)</f>
        <v>0</v>
      </c>
      <c r="W2414">
        <f>(0.6*T2414+0.7*U2414)*$R$2344/2</f>
        <v>0</v>
      </c>
      <c r="X2414">
        <f>T2414*$R$2344/2</f>
        <v>0</v>
      </c>
      <c r="Z2414">
        <f>IF(S2414=0,0,$AD$2344*$AP$2326)</f>
        <v>0</v>
      </c>
      <c r="AA2414">
        <f>IFERROR(Z2414/$R$2344,0)</f>
        <v>0</v>
      </c>
      <c r="AB2414">
        <f>Z2414*($F$22+IF($F$22=0,0,($C$14+$C$15+IF($C$13="single",1.5,3)+3)/12))</f>
        <v>0</v>
      </c>
      <c r="AC2414">
        <f>AB2414-W2414</f>
        <v>0</v>
      </c>
      <c r="AD2414" cm="1">
        <f t="array" ref="AD2414">IFERROR(IF(AC2414&lt;0,0,AC2414/($R$2344-INDEX(hd_off,MATCH(AQ2414,hd_mark,0),0)/12)),0)</f>
        <v>0</v>
      </c>
      <c r="AE2414">
        <f>IF(S2414=0,0,$AD$2344*$AM$2326)</f>
        <v>0</v>
      </c>
      <c r="AF2414">
        <f>IFERROR(AE2414/$R$2344,0)</f>
        <v>0</v>
      </c>
      <c r="AG2414">
        <f>AE2414*($F$22+IF($F$22=0,0,($C$14+$C$15+IF($C$13="single",1.5,3)+3)/12))</f>
        <v>0</v>
      </c>
      <c r="AH2414">
        <f>AG2414-X2414</f>
        <v>0</v>
      </c>
      <c r="AI2414" cm="1">
        <f t="array" ref="AI2414">IFERROR(IF(AH2414&lt;0,0,AH2414/($R$2344-INDEX(hd_off,MATCH(AQ2414,hd_mark,0),0)/12)),0)</f>
        <v>0</v>
      </c>
      <c r="AJ2414">
        <f>MAX($F$22,$Z$2344)/$Q$2356</f>
        <v>0.30172413793103448</v>
      </c>
      <c r="AK2414">
        <f t="shared" ref="AK2414:AK2417" si="1488">IF(AJ2414=0,0,IF(AJ2414&gt;2,1.25-0.125*AJ2414,1))</f>
        <v>1</v>
      </c>
      <c r="AL2414" cm="1">
        <f t="array" ref="AL2414">IFERROR(INDEX(sheath_ecap_asd,MATCH(AP2414,sheath_mark,0),0)*AK2414,0)</f>
        <v>0</v>
      </c>
      <c r="AM2414" cm="1">
        <f t="array" ref="AM2414">IFERROR(INDEX(sheath_wcap_asd,MATCH(AP2414,sheath_mark,0),0)*AK2414,0)</f>
        <v>0</v>
      </c>
      <c r="AN2414" cm="1">
        <f t="array" ref="AN2414">IFERROR(INDEX(hd_cap,MATCH(AQ2414,hd_mark,0),0),0)</f>
        <v>0</v>
      </c>
      <c r="AP2414" s="19"/>
      <c r="AQ2414" s="19"/>
      <c r="AR2414" s="100"/>
      <c r="AS2414" s="93"/>
      <c r="AT2414" s="109"/>
      <c r="AU2414" t="str">
        <f>$Q$2326</f>
        <v>L3</v>
      </c>
      <c r="AV2414">
        <f>$E$22</f>
        <v>21.375</v>
      </c>
      <c r="AW2414" cm="1">
        <f t="array" ref="AW2414">IFERROR(IF(AV2414=0,0,(INDEX($C$33:$C$38,MATCH($AZ$2344,$B$33:$B$38,0),0)*(AV2417+$BA$2344)+$AW$2344*COUNTIF(AV2414:AV2416,"&gt;0")*$C$32+$AY$2344*$C$31)*$AU$2344),0)</f>
        <v>0</v>
      </c>
      <c r="AX2414">
        <f>IF(AV2414=0,0,-(COUNTIF(AV2414:AV2416,"&gt;0")*$AW$2344*$C$32+$AY$2344*$C$31)*$H$27*$AU$2344)</f>
        <v>0</v>
      </c>
      <c r="AY2414">
        <f>IF(AV2414=0,0,$AY$2344*$H$26*$AU$2344)</f>
        <v>0</v>
      </c>
      <c r="AZ2414">
        <f>(0.6*AW2414+0.7*AX2414)*$AU$2344/2</f>
        <v>0</v>
      </c>
      <c r="BA2414">
        <f>AW2414*$AU$2344/2</f>
        <v>0</v>
      </c>
      <c r="BC2414">
        <f>IF(AV2414=0,0,$BG$2344*$AP$2326)</f>
        <v>0</v>
      </c>
      <c r="BD2414">
        <f>IFERROR(BC2414/$AU$2344,0)</f>
        <v>0</v>
      </c>
      <c r="BE2414">
        <f>BC2414*($F$22+IF($F$22=0,0,($C$14+$C$15+IF($C$13="single",1.5,3)+3)/12))</f>
        <v>0</v>
      </c>
      <c r="BF2414">
        <f>BE2414-AZ2414</f>
        <v>0</v>
      </c>
      <c r="BG2414" cm="1">
        <f t="array" ref="BG2414">IFERROR(IF(BF2414&lt;0,0,BF2414/($AU$2344-INDEX(hd_off,MATCH(BT2414,hd_mark,0),0)/12)),0)</f>
        <v>0</v>
      </c>
      <c r="BH2414">
        <f>IF(AV2414=0,0,$BG$2344*$AM$2326)</f>
        <v>0</v>
      </c>
      <c r="BI2414">
        <f>IFERROR(BH2414/$AU$2344,0)</f>
        <v>0</v>
      </c>
      <c r="BJ2414">
        <f>BH2414*($F$22+IF($F$22=0,0,($C$14+$C$15+IF($C$13="single",1.5,3)+3)/12))</f>
        <v>0</v>
      </c>
      <c r="BK2414">
        <f>BJ2414-BA2414</f>
        <v>0</v>
      </c>
      <c r="BL2414" cm="1">
        <f t="array" ref="BL2414">IFERROR(IF(BK2414&lt;0,0,BK2414/($AU$2344-INDEX(hd_off,MATCH(BT2414,hd_mark,0),0)/12)),0)</f>
        <v>0</v>
      </c>
      <c r="BM2414">
        <f>MAX($F$22,$BC$2344)/$Q$2356</f>
        <v>0.30172413793103448</v>
      </c>
      <c r="BN2414">
        <f t="shared" ref="BN2414:BN2417" si="1489">IF(BM2414=0,0,IF(BM2414&gt;2,1.25-0.125*BM2414,1))</f>
        <v>1</v>
      </c>
      <c r="BO2414" cm="1">
        <f t="array" ref="BO2414">IFERROR(INDEX(sheath_ecap_asd,MATCH(BS2414,sheath_mark,0),0)*BN2414,0)</f>
        <v>0</v>
      </c>
      <c r="BP2414" cm="1">
        <f t="array" ref="BP2414">IFERROR(INDEX(sheath_wcap_asd,MATCH(BS2414,sheath_mark,0),0)*BN2414,0)</f>
        <v>0</v>
      </c>
      <c r="BQ2414" cm="1">
        <f t="array" ref="BQ2414">IFERROR(INDEX(hd_cap,MATCH(BT2414,hd_mark,0),0),0)</f>
        <v>0</v>
      </c>
      <c r="BS2414" s="19"/>
      <c r="BT2414" s="19"/>
      <c r="BU2414" s="100"/>
    </row>
    <row r="2415" x14ac:dyDescent="0.25">
      <c r="P2415" s="93"/>
      <c r="Q2415" s="109" t="s">
        <v>491</v>
      </c>
      <c r="R2415" t="str">
        <f>$Q$2327</f>
        <v>L4</v>
      </c>
      <c r="S2415">
        <f>$E$23</f>
        <v>0</v>
      </c>
      <c r="T2415" cm="1">
        <f t="array" ref="T2415">IFERROR(IF(S2415=0,0,(INDEX($C$33:$C$38,MATCH($W$2344,$B$33:$B$38,0),0)*(S2417+$X$2344)+$T$2344*COUNTIF(S2415:S2416,"&gt;0")*$C$32+$V$2344*$C$31)*$R$2344),0)</f>
        <v>0</v>
      </c>
      <c r="U2415">
        <f>IF(S2415=0,0,-(COUNTIF(S2415:S2416,"&gt;0")*$T$2344*$C$32+$V$2344*$C$31)*$H$27*$R$2344)</f>
        <v>0</v>
      </c>
      <c r="V2415">
        <f>IF(S2415=0,0,$V$2344*$H$26*$R$2344)</f>
        <v>0</v>
      </c>
      <c r="W2415">
        <f>(0.6*T2415+0.7*U2415)*$R$2344/2</f>
        <v>0</v>
      </c>
      <c r="X2415">
        <f>T2415*$R$2344/2</f>
        <v>0</v>
      </c>
      <c r="Z2415">
        <f>IF(S2415=0,0,$AD$2344*$AP$2327)</f>
        <v>0</v>
      </c>
      <c r="AA2415">
        <f>IFERROR(Z2415/$R$2344,0)</f>
        <v>0</v>
      </c>
      <c r="AB2415">
        <f>Z2415*($F$23+IF($F$23=0,0,($C$14+$C$15+IF($C$13="single",1.5,3)+3)/12))</f>
        <v>0</v>
      </c>
      <c r="AC2415">
        <f>AB2415-W2415</f>
        <v>0</v>
      </c>
      <c r="AD2415" cm="1">
        <f t="array" ref="AD2415">IFERROR(IF(AC2415&lt;0,0,AC2415/($R$2344-INDEX(hd_off,MATCH(AQ2415,hd_mark,0),0)/12)),0)</f>
        <v>0</v>
      </c>
      <c r="AE2415">
        <f>IF(S2415=0,0,$AD$2344*$AM$2327)</f>
        <v>0</v>
      </c>
      <c r="AF2415">
        <f>IFERROR(AE2415/$R$2344,0)</f>
        <v>0</v>
      </c>
      <c r="AG2415">
        <f>AE2415*($F$23+IF($F$23=0,0,($C$14+$C$15+IF($C$13="single",1.5,3)+3)/12))</f>
        <v>0</v>
      </c>
      <c r="AH2415">
        <f>AG2415-X2415</f>
        <v>0</v>
      </c>
      <c r="AI2415" cm="1">
        <f t="array" ref="AI2415">IFERROR(IF(AH2415&lt;0,0,AH2415/($R$2344-INDEX(hd_off,MATCH(AQ2415,hd_mark,0),0)/12)),0)</f>
        <v>0</v>
      </c>
      <c r="AJ2415">
        <f>MAX($F$23,$AA$2344)/$Q$2356</f>
        <v>0</v>
      </c>
      <c r="AK2415">
        <f t="shared" si="1488"/>
        <v>0</v>
      </c>
      <c r="AL2415" cm="1">
        <f t="array" ref="AL2415">IFERROR(INDEX(sheath_ecap_asd,MATCH(AP2415,sheath_mark,0),0)*AK2415,0)</f>
        <v>0</v>
      </c>
      <c r="AM2415" cm="1">
        <f t="array" ref="AM2415">IFERROR(INDEX(sheath_wcap_asd,MATCH(AP2415,sheath_mark,0),0)*AK2415,0)</f>
        <v>0</v>
      </c>
      <c r="AN2415" cm="1">
        <f t="array" ref="AN2415">IFERROR(INDEX(hd_cap,MATCH(AQ2415,hd_mark,0),0),0)</f>
        <v>0</v>
      </c>
      <c r="AP2415" s="19"/>
      <c r="AQ2415" s="19"/>
      <c r="AR2415" s="100"/>
      <c r="AS2415" s="93"/>
      <c r="AT2415" s="109" t="s">
        <v>491</v>
      </c>
      <c r="AU2415" t="str">
        <f>$Q$2327</f>
        <v>L4</v>
      </c>
      <c r="AV2415">
        <f>$E$23</f>
        <v>0</v>
      </c>
      <c r="AW2415" cm="1">
        <f t="array" ref="AW2415">IFERROR(IF(AV2415=0,0,(INDEX($C$33:$C$38,MATCH($AZ$2344,$B$33:$B$38,0),0)*(AV2417+$BA$2344)+$AW$2344*COUNTIF(AV2415:AV2416,"&gt;0")*$C$32+$AY$2344*$C$31)*$AU$2344),0)</f>
        <v>0</v>
      </c>
      <c r="AX2415">
        <f>IF(AV2415=0,0,-(COUNTIF(AV2415:AV2416,"&gt;0")*$AW$2344*$C$32+$AY$2344*$C$31)*$H$27*$AU$2344)</f>
        <v>0</v>
      </c>
      <c r="AY2415">
        <f>IF(AV2415=0,0,$AY$2344*$H$26*$AU$2344)</f>
        <v>0</v>
      </c>
      <c r="AZ2415">
        <f>(0.6*AW2415+0.7*AX2415)*$AU$2344/2</f>
        <v>0</v>
      </c>
      <c r="BA2415">
        <f>AW2415*$AU$2344/2</f>
        <v>0</v>
      </c>
      <c r="BC2415">
        <f>IF(AV2415=0,0,$BG$2344*$AP$2327)</f>
        <v>0</v>
      </c>
      <c r="BD2415">
        <f>IFERROR(BC2415/$AU$2344,0)</f>
        <v>0</v>
      </c>
      <c r="BE2415">
        <f>BC2415*($F$23+IF($F$23=0,0,($C$14+$C$15+IF($C$13="single",1.5,3)+3)/12))</f>
        <v>0</v>
      </c>
      <c r="BF2415">
        <f>BE2415-AZ2415</f>
        <v>0</v>
      </c>
      <c r="BG2415" cm="1">
        <f t="array" ref="BG2415">IFERROR(IF(BF2415&lt;0,0,BF2415/($AU$2344-INDEX(hd_off,MATCH(BT2415,hd_mark,0),0)/12)),0)</f>
        <v>0</v>
      </c>
      <c r="BH2415">
        <f>IF(AV2415=0,0,$BG$2344*$AM$2327)</f>
        <v>0</v>
      </c>
      <c r="BI2415">
        <f>IFERROR(BH2415/$AU$2344,0)</f>
        <v>0</v>
      </c>
      <c r="BJ2415">
        <f>BH2415*($F$23+IF($F$23=0,0,($C$14+$C$15+IF($C$13="single",1.5,3)+3)/12))</f>
        <v>0</v>
      </c>
      <c r="BK2415">
        <f>BJ2415-BA2415</f>
        <v>0</v>
      </c>
      <c r="BL2415" cm="1">
        <f t="array" ref="BL2415">IFERROR(IF(BK2415&lt;0,0,BK2415/($AU$2344-INDEX(hd_off,MATCH(BT2415,hd_mark,0),0)/12)),0)</f>
        <v>0</v>
      </c>
      <c r="BM2415">
        <f>MAX($F$23,$BD$2344)/$Q$2356</f>
        <v>0</v>
      </c>
      <c r="BN2415">
        <f t="shared" si="1489"/>
        <v>0</v>
      </c>
      <c r="BO2415" cm="1">
        <f t="array" ref="BO2415">IFERROR(INDEX(sheath_ecap_asd,MATCH(BS2415,sheath_mark,0),0)*BN2415,0)</f>
        <v>0</v>
      </c>
      <c r="BP2415" cm="1">
        <f t="array" ref="BP2415">IFERROR(INDEX(sheath_wcap_asd,MATCH(BS2415,sheath_mark,0),0)*BN2415,0)</f>
        <v>0</v>
      </c>
      <c r="BQ2415" cm="1">
        <f t="array" ref="BQ2415">IFERROR(INDEX(hd_cap,MATCH(BT2415,hd_mark,0),0),0)</f>
        <v>0</v>
      </c>
      <c r="BS2415" s="19"/>
      <c r="BT2415" s="19"/>
      <c r="BU2415" s="100"/>
    </row>
    <row r="2416" x14ac:dyDescent="0.25">
      <c r="P2416" s="93"/>
      <c r="Q2416" s="111">
        <f>$R$2344</f>
        <v>0</v>
      </c>
      <c r="R2416" t="str">
        <f>$Q$2328</f>
        <v>L5</v>
      </c>
      <c r="S2416">
        <f>$E$24</f>
        <v>0</v>
      </c>
      <c r="T2416" cm="1">
        <f t="array" ref="T2416">IFERROR(IF(S2416=0,0,(INDEX($C$33:$C$38,MATCH($W$2344,$B$33:$B$38,0),0)*(S2417+$X$2344)+$T$2344*COUNTIF(S2416:S2416,"&gt;0")*$C$32+$V$2344*$C$31)*$R$2344),0)</f>
        <v>0</v>
      </c>
      <c r="U2416">
        <f>IF(S2416=0,0,-(COUNTIF(S2416:S2416,"&gt;0")*$T$2344*$C$32+$V$2344*$C$31)*$H$27*$R$2344)</f>
        <v>0</v>
      </c>
      <c r="V2416">
        <f>IF(S2416=0,0,$V$2344*$H$26*$R$2344)</f>
        <v>0</v>
      </c>
      <c r="W2416">
        <f>(0.6*T2416+0.7*U2416)*$R$2344/2</f>
        <v>0</v>
      </c>
      <c r="X2416">
        <f>T2416*$R$2344/2</f>
        <v>0</v>
      </c>
      <c r="Z2416">
        <f>IF(S2416=0,0,$AD$2344*$AP$2328)</f>
        <v>0</v>
      </c>
      <c r="AA2416">
        <f>IFERROR(Z2416/$R$2344,0)</f>
        <v>0</v>
      </c>
      <c r="AB2416">
        <f>Z2416*($F$24+IF($F$24=0,0,($C$14+$C$15+IF($C$13="single",1.5,3)+3)/12))</f>
        <v>0</v>
      </c>
      <c r="AC2416">
        <f>AB2416-W2416</f>
        <v>0</v>
      </c>
      <c r="AD2416" cm="1">
        <f t="array" ref="AD2416">IFERROR(IF(AC2416&lt;0,0,AC2416/($R$2344-INDEX(hd_off,MATCH(AQ2416,hd_mark,0),0)/12)),0)</f>
        <v>0</v>
      </c>
      <c r="AE2416">
        <f>IF(S2416=0,0,$AD$2344*$AM$2328)</f>
        <v>0</v>
      </c>
      <c r="AF2416">
        <f>IFERROR(AE2416/$R$2344,0)</f>
        <v>0</v>
      </c>
      <c r="AG2416">
        <f>AE2416*($F$24+IF($F$24=0,0,($C$14+$C$15+IF($C$13="single",1.5,3)+3)/12))</f>
        <v>0</v>
      </c>
      <c r="AH2416">
        <f>AG2416-X2416</f>
        <v>0</v>
      </c>
      <c r="AI2416" cm="1">
        <f t="array" ref="AI2416">IFERROR(IF(AH2416&lt;0,0,AH2416/($R$2344-INDEX(hd_off,MATCH(AQ2416,hd_mark,0),0)/12)),0)</f>
        <v>0</v>
      </c>
      <c r="AJ2416">
        <f>MAX($F$24,$AB$2344)/$Q$2356</f>
        <v>0</v>
      </c>
      <c r="AK2416">
        <f t="shared" si="1488"/>
        <v>0</v>
      </c>
      <c r="AL2416" cm="1">
        <f t="array" ref="AL2416">IFERROR(INDEX(sheath_ecap_asd,MATCH(AP2416,sheath_mark,0),0)*AK2416,0)</f>
        <v>0</v>
      </c>
      <c r="AM2416" cm="1">
        <f t="array" ref="AM2416">IFERROR(INDEX(sheath_wcap_asd,MATCH(AP2416,sheath_mark,0),0)*AK2416,0)</f>
        <v>0</v>
      </c>
      <c r="AN2416" cm="1">
        <f t="array" ref="AN2416">IFERROR(INDEX(hd_cap,MATCH(AQ2416,hd_mark,0),0),0)</f>
        <v>0</v>
      </c>
      <c r="AP2416" s="19"/>
      <c r="AQ2416" s="19"/>
      <c r="AR2416" s="100"/>
      <c r="AS2416" s="93"/>
      <c r="AT2416" s="111">
        <f>$R$2344</f>
        <v>0</v>
      </c>
      <c r="AU2416" t="str">
        <f>$Q$2328</f>
        <v>L5</v>
      </c>
      <c r="AV2416">
        <f>$E$24</f>
        <v>0</v>
      </c>
      <c r="AW2416" cm="1">
        <f t="array" ref="AW2416">IFERROR(IF(AV2416=0,0,(INDEX($C$33:$C$38,MATCH($AZ$2344,$B$33:$B$38,0),0)*(AV2417+$BA$2344)+$AW$2344*COUNTIF(AV2416:AV2416,"&gt;0")*$C$32+$AY$2344*$C$31)*$AU$2344),0)</f>
        <v>0</v>
      </c>
      <c r="AX2416">
        <f>IF(AV2416=0,0,-(COUNTIF(AV2416:AV2416,"&gt;0")*$AW$2344*$C$32+$AY$2344*$C$31)*$H$27*$AU$2344)</f>
        <v>0</v>
      </c>
      <c r="AY2416">
        <f>IF(AV2416=0,0,$AY$2344*$H$26*$AU$2344)</f>
        <v>0</v>
      </c>
      <c r="AZ2416">
        <f>(0.6*AW2416+0.7*AX2416)*$AU$2344/2</f>
        <v>0</v>
      </c>
      <c r="BA2416">
        <f>AW2416*$AU$2344/2</f>
        <v>0</v>
      </c>
      <c r="BC2416">
        <f>IF(AV2416=0,0,$BG$2344*$AP$2328)</f>
        <v>0</v>
      </c>
      <c r="BD2416">
        <f>IFERROR(BC2416/$AU$2344,0)</f>
        <v>0</v>
      </c>
      <c r="BE2416">
        <f>BC2416*($F$24+IF($F$24=0,0,($C$14+$C$15+IF($C$13="single",1.5,3)+3)/12))</f>
        <v>0</v>
      </c>
      <c r="BF2416">
        <f>BE2416-AZ2416</f>
        <v>0</v>
      </c>
      <c r="BG2416" cm="1">
        <f t="array" ref="BG2416">IFERROR(IF(BF2416&lt;0,0,BF2416/($AU$2344-INDEX(hd_off,MATCH(BT2416,hd_mark,0),0)/12)),0)</f>
        <v>0</v>
      </c>
      <c r="BH2416">
        <f>IF(AV2416=0,0,$BG$2344*$AM$2328)</f>
        <v>0</v>
      </c>
      <c r="BI2416">
        <f>IFERROR(BH2416/$AU$2344,0)</f>
        <v>0</v>
      </c>
      <c r="BJ2416">
        <f>BH2416*($F$24+IF($F$24=0,0,($C$14+$C$15+IF($C$13="single",1.5,3)+3)/12))</f>
        <v>0</v>
      </c>
      <c r="BK2416">
        <f>BJ2416-BA2416</f>
        <v>0</v>
      </c>
      <c r="BL2416" cm="1">
        <f t="array" ref="BL2416">IFERROR(IF(BK2416&lt;0,0,BK2416/($AU$2344-INDEX(hd_off,MATCH(BT2416,hd_mark,0),0)/12)),0)</f>
        <v>0</v>
      </c>
      <c r="BM2416">
        <f>MAX($F$24,$BE$2344)/$Q$2356</f>
        <v>0</v>
      </c>
      <c r="BN2416">
        <f t="shared" si="1489"/>
        <v>0</v>
      </c>
      <c r="BO2416" cm="1">
        <f t="array" ref="BO2416">IFERROR(INDEX(sheath_ecap_asd,MATCH(BS2416,sheath_mark,0),0)*BN2416,0)</f>
        <v>0</v>
      </c>
      <c r="BP2416" cm="1">
        <f t="array" ref="BP2416">IFERROR(INDEX(sheath_wcap_asd,MATCH(BS2416,sheath_mark,0),0)*BN2416,0)</f>
        <v>0</v>
      </c>
      <c r="BQ2416" cm="1">
        <f t="array" ref="BQ2416">IFERROR(INDEX(hd_cap,MATCH(BT2416,hd_mark,0),0),0)</f>
        <v>0</v>
      </c>
      <c r="BS2416" s="19"/>
      <c r="BT2416" s="19"/>
      <c r="BU2416" s="100"/>
    </row>
    <row r="2417" x14ac:dyDescent="0.25">
      <c r="P2417" s="93"/>
      <c r="Q2417" s="109"/>
      <c r="R2417" t="str">
        <f>$Q$2329</f>
        <v>Roof</v>
      </c>
      <c r="S2417">
        <f>$E$25</f>
        <v>33.171875</v>
      </c>
      <c r="T2417" cm="1">
        <f t="array" ref="T2417">IFERROR(IF(S2417=0,0,(INDEX($C$33:$C$38,MATCH($W$2344,$B$33:$B$38,0),0)*(S2417+$X$2344)+$V$2344*$C$31)*$R$2344),0)</f>
        <v>0</v>
      </c>
      <c r="U2417">
        <f>IF(S2417=0,0,-$V$2344*$C$31*$H$27*$R$2344)</f>
        <v>0</v>
      </c>
      <c r="V2417">
        <f>IF(S2417=0,0,$V$2344*$H$26*$R$2344)</f>
        <v>0</v>
      </c>
      <c r="W2417">
        <f>(0.6*T2417+0.7*U2417)*$R$2344/2</f>
        <v>0</v>
      </c>
      <c r="X2417">
        <f>T2417*$R$2344/2</f>
        <v>0</v>
      </c>
      <c r="Z2417">
        <f>IF(S2417=0,0,$AD$2344*$AP$2329)</f>
        <v>0</v>
      </c>
      <c r="AA2417">
        <f>IFERROR(Z2417/$R$2344,0)</f>
        <v>0</v>
      </c>
      <c r="AB2417">
        <f>Z2417*($F$25+($C$16+$C$17+IF($C$13="single",1.5,3)+3)/12)</f>
        <v>0</v>
      </c>
      <c r="AC2417">
        <f>AB2417-W2417</f>
        <v>0</v>
      </c>
      <c r="AD2417" cm="1">
        <f t="array" ref="AD2417">IFERROR(IF(AC2417&lt;0,0,AC2417/($R$2344-INDEX(hd_off,MATCH(AQ2417,hd_mark,0),0)/12)),0)</f>
        <v>0</v>
      </c>
      <c r="AE2417">
        <f>IF(S2417=0,0,$AD$2344*$AM$2329)</f>
        <v>0</v>
      </c>
      <c r="AF2417">
        <f>IFERROR(AE2417/$R$2344,0)</f>
        <v>0</v>
      </c>
      <c r="AG2417">
        <f>AE2417*($F$25+($C$16+$C$17+IF($C$13="single",1.5,3)+3)/12)</f>
        <v>0</v>
      </c>
      <c r="AH2417">
        <f>AG2417-X2417</f>
        <v>0</v>
      </c>
      <c r="AI2417" cm="1">
        <f t="array" ref="AI2417">IFERROR(IF(AH2417&lt;0,0,AH2417/($R$2344-INDEX(hd_off,MATCH(AQ2417,hd_mark,0),0)/12)),0)</f>
        <v>0</v>
      </c>
      <c r="AJ2417">
        <f>MAX($F$25,$AC$2344)/$Q$2356</f>
        <v>0.29920977011494249</v>
      </c>
      <c r="AK2417">
        <f t="shared" si="1488"/>
        <v>1</v>
      </c>
      <c r="AL2417" cm="1">
        <f t="array" ref="AL2417">IFERROR(INDEX(sheath_ecap_asd,MATCH(AP2417,sheath_mark,0),0)*AK2417,0)</f>
        <v>0</v>
      </c>
      <c r="AM2417" cm="1">
        <f t="array" ref="AM2417">IFERROR(INDEX(sheath_wcap_asd,MATCH(AP2417,sheath_mark,0),0)*AK2417,0)</f>
        <v>0</v>
      </c>
      <c r="AN2417" cm="1">
        <f t="array" ref="AN2417">IFERROR(INDEX(hd_cap,MATCH(AQ2417,hd_mark,0),0),0)</f>
        <v>0</v>
      </c>
      <c r="AP2417" s="19"/>
      <c r="AQ2417" s="19"/>
      <c r="AR2417" s="100"/>
      <c r="AS2417" s="93"/>
      <c r="AT2417" s="109"/>
      <c r="AU2417" t="str">
        <f>$Q$2329</f>
        <v>Roof</v>
      </c>
      <c r="AV2417">
        <f>$E$25</f>
        <v>33.171875</v>
      </c>
      <c r="AW2417" cm="1">
        <f t="array" ref="AW2417">IFERROR(IF(AV2417=0,0,(INDEX($C$33:$C$38,MATCH($AZ$2344,$B$33:$B$38,0),0)*(AV2417+$BA$2344)+$AY$2344*$C$31)*$AU$2344),0)</f>
        <v>0</v>
      </c>
      <c r="AX2417">
        <f>IF(AV2417=0,0,-$AY$2344*$C$31*$H$27*$AU$2344)</f>
        <v>0</v>
      </c>
      <c r="AY2417">
        <f>IF(AV2417=0,0,$AY$2344*$H$26*$AU$2344)</f>
        <v>0</v>
      </c>
      <c r="AZ2417">
        <f>(0.6*AW2417+0.7*AX2417)*$AU$2344/2</f>
        <v>0</v>
      </c>
      <c r="BA2417">
        <f>AW2417*$AU$2344/2</f>
        <v>0</v>
      </c>
      <c r="BC2417">
        <f>IF(AV2417=0,0,$BG$2344*$AP$2329)</f>
        <v>0</v>
      </c>
      <c r="BD2417">
        <f>IFERROR(BC2417/$AU$2344,0)</f>
        <v>0</v>
      </c>
      <c r="BE2417">
        <f>BC2417*($F$25+($C$16+$C$17+IF($C$13="single",1.5,3)+3)/12)</f>
        <v>0</v>
      </c>
      <c r="BF2417">
        <f>BE2417-AZ2417</f>
        <v>0</v>
      </c>
      <c r="BG2417" cm="1">
        <f t="array" ref="BG2417">IFERROR(IF(BF2417&lt;0,0,BF2417/($AU$2344-INDEX(hd_off,MATCH(BT2417,hd_mark,0),0)/12)),0)</f>
        <v>0</v>
      </c>
      <c r="BH2417">
        <f>IF(AV2417=0,0,$BG$2344*$AM$2329)</f>
        <v>0</v>
      </c>
      <c r="BI2417">
        <f>IFERROR(BH2417/$AU$2344,0)</f>
        <v>0</v>
      </c>
      <c r="BJ2417">
        <f>BH2417*($F$25+($C$16+$C$17+IF($C$13="single",1.5,3)+3)/12)</f>
        <v>0</v>
      </c>
      <c r="BK2417">
        <f>BJ2417-BA2417</f>
        <v>0</v>
      </c>
      <c r="BL2417" cm="1">
        <f t="array" ref="BL2417">IFERROR(IF(BK2417&lt;0,0,BK2417/($AU$2344-INDEX(hd_off,MATCH(BT2417,hd_mark,0),0)/12)),0)</f>
        <v>0</v>
      </c>
      <c r="BM2417">
        <f>MAX($F$25,$BF$2344)/$Q$2356</f>
        <v>0.29920977011494249</v>
      </c>
      <c r="BN2417">
        <f t="shared" si="1489"/>
        <v>1</v>
      </c>
      <c r="BO2417" cm="1">
        <f t="array" ref="BO2417">IFERROR(INDEX(sheath_ecap_asd,MATCH(BS2417,sheath_mark,0),0)*BN2417,0)</f>
        <v>0</v>
      </c>
      <c r="BP2417" cm="1">
        <f t="array" ref="BP2417">IFERROR(INDEX(sheath_wcap_asd,MATCH(BS2417,sheath_mark,0),0)*BN2417,0)</f>
        <v>0</v>
      </c>
      <c r="BQ2417" cm="1">
        <f t="array" ref="BQ2417">IFERROR(INDEX(hd_cap,MATCH(BT2417,hd_mark,0),0),0)</f>
        <v>0</v>
      </c>
      <c r="BS2417" s="19"/>
      <c r="BT2417" s="19"/>
      <c r="BU2417" s="100"/>
    </row>
    <row r="2418" x14ac:dyDescent="0.25">
      <c r="P2418" s="93"/>
      <c r="AR2418" s="100"/>
      <c r="AS2418" s="93"/>
      <c r="BU2418" s="100"/>
    </row>
    <row r="2419" x14ac:dyDescent="0.25">
      <c r="P2419" s="93"/>
      <c r="Q2419" s="110" t="str">
        <f>$Q$2345</f>
        <v>A.12</v>
      </c>
      <c r="R2419" t="str">
        <f>$Q$2325</f>
        <v>L2</v>
      </c>
      <c r="S2419">
        <f>$E$21</f>
        <v>10.6875</v>
      </c>
      <c r="T2419" cm="1">
        <f t="array" ref="T2419">IFERROR(IF(S2419=0,0,(INDEX($C$33:$C$38,MATCH($W$2345,$B$33:$B$38,0),0)*(S2423+$X$2345)+$T$2345*COUNTIF(S2419:S2422,"&gt;0")*$C$32+$V$2345*$C$31)*$R$2345),0)</f>
        <v>0</v>
      </c>
      <c r="U2419">
        <f>IF(S2419=0,0,-(COUNTIF(S2419:S2422,"&gt;0")*$T$2345*$C$32+$V$2345*$C$31)*$H$27*$R$2345)</f>
        <v>0</v>
      </c>
      <c r="V2419">
        <f>IF(S2419=0,0,$V$2345*$H$26*$R$2345)</f>
        <v>0</v>
      </c>
      <c r="W2419">
        <f>(0.6*T2419+0.7*U2419)*$R$2345/2</f>
        <v>0</v>
      </c>
      <c r="X2419">
        <f>(0.6*T2419+0.6*V2419)*$R$2345/2</f>
        <v>0</v>
      </c>
      <c r="Z2419">
        <f>IF(S2419=0,0,$AD$2345*$AP$2325)</f>
        <v>0</v>
      </c>
      <c r="AA2419">
        <f>IFERROR(Z2419/$R$2345,0)</f>
        <v>0</v>
      </c>
      <c r="AB2419">
        <f>Z2419*($F$21+IF($F$21=0,0,($C$14+$C$15+IF($C$13="single",1.5,3)+3)/12))</f>
        <v>0</v>
      </c>
      <c r="AC2419">
        <f>AB2419-W2419</f>
        <v>0</v>
      </c>
      <c r="AD2419" cm="1">
        <f t="array" ref="AD2419">IFERROR(IF(AC2419&lt;0,0,AC2419/($R$2345-INDEX(hd_off,MATCH(AQ2419,hd_mark,0),0)/12)),0)</f>
        <v>0</v>
      </c>
      <c r="AE2419">
        <f>IF(S2419=0,0,$AD$2345*$AM$2325)</f>
        <v>0</v>
      </c>
      <c r="AF2419">
        <f>IFERROR(AE2419/$R$2345,0)</f>
        <v>0</v>
      </c>
      <c r="AG2419">
        <f>AE2419*($F$21+IF($F$21=0,0,($C$14+$C$15+IF($C$13="single",1.5,3)+3)/12))</f>
        <v>0</v>
      </c>
      <c r="AH2419">
        <f>AG2419-X2419</f>
        <v>0</v>
      </c>
      <c r="AI2419" cm="1">
        <f t="array" ref="AI2419">IFERROR(IF(AH2419&lt;0,0,AH2419/($R$2345-INDEX(hd_off,MATCH(AQ2419,hd_mark,0),0)/12)),0)</f>
        <v>0</v>
      </c>
      <c r="AJ2419">
        <f>MAX($F$21,$Y$2345)/$Q$2356</f>
        <v>0.30172413793103448</v>
      </c>
      <c r="AK2419">
        <f>IF(AJ2419=0,0,IF(AJ2419&gt;2,1.25-0.125*AJ2419,1))</f>
        <v>1</v>
      </c>
      <c r="AL2419" cm="1">
        <f t="array" ref="AL2419">IFERROR(INDEX(sheath_ecap_asd,MATCH(AP2419,sheath_mark,0),0)*AK2419,0)</f>
        <v>0</v>
      </c>
      <c r="AM2419" cm="1">
        <f t="array" ref="AM2419">IFERROR(INDEX(sheath_wcap_asd,MATCH(AP2419,sheath_mark,0),0)*AK2419,0)</f>
        <v>0</v>
      </c>
      <c r="AN2419" cm="1">
        <f t="array" ref="AN2419">IFERROR(INDEX(hd_cap,MATCH(AQ2419,hd_mark,0),0),0)</f>
        <v>0</v>
      </c>
      <c r="AP2419" s="19"/>
      <c r="AQ2419" s="19"/>
      <c r="AR2419" s="100"/>
      <c r="AS2419" s="93"/>
      <c r="AT2419" s="110" t="str">
        <f>$AT$2345</f>
        <v>1.12</v>
      </c>
      <c r="AU2419" t="str">
        <f>$Q$2325</f>
        <v>L2</v>
      </c>
      <c r="AV2419">
        <f>$E$21</f>
        <v>10.6875</v>
      </c>
      <c r="AW2419" cm="1">
        <f t="array" ref="AW2419">IFERROR(IF(AV2419=0,0,(INDEX($C$33:$C$38,MATCH($AZ$2345,$B$33:$B$38,0),0)*(AV2423+$BA$2345)+$AW$2345*COUNTIF(AV2419:AV2422,"&gt;0")*$C$32+$AY$2345*$C$31)*$AU$2345),0)</f>
        <v>0</v>
      </c>
      <c r="AX2419">
        <f>IF(AV2419=0,0,-(COUNTIF(AV2419:AV2422,"&gt;0")*$AW$2345*$C$32+$AY$2345*$C$31)*$H$27*$AU$2345)</f>
        <v>0</v>
      </c>
      <c r="AY2419">
        <f>IF(AV2419=0,0,$AY$2345*$H$26*$AU$2345)</f>
        <v>0</v>
      </c>
      <c r="AZ2419">
        <f>(0.6*AW2419+0.7*AX2419)*$AU$2345/2</f>
        <v>0</v>
      </c>
      <c r="BA2419">
        <f>(0.6*AW2419+0.6*AY2419)*$AU$2345/2</f>
        <v>0</v>
      </c>
      <c r="BC2419">
        <f>IF(AV2419=0,0,$BG$2345*$AP$2325)</f>
        <v>0</v>
      </c>
      <c r="BD2419">
        <f>IFERROR(BC2419/$AU$2345,0)</f>
        <v>0</v>
      </c>
      <c r="BE2419">
        <f>BC2419*($F$21+IF($F$21=0,0,($C$14+$C$15+IF($C$13="single",1.5,3)+3)/12))</f>
        <v>0</v>
      </c>
      <c r="BF2419">
        <f>BE2419-AZ2419</f>
        <v>0</v>
      </c>
      <c r="BG2419" cm="1">
        <f t="array" ref="BG2419">IFERROR(IF(BF2419&lt;0,0,BF2419/($AU$2345-INDEX(hd_off,MATCH(BT2419,hd_mark,0),0)/12)),0)</f>
        <v>0</v>
      </c>
      <c r="BH2419">
        <f>IF(AV2419=0,0,$BG$2345*$AM$2325)</f>
        <v>0</v>
      </c>
      <c r="BI2419">
        <f>IFERROR(BH2419/$AU$2345,0)</f>
        <v>0</v>
      </c>
      <c r="BJ2419">
        <f>BH2419*($F$21+IF($F$21=0,0,($C$14+$C$15+IF($C$13="single",1.5,3)+3)/12))</f>
        <v>0</v>
      </c>
      <c r="BK2419">
        <f>BJ2419-BA2419</f>
        <v>0</v>
      </c>
      <c r="BL2419" cm="1">
        <f t="array" ref="BL2419">IFERROR(IF(BK2419&lt;0,0,BK2419/($AU$2345-INDEX(hd_off,MATCH(BT2419,hd_mark,0),0)/12)),0)</f>
        <v>0</v>
      </c>
      <c r="BM2419">
        <f>MAX($F$21,$BB$2345)/$Q$2356</f>
        <v>0.30172413793103448</v>
      </c>
      <c r="BN2419">
        <f>IF(BM2419=0,0,IF(BM2419&gt;2,1.25-0.125*BM2419,1))</f>
        <v>1</v>
      </c>
      <c r="BO2419" cm="1">
        <f t="array" ref="BO2419">IFERROR(INDEX(sheath_ecap_asd,MATCH(BS2419,sheath_mark,0),0)*BN2419,0)</f>
        <v>0</v>
      </c>
      <c r="BP2419" cm="1">
        <f t="array" ref="BP2419">IFERROR(INDEX(sheath_wcap_asd,MATCH(BS2419,sheath_mark,0),0)*BN2419,0)</f>
        <v>0</v>
      </c>
      <c r="BQ2419" cm="1">
        <f t="array" ref="BQ2419">IFERROR(INDEX(hd_cap,MATCH(BT2419,hd_mark,0),0),0)</f>
        <v>0</v>
      </c>
      <c r="BS2419" s="19"/>
      <c r="BT2419" s="19"/>
      <c r="BU2419" s="100"/>
    </row>
    <row r="2420" x14ac:dyDescent="0.25">
      <c r="P2420" s="93"/>
      <c r="Q2420" s="109"/>
      <c r="R2420" t="str">
        <f>$Q$2326</f>
        <v>L3</v>
      </c>
      <c r="S2420">
        <f>$E$22</f>
        <v>21.375</v>
      </c>
      <c r="T2420" cm="1">
        <f t="array" ref="T2420">IFERROR(IF(S2420=0,0,(INDEX($C$33:$C$38,MATCH($W$2345,$B$33:$B$38,0),0)*(S2423+$X$2345)+$T$2345*COUNTIF(S2420:S2422,"&gt;0")*$C$32+$V$2345*$C$31)*$R$2345),0)</f>
        <v>0</v>
      </c>
      <c r="U2420">
        <f>IF(S2420=0,0,-(COUNTIF(S2420:S2422,"&gt;0")*$T$2345*$C$32+$V$2345*$C$31)*$H$27*$R$2345)</f>
        <v>0</v>
      </c>
      <c r="V2420">
        <f>IF(S2420=0,0,$V$2345*$H$26*$R$2345)</f>
        <v>0</v>
      </c>
      <c r="W2420">
        <f>(0.6*T2420+0.7*U2420)*$R$2345/2</f>
        <v>0</v>
      </c>
      <c r="X2420">
        <f>T2420*$R$2345/2</f>
        <v>0</v>
      </c>
      <c r="Z2420">
        <f>IF(S2420=0,0,$AD$2345*$AP$2326)</f>
        <v>0</v>
      </c>
      <c r="AA2420">
        <f>IFERROR(Z2420/$R$2345,0)</f>
        <v>0</v>
      </c>
      <c r="AB2420">
        <f>Z2420*($F$22+IF($F$22=0,0,($C$14+$C$15+IF($C$13="single",1.5,3)+3)/12))</f>
        <v>0</v>
      </c>
      <c r="AC2420">
        <f>AB2420-W2420</f>
        <v>0</v>
      </c>
      <c r="AD2420" cm="1">
        <f t="array" ref="AD2420">IFERROR(IF(AC2420&lt;0,0,AC2420/($R$2345-INDEX(hd_off,MATCH(AQ2420,hd_mark,0),0)/12)),0)</f>
        <v>0</v>
      </c>
      <c r="AE2420">
        <f>IF(S2420=0,0,$AD$2345*$AM$2326)</f>
        <v>0</v>
      </c>
      <c r="AF2420">
        <f>IFERROR(AE2420/$R$2345,0)</f>
        <v>0</v>
      </c>
      <c r="AG2420">
        <f>AE2420*($F$22+IF($F$22=0,0,($C$14+$C$15+IF($C$13="single",1.5,3)+3)/12))</f>
        <v>0</v>
      </c>
      <c r="AH2420">
        <f>AG2420-X2420</f>
        <v>0</v>
      </c>
      <c r="AI2420" cm="1">
        <f t="array" ref="AI2420">IFERROR(IF(AH2420&lt;0,0,AH2420/($R$2345-INDEX(hd_off,MATCH(AQ2420,hd_mark,0),0)/12)),0)</f>
        <v>0</v>
      </c>
      <c r="AJ2420">
        <f>MAX($F$22,$Z$2345)/$Q$2356</f>
        <v>0.30172413793103448</v>
      </c>
      <c r="AK2420">
        <f t="shared" ref="AK2420:AK2423" si="1490">IF(AJ2420=0,0,IF(AJ2420&gt;2,1.25-0.125*AJ2420,1))</f>
        <v>1</v>
      </c>
      <c r="AL2420" cm="1">
        <f t="array" ref="AL2420">IFERROR(INDEX(sheath_ecap_asd,MATCH(AP2420,sheath_mark,0),0)*AK2420,0)</f>
        <v>0</v>
      </c>
      <c r="AM2420" cm="1">
        <f t="array" ref="AM2420">IFERROR(INDEX(sheath_wcap_asd,MATCH(AP2420,sheath_mark,0),0)*AK2420,0)</f>
        <v>0</v>
      </c>
      <c r="AN2420" cm="1">
        <f t="array" ref="AN2420">IFERROR(INDEX(hd_cap,MATCH(AQ2420,hd_mark,0),0),0)</f>
        <v>0</v>
      </c>
      <c r="AP2420" s="19"/>
      <c r="AQ2420" s="19"/>
      <c r="AR2420" s="100"/>
      <c r="AS2420" s="93"/>
      <c r="AT2420" s="109"/>
      <c r="AU2420" t="str">
        <f>$Q$2326</f>
        <v>L3</v>
      </c>
      <c r="AV2420">
        <f>$E$22</f>
        <v>21.375</v>
      </c>
      <c r="AW2420" cm="1">
        <f t="array" ref="AW2420">IFERROR(IF(AV2420=0,0,(INDEX($C$33:$C$38,MATCH($AZ$2345,$B$33:$B$38,0),0)*(AV2423+$BA$2345)+$AW$2345*COUNTIF(AV2420:AV2422,"&gt;0")*$C$32+$AY$2345*$C$31)*$AU$2345),0)</f>
        <v>0</v>
      </c>
      <c r="AX2420">
        <f>IF(AV2420=0,0,-(COUNTIF(AV2420:AV2422,"&gt;0")*$AW$2345*$C$32+$AY$2345*$C$31)*$H$27*$AU$2345)</f>
        <v>0</v>
      </c>
      <c r="AY2420">
        <f>IF(AV2420=0,0,$AY$2345*$H$26*$AU$2345)</f>
        <v>0</v>
      </c>
      <c r="AZ2420">
        <f>(0.6*AW2420+0.7*AX2420)*$AU$2345/2</f>
        <v>0</v>
      </c>
      <c r="BA2420">
        <f>AW2420*$AU$2345/2</f>
        <v>0</v>
      </c>
      <c r="BC2420">
        <f>IF(AV2420=0,0,$BG$2345*$AP$2326)</f>
        <v>0</v>
      </c>
      <c r="BD2420">
        <f>IFERROR(BC2420/$AU$2345,0)</f>
        <v>0</v>
      </c>
      <c r="BE2420">
        <f>BC2420*($F$22+IF($F$22=0,0,($C$14+$C$15+IF($C$13="single",1.5,3)+3)/12))</f>
        <v>0</v>
      </c>
      <c r="BF2420">
        <f>BE2420-AZ2420</f>
        <v>0</v>
      </c>
      <c r="BG2420" cm="1">
        <f t="array" ref="BG2420">IFERROR(IF(BF2420&lt;0,0,BF2420/($AU$2345-INDEX(hd_off,MATCH(BT2420,hd_mark,0),0)/12)),0)</f>
        <v>0</v>
      </c>
      <c r="BH2420">
        <f>IF(AV2420=0,0,$BG$2345*$AM$2326)</f>
        <v>0</v>
      </c>
      <c r="BI2420">
        <f>IFERROR(BH2420/$AU$2345,0)</f>
        <v>0</v>
      </c>
      <c r="BJ2420">
        <f>BH2420*($F$22+IF($F$22=0,0,($C$14+$C$15+IF($C$13="single",1.5,3)+3)/12))</f>
        <v>0</v>
      </c>
      <c r="BK2420">
        <f>BJ2420-BA2420</f>
        <v>0</v>
      </c>
      <c r="BL2420" cm="1">
        <f t="array" ref="BL2420">IFERROR(IF(BK2420&lt;0,0,BK2420/($AU$2345-INDEX(hd_off,MATCH(BT2420,hd_mark,0),0)/12)),0)</f>
        <v>0</v>
      </c>
      <c r="BM2420">
        <f>MAX($F$22,$BC$2345)/$Q$2356</f>
        <v>0.30172413793103448</v>
      </c>
      <c r="BN2420">
        <f t="shared" ref="BN2420:BN2423" si="1491">IF(BM2420=0,0,IF(BM2420&gt;2,1.25-0.125*BM2420,1))</f>
        <v>1</v>
      </c>
      <c r="BO2420" cm="1">
        <f t="array" ref="BO2420">IFERROR(INDEX(sheath_ecap_asd,MATCH(BS2420,sheath_mark,0),0)*BN2420,0)</f>
        <v>0</v>
      </c>
      <c r="BP2420" cm="1">
        <f t="array" ref="BP2420">IFERROR(INDEX(sheath_wcap_asd,MATCH(BS2420,sheath_mark,0),0)*BN2420,0)</f>
        <v>0</v>
      </c>
      <c r="BQ2420" cm="1">
        <f t="array" ref="BQ2420">IFERROR(INDEX(hd_cap,MATCH(BT2420,hd_mark,0),0),0)</f>
        <v>0</v>
      </c>
      <c r="BS2420" s="19"/>
      <c r="BT2420" s="19"/>
      <c r="BU2420" s="100"/>
    </row>
    <row r="2421" x14ac:dyDescent="0.25">
      <c r="P2421" s="93"/>
      <c r="Q2421" s="109" t="s">
        <v>491</v>
      </c>
      <c r="R2421" t="str">
        <f>$Q$2327</f>
        <v>L4</v>
      </c>
      <c r="S2421">
        <f>$E$23</f>
        <v>0</v>
      </c>
      <c r="T2421" cm="1">
        <f t="array" ref="T2421">IFERROR(IF(S2421=0,0,(INDEX($C$33:$C$38,MATCH($W$2345,$B$33:$B$38,0),0)*(S2423+$X$2345)+$T$2345*COUNTIF(S2421:S2422,"&gt;0")*$C$32+$V$2345*$C$31)*$R$2345),0)</f>
        <v>0</v>
      </c>
      <c r="U2421">
        <f>IF(S2421=0,0,-(COUNTIF(S2421:S2422,"&gt;0")*$T$2345*$C$32+$V$2345*$C$31)*$H$27*$R$2345)</f>
        <v>0</v>
      </c>
      <c r="V2421">
        <f>IF(S2421=0,0,$V$2345*$H$26*$R$2345)</f>
        <v>0</v>
      </c>
      <c r="W2421">
        <f>(0.6*T2421+0.7*U2421)*$R$2345/2</f>
        <v>0</v>
      </c>
      <c r="X2421">
        <f>T2421*$R$2345/2</f>
        <v>0</v>
      </c>
      <c r="Z2421">
        <f>IF(S2421=0,0,$AD$2345*$AP$2327)</f>
        <v>0</v>
      </c>
      <c r="AA2421">
        <f>IFERROR(Z2421/$R$2345,0)</f>
        <v>0</v>
      </c>
      <c r="AB2421">
        <f>Z2421*($F$23+IF($F$23=0,0,($C$14+$C$15+IF($C$13="single",1.5,3)+3)/12))</f>
        <v>0</v>
      </c>
      <c r="AC2421">
        <f>AB2421-W2421</f>
        <v>0</v>
      </c>
      <c r="AD2421" cm="1">
        <f t="array" ref="AD2421">IFERROR(IF(AC2421&lt;0,0,AC2421/($R$2345-INDEX(hd_off,MATCH(AQ2421,hd_mark,0),0)/12)),0)</f>
        <v>0</v>
      </c>
      <c r="AE2421">
        <f>IF(S2421=0,0,$AD$2345*$AM$2327)</f>
        <v>0</v>
      </c>
      <c r="AF2421">
        <f>IFERROR(AE2421/$R$2345,0)</f>
        <v>0</v>
      </c>
      <c r="AG2421">
        <f>AE2421*($F$23+IF($F$23=0,0,($C$14+$C$15+IF($C$13="single",1.5,3)+3)/12))</f>
        <v>0</v>
      </c>
      <c r="AH2421">
        <f>AG2421-X2421</f>
        <v>0</v>
      </c>
      <c r="AI2421" cm="1">
        <f t="array" ref="AI2421">IFERROR(IF(AH2421&lt;0,0,AH2421/($R$2345-INDEX(hd_off,MATCH(AQ2421,hd_mark,0),0)/12)),0)</f>
        <v>0</v>
      </c>
      <c r="AJ2421">
        <f>MAX($F$23,$AA$2345)/$Q$2356</f>
        <v>0</v>
      </c>
      <c r="AK2421">
        <f t="shared" si="1490"/>
        <v>0</v>
      </c>
      <c r="AL2421" cm="1">
        <f t="array" ref="AL2421">IFERROR(INDEX(sheath_ecap_asd,MATCH(AP2421,sheath_mark,0),0)*AK2421,0)</f>
        <v>0</v>
      </c>
      <c r="AM2421" cm="1">
        <f t="array" ref="AM2421">IFERROR(INDEX(sheath_wcap_asd,MATCH(AP2421,sheath_mark,0),0)*AK2421,0)</f>
        <v>0</v>
      </c>
      <c r="AN2421" cm="1">
        <f t="array" ref="AN2421">IFERROR(INDEX(hd_cap,MATCH(AQ2421,hd_mark,0),0),0)</f>
        <v>0</v>
      </c>
      <c r="AP2421" s="19"/>
      <c r="AQ2421" s="19"/>
      <c r="AR2421" s="100"/>
      <c r="AS2421" s="93"/>
      <c r="AT2421" s="109" t="s">
        <v>491</v>
      </c>
      <c r="AU2421" t="str">
        <f>$Q$2327</f>
        <v>L4</v>
      </c>
      <c r="AV2421">
        <f>$E$23</f>
        <v>0</v>
      </c>
      <c r="AW2421" cm="1">
        <f t="array" ref="AW2421">IFERROR(IF(AV2421=0,0,(INDEX($C$33:$C$38,MATCH($AZ$2345,$B$33:$B$38,0),0)*(AV2423+$BA$2345)+$AW$2345*COUNTIF(AV2421:AV2422,"&gt;0")*$C$32+$AY$2345*$C$31)*$AU$2345),0)</f>
        <v>0</v>
      </c>
      <c r="AX2421">
        <f>IF(AV2421=0,0,-(COUNTIF(AV2421:AV2422,"&gt;0")*$AW$2345*$C$32+$AY$2345*$C$31)*$H$27*$AU$2345)</f>
        <v>0</v>
      </c>
      <c r="AY2421">
        <f>IF(AV2421=0,0,$AY$2345*$H$26*$AU$2345)</f>
        <v>0</v>
      </c>
      <c r="AZ2421">
        <f>(0.6*AW2421+0.7*AX2421)*$AU$2345/2</f>
        <v>0</v>
      </c>
      <c r="BA2421">
        <f>AW2421*$AU$2345/2</f>
        <v>0</v>
      </c>
      <c r="BC2421">
        <f>IF(AV2421=0,0,$BG$2345*$AP$2327)</f>
        <v>0</v>
      </c>
      <c r="BD2421">
        <f>IFERROR(BC2421/$AU$2345,0)</f>
        <v>0</v>
      </c>
      <c r="BE2421">
        <f>BC2421*($F$23+IF($F$23=0,0,($C$14+$C$15+IF($C$13="single",1.5,3)+3)/12))</f>
        <v>0</v>
      </c>
      <c r="BF2421">
        <f>BE2421-AZ2421</f>
        <v>0</v>
      </c>
      <c r="BG2421" cm="1">
        <f t="array" ref="BG2421">IFERROR(IF(BF2421&lt;0,0,BF2421/($AU$2345-INDEX(hd_off,MATCH(BT2421,hd_mark,0),0)/12)),0)</f>
        <v>0</v>
      </c>
      <c r="BH2421">
        <f>IF(AV2421=0,0,$BG$2345*$AM$2327)</f>
        <v>0</v>
      </c>
      <c r="BI2421">
        <f>IFERROR(BH2421/$AU$2345,0)</f>
        <v>0</v>
      </c>
      <c r="BJ2421">
        <f>BH2421*($F$23+IF($F$23=0,0,($C$14+$C$15+IF($C$13="single",1.5,3)+3)/12))</f>
        <v>0</v>
      </c>
      <c r="BK2421">
        <f>BJ2421-BA2421</f>
        <v>0</v>
      </c>
      <c r="BL2421" cm="1">
        <f t="array" ref="BL2421">IFERROR(IF(BK2421&lt;0,0,BK2421/($AU$2345-INDEX(hd_off,MATCH(BT2421,hd_mark,0),0)/12)),0)</f>
        <v>0</v>
      </c>
      <c r="BM2421">
        <f>MAX($F$23,$BD$2345)/$Q$2356</f>
        <v>0</v>
      </c>
      <c r="BN2421">
        <f t="shared" si="1491"/>
        <v>0</v>
      </c>
      <c r="BO2421" cm="1">
        <f t="array" ref="BO2421">IFERROR(INDEX(sheath_ecap_asd,MATCH(BS2421,sheath_mark,0),0)*BN2421,0)</f>
        <v>0</v>
      </c>
      <c r="BP2421" cm="1">
        <f t="array" ref="BP2421">IFERROR(INDEX(sheath_wcap_asd,MATCH(BS2421,sheath_mark,0),0)*BN2421,0)</f>
        <v>0</v>
      </c>
      <c r="BQ2421" cm="1">
        <f t="array" ref="BQ2421">IFERROR(INDEX(hd_cap,MATCH(BT2421,hd_mark,0),0),0)</f>
        <v>0</v>
      </c>
      <c r="BS2421" s="19"/>
      <c r="BT2421" s="19"/>
      <c r="BU2421" s="100"/>
    </row>
    <row r="2422" x14ac:dyDescent="0.25">
      <c r="P2422" s="93"/>
      <c r="Q2422" s="111">
        <f>$R$2345</f>
        <v>0</v>
      </c>
      <c r="R2422" t="str">
        <f>$Q$2328</f>
        <v>L5</v>
      </c>
      <c r="S2422">
        <f>$E$24</f>
        <v>0</v>
      </c>
      <c r="T2422" cm="1">
        <f t="array" ref="T2422">IFERROR(IF(S2422=0,0,(INDEX($C$33:$C$38,MATCH($W$2345,$B$33:$B$38,0),0)*(S2423+$X$2345)+$T$2345*COUNTIF(S2422:S2422,"&gt;0")*$C$32+$V$2345*$C$31)*$R$2345),0)</f>
        <v>0</v>
      </c>
      <c r="U2422">
        <f>IF(S2422=0,0,-(COUNTIF(S2422:S2422,"&gt;0")*$T$2345*$C$32+$V$2345*$C$31)*$H$27*$R$2345)</f>
        <v>0</v>
      </c>
      <c r="V2422">
        <f>IF(S2422=0,0,$V$2345*$H$26*$R$2345)</f>
        <v>0</v>
      </c>
      <c r="W2422">
        <f>(0.6*T2422+0.7*U2422)*$R$2345/2</f>
        <v>0</v>
      </c>
      <c r="X2422">
        <f>T2422*$R$2345/2</f>
        <v>0</v>
      </c>
      <c r="Z2422">
        <f>IF(S2422=0,0,$AD$2345*$AP$2328)</f>
        <v>0</v>
      </c>
      <c r="AA2422">
        <f>IFERROR(Z2422/$R$2345,0)</f>
        <v>0</v>
      </c>
      <c r="AB2422">
        <f>Z2422*($F$24+IF($F$24=0,0,($C$14+$C$15+IF($C$13="single",1.5,3)+3)/12))</f>
        <v>0</v>
      </c>
      <c r="AC2422">
        <f>AB2422-W2422</f>
        <v>0</v>
      </c>
      <c r="AD2422" cm="1">
        <f t="array" ref="AD2422">IFERROR(IF(AC2422&lt;0,0,AC2422/($R$2345-INDEX(hd_off,MATCH(AQ2422,hd_mark,0),0)/12)),0)</f>
        <v>0</v>
      </c>
      <c r="AE2422">
        <f>IF(S2422=0,0,$AD$2345*$AM$2328)</f>
        <v>0</v>
      </c>
      <c r="AF2422">
        <f>IFERROR(AE2422/$R$2345,0)</f>
        <v>0</v>
      </c>
      <c r="AG2422">
        <f>AE2422*($F$24+IF($F$24=0,0,($C$14+$C$15+IF($C$13="single",1.5,3)+3)/12))</f>
        <v>0</v>
      </c>
      <c r="AH2422">
        <f>AG2422-X2422</f>
        <v>0</v>
      </c>
      <c r="AI2422" cm="1">
        <f t="array" ref="AI2422">IFERROR(IF(AH2422&lt;0,0,AH2422/($R$2345-INDEX(hd_off,MATCH(AQ2422,hd_mark,0),0)/12)),0)</f>
        <v>0</v>
      </c>
      <c r="AJ2422">
        <f>MAX($F$24,$AB$2345)/$Q$2356</f>
        <v>0</v>
      </c>
      <c r="AK2422">
        <f t="shared" si="1490"/>
        <v>0</v>
      </c>
      <c r="AL2422" cm="1">
        <f t="array" ref="AL2422">IFERROR(INDEX(sheath_ecap_asd,MATCH(AP2422,sheath_mark,0),0)*AK2422,0)</f>
        <v>0</v>
      </c>
      <c r="AM2422" cm="1">
        <f t="array" ref="AM2422">IFERROR(INDEX(sheath_wcap_asd,MATCH(AP2422,sheath_mark,0),0)*AK2422,0)</f>
        <v>0</v>
      </c>
      <c r="AN2422" cm="1">
        <f t="array" ref="AN2422">IFERROR(INDEX(hd_cap,MATCH(AQ2422,hd_mark,0),0),0)</f>
        <v>0</v>
      </c>
      <c r="AP2422" s="19"/>
      <c r="AQ2422" s="19"/>
      <c r="AR2422" s="100"/>
      <c r="AS2422" s="93"/>
      <c r="AT2422" s="111">
        <f>$R$2345</f>
        <v>0</v>
      </c>
      <c r="AU2422" t="str">
        <f>$Q$2328</f>
        <v>L5</v>
      </c>
      <c r="AV2422">
        <f>$E$24</f>
        <v>0</v>
      </c>
      <c r="AW2422" cm="1">
        <f t="array" ref="AW2422">IFERROR(IF(AV2422=0,0,(INDEX($C$33:$C$38,MATCH($AZ$2345,$B$33:$B$38,0),0)*(AV2423+$BA$2345)+$AW$2345*COUNTIF(AV2422:AV2422,"&gt;0")*$C$32+$AY$2345*$C$31)*$AU$2345),0)</f>
        <v>0</v>
      </c>
      <c r="AX2422">
        <f>IF(AV2422=0,0,-(COUNTIF(AV2422:AV2422,"&gt;0")*$AW$2345*$C$32+$AY$2345*$C$31)*$H$27*$AU$2345)</f>
        <v>0</v>
      </c>
      <c r="AY2422">
        <f>IF(AV2422=0,0,$AY$2345*$H$26*$AU$2345)</f>
        <v>0</v>
      </c>
      <c r="AZ2422">
        <f>(0.6*AW2422+0.7*AX2422)*$AU$2345/2</f>
        <v>0</v>
      </c>
      <c r="BA2422">
        <f>AW2422*$AU$2345/2</f>
        <v>0</v>
      </c>
      <c r="BC2422">
        <f>IF(AV2422=0,0,$BG$2345*$AP$2328)</f>
        <v>0</v>
      </c>
      <c r="BD2422">
        <f>IFERROR(BC2422/$AU$2345,0)</f>
        <v>0</v>
      </c>
      <c r="BE2422">
        <f>BC2422*($F$24+IF($F$24=0,0,($C$14+$C$15+IF($C$13="single",1.5,3)+3)/12))</f>
        <v>0</v>
      </c>
      <c r="BF2422">
        <f>BE2422-AZ2422</f>
        <v>0</v>
      </c>
      <c r="BG2422" cm="1">
        <f t="array" ref="BG2422">IFERROR(IF(BF2422&lt;0,0,BF2422/($AU$2345-INDEX(hd_off,MATCH(BT2422,hd_mark,0),0)/12)),0)</f>
        <v>0</v>
      </c>
      <c r="BH2422">
        <f>IF(AV2422=0,0,$BG$2345*$AM$2328)</f>
        <v>0</v>
      </c>
      <c r="BI2422">
        <f>IFERROR(BH2422/$AU$2345,0)</f>
        <v>0</v>
      </c>
      <c r="BJ2422">
        <f>BH2422*($F$24+IF($F$24=0,0,($C$14+$C$15+IF($C$13="single",1.5,3)+3)/12))</f>
        <v>0</v>
      </c>
      <c r="BK2422">
        <f>BJ2422-BA2422</f>
        <v>0</v>
      </c>
      <c r="BL2422" cm="1">
        <f t="array" ref="BL2422">IFERROR(IF(BK2422&lt;0,0,BK2422/($AU$2345-INDEX(hd_off,MATCH(BT2422,hd_mark,0),0)/12)),0)</f>
        <v>0</v>
      </c>
      <c r="BM2422">
        <f>MAX($F$24,$BE$2345)/$Q$2356</f>
        <v>0</v>
      </c>
      <c r="BN2422">
        <f t="shared" si="1491"/>
        <v>0</v>
      </c>
      <c r="BO2422" cm="1">
        <f t="array" ref="BO2422">IFERROR(INDEX(sheath_ecap_asd,MATCH(BS2422,sheath_mark,0),0)*BN2422,0)</f>
        <v>0</v>
      </c>
      <c r="BP2422" cm="1">
        <f t="array" ref="BP2422">IFERROR(INDEX(sheath_wcap_asd,MATCH(BS2422,sheath_mark,0),0)*BN2422,0)</f>
        <v>0</v>
      </c>
      <c r="BQ2422" cm="1">
        <f t="array" ref="BQ2422">IFERROR(INDEX(hd_cap,MATCH(BT2422,hd_mark,0),0),0)</f>
        <v>0</v>
      </c>
      <c r="BS2422" s="19"/>
      <c r="BT2422" s="19"/>
      <c r="BU2422" s="100"/>
    </row>
    <row r="2423" x14ac:dyDescent="0.25">
      <c r="P2423" s="93"/>
      <c r="Q2423" s="109"/>
      <c r="R2423" t="str">
        <f>$Q$2329</f>
        <v>Roof</v>
      </c>
      <c r="S2423">
        <f>$E$25</f>
        <v>33.171875</v>
      </c>
      <c r="T2423" cm="1">
        <f t="array" ref="T2423">IFERROR(IF(S2423=0,0,(INDEX($C$33:$C$38,MATCH($W$2345,$B$33:$B$38,0),0)*(S2423+$X$2345)+$V$2345*$C$31)*$R$2345),0)</f>
        <v>0</v>
      </c>
      <c r="U2423">
        <f>IF(S2423=0,0,-$V$2345*$C$31*$H$27*$R$2345)</f>
        <v>0</v>
      </c>
      <c r="V2423">
        <f>IF(S2423=0,0,$V$2345*$H$26*$R$2345)</f>
        <v>0</v>
      </c>
      <c r="W2423">
        <f>(0.6*T2423+0.7*U2423)*$R$2345/2</f>
        <v>0</v>
      </c>
      <c r="X2423">
        <f>T2423*$R$2345/2</f>
        <v>0</v>
      </c>
      <c r="Z2423">
        <f>IF(S2423=0,0,$AD$2345*$AP$2329)</f>
        <v>0</v>
      </c>
      <c r="AA2423">
        <f>IFERROR(Z2423/$R$2345,0)</f>
        <v>0</v>
      </c>
      <c r="AB2423">
        <f>Z2423*($F$25+($C$16+$C$17+IF($C$13="single",1.5,3)+3)/12)</f>
        <v>0</v>
      </c>
      <c r="AC2423">
        <f>AB2423-W2423</f>
        <v>0</v>
      </c>
      <c r="AD2423" cm="1">
        <f t="array" ref="AD2423">IFERROR(IF(AC2423&lt;0,0,AC2423/($R$2345-INDEX(hd_off,MATCH(AQ2423,hd_mark,0),0)/12)),0)</f>
        <v>0</v>
      </c>
      <c r="AE2423">
        <f>IF(S2423=0,0,$AD$2345*$AM$2329)</f>
        <v>0</v>
      </c>
      <c r="AF2423">
        <f>IFERROR(AE2423/$R$2345,0)</f>
        <v>0</v>
      </c>
      <c r="AG2423">
        <f>AE2423*($F$25+($C$16+$C$17+IF($C$13="single",1.5,3)+3)/12)</f>
        <v>0</v>
      </c>
      <c r="AH2423">
        <f>AG2423-X2423</f>
        <v>0</v>
      </c>
      <c r="AI2423" cm="1">
        <f t="array" ref="AI2423">IFERROR(IF(AH2423&lt;0,0,AH2423/($R$2345-INDEX(hd_off,MATCH(AQ2423,hd_mark,0),0)/12)),0)</f>
        <v>0</v>
      </c>
      <c r="AJ2423">
        <f>MAX($F$25,$AC$2345)/$Q$2356</f>
        <v>0.29920977011494249</v>
      </c>
      <c r="AK2423">
        <f t="shared" si="1490"/>
        <v>1</v>
      </c>
      <c r="AL2423" cm="1">
        <f t="array" ref="AL2423">IFERROR(INDEX(sheath_ecap_asd,MATCH(AP2423,sheath_mark,0),0)*AK2423,0)</f>
        <v>0</v>
      </c>
      <c r="AM2423" cm="1">
        <f t="array" ref="AM2423">IFERROR(INDEX(sheath_wcap_asd,MATCH(AP2423,sheath_mark,0),0)*AK2423,0)</f>
        <v>0</v>
      </c>
      <c r="AN2423" cm="1">
        <f t="array" ref="AN2423">IFERROR(INDEX(hd_cap,MATCH(AQ2423,hd_mark,0),0),0)</f>
        <v>0</v>
      </c>
      <c r="AP2423" s="19"/>
      <c r="AQ2423" s="19"/>
      <c r="AR2423" s="100"/>
      <c r="AS2423" s="93"/>
      <c r="AT2423" s="109"/>
      <c r="AU2423" t="str">
        <f>$Q$2329</f>
        <v>Roof</v>
      </c>
      <c r="AV2423">
        <f>$E$25</f>
        <v>33.171875</v>
      </c>
      <c r="AW2423" cm="1">
        <f t="array" ref="AW2423">IFERROR(IF(AV2423=0,0,(INDEX($C$33:$C$38,MATCH($AZ$2345,$B$33:$B$38,0),0)*(AV2423+$BA$2345)+$AY$2345*$C$31)*$AU$2345),0)</f>
        <v>0</v>
      </c>
      <c r="AX2423">
        <f>IF(AV2423=0,0,-$AY$2345*$C$31*$H$27*$AU$2345)</f>
        <v>0</v>
      </c>
      <c r="AY2423">
        <f>IF(AV2423=0,0,$AY$2345*$H$26*$AU$2345)</f>
        <v>0</v>
      </c>
      <c r="AZ2423">
        <f>(0.6*AW2423+0.7*AX2423)*$AU$2345/2</f>
        <v>0</v>
      </c>
      <c r="BA2423">
        <f>AW2423*$AU$2345/2</f>
        <v>0</v>
      </c>
      <c r="BC2423">
        <f>IF(AV2423=0,0,$BG$2345*$AP$2329)</f>
        <v>0</v>
      </c>
      <c r="BD2423">
        <f>IFERROR(BC2423/$AU$2345,0)</f>
        <v>0</v>
      </c>
      <c r="BE2423">
        <f>BC2423*($F$25+($C$16+$C$17+IF($C$13="single",1.5,3)+3)/12)</f>
        <v>0</v>
      </c>
      <c r="BF2423">
        <f>BE2423-AZ2423</f>
        <v>0</v>
      </c>
      <c r="BG2423" cm="1">
        <f t="array" ref="BG2423">IFERROR(IF(BF2423&lt;0,0,BF2423/($AU$2345-INDEX(hd_off,MATCH(BT2423,hd_mark,0),0)/12)),0)</f>
        <v>0</v>
      </c>
      <c r="BH2423">
        <f>IF(AV2423=0,0,$BG$2345*$AM$2329)</f>
        <v>0</v>
      </c>
      <c r="BI2423">
        <f>IFERROR(BH2423/$AU$2345,0)</f>
        <v>0</v>
      </c>
      <c r="BJ2423">
        <f>BH2423*($F$25+($C$16+$C$17+IF($C$13="single",1.5,3)+3)/12)</f>
        <v>0</v>
      </c>
      <c r="BK2423">
        <f>BJ2423-BA2423</f>
        <v>0</v>
      </c>
      <c r="BL2423" cm="1">
        <f t="array" ref="BL2423">IFERROR(IF(BK2423&lt;0,0,BK2423/($AU$2345-INDEX(hd_off,MATCH(BT2423,hd_mark,0),0)/12)),0)</f>
        <v>0</v>
      </c>
      <c r="BM2423">
        <f>MAX($F$25,$BF$2345)/$Q$2356</f>
        <v>0.29920977011494249</v>
      </c>
      <c r="BN2423">
        <f t="shared" si="1491"/>
        <v>1</v>
      </c>
      <c r="BO2423" cm="1">
        <f t="array" ref="BO2423">IFERROR(INDEX(sheath_ecap_asd,MATCH(BS2423,sheath_mark,0),0)*BN2423,0)</f>
        <v>0</v>
      </c>
      <c r="BP2423" cm="1">
        <f t="array" ref="BP2423">IFERROR(INDEX(sheath_wcap_asd,MATCH(BS2423,sheath_mark,0),0)*BN2423,0)</f>
        <v>0</v>
      </c>
      <c r="BQ2423" cm="1">
        <f t="array" ref="BQ2423">IFERROR(INDEX(hd_cap,MATCH(BT2423,hd_mark,0),0),0)</f>
        <v>0</v>
      </c>
      <c r="BS2423" s="19"/>
      <c r="BT2423" s="19"/>
      <c r="BU2423" s="100"/>
    </row>
    <row r="2424" x14ac:dyDescent="0.25">
      <c r="P2424" s="93"/>
      <c r="AR2424" s="100"/>
      <c r="AS2424" s="93"/>
      <c r="BU2424" s="100"/>
    </row>
    <row r="2425" x14ac:dyDescent="0.25">
      <c r="P2425" s="93"/>
      <c r="Q2425" s="110" t="str">
        <f>$Q$2346</f>
        <v>A.13</v>
      </c>
      <c r="R2425" t="str">
        <f>$Q$2325</f>
        <v>L2</v>
      </c>
      <c r="S2425">
        <f>$E$21</f>
        <v>10.6875</v>
      </c>
      <c r="T2425" cm="1">
        <f t="array" ref="T2425">IFERROR(IF(S2425=0,0,(INDEX($C$33:$C$38,MATCH($W$2346,$B$33:$B$38,0),0)*(S2429+$X$2346)+$T$2346*COUNTIF(S2425:S2428,"&gt;0")*$C$32+$V$2346*$C$31)*$R$2346),0)</f>
        <v>0</v>
      </c>
      <c r="U2425">
        <f>IF(S2425=0,0,-(COUNTIF(S2425:S2428,"&gt;0")*$T$2346*$C$32+$V$2346*$C$31)*$H$27*$R$2346)</f>
        <v>0</v>
      </c>
      <c r="V2425">
        <f>IF(S2425=0,0,$V$2346*$H$26*$R$2346)</f>
        <v>0</v>
      </c>
      <c r="W2425">
        <f>(0.6*T2425+0.7*U2425)*$R$2346/2</f>
        <v>0</v>
      </c>
      <c r="X2425">
        <f>(0.6*T2425+0.6*V2425)*$R$2346/2</f>
        <v>0</v>
      </c>
      <c r="Z2425">
        <f>IF(S2425=0,0,$AD$2346*$AP$2325)</f>
        <v>0</v>
      </c>
      <c r="AA2425">
        <f>IFERROR(Z2425/$R$2346,0)</f>
        <v>0</v>
      </c>
      <c r="AB2425">
        <f>Z2425*($F$21+IF($F$21=0,0,($C$14+$C$15+IF($C$13="single",1.5,3)+3)/12))</f>
        <v>0</v>
      </c>
      <c r="AC2425">
        <f>AB2425-W2425</f>
        <v>0</v>
      </c>
      <c r="AD2425" cm="1">
        <f t="array" ref="AD2425">IFERROR(IF(AC2425&lt;0,0,AC2425/($R$2346-INDEX(hd_off,MATCH(AQ2425,hd_mark,0),0)/12)),0)</f>
        <v>0</v>
      </c>
      <c r="AE2425">
        <f>IF(S2425=0,0,$AD$2346*$AM$2325)</f>
        <v>0</v>
      </c>
      <c r="AF2425">
        <f>IFERROR(AE2425/$R$2346,0)</f>
        <v>0</v>
      </c>
      <c r="AG2425">
        <f>AE2425*($F$21+IF($F$21=0,0,($C$14+$C$15+IF($C$13="single",1.5,3)+3)/12))</f>
        <v>0</v>
      </c>
      <c r="AH2425">
        <f>AG2425-X2425</f>
        <v>0</v>
      </c>
      <c r="AI2425" cm="1">
        <f t="array" ref="AI2425">IFERROR(IF(AH2425&lt;0,0,AH2425/($R$2346-INDEX(hd_off,MATCH(AQ2425,hd_mark,0),0)/12)),0)</f>
        <v>0</v>
      </c>
      <c r="AJ2425">
        <f>MAX($F$21,$Y$2346)/$Q$2356</f>
        <v>0.30172413793103448</v>
      </c>
      <c r="AK2425">
        <f>IF(AJ2425=0,0,IF(AJ2425&gt;2,1.25-0.125*AJ2425,1))</f>
        <v>1</v>
      </c>
      <c r="AL2425" cm="1">
        <f t="array" ref="AL2425">IFERROR(INDEX(sheath_ecap_asd,MATCH(AP2425,sheath_mark,0),0)*AK2425,0)</f>
        <v>0</v>
      </c>
      <c r="AM2425" cm="1">
        <f t="array" ref="AM2425">IFERROR(INDEX(sheath_wcap_asd,MATCH(AP2425,sheath_mark,0),0)*AK2425,0)</f>
        <v>0</v>
      </c>
      <c r="AN2425" cm="1">
        <f t="array" ref="AN2425">IFERROR(INDEX(hd_cap,MATCH(AQ2425,hd_mark,0),0),0)</f>
        <v>0</v>
      </c>
      <c r="AP2425" s="19"/>
      <c r="AQ2425" s="19"/>
      <c r="AR2425" s="100"/>
      <c r="AS2425" s="93"/>
      <c r="AT2425" s="110" t="str">
        <f>$AT$2346</f>
        <v>1.13</v>
      </c>
      <c r="AU2425" t="str">
        <f>$Q$2325</f>
        <v>L2</v>
      </c>
      <c r="AV2425">
        <f>$E$21</f>
        <v>10.6875</v>
      </c>
      <c r="AW2425" cm="1">
        <f t="array" ref="AW2425">IFERROR(IF(AV2425=0,0,(INDEX($C$33:$C$38,MATCH($AZ$2346,$B$33:$B$38,0),0)*(AV2429+$BA$2346)+$AW$2346*COUNTIF(AV2425:AV2428,"&gt;0")*$C$32+$AY$2346*$C$31)*$AU$2346),0)</f>
        <v>0</v>
      </c>
      <c r="AX2425">
        <f>IF(AV2425=0,0,-(COUNTIF(AV2425:AV2428,"&gt;0")*$AW$2346*$C$32+$AY$2346*$C$31)*$H$27*$AU$2346)</f>
        <v>0</v>
      </c>
      <c r="AY2425">
        <f>IF(AV2425=0,0,$AY$2346*$H$26*$AU$2346)</f>
        <v>0</v>
      </c>
      <c r="AZ2425">
        <f>(0.6*AW2425+0.7*AX2425)*$AU$2346/2</f>
        <v>0</v>
      </c>
      <c r="BA2425">
        <f>(0.6*AW2425+0.6*AY2425)*$AU$2346/2</f>
        <v>0</v>
      </c>
      <c r="BC2425">
        <f>IF(AV2425=0,0,$BG$2346*$AP$2325)</f>
        <v>0</v>
      </c>
      <c r="BD2425">
        <f>IFERROR(BC2425/$AU$2346,0)</f>
        <v>0</v>
      </c>
      <c r="BE2425">
        <f>BC2425*($F$21+IF($F$21=0,0,($C$14+$C$15+IF($C$13="single",1.5,3)+3)/12))</f>
        <v>0</v>
      </c>
      <c r="BF2425">
        <f>BE2425-AZ2425</f>
        <v>0</v>
      </c>
      <c r="BG2425" cm="1">
        <f t="array" ref="BG2425">IFERROR(IF(BF2425&lt;0,0,BF2425/($AU$2346-INDEX(hd_off,MATCH(BT2425,hd_mark,0),0)/12)),0)</f>
        <v>0</v>
      </c>
      <c r="BH2425">
        <f>IF(AV2425=0,0,$BG$2346*$AM$2325)</f>
        <v>0</v>
      </c>
      <c r="BI2425">
        <f>IFERROR(BH2425/$AU$2346,0)</f>
        <v>0</v>
      </c>
      <c r="BJ2425">
        <f>BH2425*($F$21+IF($F$21=0,0,($C$14+$C$15+IF($C$13="single",1.5,3)+3)/12))</f>
        <v>0</v>
      </c>
      <c r="BK2425">
        <f>BJ2425-BA2425</f>
        <v>0</v>
      </c>
      <c r="BL2425" cm="1">
        <f t="array" ref="BL2425">IFERROR(IF(BK2425&lt;0,0,BK2425/($AU$2346-INDEX(hd_off,MATCH(BT2425,hd_mark,0),0)/12)),0)</f>
        <v>0</v>
      </c>
      <c r="BM2425">
        <f>MAX($F$21,$BB$2346)/$Q$2356</f>
        <v>0.30172413793103448</v>
      </c>
      <c r="BN2425">
        <f>IF(BM2425=0,0,IF(BM2425&gt;2,1.25-0.125*BM2425,1))</f>
        <v>1</v>
      </c>
      <c r="BO2425" cm="1">
        <f t="array" ref="BO2425">IFERROR(INDEX(sheath_ecap_asd,MATCH(BS2425,sheath_mark,0),0)*BN2425,0)</f>
        <v>0</v>
      </c>
      <c r="BP2425" cm="1">
        <f t="array" ref="BP2425">IFERROR(INDEX(sheath_wcap_asd,MATCH(BS2425,sheath_mark,0),0)*BN2425,0)</f>
        <v>0</v>
      </c>
      <c r="BQ2425" cm="1">
        <f t="array" ref="BQ2425">IFERROR(INDEX(hd_cap,MATCH(BT2425,hd_mark,0),0),0)</f>
        <v>0</v>
      </c>
      <c r="BS2425" s="19"/>
      <c r="BT2425" s="19"/>
      <c r="BU2425" s="100"/>
    </row>
    <row r="2426" x14ac:dyDescent="0.25">
      <c r="P2426" s="93"/>
      <c r="Q2426" s="109"/>
      <c r="R2426" t="str">
        <f>$Q$2326</f>
        <v>L3</v>
      </c>
      <c r="S2426">
        <f>$E$22</f>
        <v>21.375</v>
      </c>
      <c r="T2426" cm="1">
        <f t="array" ref="T2426">IFERROR(IF(S2426=0,0,(INDEX($C$33:$C$38,MATCH($W$2346,$B$33:$B$38,0),0)*(S2429+$X$2346)+$T$2346*COUNTIF(S2426:S2428,"&gt;0")*$C$32+$V$2346*$C$31)*$R$2346),0)</f>
        <v>0</v>
      </c>
      <c r="U2426">
        <f>IF(S2426=0,0,-(COUNTIF(S2426:S2428,"&gt;0")*$T$2346*$C$32+$V$2346*$C$31)*$H$27*$R$2346)</f>
        <v>0</v>
      </c>
      <c r="V2426">
        <f>IF(S2426=0,0,$V$2346*$H$26*$R$2346)</f>
        <v>0</v>
      </c>
      <c r="W2426">
        <f>(0.6*T2426+0.7*U2426)*$R$2346/2</f>
        <v>0</v>
      </c>
      <c r="X2426">
        <f>T2426*$R$2346/2</f>
        <v>0</v>
      </c>
      <c r="Z2426">
        <f>IF(S2426=0,0,$AD$2346*$AP$2326)</f>
        <v>0</v>
      </c>
      <c r="AA2426">
        <f>IFERROR(Z2426/$R$2346,0)</f>
        <v>0</v>
      </c>
      <c r="AB2426">
        <f>Z2426*($F$22+IF($F$22=0,0,($C$14+$C$15+IF($C$13="single",1.5,3)+3)/12))</f>
        <v>0</v>
      </c>
      <c r="AC2426">
        <f>AB2426-W2426</f>
        <v>0</v>
      </c>
      <c r="AD2426" cm="1">
        <f t="array" ref="AD2426">IFERROR(IF(AC2426&lt;0,0,AC2426/($R$2346-INDEX(hd_off,MATCH(AQ2426,hd_mark,0),0)/12)),0)</f>
        <v>0</v>
      </c>
      <c r="AE2426">
        <f>IF(S2426=0,0,$AD$2346*$AM$2326)</f>
        <v>0</v>
      </c>
      <c r="AF2426">
        <f>IFERROR(AE2426/$R$2346,0)</f>
        <v>0</v>
      </c>
      <c r="AG2426">
        <f>AE2426*($F$22+IF($F$22=0,0,($C$14+$C$15+IF($C$13="single",1.5,3)+3)/12))</f>
        <v>0</v>
      </c>
      <c r="AH2426">
        <f>AG2426-X2426</f>
        <v>0</v>
      </c>
      <c r="AI2426" cm="1">
        <f t="array" ref="AI2426">IFERROR(IF(AH2426&lt;0,0,AH2426/($R$2346-INDEX(hd_off,MATCH(AQ2426,hd_mark,0),0)/12)),0)</f>
        <v>0</v>
      </c>
      <c r="AJ2426">
        <f>MAX($F$22,$Z$2346)/$Q$2356</f>
        <v>0.30172413793103448</v>
      </c>
      <c r="AK2426">
        <f t="shared" ref="AK2426:AK2429" si="1492">IF(AJ2426=0,0,IF(AJ2426&gt;2,1.25-0.125*AJ2426,1))</f>
        <v>1</v>
      </c>
      <c r="AL2426" cm="1">
        <f t="array" ref="AL2426">IFERROR(INDEX(sheath_ecap_asd,MATCH(AP2426,sheath_mark,0),0)*AK2426,0)</f>
        <v>0</v>
      </c>
      <c r="AM2426" cm="1">
        <f t="array" ref="AM2426">IFERROR(INDEX(sheath_wcap_asd,MATCH(AP2426,sheath_mark,0),0)*AK2426,0)</f>
        <v>0</v>
      </c>
      <c r="AN2426" cm="1">
        <f t="array" ref="AN2426">IFERROR(INDEX(hd_cap,MATCH(AQ2426,hd_mark,0),0),0)</f>
        <v>0</v>
      </c>
      <c r="AP2426" s="19"/>
      <c r="AQ2426" s="19"/>
      <c r="AR2426" s="100"/>
      <c r="AS2426" s="93"/>
      <c r="AT2426" s="109"/>
      <c r="AU2426" t="str">
        <f>$Q$2326</f>
        <v>L3</v>
      </c>
      <c r="AV2426">
        <f>$E$22</f>
        <v>21.375</v>
      </c>
      <c r="AW2426" cm="1">
        <f t="array" ref="AW2426">IFERROR(IF(AV2426=0,0,(INDEX($C$33:$C$38,MATCH($AZ$2346,$B$33:$B$38,0),0)*(AV2429+$BA$2346)+$AW$2346*COUNTIF(AV2426:AV2428,"&gt;0")*$C$32+$AY$2346*$C$31)*$AU$2346),0)</f>
        <v>0</v>
      </c>
      <c r="AX2426">
        <f>IF(AV2426=0,0,-(COUNTIF(AV2426:AV2428,"&gt;0")*$AW$2346*$C$32+$AY$2346*$C$31)*$H$27*$AU$2346)</f>
        <v>0</v>
      </c>
      <c r="AY2426">
        <f>IF(AV2426=0,0,$AY$2346*$H$26*$AU$2346)</f>
        <v>0</v>
      </c>
      <c r="AZ2426">
        <f>(0.6*AW2426+0.7*AX2426)*$AU$2346/2</f>
        <v>0</v>
      </c>
      <c r="BA2426">
        <f>AW2426*$AU$2346/2</f>
        <v>0</v>
      </c>
      <c r="BC2426">
        <f>IF(AV2426=0,0,$BG$2346*$AP$2326)</f>
        <v>0</v>
      </c>
      <c r="BD2426">
        <f>IFERROR(BC2426/$AU$2346,0)</f>
        <v>0</v>
      </c>
      <c r="BE2426">
        <f>BC2426*($F$22+IF($F$22=0,0,($C$14+$C$15+IF($C$13="single",1.5,3)+3)/12))</f>
        <v>0</v>
      </c>
      <c r="BF2426">
        <f>BE2426-AZ2426</f>
        <v>0</v>
      </c>
      <c r="BG2426" cm="1">
        <f t="array" ref="BG2426">IFERROR(IF(BF2426&lt;0,0,BF2426/($AU$2346-INDEX(hd_off,MATCH(BT2426,hd_mark,0),0)/12)),0)</f>
        <v>0</v>
      </c>
      <c r="BH2426">
        <f>IF(AV2426=0,0,$BG$2346*$AM$2326)</f>
        <v>0</v>
      </c>
      <c r="BI2426">
        <f>IFERROR(BH2426/$AU$2346,0)</f>
        <v>0</v>
      </c>
      <c r="BJ2426">
        <f>BH2426*($F$22+IF($F$22=0,0,($C$14+$C$15+IF($C$13="single",1.5,3)+3)/12))</f>
        <v>0</v>
      </c>
      <c r="BK2426">
        <f>BJ2426-BA2426</f>
        <v>0</v>
      </c>
      <c r="BL2426" cm="1">
        <f t="array" ref="BL2426">IFERROR(IF(BK2426&lt;0,0,BK2426/($AU$2346-INDEX(hd_off,MATCH(BT2426,hd_mark,0),0)/12)),0)</f>
        <v>0</v>
      </c>
      <c r="BM2426">
        <f>MAX($F$22,$BC$2346)/$Q$2356</f>
        <v>0.30172413793103448</v>
      </c>
      <c r="BN2426">
        <f t="shared" ref="BN2426:BN2429" si="1493">IF(BM2426=0,0,IF(BM2426&gt;2,1.25-0.125*BM2426,1))</f>
        <v>1</v>
      </c>
      <c r="BO2426" cm="1">
        <f t="array" ref="BO2426">IFERROR(INDEX(sheath_ecap_asd,MATCH(BS2426,sheath_mark,0),0)*BN2426,0)</f>
        <v>0</v>
      </c>
      <c r="BP2426" cm="1">
        <f t="array" ref="BP2426">IFERROR(INDEX(sheath_wcap_asd,MATCH(BS2426,sheath_mark,0),0)*BN2426,0)</f>
        <v>0</v>
      </c>
      <c r="BQ2426" cm="1">
        <f t="array" ref="BQ2426">IFERROR(INDEX(hd_cap,MATCH(BT2426,hd_mark,0),0),0)</f>
        <v>0</v>
      </c>
      <c r="BS2426" s="19"/>
      <c r="BT2426" s="19"/>
      <c r="BU2426" s="100"/>
    </row>
    <row r="2427" x14ac:dyDescent="0.25">
      <c r="P2427" s="93"/>
      <c r="Q2427" s="109" t="s">
        <v>491</v>
      </c>
      <c r="R2427" t="str">
        <f>$Q$2327</f>
        <v>L4</v>
      </c>
      <c r="S2427">
        <f>$E$23</f>
        <v>0</v>
      </c>
      <c r="T2427" cm="1">
        <f t="array" ref="T2427">IFERROR(IF(S2427=0,0,(INDEX($C$33:$C$38,MATCH($W$2346,$B$33:$B$38,0),0)*(S2429+$X$2346)+$T$2346*COUNTIF(S2427:S2428,"&gt;0")*$C$32+$V$2346*$C$31)*$R$2346),0)</f>
        <v>0</v>
      </c>
      <c r="U2427">
        <f>IF(S2427=0,0,-(COUNTIF(S2427:S2428,"&gt;0")*$T$2346*$C$32+$V$2346*$C$31)*$H$27*$R$2346)</f>
        <v>0</v>
      </c>
      <c r="V2427">
        <f>IF(S2427=0,0,$V$2346*$H$26*$R$2346)</f>
        <v>0</v>
      </c>
      <c r="W2427">
        <f>(0.6*T2427+0.7*U2427)*$R$2346/2</f>
        <v>0</v>
      </c>
      <c r="X2427">
        <f>T2427*$R$2346/2</f>
        <v>0</v>
      </c>
      <c r="Z2427">
        <f>IF(S2427=0,0,$AD$2346*$AP$2327)</f>
        <v>0</v>
      </c>
      <c r="AA2427">
        <f>IFERROR(Z2427/$R$2346,0)</f>
        <v>0</v>
      </c>
      <c r="AB2427">
        <f>Z2427*($F$23+IF($F$23=0,0,($C$14+$C$15+IF($C$13="single",1.5,3)+3)/12))</f>
        <v>0</v>
      </c>
      <c r="AC2427">
        <f>AB2427-W2427</f>
        <v>0</v>
      </c>
      <c r="AD2427" cm="1">
        <f t="array" ref="AD2427">IFERROR(IF(AC2427&lt;0,0,AC2427/($R$2346-INDEX(hd_off,MATCH(AQ2427,hd_mark,0),0)/12)),0)</f>
        <v>0</v>
      </c>
      <c r="AE2427">
        <f>IF(S2427=0,0,$AD$2346*$AM$2327)</f>
        <v>0</v>
      </c>
      <c r="AF2427">
        <f>IFERROR(AE2427/$R$2346,0)</f>
        <v>0</v>
      </c>
      <c r="AG2427">
        <f>AE2427*($F$23+IF($F$23=0,0,($C$14+$C$15+IF($C$13="single",1.5,3)+3)/12))</f>
        <v>0</v>
      </c>
      <c r="AH2427">
        <f>AG2427-X2427</f>
        <v>0</v>
      </c>
      <c r="AI2427" cm="1">
        <f t="array" ref="AI2427">IFERROR(IF(AH2427&lt;0,0,AH2427/($R$2346-INDEX(hd_off,MATCH(AQ2427,hd_mark,0),0)/12)),0)</f>
        <v>0</v>
      </c>
      <c r="AJ2427">
        <f>MAX($F$23,$AA$2346)/$Q$2356</f>
        <v>0</v>
      </c>
      <c r="AK2427">
        <f t="shared" si="1492"/>
        <v>0</v>
      </c>
      <c r="AL2427" cm="1">
        <f t="array" ref="AL2427">IFERROR(INDEX(sheath_ecap_asd,MATCH(AP2427,sheath_mark,0),0)*AK2427,0)</f>
        <v>0</v>
      </c>
      <c r="AM2427" cm="1">
        <f t="array" ref="AM2427">IFERROR(INDEX(sheath_wcap_asd,MATCH(AP2427,sheath_mark,0),0)*AK2427,0)</f>
        <v>0</v>
      </c>
      <c r="AN2427" cm="1">
        <f t="array" ref="AN2427">IFERROR(INDEX(hd_cap,MATCH(AQ2427,hd_mark,0),0),0)</f>
        <v>0</v>
      </c>
      <c r="AP2427" s="19"/>
      <c r="AQ2427" s="19"/>
      <c r="AR2427" s="100"/>
      <c r="AS2427" s="93"/>
      <c r="AT2427" s="109" t="s">
        <v>491</v>
      </c>
      <c r="AU2427" t="str">
        <f>$Q$2327</f>
        <v>L4</v>
      </c>
      <c r="AV2427">
        <f>$E$23</f>
        <v>0</v>
      </c>
      <c r="AW2427" cm="1">
        <f t="array" ref="AW2427">IFERROR(IF(AV2427=0,0,(INDEX($C$33:$C$38,MATCH($AZ$2346,$B$33:$B$38,0),0)*(AV2429+$BA$2346)+$AW$2346*COUNTIF(AV2427:AV2428,"&gt;0")*$C$32+$AY$2346*$C$31)*$AU$2346),0)</f>
        <v>0</v>
      </c>
      <c r="AX2427">
        <f>IF(AV2427=0,0,-(COUNTIF(AV2427:AV2428,"&gt;0")*$AW$2346*$C$32+$AY$2346*$C$31)*$H$27*$AU$2346)</f>
        <v>0</v>
      </c>
      <c r="AY2427">
        <f>IF(AV2427=0,0,$AY$2346*$H$26*$AU$2346)</f>
        <v>0</v>
      </c>
      <c r="AZ2427">
        <f>(0.6*AW2427+0.7*AX2427)*$AU$2346/2</f>
        <v>0</v>
      </c>
      <c r="BA2427">
        <f>AW2427*$AU$2346/2</f>
        <v>0</v>
      </c>
      <c r="BC2427">
        <f>IF(AV2427=0,0,$BG$2346*$AP$2327)</f>
        <v>0</v>
      </c>
      <c r="BD2427">
        <f>IFERROR(BC2427/$AU$2346,0)</f>
        <v>0</v>
      </c>
      <c r="BE2427">
        <f>BC2427*($F$23+IF($F$23=0,0,($C$14+$C$15+IF($C$13="single",1.5,3)+3)/12))</f>
        <v>0</v>
      </c>
      <c r="BF2427">
        <f>BE2427-AZ2427</f>
        <v>0</v>
      </c>
      <c r="BG2427" cm="1">
        <f t="array" ref="BG2427">IFERROR(IF(BF2427&lt;0,0,BF2427/($AU$2346-INDEX(hd_off,MATCH(BT2427,hd_mark,0),0)/12)),0)</f>
        <v>0</v>
      </c>
      <c r="BH2427">
        <f>IF(AV2427=0,0,$BG$2346*$AM$2327)</f>
        <v>0</v>
      </c>
      <c r="BI2427">
        <f>IFERROR(BH2427/$AU$2346,0)</f>
        <v>0</v>
      </c>
      <c r="BJ2427">
        <f>BH2427*($F$23+IF($F$23=0,0,($C$14+$C$15+IF($C$13="single",1.5,3)+3)/12))</f>
        <v>0</v>
      </c>
      <c r="BK2427">
        <f>BJ2427-BA2427</f>
        <v>0</v>
      </c>
      <c r="BL2427" cm="1">
        <f t="array" ref="BL2427">IFERROR(IF(BK2427&lt;0,0,BK2427/($AU$2346-INDEX(hd_off,MATCH(BT2427,hd_mark,0),0)/12)),0)</f>
        <v>0</v>
      </c>
      <c r="BM2427">
        <f>MAX($F$23,$BD$2346)/$Q$2356</f>
        <v>0</v>
      </c>
      <c r="BN2427">
        <f t="shared" si="1493"/>
        <v>0</v>
      </c>
      <c r="BO2427" cm="1">
        <f t="array" ref="BO2427">IFERROR(INDEX(sheath_ecap_asd,MATCH(BS2427,sheath_mark,0),0)*BN2427,0)</f>
        <v>0</v>
      </c>
      <c r="BP2427" cm="1">
        <f t="array" ref="BP2427">IFERROR(INDEX(sheath_wcap_asd,MATCH(BS2427,sheath_mark,0),0)*BN2427,0)</f>
        <v>0</v>
      </c>
      <c r="BQ2427" cm="1">
        <f t="array" ref="BQ2427">IFERROR(INDEX(hd_cap,MATCH(BT2427,hd_mark,0),0),0)</f>
        <v>0</v>
      </c>
      <c r="BS2427" s="19"/>
      <c r="BT2427" s="19"/>
      <c r="BU2427" s="100"/>
    </row>
    <row r="2428" x14ac:dyDescent="0.25">
      <c r="P2428" s="93"/>
      <c r="Q2428" s="111">
        <f>$R$2346</f>
        <v>0</v>
      </c>
      <c r="R2428" t="str">
        <f>$Q$2328</f>
        <v>L5</v>
      </c>
      <c r="S2428">
        <f>$E$24</f>
        <v>0</v>
      </c>
      <c r="T2428" cm="1">
        <f t="array" ref="T2428">IFERROR(IF(S2428=0,0,(INDEX($C$33:$C$38,MATCH($W$2346,$B$33:$B$38,0),0)*(S2429+$X$2346)+$T$2346*COUNTIF(S2428:S2428,"&gt;0")*$C$32+$V$2346*$C$31)*$R$2346),0)</f>
        <v>0</v>
      </c>
      <c r="U2428">
        <f>IF(S2428=0,0,-(COUNTIF(S2428:S2428,"&gt;0")*$T$2346*$C$32+$V$2346*$C$31)*$H$27*$R$2346)</f>
        <v>0</v>
      </c>
      <c r="V2428">
        <f>IF(S2428=0,0,$V$2346*$H$26*$R$2346)</f>
        <v>0</v>
      </c>
      <c r="W2428">
        <f>(0.6*T2428+0.7*U2428)*$R$2346/2</f>
        <v>0</v>
      </c>
      <c r="X2428">
        <f>T2428*$R$2346/2</f>
        <v>0</v>
      </c>
      <c r="Z2428">
        <f>IF(S2428=0,0,$AD$2346*$AP$2328)</f>
        <v>0</v>
      </c>
      <c r="AA2428">
        <f>IFERROR(Z2428/$R$2346,0)</f>
        <v>0</v>
      </c>
      <c r="AB2428">
        <f>Z2428*($F$24+IF($F$24=0,0,($C$14+$C$15+IF($C$13="single",1.5,3)+3)/12))</f>
        <v>0</v>
      </c>
      <c r="AC2428">
        <f>AB2428-W2428</f>
        <v>0</v>
      </c>
      <c r="AD2428" cm="1">
        <f t="array" ref="AD2428">IFERROR(IF(AC2428&lt;0,0,AC2428/($R$2346-INDEX(hd_off,MATCH(AQ2428,hd_mark,0),0)/12)),0)</f>
        <v>0</v>
      </c>
      <c r="AE2428">
        <f>IF(S2428=0,0,$AD$2346*$AM$2328)</f>
        <v>0</v>
      </c>
      <c r="AF2428">
        <f>IFERROR(AE2428/$R$2346,0)</f>
        <v>0</v>
      </c>
      <c r="AG2428">
        <f>AE2428*($F$24+IF($F$24=0,0,($C$14+$C$15+IF($C$13="single",1.5,3)+3)/12))</f>
        <v>0</v>
      </c>
      <c r="AH2428">
        <f>AG2428-X2428</f>
        <v>0</v>
      </c>
      <c r="AI2428" cm="1">
        <f t="array" ref="AI2428">IFERROR(IF(AH2428&lt;0,0,AH2428/($R$2346-INDEX(hd_off,MATCH(AQ2428,hd_mark,0),0)/12)),0)</f>
        <v>0</v>
      </c>
      <c r="AJ2428">
        <f>MAX($F$24,$AB$2346)/$Q$2356</f>
        <v>0</v>
      </c>
      <c r="AK2428">
        <f t="shared" si="1492"/>
        <v>0</v>
      </c>
      <c r="AL2428" cm="1">
        <f t="array" ref="AL2428">IFERROR(INDEX(sheath_ecap_asd,MATCH(AP2428,sheath_mark,0),0)*AK2428,0)</f>
        <v>0</v>
      </c>
      <c r="AM2428" cm="1">
        <f t="array" ref="AM2428">IFERROR(INDEX(sheath_wcap_asd,MATCH(AP2428,sheath_mark,0),0)*AK2428,0)</f>
        <v>0</v>
      </c>
      <c r="AN2428" cm="1">
        <f t="array" ref="AN2428">IFERROR(INDEX(hd_cap,MATCH(AQ2428,hd_mark,0),0),0)</f>
        <v>0</v>
      </c>
      <c r="AP2428" s="19"/>
      <c r="AQ2428" s="19"/>
      <c r="AR2428" s="100"/>
      <c r="AS2428" s="93"/>
      <c r="AT2428" s="111">
        <f>$R$2346</f>
        <v>0</v>
      </c>
      <c r="AU2428" t="str">
        <f>$Q$2328</f>
        <v>L5</v>
      </c>
      <c r="AV2428">
        <f>$E$24</f>
        <v>0</v>
      </c>
      <c r="AW2428" cm="1">
        <f t="array" ref="AW2428">IFERROR(IF(AV2428=0,0,(INDEX($C$33:$C$38,MATCH($AZ$2346,$B$33:$B$38,0),0)*(AV2429+$BA$2346)+$AW$2346*COUNTIF(AV2428:AV2428,"&gt;0")*$C$32+$AY$2346*$C$31)*$AU$2346),0)</f>
        <v>0</v>
      </c>
      <c r="AX2428">
        <f>IF(AV2428=0,0,-(COUNTIF(AV2428:AV2428,"&gt;0")*$AW$2346*$C$32+$AY$2346*$C$31)*$H$27*$AU$2346)</f>
        <v>0</v>
      </c>
      <c r="AY2428">
        <f>IF(AV2428=0,0,$AY$2346*$H$26*$AU$2346)</f>
        <v>0</v>
      </c>
      <c r="AZ2428">
        <f>(0.6*AW2428+0.7*AX2428)*$AU$2346/2</f>
        <v>0</v>
      </c>
      <c r="BA2428">
        <f>AW2428*$AU$2346/2</f>
        <v>0</v>
      </c>
      <c r="BC2428">
        <f>IF(AV2428=0,0,$BG$2346*$AP$2328)</f>
        <v>0</v>
      </c>
      <c r="BD2428">
        <f>IFERROR(BC2428/$AU$2346,0)</f>
        <v>0</v>
      </c>
      <c r="BE2428">
        <f>BC2428*($F$24+IF($F$24=0,0,($C$14+$C$15+IF($C$13="single",1.5,3)+3)/12))</f>
        <v>0</v>
      </c>
      <c r="BF2428">
        <f>BE2428-AZ2428</f>
        <v>0</v>
      </c>
      <c r="BG2428" cm="1">
        <f t="array" ref="BG2428">IFERROR(IF(BF2428&lt;0,0,BF2428/($AU$2346-INDEX(hd_off,MATCH(BT2428,hd_mark,0),0)/12)),0)</f>
        <v>0</v>
      </c>
      <c r="BH2428">
        <f>IF(AV2428=0,0,$BG$2346*$AM$2328)</f>
        <v>0</v>
      </c>
      <c r="BI2428">
        <f>IFERROR(BH2428/$AU$2346,0)</f>
        <v>0</v>
      </c>
      <c r="BJ2428">
        <f>BH2428*($F$24+IF($F$24=0,0,($C$14+$C$15+IF($C$13="single",1.5,3)+3)/12))</f>
        <v>0</v>
      </c>
      <c r="BK2428">
        <f>BJ2428-BA2428</f>
        <v>0</v>
      </c>
      <c r="BL2428" cm="1">
        <f t="array" ref="BL2428">IFERROR(IF(BK2428&lt;0,0,BK2428/($AU$2346-INDEX(hd_off,MATCH(BT2428,hd_mark,0),0)/12)),0)</f>
        <v>0</v>
      </c>
      <c r="BM2428">
        <f>MAX($F$24,$BE$2346)/$Q$2356</f>
        <v>0</v>
      </c>
      <c r="BN2428">
        <f t="shared" si="1493"/>
        <v>0</v>
      </c>
      <c r="BO2428" cm="1">
        <f t="array" ref="BO2428">IFERROR(INDEX(sheath_ecap_asd,MATCH(BS2428,sheath_mark,0),0)*BN2428,0)</f>
        <v>0</v>
      </c>
      <c r="BP2428" cm="1">
        <f t="array" ref="BP2428">IFERROR(INDEX(sheath_wcap_asd,MATCH(BS2428,sheath_mark,0),0)*BN2428,0)</f>
        <v>0</v>
      </c>
      <c r="BQ2428" cm="1">
        <f t="array" ref="BQ2428">IFERROR(INDEX(hd_cap,MATCH(BT2428,hd_mark,0),0),0)</f>
        <v>0</v>
      </c>
      <c r="BS2428" s="19"/>
      <c r="BT2428" s="19"/>
      <c r="BU2428" s="100"/>
    </row>
    <row r="2429" x14ac:dyDescent="0.25">
      <c r="P2429" s="93"/>
      <c r="Q2429" s="109"/>
      <c r="R2429" t="str">
        <f>$Q$2329</f>
        <v>Roof</v>
      </c>
      <c r="S2429">
        <f>$E$25</f>
        <v>33.171875</v>
      </c>
      <c r="T2429" cm="1">
        <f t="array" ref="T2429">IFERROR(IF(S2429=0,0,(INDEX($C$33:$C$38,MATCH($W$2346,$B$33:$B$38,0),0)*(S2429+$X$2346)+$V$2346*$C$31)*$R$2346),0)</f>
        <v>0</v>
      </c>
      <c r="U2429">
        <f>IF(S2429=0,0,-$V$2346*$C$31*$H$27*$R$2346)</f>
        <v>0</v>
      </c>
      <c r="V2429">
        <f>IF(S2429=0,0,$V$2346*$H$26*$R$2346)</f>
        <v>0</v>
      </c>
      <c r="W2429">
        <f>(0.6*T2429+0.7*U2429)*$R$2346/2</f>
        <v>0</v>
      </c>
      <c r="X2429">
        <f>T2429*$R$2346/2</f>
        <v>0</v>
      </c>
      <c r="Z2429">
        <f>IF(S2429=0,0,$AD$2346*$AP$2329)</f>
        <v>0</v>
      </c>
      <c r="AA2429">
        <f>IFERROR(Z2429/$R$2346,0)</f>
        <v>0</v>
      </c>
      <c r="AB2429">
        <f>Z2429*($F$25+($C$16+$C$17+IF($C$13="single",1.5,3)+3)/12)</f>
        <v>0</v>
      </c>
      <c r="AC2429">
        <f>AB2429-W2429</f>
        <v>0</v>
      </c>
      <c r="AD2429" cm="1">
        <f t="array" ref="AD2429">IFERROR(IF(AC2429&lt;0,0,AC2429/($R$2346-INDEX(hd_off,MATCH(AQ2429,hd_mark,0),0)/12)),0)</f>
        <v>0</v>
      </c>
      <c r="AE2429">
        <f>IF(S2429=0,0,$AD$2346*$AM$2329)</f>
        <v>0</v>
      </c>
      <c r="AF2429">
        <f>IFERROR(AE2429/$R$2346,0)</f>
        <v>0</v>
      </c>
      <c r="AG2429">
        <f>AE2429*($F$25+($C$16+$C$17+IF($C$13="single",1.5,3)+3)/12)</f>
        <v>0</v>
      </c>
      <c r="AH2429">
        <f>AG2429-X2429</f>
        <v>0</v>
      </c>
      <c r="AI2429" cm="1">
        <f t="array" ref="AI2429">IFERROR(IF(AH2429&lt;0,0,AH2429/($R$2346-INDEX(hd_off,MATCH(AQ2429,hd_mark,0),0)/12)),0)</f>
        <v>0</v>
      </c>
      <c r="AJ2429">
        <f>MAX($F$25,$AC$2346)/$Q$2356</f>
        <v>0.29920977011494249</v>
      </c>
      <c r="AK2429">
        <f t="shared" si="1492"/>
        <v>1</v>
      </c>
      <c r="AL2429" cm="1">
        <f t="array" ref="AL2429">IFERROR(INDEX(sheath_ecap_asd,MATCH(AP2429,sheath_mark,0),0)*AK2429,0)</f>
        <v>0</v>
      </c>
      <c r="AM2429" cm="1">
        <f t="array" ref="AM2429">IFERROR(INDEX(sheath_wcap_asd,MATCH(AP2429,sheath_mark,0),0)*AK2429,0)</f>
        <v>0</v>
      </c>
      <c r="AN2429" cm="1">
        <f t="array" ref="AN2429">IFERROR(INDEX(hd_cap,MATCH(AQ2429,hd_mark,0),0),0)</f>
        <v>0</v>
      </c>
      <c r="AP2429" s="19"/>
      <c r="AQ2429" s="19"/>
      <c r="AR2429" s="100"/>
      <c r="AS2429" s="93"/>
      <c r="AT2429" s="109"/>
      <c r="AU2429" t="str">
        <f>$Q$2329</f>
        <v>Roof</v>
      </c>
      <c r="AV2429">
        <f>$E$25</f>
        <v>33.171875</v>
      </c>
      <c r="AW2429" cm="1">
        <f t="array" ref="AW2429">IFERROR(IF(AV2429=0,0,(INDEX($C$33:$C$38,MATCH($AZ$2346,$B$33:$B$38,0),0)*(AV2429+$BA$2346)+$AY$2346*$C$31)*$AU$2346),0)</f>
        <v>0</v>
      </c>
      <c r="AX2429">
        <f>IF(AV2429=0,0,-$AY$2346*$C$31*$H$27*$AU$2346)</f>
        <v>0</v>
      </c>
      <c r="AY2429">
        <f>IF(AV2429=0,0,$AY$2346*$H$26*$AU$2346)</f>
        <v>0</v>
      </c>
      <c r="AZ2429">
        <f>(0.6*AW2429+0.7*AX2429)*$AU$2346/2</f>
        <v>0</v>
      </c>
      <c r="BA2429">
        <f>AW2429*$AU$2346/2</f>
        <v>0</v>
      </c>
      <c r="BC2429">
        <f>IF(AV2429=0,0,$BG$2346*$AP$2329)</f>
        <v>0</v>
      </c>
      <c r="BD2429">
        <f>IFERROR(BC2429/$AU$2346,0)</f>
        <v>0</v>
      </c>
      <c r="BE2429">
        <f>BC2429*($F$25+($C$16+$C$17+IF($C$13="single",1.5,3)+3)/12)</f>
        <v>0</v>
      </c>
      <c r="BF2429">
        <f>BE2429-AZ2429</f>
        <v>0</v>
      </c>
      <c r="BG2429" cm="1">
        <f t="array" ref="BG2429">IFERROR(IF(BF2429&lt;0,0,BF2429/($AU$2346-INDEX(hd_off,MATCH(BT2429,hd_mark,0),0)/12)),0)</f>
        <v>0</v>
      </c>
      <c r="BH2429">
        <f>IF(AV2429=0,0,$BG$2346*$AM$2329)</f>
        <v>0</v>
      </c>
      <c r="BI2429">
        <f>IFERROR(BH2429/$AU$2346,0)</f>
        <v>0</v>
      </c>
      <c r="BJ2429">
        <f>BH2429*($F$25+($C$16+$C$17+IF($C$13="single",1.5,3)+3)/12)</f>
        <v>0</v>
      </c>
      <c r="BK2429">
        <f>BJ2429-BA2429</f>
        <v>0</v>
      </c>
      <c r="BL2429" cm="1">
        <f t="array" ref="BL2429">IFERROR(IF(BK2429&lt;0,0,BK2429/($AU$2346-INDEX(hd_off,MATCH(BT2429,hd_mark,0),0)/12)),0)</f>
        <v>0</v>
      </c>
      <c r="BM2429">
        <f>MAX($F$25,$BF$2346)/$Q$2356</f>
        <v>0.29920977011494249</v>
      </c>
      <c r="BN2429">
        <f t="shared" si="1493"/>
        <v>1</v>
      </c>
      <c r="BO2429" cm="1">
        <f t="array" ref="BO2429">IFERROR(INDEX(sheath_ecap_asd,MATCH(BS2429,sheath_mark,0),0)*BN2429,0)</f>
        <v>0</v>
      </c>
      <c r="BP2429" cm="1">
        <f t="array" ref="BP2429">IFERROR(INDEX(sheath_wcap_asd,MATCH(BS2429,sheath_mark,0),0)*BN2429,0)</f>
        <v>0</v>
      </c>
      <c r="BQ2429" cm="1">
        <f t="array" ref="BQ2429">IFERROR(INDEX(hd_cap,MATCH(BT2429,hd_mark,0),0),0)</f>
        <v>0</v>
      </c>
      <c r="BS2429" s="19"/>
      <c r="BT2429" s="19"/>
      <c r="BU2429" s="100"/>
    </row>
    <row r="2430" x14ac:dyDescent="0.25">
      <c r="P2430" s="93"/>
      <c r="AR2430" s="100"/>
      <c r="AS2430" s="93"/>
      <c r="BU2430" s="100"/>
    </row>
    <row r="2431" x14ac:dyDescent="0.25">
      <c r="P2431" s="93"/>
      <c r="Q2431" s="110" t="str">
        <f>$Q$2347</f>
        <v>A.14</v>
      </c>
      <c r="R2431" t="str">
        <f>$Q$2325</f>
        <v>L2</v>
      </c>
      <c r="S2431">
        <f>$E$21</f>
        <v>10.6875</v>
      </c>
      <c r="T2431" cm="1">
        <f t="array" ref="T2431">IFERROR(IF(S2431=0,0,(INDEX($C$33:$C$38,MATCH($W$2347,$B$33:$B$38,0),0)*(S2435+$X$2347)+$T$2347*COUNTIF(S2431:S2447,"&gt;0")*$C$32+$V$2347*$C$31)*$R$2347),0)</f>
        <v>0</v>
      </c>
      <c r="U2431">
        <f>IF(S2431=0,0,-(COUNTIF(S2431:S2447,"&gt;0")*$T$2347*$C$32+$V$2347*$C$31)*$H$27*$R$2347)</f>
        <v>0</v>
      </c>
      <c r="V2431">
        <f>IF(S2431=0,0,$V$2347*$H$26*$R$2347)</f>
        <v>0</v>
      </c>
      <c r="W2431">
        <f>(0.6*T2431+0.7*U2431)*$R$2347/2</f>
        <v>0</v>
      </c>
      <c r="X2431">
        <f>(0.6*T2431+0.6*V2431)*$R$2347/2</f>
        <v>0</v>
      </c>
      <c r="Z2431">
        <f>IF(S2431=0,0,$AD$2347*$AP$2325)</f>
        <v>0</v>
      </c>
      <c r="AA2431">
        <f>IFERROR(Z2431/$R$2347,0)</f>
        <v>0</v>
      </c>
      <c r="AB2431">
        <f>Z2431*($F$21+IF($F$21=0,0,($C$14+$C$15+IF($C$13="single",1.5,3)+3)/12))</f>
        <v>0</v>
      </c>
      <c r="AC2431">
        <f>AB2431-W2431</f>
        <v>0</v>
      </c>
      <c r="AD2431" cm="1">
        <f t="array" ref="AD2431">IFERROR(IF(AC2431&lt;0,0,AC2431/($R$2347-INDEX(hd_off,MATCH(AQ2431,hd_mark,0),0)/12)),0)</f>
        <v>0</v>
      </c>
      <c r="AE2431">
        <f>IF(S2431=0,0,$AD$2347*$AM$2325)</f>
        <v>0</v>
      </c>
      <c r="AF2431">
        <f>IFERROR(AE2431/$R$2347,0)</f>
        <v>0</v>
      </c>
      <c r="AG2431">
        <f>AE2431*($F$21+IF($F$21=0,0,($C$14+$C$15+IF($C$13="single",1.5,3)+3)/12))</f>
        <v>0</v>
      </c>
      <c r="AH2431">
        <f>AG2431-X2431</f>
        <v>0</v>
      </c>
      <c r="AI2431" cm="1">
        <f t="array" ref="AI2431">IFERROR(IF(AH2431&lt;0,0,AH2431/($R$2347-INDEX(hd_off,MATCH(AQ2431,hd_mark,0),0)/12)),0)</f>
        <v>0</v>
      </c>
      <c r="AJ2431">
        <f>MAX($F$21,$Y$2347)/$Q$2356</f>
        <v>0.30172413793103448</v>
      </c>
      <c r="AK2431">
        <f>IF(AJ2431=0,0,IF(AJ2431&gt;2,1.25-0.125*AJ2431,1))</f>
        <v>1</v>
      </c>
      <c r="AL2431" cm="1">
        <f t="array" ref="AL2431">IFERROR(INDEX(sheath_ecap_asd,MATCH(AP2431,sheath_mark,0),0)*AK2431,0)</f>
        <v>0</v>
      </c>
      <c r="AM2431" cm="1">
        <f t="array" ref="AM2431">IFERROR(INDEX(sheath_wcap_asd,MATCH(AP2431,sheath_mark,0),0)*AK2431,0)</f>
        <v>0</v>
      </c>
      <c r="AN2431" cm="1">
        <f t="array" ref="AN2431">IFERROR(INDEX(hd_cap,MATCH(AQ2431,hd_mark,0),0),0)</f>
        <v>0</v>
      </c>
      <c r="AP2431" s="19"/>
      <c r="AQ2431" s="19"/>
      <c r="AR2431" s="100"/>
      <c r="AS2431" s="93"/>
      <c r="AT2431" s="110" t="str">
        <f>$AT$2347</f>
        <v>1.14</v>
      </c>
      <c r="AU2431" t="str">
        <f>$Q$2325</f>
        <v>L2</v>
      </c>
      <c r="AV2431">
        <f>$E$21</f>
        <v>10.6875</v>
      </c>
      <c r="AW2431" cm="1">
        <f t="array" ref="AW2431">IFERROR(IF(AV2431=0,0,(INDEX($C$33:$C$38,MATCH($AZ$2347,$B$33:$B$38,0),0)*(AV2435+$BA$2347)+$AW$2347*COUNTIF(AV2431:AV2447,"&gt;0")*$C$32+$AY$2347*$C$31)*$AU$2347),0)</f>
        <v>0</v>
      </c>
      <c r="AX2431">
        <f>IF(AV2431=0,0,-(COUNTIF(AV2431:AV2447,"&gt;0")*$AW$2347*$C$32+$AY$2347*$C$31)*$H$27*$AU$2347)</f>
        <v>0</v>
      </c>
      <c r="AY2431">
        <f>IF(AV2431=0,0,$AY$2347*$H$26*$AU$2347)</f>
        <v>0</v>
      </c>
      <c r="AZ2431">
        <f>(0.6*AW2431+0.7*AX2431)*$AU$2347/2</f>
        <v>0</v>
      </c>
      <c r="BA2431">
        <f>(0.6*AW2431+0.6*AY2431)*$AU$2347/2</f>
        <v>0</v>
      </c>
      <c r="BC2431">
        <f>IF(AV2431=0,0,$BG$2347*$AP$2325)</f>
        <v>0</v>
      </c>
      <c r="BD2431">
        <f>IFERROR(BC2431/$AU$2347,0)</f>
        <v>0</v>
      </c>
      <c r="BE2431">
        <f>BC2431*($F$21+IF($F$21=0,0,($C$14+$C$15+IF($C$13="single",1.5,3)+3)/12))</f>
        <v>0</v>
      </c>
      <c r="BF2431">
        <f>BE2431-AZ2431</f>
        <v>0</v>
      </c>
      <c r="BG2431" cm="1">
        <f t="array" ref="BG2431">IFERROR(IF(BF2431&lt;0,0,BF2431/($AU$2347-INDEX(hd_off,MATCH(BT2431,hd_mark,0),0)/12)),0)</f>
        <v>0</v>
      </c>
      <c r="BH2431">
        <f>IF(AV2431=0,0,$BG$2347*$AM$2325)</f>
        <v>0</v>
      </c>
      <c r="BI2431">
        <f>IFERROR(BH2431/$AU$2347,0)</f>
        <v>0</v>
      </c>
      <c r="BJ2431">
        <f>BH2431*($F$21+IF($F$21=0,0,($C$14+$C$15+IF($C$13="single",1.5,3)+3)/12))</f>
        <v>0</v>
      </c>
      <c r="BK2431">
        <f>BJ2431-BA2431</f>
        <v>0</v>
      </c>
      <c r="BL2431" cm="1">
        <f t="array" ref="BL2431">IFERROR(IF(BK2431&lt;0,0,BK2431/($AU$2347-INDEX(hd_off,MATCH(BT2431,hd_mark,0),0)/12)),0)</f>
        <v>0</v>
      </c>
      <c r="BM2431">
        <f>MAX($F$21,$BB$2347)/$Q$2356</f>
        <v>0.30172413793103448</v>
      </c>
      <c r="BN2431">
        <f>IF(BM2431=0,0,IF(BM2431&gt;2,1.25-0.125*BM2431,1))</f>
        <v>1</v>
      </c>
      <c r="BO2431" cm="1">
        <f t="array" ref="BO2431">IFERROR(INDEX(sheath_ecap_asd,MATCH(BS2431,sheath_mark,0),0)*BN2431,0)</f>
        <v>0</v>
      </c>
      <c r="BP2431" cm="1">
        <f t="array" ref="BP2431">IFERROR(INDEX(sheath_wcap_asd,MATCH(BS2431,sheath_mark,0),0)*BN2431,0)</f>
        <v>0</v>
      </c>
      <c r="BQ2431" cm="1">
        <f t="array" ref="BQ2431">IFERROR(INDEX(hd_cap,MATCH(BT2431,hd_mark,0),0),0)</f>
        <v>0</v>
      </c>
      <c r="BS2431" s="19"/>
      <c r="BT2431" s="19"/>
      <c r="BU2431" s="100"/>
    </row>
    <row r="2432" x14ac:dyDescent="0.25">
      <c r="P2432" s="93"/>
      <c r="Q2432" s="109"/>
      <c r="R2432" t="str">
        <f>$Q$2326</f>
        <v>L3</v>
      </c>
      <c r="S2432">
        <f>$E$22</f>
        <v>21.375</v>
      </c>
      <c r="T2432" cm="1">
        <f t="array" ref="T2432">IFERROR(IF(S2432=0,0,(INDEX($C$33:$C$38,MATCH($W$2347,$B$33:$B$38,0),0)*(S2435+$X$2347)+$T$2347*COUNTIF(S2432:S2447,"&gt;0")*$C$32+$V$2347*$C$31)*$R$2347),0)</f>
        <v>0</v>
      </c>
      <c r="U2432">
        <f>IF(S2432=0,0,-(COUNTIF(S2432:S2447,"&gt;0")*$T$2347*$C$32+$V$2347*$C$31)*$H$27*$R$2347)</f>
        <v>0</v>
      </c>
      <c r="V2432">
        <f>IF(S2432=0,0,$V$2347*$H$26*$R$2347)</f>
        <v>0</v>
      </c>
      <c r="W2432">
        <f>(0.6*T2432+0.7*U2432)*$R$2347/2</f>
        <v>0</v>
      </c>
      <c r="X2432">
        <f>T2432*$R$2347/2</f>
        <v>0</v>
      </c>
      <c r="Z2432">
        <f>IF(S2432=0,0,$AD$2347*$AP$2326)</f>
        <v>0</v>
      </c>
      <c r="AA2432">
        <f>IFERROR(Z2432/$R$2347,0)</f>
        <v>0</v>
      </c>
      <c r="AB2432">
        <f>Z2432*($F$22+IF($F$22=0,0,($C$14+$C$15+IF($C$13="single",1.5,3)+3)/12))</f>
        <v>0</v>
      </c>
      <c r="AC2432">
        <f>AB2432-W2432</f>
        <v>0</v>
      </c>
      <c r="AD2432" cm="1">
        <f t="array" ref="AD2432">IFERROR(IF(AC2432&lt;0,0,AC2432/($R$2347-INDEX(hd_off,MATCH(AQ2432,hd_mark,0),0)/12)),0)</f>
        <v>0</v>
      </c>
      <c r="AE2432">
        <f>IF(S2432=0,0,$AD$2347*$AM$2326)</f>
        <v>0</v>
      </c>
      <c r="AF2432">
        <f>IFERROR(AE2432/$R$2347,0)</f>
        <v>0</v>
      </c>
      <c r="AG2432">
        <f>AE2432*($F$22+IF($F$22=0,0,($C$14+$C$15+IF($C$13="single",1.5,3)+3)/12))</f>
        <v>0</v>
      </c>
      <c r="AH2432">
        <f>AG2432-X2432</f>
        <v>0</v>
      </c>
      <c r="AI2432" cm="1">
        <f t="array" ref="AI2432">IFERROR(IF(AH2432&lt;0,0,AH2432/($R$2347-INDEX(hd_off,MATCH(AQ2432,hd_mark,0),0)/12)),0)</f>
        <v>0</v>
      </c>
      <c r="AJ2432">
        <f>MAX($F$22,$Z$2347)/$Q$2356</f>
        <v>0.30172413793103448</v>
      </c>
      <c r="AK2432">
        <f t="shared" ref="AK2432:AK2435" si="1494">IF(AJ2432=0,0,IF(AJ2432&gt;2,1.25-0.125*AJ2432,1))</f>
        <v>1</v>
      </c>
      <c r="AL2432" cm="1">
        <f t="array" ref="AL2432">IFERROR(INDEX(sheath_ecap_asd,MATCH(AP2432,sheath_mark,0),0)*AK2432,0)</f>
        <v>0</v>
      </c>
      <c r="AM2432" cm="1">
        <f t="array" ref="AM2432">IFERROR(INDEX(sheath_wcap_asd,MATCH(AP2432,sheath_mark,0),0)*AK2432,0)</f>
        <v>0</v>
      </c>
      <c r="AN2432" cm="1">
        <f t="array" ref="AN2432">IFERROR(INDEX(hd_cap,MATCH(AQ2432,hd_mark,0),0),0)</f>
        <v>0</v>
      </c>
      <c r="AP2432" s="19"/>
      <c r="AQ2432" s="19"/>
      <c r="AR2432" s="100"/>
      <c r="AS2432" s="93"/>
      <c r="AT2432" s="109"/>
      <c r="AU2432" t="str">
        <f>$Q$2326</f>
        <v>L3</v>
      </c>
      <c r="AV2432">
        <f>$E$22</f>
        <v>21.375</v>
      </c>
      <c r="AW2432" cm="1">
        <f t="array" ref="AW2432">IFERROR(IF(AV2432=0,0,(INDEX($C$33:$C$38,MATCH($AZ$2347,$B$33:$B$38,0),0)*(AV2435+$BA$2347)+$AW$2347*COUNTIF(AV2432:AV2447,"&gt;0")*$C$32+$AY$2347*$C$31)*$AU$2347),0)</f>
        <v>0</v>
      </c>
      <c r="AX2432">
        <f>IF(AV2432=0,0,-(COUNTIF(AV2432:AV2447,"&gt;0")*$AW$2347*$C$32+$AY$2347*$C$31)*$H$27*$AU$2347)</f>
        <v>0</v>
      </c>
      <c r="AY2432">
        <f>IF(AV2432=0,0,$AY$2347*$H$26*$AU$2347)</f>
        <v>0</v>
      </c>
      <c r="AZ2432">
        <f>(0.6*AW2432+0.7*AX2432)*$AU$2347/2</f>
        <v>0</v>
      </c>
      <c r="BA2432">
        <f>AW2432*$AU$2347/2</f>
        <v>0</v>
      </c>
      <c r="BC2432">
        <f>IF(AV2432=0,0,$BG$2347*$AP$2326)</f>
        <v>0</v>
      </c>
      <c r="BD2432">
        <f>IFERROR(BC2432/$AU$2347,0)</f>
        <v>0</v>
      </c>
      <c r="BE2432">
        <f>BC2432*($F$22+IF($F$22=0,0,($C$14+$C$15+IF($C$13="single",1.5,3)+3)/12))</f>
        <v>0</v>
      </c>
      <c r="BF2432">
        <f>BE2432-AZ2432</f>
        <v>0</v>
      </c>
      <c r="BG2432" cm="1">
        <f t="array" ref="BG2432">IFERROR(IF(BF2432&lt;0,0,BF2432/($AU$2347-INDEX(hd_off,MATCH(BT2432,hd_mark,0),0)/12)),0)</f>
        <v>0</v>
      </c>
      <c r="BH2432">
        <f>IF(AV2432=0,0,$BG$2347*$AM$2326)</f>
        <v>0</v>
      </c>
      <c r="BI2432">
        <f>IFERROR(BH2432/$AU$2347,0)</f>
        <v>0</v>
      </c>
      <c r="BJ2432">
        <f>BH2432*($F$22+IF($F$22=0,0,($C$14+$C$15+IF($C$13="single",1.5,3)+3)/12))</f>
        <v>0</v>
      </c>
      <c r="BK2432">
        <f>BJ2432-BA2432</f>
        <v>0</v>
      </c>
      <c r="BL2432" cm="1">
        <f t="array" ref="BL2432">IFERROR(IF(BK2432&lt;0,0,BK2432/($AU$2347-INDEX(hd_off,MATCH(BT2432,hd_mark,0),0)/12)),0)</f>
        <v>0</v>
      </c>
      <c r="BM2432">
        <f>MAX($F$22,$BC$2347)/$Q$2356</f>
        <v>0.30172413793103448</v>
      </c>
      <c r="BN2432">
        <f t="shared" ref="BN2432:BN2433" si="1495">IF(BM2432=0,0,IF(BM2432&gt;2,1.25-0.125*BM2432,1))</f>
        <v>1</v>
      </c>
      <c r="BO2432" cm="1">
        <f t="array" ref="BO2432">IFERROR(INDEX(sheath_ecap_asd,MATCH(BS2432,sheath_mark,0),0)*BN2432,0)</f>
        <v>0</v>
      </c>
      <c r="BP2432" cm="1">
        <f t="array" ref="BP2432">IFERROR(INDEX(sheath_wcap_asd,MATCH(BS2432,sheath_mark,0),0)*BN2432,0)</f>
        <v>0</v>
      </c>
      <c r="BQ2432" cm="1">
        <f t="array" ref="BQ2432">IFERROR(INDEX(hd_cap,MATCH(BT2432,hd_mark,0),0),0)</f>
        <v>0</v>
      </c>
      <c r="BS2432" s="19"/>
      <c r="BT2432" s="19"/>
      <c r="BU2432" s="100"/>
    </row>
    <row r="2433" x14ac:dyDescent="0.25">
      <c r="P2433" s="93"/>
      <c r="Q2433" s="109" t="s">
        <v>491</v>
      </c>
      <c r="R2433" t="str">
        <f>$Q$2327</f>
        <v>L4</v>
      </c>
      <c r="S2433">
        <f>$E$23</f>
        <v>0</v>
      </c>
      <c r="T2433" cm="1">
        <f t="array" ref="T2433">IFERROR(IF(S2433=0,0,(INDEX($C$33:$C$38,MATCH($W$2347,$B$33:$B$38,0),0)*(S2435+$X$2347)+$T$2347*COUNTIF(S2433:S2447,"&gt;0")*$C$32+$V$2347*$C$31)*$R$2347),0)</f>
        <v>0</v>
      </c>
      <c r="U2433">
        <f>IF(S2433=0,0,-(COUNTIF(S2433:S2447,"&gt;0")*$T$2347*$C$32+$V$2347*$C$31)*$H$27*$R$2347)</f>
        <v>0</v>
      </c>
      <c r="V2433">
        <f>IF(S2433=0,0,$V$2347*$H$26*$R$2347)</f>
        <v>0</v>
      </c>
      <c r="W2433">
        <f>(0.6*T2433+0.7*U2433)*$R$2347/2</f>
        <v>0</v>
      </c>
      <c r="X2433">
        <f>T2433*$R$2347/2</f>
        <v>0</v>
      </c>
      <c r="Z2433">
        <f>IF(S2433=0,0,$AD$2347*$AP$2327)</f>
        <v>0</v>
      </c>
      <c r="AA2433">
        <f>IFERROR(Z2433/$R$2347,0)</f>
        <v>0</v>
      </c>
      <c r="AB2433">
        <f>Z2433*($F$23+IF($F$23=0,0,($C$14+$C$15+IF($C$13="single",1.5,3)+3)/12))</f>
        <v>0</v>
      </c>
      <c r="AC2433">
        <f>AB2433-W2433</f>
        <v>0</v>
      </c>
      <c r="AD2433" cm="1">
        <f t="array" ref="AD2433">IFERROR(IF(AC2433&lt;0,0,AC2433/($R$2347-INDEX(hd_off,MATCH(AQ2433,hd_mark,0),0)/12)),0)</f>
        <v>0</v>
      </c>
      <c r="AE2433">
        <f>IF(S2433=0,0,$AD$2347*$AM$2327)</f>
        <v>0</v>
      </c>
      <c r="AF2433">
        <f>IFERROR(AE2433/$R$2347,0)</f>
        <v>0</v>
      </c>
      <c r="AG2433">
        <f>AE2433*($F$23+IF($F$23=0,0,($C$14+$C$15+IF($C$13="single",1.5,3)+3)/12))</f>
        <v>0</v>
      </c>
      <c r="AH2433">
        <f>AG2433-X2433</f>
        <v>0</v>
      </c>
      <c r="AI2433" cm="1">
        <f t="array" ref="AI2433">IFERROR(IF(AH2433&lt;0,0,AH2433/($R$2347-INDEX(hd_off,MATCH(AQ2433,hd_mark,0),0)/12)),0)</f>
        <v>0</v>
      </c>
      <c r="AJ2433">
        <f>MAX($F$23,$AA$2347)/$Q$2356</f>
        <v>0</v>
      </c>
      <c r="AK2433">
        <f t="shared" si="1494"/>
        <v>0</v>
      </c>
      <c r="AL2433" cm="1">
        <f t="array" ref="AL2433">IFERROR(INDEX(sheath_ecap_asd,MATCH(AP2433,sheath_mark,0),0)*AK2433,0)</f>
        <v>0</v>
      </c>
      <c r="AM2433" cm="1">
        <f t="array" ref="AM2433">IFERROR(INDEX(sheath_wcap_asd,MATCH(AP2433,sheath_mark,0),0)*AK2433,0)</f>
        <v>0</v>
      </c>
      <c r="AN2433" cm="1">
        <f t="array" ref="AN2433">IFERROR(INDEX(hd_cap,MATCH(AQ2433,hd_mark,0),0),0)</f>
        <v>0</v>
      </c>
      <c r="AP2433" s="19"/>
      <c r="AQ2433" s="19"/>
      <c r="AR2433" s="100"/>
      <c r="AS2433" s="93"/>
      <c r="AT2433" s="109" t="s">
        <v>491</v>
      </c>
      <c r="AU2433" t="str">
        <f>$Q$2327</f>
        <v>L4</v>
      </c>
      <c r="AV2433">
        <f>$E$23</f>
        <v>0</v>
      </c>
      <c r="AW2433" cm="1">
        <f t="array" ref="AW2433">IFERROR(IF(AV2433=0,0,(INDEX($C$33:$C$38,MATCH($AZ$2347,$B$33:$B$38,0),0)*(AV2435+$BA$2347)+$AW$2347*COUNTIF(AV2433:AV2447,"&gt;0")*$C$32+$AY$2347*$C$31)*$AU$2347),0)</f>
        <v>0</v>
      </c>
      <c r="AX2433">
        <f>IF(AV2433=0,0,-(COUNTIF(AV2433:AV2447,"&gt;0")*$AW$2347*$C$32+$AY$2347*$C$31)*$H$27*$AU$2347)</f>
        <v>0</v>
      </c>
      <c r="AY2433">
        <f>IF(AV2433=0,0,$AY$2347*$H$26*$AU$2347)</f>
        <v>0</v>
      </c>
      <c r="AZ2433">
        <f>(0.6*AW2433+0.7*AX2433)*$AU$2347/2</f>
        <v>0</v>
      </c>
      <c r="BA2433">
        <f>AW2433*$AU$2347/2</f>
        <v>0</v>
      </c>
      <c r="BC2433">
        <f>IF(AV2433=0,0,$BG$2347*$AP$2327)</f>
        <v>0</v>
      </c>
      <c r="BD2433">
        <f>IFERROR(BC2433/$AU$2347,0)</f>
        <v>0</v>
      </c>
      <c r="BE2433">
        <f>BC2433*($F$23+IF($F$23=0,0,($C$14+$C$15+IF($C$13="single",1.5,3)+3)/12))</f>
        <v>0</v>
      </c>
      <c r="BF2433">
        <f>BE2433-AZ2433</f>
        <v>0</v>
      </c>
      <c r="BG2433" cm="1">
        <f t="array" ref="BG2433">IFERROR(IF(BF2433&lt;0,0,BF2433/($AU$2347-INDEX(hd_off,MATCH(BT2433,hd_mark,0),0)/12)),0)</f>
        <v>0</v>
      </c>
      <c r="BH2433">
        <f>IF(AV2433=0,0,$BG$2347*$AM$2327)</f>
        <v>0</v>
      </c>
      <c r="BI2433">
        <f>IFERROR(BH2433/$AU$2347,0)</f>
        <v>0</v>
      </c>
      <c r="BJ2433">
        <f>BH2433*($F$23+IF($F$23=0,0,($C$14+$C$15+IF($C$13="single",1.5,3)+3)/12))</f>
        <v>0</v>
      </c>
      <c r="BK2433">
        <f>BJ2433-BA2433</f>
        <v>0</v>
      </c>
      <c r="BL2433" cm="1">
        <f t="array" ref="BL2433">IFERROR(IF(BK2433&lt;0,0,BK2433/($AU$2347-INDEX(hd_off,MATCH(BT2433,hd_mark,0),0)/12)),0)</f>
        <v>0</v>
      </c>
      <c r="BM2433">
        <f>MAX($F$23,$BD$2347)/$Q$2356</f>
        <v>0</v>
      </c>
      <c r="BN2433">
        <f t="shared" si="1495"/>
        <v>0</v>
      </c>
      <c r="BO2433" cm="1">
        <f t="array" ref="BO2433">IFERROR(INDEX(sheath_ecap_asd,MATCH(BS2433,sheath_mark,0),0)*BN2433,0)</f>
        <v>0</v>
      </c>
      <c r="BP2433" cm="1">
        <f t="array" ref="BP2433">IFERROR(INDEX(sheath_wcap_asd,MATCH(BS2433,sheath_mark,0),0)*BN2433,0)</f>
        <v>0</v>
      </c>
      <c r="BQ2433" cm="1">
        <f t="array" ref="BQ2433">IFERROR(INDEX(hd_cap,MATCH(BT2433,hd_mark,0),0),0)</f>
        <v>0</v>
      </c>
      <c r="BS2433" s="19"/>
      <c r="BT2433" s="19"/>
      <c r="BU2433" s="100"/>
    </row>
    <row r="2434" x14ac:dyDescent="0.25">
      <c r="P2434" s="93"/>
      <c r="Q2434" s="111">
        <f>$R$2347</f>
        <v>0</v>
      </c>
      <c r="R2434" t="str">
        <f>$Q$2328</f>
        <v>L5</v>
      </c>
      <c r="S2434">
        <f>$E$24</f>
        <v>0</v>
      </c>
      <c r="T2434" cm="1">
        <f t="array" ref="T2434">IFERROR(IF(S2447=0,0,(INDEX($C$33:$C$38,MATCH($W$2347,$B$33:$B$38,0),0)*(S2435+$X$2347)+$T$2347*COUNTIF(S2447:S2447,"&gt;0")*$C$32+$V$2347*$C$31)*$R$2347),0)</f>
        <v>0</v>
      </c>
      <c r="U2434">
        <f>IF(S2447=0,0,-(COUNTIF(S2447:S2447,"&gt;0")*$T$2347*$C$32+$V$2347*$C$31)*$H$27*$R$2347)</f>
        <v>0</v>
      </c>
      <c r="V2434">
        <f>IF(S2447=0,0,$V$2347*$H$26*$R$2347)</f>
        <v>0</v>
      </c>
      <c r="W2434">
        <f>(0.6*T2447+0.7*U2447)*$R$2347/2</f>
        <v>0</v>
      </c>
      <c r="X2434">
        <f>T2447*$R$2347/2</f>
        <v>0</v>
      </c>
      <c r="Z2434">
        <f>IF(S2447=0,0,$AD$2347*$AP$2328)</f>
        <v>0</v>
      </c>
      <c r="AA2434">
        <f>IFERROR(Z2447/$R$2347,0)</f>
        <v>0</v>
      </c>
      <c r="AB2434">
        <f>Z2447*($F$24+IF($F$24=0,0,($C$14+$C$15+IF($C$13="single",1.5,3)+3)/12))</f>
        <v>0</v>
      </c>
      <c r="AC2434">
        <f>AB2447-W2447</f>
        <v>0</v>
      </c>
      <c r="AD2434" cm="1">
        <f t="array" ref="AD2434">IFERROR(IF(AC2447&lt;0,0,AC2447/($R$2347-INDEX(hd_off,MATCH(AQ2447,hd_mark,0),0)/12)),0)</f>
        <v>0</v>
      </c>
      <c r="AE2434">
        <f>IF(S2447=0,0,$AD$2347*$AM$2328)</f>
        <v>0</v>
      </c>
      <c r="AF2434">
        <f>IFERROR(AE2447/$R$2347,0)</f>
        <v>0</v>
      </c>
      <c r="AG2434">
        <f>AE2447*($F$24+IF($F$24=0,0,($C$14+$C$15+IF($C$13="single",1.5,3)+3)/12))</f>
        <v>0</v>
      </c>
      <c r="AH2434">
        <f>AG2447-X2447</f>
        <v>0</v>
      </c>
      <c r="AI2434" cm="1">
        <f t="array" ref="AI2434">IFERROR(IF(AH2447&lt;0,0,AH2447/($R$2347-INDEX(hd_off,MATCH(AQ2447,hd_mark,0),0)/12)),0)</f>
        <v>0</v>
      </c>
      <c r="AJ2434">
        <f>MAX($F$24,$AB$2347)/$Q$2356</f>
        <v>0</v>
      </c>
      <c r="AK2434">
        <f>IF(AJ2447=0,0,IF(AJ2447&gt;2,1.25-0.125*AJ2447,1))</f>
        <v>1</v>
      </c>
      <c r="AL2434" cm="1">
        <f t="array" ref="AL2434">IFERROR(INDEX(sheath_ecap_asd,MATCH(AP2447,sheath_mark,0),0)*AK2447,0)</f>
        <v>0</v>
      </c>
      <c r="AM2434" cm="1">
        <f t="array" ref="AM2434">IFERROR(INDEX(sheath_wcap_asd,MATCH(AP2447,sheath_mark,0),0)*AK2447,0)</f>
        <v>0</v>
      </c>
      <c r="AN2434" cm="1">
        <f t="array" ref="AN2434">IFERROR(INDEX(hd_cap,MATCH(AQ2447,hd_mark,0),0),0)</f>
        <v>0</v>
      </c>
      <c r="AP2434" s="19"/>
      <c r="AQ2434" s="19"/>
      <c r="AR2434" s="100"/>
      <c r="AS2434" s="93"/>
      <c r="AT2434" s="111">
        <f>$R$2347</f>
        <v>0</v>
      </c>
      <c r="AU2434" t="str">
        <f>$Q$2328</f>
        <v>L5</v>
      </c>
      <c r="AV2434">
        <f>$E$24</f>
        <v>0</v>
      </c>
      <c r="AW2434" cm="1">
        <f t="array" ref="AW2434">IFERROR(IF(AV2447=0,0,(INDEX($C$33:$C$38,MATCH($AZ$2347,$B$33:$B$38,0),0)*(AV2435+$BA$2347)+$AW$2347*COUNTIF(AV2447:AV2447,"&gt;0")*$C$32+$AY$2347*$C$31)*$AU$2347),0)</f>
        <v>0</v>
      </c>
      <c r="AX2434">
        <f>IF(AV2447=0,0,-(COUNTIF(AV2447:AV2447,"&gt;0")*$AW$2347*$C$32+$AY$2347*$C$31)*$H$27*$AU$2347)</f>
        <v>0</v>
      </c>
      <c r="AY2434">
        <f>IF(AV2447=0,0,$AY$2347*$H$26*$AU$2347)</f>
        <v>0</v>
      </c>
      <c r="AZ2434">
        <f>(0.6*AW2447+0.7*AX2447)*$AU$2347/2</f>
        <v>0</v>
      </c>
      <c r="BA2434">
        <f>AW2447*$AU$2347/2</f>
        <v>0</v>
      </c>
      <c r="BC2434">
        <f>IF(AV2447=0,0,$BG$2347*$AP$2328)</f>
        <v>0</v>
      </c>
      <c r="BD2434">
        <f>IFERROR(BC2447/$AU$2347,0)</f>
        <v>0</v>
      </c>
      <c r="BE2434">
        <f>BC2447*($F$24+IF($F$24=0,0,($C$14+$C$15+IF($C$13="single",1.5,3)+3)/12))</f>
        <v>0</v>
      </c>
      <c r="BF2434">
        <f>BE2447-AZ2447</f>
        <v>0</v>
      </c>
      <c r="BG2434" cm="1">
        <f t="array" ref="BG2434">IFERROR(IF(BF2447&lt;0,0,BF2447/($AU$2347-INDEX(hd_off,MATCH(BT2447,hd_mark,0),0)/12)),0)</f>
        <v>0</v>
      </c>
      <c r="BH2434">
        <f>IF(AV2447=0,0,$BG$2347*$AM$2328)</f>
        <v>0</v>
      </c>
      <c r="BI2434">
        <f>IFERROR(BH2447/$AU$2347,0)</f>
        <v>0</v>
      </c>
      <c r="BJ2434">
        <f>BH2447*($F$24+IF($F$24=0,0,($C$14+$C$15+IF($C$13="single",1.5,3)+3)/12))</f>
        <v>0</v>
      </c>
      <c r="BK2434">
        <f>BJ2447-BA2447</f>
        <v>0</v>
      </c>
      <c r="BL2434" cm="1">
        <f t="array" ref="BL2434">IFERROR(IF(BK2447&lt;0,0,BK2447/($AU$2347-INDEX(hd_off,MATCH(BT2447,hd_mark,0),0)/12)),0)</f>
        <v>0</v>
      </c>
      <c r="BM2434">
        <f>MAX($F$24,$BE$2347)/$Q$2356</f>
        <v>0</v>
      </c>
      <c r="BN2434">
        <f>IF(BM2447=0,0,IF(BM2447&gt;2,1.25-0.125*BM2447,1))</f>
        <v>0</v>
      </c>
      <c r="BO2434" cm="1">
        <f t="array" ref="BO2434">IFERROR(INDEX(sheath_ecap_asd,MATCH(BS2447,sheath_mark,0),0)*BN2447,0)</f>
        <v>0</v>
      </c>
      <c r="BP2434" cm="1">
        <f t="array" ref="BP2434">IFERROR(INDEX(sheath_wcap_asd,MATCH(BS2447,sheath_mark,0),0)*BN2447,0)</f>
        <v>0</v>
      </c>
      <c r="BQ2434" cm="1">
        <f t="array" ref="BQ2434">IFERROR(INDEX(hd_cap,MATCH(BT2447,hd_mark,0),0),0)</f>
        <v>0</v>
      </c>
      <c r="BS2434" s="19"/>
      <c r="BT2434" s="19"/>
      <c r="BU2434" s="100"/>
    </row>
    <row r="2435" x14ac:dyDescent="0.25">
      <c r="P2435" s="93"/>
      <c r="Q2435" s="109"/>
      <c r="R2435" t="str">
        <f>$Q$2329</f>
        <v>Roof</v>
      </c>
      <c r="S2435">
        <f>$E$25</f>
        <v>33.171875</v>
      </c>
      <c r="T2435" cm="1">
        <f t="array" ref="T2435">IFERROR(IF(S2435=0,0,(INDEX($C$33:$C$38,MATCH($W$2347,$B$33:$B$38,0),0)*(S2435+$X$2347)+$V$2347*$C$31)*$R$2347),0)</f>
        <v>0</v>
      </c>
      <c r="U2435">
        <f>IF(S2435=0,0,-$V$2347*$C$31*$H$27*$R$2347)</f>
        <v>0</v>
      </c>
      <c r="V2435">
        <f>IF(S2435=0,0,$V$2347*$H$26*$R$2347)</f>
        <v>0</v>
      </c>
      <c r="W2435">
        <f>(0.6*T2435+0.7*U2435)*$R$2347/2</f>
        <v>0</v>
      </c>
      <c r="X2435">
        <f>T2435*$R$2347/2</f>
        <v>0</v>
      </c>
      <c r="Z2435">
        <f>IF(S2435=0,0,$AD$2347*$AP$2329)</f>
        <v>0</v>
      </c>
      <c r="AA2435">
        <f>IFERROR(Z2435/$R$2347,0)</f>
        <v>0</v>
      </c>
      <c r="AB2435">
        <f>Z2435*($F$25+($C$16+$C$17+IF($C$13="single",1.5,3)+3)/12)</f>
        <v>0</v>
      </c>
      <c r="AC2435">
        <f>AB2435-W2435</f>
        <v>0</v>
      </c>
      <c r="AD2435" cm="1">
        <f t="array" ref="AD2435">IFERROR(IF(AC2435&lt;0,0,AC2435/($R$2347-INDEX(hd_off,MATCH(AQ2435,hd_mark,0),0)/12)),0)</f>
        <v>0</v>
      </c>
      <c r="AE2435">
        <f>IF(S2435=0,0,$AD$2347*$AM$2329)</f>
        <v>0</v>
      </c>
      <c r="AF2435">
        <f>IFERROR(AE2435/$R$2347,0)</f>
        <v>0</v>
      </c>
      <c r="AG2435">
        <f>AE2435*($F$25+($C$16+$C$17+IF($C$13="single",1.5,3)+3)/12)</f>
        <v>0</v>
      </c>
      <c r="AH2435">
        <f>AG2435-X2435</f>
        <v>0</v>
      </c>
      <c r="AI2435" cm="1">
        <f t="array" ref="AI2435">IFERROR(IF(AH2435&lt;0,0,AH2435/($R$2347-INDEX(hd_off,MATCH(AQ2435,hd_mark,0),0)/12)),0)</f>
        <v>0</v>
      </c>
      <c r="AJ2435">
        <f>MAX($F$25,$AC$2347)/$Q$2356</f>
        <v>0.29920977011494249</v>
      </c>
      <c r="AK2435">
        <f t="shared" si="1494"/>
        <v>1</v>
      </c>
      <c r="AL2435" cm="1">
        <f t="array" ref="AL2435">IFERROR(INDEX(sheath_ecap_asd,MATCH(AP2435,sheath_mark,0),0)*AK2435,0)</f>
        <v>0</v>
      </c>
      <c r="AM2435" cm="1">
        <f t="array" ref="AM2435">IFERROR(INDEX(sheath_wcap_asd,MATCH(AP2435,sheath_mark,0),0)*AK2435,0)</f>
        <v>0</v>
      </c>
      <c r="AN2435" cm="1">
        <f t="array" ref="AN2435">IFERROR(INDEX(hd_cap,MATCH(AQ2435,hd_mark,0),0),0)</f>
        <v>0</v>
      </c>
      <c r="AP2435" s="19"/>
      <c r="AQ2435" s="19"/>
      <c r="AR2435" s="100"/>
      <c r="AS2435" s="93"/>
      <c r="AT2435" s="109"/>
      <c r="AU2435" t="str">
        <f>$Q$2329</f>
        <v>Roof</v>
      </c>
      <c r="AV2435">
        <f>$E$25</f>
        <v>33.171875</v>
      </c>
      <c r="AW2435" cm="1">
        <f t="array" ref="AW2435">IFERROR(IF(AV2435=0,0,(INDEX($C$33:$C$38,MATCH($AZ$2347,$B$33:$B$38,0),0)*(AV2435+$BA$2347)+$AY$2347*$C$31)*$AU$2347),0)</f>
        <v>0</v>
      </c>
      <c r="AX2435">
        <f>IF(AV2435=0,0,-$AY$2347*$C$31*$H$27*$AU$2347)</f>
        <v>0</v>
      </c>
      <c r="AY2435">
        <f>IF(AV2435=0,0,$AY$2347*$H$26*$AU$2347)</f>
        <v>0</v>
      </c>
      <c r="AZ2435">
        <f>(0.6*AW2435+0.7*AX2435)*$AU$2347/2</f>
        <v>0</v>
      </c>
      <c r="BA2435">
        <f>AW2435*$AU$2347/2</f>
        <v>0</v>
      </c>
      <c r="BC2435">
        <f>IF(AV2435=0,0,$BG$2347*$AP$2329)</f>
        <v>0</v>
      </c>
      <c r="BD2435">
        <f>IFERROR(BC2435/$AU$2347,0)</f>
        <v>0</v>
      </c>
      <c r="BE2435">
        <f>BC2435*($F$25+($C$16+$C$17+IF($C$13="single",1.5,3)+3)/12)</f>
        <v>0</v>
      </c>
      <c r="BF2435">
        <f>BE2435-AZ2435</f>
        <v>0</v>
      </c>
      <c r="BG2435" cm="1">
        <f t="array" ref="BG2435">IFERROR(IF(BF2435&lt;0,0,BF2435/($AU$2347-INDEX(hd_off,MATCH(BT2435,hd_mark,0),0)/12)),0)</f>
        <v>0</v>
      </c>
      <c r="BH2435">
        <f>IF(AV2435=0,0,$BG$2347*$AM$2329)</f>
        <v>0</v>
      </c>
      <c r="BI2435">
        <f>IFERROR(BH2435/$AU$2347,0)</f>
        <v>0</v>
      </c>
      <c r="BJ2435">
        <f>BH2435*($F$25+($C$16+$C$17+IF($C$13="single",1.5,3)+3)/12)</f>
        <v>0</v>
      </c>
      <c r="BK2435">
        <f>BJ2435-BA2435</f>
        <v>0</v>
      </c>
      <c r="BL2435" cm="1">
        <f t="array" ref="BL2435">IFERROR(IF(BK2435&lt;0,0,BK2435/($AU$2347-INDEX(hd_off,MATCH(BT2435,hd_mark,0),0)/12)),0)</f>
        <v>0</v>
      </c>
      <c r="BM2435">
        <f>MAX($F$25,$BF$2347)/$Q$2356</f>
        <v>0.29920977011494249</v>
      </c>
      <c r="BN2435">
        <f t="shared" ref="BN2435" si="1496">IF(BM2435=0,0,IF(BM2435&gt;2,1.25-0.125*BM2435,1))</f>
        <v>1</v>
      </c>
      <c r="BO2435" cm="1">
        <f t="array" ref="BO2435">IFERROR(INDEX(sheath_ecap_asd,MATCH(BS2435,sheath_mark,0),0)*BN2435,0)</f>
        <v>0</v>
      </c>
      <c r="BP2435" cm="1">
        <f t="array" ref="BP2435">IFERROR(INDEX(sheath_wcap_asd,MATCH(BS2435,sheath_mark,0),0)*BN2435,0)</f>
        <v>0</v>
      </c>
      <c r="BQ2435" cm="1">
        <f t="array" ref="BQ2435">IFERROR(INDEX(hd_cap,MATCH(BT2435,hd_mark,0),0),0)</f>
        <v>0</v>
      </c>
      <c r="BS2435" s="19"/>
      <c r="BT2435" s="19"/>
      <c r="BU2435" s="100"/>
    </row>
    <row r="2436" x14ac:dyDescent="0.25">
      <c r="P2436" s="93"/>
      <c r="AR2436" s="100"/>
      <c r="AS2436" s="93"/>
      <c r="BU2436" s="100"/>
    </row>
    <row r="2437" x14ac:dyDescent="0.25">
      <c r="P2437" s="93"/>
      <c r="Q2437" s="110" t="str">
        <f>$Q$2348</f>
        <v>A.15</v>
      </c>
      <c r="R2437" t="str">
        <f>$Q$2325</f>
        <v>L2</v>
      </c>
      <c r="S2437">
        <f>$E$21</f>
        <v>10.6875</v>
      </c>
      <c r="T2437" cm="1">
        <f t="array" ref="T2437">IFERROR(IF(S2437=0,0,(INDEX($C$33:$C$38,MATCH($W$2348,$B$33:$B$38,0),0)*(S2441+$X$2348)+$T$2348*COUNTIF(S2437:S2440,"&gt;0")*$C$32+$V$2348*$C$31)*$R$2348),0)</f>
        <v>0</v>
      </c>
      <c r="U2437">
        <f>IF(S2437=0,0,-(COUNTIF(S2437:S2440,"&gt;0")*$T$2348*$C$32+$V$2348*$C$31)*$H$27*$R$2348)</f>
        <v>0</v>
      </c>
      <c r="V2437">
        <f>IF(S2437=0,0,$V$2348*$H$26*$R$2348)</f>
        <v>0</v>
      </c>
      <c r="W2437">
        <f>(0.6*T2437+0.7*U2437)*$R$2348/2</f>
        <v>0</v>
      </c>
      <c r="X2437">
        <f>(0.6*T2437+0.6*V2437)*$R$2348/2</f>
        <v>0</v>
      </c>
      <c r="Z2437">
        <f>IF(S2437=0,0,$AD$2348*$AP$2325)</f>
        <v>0</v>
      </c>
      <c r="AA2437">
        <f>IFERROR(Z2437/$R$2348,0)</f>
        <v>0</v>
      </c>
      <c r="AB2437">
        <f>Z2437*($F$21+IF($F$21=0,0,($C$14+$C$15+IF($C$13="single",1.5,3)+3)/12))</f>
        <v>0</v>
      </c>
      <c r="AC2437">
        <f>AB2437-W2437</f>
        <v>0</v>
      </c>
      <c r="AD2437" cm="1">
        <f t="array" ref="AD2437">IFERROR(IF(AC2437&lt;0,0,AC2437/($R$2348-INDEX(hd_off,MATCH(AQ2437,hd_mark,0),0)/12)),0)</f>
        <v>0</v>
      </c>
      <c r="AE2437">
        <f>IF(S2437=0,0,$AD$2348*$AM$2325)</f>
        <v>0</v>
      </c>
      <c r="AF2437">
        <f>IFERROR(AE2437/$R$2348,0)</f>
        <v>0</v>
      </c>
      <c r="AG2437">
        <f>AE2437*($F$21+IF($F$21=0,0,($C$14+$C$15+IF($C$13="single",1.5,3)+3)/12))</f>
        <v>0</v>
      </c>
      <c r="AH2437">
        <f>AG2437-X2437</f>
        <v>0</v>
      </c>
      <c r="AI2437" cm="1">
        <f t="array" ref="AI2437">IFERROR(IF(AH2437&lt;0,0,AH2437/($R$2348-INDEX(hd_off,MATCH(AQ2437,hd_mark,0),0)/12)),0)</f>
        <v>0</v>
      </c>
      <c r="AJ2437">
        <f>MAX($F$21,$Y$2348)/$Q$2356</f>
        <v>0.30172413793103448</v>
      </c>
      <c r="AK2437">
        <f>IF(AJ2437=0,0,IF(AJ2437&gt;2,1.25-0.125*AJ2437,1))</f>
        <v>1</v>
      </c>
      <c r="AL2437" cm="1">
        <f t="array" ref="AL2437">IFERROR(INDEX(sheath_ecap_asd,MATCH(AP2437,sheath_mark,0),0)*AK2437,0)</f>
        <v>0</v>
      </c>
      <c r="AM2437" cm="1">
        <f t="array" ref="AM2437">IFERROR(INDEX(sheath_wcap_asd,MATCH(AP2437,sheath_mark,0),0)*AK2437,0)</f>
        <v>0</v>
      </c>
      <c r="AN2437" cm="1">
        <f t="array" ref="AN2437">IFERROR(INDEX(hd_cap,MATCH(AQ2437,hd_mark,0),0),0)</f>
        <v>0</v>
      </c>
      <c r="AP2437" s="19"/>
      <c r="AQ2437" s="19"/>
      <c r="AR2437" s="100"/>
      <c r="AS2437" s="93"/>
      <c r="AT2437" s="110" t="str">
        <f>$AT$2348</f>
        <v>1.15</v>
      </c>
      <c r="AU2437" t="str">
        <f>$Q$2325</f>
        <v>L2</v>
      </c>
      <c r="AV2437">
        <f>$E$21</f>
        <v>10.6875</v>
      </c>
      <c r="AW2437" cm="1">
        <f t="array" ref="AW2437">IFERROR(IF(AV2437=0,0,(INDEX($C$33:$C$38,MATCH($AZ$2348,$B$33:$B$38,0),0)*(AV2441+$BA$2348)+$AW$2348*COUNTIF(AV2437:AV2440,"&gt;0")*$C$32+$AY$2348*$C$31)*$AU$2348),0)</f>
        <v>0</v>
      </c>
      <c r="AX2437">
        <f>IF(AV2437=0,0,-(COUNTIF(AV2437:AV2440,"&gt;0")*$AW$2348*$C$32+$AY$2348*$C$31)*$H$27*$AU$2348)</f>
        <v>0</v>
      </c>
      <c r="AY2437">
        <f>IF(AV2437=0,0,$AY$2348*$H$26*$AU$2348)</f>
        <v>0</v>
      </c>
      <c r="AZ2437">
        <f>(0.6*AW2437+0.7*AX2437)*$AU$2348/2</f>
        <v>0</v>
      </c>
      <c r="BA2437">
        <f>(0.6*AW2437+0.6*AY2437)*$AU$2348/2</f>
        <v>0</v>
      </c>
      <c r="BC2437">
        <f>IF(AV2437=0,0,$BG$2348*$AP$2325)</f>
        <v>0</v>
      </c>
      <c r="BD2437">
        <f>IFERROR(BC2437/$AU$2348,0)</f>
        <v>0</v>
      </c>
      <c r="BE2437">
        <f>BC2437*($F$21+IF($F$21=0,0,($C$14+$C$15+IF($C$13="single",1.5,3)+3)/12))</f>
        <v>0</v>
      </c>
      <c r="BF2437">
        <f>BE2437-AZ2437</f>
        <v>0</v>
      </c>
      <c r="BG2437" cm="1">
        <f t="array" ref="BG2437">IFERROR(IF(BF2437&lt;0,0,BF2437/($AU$2348-INDEX(hd_off,MATCH(BT2437,hd_mark,0),0)/12)),0)</f>
        <v>0</v>
      </c>
      <c r="BH2437">
        <f>IF(AV2437=0,0,$BG$2348*$AM$2325)</f>
        <v>0</v>
      </c>
      <c r="BI2437">
        <f>IFERROR(BH2437/$AU$2348,0)</f>
        <v>0</v>
      </c>
      <c r="BJ2437">
        <f>BH2437*($F$21+IF($F$21=0,0,($C$14+$C$15+IF($C$13="single",1.5,3)+3)/12))</f>
        <v>0</v>
      </c>
      <c r="BK2437">
        <f>BJ2437-BA2437</f>
        <v>0</v>
      </c>
      <c r="BL2437" cm="1">
        <f t="array" ref="BL2437">IFERROR(IF(BK2437&lt;0,0,BK2437/($AU$2348-INDEX(hd_off,MATCH(BT2437,hd_mark,0),0)/12)),0)</f>
        <v>0</v>
      </c>
      <c r="BM2437">
        <f>MAX($F$21,$BB$2348)/$Q$2356</f>
        <v>0.30172413793103448</v>
      </c>
      <c r="BN2437">
        <f>IF(BM2437=0,0,IF(BM2437&gt;2,1.25-0.125*BM2437,1))</f>
        <v>1</v>
      </c>
      <c r="BO2437" cm="1">
        <f t="array" ref="BO2437">IFERROR(INDEX(sheath_ecap_asd,MATCH(BS2437,sheath_mark,0),0)*BN2437,0)</f>
        <v>0</v>
      </c>
      <c r="BP2437" cm="1">
        <f t="array" ref="BP2437">IFERROR(INDEX(sheath_wcap_asd,MATCH(BS2437,sheath_mark,0),0)*BN2437,0)</f>
        <v>0</v>
      </c>
      <c r="BQ2437" cm="1">
        <f t="array" ref="BQ2437">IFERROR(INDEX(hd_cap,MATCH(BT2437,hd_mark,0),0),0)</f>
        <v>0</v>
      </c>
      <c r="BS2437" s="19"/>
      <c r="BT2437" s="19"/>
      <c r="BU2437" s="100"/>
    </row>
    <row r="2438" x14ac:dyDescent="0.25">
      <c r="P2438" s="93"/>
      <c r="Q2438" s="109"/>
      <c r="R2438" t="str">
        <f>$Q$2326</f>
        <v>L3</v>
      </c>
      <c r="S2438">
        <f>$E$22</f>
        <v>21.375</v>
      </c>
      <c r="T2438" cm="1">
        <f t="array" ref="T2438">IFERROR(IF(S2438=0,0,(INDEX($C$33:$C$38,MATCH($W$2348,$B$33:$B$38,0),0)*(S2441+$X$2348)+$T$2348*COUNTIF(S2438:S2440,"&gt;0")*$C$32+$V$2348*$C$31)*$R$2348),0)</f>
        <v>0</v>
      </c>
      <c r="U2438">
        <f>IF(S2438=0,0,-(COUNTIF(S2438:S2440,"&gt;0")*$T$2348*$C$32+$V$2348*$C$31)*$H$27*$R$2348)</f>
        <v>0</v>
      </c>
      <c r="V2438">
        <f>IF(S2438=0,0,$V$2348*$H$26*$R$2348)</f>
        <v>0</v>
      </c>
      <c r="W2438">
        <f>(0.6*T2438+0.7*U2438)*$R$2348/2</f>
        <v>0</v>
      </c>
      <c r="X2438">
        <f>T2438*$R$2348/2</f>
        <v>0</v>
      </c>
      <c r="Z2438">
        <f>IF(S2438=0,0,$AD$2348*$AP$2326)</f>
        <v>0</v>
      </c>
      <c r="AA2438">
        <f>IFERROR(Z2438/$R$2348,0)</f>
        <v>0</v>
      </c>
      <c r="AB2438">
        <f>Z2438*($F$22+IF($F$22=0,0,($C$14+$C$15+IF($C$13="single",1.5,3)+3)/12))</f>
        <v>0</v>
      </c>
      <c r="AC2438">
        <f>AB2438-W2438</f>
        <v>0</v>
      </c>
      <c r="AD2438" cm="1">
        <f t="array" ref="AD2438">IFERROR(IF(AC2438&lt;0,0,AC2438/($R$2348-INDEX(hd_off,MATCH(AQ2438,hd_mark,0),0)/12)),0)</f>
        <v>0</v>
      </c>
      <c r="AE2438">
        <f>IF(S2438=0,0,$AD$2348*$AM$2326)</f>
        <v>0</v>
      </c>
      <c r="AF2438">
        <f>IFERROR(AE2438/$R$2348,0)</f>
        <v>0</v>
      </c>
      <c r="AG2438">
        <f>AE2438*($F$22+IF($F$22=0,0,($C$14+$C$15+IF($C$13="single",1.5,3)+3)/12))</f>
        <v>0</v>
      </c>
      <c r="AH2438">
        <f>AG2438-X2438</f>
        <v>0</v>
      </c>
      <c r="AI2438" cm="1">
        <f t="array" ref="AI2438">IFERROR(IF(AH2438&lt;0,0,AH2438/($R$2348-INDEX(hd_off,MATCH(AQ2438,hd_mark,0),0)/12)),0)</f>
        <v>0</v>
      </c>
      <c r="AJ2438">
        <f>MAX($F$22,$Z$2348)/$Q$2356</f>
        <v>0.30172413793103448</v>
      </c>
      <c r="AK2438">
        <f t="shared" ref="AK2438:AK2441" si="1497">IF(AJ2438=0,0,IF(AJ2438&gt;2,1.25-0.125*AJ2438,1))</f>
        <v>1</v>
      </c>
      <c r="AL2438" cm="1">
        <f t="array" ref="AL2438">IFERROR(INDEX(sheath_ecap_asd,MATCH(AP2438,sheath_mark,0),0)*AK2438,0)</f>
        <v>0</v>
      </c>
      <c r="AM2438" cm="1">
        <f t="array" ref="AM2438">IFERROR(INDEX(sheath_wcap_asd,MATCH(AP2438,sheath_mark,0),0)*AK2438,0)</f>
        <v>0</v>
      </c>
      <c r="AN2438" cm="1">
        <f t="array" ref="AN2438">IFERROR(INDEX(hd_cap,MATCH(AQ2438,hd_mark,0),0),0)</f>
        <v>0</v>
      </c>
      <c r="AP2438" s="19"/>
      <c r="AQ2438" s="19"/>
      <c r="AR2438" s="100"/>
      <c r="AS2438" s="93"/>
      <c r="AT2438" s="109"/>
      <c r="AU2438" t="str">
        <f>$Q$2326</f>
        <v>L3</v>
      </c>
      <c r="AV2438">
        <f>$E$22</f>
        <v>21.375</v>
      </c>
      <c r="AW2438" cm="1">
        <f t="array" ref="AW2438">IFERROR(IF(AV2438=0,0,(INDEX($C$33:$C$38,MATCH($AZ$2348,$B$33:$B$38,0),0)*(AV2441+$BA$2348)+$AW$2348*COUNTIF(AV2438:AV2440,"&gt;0")*$C$32+$AY$2348*$C$31)*$AU$2348),0)</f>
        <v>0</v>
      </c>
      <c r="AX2438">
        <f>IF(AV2438=0,0,-(COUNTIF(AV2438:AV2440,"&gt;0")*$AW$2348*$C$32+$AY$2348*$C$31)*$H$27*$AU$2348)</f>
        <v>0</v>
      </c>
      <c r="AY2438">
        <f>IF(AV2438=0,0,$AY$2348*$H$26*$AU$2348)</f>
        <v>0</v>
      </c>
      <c r="AZ2438">
        <f>(0.6*AW2438+0.7*AX2438)*$AU$2348/2</f>
        <v>0</v>
      </c>
      <c r="BA2438">
        <f>AW2438*$AU$2348/2</f>
        <v>0</v>
      </c>
      <c r="BC2438">
        <f>IF(AV2438=0,0,$BG$2348*$AP$2326)</f>
        <v>0</v>
      </c>
      <c r="BD2438">
        <f>IFERROR(BC2438/$AU$2348,0)</f>
        <v>0</v>
      </c>
      <c r="BE2438">
        <f>BC2438*($F$22+IF($F$22=0,0,($C$14+$C$15+IF($C$13="single",1.5,3)+3)/12))</f>
        <v>0</v>
      </c>
      <c r="BF2438">
        <f>BE2438-AZ2438</f>
        <v>0</v>
      </c>
      <c r="BG2438" cm="1">
        <f t="array" ref="BG2438">IFERROR(IF(BF2438&lt;0,0,BF2438/($AU$2348-INDEX(hd_off,MATCH(BT2438,hd_mark,0),0)/12)),0)</f>
        <v>0</v>
      </c>
      <c r="BH2438">
        <f>IF(AV2438=0,0,$BG$2348*$AM$2326)</f>
        <v>0</v>
      </c>
      <c r="BI2438">
        <f>IFERROR(BH2438/$AU$2348,0)</f>
        <v>0</v>
      </c>
      <c r="BJ2438">
        <f>BH2438*($F$22+IF($F$22=0,0,($C$14+$C$15+IF($C$13="single",1.5,3)+3)/12))</f>
        <v>0</v>
      </c>
      <c r="BK2438">
        <f>BJ2438-BA2438</f>
        <v>0</v>
      </c>
      <c r="BL2438" cm="1">
        <f t="array" ref="BL2438">IFERROR(IF(BK2438&lt;0,0,BK2438/($AU$2348-INDEX(hd_off,MATCH(BT2438,hd_mark,0),0)/12)),0)</f>
        <v>0</v>
      </c>
      <c r="BM2438">
        <f>MAX($F$22,$BC$2348)/$Q$2356</f>
        <v>0.30172413793103448</v>
      </c>
      <c r="BN2438">
        <f t="shared" ref="BN2438:BN2441" si="1498">IF(BM2438=0,0,IF(BM2438&gt;2,1.25-0.125*BM2438,1))</f>
        <v>1</v>
      </c>
      <c r="BO2438" cm="1">
        <f t="array" ref="BO2438">IFERROR(INDEX(sheath_ecap_asd,MATCH(BS2438,sheath_mark,0),0)*BN2438,0)</f>
        <v>0</v>
      </c>
      <c r="BP2438" cm="1">
        <f t="array" ref="BP2438">IFERROR(INDEX(sheath_wcap_asd,MATCH(BS2438,sheath_mark,0),0)*BN2438,0)</f>
        <v>0</v>
      </c>
      <c r="BQ2438" cm="1">
        <f t="array" ref="BQ2438">IFERROR(INDEX(hd_cap,MATCH(BT2438,hd_mark,0),0),0)</f>
        <v>0</v>
      </c>
      <c r="BS2438" s="19"/>
      <c r="BT2438" s="19"/>
      <c r="BU2438" s="100"/>
    </row>
    <row r="2439" x14ac:dyDescent="0.25">
      <c r="P2439" s="93"/>
      <c r="Q2439" s="109" t="s">
        <v>491</v>
      </c>
      <c r="R2439" t="str">
        <f>$Q$2327</f>
        <v>L4</v>
      </c>
      <c r="S2439">
        <f>$E$23</f>
        <v>0</v>
      </c>
      <c r="T2439" cm="1">
        <f t="array" ref="T2439">IFERROR(IF(S2439=0,0,(INDEX($C$33:$C$38,MATCH($W$2348,$B$33:$B$38,0),0)*(S2441+$X$2348)+$T$2348*COUNTIF(S2439:S2440,"&gt;0")*$C$32+$V$2348*$C$31)*$R$2348),0)</f>
        <v>0</v>
      </c>
      <c r="U2439">
        <f>IF(S2439=0,0,-(COUNTIF(S2439:S2440,"&gt;0")*$T$2348*$C$32+$V$2348*$C$31)*$H$27*$R$2348)</f>
        <v>0</v>
      </c>
      <c r="V2439">
        <f>IF(S2439=0,0,$V$2348*$H$26*$R$2348)</f>
        <v>0</v>
      </c>
      <c r="W2439">
        <f>(0.6*T2439+0.7*U2439)*$R$2348/2</f>
        <v>0</v>
      </c>
      <c r="X2439">
        <f>T2439*$R$2348/2</f>
        <v>0</v>
      </c>
      <c r="Z2439">
        <f>IF(S2439=0,0,$AD$2348*$AP$2327)</f>
        <v>0</v>
      </c>
      <c r="AA2439">
        <f>IFERROR(Z2439/$R$2348,0)</f>
        <v>0</v>
      </c>
      <c r="AB2439">
        <f>Z2439*($F$23+IF($F$23=0,0,($C$14+$C$15+IF($C$13="single",1.5,3)+3)/12))</f>
        <v>0</v>
      </c>
      <c r="AC2439">
        <f>AB2439-W2439</f>
        <v>0</v>
      </c>
      <c r="AD2439" cm="1">
        <f t="array" ref="AD2439">IFERROR(IF(AC2439&lt;0,0,AC2439/($R$2348-INDEX(hd_off,MATCH(AQ2439,hd_mark,0),0)/12)),0)</f>
        <v>0</v>
      </c>
      <c r="AE2439">
        <f>IF(S2439=0,0,$AD$2348*$AM$2327)</f>
        <v>0</v>
      </c>
      <c r="AF2439">
        <f>IFERROR(AE2439/$R$2348,0)</f>
        <v>0</v>
      </c>
      <c r="AG2439">
        <f>AE2439*($F$23+IF($F$23=0,0,($C$14+$C$15+IF($C$13="single",1.5,3)+3)/12))</f>
        <v>0</v>
      </c>
      <c r="AH2439">
        <f>AG2439-X2439</f>
        <v>0</v>
      </c>
      <c r="AI2439" cm="1">
        <f t="array" ref="AI2439">IFERROR(IF(AH2439&lt;0,0,AH2439/($R$2348-INDEX(hd_off,MATCH(AQ2439,hd_mark,0),0)/12)),0)</f>
        <v>0</v>
      </c>
      <c r="AJ2439">
        <f>MAX($F$23,$AA$2348)/$Q$2356</f>
        <v>0</v>
      </c>
      <c r="AK2439">
        <f t="shared" si="1497"/>
        <v>0</v>
      </c>
      <c r="AL2439" cm="1">
        <f t="array" ref="AL2439">IFERROR(INDEX(sheath_ecap_asd,MATCH(AP2439,sheath_mark,0),0)*AK2439,0)</f>
        <v>0</v>
      </c>
      <c r="AM2439" cm="1">
        <f t="array" ref="AM2439">IFERROR(INDEX(sheath_wcap_asd,MATCH(AP2439,sheath_mark,0),0)*AK2439,0)</f>
        <v>0</v>
      </c>
      <c r="AN2439" cm="1">
        <f t="array" ref="AN2439">IFERROR(INDEX(hd_cap,MATCH(AQ2439,hd_mark,0),0),0)</f>
        <v>0</v>
      </c>
      <c r="AP2439" s="19"/>
      <c r="AQ2439" s="19"/>
      <c r="AR2439" s="100"/>
      <c r="AS2439" s="93"/>
      <c r="AT2439" s="109" t="s">
        <v>491</v>
      </c>
      <c r="AU2439" t="str">
        <f>$Q$2327</f>
        <v>L4</v>
      </c>
      <c r="AV2439">
        <f>$E$23</f>
        <v>0</v>
      </c>
      <c r="AW2439" cm="1">
        <f t="array" ref="AW2439">IFERROR(IF(AV2439=0,0,(INDEX($C$33:$C$38,MATCH($AZ$2348,$B$33:$B$38,0),0)*(AV2441+$BA$2348)+$AW$2348*COUNTIF(AV2439:AV2440,"&gt;0")*$C$32+$AY$2348*$C$31)*$AU$2348),0)</f>
        <v>0</v>
      </c>
      <c r="AX2439">
        <f>IF(AV2439=0,0,-(COUNTIF(AV2439:AV2440,"&gt;0")*$AW$2348*$C$32+$AY$2348*$C$31)*$H$27*$AU$2348)</f>
        <v>0</v>
      </c>
      <c r="AY2439">
        <f>IF(AV2439=0,0,$AY$2348*$H$26*$AU$2348)</f>
        <v>0</v>
      </c>
      <c r="AZ2439">
        <f>(0.6*AW2439+0.7*AX2439)*$AU$2348/2</f>
        <v>0</v>
      </c>
      <c r="BA2439">
        <f>AW2439*$AU$2348/2</f>
        <v>0</v>
      </c>
      <c r="BC2439">
        <f>IF(AV2439=0,0,$BG$2348*$AP$2327)</f>
        <v>0</v>
      </c>
      <c r="BD2439">
        <f>IFERROR(BC2439/$AU$2348,0)</f>
        <v>0</v>
      </c>
      <c r="BE2439">
        <f>BC2439*($F$23+IF($F$23=0,0,($C$14+$C$15+IF($C$13="single",1.5,3)+3)/12))</f>
        <v>0</v>
      </c>
      <c r="BF2439">
        <f>BE2439-AZ2439</f>
        <v>0</v>
      </c>
      <c r="BG2439" cm="1">
        <f t="array" ref="BG2439">IFERROR(IF(BF2439&lt;0,0,BF2439/($AU$2348-INDEX(hd_off,MATCH(BT2439,hd_mark,0),0)/12)),0)</f>
        <v>0</v>
      </c>
      <c r="BH2439">
        <f>IF(AV2439=0,0,$BG$2348*$AM$2327)</f>
        <v>0</v>
      </c>
      <c r="BI2439">
        <f>IFERROR(BH2439/$AU$2348,0)</f>
        <v>0</v>
      </c>
      <c r="BJ2439">
        <f>BH2439*($F$23+IF($F$23=0,0,($C$14+$C$15+IF($C$13="single",1.5,3)+3)/12))</f>
        <v>0</v>
      </c>
      <c r="BK2439">
        <f>BJ2439-BA2439</f>
        <v>0</v>
      </c>
      <c r="BL2439" cm="1">
        <f t="array" ref="BL2439">IFERROR(IF(BK2439&lt;0,0,BK2439/($AU$2348-INDEX(hd_off,MATCH(BT2439,hd_mark,0),0)/12)),0)</f>
        <v>0</v>
      </c>
      <c r="BM2439">
        <f>MAX($F$23,$BD$2348)/$Q$2356</f>
        <v>0</v>
      </c>
      <c r="BN2439">
        <f t="shared" si="1498"/>
        <v>0</v>
      </c>
      <c r="BO2439" cm="1">
        <f t="array" ref="BO2439">IFERROR(INDEX(sheath_ecap_asd,MATCH(BS2439,sheath_mark,0),0)*BN2439,0)</f>
        <v>0</v>
      </c>
      <c r="BP2439" cm="1">
        <f t="array" ref="BP2439">IFERROR(INDEX(sheath_wcap_asd,MATCH(BS2439,sheath_mark,0),0)*BN2439,0)</f>
        <v>0</v>
      </c>
      <c r="BQ2439" cm="1">
        <f t="array" ref="BQ2439">IFERROR(INDEX(hd_cap,MATCH(BT2439,hd_mark,0),0),0)</f>
        <v>0</v>
      </c>
      <c r="BS2439" s="19"/>
      <c r="BT2439" s="19"/>
      <c r="BU2439" s="100"/>
    </row>
    <row r="2440" x14ac:dyDescent="0.25">
      <c r="P2440" s="93"/>
      <c r="Q2440" s="111">
        <f>$R$2348</f>
        <v>0</v>
      </c>
      <c r="R2440" t="str">
        <f>$Q$2328</f>
        <v>L5</v>
      </c>
      <c r="S2440">
        <f>$E$24</f>
        <v>0</v>
      </c>
      <c r="T2440" cm="1">
        <f t="array" ref="T2440">IFERROR(IF(S2440=0,0,(INDEX($C$33:$C$38,MATCH($W$2348,$B$33:$B$38,0),0)*(S2441+$X$2348)+$T$2348*COUNTIF(S2440:S2440,"&gt;0")*$C$32+$V$2348*$C$31)*$R$2348),0)</f>
        <v>0</v>
      </c>
      <c r="U2440">
        <f>IF(S2440=0,0,-(COUNTIF(S2440:S2440,"&gt;0")*$T$2348*$C$32+$V$2348*$C$31)*$H$27*$R$2348)</f>
        <v>0</v>
      </c>
      <c r="V2440">
        <f>IF(S2440=0,0,$V$2348*$H$26*$R$2348)</f>
        <v>0</v>
      </c>
      <c r="W2440">
        <f>(0.6*T2440+0.7*U2440)*$R$2348/2</f>
        <v>0</v>
      </c>
      <c r="X2440">
        <f>T2440*$R$2348/2</f>
        <v>0</v>
      </c>
      <c r="Z2440">
        <f>IF(S2440=0,0,$AD$2348*$AP$2328)</f>
        <v>0</v>
      </c>
      <c r="AA2440">
        <f>IFERROR(Z2440/$R$2348,0)</f>
        <v>0</v>
      </c>
      <c r="AB2440">
        <f>Z2440*($F$24+IF($F$24=0,0,($C$14+$C$15+IF($C$13="single",1.5,3)+3)/12))</f>
        <v>0</v>
      </c>
      <c r="AC2440">
        <f>AB2440-W2440</f>
        <v>0</v>
      </c>
      <c r="AD2440" cm="1">
        <f t="array" ref="AD2440">IFERROR(IF(AC2440&lt;0,0,AC2440/($R$2348-INDEX(hd_off,MATCH(AQ2440,hd_mark,0),0)/12)),0)</f>
        <v>0</v>
      </c>
      <c r="AE2440">
        <f>IF(S2440=0,0,$AD$2348*$AM$2328)</f>
        <v>0</v>
      </c>
      <c r="AF2440">
        <f>IFERROR(AE2440/$R$2348,0)</f>
        <v>0</v>
      </c>
      <c r="AG2440">
        <f>AE2440*($F$24+IF($F$24=0,0,($C$14+$C$15+IF($C$13="single",1.5,3)+3)/12))</f>
        <v>0</v>
      </c>
      <c r="AH2440">
        <f>AG2440-X2440</f>
        <v>0</v>
      </c>
      <c r="AI2440" cm="1">
        <f t="array" ref="AI2440">IFERROR(IF(AH2440&lt;0,0,AH2440/($R$2348-INDEX(hd_off,MATCH(AQ2440,hd_mark,0),0)/12)),0)</f>
        <v>0</v>
      </c>
      <c r="AJ2440">
        <f>MAX($F$24,$AB$2348)/$Q$2356</f>
        <v>0</v>
      </c>
      <c r="AK2440">
        <f t="shared" si="1497"/>
        <v>0</v>
      </c>
      <c r="AL2440" cm="1">
        <f t="array" ref="AL2440">IFERROR(INDEX(sheath_ecap_asd,MATCH(AP2440,sheath_mark,0),0)*AK2440,0)</f>
        <v>0</v>
      </c>
      <c r="AM2440" cm="1">
        <f t="array" ref="AM2440">IFERROR(INDEX(sheath_wcap_asd,MATCH(AP2440,sheath_mark,0),0)*AK2440,0)</f>
        <v>0</v>
      </c>
      <c r="AN2440" cm="1">
        <f t="array" ref="AN2440">IFERROR(INDEX(hd_cap,MATCH(AQ2440,hd_mark,0),0),0)</f>
        <v>0</v>
      </c>
      <c r="AP2440" s="19"/>
      <c r="AQ2440" s="19"/>
      <c r="AR2440" s="100"/>
      <c r="AS2440" s="93"/>
      <c r="AT2440" s="111">
        <f>$R$2348</f>
        <v>0</v>
      </c>
      <c r="AU2440" t="str">
        <f>$Q$2328</f>
        <v>L5</v>
      </c>
      <c r="AV2440">
        <f>$E$24</f>
        <v>0</v>
      </c>
      <c r="AW2440" cm="1">
        <f t="array" ref="AW2440">IFERROR(IF(AV2440=0,0,(INDEX($C$33:$C$38,MATCH($AZ$2348,$B$33:$B$38,0),0)*(AV2441+$BA$2348)+$AW$2348*COUNTIF(AV2440:AV2440,"&gt;0")*$C$32+$AY$2348*$C$31)*$AU$2348),0)</f>
        <v>0</v>
      </c>
      <c r="AX2440">
        <f>IF(AV2440=0,0,-(COUNTIF(AV2440:AV2440,"&gt;0")*$AW$2348*$C$32+$AY$2348*$C$31)*$H$27*$AU$2348)</f>
        <v>0</v>
      </c>
      <c r="AY2440">
        <f>IF(AV2440=0,0,$AY$2348*$H$26*$AU$2348)</f>
        <v>0</v>
      </c>
      <c r="AZ2440">
        <f>(0.6*AW2440+0.7*AX2440)*$AU$2348/2</f>
        <v>0</v>
      </c>
      <c r="BA2440">
        <f>AW2440*$AU$2348/2</f>
        <v>0</v>
      </c>
      <c r="BC2440">
        <f>IF(AV2440=0,0,$BG$2348*$AP$2328)</f>
        <v>0</v>
      </c>
      <c r="BD2440">
        <f>IFERROR(BC2440/$AU$2348,0)</f>
        <v>0</v>
      </c>
      <c r="BE2440">
        <f>BC2440*($F$24+IF($F$24=0,0,($C$14+$C$15+IF($C$13="single",1.5,3)+3)/12))</f>
        <v>0</v>
      </c>
      <c r="BF2440">
        <f>BE2440-AZ2440</f>
        <v>0</v>
      </c>
      <c r="BG2440" cm="1">
        <f t="array" ref="BG2440">IFERROR(IF(BF2440&lt;0,0,BF2440/($AU$2348-INDEX(hd_off,MATCH(BT2440,hd_mark,0),0)/12)),0)</f>
        <v>0</v>
      </c>
      <c r="BH2440">
        <f>IF(AV2440=0,0,$BG$2348*$AM$2328)</f>
        <v>0</v>
      </c>
      <c r="BI2440">
        <f>IFERROR(BH2440/$AU$2348,0)</f>
        <v>0</v>
      </c>
      <c r="BJ2440">
        <f>BH2440*($F$24+IF($F$24=0,0,($C$14+$C$15+IF($C$13="single",1.5,3)+3)/12))</f>
        <v>0</v>
      </c>
      <c r="BK2440">
        <f>BJ2440-BA2440</f>
        <v>0</v>
      </c>
      <c r="BL2440" cm="1">
        <f t="array" ref="BL2440">IFERROR(IF(BK2440&lt;0,0,BK2440/($AU$2348-INDEX(hd_off,MATCH(BT2440,hd_mark,0),0)/12)),0)</f>
        <v>0</v>
      </c>
      <c r="BM2440">
        <f>MAX($F$24,$BE$2348)/$Q$2356</f>
        <v>0</v>
      </c>
      <c r="BN2440">
        <f t="shared" si="1498"/>
        <v>0</v>
      </c>
      <c r="BO2440" cm="1">
        <f t="array" ref="BO2440">IFERROR(INDEX(sheath_ecap_asd,MATCH(BS2440,sheath_mark,0),0)*BN2440,0)</f>
        <v>0</v>
      </c>
      <c r="BP2440" cm="1">
        <f t="array" ref="BP2440">IFERROR(INDEX(sheath_wcap_asd,MATCH(BS2440,sheath_mark,0),0)*BN2440,0)</f>
        <v>0</v>
      </c>
      <c r="BQ2440" cm="1">
        <f t="array" ref="BQ2440">IFERROR(INDEX(hd_cap,MATCH(BT2440,hd_mark,0),0),0)</f>
        <v>0</v>
      </c>
      <c r="BS2440" s="19"/>
      <c r="BT2440" s="19"/>
      <c r="BU2440" s="100"/>
    </row>
    <row r="2441" x14ac:dyDescent="0.25">
      <c r="P2441" s="93"/>
      <c r="Q2441" s="109"/>
      <c r="R2441" t="str">
        <f>$Q$2329</f>
        <v>Roof</v>
      </c>
      <c r="S2441">
        <f>$E$25</f>
        <v>33.171875</v>
      </c>
      <c r="T2441" cm="1">
        <f t="array" ref="T2441">IFERROR(IF(S2441=0,0,(INDEX($C$33:$C$38,MATCH($W$2348,$B$33:$B$38,0),0)*(S2441+$X$2348)+$V$2348*$C$31)*$R$2348),0)</f>
        <v>0</v>
      </c>
      <c r="U2441">
        <f>IF(S2441=0,0,-$V$2348*$C$31*$H$27*$R$2348)</f>
        <v>0</v>
      </c>
      <c r="V2441">
        <f>IF(S2441=0,0,$V$2348*$H$26*$R$2348)</f>
        <v>0</v>
      </c>
      <c r="W2441">
        <f>(0.6*T2441+0.7*U2441)*$R$2348/2</f>
        <v>0</v>
      </c>
      <c r="X2441">
        <f>T2441*$R$2348/2</f>
        <v>0</v>
      </c>
      <c r="Z2441">
        <f>IF(S2441=0,0,$AD$2348*$AP$2329)</f>
        <v>0</v>
      </c>
      <c r="AA2441">
        <f>IFERROR(Z2441/$R$2348,0)</f>
        <v>0</v>
      </c>
      <c r="AB2441">
        <f>Z2441*($F$25+($C$16+$C$17+IF($C$13="single",1.5,3)+3)/12)</f>
        <v>0</v>
      </c>
      <c r="AC2441">
        <f>AB2441-W2441</f>
        <v>0</v>
      </c>
      <c r="AD2441" cm="1">
        <f t="array" ref="AD2441">IFERROR(IF(AC2441&lt;0,0,AC2441/($R$2348-INDEX(hd_off,MATCH(AQ2441,hd_mark,0),0)/12)),0)</f>
        <v>0</v>
      </c>
      <c r="AE2441">
        <f>IF(S2441=0,0,$AD$2348*$AM$2329)</f>
        <v>0</v>
      </c>
      <c r="AF2441">
        <f>IFERROR(AE2441/$R$2348,0)</f>
        <v>0</v>
      </c>
      <c r="AG2441">
        <f>AE2441*($F$25+($C$16+$C$17+IF($C$13="single",1.5,3)+3)/12)</f>
        <v>0</v>
      </c>
      <c r="AH2441">
        <f>AG2441-X2441</f>
        <v>0</v>
      </c>
      <c r="AI2441" cm="1">
        <f t="array" ref="AI2441">IFERROR(IF(AH2441&lt;0,0,AH2441/($R$2348-INDEX(hd_off,MATCH(AQ2441,hd_mark,0),0)/12)),0)</f>
        <v>0</v>
      </c>
      <c r="AJ2441">
        <f>MAX($F$25,$AC$2348)/$Q$2356</f>
        <v>0.29920977011494249</v>
      </c>
      <c r="AK2441">
        <f t="shared" si="1497"/>
        <v>1</v>
      </c>
      <c r="AL2441" cm="1">
        <f t="array" ref="AL2441">IFERROR(INDEX(sheath_ecap_asd,MATCH(AP2441,sheath_mark,0),0)*AK2441,0)</f>
        <v>0</v>
      </c>
      <c r="AM2441" cm="1">
        <f t="array" ref="AM2441">IFERROR(INDEX(sheath_wcap_asd,MATCH(AP2441,sheath_mark,0),0)*AK2441,0)</f>
        <v>0</v>
      </c>
      <c r="AN2441" cm="1">
        <f t="array" ref="AN2441">IFERROR(INDEX(hd_cap,MATCH(AQ2441,hd_mark,0),0),0)</f>
        <v>0</v>
      </c>
      <c r="AP2441" s="19"/>
      <c r="AQ2441" s="19"/>
      <c r="AR2441" s="100"/>
      <c r="AS2441" s="93"/>
      <c r="AT2441" s="109"/>
      <c r="AU2441" t="str">
        <f>$Q$2329</f>
        <v>Roof</v>
      </c>
      <c r="AV2441">
        <f>$E$25</f>
        <v>33.171875</v>
      </c>
      <c r="AW2441" cm="1">
        <f t="array" ref="AW2441">IFERROR(IF(AV2441=0,0,(INDEX($C$33:$C$38,MATCH($AZ$2348,$B$33:$B$38,0),0)*(AV2441+$BA$2348)+$AY$2348*$C$31)*$AU$2348),0)</f>
        <v>0</v>
      </c>
      <c r="AX2441">
        <f>IF(AV2441=0,0,-$AY$2348*$C$31*$H$27*$AU$2348)</f>
        <v>0</v>
      </c>
      <c r="AY2441">
        <f>IF(AV2441=0,0,$AY$2348*$H$26*$AU$2348)</f>
        <v>0</v>
      </c>
      <c r="AZ2441">
        <f>(0.6*AW2441+0.7*AX2441)*$AU$2348/2</f>
        <v>0</v>
      </c>
      <c r="BA2441">
        <f>AW2441*$AU$2348/2</f>
        <v>0</v>
      </c>
      <c r="BC2441">
        <f>IF(AV2441=0,0,$BG$2348*$AP$2329)</f>
        <v>0</v>
      </c>
      <c r="BD2441">
        <f>IFERROR(BC2441/$AU$2348,0)</f>
        <v>0</v>
      </c>
      <c r="BE2441">
        <f>BC2441*($F$25+($C$16+$C$17+IF($C$13="single",1.5,3)+3)/12)</f>
        <v>0</v>
      </c>
      <c r="BF2441">
        <f>BE2441-AZ2441</f>
        <v>0</v>
      </c>
      <c r="BG2441" cm="1">
        <f t="array" ref="BG2441">IFERROR(IF(BF2441&lt;0,0,BF2441/($AU$2348-INDEX(hd_off,MATCH(BT2441,hd_mark,0),0)/12)),0)</f>
        <v>0</v>
      </c>
      <c r="BH2441">
        <f>IF(AV2441=0,0,$BG$2348*$AM$2329)</f>
        <v>0</v>
      </c>
      <c r="BI2441">
        <f>IFERROR(BH2441/$AU$2348,0)</f>
        <v>0</v>
      </c>
      <c r="BJ2441">
        <f>BH2441*($F$25+($C$16+$C$17+IF($C$13="single",1.5,3)+3)/12)</f>
        <v>0</v>
      </c>
      <c r="BK2441">
        <f>BJ2441-BA2441</f>
        <v>0</v>
      </c>
      <c r="BL2441" cm="1">
        <f t="array" ref="BL2441">IFERROR(IF(BK2441&lt;0,0,BK2441/($AU$2348-INDEX(hd_off,MATCH(BT2441,hd_mark,0),0)/12)),0)</f>
        <v>0</v>
      </c>
      <c r="BM2441">
        <f>MAX($F$25,$BF$2348)/$Q$2356</f>
        <v>0.29920977011494249</v>
      </c>
      <c r="BN2441">
        <f t="shared" si="1498"/>
        <v>1</v>
      </c>
      <c r="BO2441" cm="1">
        <f t="array" ref="BO2441">IFERROR(INDEX(sheath_ecap_asd,MATCH(BS2441,sheath_mark,0),0)*BN2441,0)</f>
        <v>0</v>
      </c>
      <c r="BP2441" cm="1">
        <f t="array" ref="BP2441">IFERROR(INDEX(sheath_wcap_asd,MATCH(BS2441,sheath_mark,0),0)*BN2441,0)</f>
        <v>0</v>
      </c>
      <c r="BQ2441" cm="1">
        <f t="array" ref="BQ2441">IFERROR(INDEX(hd_cap,MATCH(BT2441,hd_mark,0),0),0)</f>
        <v>0</v>
      </c>
      <c r="BS2441" s="19"/>
      <c r="BT2441" s="19"/>
      <c r="BU2441" s="100"/>
    </row>
    <row r="2442" x14ac:dyDescent="0.25">
      <c r="P2442" s="93"/>
      <c r="AR2442" s="100"/>
      <c r="AS2442" s="93"/>
      <c r="BU2442" s="100"/>
    </row>
    <row r="2443" x14ac:dyDescent="0.25">
      <c r="P2443" s="93"/>
      <c r="Q2443" s="110" t="str">
        <f>$Q$2349</f>
        <v>A.16</v>
      </c>
      <c r="R2443" t="str">
        <f>$Q$2325</f>
        <v>L2</v>
      </c>
      <c r="S2443">
        <f>$E$21</f>
        <v>10.6875</v>
      </c>
      <c r="T2443" cm="1">
        <f t="array" ref="T2443">IFERROR(IF(S2443=0,0,(INDEX($C$33:$C$38,MATCH($W$2349,$B$33:$B$38,0),0)*(S2447+$X$2349)+$T$2349*COUNTIF(S2443:S2446,"&gt;0")*$C$32+$V$2349*$C$31)*$R$2349),0)</f>
        <v>0</v>
      </c>
      <c r="U2443">
        <f>IF(S2443=0,0,-(COUNTIF(S2443:S2446,"&gt;0")*$T$2349*$C$32+$V$2349*$C$31)*$H$27*$R$2349)</f>
        <v>0</v>
      </c>
      <c r="V2443">
        <f>IF(S2443=0,0,$V$2349*$H$26*$R$2349)</f>
        <v>0</v>
      </c>
      <c r="W2443">
        <f>(0.6*T2443+0.7*U2443)*$R$2349/2</f>
        <v>0</v>
      </c>
      <c r="X2443">
        <f>(0.6*T2443+0.6*V2443)*$R$2349/2</f>
        <v>0</v>
      </c>
      <c r="Z2443">
        <f>IF(S2443=0,0,$AD$2349*$AP$2325)</f>
        <v>0</v>
      </c>
      <c r="AA2443">
        <f>IFERROR(Z2443/$R$2349,0)</f>
        <v>0</v>
      </c>
      <c r="AB2443">
        <f>Z2443*($F$21+IF($F$21=0,0,($C$14+$C$15+IF($C$13="single",1.5,3)+3)/12))</f>
        <v>0</v>
      </c>
      <c r="AC2443">
        <f>AB2443-W2443</f>
        <v>0</v>
      </c>
      <c r="AD2443" cm="1">
        <f t="array" ref="AD2443">IFERROR(IF(AC2443&lt;0,0,AC2443/($R$2349-INDEX(hd_off,MATCH(AQ2443,hd_mark,0),0)/12)),0)</f>
        <v>0</v>
      </c>
      <c r="AE2443">
        <f>IF(S2443=0,0,$AD$2349*$AM$2325)</f>
        <v>0</v>
      </c>
      <c r="AF2443">
        <f>IFERROR(AE2443/$R$2349,0)</f>
        <v>0</v>
      </c>
      <c r="AG2443">
        <f>AE2443*($F$21+IF($F$21=0,0,($C$14+$C$15+IF($C$13="single",1.5,3)+3)/12))</f>
        <v>0</v>
      </c>
      <c r="AH2443">
        <f>AG2443-X2443</f>
        <v>0</v>
      </c>
      <c r="AI2443" cm="1">
        <f t="array" ref="AI2443">IFERROR(IF(AH2443&lt;0,0,AH2443/($R$2349-INDEX(hd_off,MATCH(AQ2443,hd_mark,0),0)/12)),0)</f>
        <v>0</v>
      </c>
      <c r="AJ2443">
        <f>MAX($F$21,$Y$2349)/$Q$2356</f>
        <v>0.30172413793103448</v>
      </c>
      <c r="AK2443">
        <f>IF(AJ2443=0,0,IF(AJ2443&gt;2,1.25-0.125*AJ2443,1))</f>
        <v>1</v>
      </c>
      <c r="AL2443" cm="1">
        <f t="array" ref="AL2443">IFERROR(INDEX(sheath_ecap_asd,MATCH(AP2443,sheath_mark,0),0)*AK2443,0)</f>
        <v>0</v>
      </c>
      <c r="AM2443" cm="1">
        <f t="array" ref="AM2443">IFERROR(INDEX(sheath_wcap_asd,MATCH(AP2443,sheath_mark,0),0)*AK2443,0)</f>
        <v>0</v>
      </c>
      <c r="AN2443" cm="1">
        <f t="array" ref="AN2443">IFERROR(INDEX(hd_cap,MATCH(AQ2443,hd_mark,0),0),0)</f>
        <v>0</v>
      </c>
      <c r="AP2443" s="19"/>
      <c r="AQ2443" s="19"/>
      <c r="AR2443" s="100"/>
      <c r="AS2443" s="93"/>
      <c r="AT2443" s="110" t="str">
        <f>$AT$2349</f>
        <v>1.16</v>
      </c>
      <c r="AU2443" t="str">
        <f>$Q$2325</f>
        <v>L2</v>
      </c>
      <c r="AV2443">
        <f>$E$21</f>
        <v>10.6875</v>
      </c>
      <c r="AW2443" cm="1">
        <f t="array" ref="AW2443">IFERROR(IF(AV2443=0,0,(INDEX($C$33:$C$38,MATCH($AZ$2349,$B$33:$B$38,0),0)*(AV2447+$BA$2349)+$AW$2349*COUNTIF(AV2443:AV2446,"&gt;0")*$C$32+$AY$2349*$C$31)*$AU$2349),0)</f>
        <v>0</v>
      </c>
      <c r="AX2443">
        <f>IF(AV2443=0,0,-(COUNTIF(AV2443:AV2446,"&gt;0")*$AW$2349*$C$32+$AY$2349*$C$31)*$H$27*$AU$2349)</f>
        <v>0</v>
      </c>
      <c r="AY2443">
        <f>IF(AV2443=0,0,$AY$2349*$H$26*$AU$2349)</f>
        <v>0</v>
      </c>
      <c r="AZ2443">
        <f>(0.6*AW2443+0.7*AX2443)*$AU$2349/2</f>
        <v>0</v>
      </c>
      <c r="BA2443">
        <f>(0.6*AW2443+0.6*AY2443)*$AU$2349/2</f>
        <v>0</v>
      </c>
      <c r="BC2443">
        <f>IF(AV2443=0,0,$BG$2349*$AP$2325)</f>
        <v>0</v>
      </c>
      <c r="BD2443">
        <f>IFERROR(BC2443/$AU$2349,0)</f>
        <v>0</v>
      </c>
      <c r="BE2443">
        <f>BC2443*($F$21+IF($F$21=0,0,($C$14+$C$15+IF($C$13="single",1.5,3)+3)/12))</f>
        <v>0</v>
      </c>
      <c r="BF2443">
        <f>BE2443-AZ2443</f>
        <v>0</v>
      </c>
      <c r="BG2443" cm="1">
        <f t="array" ref="BG2443">IFERROR(IF(BF2443&lt;0,0,BF2443/($AU$2349-INDEX(hd_off,MATCH(BT2443,hd_mark,0),0)/12)),0)</f>
        <v>0</v>
      </c>
      <c r="BH2443">
        <f>IF(AV2443=0,0,$BG$2349*$AM$2325)</f>
        <v>0</v>
      </c>
      <c r="BI2443">
        <f>IFERROR(BH2443/$AU$2349,0)</f>
        <v>0</v>
      </c>
      <c r="BJ2443">
        <f>BH2443*($F$21+IF($F$21=0,0,($C$14+$C$15+IF($C$13="single",1.5,3)+3)/12))</f>
        <v>0</v>
      </c>
      <c r="BK2443">
        <f>BJ2443-BA2443</f>
        <v>0</v>
      </c>
      <c r="BL2443" cm="1">
        <f t="array" ref="BL2443">IFERROR(IF(BK2443&lt;0,0,BK2443/($AU$2349-INDEX(hd_off,MATCH(BT2443,hd_mark,0),0)/12)),0)</f>
        <v>0</v>
      </c>
      <c r="BM2443">
        <f>MAX($F$21,$BB$2349)/$Q$2356</f>
        <v>0.30172413793103448</v>
      </c>
      <c r="BN2443">
        <f>IF(BM2443=0,0,IF(BM2443&gt;2,1.25-0.125*BM2443,1))</f>
        <v>1</v>
      </c>
      <c r="BO2443" cm="1">
        <f t="array" ref="BO2443">IFERROR(INDEX(sheath_ecap_asd,MATCH(BS2443,sheath_mark,0),0)*BN2443,0)</f>
        <v>0</v>
      </c>
      <c r="BP2443" cm="1">
        <f t="array" ref="BP2443">IFERROR(INDEX(sheath_wcap_asd,MATCH(BS2443,sheath_mark,0),0)*BN2443,0)</f>
        <v>0</v>
      </c>
      <c r="BQ2443" cm="1">
        <f t="array" ref="BQ2443">IFERROR(INDEX(hd_cap,MATCH(BT2443,hd_mark,0),0),0)</f>
        <v>0</v>
      </c>
      <c r="BS2443" s="19"/>
      <c r="BT2443" s="19"/>
      <c r="BU2443" s="100"/>
    </row>
    <row r="2444" x14ac:dyDescent="0.25">
      <c r="P2444" s="93"/>
      <c r="Q2444" s="109"/>
      <c r="R2444" t="str">
        <f>$Q$2326</f>
        <v>L3</v>
      </c>
      <c r="S2444">
        <f>$E$22</f>
        <v>21.375</v>
      </c>
      <c r="T2444" cm="1">
        <f t="array" ref="T2444">IFERROR(IF(S2444=0,0,(INDEX($C$33:$C$38,MATCH($W$2349,$B$33:$B$38,0),0)*(S2447+$X$2349)+$T$2349*COUNTIF(S2444:S2446,"&gt;0")*$C$32+$V$2349*$C$31)*$R$2349),0)</f>
        <v>0</v>
      </c>
      <c r="U2444">
        <f>IF(S2444=0,0,-(COUNTIF(S2444:S2446,"&gt;0")*$T$2349*$C$32+$V$2349*$C$31)*$H$27*$R$2349)</f>
        <v>0</v>
      </c>
      <c r="V2444">
        <f>IF(S2444=0,0,$V$2349*$H$26*$R$2349)</f>
        <v>0</v>
      </c>
      <c r="W2444">
        <f>(0.6*T2444+0.7*U2444)*$R$2349/2</f>
        <v>0</v>
      </c>
      <c r="X2444">
        <f>T2444*$R$2349/2</f>
        <v>0</v>
      </c>
      <c r="Z2444">
        <f>IF(S2444=0,0,$AD$2349*$AP$2326)</f>
        <v>0</v>
      </c>
      <c r="AA2444">
        <f>IFERROR(Z2444/$R$2349,0)</f>
        <v>0</v>
      </c>
      <c r="AB2444">
        <f>Z2444*($F$22+IF($F$22=0,0,($C$14+$C$15+IF($C$13="single",1.5,3)+3)/12))</f>
        <v>0</v>
      </c>
      <c r="AC2444">
        <f>AB2444-W2444</f>
        <v>0</v>
      </c>
      <c r="AD2444" cm="1">
        <f t="array" ref="AD2444">IFERROR(IF(AC2444&lt;0,0,AC2444/($R$2349-INDEX(hd_off,MATCH(AQ2444,hd_mark,0),0)/12)),0)</f>
        <v>0</v>
      </c>
      <c r="AE2444">
        <f>IF(S2444=0,0,$AD$2349*$AM$2326)</f>
        <v>0</v>
      </c>
      <c r="AF2444">
        <f>IFERROR(AE2444/$R$2349,0)</f>
        <v>0</v>
      </c>
      <c r="AG2444">
        <f>AE2444*($F$22+IF($F$22=0,0,($C$14+$C$15+IF($C$13="single",1.5,3)+3)/12))</f>
        <v>0</v>
      </c>
      <c r="AH2444">
        <f>AG2444-X2444</f>
        <v>0</v>
      </c>
      <c r="AI2444" cm="1">
        <f t="array" ref="AI2444">IFERROR(IF(AH2444&lt;0,0,AH2444/($R$2349-INDEX(hd_off,MATCH(AQ2444,hd_mark,0),0)/12)),0)</f>
        <v>0</v>
      </c>
      <c r="AJ2444">
        <f>MAX($F$22,$Z$2349)/$Q$2356</f>
        <v>0.30172413793103448</v>
      </c>
      <c r="AK2444">
        <f t="shared" ref="AK2444:AK2447" si="1499">IF(AJ2444=0,0,IF(AJ2444&gt;2,1.25-0.125*AJ2444,1))</f>
        <v>1</v>
      </c>
      <c r="AL2444" cm="1">
        <f t="array" ref="AL2444">IFERROR(INDEX(sheath_ecap_asd,MATCH(AP2444,sheath_mark,0),0)*AK2444,0)</f>
        <v>0</v>
      </c>
      <c r="AM2444" cm="1">
        <f t="array" ref="AM2444">IFERROR(INDEX(sheath_wcap_asd,MATCH(AP2444,sheath_mark,0),0)*AK2444,0)</f>
        <v>0</v>
      </c>
      <c r="AN2444" cm="1">
        <f t="array" ref="AN2444">IFERROR(INDEX(hd_cap,MATCH(AQ2444,hd_mark,0),0),0)</f>
        <v>0</v>
      </c>
      <c r="AP2444" s="19"/>
      <c r="AQ2444" s="19"/>
      <c r="AR2444" s="100"/>
      <c r="AS2444" s="93"/>
      <c r="AT2444" s="109"/>
      <c r="AU2444" t="str">
        <f>$Q$2326</f>
        <v>L3</v>
      </c>
      <c r="AV2444">
        <f>$E$22</f>
        <v>21.375</v>
      </c>
      <c r="AW2444" cm="1">
        <f t="array" ref="AW2444">IFERROR(IF(AV2444=0,0,(INDEX($C$33:$C$38,MATCH($AZ$2349,$B$33:$B$38,0),0)*(AV2447+$BA$2349)+$AW$2349*COUNTIF(AV2444:AV2446,"&gt;0")*$C$32+$AY$2349*$C$31)*$AU$2349),0)</f>
        <v>0</v>
      </c>
      <c r="AX2444">
        <f>IF(AV2444=0,0,-(COUNTIF(AV2444:AV2446,"&gt;0")*$AW$2349*$C$32+$AY$2349*$C$31)*$H$27*$AU$2349)</f>
        <v>0</v>
      </c>
      <c r="AY2444">
        <f>IF(AV2444=0,0,$AY$2349*$H$26*$AU$2349)</f>
        <v>0</v>
      </c>
      <c r="AZ2444">
        <f>(0.6*AW2444+0.7*AX2444)*$AU$2349/2</f>
        <v>0</v>
      </c>
      <c r="BA2444">
        <f>AW2444*$AU$2349/2</f>
        <v>0</v>
      </c>
      <c r="BC2444">
        <f>IF(AV2444=0,0,$BG$2349*$AP$2326)</f>
        <v>0</v>
      </c>
      <c r="BD2444">
        <f>IFERROR(BC2444/$AU$2349,0)</f>
        <v>0</v>
      </c>
      <c r="BE2444">
        <f>BC2444*($F$22+IF($F$22=0,0,($C$14+$C$15+IF($C$13="single",1.5,3)+3)/12))</f>
        <v>0</v>
      </c>
      <c r="BF2444">
        <f>BE2444-AZ2444</f>
        <v>0</v>
      </c>
      <c r="BG2444" cm="1">
        <f t="array" ref="BG2444">IFERROR(IF(BF2444&lt;0,0,BF2444/($AU$2349-INDEX(hd_off,MATCH(BT2444,hd_mark,0),0)/12)),0)</f>
        <v>0</v>
      </c>
      <c r="BH2444">
        <f>IF(AV2444=0,0,$BG$2349*$AM$2326)</f>
        <v>0</v>
      </c>
      <c r="BI2444">
        <f>IFERROR(BH2444/$AU$2349,0)</f>
        <v>0</v>
      </c>
      <c r="BJ2444">
        <f>BH2444*($F$22+IF($F$22=0,0,($C$14+$C$15+IF($C$13="single",1.5,3)+3)/12))</f>
        <v>0</v>
      </c>
      <c r="BK2444">
        <f>BJ2444-BA2444</f>
        <v>0</v>
      </c>
      <c r="BL2444" cm="1">
        <f t="array" ref="BL2444">IFERROR(IF(BK2444&lt;0,0,BK2444/($AU$2349-INDEX(hd_off,MATCH(BT2444,hd_mark,0),0)/12)),0)</f>
        <v>0</v>
      </c>
      <c r="BM2444">
        <f>MAX($F$22,$BC$2349)/$Q$2356</f>
        <v>0.30172413793103448</v>
      </c>
      <c r="BN2444">
        <f t="shared" ref="BN2444:BN2446" si="1500">IF(BM2444=0,0,IF(BM2444&gt;2,1.25-0.125*BM2444,1))</f>
        <v>1</v>
      </c>
      <c r="BO2444" cm="1">
        <f t="array" ref="BO2444">IFERROR(INDEX(sheath_ecap_asd,MATCH(BS2444,sheath_mark,0),0)*BN2444,0)</f>
        <v>0</v>
      </c>
      <c r="BP2444" cm="1">
        <f t="array" ref="BP2444">IFERROR(INDEX(sheath_wcap_asd,MATCH(BS2444,sheath_mark,0),0)*BN2444,0)</f>
        <v>0</v>
      </c>
      <c r="BQ2444" cm="1">
        <f t="array" ref="BQ2444">IFERROR(INDEX(hd_cap,MATCH(BT2444,hd_mark,0),0),0)</f>
        <v>0</v>
      </c>
      <c r="BS2444" s="19"/>
      <c r="BT2444" s="19"/>
      <c r="BU2444" s="100"/>
    </row>
    <row r="2445" x14ac:dyDescent="0.25">
      <c r="P2445" s="93"/>
      <c r="Q2445" s="109" t="s">
        <v>491</v>
      </c>
      <c r="R2445" t="str">
        <f>$Q$2327</f>
        <v>L4</v>
      </c>
      <c r="S2445">
        <f>$E$23</f>
        <v>0</v>
      </c>
      <c r="T2445" cm="1">
        <f t="array" ref="T2445">IFERROR(IF(S2445=0,0,(INDEX($C$33:$C$38,MATCH($W$2349,$B$33:$B$38,0),0)*(S2447+$X$2349)+$T$2349*COUNTIF(S2445:S2446,"&gt;0")*$C$32+$V$2349*$C$31)*$R$2349),0)</f>
        <v>0</v>
      </c>
      <c r="U2445">
        <f>IF(S2445=0,0,-(COUNTIF(S2445:S2446,"&gt;0")*$T$2349*$C$32+$V$2349*$C$31)*$H$27*$R$2349)</f>
        <v>0</v>
      </c>
      <c r="V2445">
        <f>IF(S2445=0,0,$V$2349*$H$26*$R$2349)</f>
        <v>0</v>
      </c>
      <c r="W2445">
        <f>(0.6*T2445+0.7*U2445)*$R$2349/2</f>
        <v>0</v>
      </c>
      <c r="X2445">
        <f>T2445*$R$2349/2</f>
        <v>0</v>
      </c>
      <c r="Z2445">
        <f>IF(S2445=0,0,$AD$2349*$AP$2327)</f>
        <v>0</v>
      </c>
      <c r="AA2445">
        <f>IFERROR(Z2445/$R$2349,0)</f>
        <v>0</v>
      </c>
      <c r="AB2445">
        <f>Z2445*($F$23+IF($F$23=0,0,($C$14+$C$15+IF($C$13="single",1.5,3)+3)/12))</f>
        <v>0</v>
      </c>
      <c r="AC2445">
        <f>AB2445-W2445</f>
        <v>0</v>
      </c>
      <c r="AD2445" cm="1">
        <f t="array" ref="AD2445">IFERROR(IF(AC2445&lt;0,0,AC2445/($R$2349-INDEX(hd_off,MATCH(AQ2445,hd_mark,0),0)/12)),0)</f>
        <v>0</v>
      </c>
      <c r="AE2445">
        <f>IF(S2445=0,0,$AD$2349*$AM$2327)</f>
        <v>0</v>
      </c>
      <c r="AF2445">
        <f>IFERROR(AE2445/$R$2349,0)</f>
        <v>0</v>
      </c>
      <c r="AG2445">
        <f>AE2445*($F$23+IF($F$23=0,0,($C$14+$C$15+IF($C$13="single",1.5,3)+3)/12))</f>
        <v>0</v>
      </c>
      <c r="AH2445">
        <f>AG2445-X2445</f>
        <v>0</v>
      </c>
      <c r="AI2445" cm="1">
        <f t="array" ref="AI2445">IFERROR(IF(AH2445&lt;0,0,AH2445/($R$2349-INDEX(hd_off,MATCH(AQ2445,hd_mark,0),0)/12)),0)</f>
        <v>0</v>
      </c>
      <c r="AJ2445">
        <f>MAX($F$23,$AA$2349)/$Q$2356</f>
        <v>0</v>
      </c>
      <c r="AK2445">
        <f t="shared" si="1499"/>
        <v>0</v>
      </c>
      <c r="AL2445" cm="1">
        <f t="array" ref="AL2445">IFERROR(INDEX(sheath_ecap_asd,MATCH(AP2445,sheath_mark,0),0)*AK2445,0)</f>
        <v>0</v>
      </c>
      <c r="AM2445" cm="1">
        <f t="array" ref="AM2445">IFERROR(INDEX(sheath_wcap_asd,MATCH(AP2445,sheath_mark,0),0)*AK2445,0)</f>
        <v>0</v>
      </c>
      <c r="AN2445" cm="1">
        <f t="array" ref="AN2445">IFERROR(INDEX(hd_cap,MATCH(AQ2445,hd_mark,0),0),0)</f>
        <v>0</v>
      </c>
      <c r="AP2445" s="19"/>
      <c r="AQ2445" s="19"/>
      <c r="AR2445" s="100"/>
      <c r="AS2445" s="93"/>
      <c r="AT2445" s="109" t="s">
        <v>491</v>
      </c>
      <c r="AU2445" t="str">
        <f>$Q$2327</f>
        <v>L4</v>
      </c>
      <c r="AV2445">
        <f>$E$23</f>
        <v>0</v>
      </c>
      <c r="AW2445" cm="1">
        <f t="array" ref="AW2445">IFERROR(IF(AV2445=0,0,(INDEX($C$33:$C$38,MATCH($AZ$2349,$B$33:$B$38,0),0)*(AV2447+$BA$2349)+$AW$2349*COUNTIF(AV2445:AV2446,"&gt;0")*$C$32+$AY$2349*$C$31)*$AU$2349),0)</f>
        <v>0</v>
      </c>
      <c r="AX2445">
        <f>IF(AV2445=0,0,-(COUNTIF(AV2445:AV2446,"&gt;0")*$AW$2349*$C$32+$AY$2349*$C$31)*$H$27*$AU$2349)</f>
        <v>0</v>
      </c>
      <c r="AY2445">
        <f>IF(AV2445=0,0,$AY$2349*$H$26*$AU$2349)</f>
        <v>0</v>
      </c>
      <c r="AZ2445">
        <f>(0.6*AW2445+0.7*AX2445)*$AU$2349/2</f>
        <v>0</v>
      </c>
      <c r="BA2445">
        <f>AW2445*$AU$2349/2</f>
        <v>0</v>
      </c>
      <c r="BC2445">
        <f>IF(AV2445=0,0,$BG$2349*$AP$2327)</f>
        <v>0</v>
      </c>
      <c r="BD2445">
        <f>IFERROR(BC2445/$AU$2349,0)</f>
        <v>0</v>
      </c>
      <c r="BE2445">
        <f>BC2445*($F$23+IF($F$23=0,0,($C$14+$C$15+IF($C$13="single",1.5,3)+3)/12))</f>
        <v>0</v>
      </c>
      <c r="BF2445">
        <f>BE2445-AZ2445</f>
        <v>0</v>
      </c>
      <c r="BG2445" cm="1">
        <f t="array" ref="BG2445">IFERROR(IF(BF2445&lt;0,0,BF2445/($AU$2349-INDEX(hd_off,MATCH(BT2445,hd_mark,0),0)/12)),0)</f>
        <v>0</v>
      </c>
      <c r="BH2445">
        <f>IF(AV2445=0,0,$BG$2349*$AM$2327)</f>
        <v>0</v>
      </c>
      <c r="BI2445">
        <f>IFERROR(BH2445/$AU$2349,0)</f>
        <v>0</v>
      </c>
      <c r="BJ2445">
        <f>BH2445*($F$23+IF($F$23=0,0,($C$14+$C$15+IF($C$13="single",1.5,3)+3)/12))</f>
        <v>0</v>
      </c>
      <c r="BK2445">
        <f>BJ2445-BA2445</f>
        <v>0</v>
      </c>
      <c r="BL2445" cm="1">
        <f t="array" ref="BL2445">IFERROR(IF(BK2445&lt;0,0,BK2445/($AU$2349-INDEX(hd_off,MATCH(BT2445,hd_mark,0),0)/12)),0)</f>
        <v>0</v>
      </c>
      <c r="BM2445">
        <f>MAX($F$23,$BD$2349)/$Q$2356</f>
        <v>0</v>
      </c>
      <c r="BN2445">
        <f t="shared" si="1500"/>
        <v>0</v>
      </c>
      <c r="BO2445" cm="1">
        <f t="array" ref="BO2445">IFERROR(INDEX(sheath_ecap_asd,MATCH(BS2445,sheath_mark,0),0)*BN2445,0)</f>
        <v>0</v>
      </c>
      <c r="BP2445" cm="1">
        <f t="array" ref="BP2445">IFERROR(INDEX(sheath_wcap_asd,MATCH(BS2445,sheath_mark,0),0)*BN2445,0)</f>
        <v>0</v>
      </c>
      <c r="BQ2445" cm="1">
        <f t="array" ref="BQ2445">IFERROR(INDEX(hd_cap,MATCH(BT2445,hd_mark,0),0),0)</f>
        <v>0</v>
      </c>
      <c r="BS2445" s="19"/>
      <c r="BT2445" s="19"/>
      <c r="BU2445" s="100"/>
    </row>
    <row r="2446" x14ac:dyDescent="0.25">
      <c r="P2446" s="93"/>
      <c r="Q2446" s="111">
        <f>$R$2349</f>
        <v>0</v>
      </c>
      <c r="R2446" t="str">
        <f>$Q$2328</f>
        <v>L5</v>
      </c>
      <c r="S2446">
        <f>$E$24</f>
        <v>0</v>
      </c>
      <c r="T2446" cm="1">
        <f t="array" ref="T2446">IFERROR(IF(S2446=0,0,(INDEX($C$33:$C$38,MATCH($W$2349,$B$33:$B$38,0),0)*(S2447+$X$2349)+$T$2349*COUNTIF(S2446:S2446,"&gt;0")*$C$32+$V$2349*$C$31)*$R$2349),0)</f>
        <v>0</v>
      </c>
      <c r="U2446">
        <f>IF(S2446=0,0,-(COUNTIF(S2446:S2446,"&gt;0")*$T$2349*$C$32+$V$2349*$C$31)*$H$27*$R$2349)</f>
        <v>0</v>
      </c>
      <c r="V2446">
        <f>IF(S2446=0,0,$V$2349*$H$26*$R$2349)</f>
        <v>0</v>
      </c>
      <c r="W2446">
        <f>(0.6*T2446+0.7*U2446)*$R$2349/2</f>
        <v>0</v>
      </c>
      <c r="X2446">
        <f>T2446*$R$2349/2</f>
        <v>0</v>
      </c>
      <c r="Z2446">
        <f>IF(S2446=0,0,$AD$2349*$AP$2328)</f>
        <v>0</v>
      </c>
      <c r="AA2446">
        <f>IFERROR(Z2446/$R$2349,0)</f>
        <v>0</v>
      </c>
      <c r="AB2446">
        <f>Z2446*($F$24+IF($F$24=0,0,($C$14+$C$15+IF($C$13="single",1.5,3)+3)/12))</f>
        <v>0</v>
      </c>
      <c r="AC2446">
        <f>AB2446-W2446</f>
        <v>0</v>
      </c>
      <c r="AD2446" cm="1">
        <f t="array" ref="AD2446">IFERROR(IF(AC2446&lt;0,0,AC2446/($R$2349-INDEX(hd_off,MATCH(AQ2446,hd_mark,0),0)/12)),0)</f>
        <v>0</v>
      </c>
      <c r="AE2446">
        <f>IF(S2446=0,0,$AD$2349*$AM$2328)</f>
        <v>0</v>
      </c>
      <c r="AF2446">
        <f>IFERROR(AE2446/$R$2349,0)</f>
        <v>0</v>
      </c>
      <c r="AG2446">
        <f>AE2446*($F$24+IF($F$24=0,0,($C$14+$C$15+IF($C$13="single",1.5,3)+3)/12))</f>
        <v>0</v>
      </c>
      <c r="AH2446">
        <f>AG2446-X2446</f>
        <v>0</v>
      </c>
      <c r="AI2446" cm="1">
        <f t="array" ref="AI2446">IFERROR(IF(AH2446&lt;0,0,AH2446/($R$2349-INDEX(hd_off,MATCH(AQ2446,hd_mark,0),0)/12)),0)</f>
        <v>0</v>
      </c>
      <c r="AJ2446">
        <f>MAX($F$24,$AB$2349)/$Q$2356</f>
        <v>0</v>
      </c>
      <c r="AK2446">
        <f t="shared" si="1499"/>
        <v>0</v>
      </c>
      <c r="AL2446" cm="1">
        <f t="array" ref="AL2446">IFERROR(INDEX(sheath_ecap_asd,MATCH(AP2446,sheath_mark,0),0)*AK2446,0)</f>
        <v>0</v>
      </c>
      <c r="AM2446" cm="1">
        <f t="array" ref="AM2446">IFERROR(INDEX(sheath_wcap_asd,MATCH(AP2446,sheath_mark,0),0)*AK2446,0)</f>
        <v>0</v>
      </c>
      <c r="AN2446" cm="1">
        <f t="array" ref="AN2446">IFERROR(INDEX(hd_cap,MATCH(AQ2446,hd_mark,0),0),0)</f>
        <v>0</v>
      </c>
      <c r="AP2446" s="19"/>
      <c r="AQ2446" s="19"/>
      <c r="AR2446" s="100"/>
      <c r="AS2446" s="93"/>
      <c r="AT2446" s="111">
        <f>$R$2349</f>
        <v>0</v>
      </c>
      <c r="AU2446" t="str">
        <f>$Q$2328</f>
        <v>L5</v>
      </c>
      <c r="AV2446">
        <f>$E$24</f>
        <v>0</v>
      </c>
      <c r="AW2446" cm="1">
        <f t="array" ref="AW2446">IFERROR(IF(AV2446=0,0,(INDEX($C$33:$C$38,MATCH($AZ$2349,$B$33:$B$38,0),0)*(AV2447+$BA$2349)+$AW$2349*COUNTIF(AV2446:AV2446,"&gt;0")*$C$32+$AY$2349*$C$31)*$AU$2349),0)</f>
        <v>0</v>
      </c>
      <c r="AX2446">
        <f>IF(AV2446=0,0,-(COUNTIF(AV2446:AV2446,"&gt;0")*$AW$2349*$C$32+$AY$2349*$C$31)*$H$27*$AU$2349)</f>
        <v>0</v>
      </c>
      <c r="AY2446">
        <f>IF(AV2446=0,0,$AY$2349*$H$26*$AU$2349)</f>
        <v>0</v>
      </c>
      <c r="AZ2446">
        <f>(0.6*AW2446+0.7*AX2446)*$AU$2349/2</f>
        <v>0</v>
      </c>
      <c r="BA2446">
        <f>AW2446*$AU$2349/2</f>
        <v>0</v>
      </c>
      <c r="BC2446">
        <f>IF(AV2446=0,0,$BG$2349*$AP$2328)</f>
        <v>0</v>
      </c>
      <c r="BD2446">
        <f>IFERROR(BC2446/$AU$2349,0)</f>
        <v>0</v>
      </c>
      <c r="BE2446">
        <f>BC2446*($F$24+IF($F$24=0,0,($C$14+$C$15+IF($C$13="single",1.5,3)+3)/12))</f>
        <v>0</v>
      </c>
      <c r="BF2446">
        <f>BE2446-AZ2446</f>
        <v>0</v>
      </c>
      <c r="BG2446" cm="1">
        <f t="array" ref="BG2446">IFERROR(IF(BF2446&lt;0,0,BF2446/($AU$2349-INDEX(hd_off,MATCH(BT2446,hd_mark,0),0)/12)),0)</f>
        <v>0</v>
      </c>
      <c r="BH2446">
        <f>IF(AV2446=0,0,$BG$2349*$AM$2328)</f>
        <v>0</v>
      </c>
      <c r="BI2446">
        <f>IFERROR(BH2446/$AU$2349,0)</f>
        <v>0</v>
      </c>
      <c r="BJ2446">
        <f>BH2446*($F$24+IF($F$24=0,0,($C$14+$C$15+IF($C$13="single",1.5,3)+3)/12))</f>
        <v>0</v>
      </c>
      <c r="BK2446">
        <f>BJ2446-BA2446</f>
        <v>0</v>
      </c>
      <c r="BL2446" cm="1">
        <f t="array" ref="BL2446">IFERROR(IF(BK2446&lt;0,0,BK2446/($AU$2349-INDEX(hd_off,MATCH(BT2446,hd_mark,0),0)/12)),0)</f>
        <v>0</v>
      </c>
      <c r="BM2446">
        <f>MAX($F$24,$BE$2349)/$Q$2356</f>
        <v>0</v>
      </c>
      <c r="BN2446">
        <f t="shared" si="1500"/>
        <v>0</v>
      </c>
      <c r="BO2446" cm="1">
        <f t="array" ref="BO2446">IFERROR(INDEX(sheath_ecap_asd,MATCH(BS2446,sheath_mark,0),0)*BN2446,0)</f>
        <v>0</v>
      </c>
      <c r="BP2446" cm="1">
        <f t="array" ref="BP2446">IFERROR(INDEX(sheath_wcap_asd,MATCH(BS2446,sheath_mark,0),0)*BN2446,0)</f>
        <v>0</v>
      </c>
      <c r="BQ2446" cm="1">
        <f t="array" ref="BQ2446">IFERROR(INDEX(hd_cap,MATCH(BT2446,hd_mark,0),0),0)</f>
        <v>0</v>
      </c>
      <c r="BS2446" s="19"/>
      <c r="BT2446" s="19"/>
      <c r="BU2446" s="100"/>
    </row>
    <row r="2447" x14ac:dyDescent="0.25">
      <c r="P2447" s="93"/>
      <c r="Q2447" s="109"/>
      <c r="R2447" t="str">
        <f>$Q$2329</f>
        <v>Roof</v>
      </c>
      <c r="S2447">
        <f>$E$25</f>
        <v>33.171875</v>
      </c>
      <c r="T2447" cm="1">
        <f t="array" ref="T2447">IFERROR(IF(S2447=0,0,(INDEX($C$33:$C$38,MATCH($W$2349,$B$33:$B$38,0),0)*(S2447+$X$2349)+$V$2349*$C$31)*$R$2349),0)</f>
        <v>0</v>
      </c>
      <c r="U2447">
        <f>IF(S2447=0,0,-$V$2349*$C$31*$H$27*$R$2349)</f>
        <v>0</v>
      </c>
      <c r="V2447">
        <f>IF(S2447=0,0,$V$2349*$H$26*$R$2349)</f>
        <v>0</v>
      </c>
      <c r="W2447">
        <f>(0.6*T2447+0.7*U2447)*$R$2349/2</f>
        <v>0</v>
      </c>
      <c r="X2447">
        <f>T2447*$R$2349/2</f>
        <v>0</v>
      </c>
      <c r="Z2447">
        <f>IF(S2447=0,0,$AD$2349*$AP$2329)</f>
        <v>0</v>
      </c>
      <c r="AA2447">
        <f>IFERROR(Z2447/$R$2349,0)</f>
        <v>0</v>
      </c>
      <c r="AB2447">
        <f>Z2447*($F$25+($C$16+$C$17+IF($C$13="single",1.5,3)+3)/12)</f>
        <v>0</v>
      </c>
      <c r="AC2447">
        <f>AB2447-W2447</f>
        <v>0</v>
      </c>
      <c r="AD2447" cm="1">
        <f t="array" ref="AD2447">IFERROR(IF(AC2447&lt;0,0,AC2447/($R$2349-INDEX(hd_off,MATCH(AQ2447,hd_mark,0),0)/12)),0)</f>
        <v>0</v>
      </c>
      <c r="AE2447">
        <f>IF(S2447=0,0,$AD$2349*$AM$2329)</f>
        <v>0</v>
      </c>
      <c r="AF2447">
        <f>IFERROR(AE2447/$R$2349,0)</f>
        <v>0</v>
      </c>
      <c r="AG2447">
        <f>AE2447*($F$25+($C$16+$C$17+IF($C$13="single",1.5,3)+3)/12)</f>
        <v>0</v>
      </c>
      <c r="AH2447">
        <f>AG2447-X2447</f>
        <v>0</v>
      </c>
      <c r="AI2447" cm="1">
        <f t="array" ref="AI2447">IFERROR(IF(AH2447&lt;0,0,AH2447/($R$2349-INDEX(hd_off,MATCH(AQ2447,hd_mark,0),0)/12)),0)</f>
        <v>0</v>
      </c>
      <c r="AJ2447">
        <f>MAX($F$25,$AC$2349)/$Q$2356</f>
        <v>0.29920977011494249</v>
      </c>
      <c r="AK2447">
        <f t="shared" si="1499"/>
        <v>1</v>
      </c>
      <c r="AL2447" cm="1">
        <f t="array" ref="AL2447">IFERROR(INDEX(sheath_ecap_asd,MATCH(AP2447,sheath_mark,0),0)*AK2447,0)</f>
        <v>0</v>
      </c>
      <c r="AM2447" cm="1">
        <f t="array" ref="AM2447">IFERROR(INDEX(sheath_wcap_asd,MATCH(AP2447,sheath_mark,0),0)*AK2447,0)</f>
        <v>0</v>
      </c>
      <c r="AN2447" cm="1">
        <f t="array" ref="AN2447">IFERROR(INDEX(hd_cap,MATCH(AQ2447,hd_mark,0),0),0)</f>
        <v>0</v>
      </c>
      <c r="AP2447" s="19"/>
      <c r="AQ2447" s="19"/>
      <c r="AR2447" s="100"/>
      <c r="AS2447" s="93"/>
      <c r="BU2447" s="100"/>
    </row>
    <row r="2448" x14ac:dyDescent="0.25">
      <c r="B2448" s="1" t="s">
        <v>569</v>
      </c>
      <c r="C2448">
        <f>E16+H16*12</f>
        <v>32.4375</v>
      </c>
      <c r="E2448" s="19">
        <v>24</v>
      </c>
      <c r="F2448" s="19">
        <f>32+5.625/12</f>
        <v>32.46875</v>
      </c>
      <c r="G2448" s="19">
        <f>33+10.5/12</f>
        <v>33.875</v>
      </c>
      <c r="H2448">
        <f>(G16-F16)/2</f>
        <v>0.703125</v>
      </c>
      <c r="P2448" s="93"/>
      <c r="Q2448" t="s">
        <v>524</v>
      </c>
      <c r="R2448" s="2" t="str">
        <f>$B$61</f>
        <v>A</v>
      </c>
      <c r="AR2448" s="100"/>
      <c r="AS2448" s="93"/>
      <c r="AT2448" t="s">
        <v>524</v>
      </c>
      <c r="AU2448" s="2">
        <f>H61</f>
        <v>1</v>
      </c>
      <c r="BU2448" s="100"/>
    </row>
    <row r="2449" x14ac:dyDescent="0.25">
      <c r="B2449" s="1" t="s">
        <v>500</v>
      </c>
      <c r="C2449" s="19">
        <v>0.5</v>
      </c>
      <c r="P2449" s="93"/>
      <c r="AR2449" s="100"/>
      <c r="AS2449" s="93"/>
      <c r="BU2449" s="100"/>
    </row>
    <row r="2450" x14ac:dyDescent="0.25">
      <c r="P2450" s="93"/>
      <c r="R2450" t="s">
        <v>482</v>
      </c>
      <c r="Z2450" t="s">
        <v>483</v>
      </c>
      <c r="AH2450" t="s">
        <v>502</v>
      </c>
      <c r="AJ2450" t="s">
        <v>454</v>
      </c>
      <c r="AR2450" s="100"/>
      <c r="AS2450" s="93"/>
      <c r="AU2450" t="s">
        <v>482</v>
      </c>
      <c r="BC2450" t="s">
        <v>483</v>
      </c>
      <c r="BK2450" t="s">
        <v>502</v>
      </c>
      <c r="BM2450" t="s">
        <v>454</v>
      </c>
      <c r="BU2450" s="100"/>
    </row>
    <row r="2451" x14ac:dyDescent="0.25">
      <c r="B2451" t="s">
        <v>448</v>
      </c>
      <c r="C2451" t="s">
        <v>272</v>
      </c>
      <c r="D2451" t="s">
        <v>193</v>
      </c>
      <c r="E2451" s="70" t="s">
        <v>454</v>
      </c>
      <c r="F2451" s="71" t="s">
        <v>501</v>
      </c>
      <c r="H2451" t="s">
        <v>475</v>
      </c>
      <c r="J2451" t="s">
        <v>476</v>
      </c>
      <c r="P2451" s="93"/>
      <c r="R2451" t="s">
        <v>480</v>
      </c>
      <c r="S2451" t="s">
        <v>481</v>
      </c>
      <c r="T2451" t="s">
        <v>486</v>
      </c>
      <c r="U2451" t="s">
        <v>487</v>
      </c>
      <c r="V2451" t="s">
        <v>484</v>
      </c>
      <c r="W2451" t="s">
        <v>485</v>
      </c>
      <c r="X2451" t="s">
        <v>488</v>
      </c>
      <c r="Y2451" t="s">
        <v>489</v>
      </c>
      <c r="Z2451" t="s">
        <v>480</v>
      </c>
      <c r="AA2451" t="s">
        <v>481</v>
      </c>
      <c r="AB2451" t="s">
        <v>486</v>
      </c>
      <c r="AC2451" t="s">
        <v>487</v>
      </c>
      <c r="AD2451" t="s">
        <v>484</v>
      </c>
      <c r="AE2451" t="s">
        <v>485</v>
      </c>
      <c r="AF2451" t="s">
        <v>488</v>
      </c>
      <c r="AG2451" t="s">
        <v>489</v>
      </c>
      <c r="AH2451" t="s">
        <v>312</v>
      </c>
      <c r="AI2451" t="s">
        <v>258</v>
      </c>
      <c r="AJ2451" t="s">
        <v>486</v>
      </c>
      <c r="AK2451" t="s">
        <v>490</v>
      </c>
      <c r="AL2451" t="s">
        <v>487</v>
      </c>
      <c r="AM2451" t="s">
        <v>490</v>
      </c>
      <c r="AN2451" t="s">
        <v>488</v>
      </c>
      <c r="AO2451" t="s">
        <v>490</v>
      </c>
      <c r="AP2451" t="s">
        <v>489</v>
      </c>
      <c r="AQ2451" t="s">
        <v>490</v>
      </c>
      <c r="AR2451" s="100"/>
      <c r="AS2451" s="93"/>
      <c r="AU2451" t="s">
        <v>480</v>
      </c>
      <c r="AV2451" t="s">
        <v>481</v>
      </c>
      <c r="AW2451" t="s">
        <v>486</v>
      </c>
      <c r="AX2451" t="s">
        <v>487</v>
      </c>
      <c r="AY2451" t="s">
        <v>484</v>
      </c>
      <c r="AZ2451" t="s">
        <v>485</v>
      </c>
      <c r="BA2451" t="s">
        <v>488</v>
      </c>
      <c r="BB2451" t="s">
        <v>489</v>
      </c>
      <c r="BC2451" t="s">
        <v>480</v>
      </c>
      <c r="BD2451" t="s">
        <v>481</v>
      </c>
      <c r="BE2451" t="s">
        <v>486</v>
      </c>
      <c r="BF2451" t="s">
        <v>487</v>
      </c>
      <c r="BG2451" t="s">
        <v>484</v>
      </c>
      <c r="BH2451" t="s">
        <v>485</v>
      </c>
      <c r="BI2451" t="s">
        <v>488</v>
      </c>
      <c r="BJ2451" t="s">
        <v>489</v>
      </c>
      <c r="BK2451" t="s">
        <v>312</v>
      </c>
      <c r="BL2451" t="s">
        <v>258</v>
      </c>
      <c r="BM2451" t="s">
        <v>486</v>
      </c>
      <c r="BN2451" t="s">
        <v>490</v>
      </c>
      <c r="BO2451" t="s">
        <v>487</v>
      </c>
      <c r="BP2451" t="s">
        <v>490</v>
      </c>
      <c r="BQ2451" t="s">
        <v>488</v>
      </c>
      <c r="BR2451" t="s">
        <v>490</v>
      </c>
      <c r="BS2451" t="s">
        <v>489</v>
      </c>
      <c r="BT2451" t="s">
        <v>490</v>
      </c>
      <c r="BU2451" s="100"/>
    </row>
    <row r="2452" x14ac:dyDescent="0.25">
      <c r="B2452" t="s">
        <v>449</v>
      </c>
      <c r="C2452" s="19">
        <v>0</v>
      </c>
      <c r="D2452" s="19">
        <v>0</v>
      </c>
      <c r="E2452" s="66">
        <f>C20+D20/12</f>
        <v>0</v>
      </c>
      <c r="F2452" s="67">
        <v>0</v>
      </c>
      <c r="H2452" s="19">
        <v>0</v>
      </c>
      <c r="I2452" s="64" t="s">
        <v>196</v>
      </c>
      <c r="J2452" s="19">
        <v>0</v>
      </c>
      <c r="K2452" s="19">
        <v>0</v>
      </c>
      <c r="L2452" s="19">
        <v>0</v>
      </c>
      <c r="M2452" s="19">
        <v>0</v>
      </c>
      <c r="P2452" s="93"/>
      <c r="Q2452" t="s">
        <v>449</v>
      </c>
      <c r="R2452" s="19">
        <f>$H$20</f>
        <v>0</v>
      </c>
      <c r="S2452">
        <f>R2452*0.6</f>
        <v>0</v>
      </c>
      <c r="T2452">
        <f>$C$61/2*R2452</f>
        <v>0</v>
      </c>
      <c r="U2452">
        <f>T2452*0.6</f>
        <v>0</v>
      </c>
      <c r="V2452" s="19">
        <v>0</v>
      </c>
      <c r="W2452">
        <f>V2452*0.7</f>
        <v>0</v>
      </c>
      <c r="X2452">
        <f>$C$61/2*V2452</f>
        <v>0</v>
      </c>
      <c r="Y2452">
        <f>X2452*0.7</f>
        <v>0</v>
      </c>
      <c r="Z2452" s="19">
        <f>$H$20</f>
        <v>0</v>
      </c>
      <c r="AA2452">
        <f>Z2452*0.6</f>
        <v>0</v>
      </c>
      <c r="AB2452">
        <f>$D$61/2*Z2452</f>
        <v>0</v>
      </c>
      <c r="AC2452">
        <f t="shared" ref="AC2452:AC2458" si="1501">0.6*AB2452</f>
        <v>0</v>
      </c>
      <c r="AD2452" s="19">
        <v>0</v>
      </c>
      <c r="AE2452">
        <f>AD2452*0.7</f>
        <v>0</v>
      </c>
      <c r="AF2452">
        <f>$D$61/2*AD2452</f>
        <v>0</v>
      </c>
      <c r="AG2452">
        <f>AF2452*0.7</f>
        <v>0</v>
      </c>
      <c r="AH2452" s="19">
        <v>0</v>
      </c>
      <c r="AI2452" s="19">
        <v>0</v>
      </c>
      <c r="AJ2452" s="17">
        <f>T2452+AB2452+AH2452</f>
        <v>0</v>
      </c>
      <c r="AK2452" s="17">
        <f>AK2453+AJ2452</f>
        <v>13166</v>
      </c>
      <c r="AL2452" s="17">
        <f>AJ2452*0.6</f>
        <v>0</v>
      </c>
      <c r="AM2452" s="17">
        <f>AM2453+AL2452</f>
        <v>7899.5999999999995</v>
      </c>
      <c r="AN2452" s="17">
        <f>X2452+AF2452+AI2452</f>
        <v>0</v>
      </c>
      <c r="AO2452" s="17">
        <f t="shared" ref="AO2452:AQ2455" si="1502">AN2452+AO2453</f>
        <v>1302.0999999999999</v>
      </c>
      <c r="AP2452" s="17">
        <f>AN2452*0.7</f>
        <v>0</v>
      </c>
      <c r="AQ2452" s="17">
        <f>AP2452+AQ2453</f>
        <v>911.46999999999991</v>
      </c>
      <c r="AR2452" s="100"/>
      <c r="AS2452" s="93"/>
      <c r="AT2452" t="s">
        <v>449</v>
      </c>
      <c r="AU2452" s="19">
        <f>$H$20</f>
        <v>0</v>
      </c>
      <c r="AV2452">
        <f>AU2452*0.6</f>
        <v>0</v>
      </c>
      <c r="AW2452">
        <f t="shared" ref="AW2452:AW2458" si="1503">$I$61/2*AU2452</f>
        <v>0</v>
      </c>
      <c r="AX2452">
        <f>AW2452*0.6</f>
        <v>0</v>
      </c>
      <c r="AY2452" s="19">
        <v>0</v>
      </c>
      <c r="AZ2452">
        <f>AY2452*0.7</f>
        <v>0</v>
      </c>
      <c r="BA2452">
        <f t="shared" ref="BA2452:BA2457" si="1504">$I$61/2*AY2452</f>
        <v>0</v>
      </c>
      <c r="BB2452">
        <f>BA2452*0.7</f>
        <v>0</v>
      </c>
      <c r="BC2452" s="19">
        <f>$H$20</f>
        <v>0</v>
      </c>
      <c r="BD2452">
        <f>BC2452*0.6</f>
        <v>0</v>
      </c>
      <c r="BE2452">
        <f t="shared" ref="BE2452:BE2458" si="1505">$J$61/2*BC2452</f>
        <v>0</v>
      </c>
      <c r="BF2452">
        <f t="shared" ref="BF2452:BF2458" si="1506">0.6*BE2452</f>
        <v>0</v>
      </c>
      <c r="BG2452" s="19">
        <v>0</v>
      </c>
      <c r="BH2452">
        <f>BG2452*0.7</f>
        <v>0</v>
      </c>
      <c r="BI2452">
        <f t="shared" ref="BI2452:BI2457" si="1507">$J$61/2*BG2452</f>
        <v>0</v>
      </c>
      <c r="BJ2452">
        <f>BI2452*0.7</f>
        <v>0</v>
      </c>
      <c r="BK2452" s="19">
        <v>0</v>
      </c>
      <c r="BL2452" s="19">
        <v>0</v>
      </c>
      <c r="BM2452" s="17">
        <f>AW2452+BE2452+BK2452</f>
        <v>0</v>
      </c>
      <c r="BN2452" s="17">
        <f>BN2453+BM2452</f>
        <v>12258</v>
      </c>
      <c r="BO2452" s="17">
        <f>BM2452*0.6</f>
        <v>0</v>
      </c>
      <c r="BP2452" s="17">
        <f>BP2453+BO2452</f>
        <v>7354.7999999999993</v>
      </c>
      <c r="BQ2452" s="17">
        <f>BA2452+BI2452+BL2452</f>
        <v>0</v>
      </c>
      <c r="BR2452" s="17">
        <f t="shared" ref="BR2452:BR2455" si="1508">BQ2452+BR2453</f>
        <v>1212.3</v>
      </c>
      <c r="BS2452" s="17">
        <f>BQ2452*0.7</f>
        <v>0</v>
      </c>
      <c r="BT2452" s="17">
        <f>BS2452+BT2453</f>
        <v>848.6099999999999</v>
      </c>
      <c r="BU2452" s="100"/>
    </row>
    <row r="2453" x14ac:dyDescent="0.25">
      <c r="B2453" t="s">
        <v>450</v>
      </c>
      <c r="C2453" s="19">
        <v>10</v>
      </c>
      <c r="D2453" s="19">
        <v>8.25</v>
      </c>
      <c r="E2453" s="66">
        <f>C21+D21/12</f>
        <v>10.6875</v>
      </c>
      <c r="F2453" s="67">
        <f>IF(E21&gt;0,E21-(C15+C14+2*1.5+IF(C13="single",1.5,3))/12-_xlfn.XLOOKUP(E21,E20,E20,,-1),0)</f>
        <v>8.75</v>
      </c>
      <c r="H2453" s="19">
        <v>236</v>
      </c>
      <c r="I2453" s="64" t="s">
        <v>196</v>
      </c>
      <c r="J2453" s="19">
        <v>33.799999999999997</v>
      </c>
      <c r="K2453" s="19">
        <v>65.599999999999994</v>
      </c>
      <c r="L2453" s="19">
        <v>19.3</v>
      </c>
      <c r="M2453" s="19">
        <v>119.6</v>
      </c>
      <c r="P2453" s="93"/>
      <c r="Q2453" t="s">
        <v>450</v>
      </c>
      <c r="R2453" s="19">
        <f>$H$21</f>
        <v>236</v>
      </c>
      <c r="S2453">
        <f t="shared" ref="S2453:S2458" si="1509">R2453*0.6</f>
        <v>141.6</v>
      </c>
      <c r="T2453">
        <f t="shared" ref="T2453:T2457" si="1510">$C$61/2*R2453</f>
        <v>0</v>
      </c>
      <c r="U2453">
        <f>T2453*0.6</f>
        <v>0</v>
      </c>
      <c r="V2453" s="19">
        <v>33.799999999999997</v>
      </c>
      <c r="W2453">
        <f t="shared" ref="W2453:W2457" si="1511">V2453*0.7</f>
        <v>23.659999999999997</v>
      </c>
      <c r="X2453">
        <f t="shared" ref="X2453:X2457" si="1512">$C$61/2*V2453</f>
        <v>0</v>
      </c>
      <c r="Y2453">
        <f t="shared" ref="Y2453:Y2457" si="1513">X2453*0.7</f>
        <v>0</v>
      </c>
      <c r="Z2453" s="19">
        <f>$H$21</f>
        <v>236</v>
      </c>
      <c r="AA2453">
        <f t="shared" ref="AA2453:AA2457" si="1514">Z2453*0.6</f>
        <v>141.6</v>
      </c>
      <c r="AB2453">
        <f t="shared" ref="AB2453:AB2457" si="1515">$D$61/2*Z2453</f>
        <v>3422</v>
      </c>
      <c r="AC2453">
        <f t="shared" si="1501"/>
        <v>2053.1999999999998</v>
      </c>
      <c r="AD2453" s="19">
        <v>33.799999999999997</v>
      </c>
      <c r="AE2453">
        <f t="shared" ref="AE2453:AE2457" si="1516">AD2453*0.7</f>
        <v>23.659999999999997</v>
      </c>
      <c r="AF2453">
        <f t="shared" ref="AF2453:AF2457" si="1517">$D$61/2*AD2453</f>
        <v>490.09999999999997</v>
      </c>
      <c r="AG2453">
        <f t="shared" ref="AG2453:AG2457" si="1518">AF2453*0.7</f>
        <v>343.06999999999994</v>
      </c>
      <c r="AH2453" s="19">
        <v>0</v>
      </c>
      <c r="AI2453" s="19">
        <v>0</v>
      </c>
      <c r="AJ2453" s="17">
        <f>T2453+AB2453+AH2453</f>
        <v>3422</v>
      </c>
      <c r="AK2453" s="17">
        <f>AK2454+AJ2453</f>
        <v>13166</v>
      </c>
      <c r="AL2453" s="17">
        <f t="shared" ref="AL2453:AL2457" si="1519">AJ2453*0.6</f>
        <v>2053.1999999999998</v>
      </c>
      <c r="AM2453" s="17">
        <f t="shared" ref="AM2453:AM2455" si="1520">AM2454+AL2453</f>
        <v>7899.5999999999995</v>
      </c>
      <c r="AN2453" s="17">
        <f t="shared" ref="AN2453:AN2456" si="1521">X2453+AF2453+AI2453</f>
        <v>490.09999999999997</v>
      </c>
      <c r="AO2453" s="17">
        <f t="shared" si="1502"/>
        <v>1302.0999999999999</v>
      </c>
      <c r="AP2453" s="17">
        <f t="shared" ref="AP2453:AP2456" si="1522">AN2453*0.7</f>
        <v>343.06999999999994</v>
      </c>
      <c r="AQ2453" s="17">
        <f t="shared" si="1502"/>
        <v>911.46999999999991</v>
      </c>
      <c r="AR2453" s="100"/>
      <c r="AS2453" s="93"/>
      <c r="AT2453" t="s">
        <v>450</v>
      </c>
      <c r="AU2453" s="19">
        <f>$H$21</f>
        <v>236</v>
      </c>
      <c r="AV2453">
        <f t="shared" ref="AV2453:AV2458" si="1523">AU2453*0.6</f>
        <v>141.6</v>
      </c>
      <c r="AW2453">
        <f t="shared" si="1503"/>
        <v>0</v>
      </c>
      <c r="AX2453">
        <f>AW2453*0.6</f>
        <v>0</v>
      </c>
      <c r="AY2453" s="19">
        <v>33.799999999999997</v>
      </c>
      <c r="AZ2453">
        <f t="shared" ref="AZ2453:AZ2457" si="1524">AY2453*0.7</f>
        <v>23.659999999999997</v>
      </c>
      <c r="BA2453">
        <f t="shared" si="1504"/>
        <v>0</v>
      </c>
      <c r="BB2453">
        <f t="shared" ref="BB2453:BB2457" si="1525">BA2453*0.7</f>
        <v>0</v>
      </c>
      <c r="BC2453" s="19">
        <f>$H$21</f>
        <v>236</v>
      </c>
      <c r="BD2453">
        <f t="shared" ref="BD2453:BD2457" si="1526">BC2453*0.6</f>
        <v>141.6</v>
      </c>
      <c r="BE2453">
        <f t="shared" si="1505"/>
        <v>3186</v>
      </c>
      <c r="BF2453">
        <f t="shared" si="1506"/>
        <v>1911.6</v>
      </c>
      <c r="BG2453" s="19">
        <v>33.799999999999997</v>
      </c>
      <c r="BH2453">
        <f t="shared" ref="BH2453:BH2457" si="1527">BG2453*0.7</f>
        <v>23.659999999999997</v>
      </c>
      <c r="BI2453">
        <f t="shared" si="1507"/>
        <v>456.29999999999995</v>
      </c>
      <c r="BJ2453">
        <f t="shared" ref="BJ2453:BJ2457" si="1528">BI2453*0.7</f>
        <v>319.40999999999997</v>
      </c>
      <c r="BK2453" s="19">
        <v>0</v>
      </c>
      <c r="BL2453" s="19">
        <v>0</v>
      </c>
      <c r="BM2453" s="17">
        <f>AW2453+BE2453+BK2453</f>
        <v>3186</v>
      </c>
      <c r="BN2453" s="17">
        <f>BN2454+BM2453</f>
        <v>12258</v>
      </c>
      <c r="BO2453" s="17">
        <f t="shared" ref="BO2453" si="1529">BM2453*0.6</f>
        <v>1911.6</v>
      </c>
      <c r="BP2453" s="17">
        <f t="shared" ref="BP2453:BP2455" si="1530">BP2454+BO2453</f>
        <v>7354.7999999999993</v>
      </c>
      <c r="BQ2453" s="17">
        <f t="shared" ref="BQ2453:BQ2456" si="1531">BA2453+BI2453+BL2453</f>
        <v>456.29999999999995</v>
      </c>
      <c r="BR2453" s="17">
        <f t="shared" si="1508"/>
        <v>1212.3</v>
      </c>
      <c r="BS2453" s="17">
        <f t="shared" ref="BS2453:BS2456" si="1532">BQ2453*0.7</f>
        <v>319.40999999999997</v>
      </c>
      <c r="BT2453" s="17">
        <f t="shared" ref="BT2453:BT2455" si="1533">BS2453+BT2454</f>
        <v>848.6099999999999</v>
      </c>
      <c r="BU2453" s="100"/>
    </row>
    <row r="2454" x14ac:dyDescent="0.25">
      <c r="B2454" t="s">
        <v>451</v>
      </c>
      <c r="C2454" s="19">
        <v>21</v>
      </c>
      <c r="D2454" s="19">
        <v>4.5</v>
      </c>
      <c r="E2454" s="66">
        <f t="shared" ref="E22:E25" si="1534">C22+D22/12</f>
        <v>21.375</v>
      </c>
      <c r="F2454" s="67">
        <f>IF(E22&gt;0,E22-(C15+C14+2*1.5+IF(C13="single",1.5,3))/12-_xlfn.XLOOKUP(E22,E20:E21,E20:E21,,-1),0)</f>
        <v>8.75</v>
      </c>
      <c r="H2454" s="19">
        <v>229</v>
      </c>
      <c r="I2454" s="64" t="s">
        <v>196</v>
      </c>
      <c r="J2454" s="19">
        <v>37.1</v>
      </c>
      <c r="K2454" s="19">
        <v>71.8</v>
      </c>
      <c r="L2454" s="19">
        <v>21.1</v>
      </c>
      <c r="M2454" s="19">
        <v>131.1</v>
      </c>
      <c r="P2454" s="93"/>
      <c r="Q2454" t="s">
        <v>451</v>
      </c>
      <c r="R2454" s="19">
        <f>$H$22</f>
        <v>229</v>
      </c>
      <c r="S2454">
        <f t="shared" si="1509"/>
        <v>137.4</v>
      </c>
      <c r="T2454">
        <f t="shared" si="1510"/>
        <v>0</v>
      </c>
      <c r="U2454">
        <f t="shared" ref="U2454:U2458" si="1535">T2454*0.6</f>
        <v>0</v>
      </c>
      <c r="V2454" s="19">
        <v>37.1</v>
      </c>
      <c r="W2454">
        <f t="shared" si="1511"/>
        <v>25.97</v>
      </c>
      <c r="X2454">
        <f>$C$61/2*V2454</f>
        <v>0</v>
      </c>
      <c r="Y2454">
        <f t="shared" si="1513"/>
        <v>0</v>
      </c>
      <c r="Z2454" s="19">
        <f>$H$22</f>
        <v>229</v>
      </c>
      <c r="AA2454">
        <f t="shared" si="1514"/>
        <v>137.4</v>
      </c>
      <c r="AB2454">
        <f t="shared" si="1515"/>
        <v>3320.5</v>
      </c>
      <c r="AC2454">
        <f t="shared" si="1501"/>
        <v>1992.3</v>
      </c>
      <c r="AD2454" s="19">
        <v>37.1</v>
      </c>
      <c r="AE2454">
        <f t="shared" si="1516"/>
        <v>25.97</v>
      </c>
      <c r="AF2454">
        <f t="shared" si="1517"/>
        <v>537.95000000000005</v>
      </c>
      <c r="AG2454">
        <f t="shared" si="1518"/>
        <v>376.565</v>
      </c>
      <c r="AH2454" s="19">
        <v>0</v>
      </c>
      <c r="AI2454" s="19">
        <v>0</v>
      </c>
      <c r="AJ2454" s="17">
        <f t="shared" ref="AJ2454:AJ2456" si="1536">T2454+AB2454+AH2454</f>
        <v>3320.5</v>
      </c>
      <c r="AK2454" s="17">
        <f>AK2455+AJ2454</f>
        <v>9744</v>
      </c>
      <c r="AL2454" s="17">
        <f>AJ2454*0.6</f>
        <v>1992.3</v>
      </c>
      <c r="AM2454" s="17">
        <f t="shared" si="1520"/>
        <v>5846.4</v>
      </c>
      <c r="AN2454" s="17">
        <f t="shared" si="1521"/>
        <v>537.95000000000005</v>
      </c>
      <c r="AO2454" s="17">
        <f t="shared" si="1502"/>
        <v>812</v>
      </c>
      <c r="AP2454" s="17">
        <f t="shared" si="1522"/>
        <v>376.565</v>
      </c>
      <c r="AQ2454" s="17">
        <f t="shared" si="1502"/>
        <v>568.4</v>
      </c>
      <c r="AR2454" s="100"/>
      <c r="AS2454" s="93"/>
      <c r="AT2454" t="s">
        <v>451</v>
      </c>
      <c r="AU2454" s="19">
        <f>$H$22</f>
        <v>229</v>
      </c>
      <c r="AV2454">
        <f t="shared" si="1523"/>
        <v>137.4</v>
      </c>
      <c r="AW2454">
        <f t="shared" si="1503"/>
        <v>0</v>
      </c>
      <c r="AX2454">
        <f t="shared" ref="AX2454:AX2458" si="1537">AW2454*0.6</f>
        <v>0</v>
      </c>
      <c r="AY2454" s="19">
        <v>37.1</v>
      </c>
      <c r="AZ2454">
        <f t="shared" si="1524"/>
        <v>25.97</v>
      </c>
      <c r="BA2454">
        <f t="shared" si="1504"/>
        <v>0</v>
      </c>
      <c r="BB2454">
        <f t="shared" si="1525"/>
        <v>0</v>
      </c>
      <c r="BC2454" s="19">
        <f>$H$22</f>
        <v>229</v>
      </c>
      <c r="BD2454">
        <f t="shared" si="1526"/>
        <v>137.4</v>
      </c>
      <c r="BE2454">
        <f t="shared" si="1505"/>
        <v>3091.5</v>
      </c>
      <c r="BF2454">
        <f t="shared" si="1506"/>
        <v>1854.8999999999999</v>
      </c>
      <c r="BG2454" s="19">
        <v>37.1</v>
      </c>
      <c r="BH2454">
        <f t="shared" si="1527"/>
        <v>25.97</v>
      </c>
      <c r="BI2454">
        <f t="shared" si="1507"/>
        <v>500.85</v>
      </c>
      <c r="BJ2454">
        <f t="shared" si="1528"/>
        <v>350.59499999999997</v>
      </c>
      <c r="BK2454" s="19">
        <v>0</v>
      </c>
      <c r="BL2454" s="19">
        <v>0</v>
      </c>
      <c r="BM2454" s="17">
        <f t="shared" ref="BM2454:BM2456" si="1538">AW2454+BE2454+BK2454</f>
        <v>3091.5</v>
      </c>
      <c r="BN2454" s="17">
        <f>BN2455+BM2454</f>
        <v>9072</v>
      </c>
      <c r="BO2454" s="17">
        <f>BM2454*0.6</f>
        <v>1854.8999999999999</v>
      </c>
      <c r="BP2454" s="17">
        <f t="shared" si="1530"/>
        <v>5443.2</v>
      </c>
      <c r="BQ2454" s="17">
        <f t="shared" si="1531"/>
        <v>500.85</v>
      </c>
      <c r="BR2454" s="17">
        <f t="shared" si="1508"/>
        <v>756</v>
      </c>
      <c r="BS2454" s="17">
        <f t="shared" si="1532"/>
        <v>350.59499999999997</v>
      </c>
      <c r="BT2454" s="17">
        <f t="shared" si="1533"/>
        <v>529.19999999999993</v>
      </c>
      <c r="BU2454" s="100"/>
    </row>
    <row r="2455" x14ac:dyDescent="0.25">
      <c r="B2455" t="s">
        <v>452</v>
      </c>
      <c r="C2455" s="19">
        <v>0</v>
      </c>
      <c r="D2455" s="19">
        <v>0</v>
      </c>
      <c r="E2455" s="66">
        <f t="shared" si="1534"/>
        <v>0</v>
      </c>
      <c r="F2455" s="67">
        <f>IF(E23&gt;0,E23-(C15+C14+2*1.5+IF(C13="single",1.5,3))/12-_xlfn.XLOOKUP(E23,E20:E22,E20:E22,,-1),0)</f>
        <v>0</v>
      </c>
      <c r="H2455" s="19">
        <v>0</v>
      </c>
      <c r="I2455" s="64" t="s">
        <v>196</v>
      </c>
      <c r="J2455" s="19">
        <v>0</v>
      </c>
      <c r="K2455" s="19">
        <v>0</v>
      </c>
      <c r="L2455" s="19">
        <v>0</v>
      </c>
      <c r="M2455" s="19">
        <v>0</v>
      </c>
      <c r="P2455" s="93"/>
      <c r="Q2455" t="s">
        <v>452</v>
      </c>
      <c r="R2455" s="19">
        <f>$H$23</f>
        <v>0</v>
      </c>
      <c r="S2455">
        <f t="shared" si="1509"/>
        <v>0</v>
      </c>
      <c r="T2455">
        <f t="shared" si="1510"/>
        <v>0</v>
      </c>
      <c r="U2455">
        <f t="shared" si="1535"/>
        <v>0</v>
      </c>
      <c r="V2455" s="19">
        <v>0</v>
      </c>
      <c r="W2455">
        <f t="shared" si="1511"/>
        <v>0</v>
      </c>
      <c r="X2455">
        <f t="shared" si="1512"/>
        <v>0</v>
      </c>
      <c r="Y2455">
        <f t="shared" si="1513"/>
        <v>0</v>
      </c>
      <c r="Z2455" s="19">
        <f>$H$23</f>
        <v>0</v>
      </c>
      <c r="AA2455">
        <f t="shared" si="1514"/>
        <v>0</v>
      </c>
      <c r="AB2455">
        <f t="shared" si="1515"/>
        <v>0</v>
      </c>
      <c r="AC2455">
        <f t="shared" si="1501"/>
        <v>0</v>
      </c>
      <c r="AD2455" s="19">
        <v>0</v>
      </c>
      <c r="AE2455">
        <f t="shared" si="1516"/>
        <v>0</v>
      </c>
      <c r="AF2455">
        <f t="shared" si="1517"/>
        <v>0</v>
      </c>
      <c r="AG2455">
        <f t="shared" si="1518"/>
        <v>0</v>
      </c>
      <c r="AH2455" s="19">
        <v>0</v>
      </c>
      <c r="AI2455" s="19">
        <v>0</v>
      </c>
      <c r="AJ2455" s="17">
        <f t="shared" si="1536"/>
        <v>0</v>
      </c>
      <c r="AK2455" s="17">
        <f>AK2456+AJ2455</f>
        <v>6423.5</v>
      </c>
      <c r="AL2455" s="17">
        <f>AJ2455*0.6</f>
        <v>0</v>
      </c>
      <c r="AM2455" s="17">
        <f t="shared" si="1520"/>
        <v>3854.1</v>
      </c>
      <c r="AN2455" s="17">
        <f t="shared" si="1521"/>
        <v>0</v>
      </c>
      <c r="AO2455" s="17">
        <f t="shared" si="1502"/>
        <v>274.04999999999995</v>
      </c>
      <c r="AP2455" s="17">
        <f t="shared" si="1522"/>
        <v>0</v>
      </c>
      <c r="AQ2455" s="17">
        <f t="shared" si="1502"/>
        <v>191.83499999999995</v>
      </c>
      <c r="AR2455" s="100"/>
      <c r="AS2455" s="93"/>
      <c r="AT2455" t="s">
        <v>452</v>
      </c>
      <c r="AU2455" s="19">
        <f>$H$23</f>
        <v>0</v>
      </c>
      <c r="AV2455">
        <f t="shared" si="1523"/>
        <v>0</v>
      </c>
      <c r="AW2455">
        <f t="shared" si="1503"/>
        <v>0</v>
      </c>
      <c r="AX2455">
        <f t="shared" si="1537"/>
        <v>0</v>
      </c>
      <c r="AY2455" s="19">
        <v>0</v>
      </c>
      <c r="AZ2455">
        <f t="shared" si="1524"/>
        <v>0</v>
      </c>
      <c r="BA2455">
        <f t="shared" si="1504"/>
        <v>0</v>
      </c>
      <c r="BB2455">
        <f t="shared" si="1525"/>
        <v>0</v>
      </c>
      <c r="BC2455" s="19">
        <f>$H$23</f>
        <v>0</v>
      </c>
      <c r="BD2455">
        <f t="shared" si="1526"/>
        <v>0</v>
      </c>
      <c r="BE2455">
        <f t="shared" si="1505"/>
        <v>0</v>
      </c>
      <c r="BF2455">
        <f t="shared" si="1506"/>
        <v>0</v>
      </c>
      <c r="BG2455" s="19">
        <v>0</v>
      </c>
      <c r="BH2455">
        <f t="shared" si="1527"/>
        <v>0</v>
      </c>
      <c r="BI2455">
        <f t="shared" si="1507"/>
        <v>0</v>
      </c>
      <c r="BJ2455">
        <f t="shared" si="1528"/>
        <v>0</v>
      </c>
      <c r="BK2455" s="19">
        <v>0</v>
      </c>
      <c r="BL2455" s="19">
        <v>0</v>
      </c>
      <c r="BM2455" s="17">
        <f t="shared" si="1538"/>
        <v>0</v>
      </c>
      <c r="BN2455" s="17">
        <f>BN2456+BM2455</f>
        <v>5980.5</v>
      </c>
      <c r="BO2455" s="17">
        <f>BM2455*0.6</f>
        <v>0</v>
      </c>
      <c r="BP2455" s="17">
        <f t="shared" si="1530"/>
        <v>3588.2999999999997</v>
      </c>
      <c r="BQ2455" s="17">
        <f t="shared" si="1531"/>
        <v>0</v>
      </c>
      <c r="BR2455" s="17">
        <f t="shared" si="1508"/>
        <v>255.14999999999998</v>
      </c>
      <c r="BS2455" s="17">
        <f t="shared" si="1532"/>
        <v>0</v>
      </c>
      <c r="BT2455" s="17">
        <f t="shared" si="1533"/>
        <v>178.60499999999996</v>
      </c>
      <c r="BU2455" s="100"/>
    </row>
    <row r="2456" x14ac:dyDescent="0.25">
      <c r="B2456" t="s">
        <v>453</v>
      </c>
      <c r="C2456" s="19">
        <v>0</v>
      </c>
      <c r="D2456" s="19">
        <v>0</v>
      </c>
      <c r="E2456" s="66">
        <f t="shared" si="1534"/>
        <v>0</v>
      </c>
      <c r="F2456" s="67">
        <f>IF(E24&gt;0,E24-(C15+C14+2*1.5+IF(C13="single",1.5,3))/12-_xlfn.XLOOKUP(E24,E20:E23,E20:E23,,-1),0)</f>
        <v>0</v>
      </c>
      <c r="H2456" s="19">
        <v>0</v>
      </c>
      <c r="I2456" s="64" t="s">
        <v>196</v>
      </c>
      <c r="J2456" s="19">
        <v>0</v>
      </c>
      <c r="K2456" s="19">
        <v>0</v>
      </c>
      <c r="L2456" s="19">
        <v>0</v>
      </c>
      <c r="M2456" s="19">
        <v>0</v>
      </c>
      <c r="P2456" s="93"/>
      <c r="Q2456" t="s">
        <v>453</v>
      </c>
      <c r="R2456" s="19">
        <f>$H$24</f>
        <v>0</v>
      </c>
      <c r="S2456">
        <f t="shared" si="1509"/>
        <v>0</v>
      </c>
      <c r="T2456">
        <f t="shared" si="1510"/>
        <v>0</v>
      </c>
      <c r="U2456">
        <f t="shared" si="1535"/>
        <v>0</v>
      </c>
      <c r="V2456" s="19">
        <v>0</v>
      </c>
      <c r="W2456">
        <f t="shared" si="1511"/>
        <v>0</v>
      </c>
      <c r="X2456">
        <f t="shared" si="1512"/>
        <v>0</v>
      </c>
      <c r="Y2456">
        <f t="shared" si="1513"/>
        <v>0</v>
      </c>
      <c r="Z2456" s="19">
        <f>$H$24</f>
        <v>0</v>
      </c>
      <c r="AA2456">
        <f t="shared" si="1514"/>
        <v>0</v>
      </c>
      <c r="AB2456">
        <f t="shared" si="1515"/>
        <v>0</v>
      </c>
      <c r="AC2456">
        <f t="shared" si="1501"/>
        <v>0</v>
      </c>
      <c r="AD2456" s="19">
        <v>0</v>
      </c>
      <c r="AE2456">
        <f t="shared" si="1516"/>
        <v>0</v>
      </c>
      <c r="AF2456">
        <f t="shared" si="1517"/>
        <v>0</v>
      </c>
      <c r="AG2456">
        <f t="shared" si="1518"/>
        <v>0</v>
      </c>
      <c r="AH2456" s="19">
        <v>0</v>
      </c>
      <c r="AI2456" s="19">
        <v>0</v>
      </c>
      <c r="AJ2456" s="17">
        <f t="shared" si="1536"/>
        <v>0</v>
      </c>
      <c r="AK2456" s="17">
        <f>AK2457+IF(AJ2456=0,0,AJ2456)</f>
        <v>6423.5</v>
      </c>
      <c r="AL2456" s="17">
        <f t="shared" si="1519"/>
        <v>0</v>
      </c>
      <c r="AM2456" s="17">
        <f>AM2457+AL2456</f>
        <v>3854.1</v>
      </c>
      <c r="AN2456" s="17">
        <f t="shared" si="1521"/>
        <v>0</v>
      </c>
      <c r="AO2456" s="17">
        <f>AN2456+AO2457</f>
        <v>274.04999999999995</v>
      </c>
      <c r="AP2456" s="17">
        <f t="shared" si="1522"/>
        <v>0</v>
      </c>
      <c r="AQ2456" s="17">
        <f>AP2456+AQ2457</f>
        <v>191.83499999999995</v>
      </c>
      <c r="AR2456" s="100"/>
      <c r="AS2456" s="93"/>
      <c r="AT2456" t="s">
        <v>453</v>
      </c>
      <c r="AU2456" s="19">
        <f>$H$24</f>
        <v>0</v>
      </c>
      <c r="AV2456">
        <f t="shared" si="1523"/>
        <v>0</v>
      </c>
      <c r="AW2456">
        <f t="shared" si="1503"/>
        <v>0</v>
      </c>
      <c r="AX2456">
        <f t="shared" si="1537"/>
        <v>0</v>
      </c>
      <c r="AY2456" s="19">
        <v>0</v>
      </c>
      <c r="AZ2456">
        <f t="shared" si="1524"/>
        <v>0</v>
      </c>
      <c r="BA2456">
        <f t="shared" si="1504"/>
        <v>0</v>
      </c>
      <c r="BB2456">
        <f t="shared" si="1525"/>
        <v>0</v>
      </c>
      <c r="BC2456" s="19">
        <f>$H$24</f>
        <v>0</v>
      </c>
      <c r="BD2456">
        <f t="shared" si="1526"/>
        <v>0</v>
      </c>
      <c r="BE2456">
        <f t="shared" si="1505"/>
        <v>0</v>
      </c>
      <c r="BF2456">
        <f t="shared" si="1506"/>
        <v>0</v>
      </c>
      <c r="BG2456" s="19">
        <v>0</v>
      </c>
      <c r="BH2456">
        <f t="shared" si="1527"/>
        <v>0</v>
      </c>
      <c r="BI2456">
        <f t="shared" si="1507"/>
        <v>0</v>
      </c>
      <c r="BJ2456">
        <f t="shared" si="1528"/>
        <v>0</v>
      </c>
      <c r="BK2456" s="19">
        <v>0</v>
      </c>
      <c r="BL2456" s="19">
        <v>0</v>
      </c>
      <c r="BM2456" s="17">
        <f t="shared" si="1538"/>
        <v>0</v>
      </c>
      <c r="BN2456" s="17">
        <f>BN2457+IF(BM2456=0,0,BM2456)</f>
        <v>5980.5</v>
      </c>
      <c r="BO2456" s="17">
        <f t="shared" ref="BO2456:BO2457" si="1539">BM2456*0.6</f>
        <v>0</v>
      </c>
      <c r="BP2456" s="17">
        <f>BP2457+BO2456</f>
        <v>3588.2999999999997</v>
      </c>
      <c r="BQ2456" s="17">
        <f t="shared" si="1531"/>
        <v>0</v>
      </c>
      <c r="BR2456" s="17">
        <f>BQ2456+BR2457</f>
        <v>255.14999999999998</v>
      </c>
      <c r="BS2456" s="17">
        <f t="shared" si="1532"/>
        <v>0</v>
      </c>
      <c r="BT2456" s="17">
        <f>BS2456+BT2457</f>
        <v>178.60499999999996</v>
      </c>
      <c r="BU2456" s="100"/>
    </row>
    <row r="2457" x14ac:dyDescent="0.25">
      <c r="B2457" t="s">
        <v>275</v>
      </c>
      <c r="C2457" s="19">
        <f>(33+32)/2</f>
        <v>32.5</v>
      </c>
      <c r="D2457" s="19">
        <f>(10.5+5.625)/2</f>
        <v>8.0625</v>
      </c>
      <c r="E2457" s="68">
        <f t="shared" si="1534"/>
        <v>33.171875</v>
      </c>
      <c r="F2457" s="69">
        <f>E25-(C17+C16+2*1.5+IF(C13="single",1.5,3))/12-_xlfn.XLOOKUP(E25,E20:E24,E20:E24,,-1)</f>
        <v>8.6770833333333321</v>
      </c>
      <c r="H2457" s="19">
        <v>443</v>
      </c>
      <c r="I2457" s="64" t="s">
        <v>196</v>
      </c>
      <c r="J2457" s="19">
        <v>18.899999999999999</v>
      </c>
      <c r="K2457" s="19">
        <v>36.6</v>
      </c>
      <c r="L2457" s="19">
        <v>10.8</v>
      </c>
      <c r="M2457" s="19">
        <v>66.7</v>
      </c>
      <c r="P2457" s="93"/>
      <c r="Q2457" t="s">
        <v>275</v>
      </c>
      <c r="R2457" s="19">
        <f>$H$25</f>
        <v>443</v>
      </c>
      <c r="S2457">
        <f t="shared" si="1509"/>
        <v>265.8</v>
      </c>
      <c r="T2457">
        <f t="shared" si="1510"/>
        <v>0</v>
      </c>
      <c r="U2457">
        <f t="shared" si="1535"/>
        <v>0</v>
      </c>
      <c r="V2457" s="19">
        <v>18.899999999999999</v>
      </c>
      <c r="W2457">
        <f t="shared" si="1511"/>
        <v>13.229999999999999</v>
      </c>
      <c r="X2457">
        <f t="shared" si="1512"/>
        <v>0</v>
      </c>
      <c r="Y2457">
        <f t="shared" si="1513"/>
        <v>0</v>
      </c>
      <c r="Z2457" s="19">
        <f>$H$25</f>
        <v>443</v>
      </c>
      <c r="AA2457">
        <f t="shared" si="1514"/>
        <v>265.8</v>
      </c>
      <c r="AB2457">
        <f t="shared" si="1515"/>
        <v>6423.5</v>
      </c>
      <c r="AC2457">
        <f t="shared" si="1501"/>
        <v>3854.1</v>
      </c>
      <c r="AD2457" s="19">
        <v>18.899999999999999</v>
      </c>
      <c r="AE2457">
        <f t="shared" si="1516"/>
        <v>13.229999999999999</v>
      </c>
      <c r="AF2457">
        <f t="shared" si="1517"/>
        <v>274.04999999999995</v>
      </c>
      <c r="AG2457">
        <f t="shared" si="1518"/>
        <v>191.83499999999995</v>
      </c>
      <c r="AH2457" s="19">
        <v>0</v>
      </c>
      <c r="AI2457" s="19">
        <v>0</v>
      </c>
      <c r="AJ2457" s="17">
        <f>T2457+AB2457+AH2457</f>
        <v>6423.5</v>
      </c>
      <c r="AK2457" s="17">
        <f>AJ2457</f>
        <v>6423.5</v>
      </c>
      <c r="AL2457" s="17">
        <f t="shared" si="1519"/>
        <v>3854.1</v>
      </c>
      <c r="AM2457" s="17">
        <f>AL2457</f>
        <v>3854.1</v>
      </c>
      <c r="AN2457" s="17">
        <f>X2457+AF2457+AI2457</f>
        <v>274.04999999999995</v>
      </c>
      <c r="AO2457" s="17">
        <f>AN2457</f>
        <v>274.04999999999995</v>
      </c>
      <c r="AP2457" s="17">
        <f>AN2457*0.7</f>
        <v>191.83499999999995</v>
      </c>
      <c r="AQ2457" s="17">
        <f>AP2457</f>
        <v>191.83499999999995</v>
      </c>
      <c r="AR2457" s="100"/>
      <c r="AS2457" s="93"/>
      <c r="AT2457" t="s">
        <v>275</v>
      </c>
      <c r="AU2457" s="19">
        <f>$H$25</f>
        <v>443</v>
      </c>
      <c r="AV2457">
        <f t="shared" si="1523"/>
        <v>265.8</v>
      </c>
      <c r="AW2457">
        <f t="shared" si="1503"/>
        <v>0</v>
      </c>
      <c r="AX2457">
        <f t="shared" si="1537"/>
        <v>0</v>
      </c>
      <c r="AY2457" s="19">
        <v>18.899999999999999</v>
      </c>
      <c r="AZ2457">
        <f t="shared" si="1524"/>
        <v>13.229999999999999</v>
      </c>
      <c r="BA2457">
        <f t="shared" si="1504"/>
        <v>0</v>
      </c>
      <c r="BB2457">
        <f t="shared" si="1525"/>
        <v>0</v>
      </c>
      <c r="BC2457" s="19">
        <f>$H$25</f>
        <v>443</v>
      </c>
      <c r="BD2457">
        <f t="shared" si="1526"/>
        <v>265.8</v>
      </c>
      <c r="BE2457">
        <f t="shared" si="1505"/>
        <v>5980.5</v>
      </c>
      <c r="BF2457">
        <f t="shared" si="1506"/>
        <v>3588.2999999999997</v>
      </c>
      <c r="BG2457" s="19">
        <v>18.899999999999999</v>
      </c>
      <c r="BH2457">
        <f t="shared" si="1527"/>
        <v>13.229999999999999</v>
      </c>
      <c r="BI2457">
        <f t="shared" si="1507"/>
        <v>255.14999999999998</v>
      </c>
      <c r="BJ2457">
        <f t="shared" si="1528"/>
        <v>178.60499999999996</v>
      </c>
      <c r="BK2457" s="19">
        <v>0</v>
      </c>
      <c r="BL2457" s="19">
        <v>0</v>
      </c>
      <c r="BM2457" s="17">
        <f>AW2457+BE2457+BK2457</f>
        <v>5980.5</v>
      </c>
      <c r="BN2457" s="17">
        <f>BM2457</f>
        <v>5980.5</v>
      </c>
      <c r="BO2457" s="17">
        <f t="shared" si="1539"/>
        <v>3588.2999999999997</v>
      </c>
      <c r="BP2457" s="17">
        <f>BO2457</f>
        <v>3588.2999999999997</v>
      </c>
      <c r="BQ2457" s="17">
        <f>BA2457+BI2457+BL2457</f>
        <v>255.14999999999998</v>
      </c>
      <c r="BR2457" s="17">
        <f>BQ2457</f>
        <v>255.14999999999998</v>
      </c>
      <c r="BS2457" s="17">
        <f>BQ2457*0.7</f>
        <v>178.60499999999996</v>
      </c>
      <c r="BT2457" s="17">
        <f>BS2457</f>
        <v>178.60499999999996</v>
      </c>
      <c r="BU2457" s="100"/>
    </row>
    <row r="2458" x14ac:dyDescent="0.25">
      <c r="B2458" t="s">
        <v>530</v>
      </c>
      <c r="E2458" s="73"/>
      <c r="F2458" s="73"/>
      <c r="H2458" s="19">
        <v>-22.9</v>
      </c>
      <c r="I2458" s="64" t="s">
        <v>270</v>
      </c>
      <c r="P2458" s="93"/>
      <c r="R2458" s="19">
        <f>$H$26</f>
        <v>-22.9</v>
      </c>
      <c r="S2458">
        <f t="shared" si="1509"/>
        <v>-13.739999999999998</v>
      </c>
      <c r="T2458">
        <f>$I$61/2*R2458</f>
        <v>0</v>
      </c>
      <c r="U2458">
        <f t="shared" si="1535"/>
        <v>0</v>
      </c>
      <c r="Z2458" s="19">
        <f>$H$26</f>
        <v>-22.9</v>
      </c>
      <c r="AA2458">
        <f>Z2458*0.6</f>
        <v>-13.739999999999998</v>
      </c>
      <c r="AB2458">
        <f>$J$61/2*Z2458</f>
        <v>-309.14999999999998</v>
      </c>
      <c r="AC2458">
        <f t="shared" si="1501"/>
        <v>-185.48999999999998</v>
      </c>
      <c r="AR2458" s="100"/>
      <c r="AS2458" s="93"/>
      <c r="AU2458" s="19">
        <f>$H$26</f>
        <v>-22.9</v>
      </c>
      <c r="AV2458">
        <f t="shared" si="1523"/>
        <v>-13.739999999999998</v>
      </c>
      <c r="AW2458">
        <f t="shared" si="1503"/>
        <v>0</v>
      </c>
      <c r="AX2458">
        <f t="shared" si="1537"/>
        <v>0</v>
      </c>
      <c r="BC2458" s="19">
        <f>$H$26</f>
        <v>-22.9</v>
      </c>
      <c r="BD2458">
        <f>BC2458*0.6</f>
        <v>-13.739999999999998</v>
      </c>
      <c r="BE2458">
        <f t="shared" si="1505"/>
        <v>-309.14999999999998</v>
      </c>
      <c r="BF2458">
        <f t="shared" si="1506"/>
        <v>-185.48999999999998</v>
      </c>
      <c r="BU2458" s="100"/>
    </row>
    <row r="2459" x14ac:dyDescent="0.25">
      <c r="B2459" t="s">
        <v>531</v>
      </c>
      <c r="C2459" s="1" t="s">
        <v>533</v>
      </c>
      <c r="D2459" s="19">
        <v>0.18</v>
      </c>
      <c r="E2459" s="73"/>
      <c r="F2459" s="73"/>
      <c r="H2459">
        <f>0.2*D27</f>
        <v>3.5999999999999997E-2</v>
      </c>
      <c r="I2459" s="64" t="s">
        <v>534</v>
      </c>
      <c r="P2459" s="93"/>
      <c r="Q2459" s="1"/>
      <c r="AR2459" s="100"/>
      <c r="AS2459" s="93"/>
      <c r="AT2459" s="1"/>
      <c r="BU2459" s="100"/>
    </row>
    <row r="2460" x14ac:dyDescent="0.25">
      <c r="P2460" s="93"/>
      <c r="Y2460" s="112" t="s">
        <v>752</v>
      </c>
      <c r="Z2460" s="112"/>
      <c r="AA2460" s="112"/>
      <c r="AB2460" s="112"/>
      <c r="AC2460" s="112"/>
      <c r="AR2460" s="100"/>
      <c r="AS2460" s="93"/>
      <c r="BB2460" s="112" t="s">
        <v>752</v>
      </c>
      <c r="BC2460" s="112"/>
      <c r="BD2460" s="112"/>
      <c r="BE2460" s="112"/>
      <c r="BF2460" s="112"/>
      <c r="BU2460" s="100"/>
    </row>
    <row r="2461" x14ac:dyDescent="0.25">
      <c r="B2461" t="s">
        <v>513</v>
      </c>
      <c r="P2461" s="93"/>
      <c r="Q2461" t="s">
        <v>479</v>
      </c>
      <c r="R2461" t="s">
        <v>491</v>
      </c>
      <c r="S2461" t="s">
        <v>508</v>
      </c>
      <c r="T2461" t="s">
        <v>507</v>
      </c>
      <c r="U2461" t="s">
        <v>535</v>
      </c>
      <c r="V2461" t="s">
        <v>536</v>
      </c>
      <c r="W2461" t="s">
        <v>479</v>
      </c>
      <c r="X2461" t="s">
        <v>537</v>
      </c>
      <c r="Y2461" t="s">
        <v>450</v>
      </c>
      <c r="Z2461" t="s">
        <v>451</v>
      </c>
      <c r="AA2461" t="s">
        <v>452</v>
      </c>
      <c r="AB2461" t="s">
        <v>453</v>
      </c>
      <c r="AC2461" t="s">
        <v>753</v>
      </c>
      <c r="AD2461" t="s">
        <v>519</v>
      </c>
      <c r="AR2461" s="100"/>
      <c r="AS2461" s="93"/>
      <c r="AT2461" t="s">
        <v>479</v>
      </c>
      <c r="AU2461" t="s">
        <v>491</v>
      </c>
      <c r="AV2461" t="s">
        <v>508</v>
      </c>
      <c r="AW2461" t="s">
        <v>507</v>
      </c>
      <c r="AX2461" t="s">
        <v>535</v>
      </c>
      <c r="AY2461" t="s">
        <v>536</v>
      </c>
      <c r="AZ2461" t="s">
        <v>479</v>
      </c>
      <c r="BA2461" t="s">
        <v>537</v>
      </c>
      <c r="BB2461" t="s">
        <v>450</v>
      </c>
      <c r="BC2461" t="s">
        <v>451</v>
      </c>
      <c r="BD2461" t="s">
        <v>452</v>
      </c>
      <c r="BE2461" t="s">
        <v>453</v>
      </c>
      <c r="BF2461" t="s">
        <v>753</v>
      </c>
      <c r="BG2461" t="s">
        <v>519</v>
      </c>
      <c r="BU2461" s="100"/>
    </row>
    <row r="2462" x14ac:dyDescent="0.25">
      <c r="B2462" s="1" t="s">
        <v>275</v>
      </c>
      <c r="C2462" s="19">
        <v>20</v>
      </c>
      <c r="D2462" t="s">
        <v>567</v>
      </c>
      <c r="P2462" s="93"/>
      <c r="Q2462" s="109" t="str">
        <f>R2448&amp;".01"</f>
        <v>A.01</v>
      </c>
      <c r="R2462" s="19">
        <v>29</v>
      </c>
      <c r="S2462" s="19">
        <v>12</v>
      </c>
      <c r="T2462">
        <f>S2462/2</f>
        <v>6</v>
      </c>
      <c r="U2462" s="19">
        <v>4</v>
      </c>
      <c r="V2462">
        <f>U2462/2</f>
        <v>2</v>
      </c>
      <c r="W2462" s="19" t="s">
        <v>515</v>
      </c>
      <c r="X2462" s="19">
        <v>6</v>
      </c>
      <c r="Y2462" s="19"/>
      <c r="Z2462" s="19"/>
      <c r="AA2462" s="19"/>
      <c r="AB2462" s="19"/>
      <c r="AC2462" s="19"/>
      <c r="AD2462" s="108">
        <f>R2462/R2478</f>
        <v>1</v>
      </c>
      <c r="AR2462" s="100"/>
      <c r="AS2462" s="93"/>
      <c r="AT2462" s="109" t="str">
        <f>AU$2448&amp;".01"</f>
        <v>1.01</v>
      </c>
      <c r="AU2462" s="19">
        <v>29</v>
      </c>
      <c r="AV2462" s="19">
        <v>12</v>
      </c>
      <c r="AW2462">
        <f>AV2462/2</f>
        <v>6</v>
      </c>
      <c r="AX2462" s="19">
        <v>4</v>
      </c>
      <c r="AY2462">
        <f>AX2462/2</f>
        <v>2</v>
      </c>
      <c r="AZ2462" s="19" t="s">
        <v>515</v>
      </c>
      <c r="BA2462" s="19">
        <v>6</v>
      </c>
      <c r="BB2462" s="19"/>
      <c r="BC2462" s="19"/>
      <c r="BD2462" s="19"/>
      <c r="BE2462" s="19"/>
      <c r="BF2462" s="19"/>
      <c r="BG2462" s="108">
        <f>AU2462/AU2478</f>
        <v>1</v>
      </c>
      <c r="BU2462" s="100"/>
    </row>
    <row r="2463" x14ac:dyDescent="0.25">
      <c r="B2463" s="1"/>
      <c r="C2463">
        <f>0.9*C30</f>
        <v>18</v>
      </c>
      <c r="D2463" t="s">
        <v>532</v>
      </c>
      <c r="P2463" s="93"/>
      <c r="Q2463" s="109" t="str">
        <f>R2448&amp;".02"</f>
        <v>A.02</v>
      </c>
      <c r="R2463" s="19"/>
      <c r="S2463" s="19"/>
      <c r="T2463">
        <f t="shared" ref="T2463:T2477" si="1540">S2463/2</f>
        <v>0</v>
      </c>
      <c r="U2463" s="19"/>
      <c r="V2463">
        <f t="shared" ref="V2463:V2477" si="1541">U2463/2</f>
        <v>0</v>
      </c>
      <c r="W2463" s="19"/>
      <c r="X2463" s="19"/>
      <c r="Y2463" s="19"/>
      <c r="Z2463" s="19"/>
      <c r="AA2463" s="19"/>
      <c r="AB2463" s="19"/>
      <c r="AC2463" s="19"/>
      <c r="AR2463" s="100"/>
      <c r="AS2463" s="93"/>
      <c r="AT2463" s="109" t="str">
        <f>AU$2448&amp;".02"</f>
        <v>1.02</v>
      </c>
      <c r="AU2463" s="19"/>
      <c r="AV2463" s="19"/>
      <c r="AW2463">
        <f t="shared" ref="AW2463:AW2477" si="1542">AV2463/2</f>
        <v>0</v>
      </c>
      <c r="AX2463" s="19"/>
      <c r="AY2463">
        <f t="shared" ref="AY2463:AY2477" si="1543">AX2463/2</f>
        <v>0</v>
      </c>
      <c r="AZ2463" s="19"/>
      <c r="BA2463" s="19"/>
      <c r="BB2463" s="19"/>
      <c r="BC2463" s="19"/>
      <c r="BD2463" s="19"/>
      <c r="BE2463" s="19"/>
      <c r="BF2463" s="19"/>
      <c r="BU2463" s="100"/>
    </row>
    <row r="2464" x14ac:dyDescent="0.25">
      <c r="B2464" s="1" t="s">
        <v>514</v>
      </c>
      <c r="C2464" s="19">
        <v>26</v>
      </c>
      <c r="D2464" t="s">
        <v>512</v>
      </c>
      <c r="P2464" s="93"/>
      <c r="Q2464" s="109" t="str">
        <f>R2448&amp;".03"</f>
        <v>A.03</v>
      </c>
      <c r="R2464" s="19"/>
      <c r="S2464" s="19"/>
      <c r="T2464">
        <f t="shared" si="1540"/>
        <v>0</v>
      </c>
      <c r="U2464" s="19"/>
      <c r="V2464">
        <f t="shared" si="1541"/>
        <v>0</v>
      </c>
      <c r="W2464" s="19"/>
      <c r="X2464" s="19"/>
      <c r="Y2464" s="19"/>
      <c r="Z2464" s="19"/>
      <c r="AA2464" s="19"/>
      <c r="AB2464" s="19"/>
      <c r="AC2464" s="19"/>
      <c r="AR2464" s="100"/>
      <c r="AS2464" s="93"/>
      <c r="AT2464" s="109" t="str">
        <f>AU$2448&amp;".03"</f>
        <v>1.03</v>
      </c>
      <c r="AU2464" s="19"/>
      <c r="AV2464" s="19"/>
      <c r="AW2464">
        <f t="shared" si="1542"/>
        <v>0</v>
      </c>
      <c r="AX2464" s="19"/>
      <c r="AY2464">
        <f t="shared" si="1543"/>
        <v>0</v>
      </c>
      <c r="AZ2464" s="19"/>
      <c r="BA2464" s="19"/>
      <c r="BB2464" s="19"/>
      <c r="BC2464" s="19"/>
      <c r="BD2464" s="19"/>
      <c r="BE2464" s="19"/>
      <c r="BF2464" s="19"/>
      <c r="BU2464" s="100"/>
    </row>
    <row r="2465" x14ac:dyDescent="0.25">
      <c r="B2465" s="1" t="s">
        <v>477</v>
      </c>
      <c r="C2465" s="19">
        <v>11</v>
      </c>
      <c r="D2465" t="s">
        <v>509</v>
      </c>
      <c r="P2465" s="93"/>
      <c r="Q2465" s="109" t="str">
        <f>R2448&amp;".04"</f>
        <v>A.04</v>
      </c>
      <c r="R2465" s="19"/>
      <c r="S2465" s="19"/>
      <c r="T2465">
        <f t="shared" si="1540"/>
        <v>0</v>
      </c>
      <c r="U2465" s="19"/>
      <c r="V2465">
        <f t="shared" si="1541"/>
        <v>0</v>
      </c>
      <c r="W2465" s="19"/>
      <c r="X2465" s="19"/>
      <c r="Y2465" s="19"/>
      <c r="Z2465" s="19"/>
      <c r="AA2465" s="19"/>
      <c r="AB2465" s="19"/>
      <c r="AC2465" s="19"/>
      <c r="AR2465" s="100"/>
      <c r="AS2465" s="93"/>
      <c r="AT2465" s="109" t="str">
        <f>AU$2448&amp;".04"</f>
        <v>1.04</v>
      </c>
      <c r="AU2465" s="19"/>
      <c r="AV2465" s="19"/>
      <c r="AW2465">
        <f t="shared" si="1542"/>
        <v>0</v>
      </c>
      <c r="AX2465" s="19"/>
      <c r="AY2465">
        <f t="shared" si="1543"/>
        <v>0</v>
      </c>
      <c r="AZ2465" s="19"/>
      <c r="BA2465" s="19"/>
      <c r="BB2465" s="19"/>
      <c r="BC2465" s="19"/>
      <c r="BD2465" s="19"/>
      <c r="BE2465" s="19"/>
      <c r="BF2465" s="19"/>
      <c r="BU2465" s="100"/>
    </row>
    <row r="2466" x14ac:dyDescent="0.25">
      <c r="B2466" s="1" t="s">
        <v>478</v>
      </c>
      <c r="C2466" s="19">
        <v>13</v>
      </c>
      <c r="D2466" t="s">
        <v>510</v>
      </c>
      <c r="P2466" s="93"/>
      <c r="Q2466" s="109" t="str">
        <f>R2448&amp;".05"</f>
        <v>A.05</v>
      </c>
      <c r="R2466" s="19"/>
      <c r="S2466" s="19"/>
      <c r="T2466">
        <f t="shared" si="1540"/>
        <v>0</v>
      </c>
      <c r="U2466" s="19"/>
      <c r="V2466">
        <f t="shared" si="1541"/>
        <v>0</v>
      </c>
      <c r="W2466" s="19"/>
      <c r="X2466" s="19"/>
      <c r="Y2466" s="19"/>
      <c r="Z2466" s="19"/>
      <c r="AA2466" s="19"/>
      <c r="AB2466" s="19"/>
      <c r="AC2466" s="19"/>
      <c r="AR2466" s="100"/>
      <c r="AS2466" s="93"/>
      <c r="AT2466" s="109" t="str">
        <f>AU$2448&amp;".05"</f>
        <v>1.05</v>
      </c>
      <c r="AU2466" s="19"/>
      <c r="AV2466" s="19"/>
      <c r="AW2466">
        <f t="shared" si="1542"/>
        <v>0</v>
      </c>
      <c r="AX2466" s="19"/>
      <c r="AY2466">
        <f t="shared" si="1543"/>
        <v>0</v>
      </c>
      <c r="AZ2466" s="19"/>
      <c r="BA2466" s="19"/>
      <c r="BB2466" s="19"/>
      <c r="BC2466" s="19"/>
      <c r="BD2466" s="19"/>
      <c r="BE2466" s="19"/>
      <c r="BF2466" s="19"/>
      <c r="BU2466" s="100"/>
    </row>
    <row r="2467" x14ac:dyDescent="0.25">
      <c r="B2467" s="1" t="s">
        <v>515</v>
      </c>
      <c r="C2467" s="19">
        <v>18</v>
      </c>
      <c r="D2467" t="s">
        <v>511</v>
      </c>
      <c r="P2467" s="93"/>
      <c r="Q2467" s="109" t="str">
        <f>R2448&amp;".06"</f>
        <v>A.06</v>
      </c>
      <c r="R2467" s="19"/>
      <c r="S2467" s="19"/>
      <c r="T2467">
        <f t="shared" si="1540"/>
        <v>0</v>
      </c>
      <c r="U2467" s="19"/>
      <c r="V2467">
        <f t="shared" si="1541"/>
        <v>0</v>
      </c>
      <c r="W2467" s="19"/>
      <c r="X2467" s="19"/>
      <c r="Y2467" s="19"/>
      <c r="Z2467" s="19"/>
      <c r="AA2467" s="19"/>
      <c r="AB2467" s="19"/>
      <c r="AC2467" s="19"/>
      <c r="AR2467" s="100"/>
      <c r="AS2467" s="93"/>
      <c r="AT2467" s="109" t="str">
        <f>AU$2448&amp;".06"</f>
        <v>1.06</v>
      </c>
      <c r="AU2467" s="19"/>
      <c r="AV2467" s="19"/>
      <c r="AW2467">
        <f t="shared" si="1542"/>
        <v>0</v>
      </c>
      <c r="AX2467" s="19"/>
      <c r="AY2467">
        <f t="shared" si="1543"/>
        <v>0</v>
      </c>
      <c r="AZ2467" s="19"/>
      <c r="BA2467" s="19"/>
      <c r="BB2467" s="19"/>
      <c r="BC2467" s="19"/>
      <c r="BD2467" s="19"/>
      <c r="BE2467" s="19"/>
      <c r="BF2467" s="19"/>
      <c r="BU2467" s="100"/>
    </row>
    <row r="2468" x14ac:dyDescent="0.25">
      <c r="B2468" s="1" t="s">
        <v>516</v>
      </c>
      <c r="P2468" s="93"/>
      <c r="Q2468" s="109" t="str">
        <f>R2448&amp;".07"</f>
        <v>A.07</v>
      </c>
      <c r="R2468" s="19"/>
      <c r="S2468" s="19"/>
      <c r="T2468">
        <f t="shared" si="1540"/>
        <v>0</v>
      </c>
      <c r="U2468" s="19"/>
      <c r="V2468">
        <f t="shared" si="1541"/>
        <v>0</v>
      </c>
      <c r="W2468" s="19"/>
      <c r="X2468" s="19"/>
      <c r="Y2468" s="19"/>
      <c r="Z2468" s="19"/>
      <c r="AA2468" s="19"/>
      <c r="AB2468" s="19"/>
      <c r="AC2468" s="19"/>
      <c r="AF2468" s="109"/>
      <c r="AR2468" s="100"/>
      <c r="AS2468" s="93"/>
      <c r="AT2468" s="109" t="str">
        <f>AU$2448&amp;".07"</f>
        <v>1.07</v>
      </c>
      <c r="AU2468" s="19"/>
      <c r="AV2468" s="19"/>
      <c r="AW2468">
        <f t="shared" si="1542"/>
        <v>0</v>
      </c>
      <c r="AX2468" s="19"/>
      <c r="AY2468">
        <f t="shared" si="1543"/>
        <v>0</v>
      </c>
      <c r="AZ2468" s="19"/>
      <c r="BA2468" s="19"/>
      <c r="BB2468" s="19"/>
      <c r="BC2468" s="19"/>
      <c r="BD2468" s="19"/>
      <c r="BE2468" s="19"/>
      <c r="BF2468" s="19"/>
      <c r="BI2468" s="109"/>
      <c r="BU2468" s="100"/>
    </row>
    <row r="2469" x14ac:dyDescent="0.25">
      <c r="B2469" s="1" t="s">
        <v>517</v>
      </c>
      <c r="P2469" s="93"/>
      <c r="Q2469" s="109" t="str">
        <f>R2448&amp;".08"</f>
        <v>A.08</v>
      </c>
      <c r="R2469" s="19"/>
      <c r="S2469" s="19"/>
      <c r="T2469">
        <f t="shared" si="1540"/>
        <v>0</v>
      </c>
      <c r="U2469" s="19"/>
      <c r="V2469">
        <f t="shared" si="1541"/>
        <v>0</v>
      </c>
      <c r="W2469" s="19"/>
      <c r="X2469" s="19"/>
      <c r="Y2469" s="19"/>
      <c r="Z2469" s="19"/>
      <c r="AA2469" s="19"/>
      <c r="AB2469" s="19"/>
      <c r="AC2469" s="19"/>
      <c r="AF2469" s="109"/>
      <c r="AR2469" s="100"/>
      <c r="AS2469" s="93"/>
      <c r="AT2469" s="109" t="str">
        <f>AU$2448&amp;".08"</f>
        <v>1.08</v>
      </c>
      <c r="AU2469" s="19"/>
      <c r="AV2469" s="19"/>
      <c r="AW2469">
        <f t="shared" si="1542"/>
        <v>0</v>
      </c>
      <c r="AX2469" s="19"/>
      <c r="AY2469">
        <f t="shared" si="1543"/>
        <v>0</v>
      </c>
      <c r="AZ2469" s="19"/>
      <c r="BA2469" s="19"/>
      <c r="BB2469" s="19"/>
      <c r="BC2469" s="19"/>
      <c r="BD2469" s="19"/>
      <c r="BE2469" s="19"/>
      <c r="BF2469" s="19"/>
      <c r="BI2469" s="109"/>
      <c r="BU2469" s="100"/>
    </row>
    <row r="2470" x14ac:dyDescent="0.25">
      <c r="B2470" s="1" t="s">
        <v>518</v>
      </c>
      <c r="P2470" s="93"/>
      <c r="Q2470" s="109" t="str">
        <f>R2448&amp;".09"</f>
        <v>A.09</v>
      </c>
      <c r="R2470" s="19"/>
      <c r="S2470" s="19"/>
      <c r="T2470">
        <f t="shared" si="1540"/>
        <v>0</v>
      </c>
      <c r="U2470" s="19"/>
      <c r="V2470">
        <f t="shared" si="1541"/>
        <v>0</v>
      </c>
      <c r="W2470" s="19"/>
      <c r="X2470" s="19"/>
      <c r="Y2470" s="19"/>
      <c r="Z2470" s="19"/>
      <c r="AA2470" s="19"/>
      <c r="AB2470" s="19"/>
      <c r="AC2470" s="19"/>
      <c r="AF2470" s="109"/>
      <c r="AR2470" s="100"/>
      <c r="AS2470" s="93"/>
      <c r="AT2470" s="109" t="str">
        <f>AU$2448&amp;".09"</f>
        <v>1.09</v>
      </c>
      <c r="AU2470" s="19"/>
      <c r="AV2470" s="19"/>
      <c r="AW2470">
        <f t="shared" si="1542"/>
        <v>0</v>
      </c>
      <c r="AX2470" s="19"/>
      <c r="AY2470">
        <f t="shared" si="1543"/>
        <v>0</v>
      </c>
      <c r="AZ2470" s="19"/>
      <c r="BA2470" s="19"/>
      <c r="BB2470" s="19"/>
      <c r="BC2470" s="19"/>
      <c r="BD2470" s="19"/>
      <c r="BE2470" s="19"/>
      <c r="BF2470" s="19"/>
      <c r="BI2470" s="109"/>
      <c r="BU2470" s="100"/>
    </row>
    <row r="2471" x14ac:dyDescent="0.25">
      <c r="P2471" s="93"/>
      <c r="Q2471" s="109" t="str">
        <f>R2448&amp;".10"</f>
        <v>A.10</v>
      </c>
      <c r="R2471" s="19"/>
      <c r="S2471" s="19"/>
      <c r="T2471">
        <f t="shared" si="1540"/>
        <v>0</v>
      </c>
      <c r="U2471" s="19"/>
      <c r="V2471">
        <f t="shared" si="1541"/>
        <v>0</v>
      </c>
      <c r="W2471" s="19"/>
      <c r="X2471" s="19"/>
      <c r="Y2471" s="19"/>
      <c r="Z2471" s="19"/>
      <c r="AA2471" s="19"/>
      <c r="AB2471" s="19"/>
      <c r="AC2471" s="19"/>
      <c r="AF2471" s="109"/>
      <c r="AR2471" s="100"/>
      <c r="AS2471" s="93"/>
      <c r="AT2471" s="109" t="str">
        <f>AU$2448&amp;".10"</f>
        <v>1.10</v>
      </c>
      <c r="AU2471" s="19"/>
      <c r="AV2471" s="19"/>
      <c r="AW2471">
        <f t="shared" si="1542"/>
        <v>0</v>
      </c>
      <c r="AX2471" s="19"/>
      <c r="AY2471">
        <f t="shared" si="1543"/>
        <v>0</v>
      </c>
      <c r="AZ2471" s="19"/>
      <c r="BA2471" s="19"/>
      <c r="BB2471" s="19"/>
      <c r="BC2471" s="19"/>
      <c r="BD2471" s="19"/>
      <c r="BE2471" s="19"/>
      <c r="BF2471" s="19"/>
      <c r="BI2471" s="109"/>
      <c r="BU2471" s="100"/>
    </row>
    <row r="2472" x14ac:dyDescent="0.25">
      <c r="C2472" s="112" t="s">
        <v>495</v>
      </c>
      <c r="D2472" s="112"/>
      <c r="E2472" s="112"/>
      <c r="I2472" s="112" t="s">
        <v>495</v>
      </c>
      <c r="J2472" s="112"/>
      <c r="K2472" s="112"/>
      <c r="P2472" s="93"/>
      <c r="Q2472" s="109" t="str">
        <f>R2448&amp;".11"</f>
        <v>A.11</v>
      </c>
      <c r="R2472" s="19"/>
      <c r="S2472" s="19"/>
      <c r="T2472">
        <f t="shared" si="1540"/>
        <v>0</v>
      </c>
      <c r="U2472" s="19"/>
      <c r="V2472">
        <f t="shared" si="1541"/>
        <v>0</v>
      </c>
      <c r="W2472" s="19"/>
      <c r="X2472" s="19"/>
      <c r="Y2472" s="19"/>
      <c r="Z2472" s="19"/>
      <c r="AA2472" s="19"/>
      <c r="AB2472" s="19"/>
      <c r="AC2472" s="19"/>
      <c r="AF2472" s="109"/>
      <c r="AR2472" s="100"/>
      <c r="AS2472" s="93"/>
      <c r="AT2472" s="109" t="str">
        <f>AU$2448&amp;".11"</f>
        <v>1.11</v>
      </c>
      <c r="AU2472" s="19"/>
      <c r="AV2472" s="19"/>
      <c r="AW2472">
        <f t="shared" si="1542"/>
        <v>0</v>
      </c>
      <c r="AX2472" s="19"/>
      <c r="AY2472">
        <f t="shared" si="1543"/>
        <v>0</v>
      </c>
      <c r="AZ2472" s="19"/>
      <c r="BA2472" s="19"/>
      <c r="BB2472" s="19"/>
      <c r="BC2472" s="19"/>
      <c r="BD2472" s="19"/>
      <c r="BE2472" s="19"/>
      <c r="BF2472" s="19"/>
      <c r="BI2472" s="109"/>
      <c r="BU2472" s="100"/>
    </row>
    <row r="2473" x14ac:dyDescent="0.25">
      <c r="B2473" t="s">
        <v>474</v>
      </c>
      <c r="C2473" t="s">
        <v>492</v>
      </c>
      <c r="D2473" t="s">
        <v>493</v>
      </c>
      <c r="E2473" t="s">
        <v>494</v>
      </c>
      <c r="H2473" t="s">
        <v>455</v>
      </c>
      <c r="I2473" t="s">
        <v>492</v>
      </c>
      <c r="J2473" t="s">
        <v>493</v>
      </c>
      <c r="K2473" t="s">
        <v>494</v>
      </c>
      <c r="P2473" s="93"/>
      <c r="Q2473" s="109" t="str">
        <f>R2448&amp;".12"</f>
        <v>A.12</v>
      </c>
      <c r="R2473" s="19"/>
      <c r="S2473" s="19"/>
      <c r="T2473">
        <f t="shared" si="1540"/>
        <v>0</v>
      </c>
      <c r="U2473" s="19"/>
      <c r="V2473">
        <f t="shared" si="1541"/>
        <v>0</v>
      </c>
      <c r="W2473" s="19"/>
      <c r="X2473" s="19"/>
      <c r="Y2473" s="19"/>
      <c r="Z2473" s="19"/>
      <c r="AA2473" s="19"/>
      <c r="AB2473" s="19"/>
      <c r="AC2473" s="19"/>
      <c r="AF2473" s="109"/>
      <c r="AR2473" s="100"/>
      <c r="AS2473" s="93"/>
      <c r="AT2473" s="109" t="str">
        <f>AU$2448&amp;".12"</f>
        <v>1.12</v>
      </c>
      <c r="AU2473" s="19"/>
      <c r="AV2473" s="19"/>
      <c r="AW2473">
        <f t="shared" si="1542"/>
        <v>0</v>
      </c>
      <c r="AX2473" s="19"/>
      <c r="AY2473">
        <f t="shared" si="1543"/>
        <v>0</v>
      </c>
      <c r="AZ2473" s="19"/>
      <c r="BA2473" s="19"/>
      <c r="BB2473" s="19"/>
      <c r="BC2473" s="19"/>
      <c r="BD2473" s="19"/>
      <c r="BE2473" s="19"/>
      <c r="BF2473" s="19"/>
      <c r="BI2473" s="109"/>
      <c r="BU2473" s="100"/>
    </row>
    <row r="2474" x14ac:dyDescent="0.25">
      <c r="B2474" t="s">
        <v>274</v>
      </c>
      <c r="C2474" s="19">
        <v>0</v>
      </c>
      <c r="D2474" s="19">
        <v>29</v>
      </c>
      <c r="E2474">
        <f>C61+D61</f>
        <v>29</v>
      </c>
      <c r="H2474">
        <v>1</v>
      </c>
      <c r="I2474" s="19">
        <v>0</v>
      </c>
      <c r="J2474" s="19">
        <v>27</v>
      </c>
      <c r="K2474">
        <f>I61+J61</f>
        <v>27</v>
      </c>
      <c r="P2474" s="93"/>
      <c r="Q2474" s="109" t="str">
        <f>R2448&amp;".13"</f>
        <v>A.13</v>
      </c>
      <c r="R2474" s="19"/>
      <c r="S2474" s="19"/>
      <c r="T2474">
        <f t="shared" si="1540"/>
        <v>0</v>
      </c>
      <c r="U2474" s="19"/>
      <c r="V2474">
        <f t="shared" si="1541"/>
        <v>0</v>
      </c>
      <c r="W2474" s="19"/>
      <c r="X2474" s="19"/>
      <c r="Y2474" s="19"/>
      <c r="Z2474" s="19"/>
      <c r="AA2474" s="19"/>
      <c r="AB2474" s="19"/>
      <c r="AC2474" s="19"/>
      <c r="AF2474" s="109"/>
      <c r="AR2474" s="100"/>
      <c r="AS2474" s="93"/>
      <c r="AT2474" s="109" t="str">
        <f>AU$2448&amp;".13"</f>
        <v>1.13</v>
      </c>
      <c r="AU2474" s="19"/>
      <c r="AV2474" s="19"/>
      <c r="AW2474">
        <f t="shared" si="1542"/>
        <v>0</v>
      </c>
      <c r="AX2474" s="19"/>
      <c r="AY2474">
        <f t="shared" si="1543"/>
        <v>0</v>
      </c>
      <c r="AZ2474" s="19"/>
      <c r="BA2474" s="19"/>
      <c r="BB2474" s="19"/>
      <c r="BC2474" s="19"/>
      <c r="BD2474" s="19"/>
      <c r="BE2474" s="19"/>
      <c r="BF2474" s="19"/>
      <c r="BI2474" s="109"/>
      <c r="BU2474" s="100"/>
    </row>
    <row r="2475" x14ac:dyDescent="0.25">
      <c r="B2475" t="s">
        <v>279</v>
      </c>
      <c r="C2475" s="19">
        <v>29</v>
      </c>
      <c r="D2475" s="19">
        <v>6</v>
      </c>
      <c r="E2475">
        <f t="shared" ref="E43:E67" si="1544">C43+D43</f>
        <v>35</v>
      </c>
      <c r="H2475">
        <v>2</v>
      </c>
      <c r="I2475" s="19">
        <v>27</v>
      </c>
      <c r="J2475" s="19">
        <v>14</v>
      </c>
      <c r="K2475">
        <f t="shared" ref="K43:K67" si="1545">I43+J43</f>
        <v>41</v>
      </c>
      <c r="P2475" s="93"/>
      <c r="Q2475" s="109" t="str">
        <f>R2448&amp;".14"</f>
        <v>A.14</v>
      </c>
      <c r="R2475" s="19"/>
      <c r="S2475" s="19"/>
      <c r="T2475">
        <f t="shared" si="1540"/>
        <v>0</v>
      </c>
      <c r="U2475" s="19"/>
      <c r="V2475">
        <f t="shared" si="1541"/>
        <v>0</v>
      </c>
      <c r="W2475" s="19"/>
      <c r="X2475" s="19"/>
      <c r="Y2475" s="19"/>
      <c r="Z2475" s="19"/>
      <c r="AA2475" s="19"/>
      <c r="AB2475" s="19"/>
      <c r="AC2475" s="19"/>
      <c r="AF2475" s="109"/>
      <c r="AR2475" s="100"/>
      <c r="AS2475" s="93"/>
      <c r="AT2475" s="109" t="str">
        <f>AU$2448&amp;".14"</f>
        <v>1.14</v>
      </c>
      <c r="AU2475" s="19"/>
      <c r="AV2475" s="19"/>
      <c r="AW2475">
        <f t="shared" si="1542"/>
        <v>0</v>
      </c>
      <c r="AX2475" s="19"/>
      <c r="AY2475">
        <f t="shared" si="1543"/>
        <v>0</v>
      </c>
      <c r="AZ2475" s="19"/>
      <c r="BA2475" s="19"/>
      <c r="BB2475" s="19"/>
      <c r="BC2475" s="19"/>
      <c r="BD2475" s="19"/>
      <c r="BE2475" s="19"/>
      <c r="BF2475" s="19"/>
      <c r="BI2475" s="109"/>
      <c r="BU2475" s="100"/>
    </row>
    <row r="2476" x14ac:dyDescent="0.25">
      <c r="B2476" t="s">
        <v>283</v>
      </c>
      <c r="C2476" s="19">
        <v>6</v>
      </c>
      <c r="D2476" s="19">
        <v>29</v>
      </c>
      <c r="E2476">
        <f t="shared" si="1544"/>
        <v>35</v>
      </c>
      <c r="H2476">
        <v>3</v>
      </c>
      <c r="I2476" s="19">
        <v>14</v>
      </c>
      <c r="J2476" s="19">
        <v>13</v>
      </c>
      <c r="K2476">
        <f t="shared" si="1545"/>
        <v>27</v>
      </c>
      <c r="P2476" s="93"/>
      <c r="Q2476" s="109" t="str">
        <f>R2448&amp;".15"</f>
        <v>A.15</v>
      </c>
      <c r="R2476" s="19"/>
      <c r="S2476" s="19"/>
      <c r="T2476">
        <f t="shared" si="1540"/>
        <v>0</v>
      </c>
      <c r="U2476" s="19"/>
      <c r="V2476">
        <f t="shared" si="1541"/>
        <v>0</v>
      </c>
      <c r="W2476" s="19"/>
      <c r="X2476" s="19"/>
      <c r="Y2476" s="19"/>
      <c r="Z2476" s="19"/>
      <c r="AA2476" s="19"/>
      <c r="AB2476" s="19"/>
      <c r="AC2476" s="19"/>
      <c r="AF2476" s="109"/>
      <c r="AR2476" s="100"/>
      <c r="AS2476" s="93"/>
      <c r="AT2476" s="109" t="str">
        <f>AU$2448&amp;".15"</f>
        <v>1.15</v>
      </c>
      <c r="AU2476" s="19"/>
      <c r="AV2476" s="19"/>
      <c r="AW2476">
        <f t="shared" si="1542"/>
        <v>0</v>
      </c>
      <c r="AX2476" s="19"/>
      <c r="AY2476">
        <f t="shared" si="1543"/>
        <v>0</v>
      </c>
      <c r="AZ2476" s="19"/>
      <c r="BA2476" s="19"/>
      <c r="BB2476" s="19"/>
      <c r="BC2476" s="19"/>
      <c r="BD2476" s="19"/>
      <c r="BE2476" s="19"/>
      <c r="BF2476" s="19"/>
      <c r="BI2476" s="109"/>
      <c r="BU2476" s="100"/>
    </row>
    <row r="2477" x14ac:dyDescent="0.25">
      <c r="B2477" t="s">
        <v>287</v>
      </c>
      <c r="C2477" s="19">
        <v>26</v>
      </c>
      <c r="D2477" s="19">
        <v>26</v>
      </c>
      <c r="E2477">
        <f t="shared" si="1544"/>
        <v>52</v>
      </c>
      <c r="F2477" t="s">
        <v>506</v>
      </c>
      <c r="H2477">
        <v>4</v>
      </c>
      <c r="I2477" s="19">
        <v>13</v>
      </c>
      <c r="J2477" s="19">
        <v>27</v>
      </c>
      <c r="K2477">
        <f t="shared" si="1545"/>
        <v>40</v>
      </c>
      <c r="P2477" s="93"/>
      <c r="Q2477" s="109" t="str">
        <f>R2448&amp;".16"</f>
        <v>A.16</v>
      </c>
      <c r="R2477" s="19"/>
      <c r="S2477" s="19"/>
      <c r="T2477">
        <f t="shared" si="1540"/>
        <v>0</v>
      </c>
      <c r="U2477" s="19"/>
      <c r="V2477">
        <f t="shared" si="1541"/>
        <v>0</v>
      </c>
      <c r="W2477" s="19"/>
      <c r="X2477" s="19"/>
      <c r="Y2477" s="19"/>
      <c r="Z2477" s="19"/>
      <c r="AA2477" s="19"/>
      <c r="AB2477" s="19"/>
      <c r="AC2477" s="19"/>
      <c r="AF2477" s="109"/>
      <c r="AR2477" s="100"/>
      <c r="AS2477" s="93"/>
      <c r="AT2477" s="109" t="str">
        <f>AU$2448&amp;".16"</f>
        <v>1.16</v>
      </c>
      <c r="AU2477" s="19"/>
      <c r="AV2477" s="19"/>
      <c r="AW2477">
        <f t="shared" si="1542"/>
        <v>0</v>
      </c>
      <c r="AX2477" s="19"/>
      <c r="AY2477">
        <f t="shared" si="1543"/>
        <v>0</v>
      </c>
      <c r="AZ2477" s="19"/>
      <c r="BA2477" s="19"/>
      <c r="BB2477" s="19"/>
      <c r="BC2477" s="19"/>
      <c r="BD2477" s="19"/>
      <c r="BE2477" s="19"/>
      <c r="BF2477" s="19"/>
      <c r="BI2477" s="109"/>
      <c r="BU2477" s="100"/>
    </row>
    <row r="2478" x14ac:dyDescent="0.25">
      <c r="B2478" t="s">
        <v>288</v>
      </c>
      <c r="C2478" s="19">
        <v>29</v>
      </c>
      <c r="D2478" s="19">
        <v>0</v>
      </c>
      <c r="E2478">
        <f t="shared" si="1544"/>
        <v>29</v>
      </c>
      <c r="H2478">
        <v>5</v>
      </c>
      <c r="I2478" s="19">
        <v>27</v>
      </c>
      <c r="J2478" s="19">
        <v>11</v>
      </c>
      <c r="K2478">
        <f t="shared" si="1545"/>
        <v>38</v>
      </c>
      <c r="P2478" s="93"/>
      <c r="R2478">
        <f>SUM(R2462:R2477)</f>
        <v>29</v>
      </c>
      <c r="AR2478" s="100"/>
      <c r="AS2478" s="93"/>
      <c r="AU2478">
        <f>SUM(AU2462:AU2477)</f>
        <v>29</v>
      </c>
      <c r="BU2478" s="100"/>
    </row>
    <row r="2479" x14ac:dyDescent="0.25">
      <c r="B2479" t="s">
        <v>293</v>
      </c>
      <c r="C2479" s="19">
        <v>17</v>
      </c>
      <c r="D2479" s="19">
        <v>27</v>
      </c>
      <c r="E2479">
        <f t="shared" si="1544"/>
        <v>44</v>
      </c>
      <c r="H2479">
        <v>6</v>
      </c>
      <c r="I2479" s="19">
        <v>11</v>
      </c>
      <c r="J2479" s="19">
        <v>6</v>
      </c>
      <c r="K2479">
        <f t="shared" si="1545"/>
        <v>17</v>
      </c>
      <c r="P2479" s="93"/>
      <c r="AP2479" t="s">
        <v>746</v>
      </c>
      <c r="AR2479" s="100"/>
      <c r="AS2479" s="93"/>
      <c r="BS2479" t="s">
        <v>746</v>
      </c>
      <c r="BU2479" s="100"/>
    </row>
    <row r="2480" x14ac:dyDescent="0.25">
      <c r="B2480" t="s">
        <v>456</v>
      </c>
      <c r="C2480" s="19">
        <v>27</v>
      </c>
      <c r="D2480" s="19">
        <v>27</v>
      </c>
      <c r="E2480">
        <f t="shared" si="1544"/>
        <v>54</v>
      </c>
      <c r="H2480">
        <v>7</v>
      </c>
      <c r="I2480" s="19">
        <v>6</v>
      </c>
      <c r="J2480" s="19">
        <v>11</v>
      </c>
      <c r="K2480">
        <f t="shared" si="1545"/>
        <v>17</v>
      </c>
      <c r="P2480" s="93"/>
      <c r="Q2480" t="s">
        <v>525</v>
      </c>
      <c r="R2480" t="s">
        <v>263</v>
      </c>
      <c r="S2480" t="s">
        <v>526</v>
      </c>
      <c r="T2480" t="s">
        <v>570</v>
      </c>
      <c r="U2480" t="s">
        <v>571</v>
      </c>
      <c r="V2480" t="s">
        <v>572</v>
      </c>
      <c r="W2480" t="s">
        <v>539</v>
      </c>
      <c r="X2480" t="s">
        <v>538</v>
      </c>
      <c r="Z2480" t="s">
        <v>522</v>
      </c>
      <c r="AA2480" t="s">
        <v>523</v>
      </c>
      <c r="AB2480" t="s">
        <v>541</v>
      </c>
      <c r="AC2480" t="s">
        <v>540</v>
      </c>
      <c r="AD2480" t="s">
        <v>542</v>
      </c>
      <c r="AE2480" t="s">
        <v>520</v>
      </c>
      <c r="AF2480" t="s">
        <v>521</v>
      </c>
      <c r="AG2480" t="s">
        <v>527</v>
      </c>
      <c r="AH2480" t="s">
        <v>528</v>
      </c>
      <c r="AI2480" t="s">
        <v>543</v>
      </c>
      <c r="AJ2480" t="s">
        <v>744</v>
      </c>
      <c r="AK2480" t="s">
        <v>745</v>
      </c>
      <c r="AL2480" t="s">
        <v>749</v>
      </c>
      <c r="AM2480" t="s">
        <v>750</v>
      </c>
      <c r="AN2480" t="s">
        <v>751</v>
      </c>
      <c r="AP2480" t="s">
        <v>747</v>
      </c>
      <c r="AQ2480" t="s">
        <v>748</v>
      </c>
      <c r="AR2480" s="100"/>
      <c r="AS2480" s="93"/>
      <c r="AT2480" t="s">
        <v>525</v>
      </c>
      <c r="AU2480" t="s">
        <v>263</v>
      </c>
      <c r="AV2480" t="s">
        <v>526</v>
      </c>
      <c r="AW2480" t="s">
        <v>570</v>
      </c>
      <c r="AX2480" t="s">
        <v>571</v>
      </c>
      <c r="AY2480" t="s">
        <v>572</v>
      </c>
      <c r="AZ2480" t="s">
        <v>539</v>
      </c>
      <c r="BA2480" t="s">
        <v>538</v>
      </c>
      <c r="BC2480" t="s">
        <v>522</v>
      </c>
      <c r="BD2480" t="s">
        <v>523</v>
      </c>
      <c r="BE2480" t="s">
        <v>541</v>
      </c>
      <c r="BF2480" t="s">
        <v>540</v>
      </c>
      <c r="BG2480" t="s">
        <v>542</v>
      </c>
      <c r="BH2480" t="s">
        <v>520</v>
      </c>
      <c r="BI2480" t="s">
        <v>521</v>
      </c>
      <c r="BJ2480" t="s">
        <v>527</v>
      </c>
      <c r="BK2480" t="s">
        <v>528</v>
      </c>
      <c r="BL2480" t="s">
        <v>543</v>
      </c>
      <c r="BM2480" t="s">
        <v>744</v>
      </c>
      <c r="BN2480" t="s">
        <v>745</v>
      </c>
      <c r="BO2480" t="s">
        <v>749</v>
      </c>
      <c r="BP2480" t="s">
        <v>750</v>
      </c>
      <c r="BQ2480" t="s">
        <v>751</v>
      </c>
      <c r="BS2480" t="s">
        <v>747</v>
      </c>
      <c r="BT2480" t="s">
        <v>748</v>
      </c>
      <c r="BU2480" s="100"/>
    </row>
    <row r="2481" x14ac:dyDescent="0.25">
      <c r="B2481" t="s">
        <v>457</v>
      </c>
      <c r="C2481" s="19">
        <v>27</v>
      </c>
      <c r="D2481" s="19">
        <v>27</v>
      </c>
      <c r="E2481">
        <f t="shared" si="1544"/>
        <v>54</v>
      </c>
      <c r="H2481">
        <v>8</v>
      </c>
      <c r="I2481" s="19">
        <v>20</v>
      </c>
      <c r="J2481" s="19">
        <v>0</v>
      </c>
      <c r="K2481">
        <f t="shared" si="1545"/>
        <v>20</v>
      </c>
      <c r="L2481" t="s">
        <v>506</v>
      </c>
      <c r="P2481" s="93"/>
      <c r="Q2481" s="110" t="str">
        <f>$Q$2462</f>
        <v>A.01</v>
      </c>
      <c r="R2481" t="str">
        <f>$Q$2453</f>
        <v>L2</v>
      </c>
      <c r="S2481">
        <f>$E$21</f>
        <v>10.6875</v>
      </c>
      <c r="T2481" cm="1">
        <f t="array" ref="T2481">IFERROR(IF(S2481=0,0,(INDEX($C$33:$C$38,MATCH($W$2462,$B$33:$B$38,0),0)*(S2485+$X$2462)+$T$2462*COUNTIF(S2481:S2484,"&gt;0")*$C$32+$V$2462*$C$31)*$R$2462),0)</f>
        <v>30539.71875</v>
      </c>
      <c r="U2481">
        <f>IF(S2481=0,0,-(COUNTIF(S2481:S2484,"&gt;0")*$T$2462*$C$32+$V$2462*$C$31)*$H$27*$R$2462)</f>
        <v>-363.31199999999995</v>
      </c>
      <c r="V2481">
        <f>IF(S2481=0,0,$V$2462*$H$26*$R$2462)</f>
        <v>-1328.1999999999998</v>
      </c>
      <c r="W2481">
        <f>(0.6*T2481+0.7*U2481)*$R$2462/2</f>
        <v>262007.93632499999</v>
      </c>
      <c r="X2481">
        <f>(0.6*T2481+0.6*V2481)*$R$2462/2</f>
        <v>254140.21312500001</v>
      </c>
      <c r="Z2481">
        <f>IF(S2481=0,0,$AD$2462*$AP$2453)</f>
        <v>343.06999999999994</v>
      </c>
      <c r="AA2481">
        <f>IFERROR(Z2481/$R$2462,0)</f>
        <v>11.829999999999998</v>
      </c>
      <c r="AB2481">
        <f>Z2481*($F$21+IF($F$21=0,0,($C$14+$C$15+IF($C$13="single",1.5,3)+3)/12))</f>
        <v>3666.5606249999992</v>
      </c>
      <c r="AC2481">
        <f>AB2481-W2481</f>
        <v>-258341.37569999998</v>
      </c>
      <c r="AD2481" cm="1">
        <f t="array" ref="AD2481">IFERROR(IF(AC2481&lt;0,0,AC2481/($R$2462-INDEX(hd_off,MATCH(AQ2481,hd_mark,0),0)/12)),0)</f>
        <v>0</v>
      </c>
      <c r="AE2481">
        <f>IF(S2481=0,0,$AD$2462*$AM$2453)</f>
        <v>7899.5999999999995</v>
      </c>
      <c r="AF2481">
        <f>IFERROR(AE2481/$R$2462,0)</f>
        <v>272.39999999999998</v>
      </c>
      <c r="AG2481">
        <f>AE2481*($F$21+IF($F$21=0,0,($C$14+$C$15+IF($C$13="single",1.5,3)+3)/12))</f>
        <v>84426.974999999991</v>
      </c>
      <c r="AH2481">
        <f>AG2481-X2481</f>
        <v>-169713.23812500003</v>
      </c>
      <c r="AI2481" cm="1">
        <f t="array" ref="AI2481">IFERROR(IF(AH2481&lt;0,0,AH2481/($R$2462-INDEX(hd_off,MATCH(AQ2481,hd_mark,0),0)/12)),0)</f>
        <v>0</v>
      </c>
      <c r="AJ2481">
        <f>MAX($F$21,$Y$2462)/$Q$2484</f>
        <v>0.30172413793103448</v>
      </c>
      <c r="AK2481">
        <f>IF(AJ2481=0,0,IF(AJ2481&gt;2,1.25-0.125*AJ2481,1))</f>
        <v>1</v>
      </c>
      <c r="AL2481" cm="1">
        <f t="array" ref="AL2481">IFERROR(INDEX(sheath_ecap_asd,MATCH(AP2481,sheath_mark,0),0)*AK2481,0)</f>
        <v>239.85714285714286</v>
      </c>
      <c r="AM2481" cm="1">
        <f t="array" ref="AM2481">IFERROR(INDEX(sheath_wcap_asd,MATCH(AP2481,sheath_mark,0),0)*AK2481,0)</f>
        <v>335.8</v>
      </c>
      <c r="AN2481" cm="1">
        <f t="array" ref="AN2481">IFERROR(INDEX(hd_cap,MATCH(AQ2481,hd_mark,0),0),0)</f>
        <v>0</v>
      </c>
      <c r="AP2481" s="19">
        <v>21</v>
      </c>
      <c r="AQ2481" s="19"/>
      <c r="AR2481" s="100"/>
      <c r="AS2481" s="93"/>
      <c r="AT2481" s="110" t="str">
        <f>$AT$2462</f>
        <v>1.01</v>
      </c>
      <c r="AU2481" t="str">
        <f>$Q$2453</f>
        <v>L2</v>
      </c>
      <c r="AV2481">
        <f>$E$21</f>
        <v>10.6875</v>
      </c>
      <c r="AW2481" cm="1">
        <f t="array" ref="AW2481">IFERROR(IF(AV2481=0,0,(INDEX($C$33:$C$38,MATCH($AZ$2462,$B$33:$B$38,0),0)*(AV2485+$BA$2462)+$AW$2462*COUNTIF(AV2481:AV2484,"&gt;0")*$C$32+$AY$2462*$C$31)*$AU$2462),0)</f>
        <v>30539.71875</v>
      </c>
      <c r="AX2481">
        <f>IF(AV2481=0,0,-(COUNTIF(AV2481:AV2484,"&gt;0")*$AW$2462*$C$32+$AY$2462*$C$31)*$H$27*$AU$2462)</f>
        <v>-363.31199999999995</v>
      </c>
      <c r="AY2481">
        <f>IF(AV2481=0,0,$AY$2462*$H$26*$AU$2462)</f>
        <v>-1328.1999999999998</v>
      </c>
      <c r="AZ2481">
        <f>(0.6*AW2481+0.7*AX2481)*$AU$2462/2</f>
        <v>262007.93632499999</v>
      </c>
      <c r="BA2481">
        <f>(0.6*AW2481+0.6*AY2481)*$AU$2462/2</f>
        <v>254140.21312500001</v>
      </c>
      <c r="BC2481">
        <f>IF(AV2481=0,0,$BG$2462*$AP$2453)</f>
        <v>343.06999999999994</v>
      </c>
      <c r="BD2481">
        <f>IFERROR(BC2481/$AU$2462,0)</f>
        <v>11.829999999999998</v>
      </c>
      <c r="BE2481">
        <f>BC2481*($F$21+IF($F$21=0,0,($C$14+$C$15+IF($C$13="single",1.5,3)+3)/12))</f>
        <v>3666.5606249999992</v>
      </c>
      <c r="BF2481">
        <f>BE2481-AZ2481</f>
        <v>-258341.37569999998</v>
      </c>
      <c r="BG2481" cm="1">
        <f t="array" ref="BG2481">IFERROR(IF(BF2481&lt;0,0,BF2481/($AU$2462-INDEX(hd_off,MATCH(BT2481,hd_mark,0),0)/12)),0)</f>
        <v>0</v>
      </c>
      <c r="BH2481">
        <f>IF(AV2481=0,0,$BG$2462*$AM$2453)</f>
        <v>7899.5999999999995</v>
      </c>
      <c r="BI2481">
        <f>IFERROR(BH2481/$AU$2462,0)</f>
        <v>272.39999999999998</v>
      </c>
      <c r="BJ2481">
        <f>BH2481*($F$21+IF($F$21=0,0,($C$14+$C$15+IF($C$13="single",1.5,3)+3)/12))</f>
        <v>84426.974999999991</v>
      </c>
      <c r="BK2481">
        <f>BJ2481-BA2481</f>
        <v>-169713.23812500003</v>
      </c>
      <c r="BL2481" cm="1">
        <f t="array" ref="BL2481">IFERROR(IF(BK2481&lt;0,0,BK2481/($AU$2462-INDEX(hd_off,MATCH(BT2481,hd_mark,0),0)/12)),0)</f>
        <v>0</v>
      </c>
      <c r="BM2481">
        <f>MAX($F$21,$BB$2462)/$Q$2484</f>
        <v>0.30172413793103448</v>
      </c>
      <c r="BN2481">
        <f>IF(BM2481=0,0,IF(BM2481&gt;2,1.25-0.125*BM2481,1))</f>
        <v>1</v>
      </c>
      <c r="BO2481" cm="1">
        <f t="array" ref="BO2481">IFERROR(INDEX(sheath_ecap_asd,MATCH(BS2481,sheath_mark,0),0)*BN2481,0)</f>
        <v>239.85714285714286</v>
      </c>
      <c r="BP2481" cm="1">
        <f t="array" ref="BP2481">IFERROR(INDEX(sheath_wcap_asd,MATCH(BS2481,sheath_mark,0),0)*BN2481,0)</f>
        <v>335.8</v>
      </c>
      <c r="BQ2481" cm="1">
        <f t="array" ref="BQ2481">IFERROR(INDEX(hd_cap,MATCH(BT2481,hd_mark,0),0),0)</f>
        <v>0</v>
      </c>
      <c r="BS2481" s="19">
        <v>21</v>
      </c>
      <c r="BT2481" s="19"/>
      <c r="BU2481" s="100"/>
    </row>
    <row r="2482" x14ac:dyDescent="0.25">
      <c r="B2482" t="s">
        <v>458</v>
      </c>
      <c r="C2482" s="19">
        <v>27</v>
      </c>
      <c r="D2482" s="19">
        <v>27</v>
      </c>
      <c r="E2482">
        <f t="shared" si="1544"/>
        <v>54</v>
      </c>
      <c r="H2482">
        <v>9</v>
      </c>
      <c r="I2482" s="19">
        <v>30</v>
      </c>
      <c r="J2482" s="19">
        <v>0</v>
      </c>
      <c r="K2482">
        <f t="shared" si="1545"/>
        <v>30</v>
      </c>
      <c r="P2482" s="93"/>
      <c r="Q2482" s="109"/>
      <c r="R2482" t="str">
        <f>$Q$2454</f>
        <v>L3</v>
      </c>
      <c r="S2482">
        <f>$E$22</f>
        <v>21.375</v>
      </c>
      <c r="T2482" cm="1">
        <f t="array" ref="T2482">IFERROR(IF(S2482=0,0,(INDEX($C$33:$C$38,MATCH($W$2462,$B$33:$B$38,0),0)*(S2485+$X$2462)+$T$2462*COUNTIF(S2482:S2484,"&gt;0")*$C$32+$V$2462*$C$31)*$R$2462),0)</f>
        <v>26015.71875</v>
      </c>
      <c r="U2482">
        <f>IF(S2482=0,0,-(COUNTIF(S2482:S2484,"&gt;0")*$T$2462*$C$32+$V$2462*$C$31)*$H$27*$R$2462)</f>
        <v>-200.44799999999998</v>
      </c>
      <c r="V2482">
        <f>IF(S2482=0,0,$V$2462*$H$26*$R$2462)</f>
        <v>-1328.1999999999998</v>
      </c>
      <c r="W2482">
        <f t="shared" ref="W2482:W2484" si="1546">(0.6*T2482+0.7*U2482)*$R$2462/2</f>
        <v>224302.20592500002</v>
      </c>
      <c r="X2482">
        <f>T2482*$R$2462/2</f>
        <v>377227.921875</v>
      </c>
      <c r="Z2482">
        <f>IF(S2482=0,0,$AD$2462*$AP$2454)</f>
        <v>376.565</v>
      </c>
      <c r="AA2482">
        <f>IFERROR(Z2482/$R$2462,0)</f>
        <v>12.984999999999999</v>
      </c>
      <c r="AB2482">
        <f>Z2482*($F$22+IF($F$22=0,0,($C$14+$C$15+IF($C$13="single",1.5,3)+3)/12))</f>
        <v>4024.5384374999999</v>
      </c>
      <c r="AC2482">
        <f>AB2482-W2482</f>
        <v>-220277.6674875</v>
      </c>
      <c r="AD2482" cm="1">
        <f t="array" ref="AD2482">IFERROR(IF(AC2482&lt;0,0,AC2482/($R$2462-INDEX(hd_off,MATCH(AQ2482,hd_mark,0),0)/12)),0)</f>
        <v>0</v>
      </c>
      <c r="AE2482">
        <f>IF(S2482=0,0,$AD$2462*$AM$2454)</f>
        <v>5846.4</v>
      </c>
      <c r="AF2482">
        <f>IFERROR(AE2482/$R$2462,0)</f>
        <v>201.6</v>
      </c>
      <c r="AG2482">
        <f>AE2482*($F$22+IF($F$22=0,0,($C$14+$C$15+IF($C$13="single",1.5,3)+3)/12))</f>
        <v>62483.399999999994</v>
      </c>
      <c r="AH2482">
        <f>AG2482-X2482</f>
        <v>-314744.52187499998</v>
      </c>
      <c r="AI2482" cm="1">
        <f t="array" ref="AI2482">IFERROR(IF(AH2482&lt;0,0,AH2482/($R$2462-INDEX(hd_off,MATCH(AQ2482,hd_mark,0),0)/12)),0)</f>
        <v>0</v>
      </c>
      <c r="AJ2482">
        <f>MAX($F$22,$Z$2462)/$Q$2484</f>
        <v>0.30172413793103448</v>
      </c>
      <c r="AK2482">
        <f t="shared" ref="AK2482:AK2485" si="1547">IF(AJ2482=0,0,IF(AJ2482&gt;2,1.25-0.125*AJ2482,1))</f>
        <v>1</v>
      </c>
      <c r="AL2482" cm="1">
        <f t="array" ref="AL2482">IFERROR(INDEX(sheath_ecap_asd,MATCH(AP2482,sheath_mark,0),0)*AK2482,0)</f>
        <v>239.85714285714286</v>
      </c>
      <c r="AM2482" cm="1">
        <f t="array" ref="AM2482">IFERROR(INDEX(sheath_wcap_asd,MATCH(AP2482,sheath_mark,0),0)*AK2482,0)</f>
        <v>335.8</v>
      </c>
      <c r="AN2482" cm="1">
        <f t="array" ref="AN2482">IFERROR(INDEX(hd_cap,MATCH(AQ2482,hd_mark,0),0),0)</f>
        <v>0</v>
      </c>
      <c r="AP2482" s="19">
        <v>21</v>
      </c>
      <c r="AQ2482" s="19"/>
      <c r="AR2482" s="100"/>
      <c r="AS2482" s="93"/>
      <c r="AT2482" s="109"/>
      <c r="AU2482" t="str">
        <f>$Q$2454</f>
        <v>L3</v>
      </c>
      <c r="AV2482">
        <f>$E$22</f>
        <v>21.375</v>
      </c>
      <c r="AW2482" cm="1">
        <f t="array" ref="AW2482">IFERROR(IF(AV2482=0,0,(INDEX($C$33:$C$38,MATCH($AZ$2462,$B$33:$B$38,0),0)*(AV2485+$BA$2462)+$AW$2462*COUNTIF(AV2482:AV2484,"&gt;0")*$C$32+$AY$2462*$C$31)*$AU$2462),0)</f>
        <v>26015.71875</v>
      </c>
      <c r="AX2482">
        <f>IF(AV2482=0,0,-(COUNTIF(AV2482:AV2484,"&gt;0")*$AW$2462*$C$32+$AY$2462*$C$31)*$H$27*$AU$2462)</f>
        <v>-200.44799999999998</v>
      </c>
      <c r="AY2482">
        <f>IF(AV2482=0,0,$AY$2462*$H$26*$AU$2462)</f>
        <v>-1328.1999999999998</v>
      </c>
      <c r="AZ2482">
        <f>(0.6*AW2482+0.7*AX2482)*$AU$2462/2</f>
        <v>224302.20592500002</v>
      </c>
      <c r="BA2482">
        <f>AW2482*$AU$2462/2</f>
        <v>377227.921875</v>
      </c>
      <c r="BC2482">
        <f>IF(AV2482=0,0,$BG$2462*$AP$2454)</f>
        <v>376.565</v>
      </c>
      <c r="BD2482">
        <f>IFERROR(BC2482/$AU$2462,0)</f>
        <v>12.984999999999999</v>
      </c>
      <c r="BE2482">
        <f>BC2482*($F$22+IF($F$22=0,0,($C$14+$C$15+IF($C$13="single",1.5,3)+3)/12))</f>
        <v>4024.5384374999999</v>
      </c>
      <c r="BF2482">
        <f>BE2482-AZ2482</f>
        <v>-220277.6674875</v>
      </c>
      <c r="BG2482" cm="1">
        <f t="array" ref="BG2482">IFERROR(IF(BF2482&lt;0,0,BF2482/($AU$2462-INDEX(hd_off,MATCH(BT2482,hd_mark,0),0)/12)),0)</f>
        <v>0</v>
      </c>
      <c r="BH2482">
        <f>IF(AV2482=0,0,$BG$2462*$AM$2454)</f>
        <v>5846.4</v>
      </c>
      <c r="BI2482">
        <f>IFERROR(BH2482/$AU$2462,0)</f>
        <v>201.6</v>
      </c>
      <c r="BJ2482">
        <f>BH2482*($F$22+IF($F$22=0,0,($C$14+$C$15+IF($C$13="single",1.5,3)+3)/12))</f>
        <v>62483.399999999994</v>
      </c>
      <c r="BK2482">
        <f>BJ2482-BA2482</f>
        <v>-314744.52187499998</v>
      </c>
      <c r="BL2482" cm="1">
        <f t="array" ref="BL2482">IFERROR(IF(BK2482&lt;0,0,BK2482/($AU$2462-INDEX(hd_off,MATCH(BT2482,hd_mark,0),0)/12)),0)</f>
        <v>0</v>
      </c>
      <c r="BM2482">
        <f>MAX($F$22,$BC$2462)/$Q$2484</f>
        <v>0.30172413793103448</v>
      </c>
      <c r="BN2482">
        <f t="shared" ref="BN2482:BN2485" si="1548">IF(BM2482=0,0,IF(BM2482&gt;2,1.25-0.125*BM2482,1))</f>
        <v>1</v>
      </c>
      <c r="BO2482" cm="1">
        <f t="array" ref="BO2482">IFERROR(INDEX(sheath_ecap_asd,MATCH(BS2482,sheath_mark,0),0)*BN2482,0)</f>
        <v>239.85714285714286</v>
      </c>
      <c r="BP2482" cm="1">
        <f t="array" ref="BP2482">IFERROR(INDEX(sheath_wcap_asd,MATCH(BS2482,sheath_mark,0),0)*BN2482,0)</f>
        <v>335.8</v>
      </c>
      <c r="BQ2482" cm="1">
        <f t="array" ref="BQ2482">IFERROR(INDEX(hd_cap,MATCH(BT2482,hd_mark,0),0),0)</f>
        <v>0</v>
      </c>
      <c r="BS2482" s="19">
        <v>21</v>
      </c>
      <c r="BT2482" s="19"/>
      <c r="BU2482" s="100"/>
    </row>
    <row r="2483" x14ac:dyDescent="0.25">
      <c r="B2483" t="s">
        <v>459</v>
      </c>
      <c r="C2483" s="19">
        <v>27</v>
      </c>
      <c r="D2483" s="19">
        <v>41</v>
      </c>
      <c r="E2483">
        <f t="shared" si="1544"/>
        <v>68</v>
      </c>
      <c r="F2483" t="s">
        <v>506</v>
      </c>
      <c r="H2483">
        <v>10</v>
      </c>
      <c r="I2483" s="19">
        <v>30</v>
      </c>
      <c r="J2483" s="19">
        <v>0</v>
      </c>
      <c r="K2483">
        <f t="shared" si="1545"/>
        <v>30</v>
      </c>
      <c r="P2483" s="93"/>
      <c r="Q2483" s="109" t="s">
        <v>491</v>
      </c>
      <c r="R2483" t="str">
        <f>$Q$2455</f>
        <v>L4</v>
      </c>
      <c r="S2483">
        <f>$E$23</f>
        <v>0</v>
      </c>
      <c r="T2483" cm="1">
        <f t="array" ref="T2483">IFERROR(IF(S2483=0,0,(INDEX($C$33:$C$38,MATCH($W$2462,$B$33:$B$38,0),0)*(S2485+$X$2462)+$T$2462*COUNTIF(S2483:S2484,"&gt;0")*$C$32+$V$2462*$C$31)*$R$2462),0)</f>
        <v>0</v>
      </c>
      <c r="U2483">
        <f>IF(S2483=0,0,-(COUNTIF(S2483:S2484,"&gt;0")*$T$2462*$C$32+$V$2462*$C$31)*$H$27*$R$2462)</f>
        <v>0</v>
      </c>
      <c r="V2483">
        <f>IF(S2483=0,0,$V$2462*$H$26*$R$2462)</f>
        <v>0</v>
      </c>
      <c r="W2483">
        <f t="shared" si="1546"/>
        <v>0</v>
      </c>
      <c r="X2483">
        <f>T2483*$R$2462/2</f>
        <v>0</v>
      </c>
      <c r="Z2483">
        <f>IF(S2483=0,0,$AD$2462*$AP$2455)</f>
        <v>0</v>
      </c>
      <c r="AA2483">
        <f>IFERROR(Z2483/$R$2462,0)</f>
        <v>0</v>
      </c>
      <c r="AB2483">
        <f>Z2483*($F$23+IF($F$23=0,0,($C$14+$C$15+IF($C$13="single",1.5,3)+3)/12))</f>
        <v>0</v>
      </c>
      <c r="AC2483">
        <f>AB2483-W2483</f>
        <v>0</v>
      </c>
      <c r="AD2483" cm="1">
        <f t="array" ref="AD2483">IFERROR(IF(AC2483&lt;0,0,AC2483/($R$2462-INDEX(hd_off,MATCH(AQ2483,hd_mark,0),0)/12)),0)</f>
        <v>0</v>
      </c>
      <c r="AE2483">
        <f>IF(S2483=0,0,$AD$2462*$AM$2455)</f>
        <v>0</v>
      </c>
      <c r="AF2483">
        <f>IFERROR(AE2483/$R$2462,0)</f>
        <v>0</v>
      </c>
      <c r="AG2483">
        <f>AE2483*($F$23+IF($F$23=0,0,($C$14+$C$15+IF($C$13="single",1.5,3)+3)/12))</f>
        <v>0</v>
      </c>
      <c r="AH2483">
        <f>AG2483-X2483</f>
        <v>0</v>
      </c>
      <c r="AI2483" cm="1">
        <f t="array" ref="AI2483">IFERROR(IF(AH2483&lt;0,0,AH2483/($R$2462-INDEX(hd_off,MATCH(AQ2483,hd_mark,0),0)/12)),0)</f>
        <v>0</v>
      </c>
      <c r="AJ2483">
        <f>MAX($F$23,$AA$2462)/$Q$2484</f>
        <v>0</v>
      </c>
      <c r="AK2483">
        <f t="shared" si="1547"/>
        <v>0</v>
      </c>
      <c r="AL2483" cm="1">
        <f t="array" ref="AL2483">IFERROR(INDEX(sheath_ecap_asd,MATCH(AP2483,sheath_mark,0),0)*AK2483,0)</f>
        <v>0</v>
      </c>
      <c r="AM2483" cm="1">
        <f t="array" ref="AM2483">IFERROR(INDEX(sheath_wcap_asd,MATCH(AP2483,sheath_mark,0),0)*AK2483,0)</f>
        <v>0</v>
      </c>
      <c r="AN2483" cm="1">
        <f t="array" ref="AN2483">IFERROR(INDEX(hd_cap,MATCH(AQ2483,hd_mark,0),0),0)</f>
        <v>0</v>
      </c>
      <c r="AP2483" s="19"/>
      <c r="AQ2483" s="19"/>
      <c r="AR2483" s="100"/>
      <c r="AS2483" s="93"/>
      <c r="AT2483" s="109" t="s">
        <v>491</v>
      </c>
      <c r="AU2483" t="str">
        <f>$Q$2455</f>
        <v>L4</v>
      </c>
      <c r="AV2483">
        <f>$E$23</f>
        <v>0</v>
      </c>
      <c r="AW2483" cm="1">
        <f t="array" ref="AW2483">IFERROR(IF(AV2483=0,0,(INDEX($C$33:$C$38,MATCH($AZ$2462,$B$33:$B$38,0),0)*(AV2485+$BA$2462)+$AW$2462*COUNTIF(AV2483:AV2484,"&gt;0")*$C$32+$AY$2462*$C$31)*$AU$2462),0)</f>
        <v>0</v>
      </c>
      <c r="AX2483">
        <f>IF(AV2483=0,0,-(COUNTIF(AV2483:AV2484,"&gt;0")*$AW$2462*$C$32+$AY$2462*$C$31)*$H$27*$AU$2462)</f>
        <v>0</v>
      </c>
      <c r="AY2483">
        <f>IF(AV2483=0,0,$AY$2462*$H$26*$AU$2462)</f>
        <v>0</v>
      </c>
      <c r="AZ2483">
        <f>(0.6*AW2483+0.7*AX2483)*$AU$2462/2</f>
        <v>0</v>
      </c>
      <c r="BA2483">
        <f>AW2483*$AU$2462/2</f>
        <v>0</v>
      </c>
      <c r="BC2483">
        <f>IF(AV2483=0,0,$BG$2462*$AP$2455)</f>
        <v>0</v>
      </c>
      <c r="BD2483">
        <f>IFERROR(BC2483/$AU$2462,0)</f>
        <v>0</v>
      </c>
      <c r="BE2483">
        <f>BC2483*($F$23+IF($F$23=0,0,($C$14+$C$15+IF($C$13="single",1.5,3)+3)/12))</f>
        <v>0</v>
      </c>
      <c r="BF2483">
        <f>BE2483-AZ2483</f>
        <v>0</v>
      </c>
      <c r="BG2483" cm="1">
        <f t="array" ref="BG2483">IFERROR(IF(BF2483&lt;0,0,BF2483/($AU$2462-INDEX(hd_off,MATCH(BT2483,hd_mark,0),0)/12)),0)</f>
        <v>0</v>
      </c>
      <c r="BH2483">
        <f>IF(AV2483=0,0,$BG$2462*$AM$2455)</f>
        <v>0</v>
      </c>
      <c r="BI2483">
        <f>IFERROR(BH2483/$AU$2462,0)</f>
        <v>0</v>
      </c>
      <c r="BJ2483">
        <f>BH2483*($F$23+IF($F$23=0,0,($C$14+$C$15+IF($C$13="single",1.5,3)+3)/12))</f>
        <v>0</v>
      </c>
      <c r="BK2483">
        <f>BJ2483-BA2483</f>
        <v>0</v>
      </c>
      <c r="BL2483" cm="1">
        <f t="array" ref="BL2483">IFERROR(IF(BK2483&lt;0,0,BK2483/($AU$2462-INDEX(hd_off,MATCH(BT2483,hd_mark,0),0)/12)),0)</f>
        <v>0</v>
      </c>
      <c r="BM2483">
        <f>MAX($F$23,$BD$2462)/$Q$2484</f>
        <v>0</v>
      </c>
      <c r="BN2483">
        <f t="shared" si="1548"/>
        <v>0</v>
      </c>
      <c r="BO2483" cm="1">
        <f t="array" ref="BO2483">IFERROR(INDEX(sheath_ecap_asd,MATCH(BS2483,sheath_mark,0),0)*BN2483,0)</f>
        <v>0</v>
      </c>
      <c r="BP2483" cm="1">
        <f t="array" ref="BP2483">IFERROR(INDEX(sheath_wcap_asd,MATCH(BS2483,sheath_mark,0),0)*BN2483,0)</f>
        <v>0</v>
      </c>
      <c r="BQ2483" cm="1">
        <f t="array" ref="BQ2483">IFERROR(INDEX(hd_cap,MATCH(BT2483,hd_mark,0),0),0)</f>
        <v>0</v>
      </c>
      <c r="BS2483" s="19"/>
      <c r="BT2483" s="19"/>
      <c r="BU2483" s="100"/>
    </row>
    <row r="2484" x14ac:dyDescent="0.25">
      <c r="B2484" t="s">
        <v>171</v>
      </c>
      <c r="C2484" s="19">
        <v>0</v>
      </c>
      <c r="D2484" s="19">
        <v>29</v>
      </c>
      <c r="E2484">
        <f t="shared" si="1544"/>
        <v>29</v>
      </c>
      <c r="H2484">
        <v>11</v>
      </c>
      <c r="I2484" s="19">
        <v>0</v>
      </c>
      <c r="J2484" s="19">
        <v>27</v>
      </c>
      <c r="K2484">
        <f t="shared" si="1545"/>
        <v>27</v>
      </c>
      <c r="P2484" s="93"/>
      <c r="Q2484" s="111">
        <f>$R$2462</f>
        <v>29</v>
      </c>
      <c r="R2484" t="str">
        <f>$Q$2456</f>
        <v>L5</v>
      </c>
      <c r="S2484">
        <f>$E$24</f>
        <v>0</v>
      </c>
      <c r="T2484" cm="1">
        <f t="array" ref="T2484">IFERROR(IF(S2484=0,0,(INDEX($C$33:$C$38,MATCH($W$2462,$B$33:$B$38,0),0)*(S2485+$X$2462)+$T$2462*COUNTIF(S2484:S2484,"&gt;0")*$C$32+$V$2462*$C$31)*$R$2462),0)</f>
        <v>0</v>
      </c>
      <c r="U2484">
        <f>IF(S2484=0,0,-(COUNTIF(S2484:S2484,"&gt;0")*$T$2462*$C$32+$V$2462*$C$31)*$H$27*$R$2462)</f>
        <v>0</v>
      </c>
      <c r="V2484">
        <f>IF(S2484=0,0,$V$2462*$H$26*$R$2462)</f>
        <v>0</v>
      </c>
      <c r="W2484">
        <f t="shared" si="1546"/>
        <v>0</v>
      </c>
      <c r="X2484">
        <f>T2484*$R$2462/2</f>
        <v>0</v>
      </c>
      <c r="Z2484">
        <f>IF(S2484=0,0,$AD$2462*$AP$2456)</f>
        <v>0</v>
      </c>
      <c r="AA2484">
        <f>IFERROR(Z2484/$R$2462,0)</f>
        <v>0</v>
      </c>
      <c r="AB2484">
        <f>Z2484*($F$24+IF($F$24=0,0,($C$14+$C$15+IF($C$13="single",1.5,3)+3)/12))</f>
        <v>0</v>
      </c>
      <c r="AC2484">
        <f>AB2484-W2484</f>
        <v>0</v>
      </c>
      <c r="AD2484" cm="1">
        <f t="array" ref="AD2484">IFERROR(IF(AC2484&lt;0,0,AC2484/($R$2462-INDEX(hd_off,MATCH(AQ2484,hd_mark,0),0)/12)),0)</f>
        <v>0</v>
      </c>
      <c r="AE2484">
        <f>IF(S2484=0,0,$AD$2462*$AM$2456)</f>
        <v>0</v>
      </c>
      <c r="AF2484">
        <f>IFERROR(AE2484/$R$2462,0)</f>
        <v>0</v>
      </c>
      <c r="AG2484">
        <f>AE2484*($F$24+IF($F$24=0,0,($C$14+$C$15+IF($C$13="single",1.5,3)+3)/12))</f>
        <v>0</v>
      </c>
      <c r="AH2484">
        <f>AG2484-X2484</f>
        <v>0</v>
      </c>
      <c r="AI2484" cm="1">
        <f t="array" ref="AI2484">IFERROR(IF(AH2484&lt;0,0,AH2484/($R$2462-INDEX(hd_off,MATCH(AQ2484,hd_mark,0),0)/12)),0)</f>
        <v>0</v>
      </c>
      <c r="AJ2484">
        <f>MAX($F$24,$AB$2462)/$Q$2484</f>
        <v>0</v>
      </c>
      <c r="AK2484">
        <f t="shared" si="1547"/>
        <v>0</v>
      </c>
      <c r="AL2484" cm="1">
        <f t="array" ref="AL2484">IFERROR(INDEX(sheath_ecap_asd,MATCH(AP2484,sheath_mark,0),0)*AK2484,0)</f>
        <v>0</v>
      </c>
      <c r="AM2484" cm="1">
        <f t="array" ref="AM2484">IFERROR(INDEX(sheath_wcap_asd,MATCH(AP2484,sheath_mark,0),0)*AK2484,0)</f>
        <v>0</v>
      </c>
      <c r="AN2484" cm="1">
        <f t="array" ref="AN2484">IFERROR(INDEX(hd_cap,MATCH(AQ2484,hd_mark,0),0),0)</f>
        <v>0</v>
      </c>
      <c r="AP2484" s="19"/>
      <c r="AQ2484" s="19"/>
      <c r="AR2484" s="100"/>
      <c r="AS2484" s="93"/>
      <c r="AT2484" s="111">
        <f>$R$2462</f>
        <v>29</v>
      </c>
      <c r="AU2484" t="str">
        <f>$Q$2456</f>
        <v>L5</v>
      </c>
      <c r="AV2484">
        <f>$E$24</f>
        <v>0</v>
      </c>
      <c r="AW2484" cm="1">
        <f t="array" ref="AW2484">IFERROR(IF(AV2484=0,0,(INDEX($C$33:$C$38,MATCH($AZ$2462,$B$33:$B$38,0),0)*(AV2485+$BA$2462)+$AW$2462*COUNTIF(AV2484:AV2484,"&gt;0")*$C$32+$AY$2462*$C$31)*$AU$2462),0)</f>
        <v>0</v>
      </c>
      <c r="AX2484">
        <f>IF(AV2484=0,0,-(COUNTIF(AV2484:AV2484,"&gt;0")*$AW$2462*$C$32+$AY$2462*$C$31)*$H$27*$AU$2462)</f>
        <v>0</v>
      </c>
      <c r="AY2484">
        <f>IF(AV2484=0,0,$AY$2462*$H$26*$AU$2462)</f>
        <v>0</v>
      </c>
      <c r="AZ2484">
        <f>(0.6*AW2484+0.7*AX2484)*$AU$2462/2</f>
        <v>0</v>
      </c>
      <c r="BA2484">
        <f>AW2484*$AU$2462/2</f>
        <v>0</v>
      </c>
      <c r="BC2484">
        <f>IF(AV2484=0,0,$BG$2462*$AP$2456)</f>
        <v>0</v>
      </c>
      <c r="BD2484">
        <f>IFERROR(BC2484/$AU$2462,0)</f>
        <v>0</v>
      </c>
      <c r="BE2484">
        <f>BC2484*($F$24+IF($F$24=0,0,($C$14+$C$15+IF($C$13="single",1.5,3)+3)/12))</f>
        <v>0</v>
      </c>
      <c r="BF2484">
        <f>BE2484-AZ2484</f>
        <v>0</v>
      </c>
      <c r="BG2484" cm="1">
        <f t="array" ref="BG2484">IFERROR(IF(BF2484&lt;0,0,BF2484/($AU$2462-INDEX(hd_off,MATCH(BT2484,hd_mark,0),0)/12)),0)</f>
        <v>0</v>
      </c>
      <c r="BH2484">
        <f>IF(AV2484=0,0,$BG$2462*$AM$2456)</f>
        <v>0</v>
      </c>
      <c r="BI2484">
        <f>IFERROR(BH2484/$AU$2462,0)</f>
        <v>0</v>
      </c>
      <c r="BJ2484">
        <f>BH2484*($F$24+IF($F$24=0,0,($C$14+$C$15+IF($C$13="single",1.5,3)+3)/12))</f>
        <v>0</v>
      </c>
      <c r="BK2484">
        <f>BJ2484-BA2484</f>
        <v>0</v>
      </c>
      <c r="BL2484" cm="1">
        <f t="array" ref="BL2484">IFERROR(IF(BK2484&lt;0,0,BK2484/($AU$2462-INDEX(hd_off,MATCH(BT2484,hd_mark,0),0)/12)),0)</f>
        <v>0</v>
      </c>
      <c r="BM2484">
        <f>MAX($F$24,$BE$2462)/$Q$2484</f>
        <v>0</v>
      </c>
      <c r="BN2484">
        <f t="shared" si="1548"/>
        <v>0</v>
      </c>
      <c r="BO2484" cm="1">
        <f t="array" ref="BO2484">IFERROR(INDEX(sheath_ecap_asd,MATCH(BS2484,sheath_mark,0),0)*BN2484,0)</f>
        <v>0</v>
      </c>
      <c r="BP2484" cm="1">
        <f t="array" ref="BP2484">IFERROR(INDEX(sheath_wcap_asd,MATCH(BS2484,sheath_mark,0),0)*BN2484,0)</f>
        <v>0</v>
      </c>
      <c r="BQ2484" cm="1">
        <f t="array" ref="BQ2484">IFERROR(INDEX(hd_cap,MATCH(BT2484,hd_mark,0),0),0)</f>
        <v>0</v>
      </c>
      <c r="BS2484" s="19"/>
      <c r="BT2484" s="19"/>
      <c r="BU2484" s="100"/>
    </row>
    <row r="2485" x14ac:dyDescent="0.25">
      <c r="B2485" t="s">
        <v>460</v>
      </c>
      <c r="C2485" s="19">
        <v>29</v>
      </c>
      <c r="D2485" s="19">
        <v>6</v>
      </c>
      <c r="E2485">
        <f t="shared" si="1544"/>
        <v>35</v>
      </c>
      <c r="H2485">
        <v>12</v>
      </c>
      <c r="I2485" s="19">
        <v>27</v>
      </c>
      <c r="J2485" s="19">
        <v>14</v>
      </c>
      <c r="K2485">
        <f t="shared" si="1545"/>
        <v>41</v>
      </c>
      <c r="P2485" s="93"/>
      <c r="Q2485" s="109"/>
      <c r="R2485" t="str">
        <f>$Q$2457</f>
        <v>Roof</v>
      </c>
      <c r="S2485">
        <f>$E$25</f>
        <v>33.171875</v>
      </c>
      <c r="T2485" cm="1">
        <f t="array" ref="T2485">IFERROR(IF(S2485=0,0,(INDEX($C$33:$C$38,MATCH($W$2462,$B$33:$B$38,0),0)*(S2485+$X$2462)+$V$2462*$C$31)*$R$2462),0)</f>
        <v>21491.71875</v>
      </c>
      <c r="U2485">
        <f>IF(S2485=0,0,-$V$2462*$C$31*$H$27*$R$2462)</f>
        <v>-37.583999999999996</v>
      </c>
      <c r="V2485">
        <f>IF(S2485=0,0,$V$2462*$H$26*$R$2462)</f>
        <v>-1328.1999999999998</v>
      </c>
      <c r="W2485">
        <f>(0.6*T2485+0.7*U2485)*$R$2462/2</f>
        <v>186596.47552499999</v>
      </c>
      <c r="X2485">
        <f>T2485*$R$2462/2</f>
        <v>311629.921875</v>
      </c>
      <c r="Z2485">
        <f>IF(S2485=0,0,$AD$2462*$AP$2457)</f>
        <v>191.83499999999995</v>
      </c>
      <c r="AA2485">
        <f>IFERROR(Z2485/$R$2462,0)</f>
        <v>6.6149999999999984</v>
      </c>
      <c r="AB2485">
        <f>Z2485*($F$25+($C$16+$C$17+IF($C$13="single",1.5,3)+3)/12)</f>
        <v>2263.0535156249989</v>
      </c>
      <c r="AC2485">
        <f>AB2485-W2485</f>
        <v>-184333.42200937498</v>
      </c>
      <c r="AD2485" cm="1">
        <f t="array" ref="AD2485">IFERROR(IF(AC2485&lt;0,0,AC2485/($R$2462-INDEX(hd_off,MATCH(AQ2485,hd_mark,0),0)/12)),0)</f>
        <v>0</v>
      </c>
      <c r="AE2485">
        <f>IF(S2485=0,0,$AD$2462*$AM$2457)</f>
        <v>3854.1</v>
      </c>
      <c r="AF2485">
        <f>IFERROR(AE2485/$R$2462,0)</f>
        <v>132.9</v>
      </c>
      <c r="AG2485">
        <f>AE2485*($F$25+($C$16+$C$17+IF($C$13="single",1.5,3)+3)/12)</f>
        <v>45466.335937499993</v>
      </c>
      <c r="AH2485">
        <f>AG2485-X2485</f>
        <v>-266163.5859375</v>
      </c>
      <c r="AI2485" cm="1">
        <f t="array" ref="AI2485">IFERROR(IF(AH2485&lt;0,0,AH2485/($R$2462-INDEX(hd_off,MATCH(AQ2485,hd_mark,0),0)/12)),0)</f>
        <v>0</v>
      </c>
      <c r="AJ2485">
        <f>MAX($F$25,$AC$2462)/$Q$2484</f>
        <v>0.29920977011494249</v>
      </c>
      <c r="AK2485">
        <f t="shared" si="1547"/>
        <v>1</v>
      </c>
      <c r="AL2485" cm="1">
        <f t="array" ref="AL2485">IFERROR(INDEX(sheath_ecap_asd,MATCH(AP2485,sheath_mark,0),0)*AK2485,0)</f>
        <v>95.285714285714306</v>
      </c>
      <c r="AM2485" cm="1">
        <f t="array" ref="AM2485">IFERROR(INDEX(sheath_wcap_asd,MATCH(AP2485,sheath_mark,0),0)*AK2485,0)</f>
        <v>133.4</v>
      </c>
      <c r="AN2485" cm="1">
        <f t="array" ref="AN2485">IFERROR(INDEX(hd_cap,MATCH(AQ2485,hd_mark,0),0),0)</f>
        <v>0</v>
      </c>
      <c r="AP2485" s="19">
        <v>11</v>
      </c>
      <c r="AQ2485" s="19"/>
      <c r="AR2485" s="100"/>
      <c r="AS2485" s="93"/>
      <c r="AT2485" s="109"/>
      <c r="AU2485" t="str">
        <f>$Q$2457</f>
        <v>Roof</v>
      </c>
      <c r="AV2485">
        <f>$E$25</f>
        <v>33.171875</v>
      </c>
      <c r="AW2485" cm="1">
        <f t="array" ref="AW2485">IFERROR(IF(AV2485=0,0,(INDEX($C$33:$C$38,MATCH($AZ$2462,$B$33:$B$38,0),0)*(AV2485+$BA$2462)+$AY$2462*$C$31)*$AU$2462),0)</f>
        <v>21491.71875</v>
      </c>
      <c r="AX2485">
        <f>IF(AV2485=0,0,-$AY$2462*$C$31*$H$27*$AU$2462)</f>
        <v>-37.583999999999996</v>
      </c>
      <c r="AY2485">
        <f>IF(AV2485=0,0,$AY$2462*$H$26*$AU$2462)</f>
        <v>-1328.1999999999998</v>
      </c>
      <c r="AZ2485">
        <f>(0.6*AW2485+0.7*AX2485)*$AU$2462/2</f>
        <v>186596.47552499999</v>
      </c>
      <c r="BA2485">
        <f>AW2485*$AU$2462/2</f>
        <v>311629.921875</v>
      </c>
      <c r="BC2485">
        <f>IF(AV2485=0,0,$BG$2462*$AP$2457)</f>
        <v>191.83499999999995</v>
      </c>
      <c r="BD2485">
        <f>IFERROR(BC2485/$AU$2462,0)</f>
        <v>6.6149999999999984</v>
      </c>
      <c r="BE2485">
        <f>BC2485*($F$25+($C$16+$C$17+IF($C$13="single",1.5,3)+3)/12)</f>
        <v>2263.0535156249989</v>
      </c>
      <c r="BF2485">
        <f>BE2485-AZ2485</f>
        <v>-184333.42200937498</v>
      </c>
      <c r="BG2485" cm="1">
        <f t="array" ref="BG2485">IFERROR(IF(BF2485&lt;0,0,BF2485/($AU$2462-INDEX(hd_off,MATCH(BT2485,hd_mark,0),0)/12)),0)</f>
        <v>0</v>
      </c>
      <c r="BH2485">
        <f>IF(AV2485=0,0,$BG$2462*$AM$2457)</f>
        <v>3854.1</v>
      </c>
      <c r="BI2485">
        <f>IFERROR(BH2485/$AU$2462,0)</f>
        <v>132.9</v>
      </c>
      <c r="BJ2485">
        <f>BH2485*($F$25+($C$16+$C$17+IF($C$13="single",1.5,3)+3)/12)</f>
        <v>45466.335937499993</v>
      </c>
      <c r="BK2485">
        <f>BJ2485-BA2485</f>
        <v>-266163.5859375</v>
      </c>
      <c r="BL2485" cm="1">
        <f t="array" ref="BL2485">IFERROR(IF(BK2485&lt;0,0,BK2485/($AU$2462-INDEX(hd_off,MATCH(BT2485,hd_mark,0),0)/12)),0)</f>
        <v>0</v>
      </c>
      <c r="BM2485">
        <f>MAX($F$25,$BF$2462)/$Q$2484</f>
        <v>0.29920977011494249</v>
      </c>
      <c r="BN2485">
        <f t="shared" si="1548"/>
        <v>1</v>
      </c>
      <c r="BO2485" cm="1">
        <f t="array" ref="BO2485">IFERROR(INDEX(sheath_ecap_asd,MATCH(BS2485,sheath_mark,0),0)*BN2485,0)</f>
        <v>95.285714285714306</v>
      </c>
      <c r="BP2485" cm="1">
        <f t="array" ref="BP2485">IFERROR(INDEX(sheath_wcap_asd,MATCH(BS2485,sheath_mark,0),0)*BN2485,0)</f>
        <v>133.4</v>
      </c>
      <c r="BQ2485" cm="1">
        <f t="array" ref="BQ2485">IFERROR(INDEX(hd_cap,MATCH(BT2485,hd_mark,0),0),0)</f>
        <v>0</v>
      </c>
      <c r="BS2485" s="19">
        <v>11</v>
      </c>
      <c r="BT2485" s="19"/>
      <c r="BU2485" s="100"/>
    </row>
    <row r="2486" x14ac:dyDescent="0.25">
      <c r="B2486" t="s">
        <v>461</v>
      </c>
      <c r="C2486" s="19">
        <v>6</v>
      </c>
      <c r="D2486" s="19">
        <v>29</v>
      </c>
      <c r="E2486">
        <f t="shared" si="1544"/>
        <v>35</v>
      </c>
      <c r="H2486">
        <v>13</v>
      </c>
      <c r="I2486" s="19">
        <v>14</v>
      </c>
      <c r="J2486" s="19">
        <v>12</v>
      </c>
      <c r="K2486">
        <f t="shared" si="1545"/>
        <v>26</v>
      </c>
      <c r="P2486" s="93"/>
      <c r="Q2486" s="109"/>
      <c r="AR2486" s="100"/>
      <c r="AS2486" s="93"/>
      <c r="AT2486" s="109"/>
      <c r="BU2486" s="100"/>
    </row>
    <row r="2487" x14ac:dyDescent="0.25">
      <c r="B2487" t="s">
        <v>462</v>
      </c>
      <c r="C2487" s="19">
        <v>29</v>
      </c>
      <c r="D2487" s="19">
        <v>0</v>
      </c>
      <c r="E2487">
        <f t="shared" si="1544"/>
        <v>29</v>
      </c>
      <c r="H2487">
        <v>14</v>
      </c>
      <c r="I2487" s="19">
        <v>12</v>
      </c>
      <c r="J2487" s="19">
        <v>27</v>
      </c>
      <c r="K2487">
        <f t="shared" si="1545"/>
        <v>39</v>
      </c>
      <c r="P2487" s="93"/>
      <c r="Q2487" s="110" t="str">
        <f>$Q$2463</f>
        <v>A.02</v>
      </c>
      <c r="R2487" t="str">
        <f>$Q$2453</f>
        <v>L2</v>
      </c>
      <c r="S2487">
        <f>$E$21</f>
        <v>10.6875</v>
      </c>
      <c r="T2487" cm="1">
        <f t="array" ref="T2487">IFERROR(IF(S2487=0,0,(INDEX($C$33:$C$38,MATCH($W$2463,$B$33:$B$38,0),0)*(S2491+$X$2463)+$T$2463*COUNTIF(S2487:S2490,"&gt;0")*$C$32+$V$2463*$C$31)*$R$2463),0)</f>
        <v>0</v>
      </c>
      <c r="U2487">
        <f>IF(S2487=0,0,-(COUNTIF(S2487:S2490,"&gt;0")*$T$2463*$C$32+$V$2463*$C$31)*$H$27*$R$2463)</f>
        <v>0</v>
      </c>
      <c r="V2487">
        <f>IF(S2487=0,0,$V$2463*$H$26*$R$2463)</f>
        <v>0</v>
      </c>
      <c r="W2487">
        <f>(0.6*T2487+0.7*U2487)*$R$2463/2</f>
        <v>0</v>
      </c>
      <c r="X2487">
        <f>(0.6*T2487+0.6*V2487)*$R$2463/2</f>
        <v>0</v>
      </c>
      <c r="Z2487">
        <f>IF(S2487=0,0,$AD$2463*$AP$2453)</f>
        <v>0</v>
      </c>
      <c r="AA2487">
        <f>IFERROR(Z2487/$R$2463,0)</f>
        <v>0</v>
      </c>
      <c r="AB2487">
        <f>Z2487*($F$21+IF($F$21=0,0,($C$14+$C$15+IF($C$13="single",1.5,3)+3)/12))</f>
        <v>0</v>
      </c>
      <c r="AC2487">
        <f>AB2487-W2487</f>
        <v>0</v>
      </c>
      <c r="AD2487" cm="1">
        <f t="array" ref="AD2487">IFERROR(IF(AC2487&lt;0,0,AC2487/($R$2463-INDEX(hd_off,MATCH(AQ2487,hd_mark,0),0)/12)),0)</f>
        <v>0</v>
      </c>
      <c r="AE2487">
        <f>IF(S2487=0,0,$AD$2463*$AM$2453)</f>
        <v>0</v>
      </c>
      <c r="AF2487">
        <f>IFERROR(AE2487/$R$2463,0)</f>
        <v>0</v>
      </c>
      <c r="AG2487">
        <f>AE2487*($F$21+IF($F$21=0,0,($C$14+$C$15+IF($C$13="single",1.5,3)+3)/12))</f>
        <v>0</v>
      </c>
      <c r="AH2487">
        <f>AG2487-X2487</f>
        <v>0</v>
      </c>
      <c r="AI2487" cm="1">
        <f t="array" ref="AI2487">IFERROR(IF(AH2487&lt;0,0,AH2487/($R$2463-INDEX(hd_off,MATCH(AQ2487,hd_mark,0),0)/12)),0)</f>
        <v>0</v>
      </c>
      <c r="AJ2487">
        <f>MAX($F$21,$Y$2463)/$Q$2484</f>
        <v>0.30172413793103448</v>
      </c>
      <c r="AK2487">
        <f>IF(AJ2487=0,0,IF(AJ2487&gt;2,1.25-0.125*AJ2487,1))</f>
        <v>1</v>
      </c>
      <c r="AL2487" cm="1">
        <f t="array" ref="AL2487">IFERROR(INDEX(sheath_ecap_asd,MATCH(AP2487,sheath_mark,0),0)*AK2487,0)</f>
        <v>0</v>
      </c>
      <c r="AM2487" cm="1">
        <f t="array" ref="AM2487">IFERROR(INDEX(sheath_wcap_asd,MATCH(AP2487,sheath_mark,0),0)*AK2487,0)</f>
        <v>0</v>
      </c>
      <c r="AN2487" cm="1">
        <f t="array" ref="AN2487">IFERROR(INDEX(hd_cap,MATCH(AQ2487,hd_mark,0),0),0)</f>
        <v>0</v>
      </c>
      <c r="AP2487" s="19"/>
      <c r="AQ2487" s="19"/>
      <c r="AR2487" s="100"/>
      <c r="AS2487" s="93"/>
      <c r="AT2487" s="110" t="str">
        <f>$AT$2463</f>
        <v>1.02</v>
      </c>
      <c r="AU2487" t="str">
        <f>$Q$2453</f>
        <v>L2</v>
      </c>
      <c r="AV2487">
        <f>$E$21</f>
        <v>10.6875</v>
      </c>
      <c r="AW2487" cm="1">
        <f t="array" ref="AW2487">IFERROR(IF(AV2487=0,0,(INDEX($C$33:$C$38,MATCH($AZ$2463,$B$33:$B$38,0),0)*(AV2491+$BA$2463)+$AW$2463*COUNTIF(AV2487:AV2490,"&gt;0")*$C$32+$AY$2463*$C$31)*$AU$2463),0)</f>
        <v>0</v>
      </c>
      <c r="AX2487">
        <f>IF(AV2487=0,0,-(COUNTIF(AV2487:AV2490,"&gt;0")*$AW$2463*$C$32+$AY$2463*$C$31)*$H$27*$AU$2463)</f>
        <v>0</v>
      </c>
      <c r="AY2487">
        <f>IF(AV2487=0,0,$AY$2463*$H$26*$AU$2463)</f>
        <v>0</v>
      </c>
      <c r="AZ2487">
        <f>(0.6*AW2487+0.7*AX2487)*$AU$2463/2</f>
        <v>0</v>
      </c>
      <c r="BA2487">
        <f>(0.6*AW2487+0.6*AY2487)*$AU$2463/2</f>
        <v>0</v>
      </c>
      <c r="BC2487">
        <f>IF(AV2487=0,0,$BG$2463*$AP$2453)</f>
        <v>0</v>
      </c>
      <c r="BD2487">
        <f>IFERROR(BC2487/$AU$2463,0)</f>
        <v>0</v>
      </c>
      <c r="BE2487">
        <f>BC2487*($F$21+IF($F$21=0,0,($C$14+$C$15+IF($C$13="single",1.5,3)+3)/12))</f>
        <v>0</v>
      </c>
      <c r="BF2487">
        <f>BE2487-AZ2487</f>
        <v>0</v>
      </c>
      <c r="BG2487" cm="1">
        <f t="array" ref="BG2487">IFERROR(IF(BF2487&lt;0,0,BF2487/($AU$2463-INDEX(hd_off,MATCH(BT2487,hd_mark,0),0)/12)),0)</f>
        <v>0</v>
      </c>
      <c r="BH2487">
        <f>IF(AV2487=0,0,$BG$2463*$AM$2453)</f>
        <v>0</v>
      </c>
      <c r="BI2487">
        <f>IFERROR(BH2487/$AU$2463,0)</f>
        <v>0</v>
      </c>
      <c r="BJ2487">
        <f>BH2487*($F$21+IF($F$21=0,0,($C$14+$C$15+IF($C$13="single",1.5,3)+3)/12))</f>
        <v>0</v>
      </c>
      <c r="BK2487">
        <f>BJ2487-BA2487</f>
        <v>0</v>
      </c>
      <c r="BL2487" cm="1">
        <f t="array" ref="BL2487">IFERROR(IF(BK2487&lt;0,0,BK2487/($AU$2463-INDEX(hd_off,MATCH(BT2487,hd_mark,0),0)/12)),0)</f>
        <v>0</v>
      </c>
      <c r="BM2487">
        <f>MAX($F$21,$BB$2463)/$Q$2484</f>
        <v>0.30172413793103448</v>
      </c>
      <c r="BN2487">
        <f>IF(BM2487=0,0,IF(BM2487&gt;2,1.25-0.125*BM2487,1))</f>
        <v>1</v>
      </c>
      <c r="BO2487" cm="1">
        <f t="array" ref="BO2487">IFERROR(INDEX(sheath_ecap_asd,MATCH(BS2487,sheath_mark,0),0)*BN2487,0)</f>
        <v>0</v>
      </c>
      <c r="BP2487" cm="1">
        <f t="array" ref="BP2487">IFERROR(INDEX(sheath_wcap_asd,MATCH(BS2487,sheath_mark,0),0)*BN2487,0)</f>
        <v>0</v>
      </c>
      <c r="BQ2487" cm="1">
        <f t="array" ref="BQ2487">IFERROR(INDEX(hd_cap,MATCH(BT2487,hd_mark,0),0),0)</f>
        <v>0</v>
      </c>
      <c r="BS2487" s="19"/>
      <c r="BT2487" s="19"/>
      <c r="BU2487" s="100"/>
    </row>
    <row r="2488" x14ac:dyDescent="0.25">
      <c r="B2488" t="s">
        <v>463</v>
      </c>
      <c r="C2488" s="19"/>
      <c r="D2488" s="19"/>
      <c r="E2488">
        <f t="shared" si="1544"/>
        <v>0</v>
      </c>
      <c r="H2488">
        <v>15</v>
      </c>
      <c r="I2488" s="19">
        <v>27</v>
      </c>
      <c r="J2488" s="19">
        <v>18</v>
      </c>
      <c r="K2488">
        <f t="shared" si="1545"/>
        <v>45</v>
      </c>
      <c r="P2488" s="93"/>
      <c r="Q2488" s="109"/>
      <c r="R2488" t="str">
        <f>$Q$2454</f>
        <v>L3</v>
      </c>
      <c r="S2488">
        <f>$E$22</f>
        <v>21.375</v>
      </c>
      <c r="T2488" cm="1">
        <f t="array" ref="T2488">IFERROR(IF(S2488=0,0,(INDEX($C$33:$C$38,MATCH($W$2463,$B$33:$B$38,0),0)*(S2491+$X$2463)+$T$2463*COUNTIF(S2488:S2490,"&gt;0")*$C$32+$V$2463*$C$31)*$R$2463),0)</f>
        <v>0</v>
      </c>
      <c r="U2488">
        <f>IF(S2488=0,0,-(COUNTIF(S2488:S2490,"&gt;0")*$T$2463*$C$32+$V$2463*$C$31)*$H$27*$R$2463)</f>
        <v>0</v>
      </c>
      <c r="V2488">
        <f>IF(S2488=0,0,$V$2463*$H$26*$R$2463)</f>
        <v>0</v>
      </c>
      <c r="W2488">
        <f>(0.6*T2488+0.7*U2488)*$R$2463/2</f>
        <v>0</v>
      </c>
      <c r="X2488">
        <f>T2488*$R$2463/2</f>
        <v>0</v>
      </c>
      <c r="Z2488">
        <f>IF(S2488=0,0,$AD$2463*$AP$2454)</f>
        <v>0</v>
      </c>
      <c r="AA2488">
        <f>IFERROR(Z2488/$R$2463,0)</f>
        <v>0</v>
      </c>
      <c r="AB2488">
        <f>Z2488*($F$22+IF($F$22=0,0,($C$14+$C$15+IF($C$13="single",1.5,3)+3)/12))</f>
        <v>0</v>
      </c>
      <c r="AC2488">
        <f>AB2488-W2488</f>
        <v>0</v>
      </c>
      <c r="AD2488" cm="1">
        <f t="array" ref="AD2488">IFERROR(IF(AC2488&lt;0,0,AC2488/($R$2463-INDEX(hd_off,MATCH(AQ2488,hd_mark,0),0)/12)),0)</f>
        <v>0</v>
      </c>
      <c r="AE2488">
        <f>IF(S2488=0,0,$AD$2463*$AM$2454)</f>
        <v>0</v>
      </c>
      <c r="AF2488">
        <f>IFERROR(AE2488/$R$2463,0)</f>
        <v>0</v>
      </c>
      <c r="AG2488">
        <f>AE2488*($F$22+IF($F$22=0,0,($C$14+$C$15+IF($C$13="single",1.5,3)+3)/12))</f>
        <v>0</v>
      </c>
      <c r="AH2488">
        <f>AG2488-X2488</f>
        <v>0</v>
      </c>
      <c r="AI2488" cm="1">
        <f t="array" ref="AI2488">IFERROR(IF(AH2488&lt;0,0,AH2488/($R$2463-INDEX(hd_off,MATCH(AQ2488,hd_mark,0),0)/12)),0)</f>
        <v>0</v>
      </c>
      <c r="AJ2488">
        <f>MAX($F$22,$Z$2463)/$Q$2484</f>
        <v>0.30172413793103448</v>
      </c>
      <c r="AK2488">
        <f t="shared" ref="AK2488:AK2491" si="1549">IF(AJ2488=0,0,IF(AJ2488&gt;2,1.25-0.125*AJ2488,1))</f>
        <v>1</v>
      </c>
      <c r="AL2488" cm="1">
        <f t="array" ref="AL2488">IFERROR(INDEX(sheath_ecap_asd,MATCH(AP2488,sheath_mark,0),0)*AK2488,0)</f>
        <v>0</v>
      </c>
      <c r="AM2488" cm="1">
        <f t="array" ref="AM2488">IFERROR(INDEX(sheath_wcap_asd,MATCH(AP2488,sheath_mark,0),0)*AK2488,0)</f>
        <v>0</v>
      </c>
      <c r="AN2488" cm="1">
        <f t="array" ref="AN2488">IFERROR(INDEX(hd_cap,MATCH(AQ2488,hd_mark,0),0),0)</f>
        <v>0</v>
      </c>
      <c r="AP2488" s="19"/>
      <c r="AQ2488" s="19"/>
      <c r="AR2488" s="100"/>
      <c r="AS2488" s="93"/>
      <c r="AT2488" s="109"/>
      <c r="AU2488" t="str">
        <f>$Q$2454</f>
        <v>L3</v>
      </c>
      <c r="AV2488">
        <f>$E$22</f>
        <v>21.375</v>
      </c>
      <c r="AW2488" cm="1">
        <f t="array" ref="AW2488">IFERROR(IF(AV2488=0,0,(INDEX($C$33:$C$38,MATCH($AZ$2463,$B$33:$B$38,0),0)*(AV2491+$BA$2463)+$AW$2463*COUNTIF(AV2488:AV2490,"&gt;0")*$C$32+$AY$2463*$C$31)*$AU$2463),0)</f>
        <v>0</v>
      </c>
      <c r="AX2488">
        <f>IF(AV2488=0,0,-(COUNTIF(AV2488:AV2490,"&gt;0")*$AW$2463*$C$32+$AY$2463*$C$31)*$H$27*$AU$2463)</f>
        <v>0</v>
      </c>
      <c r="AY2488">
        <f>IF(AV2488=0,0,$AY$2463*$H$26*$AU$2463)</f>
        <v>0</v>
      </c>
      <c r="AZ2488">
        <f>(0.6*AW2488+0.7*AX2488)*$AU$2463/2</f>
        <v>0</v>
      </c>
      <c r="BA2488">
        <f>AW2488*$AU$2463/2</f>
        <v>0</v>
      </c>
      <c r="BC2488">
        <f>IF(AV2488=0,0,$BG$2463*$AP$2454)</f>
        <v>0</v>
      </c>
      <c r="BD2488">
        <f>IFERROR(BC2488/$AU$2463,0)</f>
        <v>0</v>
      </c>
      <c r="BE2488">
        <f>BC2488*($F$22+IF($F$22=0,0,($C$14+$C$15+IF($C$13="single",1.5,3)+3)/12))</f>
        <v>0</v>
      </c>
      <c r="BF2488">
        <f>BE2488-AZ2488</f>
        <v>0</v>
      </c>
      <c r="BG2488" cm="1">
        <f t="array" ref="BG2488">IFERROR(IF(BF2488&lt;0,0,BF2488/($AU$2463-INDEX(hd_off,MATCH(BT2488,hd_mark,0),0)/12)),0)</f>
        <v>0</v>
      </c>
      <c r="BH2488">
        <f>IF(AV2488=0,0,$BG$2463*$AM$2454)</f>
        <v>0</v>
      </c>
      <c r="BI2488">
        <f>IFERROR(BH2488/$AU$2463,0)</f>
        <v>0</v>
      </c>
      <c r="BJ2488">
        <f>BH2488*($F$22+IF($F$22=0,0,($C$14+$C$15+IF($C$13="single",1.5,3)+3)/12))</f>
        <v>0</v>
      </c>
      <c r="BK2488">
        <f>BJ2488-BA2488</f>
        <v>0</v>
      </c>
      <c r="BL2488" cm="1">
        <f t="array" ref="BL2488">IFERROR(IF(BK2488&lt;0,0,BK2488/($AU$2463-INDEX(hd_off,MATCH(BT2488,hd_mark,0),0)/12)),0)</f>
        <v>0</v>
      </c>
      <c r="BM2488">
        <f>MAX($F$22,$BC$2463)/$Q$2484</f>
        <v>0.30172413793103448</v>
      </c>
      <c r="BN2488">
        <f t="shared" ref="BN2488:BN2491" si="1550">IF(BM2488=0,0,IF(BM2488&gt;2,1.25-0.125*BM2488,1))</f>
        <v>1</v>
      </c>
      <c r="BO2488" cm="1">
        <f t="array" ref="BO2488">IFERROR(INDEX(sheath_ecap_asd,MATCH(BS2488,sheath_mark,0),0)*BN2488,0)</f>
        <v>0</v>
      </c>
      <c r="BP2488" cm="1">
        <f t="array" ref="BP2488">IFERROR(INDEX(sheath_wcap_asd,MATCH(BS2488,sheath_mark,0),0)*BN2488,0)</f>
        <v>0</v>
      </c>
      <c r="BQ2488" cm="1">
        <f t="array" ref="BQ2488">IFERROR(INDEX(hd_cap,MATCH(BT2488,hd_mark,0),0),0)</f>
        <v>0</v>
      </c>
      <c r="BS2488" s="19"/>
      <c r="BT2488" s="19"/>
      <c r="BU2488" s="100"/>
    </row>
    <row r="2489" x14ac:dyDescent="0.25">
      <c r="B2489" t="s">
        <v>464</v>
      </c>
      <c r="C2489" s="19"/>
      <c r="D2489" s="19"/>
      <c r="E2489">
        <f t="shared" si="1544"/>
        <v>0</v>
      </c>
      <c r="H2489">
        <v>16</v>
      </c>
      <c r="I2489" s="19"/>
      <c r="J2489" s="19"/>
      <c r="K2489">
        <f t="shared" si="1545"/>
        <v>0</v>
      </c>
      <c r="P2489" s="93"/>
      <c r="Q2489" s="109" t="s">
        <v>491</v>
      </c>
      <c r="R2489" t="str">
        <f>$Q$2455</f>
        <v>L4</v>
      </c>
      <c r="S2489">
        <f>$E$23</f>
        <v>0</v>
      </c>
      <c r="T2489" cm="1">
        <f t="array" ref="T2489">IFERROR(IF(S2489=0,0,(INDEX($C$33:$C$38,MATCH($W$2463,$B$33:$B$38,0),0)*(S2491+$X$2463)+$T$2463*COUNTIF(S2489:S2490,"&gt;0")*$C$32+$V$2463*$C$31)*$R$2463),0)</f>
        <v>0</v>
      </c>
      <c r="U2489">
        <f>IF(S2489=0,0,-(COUNTIF(S2489:S2490,"&gt;0")*$T$2463*$C$32+$V$2463*$C$31)*$H$27*$R$2463)</f>
        <v>0</v>
      </c>
      <c r="V2489">
        <f>IF(S2489=0,0,$V$2463*$H$26*$R$2463)</f>
        <v>0</v>
      </c>
      <c r="W2489">
        <f>(0.6*T2489+0.7*U2489)*$R$2463/2</f>
        <v>0</v>
      </c>
      <c r="X2489">
        <f>T2489*$R$2463/2</f>
        <v>0</v>
      </c>
      <c r="Z2489">
        <f>IF(S2489=0,0,$AD$2463*$AP$2455)</f>
        <v>0</v>
      </c>
      <c r="AA2489">
        <f>IFERROR(Z2489/$R$2463,0)</f>
        <v>0</v>
      </c>
      <c r="AB2489">
        <f>Z2489*($F$23+IF($F$23=0,0,($C$14+$C$15+IF($C$13="single",1.5,3)+3)/12))</f>
        <v>0</v>
      </c>
      <c r="AC2489">
        <f>AB2489-W2489</f>
        <v>0</v>
      </c>
      <c r="AD2489" cm="1">
        <f t="array" ref="AD2489">IFERROR(IF(AC2489&lt;0,0,AC2489/($R$2463-INDEX(hd_off,MATCH(AQ2489,hd_mark,0),0)/12)),0)</f>
        <v>0</v>
      </c>
      <c r="AE2489">
        <f>IF(S2489=0,0,$AD$2463*$AM$2455)</f>
        <v>0</v>
      </c>
      <c r="AF2489">
        <f>IFERROR(AE2489/$R$2463,0)</f>
        <v>0</v>
      </c>
      <c r="AG2489">
        <f>AE2489*($F$23+IF($F$23=0,0,($C$14+$C$15+IF($C$13="single",1.5,3)+3)/12))</f>
        <v>0</v>
      </c>
      <c r="AH2489">
        <f>AG2489-X2489</f>
        <v>0</v>
      </c>
      <c r="AI2489" cm="1">
        <f t="array" ref="AI2489">IFERROR(IF(AH2489&lt;0,0,AH2489/($R$2463-INDEX(hd_off,MATCH(AQ2489,hd_mark,0),0)/12)),0)</f>
        <v>0</v>
      </c>
      <c r="AJ2489">
        <f>MAX($F$23,$AA$2463)/$Q$2484</f>
        <v>0</v>
      </c>
      <c r="AK2489">
        <f t="shared" si="1549"/>
        <v>0</v>
      </c>
      <c r="AL2489" cm="1">
        <f t="array" ref="AL2489">IFERROR(INDEX(sheath_ecap_asd,MATCH(AP2489,sheath_mark,0),0)*AK2489,0)</f>
        <v>0</v>
      </c>
      <c r="AM2489" cm="1">
        <f t="array" ref="AM2489">IFERROR(INDEX(sheath_wcap_asd,MATCH(AP2489,sheath_mark,0),0)*AK2489,0)</f>
        <v>0</v>
      </c>
      <c r="AN2489" cm="1">
        <f t="array" ref="AN2489">IFERROR(INDEX(hd_cap,MATCH(AQ2489,hd_mark,0),0),0)</f>
        <v>0</v>
      </c>
      <c r="AP2489" s="19"/>
      <c r="AQ2489" s="19"/>
      <c r="AR2489" s="100"/>
      <c r="AS2489" s="93"/>
      <c r="AT2489" s="109" t="s">
        <v>491</v>
      </c>
      <c r="AU2489" t="str">
        <f>$Q$2455</f>
        <v>L4</v>
      </c>
      <c r="AV2489">
        <f>$E$23</f>
        <v>0</v>
      </c>
      <c r="AW2489" cm="1">
        <f t="array" ref="AW2489">IFERROR(IF(AV2489=0,0,(INDEX($C$33:$C$38,MATCH($AZ$2463,$B$33:$B$38,0),0)*(AV2491+$BA$2463)+$AW$2463*COUNTIF(AV2489:AV2490,"&gt;0")*$C$32+$AY$2463*$C$31)*$AU$2463),0)</f>
        <v>0</v>
      </c>
      <c r="AX2489">
        <f>IF(AV2489=0,0,-(COUNTIF(AV2489:AV2490,"&gt;0")*$AW$2463*$C$32+$AY$2463*$C$31)*$H$27*$AU$2463)</f>
        <v>0</v>
      </c>
      <c r="AY2489">
        <f>IF(AV2489=0,0,$AY$2463*$H$26*$AU$2463)</f>
        <v>0</v>
      </c>
      <c r="AZ2489">
        <f>(0.6*AW2489+0.7*AX2489)*$AU$2463/2</f>
        <v>0</v>
      </c>
      <c r="BA2489">
        <f>AW2489*$AU$2463/2</f>
        <v>0</v>
      </c>
      <c r="BC2489">
        <f>IF(AV2489=0,0,$BG$2463*$AP$2455)</f>
        <v>0</v>
      </c>
      <c r="BD2489">
        <f>IFERROR(BC2489/$AU$2463,0)</f>
        <v>0</v>
      </c>
      <c r="BE2489">
        <f>BC2489*($F$23+IF($F$23=0,0,($C$14+$C$15+IF($C$13="single",1.5,3)+3)/12))</f>
        <v>0</v>
      </c>
      <c r="BF2489">
        <f>BE2489-AZ2489</f>
        <v>0</v>
      </c>
      <c r="BG2489" cm="1">
        <f t="array" ref="BG2489">IFERROR(IF(BF2489&lt;0,0,BF2489/($AU$2463-INDEX(hd_off,MATCH(BT2489,hd_mark,0),0)/12)),0)</f>
        <v>0</v>
      </c>
      <c r="BH2489">
        <f>IF(AV2489=0,0,$BG$2463*$AM$2455)</f>
        <v>0</v>
      </c>
      <c r="BI2489">
        <f>IFERROR(BH2489/$AU$2463,0)</f>
        <v>0</v>
      </c>
      <c r="BJ2489">
        <f>BH2489*($F$23+IF($F$23=0,0,($C$14+$C$15+IF($C$13="single",1.5,3)+3)/12))</f>
        <v>0</v>
      </c>
      <c r="BK2489">
        <f>BJ2489-BA2489</f>
        <v>0</v>
      </c>
      <c r="BL2489" cm="1">
        <f t="array" ref="BL2489">IFERROR(IF(BK2489&lt;0,0,BK2489/($AU$2463-INDEX(hd_off,MATCH(BT2489,hd_mark,0),0)/12)),0)</f>
        <v>0</v>
      </c>
      <c r="BM2489">
        <f>MAX($F$23,$BD$2463)/$Q$2484</f>
        <v>0</v>
      </c>
      <c r="BN2489">
        <f t="shared" si="1550"/>
        <v>0</v>
      </c>
      <c r="BO2489" cm="1">
        <f t="array" ref="BO2489">IFERROR(INDEX(sheath_ecap_asd,MATCH(BS2489,sheath_mark,0),0)*BN2489,0)</f>
        <v>0</v>
      </c>
      <c r="BP2489" cm="1">
        <f t="array" ref="BP2489">IFERROR(INDEX(sheath_wcap_asd,MATCH(BS2489,sheath_mark,0),0)*BN2489,0)</f>
        <v>0</v>
      </c>
      <c r="BQ2489" cm="1">
        <f t="array" ref="BQ2489">IFERROR(INDEX(hd_cap,MATCH(BT2489,hd_mark,0),0),0)</f>
        <v>0</v>
      </c>
      <c r="BS2489" s="19"/>
      <c r="BT2489" s="19"/>
      <c r="BU2489" s="100"/>
    </row>
    <row r="2490" x14ac:dyDescent="0.25">
      <c r="B2490" t="s">
        <v>465</v>
      </c>
      <c r="C2490" s="19"/>
      <c r="D2490" s="19"/>
      <c r="E2490">
        <f t="shared" si="1544"/>
        <v>0</v>
      </c>
      <c r="H2490">
        <v>17</v>
      </c>
      <c r="I2490" s="19"/>
      <c r="J2490" s="19"/>
      <c r="K2490">
        <f t="shared" si="1545"/>
        <v>0</v>
      </c>
      <c r="P2490" s="93"/>
      <c r="Q2490" s="111">
        <f>$R$2463</f>
        <v>0</v>
      </c>
      <c r="R2490" t="str">
        <f>$Q$2456</f>
        <v>L5</v>
      </c>
      <c r="S2490">
        <f>$E$24</f>
        <v>0</v>
      </c>
      <c r="T2490" cm="1">
        <f t="array" ref="T2490">IFERROR(IF(S2490=0,0,(INDEX($C$33:$C$38,MATCH($W$2463,$B$33:$B$38,0),0)*(S2491+$X$2463)+$T$2463*COUNTIF(S2490:S2490,"&gt;0")*$C$32+$V$2463*$C$31)*$R$2463),0)</f>
        <v>0</v>
      </c>
      <c r="U2490">
        <f>IF(S2490=0,0,-(COUNTIF(S2490:S2490,"&gt;0")*$T$2463*$C$32+$V$2463*$C$31)*$H$27*$R$2463)</f>
        <v>0</v>
      </c>
      <c r="V2490">
        <f>IF(S2490=0,0,$V$2463*$H$26*$R$2463)</f>
        <v>0</v>
      </c>
      <c r="W2490">
        <f>(0.6*T2490+0.7*U2490)*$R$2463/2</f>
        <v>0</v>
      </c>
      <c r="X2490">
        <f>T2490*$R$2463/2</f>
        <v>0</v>
      </c>
      <c r="Z2490">
        <f>IF(S2490=0,0,$AD$2463*$AP$2456)</f>
        <v>0</v>
      </c>
      <c r="AA2490">
        <f>IFERROR(Z2490/$R$2463,0)</f>
        <v>0</v>
      </c>
      <c r="AB2490">
        <f>Z2490*($F$24+IF($F$24=0,0,($C$14+$C$15+IF($C$13="single",1.5,3)+3)/12))</f>
        <v>0</v>
      </c>
      <c r="AC2490">
        <f>AB2490-W2490</f>
        <v>0</v>
      </c>
      <c r="AD2490" cm="1">
        <f t="array" ref="AD2490">IFERROR(IF(AC2490&lt;0,0,AC2490/($R$2463-INDEX(hd_off,MATCH(AQ2490,hd_mark,0),0)/12)),0)</f>
        <v>0</v>
      </c>
      <c r="AE2490">
        <f>IF(S2490=0,0,$AD$2463*$AM$2456)</f>
        <v>0</v>
      </c>
      <c r="AF2490">
        <f>IFERROR(AE2490/$R$2463,0)</f>
        <v>0</v>
      </c>
      <c r="AG2490">
        <f>AE2490*($F$24+IF($F$24=0,0,($C$14+$C$15+IF($C$13="single",1.5,3)+3)/12))</f>
        <v>0</v>
      </c>
      <c r="AH2490">
        <f>AG2490-X2490</f>
        <v>0</v>
      </c>
      <c r="AI2490" cm="1">
        <f t="array" ref="AI2490">IFERROR(IF(AH2490&lt;0,0,AH2490/($R$2463-INDEX(hd_off,MATCH(AQ2490,hd_mark,0),0)/12)),0)</f>
        <v>0</v>
      </c>
      <c r="AJ2490">
        <f>MAX($F$24,$AB$2463)/$Q$2484</f>
        <v>0</v>
      </c>
      <c r="AK2490">
        <f t="shared" si="1549"/>
        <v>0</v>
      </c>
      <c r="AL2490" cm="1">
        <f t="array" ref="AL2490">IFERROR(INDEX(sheath_ecap_asd,MATCH(AP2490,sheath_mark,0),0)*AK2490,0)</f>
        <v>0</v>
      </c>
      <c r="AM2490" cm="1">
        <f t="array" ref="AM2490">IFERROR(INDEX(sheath_wcap_asd,MATCH(AP2490,sheath_mark,0),0)*AK2490,0)</f>
        <v>0</v>
      </c>
      <c r="AN2490" cm="1">
        <f t="array" ref="AN2490">IFERROR(INDEX(hd_cap,MATCH(AQ2490,hd_mark,0),0),0)</f>
        <v>0</v>
      </c>
      <c r="AP2490" s="19"/>
      <c r="AQ2490" s="19"/>
      <c r="AR2490" s="100"/>
      <c r="AS2490" s="93"/>
      <c r="AT2490" s="111">
        <f>$R$2463</f>
        <v>0</v>
      </c>
      <c r="AU2490" t="str">
        <f>$Q$2456</f>
        <v>L5</v>
      </c>
      <c r="AV2490">
        <f>$E$24</f>
        <v>0</v>
      </c>
      <c r="AW2490" cm="1">
        <f t="array" ref="AW2490">IFERROR(IF(AV2490=0,0,(INDEX($C$33:$C$38,MATCH($AZ$2463,$B$33:$B$38,0),0)*(AV2491+$BA$2463)+$AW$2463*COUNTIF(AV2490:AV2490,"&gt;0")*$C$32+$AY$2463*$C$31)*$AU$2463),0)</f>
        <v>0</v>
      </c>
      <c r="AX2490">
        <f>IF(AV2490=0,0,-(COUNTIF(AV2490:AV2490,"&gt;0")*$AW$2463*$C$32+$AY$2463*$C$31)*$H$27*$AU$2463)</f>
        <v>0</v>
      </c>
      <c r="AY2490">
        <f>IF(AV2490=0,0,$AY$2463*$H$26*$AU$2463)</f>
        <v>0</v>
      </c>
      <c r="AZ2490">
        <f>(0.6*AW2490+0.7*AX2490)*$AU$2463/2</f>
        <v>0</v>
      </c>
      <c r="BA2490">
        <f>AW2490*$AU$2463/2</f>
        <v>0</v>
      </c>
      <c r="BC2490">
        <f>IF(AV2490=0,0,$BG$2463*$AP$2456)</f>
        <v>0</v>
      </c>
      <c r="BD2490">
        <f>IFERROR(BC2490/$AU$2463,0)</f>
        <v>0</v>
      </c>
      <c r="BE2490">
        <f>BC2490*($F$24+IF($F$24=0,0,($C$14+$C$15+IF($C$13="single",1.5,3)+3)/12))</f>
        <v>0</v>
      </c>
      <c r="BF2490">
        <f>BE2490-AZ2490</f>
        <v>0</v>
      </c>
      <c r="BG2490" cm="1">
        <f t="array" ref="BG2490">IFERROR(IF(BF2490&lt;0,0,BF2490/($AU$2463-INDEX(hd_off,MATCH(BT2490,hd_mark,0),0)/12)),0)</f>
        <v>0</v>
      </c>
      <c r="BH2490">
        <f>IF(AV2490=0,0,$BG$2463*$AM$2456)</f>
        <v>0</v>
      </c>
      <c r="BI2490">
        <f>IFERROR(BH2490/$AU$2463,0)</f>
        <v>0</v>
      </c>
      <c r="BJ2490">
        <f>BH2490*($F$24+IF($F$24=0,0,($C$14+$C$15+IF($C$13="single",1.5,3)+3)/12))</f>
        <v>0</v>
      </c>
      <c r="BK2490">
        <f>BJ2490-BA2490</f>
        <v>0</v>
      </c>
      <c r="BL2490" cm="1">
        <f t="array" ref="BL2490">IFERROR(IF(BK2490&lt;0,0,BK2490/($AU$2463-INDEX(hd_off,MATCH(BT2490,hd_mark,0),0)/12)),0)</f>
        <v>0</v>
      </c>
      <c r="BM2490">
        <f>MAX($F$24,$BE$2463)/$Q$2484</f>
        <v>0</v>
      </c>
      <c r="BN2490">
        <f t="shared" si="1550"/>
        <v>0</v>
      </c>
      <c r="BO2490" cm="1">
        <f t="array" ref="BO2490">IFERROR(INDEX(sheath_ecap_asd,MATCH(BS2490,sheath_mark,0),0)*BN2490,0)</f>
        <v>0</v>
      </c>
      <c r="BP2490" cm="1">
        <f t="array" ref="BP2490">IFERROR(INDEX(sheath_wcap_asd,MATCH(BS2490,sheath_mark,0),0)*BN2490,0)</f>
        <v>0</v>
      </c>
      <c r="BQ2490" cm="1">
        <f t="array" ref="BQ2490">IFERROR(INDEX(hd_cap,MATCH(BT2490,hd_mark,0),0),0)</f>
        <v>0</v>
      </c>
      <c r="BS2490" s="19"/>
      <c r="BT2490" s="19"/>
      <c r="BU2490" s="100"/>
    </row>
    <row r="2491" x14ac:dyDescent="0.25">
      <c r="B2491" t="s">
        <v>466</v>
      </c>
      <c r="C2491" s="19"/>
      <c r="D2491" s="19"/>
      <c r="E2491">
        <f t="shared" si="1544"/>
        <v>0</v>
      </c>
      <c r="H2491">
        <v>18</v>
      </c>
      <c r="I2491" s="19"/>
      <c r="J2491" s="19"/>
      <c r="K2491">
        <f t="shared" si="1545"/>
        <v>0</v>
      </c>
      <c r="P2491" s="93"/>
      <c r="Q2491" s="109"/>
      <c r="R2491" t="str">
        <f>$Q$2457</f>
        <v>Roof</v>
      </c>
      <c r="S2491">
        <f>$E$25</f>
        <v>33.171875</v>
      </c>
      <c r="T2491" cm="1">
        <f t="array" ref="T2491">IFERROR(IF(S2491=0,0,(INDEX($C$33:$C$38,MATCH($W$2463,$B$33:$B$38,0),0)*(S2491+$X$2463)+$V$2463*$C$31)*$R$2463),0)</f>
        <v>0</v>
      </c>
      <c r="U2491">
        <f>IF(S2491=0,0,-$V$2463*$C$31*$H$27*$R$2463)</f>
        <v>0</v>
      </c>
      <c r="V2491">
        <f>IF(S2491=0,0,$V$2463*$H$26*$R$2463)</f>
        <v>0</v>
      </c>
      <c r="W2491">
        <f>(0.6*T2491+0.7*U2491)*$R$2463/2</f>
        <v>0</v>
      </c>
      <c r="X2491">
        <f>T2491*$R$2463/2</f>
        <v>0</v>
      </c>
      <c r="Z2491">
        <f>IF(S2491=0,0,$AD$2463*$AP$2457)</f>
        <v>0</v>
      </c>
      <c r="AA2491">
        <f>IFERROR(Z2491/$R$2463,0)</f>
        <v>0</v>
      </c>
      <c r="AB2491">
        <f>Z2491*($F$25+($C$16+$C$17+IF($C$13="single",1.5,3)+3)/12)</f>
        <v>0</v>
      </c>
      <c r="AC2491">
        <f>AB2491-W2491</f>
        <v>0</v>
      </c>
      <c r="AD2491" cm="1">
        <f t="array" ref="AD2491">IFERROR(IF(AC2491&lt;0,0,AC2491/($R$2463-INDEX(hd_off,MATCH(AQ2491,hd_mark,0),0)/12)),0)</f>
        <v>0</v>
      </c>
      <c r="AE2491">
        <f>IF(S2491=0,0,$AD$2463*$AM$2457)</f>
        <v>0</v>
      </c>
      <c r="AF2491">
        <f>IFERROR(AE2491/$R$2463,0)</f>
        <v>0</v>
      </c>
      <c r="AG2491">
        <f>AE2491*($F$25+($C$16+$C$17+IF($C$13="single",1.5,3)+3)/12)</f>
        <v>0</v>
      </c>
      <c r="AH2491">
        <f>AG2491-X2491</f>
        <v>0</v>
      </c>
      <c r="AI2491" cm="1">
        <f t="array" ref="AI2491">IFERROR(IF(AH2491&lt;0,0,AH2491/($R$2463-INDEX(hd_off,MATCH(AQ2491,hd_mark,0),0)/12)),0)</f>
        <v>0</v>
      </c>
      <c r="AJ2491">
        <f>MAX($F$25,$AC$2463)/$Q$2484</f>
        <v>0.29920977011494249</v>
      </c>
      <c r="AK2491">
        <f t="shared" si="1549"/>
        <v>1</v>
      </c>
      <c r="AL2491" cm="1">
        <f t="array" ref="AL2491">IFERROR(INDEX(sheath_ecap_asd,MATCH(AP2491,sheath_mark,0),0)*AK2491,0)</f>
        <v>0</v>
      </c>
      <c r="AM2491" cm="1">
        <f t="array" ref="AM2491">IFERROR(INDEX(sheath_wcap_asd,MATCH(AP2491,sheath_mark,0),0)*AK2491,0)</f>
        <v>0</v>
      </c>
      <c r="AN2491" cm="1">
        <f t="array" ref="AN2491">IFERROR(INDEX(hd_cap,MATCH(AQ2491,hd_mark,0),0),0)</f>
        <v>0</v>
      </c>
      <c r="AP2491" s="19"/>
      <c r="AQ2491" s="19"/>
      <c r="AR2491" s="100"/>
      <c r="AS2491" s="93"/>
      <c r="AT2491" s="109"/>
      <c r="AU2491" t="str">
        <f>$Q$2457</f>
        <v>Roof</v>
      </c>
      <c r="AV2491">
        <f>$E$25</f>
        <v>33.171875</v>
      </c>
      <c r="AW2491" cm="1">
        <f t="array" ref="AW2491">IFERROR(IF(AV2491=0,0,(INDEX($C$33:$C$38,MATCH($AZ$2463,$B$33:$B$38,0),0)*(AV2491+$BA$2463)+$AY$2463*$C$31)*$AU$2463),0)</f>
        <v>0</v>
      </c>
      <c r="AX2491">
        <f>IF(AV2491=0,0,-$AY$2463*$C$31*$H$27*$AU$2463)</f>
        <v>0</v>
      </c>
      <c r="AY2491">
        <f>IF(AV2491=0,0,$AY$2463*$H$26*$AU$2463)</f>
        <v>0</v>
      </c>
      <c r="AZ2491">
        <f>(0.6*AW2491+0.7*AX2491)*$AU$2463/2</f>
        <v>0</v>
      </c>
      <c r="BA2491">
        <f>AW2491*$AU$2463/2</f>
        <v>0</v>
      </c>
      <c r="BC2491">
        <f>IF(AV2491=0,0,$BG$2463*$AP$2457)</f>
        <v>0</v>
      </c>
      <c r="BD2491">
        <f>IFERROR(BC2491/$AU$2463,0)</f>
        <v>0</v>
      </c>
      <c r="BE2491">
        <f>BC2491*($F$25+($C$16+$C$17+IF($C$13="single",1.5,3)+3)/12)</f>
        <v>0</v>
      </c>
      <c r="BF2491">
        <f>BE2491-AZ2491</f>
        <v>0</v>
      </c>
      <c r="BG2491" cm="1">
        <f t="array" ref="BG2491">IFERROR(IF(BF2491&lt;0,0,BF2491/($AU$2463-INDEX(hd_off,MATCH(BT2491,hd_mark,0),0)/12)),0)</f>
        <v>0</v>
      </c>
      <c r="BH2491">
        <f>IF(AV2491=0,0,$BG$2463*$AM$2457)</f>
        <v>0</v>
      </c>
      <c r="BI2491">
        <f>IFERROR(BH2491/$AU$2463,0)</f>
        <v>0</v>
      </c>
      <c r="BJ2491">
        <f>BH2491*($F$25+($C$16+$C$17+IF($C$13="single",1.5,3)+3)/12)</f>
        <v>0</v>
      </c>
      <c r="BK2491">
        <f>BJ2491-BA2491</f>
        <v>0</v>
      </c>
      <c r="BL2491" cm="1">
        <f t="array" ref="BL2491">IFERROR(IF(BK2491&lt;0,0,BK2491/($AU$2463-INDEX(hd_off,MATCH(BT2491,hd_mark,0),0)/12)),0)</f>
        <v>0</v>
      </c>
      <c r="BM2491">
        <f>MAX($F$25,$BF$2463)/$Q$2484</f>
        <v>0.29920977011494249</v>
      </c>
      <c r="BN2491">
        <f t="shared" si="1550"/>
        <v>1</v>
      </c>
      <c r="BO2491" cm="1">
        <f t="array" ref="BO2491">IFERROR(INDEX(sheath_ecap_asd,MATCH(BS2491,sheath_mark,0),0)*BN2491,0)</f>
        <v>0</v>
      </c>
      <c r="BP2491" cm="1">
        <f t="array" ref="BP2491">IFERROR(INDEX(sheath_wcap_asd,MATCH(BS2491,sheath_mark,0),0)*BN2491,0)</f>
        <v>0</v>
      </c>
      <c r="BQ2491" cm="1">
        <f t="array" ref="BQ2491">IFERROR(INDEX(hd_cap,MATCH(BT2491,hd_mark,0),0),0)</f>
        <v>0</v>
      </c>
      <c r="BS2491" s="19"/>
      <c r="BT2491" s="19"/>
      <c r="BU2491" s="100"/>
    </row>
    <row r="2492" x14ac:dyDescent="0.25">
      <c r="B2492" t="s">
        <v>467</v>
      </c>
      <c r="C2492" s="19"/>
      <c r="D2492" s="19"/>
      <c r="E2492">
        <f t="shared" si="1544"/>
        <v>0</v>
      </c>
      <c r="H2492">
        <v>19</v>
      </c>
      <c r="I2492" s="19"/>
      <c r="J2492" s="19"/>
      <c r="K2492">
        <f t="shared" si="1545"/>
        <v>0</v>
      </c>
      <c r="P2492" s="93"/>
      <c r="AR2492" s="100"/>
      <c r="AS2492" s="93"/>
      <c r="BU2492" s="100"/>
    </row>
    <row r="2493" x14ac:dyDescent="0.25">
      <c r="B2493" t="s">
        <v>468</v>
      </c>
      <c r="C2493" s="19"/>
      <c r="D2493" s="19"/>
      <c r="E2493">
        <f t="shared" si="1544"/>
        <v>0</v>
      </c>
      <c r="H2493">
        <v>20</v>
      </c>
      <c r="I2493" s="19"/>
      <c r="J2493" s="19"/>
      <c r="K2493">
        <f t="shared" si="1545"/>
        <v>0</v>
      </c>
      <c r="P2493" s="93"/>
      <c r="Q2493" s="110" t="str">
        <f>$Q$2464</f>
        <v>A.03</v>
      </c>
      <c r="R2493" t="str">
        <f>$Q$2453</f>
        <v>L2</v>
      </c>
      <c r="S2493">
        <f>$E$21</f>
        <v>10.6875</v>
      </c>
      <c r="T2493" cm="1">
        <f t="array" ref="T2493">IFERROR(IF(S2493=0,0,(INDEX($C$33:$C$38,MATCH($W$2464,$B$33:$B$38,0),0)*(S2497+$X$2464)+$T$2464*COUNTIF(S2493:S2496,"&gt;0")*$C$32+$V$2464*$C$31)*$R$2464),0)</f>
        <v>0</v>
      </c>
      <c r="U2493">
        <f>IF(S2493=0,0,-(COUNTIF(S2493:S2496,"&gt;0")*$T$2464*$C$32+$V$2464*$C$31)*$H$27*$R$2464)</f>
        <v>0</v>
      </c>
      <c r="V2493">
        <f>IF(S2493=0,0,$V$2464*$H$26*$R$2464)</f>
        <v>0</v>
      </c>
      <c r="W2493">
        <f>(0.6*T2493+0.7*U2493)*$R$2464/2</f>
        <v>0</v>
      </c>
      <c r="X2493">
        <f>(0.6*T2493+0.6*V2493)*$R$2464/2</f>
        <v>0</v>
      </c>
      <c r="Z2493">
        <f>IF(S2493=0,0,$AD$2464*$AP$2453)</f>
        <v>0</v>
      </c>
      <c r="AA2493">
        <f>IFERROR(Z2493/$R$2464,0)</f>
        <v>0</v>
      </c>
      <c r="AB2493">
        <f>Z2493*($F$21+IF($F$21=0,0,($C$14+$C$15+IF($C$13="single",1.5,3)+3)/12))</f>
        <v>0</v>
      </c>
      <c r="AC2493">
        <f>AB2493-W2493</f>
        <v>0</v>
      </c>
      <c r="AD2493" cm="1">
        <f t="array" ref="AD2493">IFERROR(IF(AC2493&lt;0,0,AC2493/($R$2464-INDEX(hd_off,MATCH(AQ2493,hd_mark,0),0)/12)),0)</f>
        <v>0</v>
      </c>
      <c r="AE2493">
        <f>IF(S2493=0,0,$AD$2464*$AM$2453)</f>
        <v>0</v>
      </c>
      <c r="AF2493">
        <f>IFERROR(AE2493/$R$2464,0)</f>
        <v>0</v>
      </c>
      <c r="AG2493">
        <f>AE2493*($F$21+IF($F$21=0,0,($C$14+$C$15+IF($C$13="single",1.5,3)+3)/12))</f>
        <v>0</v>
      </c>
      <c r="AH2493">
        <f>AG2493-X2493</f>
        <v>0</v>
      </c>
      <c r="AI2493" cm="1">
        <f t="array" ref="AI2493">IFERROR(IF(AH2493&lt;0,0,AH2493/($R$2464-INDEX(hd_off,MATCH(AQ2493,hd_mark,0),0)/12)),0)</f>
        <v>0</v>
      </c>
      <c r="AJ2493">
        <f>MAX($F$21,$Y$2464)/$Q$2484</f>
        <v>0.30172413793103448</v>
      </c>
      <c r="AK2493">
        <f>IF(AJ2493=0,0,IF(AJ2493&gt;2,1.25-0.125*AJ2493,1))</f>
        <v>1</v>
      </c>
      <c r="AL2493" cm="1">
        <f t="array" ref="AL2493">IFERROR(INDEX(sheath_ecap_asd,MATCH(AP2493,sheath_mark,0),0)*AK2493,0)</f>
        <v>0</v>
      </c>
      <c r="AM2493" cm="1">
        <f t="array" ref="AM2493">IFERROR(INDEX(sheath_wcap_asd,MATCH(AP2493,sheath_mark,0),0)*AK2493,0)</f>
        <v>0</v>
      </c>
      <c r="AN2493" cm="1">
        <f t="array" ref="AN2493">IFERROR(INDEX(hd_cap,MATCH(AQ2493,hd_mark,0),0),0)</f>
        <v>0</v>
      </c>
      <c r="AP2493" s="19"/>
      <c r="AQ2493" s="19"/>
      <c r="AR2493" s="100"/>
      <c r="AS2493" s="93"/>
      <c r="AT2493" s="110" t="str">
        <f>$AT$2464</f>
        <v>1.03</v>
      </c>
      <c r="AU2493" t="str">
        <f>$Q$2453</f>
        <v>L2</v>
      </c>
      <c r="AV2493">
        <f>$E$21</f>
        <v>10.6875</v>
      </c>
      <c r="AW2493" cm="1">
        <f t="array" ref="AW2493">IFERROR(IF(AV2493=0,0,(INDEX($C$33:$C$38,MATCH($AZ$2464,$B$33:$B$38,0),0)*(AV2497+$BA$2464)+$AW$2464*COUNTIF(AV2493:AV2496,"&gt;0")*$C$32+$AY$2464*$C$31)*$AU$2464),0)</f>
        <v>0</v>
      </c>
      <c r="AX2493">
        <f>IF(AV2493=0,0,-(COUNTIF(AV2493:AV2496,"&gt;0")*$AW$2464*$C$32+$AY$2464*$C$31)*$H$27*$AU$2464)</f>
        <v>0</v>
      </c>
      <c r="AY2493">
        <f>IF(AV2493=0,0,$AY$2464*$H$26*$AU$2464)</f>
        <v>0</v>
      </c>
      <c r="AZ2493">
        <f>(0.6*AW2493+0.7*AX2493)*$AU$2464/2</f>
        <v>0</v>
      </c>
      <c r="BA2493">
        <f>(0.6*AW2493+0.6*AY2493)*$AU$2464/2</f>
        <v>0</v>
      </c>
      <c r="BC2493">
        <f>IF(AV2493=0,0,$BG$2464*$AP$2453)</f>
        <v>0</v>
      </c>
      <c r="BD2493">
        <f>IFERROR(BC2493/$AU$2464,0)</f>
        <v>0</v>
      </c>
      <c r="BE2493">
        <f>BC2493*($F$21+IF($F$21=0,0,($C$14+$C$15+IF($C$13="single",1.5,3)+3)/12))</f>
        <v>0</v>
      </c>
      <c r="BF2493">
        <f>BE2493-AZ2493</f>
        <v>0</v>
      </c>
      <c r="BG2493" cm="1">
        <f t="array" ref="BG2493">IFERROR(IF(BF2493&lt;0,0,BF2493/($AU$2464-INDEX(hd_off,MATCH(BT2493,hd_mark,0),0)/12)),0)</f>
        <v>0</v>
      </c>
      <c r="BH2493">
        <f>IF(AV2493=0,0,$BG$2464*$AM$2453)</f>
        <v>0</v>
      </c>
      <c r="BI2493">
        <f>IFERROR(BH2493/$AU$2464,0)</f>
        <v>0</v>
      </c>
      <c r="BJ2493">
        <f>BH2493*($F$21+IF($F$21=0,0,($C$14+$C$15+IF($C$13="single",1.5,3)+3)/12))</f>
        <v>0</v>
      </c>
      <c r="BK2493">
        <f>BJ2493-BA2493</f>
        <v>0</v>
      </c>
      <c r="BL2493" cm="1">
        <f t="array" ref="BL2493">IFERROR(IF(BK2493&lt;0,0,BK2493/($AU$2464-INDEX(hd_off,MATCH(BT2493,hd_mark,0),0)/12)),0)</f>
        <v>0</v>
      </c>
      <c r="BM2493">
        <f>MAX($F$21,$BB$2464)/$Q$2484</f>
        <v>0.30172413793103448</v>
      </c>
      <c r="BN2493">
        <f>IF(BM2493=0,0,IF(BM2493&gt;2,1.25-0.125*BM2493,1))</f>
        <v>1</v>
      </c>
      <c r="BO2493" cm="1">
        <f t="array" ref="BO2493">IFERROR(INDEX(sheath_ecap_asd,MATCH(BS2493,sheath_mark,0),0)*BN2493,0)</f>
        <v>0</v>
      </c>
      <c r="BP2493" cm="1">
        <f t="array" ref="BP2493">IFERROR(INDEX(sheath_wcap_asd,MATCH(BS2493,sheath_mark,0),0)*BN2493,0)</f>
        <v>0</v>
      </c>
      <c r="BQ2493" cm="1">
        <f t="array" ref="BQ2493">IFERROR(INDEX(hd_cap,MATCH(BT2493,hd_mark,0),0),0)</f>
        <v>0</v>
      </c>
      <c r="BS2493" s="19"/>
      <c r="BT2493" s="19"/>
      <c r="BU2493" s="100"/>
    </row>
    <row r="2494" x14ac:dyDescent="0.25">
      <c r="B2494" t="s">
        <v>469</v>
      </c>
      <c r="C2494" s="19"/>
      <c r="D2494" s="19"/>
      <c r="E2494">
        <f t="shared" si="1544"/>
        <v>0</v>
      </c>
      <c r="H2494">
        <v>21</v>
      </c>
      <c r="I2494" s="19"/>
      <c r="J2494" s="19"/>
      <c r="K2494">
        <f t="shared" si="1545"/>
        <v>0</v>
      </c>
      <c r="P2494" s="93"/>
      <c r="Q2494" s="109"/>
      <c r="R2494" t="str">
        <f>$Q$2454</f>
        <v>L3</v>
      </c>
      <c r="S2494">
        <f>$E$22</f>
        <v>21.375</v>
      </c>
      <c r="T2494" cm="1">
        <f t="array" ref="T2494">IFERROR(IF(S2494=0,0,(INDEX($C$33:$C$38,MATCH($W$2464,$B$33:$B$38,0),0)*(S2497+$X$2464)+$T$2464*COUNTIF(S2494:S2496,"&gt;0")*$C$32+$V$2464*$C$31)*$R$2464),0)</f>
        <v>0</v>
      </c>
      <c r="U2494">
        <f>IF(S2494=0,0,-(COUNTIF(S2494:S2496,"&gt;0")*$T$2464*$C$32+$V$2464*$C$31)*$H$27*$R$2464)</f>
        <v>0</v>
      </c>
      <c r="V2494">
        <f>IF(S2494=0,0,$V$2464*$H$26*$R$2464)</f>
        <v>0</v>
      </c>
      <c r="W2494">
        <f>(0.6*T2494+0.7*U2494)*$R$2464/2</f>
        <v>0</v>
      </c>
      <c r="X2494">
        <f>T2494*$R$2464/2</f>
        <v>0</v>
      </c>
      <c r="Z2494">
        <f>IF(S2494=0,0,$AD$2464*$AP$2454)</f>
        <v>0</v>
      </c>
      <c r="AA2494">
        <f>IFERROR(Z2494/$R$2464,0)</f>
        <v>0</v>
      </c>
      <c r="AB2494">
        <f>Z2494*($F$22+IF($F$22=0,0,($C$14+$C$15+IF($C$13="single",1.5,3)+3)/12))</f>
        <v>0</v>
      </c>
      <c r="AC2494">
        <f>AB2494-W2494</f>
        <v>0</v>
      </c>
      <c r="AD2494" cm="1">
        <f t="array" ref="AD2494">IFERROR(IF(AC2494&lt;0,0,AC2494/($R$2464-INDEX(hd_off,MATCH(AQ2494,hd_mark,0),0)/12)),0)</f>
        <v>0</v>
      </c>
      <c r="AE2494">
        <f>IF(S2494=0,0,$AD$2464*$AM$2454)</f>
        <v>0</v>
      </c>
      <c r="AF2494">
        <f>IFERROR(AE2494/$R$2464,0)</f>
        <v>0</v>
      </c>
      <c r="AG2494">
        <f>AE2494*($F$22+IF($F$22=0,0,($C$14+$C$15+IF($C$13="single",1.5,3)+3)/12))</f>
        <v>0</v>
      </c>
      <c r="AH2494">
        <f>AG2494-X2494</f>
        <v>0</v>
      </c>
      <c r="AI2494" cm="1">
        <f t="array" ref="AI2494">IFERROR(IF(AH2494&lt;0,0,AH2494/($R$2464-INDEX(hd_off,MATCH(AQ2494,hd_mark,0),0)/12)),0)</f>
        <v>0</v>
      </c>
      <c r="AJ2494">
        <f>MAX($F$22,$Z$2464)/$Q$2484</f>
        <v>0.30172413793103448</v>
      </c>
      <c r="AK2494">
        <f t="shared" ref="AK2494:AK2497" si="1551">IF(AJ2494=0,0,IF(AJ2494&gt;2,1.25-0.125*AJ2494,1))</f>
        <v>1</v>
      </c>
      <c r="AL2494" cm="1">
        <f t="array" ref="AL2494">IFERROR(INDEX(sheath_ecap_asd,MATCH(AP2494,sheath_mark,0),0)*AK2494,0)</f>
        <v>0</v>
      </c>
      <c r="AM2494" cm="1">
        <f t="array" ref="AM2494">IFERROR(INDEX(sheath_wcap_asd,MATCH(AP2494,sheath_mark,0),0)*AK2494,0)</f>
        <v>0</v>
      </c>
      <c r="AN2494" cm="1">
        <f t="array" ref="AN2494">IFERROR(INDEX(hd_cap,MATCH(AQ2494,hd_mark,0),0),0)</f>
        <v>0</v>
      </c>
      <c r="AP2494" s="19"/>
      <c r="AQ2494" s="19"/>
      <c r="AR2494" s="100"/>
      <c r="AS2494" s="93"/>
      <c r="AT2494" s="109"/>
      <c r="AU2494" t="str">
        <f>$Q$2454</f>
        <v>L3</v>
      </c>
      <c r="AV2494">
        <f>$E$22</f>
        <v>21.375</v>
      </c>
      <c r="AW2494" cm="1">
        <f t="array" ref="AW2494">IFERROR(IF(AV2494=0,0,(INDEX($C$33:$C$38,MATCH($AZ$2464,$B$33:$B$38,0),0)*(AV2497+$BA$2464)+$AW$2464*COUNTIF(AV2494:AV2496,"&gt;0")*$C$32+$AY$2464*$C$31)*$AU$2464),0)</f>
        <v>0</v>
      </c>
      <c r="AX2494">
        <f>IF(AV2494=0,0,-(COUNTIF(AV2494:AV2496,"&gt;0")*$AW$2464*$C$32+$AY$2464*$C$31)*$H$27*$AU$2464)</f>
        <v>0</v>
      </c>
      <c r="AY2494">
        <f>IF(AV2494=0,0,$AY$2464*$H$26*$AU$2464)</f>
        <v>0</v>
      </c>
      <c r="AZ2494">
        <f>(0.6*AW2494+0.7*AX2494)*$AU$2464/2</f>
        <v>0</v>
      </c>
      <c r="BA2494">
        <f>AW2494*$AU$2464/2</f>
        <v>0</v>
      </c>
      <c r="BC2494">
        <f>IF(AV2494=0,0,$BG$2464*$AP$2454)</f>
        <v>0</v>
      </c>
      <c r="BD2494">
        <f>IFERROR(BC2494/$AU$2464,0)</f>
        <v>0</v>
      </c>
      <c r="BE2494">
        <f>BC2494*($F$22+IF($F$22=0,0,($C$14+$C$15+IF($C$13="single",1.5,3)+3)/12))</f>
        <v>0</v>
      </c>
      <c r="BF2494">
        <f>BE2494-AZ2494</f>
        <v>0</v>
      </c>
      <c r="BG2494" cm="1">
        <f t="array" ref="BG2494">IFERROR(IF(BF2494&lt;0,0,BF2494/($AU$2464-INDEX(hd_off,MATCH(BT2494,hd_mark,0),0)/12)),0)</f>
        <v>0</v>
      </c>
      <c r="BH2494">
        <f>IF(AV2494=0,0,$BG$2464*$AM$2454)</f>
        <v>0</v>
      </c>
      <c r="BI2494">
        <f>IFERROR(BH2494/$AU$2464,0)</f>
        <v>0</v>
      </c>
      <c r="BJ2494">
        <f>BH2494*($F$22+IF($F$22=0,0,($C$14+$C$15+IF($C$13="single",1.5,3)+3)/12))</f>
        <v>0</v>
      </c>
      <c r="BK2494">
        <f>BJ2494-BA2494</f>
        <v>0</v>
      </c>
      <c r="BL2494" cm="1">
        <f t="array" ref="BL2494">IFERROR(IF(BK2494&lt;0,0,BK2494/($AU$2464-INDEX(hd_off,MATCH(BT2494,hd_mark,0),0)/12)),0)</f>
        <v>0</v>
      </c>
      <c r="BM2494">
        <f>MAX($F$22,$BC$2464)/$Q$2484</f>
        <v>0.30172413793103448</v>
      </c>
      <c r="BN2494">
        <f t="shared" ref="BN2494:BN2497" si="1552">IF(BM2494=0,0,IF(BM2494&gt;2,1.25-0.125*BM2494,1))</f>
        <v>1</v>
      </c>
      <c r="BO2494" cm="1">
        <f t="array" ref="BO2494">IFERROR(INDEX(sheath_ecap_asd,MATCH(BS2494,sheath_mark,0),0)*BN2494,0)</f>
        <v>0</v>
      </c>
      <c r="BP2494" cm="1">
        <f t="array" ref="BP2494">IFERROR(INDEX(sheath_wcap_asd,MATCH(BS2494,sheath_mark,0),0)*BN2494,0)</f>
        <v>0</v>
      </c>
      <c r="BQ2494" cm="1">
        <f t="array" ref="BQ2494">IFERROR(INDEX(hd_cap,MATCH(BT2494,hd_mark,0),0),0)</f>
        <v>0</v>
      </c>
      <c r="BS2494" s="19"/>
      <c r="BT2494" s="19"/>
      <c r="BU2494" s="100"/>
    </row>
    <row r="2495" x14ac:dyDescent="0.25">
      <c r="B2495" t="s">
        <v>285</v>
      </c>
      <c r="C2495" s="19"/>
      <c r="D2495" s="19"/>
      <c r="E2495">
        <f t="shared" si="1544"/>
        <v>0</v>
      </c>
      <c r="H2495">
        <v>22</v>
      </c>
      <c r="I2495" s="19"/>
      <c r="J2495" s="19"/>
      <c r="K2495">
        <f t="shared" si="1545"/>
        <v>0</v>
      </c>
      <c r="P2495" s="93"/>
      <c r="Q2495" s="109" t="s">
        <v>491</v>
      </c>
      <c r="R2495" t="str">
        <f>$Q$2455</f>
        <v>L4</v>
      </c>
      <c r="S2495">
        <f>$E$23</f>
        <v>0</v>
      </c>
      <c r="T2495" cm="1">
        <f t="array" ref="T2495">IFERROR(IF(S2495=0,0,(INDEX($C$33:$C$38,MATCH($W$2464,$B$33:$B$38,0),0)*(S2497+$X$2464)+$T$2464*COUNTIF(S2495:S2496,"&gt;0")*$C$32+$V$2464*$C$31)*$R$2464),0)</f>
        <v>0</v>
      </c>
      <c r="U2495">
        <f>IF(S2495=0,0,-(COUNTIF(S2495:S2496,"&gt;0")*$T$2464*$C$32+$V$2464*$C$31)*$H$27*$R$2464)</f>
        <v>0</v>
      </c>
      <c r="V2495">
        <f>IF(S2495=0,0,$V$2464*$H$26*$R$2464)</f>
        <v>0</v>
      </c>
      <c r="W2495">
        <f>(0.6*T2495+0.7*U2495)*$R$2464/2</f>
        <v>0</v>
      </c>
      <c r="X2495">
        <f>T2495*$R$2464/2</f>
        <v>0</v>
      </c>
      <c r="Z2495">
        <f>IF(S2495=0,0,$AD$2464*$AP$2455)</f>
        <v>0</v>
      </c>
      <c r="AA2495">
        <f>IFERROR(Z2495/$R$2464,0)</f>
        <v>0</v>
      </c>
      <c r="AB2495">
        <f>Z2495*($F$23+IF($F$23=0,0,($C$14+$C$15+IF($C$13="single",1.5,3)+3)/12))</f>
        <v>0</v>
      </c>
      <c r="AC2495">
        <f>AB2495-W2495</f>
        <v>0</v>
      </c>
      <c r="AD2495" cm="1">
        <f t="array" ref="AD2495">IFERROR(IF(AC2495&lt;0,0,AC2495/($R$2464-INDEX(hd_off,MATCH(AQ2495,hd_mark,0),0)/12)),0)</f>
        <v>0</v>
      </c>
      <c r="AE2495">
        <f>IF(S2495=0,0,$AD$2464*$AM$2455)</f>
        <v>0</v>
      </c>
      <c r="AF2495">
        <f>IFERROR(AE2495/$R$2464,0)</f>
        <v>0</v>
      </c>
      <c r="AG2495">
        <f>AE2495*($F$23+IF($F$23=0,0,($C$14+$C$15+IF($C$13="single",1.5,3)+3)/12))</f>
        <v>0</v>
      </c>
      <c r="AH2495">
        <f>AG2495-X2495</f>
        <v>0</v>
      </c>
      <c r="AI2495" cm="1">
        <f t="array" ref="AI2495">IFERROR(IF(AH2495&lt;0,0,AH2495/($R$2464-INDEX(hd_off,MATCH(AQ2495,hd_mark,0),0)/12)),0)</f>
        <v>0</v>
      </c>
      <c r="AJ2495">
        <f>MAX($F$23,$AA$2464)/$Q$2484</f>
        <v>0</v>
      </c>
      <c r="AK2495">
        <f t="shared" si="1551"/>
        <v>0</v>
      </c>
      <c r="AL2495" cm="1">
        <f t="array" ref="AL2495">IFERROR(INDEX(sheath_ecap_asd,MATCH(AP2495,sheath_mark,0),0)*AK2495,0)</f>
        <v>0</v>
      </c>
      <c r="AM2495" cm="1">
        <f t="array" ref="AM2495">IFERROR(INDEX(sheath_wcap_asd,MATCH(AP2495,sheath_mark,0),0)*AK2495,0)</f>
        <v>0</v>
      </c>
      <c r="AN2495" cm="1">
        <f t="array" ref="AN2495">IFERROR(INDEX(hd_cap,MATCH(AQ2495,hd_mark,0),0),0)</f>
        <v>0</v>
      </c>
      <c r="AP2495" s="19"/>
      <c r="AQ2495" s="19"/>
      <c r="AR2495" s="100"/>
      <c r="AS2495" s="93"/>
      <c r="AT2495" s="109" t="s">
        <v>491</v>
      </c>
      <c r="AU2495" t="str">
        <f>$Q$2455</f>
        <v>L4</v>
      </c>
      <c r="AV2495">
        <f>$E$23</f>
        <v>0</v>
      </c>
      <c r="AW2495" cm="1">
        <f t="array" ref="AW2495">IFERROR(IF(AV2495=0,0,(INDEX($C$33:$C$38,MATCH($AZ$2464,$B$33:$B$38,0),0)*(AV2497+$BA$2464)+$AW$2464*COUNTIF(AV2495:AV2496,"&gt;0")*$C$32+$AY$2464*$C$31)*$AU$2464),0)</f>
        <v>0</v>
      </c>
      <c r="AX2495">
        <f>IF(AV2495=0,0,-(COUNTIF(AV2495:AV2496,"&gt;0")*$AW$2464*$C$32+$AY$2464*$C$31)*$H$27*$AU$2464)</f>
        <v>0</v>
      </c>
      <c r="AY2495">
        <f>IF(AV2495=0,0,$AY$2464*$H$26*$AU$2464)</f>
        <v>0</v>
      </c>
      <c r="AZ2495">
        <f>(0.6*AW2495+0.7*AX2495)*$AU$2464/2</f>
        <v>0</v>
      </c>
      <c r="BA2495">
        <f>AW2495*$AU$2464/2</f>
        <v>0</v>
      </c>
      <c r="BC2495">
        <f>IF(AV2495=0,0,$BG$2464*$AP$2455)</f>
        <v>0</v>
      </c>
      <c r="BD2495">
        <f>IFERROR(BC2495/$AU$2464,0)</f>
        <v>0</v>
      </c>
      <c r="BE2495">
        <f>BC2495*($F$23+IF($F$23=0,0,($C$14+$C$15+IF($C$13="single",1.5,3)+3)/12))</f>
        <v>0</v>
      </c>
      <c r="BF2495">
        <f>BE2495-AZ2495</f>
        <v>0</v>
      </c>
      <c r="BG2495" cm="1">
        <f t="array" ref="BG2495">IFERROR(IF(BF2495&lt;0,0,BF2495/($AU$2464-INDEX(hd_off,MATCH(BT2495,hd_mark,0),0)/12)),0)</f>
        <v>0</v>
      </c>
      <c r="BH2495">
        <f>IF(AV2495=0,0,$BG$2464*$AM$2455)</f>
        <v>0</v>
      </c>
      <c r="BI2495">
        <f>IFERROR(BH2495/$AU$2464,0)</f>
        <v>0</v>
      </c>
      <c r="BJ2495">
        <f>BH2495*($F$23+IF($F$23=0,0,($C$14+$C$15+IF($C$13="single",1.5,3)+3)/12))</f>
        <v>0</v>
      </c>
      <c r="BK2495">
        <f>BJ2495-BA2495</f>
        <v>0</v>
      </c>
      <c r="BL2495" cm="1">
        <f t="array" ref="BL2495">IFERROR(IF(BK2495&lt;0,0,BK2495/($AU$2464-INDEX(hd_off,MATCH(BT2495,hd_mark,0),0)/12)),0)</f>
        <v>0</v>
      </c>
      <c r="BM2495">
        <f>MAX($F$23,$BD$2464)/$Q$2484</f>
        <v>0</v>
      </c>
      <c r="BN2495">
        <f t="shared" si="1552"/>
        <v>0</v>
      </c>
      <c r="BO2495" cm="1">
        <f t="array" ref="BO2495">IFERROR(INDEX(sheath_ecap_asd,MATCH(BS2495,sheath_mark,0),0)*BN2495,0)</f>
        <v>0</v>
      </c>
      <c r="BP2495" cm="1">
        <f t="array" ref="BP2495">IFERROR(INDEX(sheath_wcap_asd,MATCH(BS2495,sheath_mark,0),0)*BN2495,0)</f>
        <v>0</v>
      </c>
      <c r="BQ2495" cm="1">
        <f t="array" ref="BQ2495">IFERROR(INDEX(hd_cap,MATCH(BT2495,hd_mark,0),0),0)</f>
        <v>0</v>
      </c>
      <c r="BS2495" s="19"/>
      <c r="BT2495" s="19"/>
      <c r="BU2495" s="100"/>
    </row>
    <row r="2496" x14ac:dyDescent="0.25">
      <c r="B2496" t="s">
        <v>470</v>
      </c>
      <c r="C2496" s="19"/>
      <c r="D2496" s="19"/>
      <c r="E2496">
        <f t="shared" si="1544"/>
        <v>0</v>
      </c>
      <c r="H2496">
        <v>23</v>
      </c>
      <c r="I2496" s="19"/>
      <c r="J2496" s="19"/>
      <c r="K2496">
        <f t="shared" si="1545"/>
        <v>0</v>
      </c>
      <c r="P2496" s="93"/>
      <c r="Q2496" s="111">
        <f>$R$2464</f>
        <v>0</v>
      </c>
      <c r="R2496" t="str">
        <f>$Q$2456</f>
        <v>L5</v>
      </c>
      <c r="S2496">
        <f>$E$24</f>
        <v>0</v>
      </c>
      <c r="T2496" cm="1">
        <f t="array" ref="T2496">IFERROR(IF(S2496=0,0,(INDEX($C$33:$C$38,MATCH($W$2464,$B$33:$B$38,0),0)*(S2497+$X$2464)+$T$2464*COUNTIF(S2496:S2496,"&gt;0")*$C$32+$V$2464*$C$31)*$R$2464),0)</f>
        <v>0</v>
      </c>
      <c r="U2496">
        <f>IF(S2496=0,0,-(COUNTIF(S2496:S2496,"&gt;0")*$T$2464*$C$32+$V$2464*$C$31)*$H$27*$R$2464)</f>
        <v>0</v>
      </c>
      <c r="V2496">
        <f>IF(S2496=0,0,$V$2464*$H$26*$R$2464)</f>
        <v>0</v>
      </c>
      <c r="W2496">
        <f>(0.6*T2496+0.7*U2496)*$R$2464/2</f>
        <v>0</v>
      </c>
      <c r="X2496">
        <f>T2496*$R$2464/2</f>
        <v>0</v>
      </c>
      <c r="Z2496">
        <f>IF(S2496=0,0,$AD$2464*$AP$2456)</f>
        <v>0</v>
      </c>
      <c r="AA2496">
        <f>IFERROR(Z2496/$R$2464,0)</f>
        <v>0</v>
      </c>
      <c r="AB2496">
        <f>Z2496*($F$24+IF($F$24=0,0,($C$14+$C$15+IF($C$13="single",1.5,3)+3)/12))</f>
        <v>0</v>
      </c>
      <c r="AC2496">
        <f>AB2496-W2496</f>
        <v>0</v>
      </c>
      <c r="AD2496" cm="1">
        <f t="array" ref="AD2496">IFERROR(IF(AC2496&lt;0,0,AC2496/($R$2464-INDEX(hd_off,MATCH(AQ2496,hd_mark,0),0)/12)),0)</f>
        <v>0</v>
      </c>
      <c r="AE2496">
        <f>IF(S2496=0,0,$AD$2464*$AM$2456)</f>
        <v>0</v>
      </c>
      <c r="AF2496">
        <f>IFERROR(AE2496/$R$2464,0)</f>
        <v>0</v>
      </c>
      <c r="AG2496">
        <f>AE2496*($F$24+IF($F$24=0,0,($C$14+$C$15+IF($C$13="single",1.5,3)+3)/12))</f>
        <v>0</v>
      </c>
      <c r="AH2496">
        <f>AG2496-X2496</f>
        <v>0</v>
      </c>
      <c r="AI2496" cm="1">
        <f t="array" ref="AI2496">IFERROR(IF(AH2496&lt;0,0,AH2496/($R$2464-INDEX(hd_off,MATCH(AQ2496,hd_mark,0),0)/12)),0)</f>
        <v>0</v>
      </c>
      <c r="AJ2496">
        <f>MAX($F$24,$AB$2464)/$Q$2484</f>
        <v>0</v>
      </c>
      <c r="AK2496">
        <f t="shared" si="1551"/>
        <v>0</v>
      </c>
      <c r="AL2496" cm="1">
        <f t="array" ref="AL2496">IFERROR(INDEX(sheath_ecap_asd,MATCH(AP2496,sheath_mark,0),0)*AK2496,0)</f>
        <v>0</v>
      </c>
      <c r="AM2496" cm="1">
        <f t="array" ref="AM2496">IFERROR(INDEX(sheath_wcap_asd,MATCH(AP2496,sheath_mark,0),0)*AK2496,0)</f>
        <v>0</v>
      </c>
      <c r="AN2496" cm="1">
        <f t="array" ref="AN2496">IFERROR(INDEX(hd_cap,MATCH(AQ2496,hd_mark,0),0),0)</f>
        <v>0</v>
      </c>
      <c r="AP2496" s="19"/>
      <c r="AQ2496" s="19"/>
      <c r="AR2496" s="100"/>
      <c r="AS2496" s="93"/>
      <c r="AT2496" s="111">
        <f>$R$2464</f>
        <v>0</v>
      </c>
      <c r="AU2496" t="str">
        <f>$Q$2456</f>
        <v>L5</v>
      </c>
      <c r="AV2496">
        <f>$E$24</f>
        <v>0</v>
      </c>
      <c r="AW2496" cm="1">
        <f t="array" ref="AW2496">IFERROR(IF(AV2496=0,0,(INDEX($C$33:$C$38,MATCH($AZ$2464,$B$33:$B$38,0),0)*(AV2497+$BA$2464)+$AW$2464*COUNTIF(AV2496:AV2496,"&gt;0")*$C$32+$AY$2464*$C$31)*$AU$2464),0)</f>
        <v>0</v>
      </c>
      <c r="AX2496">
        <f>IF(AV2496=0,0,-(COUNTIF(AV2496:AV2496,"&gt;0")*$AW$2464*$C$32+$AY$2464*$C$31)*$H$27*$AU$2464)</f>
        <v>0</v>
      </c>
      <c r="AY2496">
        <f>IF(AV2496=0,0,$AY$2464*$H$26*$AU$2464)</f>
        <v>0</v>
      </c>
      <c r="AZ2496">
        <f>(0.6*AW2496+0.7*AX2496)*$AU$2464/2</f>
        <v>0</v>
      </c>
      <c r="BA2496">
        <f>AW2496*$AU$2464/2</f>
        <v>0</v>
      </c>
      <c r="BC2496">
        <f>IF(AV2496=0,0,$BG$2464*$AP$2456)</f>
        <v>0</v>
      </c>
      <c r="BD2496">
        <f>IFERROR(BC2496/$AU$2464,0)</f>
        <v>0</v>
      </c>
      <c r="BE2496">
        <f>BC2496*($F$24+IF($F$24=0,0,($C$14+$C$15+IF($C$13="single",1.5,3)+3)/12))</f>
        <v>0</v>
      </c>
      <c r="BF2496">
        <f>BE2496-AZ2496</f>
        <v>0</v>
      </c>
      <c r="BG2496" cm="1">
        <f t="array" ref="BG2496">IFERROR(IF(BF2496&lt;0,0,BF2496/($AU$2464-INDEX(hd_off,MATCH(BT2496,hd_mark,0),0)/12)),0)</f>
        <v>0</v>
      </c>
      <c r="BH2496">
        <f>IF(AV2496=0,0,$BG$2464*$AM$2456)</f>
        <v>0</v>
      </c>
      <c r="BI2496">
        <f>IFERROR(BH2496/$AU$2464,0)</f>
        <v>0</v>
      </c>
      <c r="BJ2496">
        <f>BH2496*($F$24+IF($F$24=0,0,($C$14+$C$15+IF($C$13="single",1.5,3)+3)/12))</f>
        <v>0</v>
      </c>
      <c r="BK2496">
        <f>BJ2496-BA2496</f>
        <v>0</v>
      </c>
      <c r="BL2496" cm="1">
        <f t="array" ref="BL2496">IFERROR(IF(BK2496&lt;0,0,BK2496/($AU$2464-INDEX(hd_off,MATCH(BT2496,hd_mark,0),0)/12)),0)</f>
        <v>0</v>
      </c>
      <c r="BM2496">
        <f>MAX($F$24,$BE$2464)/$Q$2484</f>
        <v>0</v>
      </c>
      <c r="BN2496">
        <f t="shared" si="1552"/>
        <v>0</v>
      </c>
      <c r="BO2496" cm="1">
        <f t="array" ref="BO2496">IFERROR(INDEX(sheath_ecap_asd,MATCH(BS2496,sheath_mark,0),0)*BN2496,0)</f>
        <v>0</v>
      </c>
      <c r="BP2496" cm="1">
        <f t="array" ref="BP2496">IFERROR(INDEX(sheath_wcap_asd,MATCH(BS2496,sheath_mark,0),0)*BN2496,0)</f>
        <v>0</v>
      </c>
      <c r="BQ2496" cm="1">
        <f t="array" ref="BQ2496">IFERROR(INDEX(hd_cap,MATCH(BT2496,hd_mark,0),0),0)</f>
        <v>0</v>
      </c>
      <c r="BS2496" s="19"/>
      <c r="BT2496" s="19"/>
      <c r="BU2496" s="100"/>
    </row>
    <row r="2497" x14ac:dyDescent="0.25">
      <c r="B2497" t="s">
        <v>471</v>
      </c>
      <c r="C2497" s="19"/>
      <c r="D2497" s="19"/>
      <c r="E2497">
        <f t="shared" si="1544"/>
        <v>0</v>
      </c>
      <c r="H2497">
        <v>24</v>
      </c>
      <c r="I2497" s="19"/>
      <c r="J2497" s="19"/>
      <c r="K2497">
        <f t="shared" si="1545"/>
        <v>0</v>
      </c>
      <c r="P2497" s="93"/>
      <c r="Q2497" s="109"/>
      <c r="R2497" t="str">
        <f>$Q$2457</f>
        <v>Roof</v>
      </c>
      <c r="S2497">
        <f>$E$25</f>
        <v>33.171875</v>
      </c>
      <c r="T2497" cm="1">
        <f t="array" ref="T2497">IFERROR(IF(S2497=0,0,(INDEX($C$33:$C$38,MATCH($W$2464,$B$33:$B$38,0),0)*(S2497+$X$2464)+$V$2464*$C$31)*$R$2464),0)</f>
        <v>0</v>
      </c>
      <c r="U2497">
        <f>IF(S2497=0,0,-$V$2464*$C$31*$H$27*$R$2464)</f>
        <v>0</v>
      </c>
      <c r="V2497">
        <f>IF(S2497=0,0,$V$2464*$H$26*$R$2464)</f>
        <v>0</v>
      </c>
      <c r="W2497">
        <f>(0.6*T2497+0.7*U2497)*$R$2464/2</f>
        <v>0</v>
      </c>
      <c r="X2497">
        <f>T2497*$R$2464/2</f>
        <v>0</v>
      </c>
      <c r="Z2497">
        <f>IF(S2497=0,0,$AD$2464*$AP$2457)</f>
        <v>0</v>
      </c>
      <c r="AA2497">
        <f>IFERROR(Z2497/$R$2464,0)</f>
        <v>0</v>
      </c>
      <c r="AB2497">
        <f>Z2497*($F$25+($C$16+$C$17+IF($C$13="single",1.5,3)+3)/12)</f>
        <v>0</v>
      </c>
      <c r="AC2497">
        <f>AB2497-W2497</f>
        <v>0</v>
      </c>
      <c r="AD2497" cm="1">
        <f t="array" ref="AD2497">IFERROR(IF(AC2497&lt;0,0,AC2497/($R$2464-INDEX(hd_off,MATCH(AQ2497,hd_mark,0),0)/12)),0)</f>
        <v>0</v>
      </c>
      <c r="AE2497">
        <f>IF(S2497=0,0,$AD$2464*$AM$2457)</f>
        <v>0</v>
      </c>
      <c r="AF2497">
        <f>IFERROR(AE2497/$R$2464,0)</f>
        <v>0</v>
      </c>
      <c r="AG2497">
        <f>AE2497*($F$25+($C$16+$C$17+IF($C$13="single",1.5,3)+3)/12)</f>
        <v>0</v>
      </c>
      <c r="AH2497">
        <f>AG2497-X2497</f>
        <v>0</v>
      </c>
      <c r="AI2497" cm="1">
        <f t="array" ref="AI2497">IFERROR(IF(AH2497&lt;0,0,AH2497/($R$2464-INDEX(hd_off,MATCH(AQ2497,hd_mark,0),0)/12)),0)</f>
        <v>0</v>
      </c>
      <c r="AJ2497">
        <f>MAX($F$25,$AC$2464)/$Q$2484</f>
        <v>0.29920977011494249</v>
      </c>
      <c r="AK2497">
        <f t="shared" si="1551"/>
        <v>1</v>
      </c>
      <c r="AL2497" cm="1">
        <f t="array" ref="AL2497">IFERROR(INDEX(sheath_ecap_asd,MATCH(AP2497,sheath_mark,0),0)*AK2497,0)</f>
        <v>0</v>
      </c>
      <c r="AM2497" cm="1">
        <f t="array" ref="AM2497">IFERROR(INDEX(sheath_wcap_asd,MATCH(AP2497,sheath_mark,0),0)*AK2497,0)</f>
        <v>0</v>
      </c>
      <c r="AN2497" cm="1">
        <f t="array" ref="AN2497">IFERROR(INDEX(hd_cap,MATCH(AQ2497,hd_mark,0),0),0)</f>
        <v>0</v>
      </c>
      <c r="AP2497" s="19"/>
      <c r="AQ2497" s="19"/>
      <c r="AR2497" s="100"/>
      <c r="AS2497" s="93"/>
      <c r="AT2497" s="109"/>
      <c r="AU2497" t="str">
        <f>$Q$2457</f>
        <v>Roof</v>
      </c>
      <c r="AV2497">
        <f>$E$25</f>
        <v>33.171875</v>
      </c>
      <c r="AW2497" cm="1">
        <f t="array" ref="AW2497">IFERROR(IF(AV2497=0,0,(INDEX($C$33:$C$38,MATCH($AZ$2464,$B$33:$B$38,0),0)*(AV2497+$BA$2464)+$AY$2464*$C$31)*$AU$2464),0)</f>
        <v>0</v>
      </c>
      <c r="AX2497">
        <f>IF(AV2497=0,0,-$AY$2464*$C$31*$H$27*$AU$2464)</f>
        <v>0</v>
      </c>
      <c r="AY2497">
        <f>IF(AV2497=0,0,$AY$2464*$H$26*$AU$2464)</f>
        <v>0</v>
      </c>
      <c r="AZ2497">
        <f>(0.6*AW2497+0.7*AX2497)*$AU$2464/2</f>
        <v>0</v>
      </c>
      <c r="BA2497">
        <f>AW2497*$AU$2464/2</f>
        <v>0</v>
      </c>
      <c r="BC2497">
        <f>IF(AV2497=0,0,$BG$2464*$AP$2457)</f>
        <v>0</v>
      </c>
      <c r="BD2497">
        <f>IFERROR(BC2497/$AU$2464,0)</f>
        <v>0</v>
      </c>
      <c r="BE2497">
        <f>BC2497*($F$25+($C$16+$C$17+IF($C$13="single",1.5,3)+3)/12)</f>
        <v>0</v>
      </c>
      <c r="BF2497">
        <f>BE2497-AZ2497</f>
        <v>0</v>
      </c>
      <c r="BG2497" cm="1">
        <f t="array" ref="BG2497">IFERROR(IF(BF2497&lt;0,0,BF2497/($AU$2464-INDEX(hd_off,MATCH(BT2497,hd_mark,0),0)/12)),0)</f>
        <v>0</v>
      </c>
      <c r="BH2497">
        <f>IF(AV2497=0,0,$BG$2464*$AM$2457)</f>
        <v>0</v>
      </c>
      <c r="BI2497">
        <f>IFERROR(BH2497/$AU$2464,0)</f>
        <v>0</v>
      </c>
      <c r="BJ2497">
        <f>BH2497*($F$25+($C$16+$C$17+IF($C$13="single",1.5,3)+3)/12)</f>
        <v>0</v>
      </c>
      <c r="BK2497">
        <f>BJ2497-BA2497</f>
        <v>0</v>
      </c>
      <c r="BL2497" cm="1">
        <f t="array" ref="BL2497">IFERROR(IF(BK2497&lt;0,0,BK2497/($AU$2464-INDEX(hd_off,MATCH(BT2497,hd_mark,0),0)/12)),0)</f>
        <v>0</v>
      </c>
      <c r="BM2497">
        <f>MAX($F$25,$BF$2464)/$Q$2484</f>
        <v>0.29920977011494249</v>
      </c>
      <c r="BN2497">
        <f t="shared" si="1552"/>
        <v>1</v>
      </c>
      <c r="BO2497" cm="1">
        <f t="array" ref="BO2497">IFERROR(INDEX(sheath_ecap_asd,MATCH(BS2497,sheath_mark,0),0)*BN2497,0)</f>
        <v>0</v>
      </c>
      <c r="BP2497" cm="1">
        <f t="array" ref="BP2497">IFERROR(INDEX(sheath_wcap_asd,MATCH(BS2497,sheath_mark,0),0)*BN2497,0)</f>
        <v>0</v>
      </c>
      <c r="BQ2497" cm="1">
        <f t="array" ref="BQ2497">IFERROR(INDEX(hd_cap,MATCH(BT2497,hd_mark,0),0),0)</f>
        <v>0</v>
      </c>
      <c r="BS2497" s="19"/>
      <c r="BT2497" s="19"/>
      <c r="BU2497" s="100"/>
    </row>
    <row r="2498" x14ac:dyDescent="0.25">
      <c r="B2498" t="s">
        <v>472</v>
      </c>
      <c r="C2498" s="19"/>
      <c r="D2498" s="19"/>
      <c r="E2498">
        <f t="shared" si="1544"/>
        <v>0</v>
      </c>
      <c r="H2498">
        <v>25</v>
      </c>
      <c r="I2498" s="19"/>
      <c r="J2498" s="19"/>
      <c r="K2498">
        <f t="shared" si="1545"/>
        <v>0</v>
      </c>
      <c r="P2498" s="93"/>
      <c r="AR2498" s="100"/>
      <c r="AS2498" s="93"/>
      <c r="BU2498" s="100"/>
    </row>
    <row r="2499" x14ac:dyDescent="0.25">
      <c r="B2499" t="s">
        <v>473</v>
      </c>
      <c r="C2499" s="19"/>
      <c r="D2499" s="19"/>
      <c r="E2499">
        <f t="shared" si="1544"/>
        <v>0</v>
      </c>
      <c r="H2499">
        <v>26</v>
      </c>
      <c r="I2499" s="19"/>
      <c r="J2499" s="19"/>
      <c r="K2499">
        <f t="shared" si="1545"/>
        <v>0</v>
      </c>
      <c r="P2499" s="93"/>
      <c r="Q2499" s="110" t="str">
        <f>$Q$2465</f>
        <v>A.04</v>
      </c>
      <c r="R2499" t="str">
        <f>$Q$2453</f>
        <v>L2</v>
      </c>
      <c r="S2499">
        <f>$E$21</f>
        <v>10.6875</v>
      </c>
      <c r="T2499" cm="1">
        <f t="array" ref="T2499">IFERROR(IF(S2499=0,0,(INDEX($C$33:$C$38,MATCH($W$2465,$B$33:$B$38,0),0)*(S2503+$X$2465)+$T$2465*COUNTIF(S2499:S2502,"&gt;0")*$C$32+$V$2465*$C$31)*$R$2465),0)</f>
        <v>0</v>
      </c>
      <c r="U2499">
        <f>IF(S2499=0,0,-(COUNTIF(S2499:S2502,"&gt;0")*$T$2465*$C$32+$V$2465*$C$31)*$H$27*$R$2465)</f>
        <v>0</v>
      </c>
      <c r="V2499">
        <f>IF(S2499=0,0,$V$2465*$H$26*$R$2465)</f>
        <v>0</v>
      </c>
      <c r="W2499">
        <f>(0.6*T2499+0.7*U2499)*$R$2465/2</f>
        <v>0</v>
      </c>
      <c r="X2499">
        <f>(0.6*T2499+0.6*V2499)*$R$2465/2</f>
        <v>0</v>
      </c>
      <c r="Z2499">
        <f>IF(S2499=0,0,$AD$2465*$AP$2453)</f>
        <v>0</v>
      </c>
      <c r="AA2499">
        <f>IFERROR(Z2499/$R$2465,0)</f>
        <v>0</v>
      </c>
      <c r="AB2499">
        <f>Z2499*($F$21+IF($F$21=0,0,($C$14+$C$15+IF($C$13="single",1.5,3)+3)/12))</f>
        <v>0</v>
      </c>
      <c r="AC2499">
        <f>AB2499-W2499</f>
        <v>0</v>
      </c>
      <c r="AD2499" cm="1">
        <f t="array" ref="AD2499">IFERROR(IF(AC2499&lt;0,0,AC2499/($R$2465-INDEX(hd_off,MATCH(AQ2499,hd_mark,0),0)/12)),0)</f>
        <v>0</v>
      </c>
      <c r="AE2499">
        <f>IF(S2499=0,0,$AD$2465*$AM$2453)</f>
        <v>0</v>
      </c>
      <c r="AF2499">
        <f>IFERROR(AE2499/$R$2465,0)</f>
        <v>0</v>
      </c>
      <c r="AG2499">
        <f>AE2499*($F$21+IF($F$21=0,0,($C$14+$C$15+IF($C$13="single",1.5,3)+3)/12))</f>
        <v>0</v>
      </c>
      <c r="AH2499">
        <f>AG2499-X2499</f>
        <v>0</v>
      </c>
      <c r="AI2499" cm="1">
        <f t="array" ref="AI2499">IFERROR(IF(AH2499&lt;0,0,AH2499/($R$2465-INDEX(hd_off,MATCH(AQ2499,hd_mark,0),0)/12)),0)</f>
        <v>0</v>
      </c>
      <c r="AJ2499">
        <f>MAX($F$21,$Y$2465)/$Q$2484</f>
        <v>0.30172413793103448</v>
      </c>
      <c r="AK2499">
        <f>IF(AJ2499=0,0,IF(AJ2499&gt;2,1.25-0.125*AJ2499,1))</f>
        <v>1</v>
      </c>
      <c r="AL2499" cm="1">
        <f t="array" ref="AL2499">IFERROR(INDEX(sheath_ecap_asd,MATCH(AP2499,sheath_mark,0),0)*AK2499,0)</f>
        <v>0</v>
      </c>
      <c r="AM2499" cm="1">
        <f t="array" ref="AM2499">IFERROR(INDEX(sheath_wcap_asd,MATCH(AP2499,sheath_mark,0),0)*AK2499,0)</f>
        <v>0</v>
      </c>
      <c r="AN2499" cm="1">
        <f t="array" ref="AN2499">IFERROR(INDEX(hd_cap,MATCH(AQ2499,hd_mark,0),0),0)</f>
        <v>0</v>
      </c>
      <c r="AP2499" s="19"/>
      <c r="AQ2499" s="19"/>
      <c r="AR2499" s="100"/>
      <c r="AS2499" s="93"/>
      <c r="AT2499" s="110" t="str">
        <f>$AT$2465</f>
        <v>1.04</v>
      </c>
      <c r="AU2499" t="str">
        <f>$Q$2453</f>
        <v>L2</v>
      </c>
      <c r="AV2499">
        <f>$E$21</f>
        <v>10.6875</v>
      </c>
      <c r="AW2499" cm="1">
        <f t="array" ref="AW2499">IFERROR(IF(AV2499=0,0,(INDEX($C$33:$C$38,MATCH($AZ$2465,$B$33:$B$38,0),0)*(AV2503+$BA$2465)+$AW$2465*COUNTIF(AV2499:AV2502,"&gt;0")*$C$32+$AY$2465*$C$31)*$AU$2465),0)</f>
        <v>0</v>
      </c>
      <c r="AX2499">
        <f>IF(AV2499=0,0,-(COUNTIF(AV2499:AV2502,"&gt;0")*$AW$2465*$C$32+$AY$2465*$C$31)*$H$27*$AU$2465)</f>
        <v>0</v>
      </c>
      <c r="AY2499">
        <f>IF(AV2499=0,0,$AY$2465*$H$26*$AU$2465)</f>
        <v>0</v>
      </c>
      <c r="AZ2499">
        <f>(0.6*AW2499+0.7*AX2499)*$AU$2465/2</f>
        <v>0</v>
      </c>
      <c r="BA2499">
        <f>(0.6*AW2499+0.6*AY2499)*$AU$2465/2</f>
        <v>0</v>
      </c>
      <c r="BC2499">
        <f>IF(AV2499=0,0,$BG$2465*$AP$2453)</f>
        <v>0</v>
      </c>
      <c r="BD2499">
        <f>IFERROR(BC2499/$AU$2465,0)</f>
        <v>0</v>
      </c>
      <c r="BE2499">
        <f>BC2499*($F$21+IF($F$21=0,0,($C$14+$C$15+IF($C$13="single",1.5,3)+3)/12))</f>
        <v>0</v>
      </c>
      <c r="BF2499">
        <f>BE2499-AZ2499</f>
        <v>0</v>
      </c>
      <c r="BG2499" cm="1">
        <f t="array" ref="BG2499">IFERROR(IF(BF2499&lt;0,0,BF2499/($AU$2465-INDEX(hd_off,MATCH(BT2499,hd_mark,0),0)/12)),0)</f>
        <v>0</v>
      </c>
      <c r="BH2499">
        <f>IF(AV2499=0,0,$BG$2465*$AM$2453)</f>
        <v>0</v>
      </c>
      <c r="BI2499">
        <f>IFERROR(BH2499/$AU$2465,0)</f>
        <v>0</v>
      </c>
      <c r="BJ2499">
        <f>BH2499*($F$21+IF($F$21=0,0,($C$14+$C$15+IF($C$13="single",1.5,3)+3)/12))</f>
        <v>0</v>
      </c>
      <c r="BK2499">
        <f>BJ2499-BA2499</f>
        <v>0</v>
      </c>
      <c r="BL2499" cm="1">
        <f t="array" ref="BL2499">IFERROR(IF(BK2499&lt;0,0,BK2499/($AU$2465-INDEX(hd_off,MATCH(BT2499,hd_mark,0),0)/12)),0)</f>
        <v>0</v>
      </c>
      <c r="BM2499">
        <f>MAX($F$21,$BB$2465)/$Q$2484</f>
        <v>0.30172413793103448</v>
      </c>
      <c r="BN2499">
        <f>IF(BM2499=0,0,IF(BM2499&gt;2,1.25-0.125*BM2499,1))</f>
        <v>1</v>
      </c>
      <c r="BO2499" cm="1">
        <f t="array" ref="BO2499">IFERROR(INDEX(sheath_ecap_asd,MATCH(BS2499,sheath_mark,0),0)*BN2499,0)</f>
        <v>0</v>
      </c>
      <c r="BP2499" cm="1">
        <f t="array" ref="BP2499">IFERROR(INDEX(sheath_wcap_asd,MATCH(BS2499,sheath_mark,0),0)*BN2499,0)</f>
        <v>0</v>
      </c>
      <c r="BQ2499" cm="1">
        <f t="array" ref="BQ2499">IFERROR(INDEX(hd_cap,MATCH(BT2499,hd_mark,0),0),0)</f>
        <v>0</v>
      </c>
      <c r="BS2499" s="19"/>
      <c r="BT2499" s="19"/>
      <c r="BU2499" s="100"/>
    </row>
    <row r="2500" x14ac:dyDescent="0.25">
      <c r="P2500" s="93"/>
      <c r="Q2500" s="109"/>
      <c r="R2500" t="str">
        <f>$Q$2454</f>
        <v>L3</v>
      </c>
      <c r="S2500">
        <f>$E$22</f>
        <v>21.375</v>
      </c>
      <c r="T2500" cm="1">
        <f t="array" ref="T2500">IFERROR(IF(S2500=0,0,(INDEX($C$33:$C$38,MATCH($W$2465,$B$33:$B$38,0),0)*(S2503+$X$2465)+$T$2465*COUNTIF(S2500:S2502,"&gt;0")*$C$32+$V$2465*$C$31)*$R$2465),0)</f>
        <v>0</v>
      </c>
      <c r="U2500">
        <f>IF(S2500=0,0,-(COUNTIF(S2500:S2502,"&gt;0")*$T$2465*$C$32+$V$2465*$C$31)*$H$27*$R$2465)</f>
        <v>0</v>
      </c>
      <c r="V2500">
        <f>IF(S2500=0,0,$V$2465*$H$26*$R$2465)</f>
        <v>0</v>
      </c>
      <c r="W2500">
        <f>(0.6*T2500+0.7*U2500)*$R$2465/2</f>
        <v>0</v>
      </c>
      <c r="X2500">
        <f>T2500*$R$2465/2</f>
        <v>0</v>
      </c>
      <c r="Z2500">
        <f>IF(S2500=0,0,$AD$2465*$AP$2454)</f>
        <v>0</v>
      </c>
      <c r="AA2500">
        <f>IFERROR(Z2500/$R$2465,0)</f>
        <v>0</v>
      </c>
      <c r="AB2500">
        <f>Z2500*($F$22+IF($F$22=0,0,($C$14+$C$15+IF($C$13="single",1.5,3)+3)/12))</f>
        <v>0</v>
      </c>
      <c r="AC2500">
        <f>AB2500-W2500</f>
        <v>0</v>
      </c>
      <c r="AD2500" cm="1">
        <f t="array" ref="AD2500">IFERROR(IF(AC2500&lt;0,0,AC2500/($R$2465-INDEX(hd_off,MATCH(AQ2500,hd_mark,0),0)/12)),0)</f>
        <v>0</v>
      </c>
      <c r="AE2500">
        <f>IF(S2500=0,0,$AD$2465*$AM$2454)</f>
        <v>0</v>
      </c>
      <c r="AF2500">
        <f>IFERROR(AE2500/$R$2465,0)</f>
        <v>0</v>
      </c>
      <c r="AG2500">
        <f>AE2500*($F$22+IF($F$22=0,0,($C$14+$C$15+IF($C$13="single",1.5,3)+3)/12))</f>
        <v>0</v>
      </c>
      <c r="AH2500">
        <f>AG2500-X2500</f>
        <v>0</v>
      </c>
      <c r="AI2500" cm="1">
        <f t="array" ref="AI2500">IFERROR(IF(AH2500&lt;0,0,AH2500/($R$2465-INDEX(hd_off,MATCH(AQ2500,hd_mark,0),0)/12)),0)</f>
        <v>0</v>
      </c>
      <c r="AJ2500">
        <f>MAX($F$22,$Z$2465)/$Q$2484</f>
        <v>0.30172413793103448</v>
      </c>
      <c r="AK2500">
        <f t="shared" ref="AK2500:AK2503" si="1553">IF(AJ2500=0,0,IF(AJ2500&gt;2,1.25-0.125*AJ2500,1))</f>
        <v>1</v>
      </c>
      <c r="AL2500" cm="1">
        <f t="array" ref="AL2500">IFERROR(INDEX(sheath_ecap_asd,MATCH(AP2500,sheath_mark,0),0)*AK2500,0)</f>
        <v>0</v>
      </c>
      <c r="AM2500" cm="1">
        <f t="array" ref="AM2500">IFERROR(INDEX(sheath_wcap_asd,MATCH(AP2500,sheath_mark,0),0)*AK2500,0)</f>
        <v>0</v>
      </c>
      <c r="AN2500" cm="1">
        <f t="array" ref="AN2500">IFERROR(INDEX(hd_cap,MATCH(AQ2500,hd_mark,0),0),0)</f>
        <v>0</v>
      </c>
      <c r="AP2500" s="19"/>
      <c r="AQ2500" s="19"/>
      <c r="AR2500" s="100"/>
      <c r="AS2500" s="93"/>
      <c r="AT2500" s="109"/>
      <c r="AU2500" t="str">
        <f>$Q$2454</f>
        <v>L3</v>
      </c>
      <c r="AV2500">
        <f>$E$22</f>
        <v>21.375</v>
      </c>
      <c r="AW2500" cm="1">
        <f t="array" ref="AW2500">IFERROR(IF(AV2500=0,0,(INDEX($C$33:$C$38,MATCH($AZ$2465,$B$33:$B$38,0),0)*(AV2503+$BA$2465)+$AW$2465*COUNTIF(AV2500:AV2502,"&gt;0")*$C$32+$AY$2465*$C$31)*$AU$2465),0)</f>
        <v>0</v>
      </c>
      <c r="AX2500">
        <f>IF(AV2500=0,0,-(COUNTIF(AV2500:AV2502,"&gt;0")*$AW$2465*$C$32+$AY$2465*$C$31)*$H$27*$AU$2465)</f>
        <v>0</v>
      </c>
      <c r="AY2500">
        <f>IF(AV2500=0,0,$AY$2465*$H$26*$AU$2465)</f>
        <v>0</v>
      </c>
      <c r="AZ2500">
        <f>(0.6*AW2500+0.7*AX2500)*$AU$2465/2</f>
        <v>0</v>
      </c>
      <c r="BA2500">
        <f>AW2500*$AU$2465/2</f>
        <v>0</v>
      </c>
      <c r="BC2500">
        <f>IF(AV2500=0,0,$BG$2465*$AP$2454)</f>
        <v>0</v>
      </c>
      <c r="BD2500">
        <f>IFERROR(BC2500/$AU$2465,0)</f>
        <v>0</v>
      </c>
      <c r="BE2500">
        <f>BC2500*($F$22+IF($F$22=0,0,($C$14+$C$15+IF($C$13="single",1.5,3)+3)/12))</f>
        <v>0</v>
      </c>
      <c r="BF2500">
        <f>BE2500-AZ2500</f>
        <v>0</v>
      </c>
      <c r="BG2500" cm="1">
        <f t="array" ref="BG2500">IFERROR(IF(BF2500&lt;0,0,BF2500/($AU$2465-INDEX(hd_off,MATCH(BT2500,hd_mark,0),0)/12)),0)</f>
        <v>0</v>
      </c>
      <c r="BH2500">
        <f>IF(AV2500=0,0,$BG$2465*$AM$2454)</f>
        <v>0</v>
      </c>
      <c r="BI2500">
        <f>IFERROR(BH2500/$AU$2465,0)</f>
        <v>0</v>
      </c>
      <c r="BJ2500">
        <f>BH2500*($F$22+IF($F$22=0,0,($C$14+$C$15+IF($C$13="single",1.5,3)+3)/12))</f>
        <v>0</v>
      </c>
      <c r="BK2500">
        <f>BJ2500-BA2500</f>
        <v>0</v>
      </c>
      <c r="BL2500" cm="1">
        <f t="array" ref="BL2500">IFERROR(IF(BK2500&lt;0,0,BK2500/($AU$2465-INDEX(hd_off,MATCH(BT2500,hd_mark,0),0)/12)),0)</f>
        <v>0</v>
      </c>
      <c r="BM2500">
        <f>MAX($F$22,$BC$2465)/$Q$2484</f>
        <v>0.30172413793103448</v>
      </c>
      <c r="BN2500">
        <f t="shared" ref="BN2500:BN2503" si="1554">IF(BM2500=0,0,IF(BM2500&gt;2,1.25-0.125*BM2500,1))</f>
        <v>1</v>
      </c>
      <c r="BO2500" cm="1">
        <f t="array" ref="BO2500">IFERROR(INDEX(sheath_ecap_asd,MATCH(BS2500,sheath_mark,0),0)*BN2500,0)</f>
        <v>0</v>
      </c>
      <c r="BP2500" cm="1">
        <f t="array" ref="BP2500">IFERROR(INDEX(sheath_wcap_asd,MATCH(BS2500,sheath_mark,0),0)*BN2500,0)</f>
        <v>0</v>
      </c>
      <c r="BQ2500" cm="1">
        <f t="array" ref="BQ2500">IFERROR(INDEX(hd_cap,MATCH(BT2500,hd_mark,0),0),0)</f>
        <v>0</v>
      </c>
      <c r="BS2500" s="19"/>
      <c r="BT2500" s="19"/>
      <c r="BU2500" s="100"/>
    </row>
    <row r="2501" x14ac:dyDescent="0.25">
      <c r="B2501" s="1"/>
      <c r="P2501" s="93"/>
      <c r="Q2501" s="109" t="s">
        <v>491</v>
      </c>
      <c r="R2501" t="str">
        <f>$Q$2455</f>
        <v>L4</v>
      </c>
      <c r="S2501">
        <f>$E$23</f>
        <v>0</v>
      </c>
      <c r="T2501" cm="1">
        <f t="array" ref="T2501">IFERROR(IF(S2501=0,0,(INDEX($C$33:$C$38,MATCH($W$2465,$B$33:$B$38,0),0)*(S2503+$X$2465)+$T$2465*COUNTIF(S2501:S2502,"&gt;0")*$C$32+$V$2465*$C$31)*$R$2465),0)</f>
        <v>0</v>
      </c>
      <c r="U2501">
        <f>IF(S2501=0,0,-(COUNTIF(S2501:S2502,"&gt;0")*$T$2465*$C$32+$V$2465*$C$31)*$H$27*$R$2465)</f>
        <v>0</v>
      </c>
      <c r="V2501">
        <f>IF(S2501=0,0,$V$2465*$H$26*$R$2465)</f>
        <v>0</v>
      </c>
      <c r="W2501">
        <f>(0.6*T2501+0.7*U2501)*$R$2465/2</f>
        <v>0</v>
      </c>
      <c r="X2501">
        <f>T2501*$R$2465/2</f>
        <v>0</v>
      </c>
      <c r="Z2501">
        <f>IF(S2501=0,0,$AD$2465*$AP$2455)</f>
        <v>0</v>
      </c>
      <c r="AA2501">
        <f>IFERROR(Z2501/$R$2465,0)</f>
        <v>0</v>
      </c>
      <c r="AB2501">
        <f>Z2501*($F$23+IF($F$23=0,0,($C$14+$C$15+IF($C$13="single",1.5,3)+3)/12))</f>
        <v>0</v>
      </c>
      <c r="AC2501">
        <f>AB2501-W2501</f>
        <v>0</v>
      </c>
      <c r="AD2501" cm="1">
        <f t="array" ref="AD2501">IFERROR(IF(AC2501&lt;0,0,AC2501/($R$2465-INDEX(hd_off,MATCH(AQ2501,hd_mark,0),0)/12)),0)</f>
        <v>0</v>
      </c>
      <c r="AE2501">
        <f>IF(S2501=0,0,$AD$2465*$AM$2455)</f>
        <v>0</v>
      </c>
      <c r="AF2501">
        <f>IFERROR(AE2501/$R$2465,0)</f>
        <v>0</v>
      </c>
      <c r="AG2501">
        <f>AE2501*($F$23+IF($F$23=0,0,($C$14+$C$15+IF($C$13="single",1.5,3)+3)/12))</f>
        <v>0</v>
      </c>
      <c r="AH2501">
        <f>AG2501-X2501</f>
        <v>0</v>
      </c>
      <c r="AI2501" cm="1">
        <f t="array" ref="AI2501">IFERROR(IF(AH2501&lt;0,0,AH2501/($R$2465-INDEX(hd_off,MATCH(AQ2501,hd_mark,0),0)/12)),0)</f>
        <v>0</v>
      </c>
      <c r="AJ2501">
        <f>MAX($F$23,$AA$2465)/$Q$2484</f>
        <v>0</v>
      </c>
      <c r="AK2501">
        <f t="shared" si="1553"/>
        <v>0</v>
      </c>
      <c r="AL2501" cm="1">
        <f t="array" ref="AL2501">IFERROR(INDEX(sheath_ecap_asd,MATCH(AP2501,sheath_mark,0),0)*AK2501,0)</f>
        <v>0</v>
      </c>
      <c r="AM2501" cm="1">
        <f t="array" ref="AM2501">IFERROR(INDEX(sheath_wcap_asd,MATCH(AP2501,sheath_mark,0),0)*AK2501,0)</f>
        <v>0</v>
      </c>
      <c r="AN2501" cm="1">
        <f t="array" ref="AN2501">IFERROR(INDEX(hd_cap,MATCH(AQ2501,hd_mark,0),0),0)</f>
        <v>0</v>
      </c>
      <c r="AP2501" s="19"/>
      <c r="AQ2501" s="19"/>
      <c r="AR2501" s="100"/>
      <c r="AS2501" s="93"/>
      <c r="AT2501" s="109" t="s">
        <v>491</v>
      </c>
      <c r="AU2501" t="str">
        <f>$Q$2455</f>
        <v>L4</v>
      </c>
      <c r="AV2501">
        <f>$E$23</f>
        <v>0</v>
      </c>
      <c r="AW2501" cm="1">
        <f t="array" ref="AW2501">IFERROR(IF(AV2501=0,0,(INDEX($C$33:$C$38,MATCH($AZ$2465,$B$33:$B$38,0),0)*(AV2503+$BA$2465)+$AW$2465*COUNTIF(AV2501:AV2502,"&gt;0")*$C$32+$AY$2465*$C$31)*$AU$2465),0)</f>
        <v>0</v>
      </c>
      <c r="AX2501">
        <f>IF(AV2501=0,0,-(COUNTIF(AV2501:AV2502,"&gt;0")*$AW$2465*$C$32+$AY$2465*$C$31)*$H$27*$AU$2465)</f>
        <v>0</v>
      </c>
      <c r="AY2501">
        <f>IF(AV2501=0,0,$AY$2465*$H$26*$AU$2465)</f>
        <v>0</v>
      </c>
      <c r="AZ2501">
        <f>(0.6*AW2501+0.7*AX2501)*$AU$2465/2</f>
        <v>0</v>
      </c>
      <c r="BA2501">
        <f>AW2501*$AU$2465/2</f>
        <v>0</v>
      </c>
      <c r="BC2501">
        <f>IF(AV2501=0,0,$BG$2465*$AP$2455)</f>
        <v>0</v>
      </c>
      <c r="BD2501">
        <f>IFERROR(BC2501/$AU$2465,0)</f>
        <v>0</v>
      </c>
      <c r="BE2501">
        <f>BC2501*($F$23+IF($F$23=0,0,($C$14+$C$15+IF($C$13="single",1.5,3)+3)/12))</f>
        <v>0</v>
      </c>
      <c r="BF2501">
        <f>BE2501-AZ2501</f>
        <v>0</v>
      </c>
      <c r="BG2501" cm="1">
        <f t="array" ref="BG2501">IFERROR(IF(BF2501&lt;0,0,BF2501/($AU$2465-INDEX(hd_off,MATCH(BT2501,hd_mark,0),0)/12)),0)</f>
        <v>0</v>
      </c>
      <c r="BH2501">
        <f>IF(AV2501=0,0,$BG$2465*$AM$2455)</f>
        <v>0</v>
      </c>
      <c r="BI2501">
        <f>IFERROR(BH2501/$AU$2465,0)</f>
        <v>0</v>
      </c>
      <c r="BJ2501">
        <f>BH2501*($F$23+IF($F$23=0,0,($C$14+$C$15+IF($C$13="single",1.5,3)+3)/12))</f>
        <v>0</v>
      </c>
      <c r="BK2501">
        <f>BJ2501-BA2501</f>
        <v>0</v>
      </c>
      <c r="BL2501" cm="1">
        <f t="array" ref="BL2501">IFERROR(IF(BK2501&lt;0,0,BK2501/($AU$2465-INDEX(hd_off,MATCH(BT2501,hd_mark,0),0)/12)),0)</f>
        <v>0</v>
      </c>
      <c r="BM2501">
        <f>MAX($F$23,$BD$2465)/$Q$2484</f>
        <v>0</v>
      </c>
      <c r="BN2501">
        <f t="shared" si="1554"/>
        <v>0</v>
      </c>
      <c r="BO2501" cm="1">
        <f t="array" ref="BO2501">IFERROR(INDEX(sheath_ecap_asd,MATCH(BS2501,sheath_mark,0),0)*BN2501,0)</f>
        <v>0</v>
      </c>
      <c r="BP2501" cm="1">
        <f t="array" ref="BP2501">IFERROR(INDEX(sheath_wcap_asd,MATCH(BS2501,sheath_mark,0),0)*BN2501,0)</f>
        <v>0</v>
      </c>
      <c r="BQ2501" cm="1">
        <f t="array" ref="BQ2501">IFERROR(INDEX(hd_cap,MATCH(BT2501,hd_mark,0),0),0)</f>
        <v>0</v>
      </c>
      <c r="BS2501" s="19"/>
      <c r="BT2501" s="19"/>
      <c r="BU2501" s="100"/>
    </row>
    <row r="2502" x14ac:dyDescent="0.25">
      <c r="P2502" s="93"/>
      <c r="Q2502" s="111">
        <f>$R$2465</f>
        <v>0</v>
      </c>
      <c r="R2502" t="str">
        <f>$Q$2456</f>
        <v>L5</v>
      </c>
      <c r="S2502">
        <f>$E$24</f>
        <v>0</v>
      </c>
      <c r="T2502" cm="1">
        <f t="array" ref="T2502">IFERROR(IF(S2502=0,0,(INDEX($C$33:$C$38,MATCH($W$2465,$B$33:$B$38,0),0)*(S2503+$X$2465)+$T$2465*COUNTIF(S2502:S2502,"&gt;0")*$C$32+$V$2465*$C$31)*$R$2465),0)</f>
        <v>0</v>
      </c>
      <c r="U2502">
        <f>IF(S2502=0,0,-(COUNTIF(S2502:S2502,"&gt;0")*$T$2465*$C$32+$V$2465*$C$31)*$H$27*$R$2465)</f>
        <v>0</v>
      </c>
      <c r="V2502">
        <f>IF(S2502=0,0,$V$2465*$H$26*$R$2465)</f>
        <v>0</v>
      </c>
      <c r="W2502">
        <f>(0.6*T2502+0.7*U2502)*$R$2465/2</f>
        <v>0</v>
      </c>
      <c r="X2502">
        <f>T2502*$R$2465/2</f>
        <v>0</v>
      </c>
      <c r="Z2502">
        <f>IF(S2502=0,0,$AD$2465*$AP$2456)</f>
        <v>0</v>
      </c>
      <c r="AA2502">
        <f>IFERROR(Z2502/$R$2465,0)</f>
        <v>0</v>
      </c>
      <c r="AB2502">
        <f>Z2502*($F$24+IF($F$24=0,0,($C$14+$C$15+IF($C$13="single",1.5,3)+3)/12))</f>
        <v>0</v>
      </c>
      <c r="AC2502">
        <f>AB2502-W2502</f>
        <v>0</v>
      </c>
      <c r="AD2502" cm="1">
        <f t="array" ref="AD2502">IFERROR(IF(AC2502&lt;0,0,AC2502/($R$2465-INDEX(hd_off,MATCH(AQ2502,hd_mark,0),0)/12)),0)</f>
        <v>0</v>
      </c>
      <c r="AE2502">
        <f>IF(S2502=0,0,$AD$2465*$AM$2456)</f>
        <v>0</v>
      </c>
      <c r="AF2502">
        <f>IFERROR(AE2502/$R$2465,0)</f>
        <v>0</v>
      </c>
      <c r="AG2502">
        <f>AE2502*($F$24+IF($F$24=0,0,($C$14+$C$15+IF($C$13="single",1.5,3)+3)/12))</f>
        <v>0</v>
      </c>
      <c r="AH2502">
        <f>AG2502-X2502</f>
        <v>0</v>
      </c>
      <c r="AI2502" cm="1">
        <f t="array" ref="AI2502">IFERROR(IF(AH2502&lt;0,0,AH2502/($R$2465-INDEX(hd_off,MATCH(AQ2502,hd_mark,0),0)/12)),0)</f>
        <v>0</v>
      </c>
      <c r="AJ2502">
        <f>MAX($F$24,$AB$2465)/$Q$2484</f>
        <v>0</v>
      </c>
      <c r="AK2502">
        <f t="shared" si="1553"/>
        <v>0</v>
      </c>
      <c r="AL2502" cm="1">
        <f t="array" ref="AL2502">IFERROR(INDEX(sheath_ecap_asd,MATCH(AP2502,sheath_mark,0),0)*AK2502,0)</f>
        <v>0</v>
      </c>
      <c r="AM2502" cm="1">
        <f t="array" ref="AM2502">IFERROR(INDEX(sheath_wcap_asd,MATCH(AP2502,sheath_mark,0),0)*AK2502,0)</f>
        <v>0</v>
      </c>
      <c r="AN2502" cm="1">
        <f t="array" ref="AN2502">IFERROR(INDEX(hd_cap,MATCH(AQ2502,hd_mark,0),0),0)</f>
        <v>0</v>
      </c>
      <c r="AP2502" s="19"/>
      <c r="AQ2502" s="19"/>
      <c r="AR2502" s="100"/>
      <c r="AS2502" s="93"/>
      <c r="AT2502" s="111">
        <f>$R$2465</f>
        <v>0</v>
      </c>
      <c r="AU2502" t="str">
        <f>$Q$2456</f>
        <v>L5</v>
      </c>
      <c r="AV2502">
        <f>$E$24</f>
        <v>0</v>
      </c>
      <c r="AW2502" cm="1">
        <f t="array" ref="AW2502">IFERROR(IF(AV2502=0,0,(INDEX($C$33:$C$38,MATCH($AZ$2465,$B$33:$B$38,0),0)*(AV2503+$BA$2465)+$AW$2465*COUNTIF(AV2502:AV2502,"&gt;0")*$C$32+$AY$2465*$C$31)*$AU$2465),0)</f>
        <v>0</v>
      </c>
      <c r="AX2502">
        <f>IF(AV2502=0,0,-(COUNTIF(AV2502:AV2502,"&gt;0")*$AW$2465*$C$32+$AY$2465*$C$31)*$H$27*$AU$2465)</f>
        <v>0</v>
      </c>
      <c r="AY2502">
        <f>IF(AV2502=0,0,$AY$2465*$H$26*$AU$2465)</f>
        <v>0</v>
      </c>
      <c r="AZ2502">
        <f>(0.6*AW2502+0.7*AX2502)*$AU$2465/2</f>
        <v>0</v>
      </c>
      <c r="BA2502">
        <f>AW2502*$AU$2465/2</f>
        <v>0</v>
      </c>
      <c r="BC2502">
        <f>IF(AV2502=0,0,$BG$2465*$AP$2456)</f>
        <v>0</v>
      </c>
      <c r="BD2502">
        <f>IFERROR(BC2502/$AU$2465,0)</f>
        <v>0</v>
      </c>
      <c r="BE2502">
        <f>BC2502*($F$24+IF($F$24=0,0,($C$14+$C$15+IF($C$13="single",1.5,3)+3)/12))</f>
        <v>0</v>
      </c>
      <c r="BF2502">
        <f>BE2502-AZ2502</f>
        <v>0</v>
      </c>
      <c r="BG2502" cm="1">
        <f t="array" ref="BG2502">IFERROR(IF(BF2502&lt;0,0,BF2502/($AU$2465-INDEX(hd_off,MATCH(BT2502,hd_mark,0),0)/12)),0)</f>
        <v>0</v>
      </c>
      <c r="BH2502">
        <f>IF(AV2502=0,0,$BG$2465*$AM$2456)</f>
        <v>0</v>
      </c>
      <c r="BI2502">
        <f>IFERROR(BH2502/$AU$2465,0)</f>
        <v>0</v>
      </c>
      <c r="BJ2502">
        <f>BH2502*($F$24+IF($F$24=0,0,($C$14+$C$15+IF($C$13="single",1.5,3)+3)/12))</f>
        <v>0</v>
      </c>
      <c r="BK2502">
        <f>BJ2502-BA2502</f>
        <v>0</v>
      </c>
      <c r="BL2502" cm="1">
        <f t="array" ref="BL2502">IFERROR(IF(BK2502&lt;0,0,BK2502/($AU$2465-INDEX(hd_off,MATCH(BT2502,hd_mark,0),0)/12)),0)</f>
        <v>0</v>
      </c>
      <c r="BM2502">
        <f>MAX($F$24,$BE$2465)/$Q$2484</f>
        <v>0</v>
      </c>
      <c r="BN2502">
        <f t="shared" si="1554"/>
        <v>0</v>
      </c>
      <c r="BO2502" cm="1">
        <f t="array" ref="BO2502">IFERROR(INDEX(sheath_ecap_asd,MATCH(BS2502,sheath_mark,0),0)*BN2502,0)</f>
        <v>0</v>
      </c>
      <c r="BP2502" cm="1">
        <f t="array" ref="BP2502">IFERROR(INDEX(sheath_wcap_asd,MATCH(BS2502,sheath_mark,0),0)*BN2502,0)</f>
        <v>0</v>
      </c>
      <c r="BQ2502" cm="1">
        <f t="array" ref="BQ2502">IFERROR(INDEX(hd_cap,MATCH(BT2502,hd_mark,0),0),0)</f>
        <v>0</v>
      </c>
      <c r="BS2502" s="19"/>
      <c r="BT2502" s="19"/>
      <c r="BU2502" s="100"/>
    </row>
    <row r="2503" x14ac:dyDescent="0.25">
      <c r="P2503" s="93"/>
      <c r="Q2503" s="109"/>
      <c r="R2503" t="str">
        <f>$Q$2457</f>
        <v>Roof</v>
      </c>
      <c r="S2503">
        <f>$E$25</f>
        <v>33.171875</v>
      </c>
      <c r="T2503" cm="1">
        <f t="array" ref="T2503">IFERROR(IF(S2503=0,0,(INDEX($C$33:$C$38,MATCH($W$2465,$B$33:$B$38,0),0)*(S2503+$X$2465)+$V$2465*$C$31)*$R$2465),0)</f>
        <v>0</v>
      </c>
      <c r="U2503">
        <f>IF(S2503=0,0,-$V$2465*$C$31*$H$27*$R$2465)</f>
        <v>0</v>
      </c>
      <c r="V2503">
        <f>IF(S2503=0,0,$V$2465*$H$26*$R$2465)</f>
        <v>0</v>
      </c>
      <c r="W2503">
        <f>(0.6*T2503+0.7*U2503)*$R$2465/2</f>
        <v>0</v>
      </c>
      <c r="X2503">
        <f>T2503*$R$2465/2</f>
        <v>0</v>
      </c>
      <c r="Z2503">
        <f>IF(S2503=0,0,$AD$2465*$AP$2457)</f>
        <v>0</v>
      </c>
      <c r="AA2503">
        <f>IFERROR(Z2503/$R$2465,0)</f>
        <v>0</v>
      </c>
      <c r="AB2503">
        <f>Z2503*($F$25+($C$16+$C$17+IF($C$13="single",1.5,3)+3)/12)</f>
        <v>0</v>
      </c>
      <c r="AC2503">
        <f>AB2503-W2503</f>
        <v>0</v>
      </c>
      <c r="AD2503" cm="1">
        <f t="array" ref="AD2503">IFERROR(IF(AC2503&lt;0,0,AC2503/($R$2465-INDEX(hd_off,MATCH(AQ2503,hd_mark,0),0)/12)),0)</f>
        <v>0</v>
      </c>
      <c r="AE2503">
        <f>IF(S2503=0,0,$AD$2465*$AM$2457)</f>
        <v>0</v>
      </c>
      <c r="AF2503">
        <f>IFERROR(AE2503/$R$2465,0)</f>
        <v>0</v>
      </c>
      <c r="AG2503">
        <f>AE2503*($F$25+($C$16+$C$17+IF($C$13="single",1.5,3)+3)/12)</f>
        <v>0</v>
      </c>
      <c r="AH2503">
        <f>AG2503-X2503</f>
        <v>0</v>
      </c>
      <c r="AI2503" cm="1">
        <f t="array" ref="AI2503">IFERROR(IF(AH2503&lt;0,0,AH2503/($R$2465-INDEX(hd_off,MATCH(AQ2503,hd_mark,0),0)/12)),0)</f>
        <v>0</v>
      </c>
      <c r="AJ2503">
        <f>MAX($F$25,$AC$2465)/$Q$2484</f>
        <v>0.29920977011494249</v>
      </c>
      <c r="AK2503">
        <f t="shared" si="1553"/>
        <v>1</v>
      </c>
      <c r="AL2503" cm="1">
        <f t="array" ref="AL2503">IFERROR(INDEX(sheath_ecap_asd,MATCH(AP2503,sheath_mark,0),0)*AK2503,0)</f>
        <v>0</v>
      </c>
      <c r="AM2503" cm="1">
        <f t="array" ref="AM2503">IFERROR(INDEX(sheath_wcap_asd,MATCH(AP2503,sheath_mark,0),0)*AK2503,0)</f>
        <v>0</v>
      </c>
      <c r="AN2503" cm="1">
        <f t="array" ref="AN2503">IFERROR(INDEX(hd_cap,MATCH(AQ2503,hd_mark,0),0),0)</f>
        <v>0</v>
      </c>
      <c r="AP2503" s="19"/>
      <c r="AQ2503" s="19"/>
      <c r="AR2503" s="100"/>
      <c r="AS2503" s="93"/>
      <c r="AT2503" s="109"/>
      <c r="AU2503" t="str">
        <f>$Q$2457</f>
        <v>Roof</v>
      </c>
      <c r="AV2503">
        <f>$E$25</f>
        <v>33.171875</v>
      </c>
      <c r="AW2503" cm="1">
        <f t="array" ref="AW2503">IFERROR(IF(AV2503=0,0,(INDEX($C$33:$C$38,MATCH($AZ$2465,$B$33:$B$38,0),0)*(AV2503+$BA$2465)+$AY$2465*$C$31)*$AU$2465),0)</f>
        <v>0</v>
      </c>
      <c r="AX2503">
        <f>IF(AV2503=0,0,-$AY$2465*$C$31*$H$27*$AU$2465)</f>
        <v>0</v>
      </c>
      <c r="AY2503">
        <f>IF(AV2503=0,0,$AY$2465*$H$26*$AU$2465)</f>
        <v>0</v>
      </c>
      <c r="AZ2503">
        <f>(0.6*AW2503+0.7*AX2503)*$AU$2465/2</f>
        <v>0</v>
      </c>
      <c r="BA2503">
        <f>AW2503*$AU$2465/2</f>
        <v>0</v>
      </c>
      <c r="BC2503">
        <f>IF(AV2503=0,0,$BG$2465*$AP$2457)</f>
        <v>0</v>
      </c>
      <c r="BD2503">
        <f>IFERROR(BC2503/$AU$2465,0)</f>
        <v>0</v>
      </c>
      <c r="BE2503">
        <f>BC2503*($F$25+($C$16+$C$17+IF($C$13="single",1.5,3)+3)/12)</f>
        <v>0</v>
      </c>
      <c r="BF2503">
        <f>BE2503-AZ2503</f>
        <v>0</v>
      </c>
      <c r="BG2503" cm="1">
        <f t="array" ref="BG2503">IFERROR(IF(BF2503&lt;0,0,BF2503/($AU$2465-INDEX(hd_off,MATCH(BT2503,hd_mark,0),0)/12)),0)</f>
        <v>0</v>
      </c>
      <c r="BH2503">
        <f>IF(AV2503=0,0,$BG$2465*$AM$2457)</f>
        <v>0</v>
      </c>
      <c r="BI2503">
        <f>IFERROR(BH2503/$AU$2465,0)</f>
        <v>0</v>
      </c>
      <c r="BJ2503">
        <f>BH2503*($F$25+($C$16+$C$17+IF($C$13="single",1.5,3)+3)/12)</f>
        <v>0</v>
      </c>
      <c r="BK2503">
        <f>BJ2503-BA2503</f>
        <v>0</v>
      </c>
      <c r="BL2503" cm="1">
        <f t="array" ref="BL2503">IFERROR(IF(BK2503&lt;0,0,BK2503/($AU$2465-INDEX(hd_off,MATCH(BT2503,hd_mark,0),0)/12)),0)</f>
        <v>0</v>
      </c>
      <c r="BM2503">
        <f>MAX($F$25,$BF$2465)/$Q$2484</f>
        <v>0.29920977011494249</v>
      </c>
      <c r="BN2503">
        <f t="shared" si="1554"/>
        <v>1</v>
      </c>
      <c r="BO2503" cm="1">
        <f t="array" ref="BO2503">IFERROR(INDEX(sheath_ecap_asd,MATCH(BS2503,sheath_mark,0),0)*BN2503,0)</f>
        <v>0</v>
      </c>
      <c r="BP2503" cm="1">
        <f t="array" ref="BP2503">IFERROR(INDEX(sheath_wcap_asd,MATCH(BS2503,sheath_mark,0),0)*BN2503,0)</f>
        <v>0</v>
      </c>
      <c r="BQ2503" cm="1">
        <f t="array" ref="BQ2503">IFERROR(INDEX(hd_cap,MATCH(BT2503,hd_mark,0),0),0)</f>
        <v>0</v>
      </c>
      <c r="BS2503" s="19"/>
      <c r="BT2503" s="19"/>
      <c r="BU2503" s="100"/>
    </row>
    <row r="2504" x14ac:dyDescent="0.25">
      <c r="P2504" s="93"/>
      <c r="AR2504" s="100"/>
      <c r="AS2504" s="93"/>
      <c r="BU2504" s="100"/>
    </row>
    <row r="2505" x14ac:dyDescent="0.25">
      <c r="P2505" s="93"/>
      <c r="Q2505" s="110" t="str">
        <f>$Q$2466</f>
        <v>A.05</v>
      </c>
      <c r="R2505" t="str">
        <f>$Q$2453</f>
        <v>L2</v>
      </c>
      <c r="S2505">
        <f>$E$21</f>
        <v>10.6875</v>
      </c>
      <c r="T2505" cm="1">
        <f t="array" ref="T2505">IFERROR(IF(S2505=0,0,(INDEX($C$33:$C$38,MATCH($W$2466,$B$33:$B$38,0),0)*(S2509+$X$2466)+$T$2466*COUNTIF(S2505:S2508,"&gt;0")*$C$32+$V$2466*$C$31)*$R$2466),0)</f>
        <v>0</v>
      </c>
      <c r="U2505">
        <f>IF(S2505=0,0,-(COUNTIF(S2505:S2508,"&gt;0")*$T$2466*$C$32+$V$2466*$C$31)*$H$27*$R$2466)</f>
        <v>0</v>
      </c>
      <c r="V2505">
        <f>IF(S2505=0,0,$V$2466*$H$26*$R$2466)</f>
        <v>0</v>
      </c>
      <c r="W2505">
        <f>(0.6*T2505+0.7*U2505)*$R$2466/2</f>
        <v>0</v>
      </c>
      <c r="X2505">
        <f>(0.6*T2505+0.6*V2505)*$R$2466/2</f>
        <v>0</v>
      </c>
      <c r="Z2505">
        <f>IF(S2505=0,0,$AD$2466*$AP$2453)</f>
        <v>0</v>
      </c>
      <c r="AA2505">
        <f>IFERROR(Z2505/$R$2466,0)</f>
        <v>0</v>
      </c>
      <c r="AB2505">
        <f>Z2505*($F$21+IF($F$21=0,0,($C$14+$C$15+IF($C$13="single",1.5,3)+3)/12))</f>
        <v>0</v>
      </c>
      <c r="AC2505">
        <f>AB2505-W2505</f>
        <v>0</v>
      </c>
      <c r="AD2505" cm="1">
        <f t="array" ref="AD2505">IFERROR(IF(AC2505&lt;0,0,AC2505/($R$2466-INDEX(hd_off,MATCH(AQ2505,hd_mark,0),0)/12)),0)</f>
        <v>0</v>
      </c>
      <c r="AE2505">
        <f>IF(S2505=0,0,$AD$2466*$AM$2453)</f>
        <v>0</v>
      </c>
      <c r="AF2505">
        <f>IFERROR(AE2505/$R$2466,0)</f>
        <v>0</v>
      </c>
      <c r="AG2505">
        <f>AE2505*($F$21+IF($F$21=0,0,($C$14+$C$15+IF($C$13="single",1.5,3)+3)/12))</f>
        <v>0</v>
      </c>
      <c r="AH2505">
        <f>AG2505-X2505</f>
        <v>0</v>
      </c>
      <c r="AI2505" cm="1">
        <f t="array" ref="AI2505">IFERROR(IF(AH2505&lt;0,0,AH2505/($R$2466-INDEX(hd_off,MATCH(AQ2505,hd_mark,0),0)/12)),0)</f>
        <v>0</v>
      </c>
      <c r="AJ2505">
        <f>MAX($F$21,$Y$2466)/$Q$2484</f>
        <v>0.30172413793103448</v>
      </c>
      <c r="AK2505">
        <f>IF(AJ2505=0,0,IF(AJ2505&gt;2,1.25-0.125*AJ2505,1))</f>
        <v>1</v>
      </c>
      <c r="AL2505" cm="1">
        <f t="array" ref="AL2505">IFERROR(INDEX(sheath_ecap_asd,MATCH(AP2505,sheath_mark,0),0)*AK2505,0)</f>
        <v>0</v>
      </c>
      <c r="AM2505" cm="1">
        <f t="array" ref="AM2505">IFERROR(INDEX(sheath_wcap_asd,MATCH(AP2505,sheath_mark,0),0)*AK2505,0)</f>
        <v>0</v>
      </c>
      <c r="AN2505" cm="1">
        <f t="array" ref="AN2505">IFERROR(INDEX(hd_cap,MATCH(AQ2505,hd_mark,0),0),0)</f>
        <v>0</v>
      </c>
      <c r="AP2505" s="19"/>
      <c r="AQ2505" s="19"/>
      <c r="AR2505" s="100"/>
      <c r="AS2505" s="93"/>
      <c r="AT2505" s="110" t="str">
        <f>$AT$2466</f>
        <v>1.05</v>
      </c>
      <c r="AU2505" t="str">
        <f>$Q$2453</f>
        <v>L2</v>
      </c>
      <c r="AV2505">
        <f>$E$21</f>
        <v>10.6875</v>
      </c>
      <c r="AW2505" cm="1">
        <f t="array" ref="AW2505">IFERROR(IF(AV2505=0,0,(INDEX($C$33:$C$38,MATCH($AZ$2466,$B$33:$B$38,0),0)*(AV2509+$BA$2466)+$AW$2466*COUNTIF(AV2505:AV2508,"&gt;0")*$C$32+$AY$2466*$C$31)*$AU$2466),0)</f>
        <v>0</v>
      </c>
      <c r="AX2505">
        <f>IF(AV2505=0,0,-(COUNTIF(AV2505:AV2508,"&gt;0")*$AW$2466*$C$32+$AY$2466*$C$31)*$H$27*$AU$2466)</f>
        <v>0</v>
      </c>
      <c r="AY2505">
        <f>IF(AV2505=0,0,$AY$2466*$H$26*$AU$2466)</f>
        <v>0</v>
      </c>
      <c r="AZ2505">
        <f>(0.6*AW2505+0.7*AX2505)*$AU$2466/2</f>
        <v>0</v>
      </c>
      <c r="BA2505">
        <f>(0.6*AW2505+0.6*AY2505)*$AU$2466/2</f>
        <v>0</v>
      </c>
      <c r="BC2505">
        <f>IF(AV2505=0,0,$BG$2466*$AP$2453)</f>
        <v>0</v>
      </c>
      <c r="BD2505">
        <f>IFERROR(BC2505/$AU$2466,0)</f>
        <v>0</v>
      </c>
      <c r="BE2505">
        <f>BC2505*($F$21+IF($F$21=0,0,($C$14+$C$15+IF($C$13="single",1.5,3)+3)/12))</f>
        <v>0</v>
      </c>
      <c r="BF2505">
        <f>BE2505-AZ2505</f>
        <v>0</v>
      </c>
      <c r="BG2505" cm="1">
        <f t="array" ref="BG2505">IFERROR(IF(BF2505&lt;0,0,BF2505/($AU$2466-INDEX(hd_off,MATCH(BT2505,hd_mark,0),0)/12)),0)</f>
        <v>0</v>
      </c>
      <c r="BH2505">
        <f>IF(AV2505=0,0,$BG$2466*$AM$2453)</f>
        <v>0</v>
      </c>
      <c r="BI2505">
        <f>IFERROR(BH2505/$AU$2466,0)</f>
        <v>0</v>
      </c>
      <c r="BJ2505">
        <f>BH2505*($F$21+IF($F$21=0,0,($C$14+$C$15+IF($C$13="single",1.5,3)+3)/12))</f>
        <v>0</v>
      </c>
      <c r="BK2505">
        <f>BJ2505-BA2505</f>
        <v>0</v>
      </c>
      <c r="BL2505" cm="1">
        <f t="array" ref="BL2505">IFERROR(IF(BK2505&lt;0,0,BK2505/($AU$2466-INDEX(hd_off,MATCH(BT2505,hd_mark,0),0)/12)),0)</f>
        <v>0</v>
      </c>
      <c r="BM2505">
        <f>MAX($F$21,$BB$2466)/$Q$2484</f>
        <v>0.30172413793103448</v>
      </c>
      <c r="BN2505">
        <f>IF(BM2505=0,0,IF(BM2505&gt;2,1.25-0.125*BM2505,1))</f>
        <v>1</v>
      </c>
      <c r="BO2505" cm="1">
        <f t="array" ref="BO2505">IFERROR(INDEX(sheath_ecap_asd,MATCH(BS2505,sheath_mark,0),0)*BN2505,0)</f>
        <v>0</v>
      </c>
      <c r="BP2505" cm="1">
        <f t="array" ref="BP2505">IFERROR(INDEX(sheath_wcap_asd,MATCH(BS2505,sheath_mark,0),0)*BN2505,0)</f>
        <v>0</v>
      </c>
      <c r="BQ2505" cm="1">
        <f t="array" ref="BQ2505">IFERROR(INDEX(hd_cap,MATCH(BT2505,hd_mark,0),0),0)</f>
        <v>0</v>
      </c>
      <c r="BS2505" s="19"/>
      <c r="BT2505" s="19"/>
      <c r="BU2505" s="100"/>
    </row>
    <row r="2506" x14ac:dyDescent="0.25">
      <c r="B2506" s="1"/>
      <c r="P2506" s="93"/>
      <c r="Q2506" s="109"/>
      <c r="R2506" t="str">
        <f>$Q$2454</f>
        <v>L3</v>
      </c>
      <c r="S2506">
        <f>$E$22</f>
        <v>21.375</v>
      </c>
      <c r="T2506" cm="1">
        <f t="array" ref="T2506">IFERROR(IF(S2506=0,0,(INDEX($C$33:$C$38,MATCH($W$2466,$B$33:$B$38,0),0)*(S2509+$X$2466)+$T$2466*COUNTIF(S2506:S2508,"&gt;0")*$C$32+$V$2466*$C$31)*$R$2466),0)</f>
        <v>0</v>
      </c>
      <c r="U2506">
        <f>IF(S2506=0,0,-(COUNTIF(S2506:S2508,"&gt;0")*$T$2466*$C$32+$V$2466*$C$31)*$H$27*$R$2466)</f>
        <v>0</v>
      </c>
      <c r="V2506">
        <f>IF(S2506=0,0,$V$2466*$H$26*$R$2466)</f>
        <v>0</v>
      </c>
      <c r="W2506">
        <f>(0.6*T2506+0.7*U2506)*$R$2466/2</f>
        <v>0</v>
      </c>
      <c r="X2506">
        <f>T2506*$R$2466/2</f>
        <v>0</v>
      </c>
      <c r="Z2506">
        <f>IF(S2506=0,0,$AD$2466*$AP$2454)</f>
        <v>0</v>
      </c>
      <c r="AA2506">
        <f>IFERROR(Z2506/$R$2466,0)</f>
        <v>0</v>
      </c>
      <c r="AB2506">
        <f>Z2506*($F$22+IF($F$22=0,0,($C$14+$C$15+IF($C$13="single",1.5,3)+3)/12))</f>
        <v>0</v>
      </c>
      <c r="AC2506">
        <f>AB2506-W2506</f>
        <v>0</v>
      </c>
      <c r="AD2506" cm="1">
        <f t="array" ref="AD2506">IFERROR(IF(AC2506&lt;0,0,AC2506/($R$2466-INDEX(hd_off,MATCH(AQ2506,hd_mark,0),0)/12)),0)</f>
        <v>0</v>
      </c>
      <c r="AE2506">
        <f>IF(S2506=0,0,$AD$2466*$AM$2454)</f>
        <v>0</v>
      </c>
      <c r="AF2506">
        <f>IFERROR(AE2506/$R$2466,0)</f>
        <v>0</v>
      </c>
      <c r="AG2506">
        <f>AE2506*($F$22+IF($F$22=0,0,($C$14+$C$15+IF($C$13="single",1.5,3)+3)/12))</f>
        <v>0</v>
      </c>
      <c r="AH2506">
        <f>AG2506-X2506</f>
        <v>0</v>
      </c>
      <c r="AI2506" cm="1">
        <f t="array" ref="AI2506">IFERROR(IF(AH2506&lt;0,0,AH2506/($R$2466-INDEX(hd_off,MATCH(AQ2506,hd_mark,0),0)/12)),0)</f>
        <v>0</v>
      </c>
      <c r="AJ2506">
        <f>MAX($F$22,$Z$2466)/$Q$2484</f>
        <v>0.30172413793103448</v>
      </c>
      <c r="AK2506">
        <f t="shared" ref="AK2506:AK2509" si="1555">IF(AJ2506=0,0,IF(AJ2506&gt;2,1.25-0.125*AJ2506,1))</f>
        <v>1</v>
      </c>
      <c r="AL2506" cm="1">
        <f t="array" ref="AL2506">IFERROR(INDEX(sheath_ecap_asd,MATCH(AP2506,sheath_mark,0),0)*AK2506,0)</f>
        <v>0</v>
      </c>
      <c r="AM2506" cm="1">
        <f t="array" ref="AM2506">IFERROR(INDEX(sheath_wcap_asd,MATCH(AP2506,sheath_mark,0),0)*AK2506,0)</f>
        <v>0</v>
      </c>
      <c r="AN2506" cm="1">
        <f t="array" ref="AN2506">IFERROR(INDEX(hd_cap,MATCH(AQ2506,hd_mark,0),0),0)</f>
        <v>0</v>
      </c>
      <c r="AP2506" s="19"/>
      <c r="AQ2506" s="19"/>
      <c r="AR2506" s="100"/>
      <c r="AS2506" s="93"/>
      <c r="AT2506" s="109"/>
      <c r="AU2506" t="str">
        <f>$Q$2454</f>
        <v>L3</v>
      </c>
      <c r="AV2506">
        <f>$E$22</f>
        <v>21.375</v>
      </c>
      <c r="AW2506" cm="1">
        <f t="array" ref="AW2506">IFERROR(IF(AV2506=0,0,(INDEX($C$33:$C$38,MATCH($AZ$2466,$B$33:$B$38,0),0)*(AV2509+$BA$2466)+$AW$2466*COUNTIF(AV2506:AV2508,"&gt;0")*$C$32+$AY$2466*$C$31)*$AU$2466),0)</f>
        <v>0</v>
      </c>
      <c r="AX2506">
        <f>IF(AV2506=0,0,-(COUNTIF(AV2506:AV2508,"&gt;0")*$AW$2466*$C$32+$AY$2466*$C$31)*$H$27*$AU$2466)</f>
        <v>0</v>
      </c>
      <c r="AY2506">
        <f>IF(AV2506=0,0,$AY$2466*$H$26*$AU$2466)</f>
        <v>0</v>
      </c>
      <c r="AZ2506">
        <f>(0.6*AW2506+0.7*AX2506)*$AU$2466/2</f>
        <v>0</v>
      </c>
      <c r="BA2506">
        <f>AW2506*$AU$2466/2</f>
        <v>0</v>
      </c>
      <c r="BC2506">
        <f>IF(AV2506=0,0,$BG$2466*$AP$2454)</f>
        <v>0</v>
      </c>
      <c r="BD2506">
        <f>IFERROR(BC2506/$AU$2466,0)</f>
        <v>0</v>
      </c>
      <c r="BE2506">
        <f>BC2506*($F$22+IF($F$22=0,0,($C$14+$C$15+IF($C$13="single",1.5,3)+3)/12))</f>
        <v>0</v>
      </c>
      <c r="BF2506">
        <f>BE2506-AZ2506</f>
        <v>0</v>
      </c>
      <c r="BG2506" cm="1">
        <f t="array" ref="BG2506">IFERROR(IF(BF2506&lt;0,0,BF2506/($AU$2466-INDEX(hd_off,MATCH(BT2506,hd_mark,0),0)/12)),0)</f>
        <v>0</v>
      </c>
      <c r="BH2506">
        <f>IF(AV2506=0,0,$BG$2466*$AM$2454)</f>
        <v>0</v>
      </c>
      <c r="BI2506">
        <f>IFERROR(BH2506/$AU$2466,0)</f>
        <v>0</v>
      </c>
      <c r="BJ2506">
        <f>BH2506*($F$22+IF($F$22=0,0,($C$14+$C$15+IF($C$13="single",1.5,3)+3)/12))</f>
        <v>0</v>
      </c>
      <c r="BK2506">
        <f>BJ2506-BA2506</f>
        <v>0</v>
      </c>
      <c r="BL2506" cm="1">
        <f t="array" ref="BL2506">IFERROR(IF(BK2506&lt;0,0,BK2506/($AU$2466-INDEX(hd_off,MATCH(BT2506,hd_mark,0),0)/12)),0)</f>
        <v>0</v>
      </c>
      <c r="BM2506">
        <f>MAX($F$22,$BC$2466)/$Q$2484</f>
        <v>0.30172413793103448</v>
      </c>
      <c r="BN2506">
        <f t="shared" ref="BN2506:BN2509" si="1556">IF(BM2506=0,0,IF(BM2506&gt;2,1.25-0.125*BM2506,1))</f>
        <v>1</v>
      </c>
      <c r="BO2506" cm="1">
        <f t="array" ref="BO2506">IFERROR(INDEX(sheath_ecap_asd,MATCH(BS2506,sheath_mark,0),0)*BN2506,0)</f>
        <v>0</v>
      </c>
      <c r="BP2506" cm="1">
        <f t="array" ref="BP2506">IFERROR(INDEX(sheath_wcap_asd,MATCH(BS2506,sheath_mark,0),0)*BN2506,0)</f>
        <v>0</v>
      </c>
      <c r="BQ2506" cm="1">
        <f t="array" ref="BQ2506">IFERROR(INDEX(hd_cap,MATCH(BT2506,hd_mark,0),0),0)</f>
        <v>0</v>
      </c>
      <c r="BS2506" s="19"/>
      <c r="BT2506" s="19"/>
      <c r="BU2506" s="100"/>
    </row>
    <row r="2507" x14ac:dyDescent="0.25">
      <c r="P2507" s="93"/>
      <c r="Q2507" s="109" t="s">
        <v>491</v>
      </c>
      <c r="R2507" t="str">
        <f>$Q$2455</f>
        <v>L4</v>
      </c>
      <c r="S2507">
        <f>$E$23</f>
        <v>0</v>
      </c>
      <c r="T2507" cm="1">
        <f t="array" ref="T2507">IFERROR(IF(S2507=0,0,(INDEX($C$33:$C$38,MATCH($W$2466,$B$33:$B$38,0),0)*(S2509+$X$2466)+$T$2466*COUNTIF(S2507:S2508,"&gt;0")*$C$32+$V$2466*$C$31)*$R$2466),0)</f>
        <v>0</v>
      </c>
      <c r="U2507">
        <f>IF(S2507=0,0,-(COUNTIF(S2507:S2508,"&gt;0")*$T$2466*$C$32+$V$2466*$C$31)*$H$27*$R$2466)</f>
        <v>0</v>
      </c>
      <c r="V2507">
        <f>IF(S2507=0,0,$V$2466*$H$26*$R$2466)</f>
        <v>0</v>
      </c>
      <c r="W2507">
        <f>(0.6*T2507+0.7*U2507)*$R$2466/2</f>
        <v>0</v>
      </c>
      <c r="X2507">
        <f>T2507*$R$2466/2</f>
        <v>0</v>
      </c>
      <c r="Z2507">
        <f>IF(S2507=0,0,$AD$2466*$AP$2455)</f>
        <v>0</v>
      </c>
      <c r="AA2507">
        <f>IFERROR(Z2507/$R$2466,0)</f>
        <v>0</v>
      </c>
      <c r="AB2507">
        <f>Z2507*($F$23+IF($F$23=0,0,($C$14+$C$15+IF($C$13="single",1.5,3)+3)/12))</f>
        <v>0</v>
      </c>
      <c r="AC2507">
        <f>AB2507-W2507</f>
        <v>0</v>
      </c>
      <c r="AD2507" cm="1">
        <f t="array" ref="AD2507">IFERROR(IF(AC2507&lt;0,0,AC2507/($R$2466-INDEX(hd_off,MATCH(AQ2507,hd_mark,0),0)/12)),0)</f>
        <v>0</v>
      </c>
      <c r="AE2507">
        <f>IF(S2507=0,0,$AD$2466*$AM$2455)</f>
        <v>0</v>
      </c>
      <c r="AF2507">
        <f>IFERROR(AE2507/$R$2466,0)</f>
        <v>0</v>
      </c>
      <c r="AG2507">
        <f>AE2507*($F$23+IF($F$23=0,0,($C$14+$C$15+IF($C$13="single",1.5,3)+3)/12))</f>
        <v>0</v>
      </c>
      <c r="AH2507">
        <f>AG2507-X2507</f>
        <v>0</v>
      </c>
      <c r="AI2507" cm="1">
        <f t="array" ref="AI2507">IFERROR(IF(AH2507&lt;0,0,AH2507/($R$2466-INDEX(hd_off,MATCH(AQ2507,hd_mark,0),0)/12)),0)</f>
        <v>0</v>
      </c>
      <c r="AJ2507">
        <f>MAX($F$23,$AA$2466)/$Q$2484</f>
        <v>0</v>
      </c>
      <c r="AK2507">
        <f t="shared" si="1555"/>
        <v>0</v>
      </c>
      <c r="AL2507" cm="1">
        <f t="array" ref="AL2507">IFERROR(INDEX(sheath_ecap_asd,MATCH(AP2507,sheath_mark,0),0)*AK2507,0)</f>
        <v>0</v>
      </c>
      <c r="AM2507" cm="1">
        <f t="array" ref="AM2507">IFERROR(INDEX(sheath_wcap_asd,MATCH(AP2507,sheath_mark,0),0)*AK2507,0)</f>
        <v>0</v>
      </c>
      <c r="AN2507" cm="1">
        <f t="array" ref="AN2507">IFERROR(INDEX(hd_cap,MATCH(AQ2507,hd_mark,0),0),0)</f>
        <v>0</v>
      </c>
      <c r="AP2507" s="19"/>
      <c r="AQ2507" s="19"/>
      <c r="AR2507" s="100"/>
      <c r="AS2507" s="93"/>
      <c r="AT2507" s="109" t="s">
        <v>491</v>
      </c>
      <c r="AU2507" t="str">
        <f>$Q$2455</f>
        <v>L4</v>
      </c>
      <c r="AV2507">
        <f>$E$23</f>
        <v>0</v>
      </c>
      <c r="AW2507" cm="1">
        <f t="array" ref="AW2507">IFERROR(IF(AV2507=0,0,(INDEX($C$33:$C$38,MATCH($AZ$2466,$B$33:$B$38,0),0)*(AV2509+$BA$2466)+$AW$2466*COUNTIF(AV2507:AV2508,"&gt;0")*$C$32+$AY$2466*$C$31)*$AU$2466),0)</f>
        <v>0</v>
      </c>
      <c r="AX2507">
        <f>IF(AV2507=0,0,-(COUNTIF(AV2507:AV2508,"&gt;0")*$AW$2466*$C$32+$AY$2466*$C$31)*$H$27*$AU$2466)</f>
        <v>0</v>
      </c>
      <c r="AY2507">
        <f>IF(AV2507=0,0,$AY$2466*$H$26*$AU$2466)</f>
        <v>0</v>
      </c>
      <c r="AZ2507">
        <f>(0.6*AW2507+0.7*AX2507)*$AU$2466/2</f>
        <v>0</v>
      </c>
      <c r="BA2507">
        <f>AW2507*$AU$2466/2</f>
        <v>0</v>
      </c>
      <c r="BC2507">
        <f>IF(AV2507=0,0,$BG$2466*$AP$2455)</f>
        <v>0</v>
      </c>
      <c r="BD2507">
        <f>IFERROR(BC2507/$AU$2466,0)</f>
        <v>0</v>
      </c>
      <c r="BE2507">
        <f>BC2507*($F$23+IF($F$23=0,0,($C$14+$C$15+IF($C$13="single",1.5,3)+3)/12))</f>
        <v>0</v>
      </c>
      <c r="BF2507">
        <f>BE2507-AZ2507</f>
        <v>0</v>
      </c>
      <c r="BG2507" cm="1">
        <f t="array" ref="BG2507">IFERROR(IF(BF2507&lt;0,0,BF2507/($AU$2466-INDEX(hd_off,MATCH(BT2507,hd_mark,0),0)/12)),0)</f>
        <v>0</v>
      </c>
      <c r="BH2507">
        <f>IF(AV2507=0,0,$BG$2466*$AM$2455)</f>
        <v>0</v>
      </c>
      <c r="BI2507">
        <f>IFERROR(BH2507/$AU$2466,0)</f>
        <v>0</v>
      </c>
      <c r="BJ2507">
        <f>BH2507*($F$23+IF($F$23=0,0,($C$14+$C$15+IF($C$13="single",1.5,3)+3)/12))</f>
        <v>0</v>
      </c>
      <c r="BK2507">
        <f>BJ2507-BA2507</f>
        <v>0</v>
      </c>
      <c r="BL2507" cm="1">
        <f t="array" ref="BL2507">IFERROR(IF(BK2507&lt;0,0,BK2507/($AU$2466-INDEX(hd_off,MATCH(BT2507,hd_mark,0),0)/12)),0)</f>
        <v>0</v>
      </c>
      <c r="BM2507">
        <f>MAX($F$23,$BD$2466)/$Q$2484</f>
        <v>0</v>
      </c>
      <c r="BN2507">
        <f t="shared" si="1556"/>
        <v>0</v>
      </c>
      <c r="BO2507" cm="1">
        <f t="array" ref="BO2507">IFERROR(INDEX(sheath_ecap_asd,MATCH(BS2507,sheath_mark,0),0)*BN2507,0)</f>
        <v>0</v>
      </c>
      <c r="BP2507" cm="1">
        <f t="array" ref="BP2507">IFERROR(INDEX(sheath_wcap_asd,MATCH(BS2507,sheath_mark,0),0)*BN2507,0)</f>
        <v>0</v>
      </c>
      <c r="BQ2507" cm="1">
        <f t="array" ref="BQ2507">IFERROR(INDEX(hd_cap,MATCH(BT2507,hd_mark,0),0),0)</f>
        <v>0</v>
      </c>
      <c r="BS2507" s="19"/>
      <c r="BT2507" s="19"/>
      <c r="BU2507" s="100"/>
    </row>
    <row r="2508" x14ac:dyDescent="0.25">
      <c r="P2508" s="93"/>
      <c r="Q2508" s="111">
        <f>$R$2466</f>
        <v>0</v>
      </c>
      <c r="R2508" t="str">
        <f>$Q$2456</f>
        <v>L5</v>
      </c>
      <c r="S2508">
        <f>$E$24</f>
        <v>0</v>
      </c>
      <c r="T2508" cm="1">
        <f t="array" ref="T2508">IFERROR(IF(S2508=0,0,(INDEX($C$33:$C$38,MATCH($W$2466,$B$33:$B$38,0),0)*(S2509+$X$2466)+$T$2466*COUNTIF(S2508:S2508,"&gt;0")*$C$32+$V$2466*$C$31)*$R$2466),0)</f>
        <v>0</v>
      </c>
      <c r="U2508">
        <f>IF(S2508=0,0,-(COUNTIF(S2508:S2508,"&gt;0")*$T$2466*$C$32+$V$2466*$C$31)*$H$27*$R$2466)</f>
        <v>0</v>
      </c>
      <c r="V2508">
        <f>IF(S2508=0,0,$V$2466*$H$26*$R$2466)</f>
        <v>0</v>
      </c>
      <c r="W2508">
        <f>(0.6*T2508+0.7*U2508)*$R$2466/2</f>
        <v>0</v>
      </c>
      <c r="X2508">
        <f>T2508*$R$2466/2</f>
        <v>0</v>
      </c>
      <c r="Z2508">
        <f>IF(S2508=0,0,$AD$2466*$AP$2456)</f>
        <v>0</v>
      </c>
      <c r="AA2508">
        <f>IFERROR(Z2508/$R$2466,0)</f>
        <v>0</v>
      </c>
      <c r="AB2508">
        <f>Z2508*($F$24+IF($F$24=0,0,($C$14+$C$15+IF($C$13="single",1.5,3)+3)/12))</f>
        <v>0</v>
      </c>
      <c r="AC2508">
        <f>AB2508-W2508</f>
        <v>0</v>
      </c>
      <c r="AD2508" cm="1">
        <f t="array" ref="AD2508">IFERROR(IF(AC2508&lt;0,0,AC2508/($R$2466-INDEX(hd_off,MATCH(AQ2508,hd_mark,0),0)/12)),0)</f>
        <v>0</v>
      </c>
      <c r="AE2508">
        <f>IF(S2508=0,0,$AD$2466*$AM$2456)</f>
        <v>0</v>
      </c>
      <c r="AF2508">
        <f>IFERROR(AE2508/$R$2466,0)</f>
        <v>0</v>
      </c>
      <c r="AG2508">
        <f>AE2508*($F$24+IF($F$24=0,0,($C$14+$C$15+IF($C$13="single",1.5,3)+3)/12))</f>
        <v>0</v>
      </c>
      <c r="AH2508">
        <f>AG2508-X2508</f>
        <v>0</v>
      </c>
      <c r="AI2508" cm="1">
        <f t="array" ref="AI2508">IFERROR(IF(AH2508&lt;0,0,AH2508/($R$2466-INDEX(hd_off,MATCH(AQ2508,hd_mark,0),0)/12)),0)</f>
        <v>0</v>
      </c>
      <c r="AJ2508">
        <f>MAX($F$24,$AB$2466)/$Q$2484</f>
        <v>0</v>
      </c>
      <c r="AK2508">
        <f t="shared" si="1555"/>
        <v>0</v>
      </c>
      <c r="AL2508" cm="1">
        <f t="array" ref="AL2508">IFERROR(INDEX(sheath_ecap_asd,MATCH(AP2508,sheath_mark,0),0)*AK2508,0)</f>
        <v>0</v>
      </c>
      <c r="AM2508" cm="1">
        <f t="array" ref="AM2508">IFERROR(INDEX(sheath_wcap_asd,MATCH(AP2508,sheath_mark,0),0)*AK2508,0)</f>
        <v>0</v>
      </c>
      <c r="AN2508" cm="1">
        <f t="array" ref="AN2508">IFERROR(INDEX(hd_cap,MATCH(AQ2508,hd_mark,0),0),0)</f>
        <v>0</v>
      </c>
      <c r="AP2508" s="19"/>
      <c r="AQ2508" s="19"/>
      <c r="AR2508" s="100"/>
      <c r="AS2508" s="93"/>
      <c r="AT2508" s="111">
        <f>$R$2466</f>
        <v>0</v>
      </c>
      <c r="AU2508" t="str">
        <f>$Q$2456</f>
        <v>L5</v>
      </c>
      <c r="AV2508">
        <f>$E$24</f>
        <v>0</v>
      </c>
      <c r="AW2508" cm="1">
        <f t="array" ref="AW2508">IFERROR(IF(AV2508=0,0,(INDEX($C$33:$C$38,MATCH($AZ$2466,$B$33:$B$38,0),0)*(AV2509+$BA$2466)+$AW$2466*COUNTIF(AV2508:AV2508,"&gt;0")*$C$32+$AY$2466*$C$31)*$AU$2466),0)</f>
        <v>0</v>
      </c>
      <c r="AX2508">
        <f>IF(AV2508=0,0,-(COUNTIF(AV2508:AV2508,"&gt;0")*$AW$2466*$C$32+$AY$2466*$C$31)*$H$27*$AU$2466)</f>
        <v>0</v>
      </c>
      <c r="AY2508">
        <f>IF(AV2508=0,0,$AY$2466*$H$26*$AU$2466)</f>
        <v>0</v>
      </c>
      <c r="AZ2508">
        <f>(0.6*AW2508+0.7*AX2508)*$AU$2466/2</f>
        <v>0</v>
      </c>
      <c r="BA2508">
        <f>AW2508*$AU$2466/2</f>
        <v>0</v>
      </c>
      <c r="BC2508">
        <f>IF(AV2508=0,0,$BG$2466*$AP$2456)</f>
        <v>0</v>
      </c>
      <c r="BD2508">
        <f>IFERROR(BC2508/$AU$2466,0)</f>
        <v>0</v>
      </c>
      <c r="BE2508">
        <f>BC2508*($F$24+IF($F$24=0,0,($C$14+$C$15+IF($C$13="single",1.5,3)+3)/12))</f>
        <v>0</v>
      </c>
      <c r="BF2508">
        <f>BE2508-AZ2508</f>
        <v>0</v>
      </c>
      <c r="BG2508" cm="1">
        <f t="array" ref="BG2508">IFERROR(IF(BF2508&lt;0,0,BF2508/($AU$2466-INDEX(hd_off,MATCH(BT2508,hd_mark,0),0)/12)),0)</f>
        <v>0</v>
      </c>
      <c r="BH2508">
        <f>IF(AV2508=0,0,$BG$2466*$AM$2456)</f>
        <v>0</v>
      </c>
      <c r="BI2508">
        <f>IFERROR(BH2508/$AU$2466,0)</f>
        <v>0</v>
      </c>
      <c r="BJ2508">
        <f>BH2508*($F$24+IF($F$24=0,0,($C$14+$C$15+IF($C$13="single",1.5,3)+3)/12))</f>
        <v>0</v>
      </c>
      <c r="BK2508">
        <f>BJ2508-BA2508</f>
        <v>0</v>
      </c>
      <c r="BL2508" cm="1">
        <f t="array" ref="BL2508">IFERROR(IF(BK2508&lt;0,0,BK2508/($AU$2466-INDEX(hd_off,MATCH(BT2508,hd_mark,0),0)/12)),0)</f>
        <v>0</v>
      </c>
      <c r="BM2508">
        <f>MAX($F$24,$BE$2466)/$Q$2484</f>
        <v>0</v>
      </c>
      <c r="BN2508">
        <f t="shared" si="1556"/>
        <v>0</v>
      </c>
      <c r="BO2508" cm="1">
        <f t="array" ref="BO2508">IFERROR(INDEX(sheath_ecap_asd,MATCH(BS2508,sheath_mark,0),0)*BN2508,0)</f>
        <v>0</v>
      </c>
      <c r="BP2508" cm="1">
        <f t="array" ref="BP2508">IFERROR(INDEX(sheath_wcap_asd,MATCH(BS2508,sheath_mark,0),0)*BN2508,0)</f>
        <v>0</v>
      </c>
      <c r="BQ2508" cm="1">
        <f t="array" ref="BQ2508">IFERROR(INDEX(hd_cap,MATCH(BT2508,hd_mark,0),0),0)</f>
        <v>0</v>
      </c>
      <c r="BS2508" s="19"/>
      <c r="BT2508" s="19"/>
      <c r="BU2508" s="100"/>
    </row>
    <row r="2509" x14ac:dyDescent="0.25">
      <c r="P2509" s="93"/>
      <c r="Q2509" s="109"/>
      <c r="R2509" t="str">
        <f>$Q$2457</f>
        <v>Roof</v>
      </c>
      <c r="S2509">
        <f>$E$25</f>
        <v>33.171875</v>
      </c>
      <c r="T2509" cm="1">
        <f t="array" ref="T2509">IFERROR(IF(S2509=0,0,(INDEX($C$33:$C$38,MATCH($W$2466,$B$33:$B$38,0),0)*(S2509+$X$2466)+$V$2466*$C$31)*$R$2466),0)</f>
        <v>0</v>
      </c>
      <c r="U2509">
        <f>IF(S2509=0,0,-$V$2466*$C$31*$H$27*$R$2466)</f>
        <v>0</v>
      </c>
      <c r="V2509">
        <f>IF(S2509=0,0,$V$2466*$H$26*$R$2466)</f>
        <v>0</v>
      </c>
      <c r="W2509">
        <f>(0.6*T2509+0.7*U2509)*$R$2466/2</f>
        <v>0</v>
      </c>
      <c r="X2509">
        <f>T2509*$R$2466/2</f>
        <v>0</v>
      </c>
      <c r="Z2509">
        <f>IF(S2509=0,0,$AD$2466*$AP$2457)</f>
        <v>0</v>
      </c>
      <c r="AA2509">
        <f>IFERROR(Z2509/$R$2466,0)</f>
        <v>0</v>
      </c>
      <c r="AB2509">
        <f>Z2509*($F$25+($C$16+$C$17+IF($C$13="single",1.5,3)+3)/12)</f>
        <v>0</v>
      </c>
      <c r="AC2509">
        <f>AB2509-W2509</f>
        <v>0</v>
      </c>
      <c r="AD2509" cm="1">
        <f t="array" ref="AD2509">IFERROR(IF(AC2509&lt;0,0,AC2509/($R$2466-INDEX(hd_off,MATCH(AQ2509,hd_mark,0),0)/12)),0)</f>
        <v>0</v>
      </c>
      <c r="AE2509">
        <f>IF(S2509=0,0,$AD$2466*$AM$2457)</f>
        <v>0</v>
      </c>
      <c r="AF2509">
        <f>IFERROR(AE2509/$R$2466,0)</f>
        <v>0</v>
      </c>
      <c r="AG2509">
        <f>AE2509*($F$25+($C$16+$C$17+IF($C$13="single",1.5,3)+3)/12)</f>
        <v>0</v>
      </c>
      <c r="AH2509">
        <f>AG2509-X2509</f>
        <v>0</v>
      </c>
      <c r="AI2509" cm="1">
        <f t="array" ref="AI2509">IFERROR(IF(AH2509&lt;0,0,AH2509/($R$2466-INDEX(hd_off,MATCH(AQ2509,hd_mark,0),0)/12)),0)</f>
        <v>0</v>
      </c>
      <c r="AJ2509">
        <f>MAX($F$25,$AC$2466)/$Q$2484</f>
        <v>0.29920977011494249</v>
      </c>
      <c r="AK2509">
        <f t="shared" si="1555"/>
        <v>1</v>
      </c>
      <c r="AL2509" cm="1">
        <f t="array" ref="AL2509">IFERROR(INDEX(sheath_ecap_asd,MATCH(AP2509,sheath_mark,0),0)*AK2509,0)</f>
        <v>0</v>
      </c>
      <c r="AM2509" cm="1">
        <f t="array" ref="AM2509">IFERROR(INDEX(sheath_wcap_asd,MATCH(AP2509,sheath_mark,0),0)*AK2509,0)</f>
        <v>0</v>
      </c>
      <c r="AN2509" cm="1">
        <f t="array" ref="AN2509">IFERROR(INDEX(hd_cap,MATCH(AQ2509,hd_mark,0),0),0)</f>
        <v>0</v>
      </c>
      <c r="AP2509" s="19"/>
      <c r="AQ2509" s="19"/>
      <c r="AR2509" s="100"/>
      <c r="AS2509" s="93"/>
      <c r="AT2509" s="109"/>
      <c r="AU2509" t="str">
        <f>$Q$2457</f>
        <v>Roof</v>
      </c>
      <c r="AV2509">
        <f>$E$25</f>
        <v>33.171875</v>
      </c>
      <c r="AW2509" cm="1">
        <f t="array" ref="AW2509">IFERROR(IF(AV2509=0,0,(INDEX($C$33:$C$38,MATCH($AZ$2466,$B$33:$B$38,0),0)*(AV2509+$BA$2466)+$AY$2466*$C$31)*$AU$2466),0)</f>
        <v>0</v>
      </c>
      <c r="AX2509">
        <f>IF(AV2509=0,0,-$AY$2466*$C$31*$H$27*$AU$2466)</f>
        <v>0</v>
      </c>
      <c r="AY2509">
        <f>IF(AV2509=0,0,$AY$2466*$H$26*$AU$2466)</f>
        <v>0</v>
      </c>
      <c r="AZ2509">
        <f>(0.6*AW2509+0.7*AX2509)*$AU$2466/2</f>
        <v>0</v>
      </c>
      <c r="BA2509">
        <f>AW2509*$AU$2466/2</f>
        <v>0</v>
      </c>
      <c r="BC2509">
        <f>IF(AV2509=0,0,$BG$2466*$AP$2457)</f>
        <v>0</v>
      </c>
      <c r="BD2509">
        <f>IFERROR(BC2509/$AU$2466,0)</f>
        <v>0</v>
      </c>
      <c r="BE2509">
        <f>BC2509*($F$25+($C$16+$C$17+IF($C$13="single",1.5,3)+3)/12)</f>
        <v>0</v>
      </c>
      <c r="BF2509">
        <f>BE2509-AZ2509</f>
        <v>0</v>
      </c>
      <c r="BG2509" cm="1">
        <f t="array" ref="BG2509">IFERROR(IF(BF2509&lt;0,0,BF2509/($AU$2466-INDEX(hd_off,MATCH(BT2509,hd_mark,0),0)/12)),0)</f>
        <v>0</v>
      </c>
      <c r="BH2509">
        <f>IF(AV2509=0,0,$BG$2466*$AM$2457)</f>
        <v>0</v>
      </c>
      <c r="BI2509">
        <f>IFERROR(BH2509/$AU$2466,0)</f>
        <v>0</v>
      </c>
      <c r="BJ2509">
        <f>BH2509*($F$25+($C$16+$C$17+IF($C$13="single",1.5,3)+3)/12)</f>
        <v>0</v>
      </c>
      <c r="BK2509">
        <f>BJ2509-BA2509</f>
        <v>0</v>
      </c>
      <c r="BL2509" cm="1">
        <f t="array" ref="BL2509">IFERROR(IF(BK2509&lt;0,0,BK2509/($AU$2466-INDEX(hd_off,MATCH(BT2509,hd_mark,0),0)/12)),0)</f>
        <v>0</v>
      </c>
      <c r="BM2509">
        <f>MAX($F$25,$BF$2466)/$Q$2484</f>
        <v>0.29920977011494249</v>
      </c>
      <c r="BN2509">
        <f t="shared" si="1556"/>
        <v>1</v>
      </c>
      <c r="BO2509" cm="1">
        <f t="array" ref="BO2509">IFERROR(INDEX(sheath_ecap_asd,MATCH(BS2509,sheath_mark,0),0)*BN2509,0)</f>
        <v>0</v>
      </c>
      <c r="BP2509" cm="1">
        <f t="array" ref="BP2509">IFERROR(INDEX(sheath_wcap_asd,MATCH(BS2509,sheath_mark,0),0)*BN2509,0)</f>
        <v>0</v>
      </c>
      <c r="BQ2509" cm="1">
        <f t="array" ref="BQ2509">IFERROR(INDEX(hd_cap,MATCH(BT2509,hd_mark,0),0),0)</f>
        <v>0</v>
      </c>
      <c r="BS2509" s="19"/>
      <c r="BT2509" s="19"/>
      <c r="BU2509" s="100"/>
    </row>
    <row r="2510" x14ac:dyDescent="0.25">
      <c r="P2510" s="93"/>
      <c r="AR2510" s="100"/>
      <c r="AS2510" s="93"/>
      <c r="BU2510" s="100"/>
    </row>
    <row r="2511" x14ac:dyDescent="0.25">
      <c r="P2511" s="93"/>
      <c r="Q2511" s="110" t="str">
        <f>$Q$2467</f>
        <v>A.06</v>
      </c>
      <c r="R2511" t="str">
        <f>$Q$2453</f>
        <v>L2</v>
      </c>
      <c r="S2511">
        <f>$E$21</f>
        <v>10.6875</v>
      </c>
      <c r="T2511" cm="1">
        <f t="array" ref="T2511">IFERROR(IF(S2511=0,0,(INDEX($C$33:$C$38,MATCH($W$2467,$B$33:$B$38,0),0)*(S2515+$X$2467)+$T$2467*COUNTIF(S2511:S2514,"&gt;0")*$C$32+$V$2467*$C$31)*$R$2467),0)</f>
        <v>0</v>
      </c>
      <c r="U2511">
        <f>IF(S2511=0,0,-(COUNTIF(S2511:S2514,"&gt;0")*$T$2467*$C$32+$V$2467*$C$31)*$H$27*$R$2467)</f>
        <v>0</v>
      </c>
      <c r="V2511">
        <f>IF(S2511=0,0,$V$2467*$H$26*$R$2467)</f>
        <v>0</v>
      </c>
      <c r="W2511">
        <f>(0.6*T2511+0.7*U2511)*$R$2467/2</f>
        <v>0</v>
      </c>
      <c r="X2511">
        <f>(0.6*T2511+0.6*V2511)*$R$2467/2</f>
        <v>0</v>
      </c>
      <c r="Z2511">
        <f>IF(S2511=0,0,$AD$2467*$AP$2453)</f>
        <v>0</v>
      </c>
      <c r="AA2511">
        <f>IFERROR(Z2511/$R$2467,0)</f>
        <v>0</v>
      </c>
      <c r="AB2511">
        <f>Z2511*($F$21+IF($F$21=0,0,($C$14+$C$15+IF($C$13="single",1.5,3)+3)/12))</f>
        <v>0</v>
      </c>
      <c r="AC2511">
        <f>AB2511-W2511</f>
        <v>0</v>
      </c>
      <c r="AD2511" cm="1">
        <f t="array" ref="AD2511">IFERROR(IF(AC2511&lt;0,0,AC2511/($R$2467-INDEX(hd_off,MATCH(AQ2511,hd_mark,0),0)/12)),0)</f>
        <v>0</v>
      </c>
      <c r="AE2511">
        <f>IF(S2511=0,0,$AD$2467*$AM$2453)</f>
        <v>0</v>
      </c>
      <c r="AF2511">
        <f>IFERROR(AE2511/$R$2467,0)</f>
        <v>0</v>
      </c>
      <c r="AG2511">
        <f>AE2511*($F$21+IF($F$21=0,0,($C$14+$C$15+IF($C$13="single",1.5,3)+3)/12))</f>
        <v>0</v>
      </c>
      <c r="AH2511">
        <f>AG2511-X2511</f>
        <v>0</v>
      </c>
      <c r="AI2511" cm="1">
        <f t="array" ref="AI2511">IFERROR(IF(AH2511&lt;0,0,AH2511/($R$2467-INDEX(hd_off,MATCH(AQ2511,hd_mark,0),0)/12)),0)</f>
        <v>0</v>
      </c>
      <c r="AJ2511">
        <f>MAX($F$21,$Y$2467)/$Q$2484</f>
        <v>0.30172413793103448</v>
      </c>
      <c r="AK2511">
        <f>IF(AJ2511=0,0,IF(AJ2511&gt;2,1.25-0.125*AJ2511,1))</f>
        <v>1</v>
      </c>
      <c r="AL2511" cm="1">
        <f t="array" ref="AL2511">IFERROR(INDEX(sheath_ecap_asd,MATCH(AP2511,sheath_mark,0),0)*AK2511,0)</f>
        <v>0</v>
      </c>
      <c r="AM2511" cm="1">
        <f t="array" ref="AM2511">IFERROR(INDEX(sheath_wcap_asd,MATCH(AP2511,sheath_mark,0),0)*AK2511,0)</f>
        <v>0</v>
      </c>
      <c r="AN2511" cm="1">
        <f t="array" ref="AN2511">IFERROR(INDEX(hd_cap,MATCH(AQ2511,hd_mark,0),0),0)</f>
        <v>0</v>
      </c>
      <c r="AP2511" s="19"/>
      <c r="AQ2511" s="19"/>
      <c r="AR2511" s="100"/>
      <c r="AS2511" s="93"/>
      <c r="AT2511" s="110" t="str">
        <f>$AT$2467</f>
        <v>1.06</v>
      </c>
      <c r="AU2511" t="str">
        <f>$Q$2453</f>
        <v>L2</v>
      </c>
      <c r="AV2511">
        <f>$E$21</f>
        <v>10.6875</v>
      </c>
      <c r="AW2511" cm="1">
        <f t="array" ref="AW2511">IFERROR(IF(AV2511=0,0,(INDEX($C$33:$C$38,MATCH($AZ$2467,$B$33:$B$38,0),0)*(AV2515+$BA$2467)+$AW$2467*COUNTIF(AV2511:AV2514,"&gt;0")*$C$32+$AY$2467*$C$31)*$AU$2467),0)</f>
        <v>0</v>
      </c>
      <c r="AX2511">
        <f>IF(AV2511=0,0,-(COUNTIF(AV2511:AV2514,"&gt;0")*$AW$2467*$C$32+$AY$2467*$C$31)*$H$27*$AU$2467)</f>
        <v>0</v>
      </c>
      <c r="AY2511">
        <f>IF(AV2511=0,0,$AY$2467*$H$26*$AU$2467)</f>
        <v>0</v>
      </c>
      <c r="AZ2511">
        <f>(0.6*AW2511+0.7*AX2511)*$AU$2467/2</f>
        <v>0</v>
      </c>
      <c r="BA2511">
        <f>(0.6*AW2511+0.6*AY2511)*$AU$2467/2</f>
        <v>0</v>
      </c>
      <c r="BC2511">
        <f>IF(AV2511=0,0,$BG$2467*$AP$2453)</f>
        <v>0</v>
      </c>
      <c r="BD2511">
        <f>IFERROR(BC2511/$AU$2467,0)</f>
        <v>0</v>
      </c>
      <c r="BE2511">
        <f>BC2511*($F$21+IF($F$21=0,0,($C$14+$C$15+IF($C$13="single",1.5,3)+3)/12))</f>
        <v>0</v>
      </c>
      <c r="BF2511">
        <f>BE2511-AZ2511</f>
        <v>0</v>
      </c>
      <c r="BG2511" cm="1">
        <f t="array" ref="BG2511">IFERROR(IF(BF2511&lt;0,0,BF2511/($AU$2467-INDEX(hd_off,MATCH(BT2511,hd_mark,0),0)/12)),0)</f>
        <v>0</v>
      </c>
      <c r="BH2511">
        <f>IF(AV2511=0,0,$BG$2467*$AM$2453)</f>
        <v>0</v>
      </c>
      <c r="BI2511">
        <f>IFERROR(BH2511/$AU$2467,0)</f>
        <v>0</v>
      </c>
      <c r="BJ2511">
        <f>BH2511*($F$21+IF($F$21=0,0,($C$14+$C$15+IF($C$13="single",1.5,3)+3)/12))</f>
        <v>0</v>
      </c>
      <c r="BK2511">
        <f>BJ2511-BA2511</f>
        <v>0</v>
      </c>
      <c r="BL2511" cm="1">
        <f t="array" ref="BL2511">IFERROR(IF(BK2511&lt;0,0,BK2511/($AU$2467-INDEX(hd_off,MATCH(BT2511,hd_mark,0),0)/12)),0)</f>
        <v>0</v>
      </c>
      <c r="BM2511">
        <f>MAX($F$21,$BB$2467)/$Q$2484</f>
        <v>0.30172413793103448</v>
      </c>
      <c r="BN2511">
        <f>IF(BM2511=0,0,IF(BM2511&gt;2,1.25-0.125*BM2511,1))</f>
        <v>1</v>
      </c>
      <c r="BO2511" cm="1">
        <f t="array" ref="BO2511">IFERROR(INDEX(sheath_ecap_asd,MATCH(BS2511,sheath_mark,0),0)*BN2511,0)</f>
        <v>0</v>
      </c>
      <c r="BP2511" cm="1">
        <f t="array" ref="BP2511">IFERROR(INDEX(sheath_wcap_asd,MATCH(BS2511,sheath_mark,0),0)*BN2511,0)</f>
        <v>0</v>
      </c>
      <c r="BQ2511" cm="1">
        <f t="array" ref="BQ2511">IFERROR(INDEX(hd_cap,MATCH(BT2511,hd_mark,0),0),0)</f>
        <v>0</v>
      </c>
      <c r="BS2511" s="19"/>
      <c r="BT2511" s="19"/>
      <c r="BU2511" s="100"/>
    </row>
    <row r="2512" x14ac:dyDescent="0.25">
      <c r="P2512" s="93"/>
      <c r="Q2512" s="109"/>
      <c r="R2512" t="str">
        <f>$Q$2454</f>
        <v>L3</v>
      </c>
      <c r="S2512">
        <f>$E$22</f>
        <v>21.375</v>
      </c>
      <c r="T2512" cm="1">
        <f t="array" ref="T2512">IFERROR(IF(S2512=0,0,(INDEX($C$33:$C$38,MATCH($W$2467,$B$33:$B$38,0),0)*(S2515+$X$2467)+$T$2467*COUNTIF(S2512:S2514,"&gt;0")*$C$32+$V$2467*$C$31)*$R$2467),0)</f>
        <v>0</v>
      </c>
      <c r="U2512">
        <f>IF(S2512=0,0,-(COUNTIF(S2512:S2514,"&gt;0")*$T$2467*$C$32+$V$2467*$C$31)*$H$27*$R$2467)</f>
        <v>0</v>
      </c>
      <c r="V2512">
        <f>IF(S2512=0,0,$V$2467*$H$26*$R$2467)</f>
        <v>0</v>
      </c>
      <c r="W2512">
        <f>(0.6*T2512+0.7*U2512)*$R$2467/2</f>
        <v>0</v>
      </c>
      <c r="X2512">
        <f>T2512*$R$2467/2</f>
        <v>0</v>
      </c>
      <c r="Z2512">
        <f>IF(S2512=0,0,$AD$2467*$AP$2454)</f>
        <v>0</v>
      </c>
      <c r="AA2512">
        <f>IFERROR(Z2512/$R$2467,0)</f>
        <v>0</v>
      </c>
      <c r="AB2512">
        <f>Z2512*($F$22+IF($F$22=0,0,($C$14+$C$15+IF($C$13="single",1.5,3)+3)/12))</f>
        <v>0</v>
      </c>
      <c r="AC2512">
        <f>AB2512-W2512</f>
        <v>0</v>
      </c>
      <c r="AD2512" cm="1">
        <f t="array" ref="AD2512">IFERROR(IF(AC2512&lt;0,0,AC2512/($R$2467-INDEX(hd_off,MATCH(AQ2512,hd_mark,0),0)/12)),0)</f>
        <v>0</v>
      </c>
      <c r="AE2512">
        <f>IF(S2512=0,0,$AD$2467*$AM$2454)</f>
        <v>0</v>
      </c>
      <c r="AF2512">
        <f>IFERROR(AE2512/$R$2467,0)</f>
        <v>0</v>
      </c>
      <c r="AG2512">
        <f>AE2512*($F$22+IF($F$22=0,0,($C$14+$C$15+IF($C$13="single",1.5,3)+3)/12))</f>
        <v>0</v>
      </c>
      <c r="AH2512">
        <f>AG2512-X2512</f>
        <v>0</v>
      </c>
      <c r="AI2512" cm="1">
        <f t="array" ref="AI2512">IFERROR(IF(AH2512&lt;0,0,AH2512/($R$2467-INDEX(hd_off,MATCH(AQ2512,hd_mark,0),0)/12)),0)</f>
        <v>0</v>
      </c>
      <c r="AJ2512">
        <f>MAX($F$22,$Z$2467)/$Q$2484</f>
        <v>0.30172413793103448</v>
      </c>
      <c r="AK2512">
        <f t="shared" ref="AK2512:AK2515" si="1557">IF(AJ2512=0,0,IF(AJ2512&gt;2,1.25-0.125*AJ2512,1))</f>
        <v>1</v>
      </c>
      <c r="AL2512" cm="1">
        <f t="array" ref="AL2512">IFERROR(INDEX(sheath_ecap_asd,MATCH(AP2512,sheath_mark,0),0)*AK2512,0)</f>
        <v>0</v>
      </c>
      <c r="AM2512" cm="1">
        <f t="array" ref="AM2512">IFERROR(INDEX(sheath_wcap_asd,MATCH(AP2512,sheath_mark,0),0)*AK2512,0)</f>
        <v>0</v>
      </c>
      <c r="AN2512" cm="1">
        <f t="array" ref="AN2512">IFERROR(INDEX(hd_cap,MATCH(AQ2512,hd_mark,0),0),0)</f>
        <v>0</v>
      </c>
      <c r="AP2512" s="19"/>
      <c r="AQ2512" s="19"/>
      <c r="AR2512" s="100"/>
      <c r="AS2512" s="93"/>
      <c r="AT2512" s="109"/>
      <c r="AU2512" t="str">
        <f>$Q$2454</f>
        <v>L3</v>
      </c>
      <c r="AV2512">
        <f>$E$22</f>
        <v>21.375</v>
      </c>
      <c r="AW2512" cm="1">
        <f t="array" ref="AW2512">IFERROR(IF(AV2512=0,0,(INDEX($C$33:$C$38,MATCH($AZ$2467,$B$33:$B$38,0),0)*(AV2515+$BA$2467)+$AW$2467*COUNTIF(AV2512:AV2514,"&gt;0")*$C$32+$AY$2467*$C$31)*$AU$2467),0)</f>
        <v>0</v>
      </c>
      <c r="AX2512">
        <f>IF(AV2512=0,0,-(COUNTIF(AV2512:AV2514,"&gt;0")*$AW$2467*$C$32+$AY$2467*$C$31)*$H$27*$AU$2467)</f>
        <v>0</v>
      </c>
      <c r="AY2512">
        <f>IF(AV2512=0,0,$AY$2467*$H$26*$AU$2467)</f>
        <v>0</v>
      </c>
      <c r="AZ2512">
        <f>(0.6*AW2512+0.7*AX2512)*$AU$2467/2</f>
        <v>0</v>
      </c>
      <c r="BA2512">
        <f>AW2512*$AU$2467/2</f>
        <v>0</v>
      </c>
      <c r="BC2512">
        <f>IF(AV2512=0,0,$BG$2467*$AP$2454)</f>
        <v>0</v>
      </c>
      <c r="BD2512">
        <f>IFERROR(BC2512/$AU$2467,0)</f>
        <v>0</v>
      </c>
      <c r="BE2512">
        <f>BC2512*($F$22+IF($F$22=0,0,($C$14+$C$15+IF($C$13="single",1.5,3)+3)/12))</f>
        <v>0</v>
      </c>
      <c r="BF2512">
        <f>BE2512-AZ2512</f>
        <v>0</v>
      </c>
      <c r="BG2512" cm="1">
        <f t="array" ref="BG2512">IFERROR(IF(BF2512&lt;0,0,BF2512/($AU$2467-INDEX(hd_off,MATCH(BT2512,hd_mark,0),0)/12)),0)</f>
        <v>0</v>
      </c>
      <c r="BH2512">
        <f>IF(AV2512=0,0,$BG$2467*$AM$2454)</f>
        <v>0</v>
      </c>
      <c r="BI2512">
        <f>IFERROR(BH2512/$AU$2467,0)</f>
        <v>0</v>
      </c>
      <c r="BJ2512">
        <f>BH2512*($F$22+IF($F$22=0,0,($C$14+$C$15+IF($C$13="single",1.5,3)+3)/12))</f>
        <v>0</v>
      </c>
      <c r="BK2512">
        <f>BJ2512-BA2512</f>
        <v>0</v>
      </c>
      <c r="BL2512" cm="1">
        <f t="array" ref="BL2512">IFERROR(IF(BK2512&lt;0,0,BK2512/($AU$2467-INDEX(hd_off,MATCH(BT2512,hd_mark,0),0)/12)),0)</f>
        <v>0</v>
      </c>
      <c r="BM2512">
        <f>MAX($F$22,$BC$2467)/$Q$2484</f>
        <v>0.30172413793103448</v>
      </c>
      <c r="BN2512">
        <f t="shared" ref="BN2512:BN2515" si="1558">IF(BM2512=0,0,IF(BM2512&gt;2,1.25-0.125*BM2512,1))</f>
        <v>1</v>
      </c>
      <c r="BO2512" cm="1">
        <f t="array" ref="BO2512">IFERROR(INDEX(sheath_ecap_asd,MATCH(BS2512,sheath_mark,0),0)*BN2512,0)</f>
        <v>0</v>
      </c>
      <c r="BP2512" cm="1">
        <f t="array" ref="BP2512">IFERROR(INDEX(sheath_wcap_asd,MATCH(BS2512,sheath_mark,0),0)*BN2512,0)</f>
        <v>0</v>
      </c>
      <c r="BQ2512" cm="1">
        <f t="array" ref="BQ2512">IFERROR(INDEX(hd_cap,MATCH(BT2512,hd_mark,0),0),0)</f>
        <v>0</v>
      </c>
      <c r="BS2512" s="19"/>
      <c r="BT2512" s="19"/>
      <c r="BU2512" s="100"/>
    </row>
    <row r="2513" x14ac:dyDescent="0.25">
      <c r="P2513" s="93"/>
      <c r="Q2513" s="109" t="s">
        <v>491</v>
      </c>
      <c r="R2513" t="str">
        <f>$Q$2455</f>
        <v>L4</v>
      </c>
      <c r="S2513">
        <f>$E$23</f>
        <v>0</v>
      </c>
      <c r="T2513" cm="1">
        <f t="array" ref="T2513">IFERROR(IF(S2513=0,0,(INDEX($C$33:$C$38,MATCH($W$2467,$B$33:$B$38,0),0)*(S2515+$X$2467)+$T$2467*COUNTIF(S2513:S2514,"&gt;0")*$C$32+$V$2467*$C$31)*$R$2467),0)</f>
        <v>0</v>
      </c>
      <c r="U2513">
        <f>IF(S2513=0,0,-(COUNTIF(S2513:S2514,"&gt;0")*$T$2467*$C$32+$V$2467*$C$31)*$H$27*$R$2467)</f>
        <v>0</v>
      </c>
      <c r="V2513">
        <f>IF(S2513=0,0,$V$2467*$H$26*$R$2467)</f>
        <v>0</v>
      </c>
      <c r="W2513">
        <f>(0.6*T2513+0.7*U2513)*$R$2467/2</f>
        <v>0</v>
      </c>
      <c r="X2513">
        <f>T2513*$R$2467/2</f>
        <v>0</v>
      </c>
      <c r="Z2513">
        <f>IF(S2513=0,0,$AD$2467*$AP$2455)</f>
        <v>0</v>
      </c>
      <c r="AA2513">
        <f>IFERROR(Z2513/$R$2467,0)</f>
        <v>0</v>
      </c>
      <c r="AB2513">
        <f>Z2513*($F$23+IF($F$23=0,0,($C$14+$C$15+IF($C$13="single",1.5,3)+3)/12))</f>
        <v>0</v>
      </c>
      <c r="AC2513">
        <f>AB2513-W2513</f>
        <v>0</v>
      </c>
      <c r="AD2513" cm="1">
        <f t="array" ref="AD2513">IFERROR(IF(AC2513&lt;0,0,AC2513/($R$2467-INDEX(hd_off,MATCH(AQ2513,hd_mark,0),0)/12)),0)</f>
        <v>0</v>
      </c>
      <c r="AE2513">
        <f>IF(S2513=0,0,$AD$2467*$AM$2455)</f>
        <v>0</v>
      </c>
      <c r="AF2513">
        <f>IFERROR(AE2513/$R$2467,0)</f>
        <v>0</v>
      </c>
      <c r="AG2513">
        <f>AE2513*($F$23+IF($F$23=0,0,($C$14+$C$15+IF($C$13="single",1.5,3)+3)/12))</f>
        <v>0</v>
      </c>
      <c r="AH2513">
        <f>AG2513-X2513</f>
        <v>0</v>
      </c>
      <c r="AI2513" cm="1">
        <f t="array" ref="AI2513">IFERROR(IF(AH2513&lt;0,0,AH2513/($R$2467-INDEX(hd_off,MATCH(AQ2513,hd_mark,0),0)/12)),0)</f>
        <v>0</v>
      </c>
      <c r="AJ2513">
        <f>MAX($F$23,$AA$2467)/$Q$2484</f>
        <v>0</v>
      </c>
      <c r="AK2513">
        <f t="shared" si="1557"/>
        <v>0</v>
      </c>
      <c r="AL2513" cm="1">
        <f t="array" ref="AL2513">IFERROR(INDEX(sheath_ecap_asd,MATCH(AP2513,sheath_mark,0),0)*AK2513,0)</f>
        <v>0</v>
      </c>
      <c r="AM2513" cm="1">
        <f t="array" ref="AM2513">IFERROR(INDEX(sheath_wcap_asd,MATCH(AP2513,sheath_mark,0),0)*AK2513,0)</f>
        <v>0</v>
      </c>
      <c r="AN2513" cm="1">
        <f t="array" ref="AN2513">IFERROR(INDEX(hd_cap,MATCH(AQ2513,hd_mark,0),0),0)</f>
        <v>0</v>
      </c>
      <c r="AP2513" s="19"/>
      <c r="AQ2513" s="19"/>
      <c r="AR2513" s="100"/>
      <c r="AS2513" s="93"/>
      <c r="AT2513" s="109" t="s">
        <v>491</v>
      </c>
      <c r="AU2513" t="str">
        <f>$Q$2455</f>
        <v>L4</v>
      </c>
      <c r="AV2513">
        <f>$E$23</f>
        <v>0</v>
      </c>
      <c r="AW2513" cm="1">
        <f t="array" ref="AW2513">IFERROR(IF(AV2513=0,0,(INDEX($C$33:$C$38,MATCH($AZ$2467,$B$33:$B$38,0),0)*(AV2515+$BA$2467)+$AW$2467*COUNTIF(AV2513:AV2514,"&gt;0")*$C$32+$AY$2467*$C$31)*$AU$2467),0)</f>
        <v>0</v>
      </c>
      <c r="AX2513">
        <f>IF(AV2513=0,0,-(COUNTIF(AV2513:AV2514,"&gt;0")*$AW$2467*$C$32+$AY$2467*$C$31)*$H$27*$AU$2467)</f>
        <v>0</v>
      </c>
      <c r="AY2513">
        <f>IF(AV2513=0,0,$AY$2467*$H$26*$AU$2467)</f>
        <v>0</v>
      </c>
      <c r="AZ2513">
        <f>(0.6*AW2513+0.7*AX2513)*$AU$2467/2</f>
        <v>0</v>
      </c>
      <c r="BA2513">
        <f>AW2513*$AU$2467/2</f>
        <v>0</v>
      </c>
      <c r="BC2513">
        <f>IF(AV2513=0,0,$BG$2467*$AP$2455)</f>
        <v>0</v>
      </c>
      <c r="BD2513">
        <f>IFERROR(BC2513/$AU$2467,0)</f>
        <v>0</v>
      </c>
      <c r="BE2513">
        <f>BC2513*($F$23+IF($F$23=0,0,($C$14+$C$15+IF($C$13="single",1.5,3)+3)/12))</f>
        <v>0</v>
      </c>
      <c r="BF2513">
        <f>BE2513-AZ2513</f>
        <v>0</v>
      </c>
      <c r="BG2513" cm="1">
        <f t="array" ref="BG2513">IFERROR(IF(BF2513&lt;0,0,BF2513/($AU$2467-INDEX(hd_off,MATCH(BT2513,hd_mark,0),0)/12)),0)</f>
        <v>0</v>
      </c>
      <c r="BH2513">
        <f>IF(AV2513=0,0,$BG$2467*$AM$2455)</f>
        <v>0</v>
      </c>
      <c r="BI2513">
        <f>IFERROR(BH2513/$AU$2467,0)</f>
        <v>0</v>
      </c>
      <c r="BJ2513">
        <f>BH2513*($F$23+IF($F$23=0,0,($C$14+$C$15+IF($C$13="single",1.5,3)+3)/12))</f>
        <v>0</v>
      </c>
      <c r="BK2513">
        <f>BJ2513-BA2513</f>
        <v>0</v>
      </c>
      <c r="BL2513" cm="1">
        <f t="array" ref="BL2513">IFERROR(IF(BK2513&lt;0,0,BK2513/($AU$2467-INDEX(hd_off,MATCH(BT2513,hd_mark,0),0)/12)),0)</f>
        <v>0</v>
      </c>
      <c r="BM2513">
        <f>MAX($F$23,$BD$2467)/$Q$2484</f>
        <v>0</v>
      </c>
      <c r="BN2513">
        <f t="shared" si="1558"/>
        <v>0</v>
      </c>
      <c r="BO2513" cm="1">
        <f t="array" ref="BO2513">IFERROR(INDEX(sheath_ecap_asd,MATCH(BS2513,sheath_mark,0),0)*BN2513,0)</f>
        <v>0</v>
      </c>
      <c r="BP2513" cm="1">
        <f t="array" ref="BP2513">IFERROR(INDEX(sheath_wcap_asd,MATCH(BS2513,sheath_mark,0),0)*BN2513,0)</f>
        <v>0</v>
      </c>
      <c r="BQ2513" cm="1">
        <f t="array" ref="BQ2513">IFERROR(INDEX(hd_cap,MATCH(BT2513,hd_mark,0),0),0)</f>
        <v>0</v>
      </c>
      <c r="BS2513" s="19"/>
      <c r="BT2513" s="19"/>
      <c r="BU2513" s="100"/>
    </row>
    <row r="2514" x14ac:dyDescent="0.25">
      <c r="P2514" s="93"/>
      <c r="Q2514" s="111">
        <f>$R$2467</f>
        <v>0</v>
      </c>
      <c r="R2514" t="str">
        <f>$Q$2456</f>
        <v>L5</v>
      </c>
      <c r="S2514">
        <f>$E$24</f>
        <v>0</v>
      </c>
      <c r="T2514" cm="1">
        <f t="array" ref="T2514">IFERROR(IF(S2514=0,0,(INDEX($C$33:$C$38,MATCH($W$2467,$B$33:$B$38,0),0)*(S2515+$X$2467)+$T$2467*COUNTIF(S2514:S2514,"&gt;0")*$C$32+$V$2467*$C$31)*$R$2467),0)</f>
        <v>0</v>
      </c>
      <c r="U2514">
        <f>IF(S2514=0,0,-(COUNTIF(S2514:S2514,"&gt;0")*$T$2467*$C$32+$V$2467*$C$31)*$H$27*$R$2467)</f>
        <v>0</v>
      </c>
      <c r="V2514">
        <f>IF(S2514=0,0,$V$2467*$H$26*$R$2467)</f>
        <v>0</v>
      </c>
      <c r="W2514">
        <f>(0.6*T2514+0.7*U2514)*$R$2467/2</f>
        <v>0</v>
      </c>
      <c r="X2514">
        <f>T2514*$R$2467/2</f>
        <v>0</v>
      </c>
      <c r="Z2514">
        <f>IF(S2514=0,0,$AD$2467*$AP$2456)</f>
        <v>0</v>
      </c>
      <c r="AA2514">
        <f>IFERROR(Z2514/$R$2467,0)</f>
        <v>0</v>
      </c>
      <c r="AB2514">
        <f>Z2514*($F$24+IF($F$24=0,0,($C$14+$C$15+IF($C$13="single",1.5,3)+3)/12))</f>
        <v>0</v>
      </c>
      <c r="AC2514">
        <f>AB2514-W2514</f>
        <v>0</v>
      </c>
      <c r="AD2514" cm="1">
        <f t="array" ref="AD2514">IFERROR(IF(AC2514&lt;0,0,AC2514/($R$2467-INDEX(hd_off,MATCH(AQ2514,hd_mark,0),0)/12)),0)</f>
        <v>0</v>
      </c>
      <c r="AE2514">
        <f>IF(S2514=0,0,$AD$2467*$AM$2456)</f>
        <v>0</v>
      </c>
      <c r="AF2514">
        <f>IFERROR(AE2514/$R$2467,0)</f>
        <v>0</v>
      </c>
      <c r="AG2514">
        <f>AE2514*($F$24+IF($F$24=0,0,($C$14+$C$15+IF($C$13="single",1.5,3)+3)/12))</f>
        <v>0</v>
      </c>
      <c r="AH2514">
        <f>AG2514-X2514</f>
        <v>0</v>
      </c>
      <c r="AI2514" cm="1">
        <f t="array" ref="AI2514">IFERROR(IF(AH2514&lt;0,0,AH2514/($R$2467-INDEX(hd_off,MATCH(AQ2514,hd_mark,0),0)/12)),0)</f>
        <v>0</v>
      </c>
      <c r="AJ2514">
        <f>MAX($F$24,$AB$2467)/$Q$2484</f>
        <v>0</v>
      </c>
      <c r="AK2514">
        <f t="shared" si="1557"/>
        <v>0</v>
      </c>
      <c r="AL2514" cm="1">
        <f t="array" ref="AL2514">IFERROR(INDEX(sheath_ecap_asd,MATCH(AP2514,sheath_mark,0),0)*AK2514,0)</f>
        <v>0</v>
      </c>
      <c r="AM2514" cm="1">
        <f t="array" ref="AM2514">IFERROR(INDEX(sheath_wcap_asd,MATCH(AP2514,sheath_mark,0),0)*AK2514,0)</f>
        <v>0</v>
      </c>
      <c r="AN2514" cm="1">
        <f t="array" ref="AN2514">IFERROR(INDEX(hd_cap,MATCH(AQ2514,hd_mark,0),0),0)</f>
        <v>0</v>
      </c>
      <c r="AP2514" s="19"/>
      <c r="AQ2514" s="19"/>
      <c r="AR2514" s="100"/>
      <c r="AS2514" s="93"/>
      <c r="AT2514" s="111">
        <f>$R$2467</f>
        <v>0</v>
      </c>
      <c r="AU2514" t="str">
        <f>$Q$2456</f>
        <v>L5</v>
      </c>
      <c r="AV2514">
        <f>$E$24</f>
        <v>0</v>
      </c>
      <c r="AW2514" cm="1">
        <f t="array" ref="AW2514">IFERROR(IF(AV2514=0,0,(INDEX($C$33:$C$38,MATCH($AZ$2467,$B$33:$B$38,0),0)*(AV2515+$BA$2467)+$AW$2467*COUNTIF(AV2514:AV2514,"&gt;0")*$C$32+$AY$2467*$C$31)*$AU$2467),0)</f>
        <v>0</v>
      </c>
      <c r="AX2514">
        <f>IF(AV2514=0,0,-(COUNTIF(AV2514:AV2514,"&gt;0")*$AW$2467*$C$32+$AY$2467*$C$31)*$H$27*$AU$2467)</f>
        <v>0</v>
      </c>
      <c r="AY2514">
        <f>IF(AV2514=0,0,$AY$2467*$H$26*$AU$2467)</f>
        <v>0</v>
      </c>
      <c r="AZ2514">
        <f>(0.6*AW2514+0.7*AX2514)*$AU$2467/2</f>
        <v>0</v>
      </c>
      <c r="BA2514">
        <f>AW2514*$AU$2467/2</f>
        <v>0</v>
      </c>
      <c r="BC2514">
        <f>IF(AV2514=0,0,$BG$2467*$AP$2456)</f>
        <v>0</v>
      </c>
      <c r="BD2514">
        <f>IFERROR(BC2514/$AU$2467,0)</f>
        <v>0</v>
      </c>
      <c r="BE2514">
        <f>BC2514*($F$24+IF($F$24=0,0,($C$14+$C$15+IF($C$13="single",1.5,3)+3)/12))</f>
        <v>0</v>
      </c>
      <c r="BF2514">
        <f>BE2514-AZ2514</f>
        <v>0</v>
      </c>
      <c r="BG2514" cm="1">
        <f t="array" ref="BG2514">IFERROR(IF(BF2514&lt;0,0,BF2514/($AU$2467-INDEX(hd_off,MATCH(BT2514,hd_mark,0),0)/12)),0)</f>
        <v>0</v>
      </c>
      <c r="BH2514">
        <f>IF(AV2514=0,0,$BG$2467*$AM$2456)</f>
        <v>0</v>
      </c>
      <c r="BI2514">
        <f>IFERROR(BH2514/$AU$2467,0)</f>
        <v>0</v>
      </c>
      <c r="BJ2514">
        <f>BH2514*($F$24+IF($F$24=0,0,($C$14+$C$15+IF($C$13="single",1.5,3)+3)/12))</f>
        <v>0</v>
      </c>
      <c r="BK2514">
        <f>BJ2514-BA2514</f>
        <v>0</v>
      </c>
      <c r="BL2514" cm="1">
        <f t="array" ref="BL2514">IFERROR(IF(BK2514&lt;0,0,BK2514/($AU$2467-INDEX(hd_off,MATCH(BT2514,hd_mark,0),0)/12)),0)</f>
        <v>0</v>
      </c>
      <c r="BM2514">
        <f>MAX($F$24,$BE$2467)/$Q$2484</f>
        <v>0</v>
      </c>
      <c r="BN2514">
        <f t="shared" si="1558"/>
        <v>0</v>
      </c>
      <c r="BO2514" cm="1">
        <f t="array" ref="BO2514">IFERROR(INDEX(sheath_ecap_asd,MATCH(BS2514,sheath_mark,0),0)*BN2514,0)</f>
        <v>0</v>
      </c>
      <c r="BP2514" cm="1">
        <f t="array" ref="BP2514">IFERROR(INDEX(sheath_wcap_asd,MATCH(BS2514,sheath_mark,0),0)*BN2514,0)</f>
        <v>0</v>
      </c>
      <c r="BQ2514" cm="1">
        <f t="array" ref="BQ2514">IFERROR(INDEX(hd_cap,MATCH(BT2514,hd_mark,0),0),0)</f>
        <v>0</v>
      </c>
      <c r="BS2514" s="19"/>
      <c r="BT2514" s="19"/>
      <c r="BU2514" s="100"/>
    </row>
    <row r="2515" x14ac:dyDescent="0.25">
      <c r="P2515" s="93"/>
      <c r="Q2515" s="109"/>
      <c r="R2515" t="str">
        <f>$Q$2457</f>
        <v>Roof</v>
      </c>
      <c r="S2515">
        <f>$E$25</f>
        <v>33.171875</v>
      </c>
      <c r="T2515" cm="1">
        <f t="array" ref="T2515">IFERROR(IF(S2515=0,0,(INDEX($C$33:$C$38,MATCH($W$2467,$B$33:$B$38,0),0)*(S2515+$X$2467)+$V$2467*$C$31)*$R$2467),0)</f>
        <v>0</v>
      </c>
      <c r="U2515">
        <f>IF(S2515=0,0,-$V$2467*$C$31*$H$27*$R$2467)</f>
        <v>0</v>
      </c>
      <c r="V2515">
        <f>IF(S2515=0,0,$V$2467*$H$26*$R$2467)</f>
        <v>0</v>
      </c>
      <c r="W2515">
        <f>(0.6*T2515+0.7*U2515)*$R$2467/2</f>
        <v>0</v>
      </c>
      <c r="X2515">
        <f>T2515*$R$2467/2</f>
        <v>0</v>
      </c>
      <c r="Z2515">
        <f>IF(S2515=0,0,$AD$2467*$AP$2457)</f>
        <v>0</v>
      </c>
      <c r="AA2515">
        <f>IFERROR(Z2515/$R$2467,0)</f>
        <v>0</v>
      </c>
      <c r="AB2515">
        <f>Z2515*($F$25+($C$16+$C$17+IF($C$13="single",1.5,3)+3)/12)</f>
        <v>0</v>
      </c>
      <c r="AC2515">
        <f>AB2515-W2515</f>
        <v>0</v>
      </c>
      <c r="AD2515" cm="1">
        <f t="array" ref="AD2515">IFERROR(IF(AC2515&lt;0,0,AC2515/($R$2467-INDEX(hd_off,MATCH(AQ2515,hd_mark,0),0)/12)),0)</f>
        <v>0</v>
      </c>
      <c r="AE2515">
        <f>IF(S2515=0,0,$AD$2467*$AM$2457)</f>
        <v>0</v>
      </c>
      <c r="AF2515">
        <f>IFERROR(AE2515/$R$2467,0)</f>
        <v>0</v>
      </c>
      <c r="AG2515">
        <f>AE2515*($F$25+($C$16+$C$17+IF($C$13="single",1.5,3)+3)/12)</f>
        <v>0</v>
      </c>
      <c r="AH2515">
        <f>AG2515-X2515</f>
        <v>0</v>
      </c>
      <c r="AI2515" cm="1">
        <f t="array" ref="AI2515">IFERROR(IF(AH2515&lt;0,0,AH2515/($R$2467-INDEX(hd_off,MATCH(AQ2515,hd_mark,0),0)/12)),0)</f>
        <v>0</v>
      </c>
      <c r="AJ2515">
        <f>MAX($F$25,$AC$2467)/$Q$2484</f>
        <v>0.29920977011494249</v>
      </c>
      <c r="AK2515">
        <f t="shared" si="1557"/>
        <v>1</v>
      </c>
      <c r="AL2515" cm="1">
        <f t="array" ref="AL2515">IFERROR(INDEX(sheath_ecap_asd,MATCH(AP2515,sheath_mark,0),0)*AK2515,0)</f>
        <v>0</v>
      </c>
      <c r="AM2515" cm="1">
        <f t="array" ref="AM2515">IFERROR(INDEX(sheath_wcap_asd,MATCH(AP2515,sheath_mark,0),0)*AK2515,0)</f>
        <v>0</v>
      </c>
      <c r="AN2515" cm="1">
        <f t="array" ref="AN2515">IFERROR(INDEX(hd_cap,MATCH(AQ2515,hd_mark,0),0),0)</f>
        <v>0</v>
      </c>
      <c r="AP2515" s="19"/>
      <c r="AQ2515" s="19"/>
      <c r="AR2515" s="100"/>
      <c r="AS2515" s="93"/>
      <c r="AT2515" s="109"/>
      <c r="AU2515" t="str">
        <f>$Q$2457</f>
        <v>Roof</v>
      </c>
      <c r="AV2515">
        <f>$E$25</f>
        <v>33.171875</v>
      </c>
      <c r="AW2515" cm="1">
        <f t="array" ref="AW2515">IFERROR(IF(AV2515=0,0,(INDEX($C$33:$C$38,MATCH($AZ$2467,$B$33:$B$38,0),0)*(AV2515+$BA$2467)+$AY$2467*$C$31)*$AU$2467),0)</f>
        <v>0</v>
      </c>
      <c r="AX2515">
        <f>IF(AV2515=0,0,-$AY$2467*$C$31*$H$27*$AU$2467)</f>
        <v>0</v>
      </c>
      <c r="AY2515">
        <f>IF(AV2515=0,0,$AY$2467*$H$26*$AU$2467)</f>
        <v>0</v>
      </c>
      <c r="AZ2515">
        <f>(0.6*AW2515+0.7*AX2515)*$AU$2467/2</f>
        <v>0</v>
      </c>
      <c r="BA2515">
        <f>AW2515*$AU$2467/2</f>
        <v>0</v>
      </c>
      <c r="BC2515">
        <f>IF(AV2515=0,0,$BG$2467*$AP$2457)</f>
        <v>0</v>
      </c>
      <c r="BD2515">
        <f>IFERROR(BC2515/$AU$2467,0)</f>
        <v>0</v>
      </c>
      <c r="BE2515">
        <f>BC2515*($F$25+($C$16+$C$17+IF($C$13="single",1.5,3)+3)/12)</f>
        <v>0</v>
      </c>
      <c r="BF2515">
        <f>BE2515-AZ2515</f>
        <v>0</v>
      </c>
      <c r="BG2515" cm="1">
        <f t="array" ref="BG2515">IFERROR(IF(BF2515&lt;0,0,BF2515/($AU$2467-INDEX(hd_off,MATCH(BT2515,hd_mark,0),0)/12)),0)</f>
        <v>0</v>
      </c>
      <c r="BH2515">
        <f>IF(AV2515=0,0,$BG$2467*$AM$2457)</f>
        <v>0</v>
      </c>
      <c r="BI2515">
        <f>IFERROR(BH2515/$AU$2467,0)</f>
        <v>0</v>
      </c>
      <c r="BJ2515">
        <f>BH2515*($F$25+($C$16+$C$17+IF($C$13="single",1.5,3)+3)/12)</f>
        <v>0</v>
      </c>
      <c r="BK2515">
        <f>BJ2515-BA2515</f>
        <v>0</v>
      </c>
      <c r="BL2515" cm="1">
        <f t="array" ref="BL2515">IFERROR(IF(BK2515&lt;0,0,BK2515/($AU$2467-INDEX(hd_off,MATCH(BT2515,hd_mark,0),0)/12)),0)</f>
        <v>0</v>
      </c>
      <c r="BM2515">
        <f>MAX($F$25,$BF$2467)/$Q$2484</f>
        <v>0.29920977011494249</v>
      </c>
      <c r="BN2515">
        <f t="shared" si="1558"/>
        <v>1</v>
      </c>
      <c r="BO2515" cm="1">
        <f t="array" ref="BO2515">IFERROR(INDEX(sheath_ecap_asd,MATCH(BS2515,sheath_mark,0),0)*BN2515,0)</f>
        <v>0</v>
      </c>
      <c r="BP2515" cm="1">
        <f t="array" ref="BP2515">IFERROR(INDEX(sheath_wcap_asd,MATCH(BS2515,sheath_mark,0),0)*BN2515,0)</f>
        <v>0</v>
      </c>
      <c r="BQ2515" cm="1">
        <f t="array" ref="BQ2515">IFERROR(INDEX(hd_cap,MATCH(BT2515,hd_mark,0),0),0)</f>
        <v>0</v>
      </c>
      <c r="BS2515" s="19"/>
      <c r="BT2515" s="19"/>
      <c r="BU2515" s="100"/>
    </row>
    <row r="2516" x14ac:dyDescent="0.25">
      <c r="P2516" s="93"/>
      <c r="AR2516" s="100"/>
      <c r="AS2516" s="93"/>
      <c r="BU2516" s="100"/>
    </row>
    <row r="2517" x14ac:dyDescent="0.25">
      <c r="P2517" s="93"/>
      <c r="Q2517" s="110" t="str">
        <f>$Q$2468</f>
        <v>A.07</v>
      </c>
      <c r="R2517" t="str">
        <f>$Q$2453</f>
        <v>L2</v>
      </c>
      <c r="S2517">
        <f>$E$21</f>
        <v>10.6875</v>
      </c>
      <c r="T2517" cm="1">
        <f t="array" ref="T2517">IFERROR(IF(S2517=0,0,(INDEX($C$33:$C$38,MATCH($W$2468,$B$33:$B$38,0),0)*(S2521+$X$2468)+$T$2468*COUNTIF(S2517:S2520,"&gt;0")*$C$32+$V$2468*$C$31)*$R$2468),0)</f>
        <v>0</v>
      </c>
      <c r="U2517">
        <f>IF(S2517=0,0,-(COUNTIF(S2517:S2520,"&gt;0")*$T$2468*$C$32+$V$2468*$C$31)*$H$27*$R$2468)</f>
        <v>0</v>
      </c>
      <c r="V2517">
        <f>IF(S2517=0,0,$V$2468*$H$26*$R$2468)</f>
        <v>0</v>
      </c>
      <c r="W2517">
        <f>(0.6*T2517+0.7*U2517)*$R$2468/2</f>
        <v>0</v>
      </c>
      <c r="X2517">
        <f>(0.6*T2517+0.6*V2517)*$R$2468/2</f>
        <v>0</v>
      </c>
      <c r="Z2517">
        <f>IF(S2517=0,0,$AD$2468*$AP$2453)</f>
        <v>0</v>
      </c>
      <c r="AA2517">
        <f>IFERROR(Z2517/$R$2468,0)</f>
        <v>0</v>
      </c>
      <c r="AB2517">
        <f>Z2517*($F$21+IF($F$21=0,0,($C$14+$C$15+IF($C$13="single",1.5,3)+3)/12))</f>
        <v>0</v>
      </c>
      <c r="AC2517">
        <f>AB2517-W2517</f>
        <v>0</v>
      </c>
      <c r="AD2517" cm="1">
        <f t="array" ref="AD2517">IFERROR(IF(AC2517&lt;0,0,AC2517/($R$2468-INDEX(hd_off,MATCH(AQ2517,hd_mark,0),0)/12)),0)</f>
        <v>0</v>
      </c>
      <c r="AE2517">
        <f>IF(S2517=0,0,$AD$2468*$AM$2453)</f>
        <v>0</v>
      </c>
      <c r="AF2517">
        <f>IFERROR(AE2517/$R$2468,0)</f>
        <v>0</v>
      </c>
      <c r="AG2517">
        <f>AE2517*($F$21+IF($F$21=0,0,($C$14+$C$15+IF($C$13="single",1.5,3)+3)/12))</f>
        <v>0</v>
      </c>
      <c r="AH2517">
        <f>AG2517-X2517</f>
        <v>0</v>
      </c>
      <c r="AI2517" cm="1">
        <f t="array" ref="AI2517">IFERROR(IF(AH2517&lt;0,0,AH2517/($R$2468-INDEX(hd_off,MATCH(AQ2517,hd_mark,0),0)/12)),0)</f>
        <v>0</v>
      </c>
      <c r="AJ2517">
        <f>MAX($F$21,$Y$2468)/$Q$2484</f>
        <v>0.30172413793103448</v>
      </c>
      <c r="AK2517">
        <f>IF(AJ2517=0,0,IF(AJ2517&gt;2,1.25-0.125*AJ2517,1))</f>
        <v>1</v>
      </c>
      <c r="AL2517" cm="1">
        <f t="array" ref="AL2517">IFERROR(INDEX(sheath_ecap_asd,MATCH(AP2517,sheath_mark,0),0)*AK2517,0)</f>
        <v>0</v>
      </c>
      <c r="AM2517" cm="1">
        <f t="array" ref="AM2517">IFERROR(INDEX(sheath_wcap_asd,MATCH(AP2517,sheath_mark,0),0)*AK2517,0)</f>
        <v>0</v>
      </c>
      <c r="AN2517" cm="1">
        <f t="array" ref="AN2517">IFERROR(INDEX(hd_cap,MATCH(AQ2517,hd_mark,0),0),0)</f>
        <v>0</v>
      </c>
      <c r="AP2517" s="19"/>
      <c r="AQ2517" s="19"/>
      <c r="AR2517" s="100"/>
      <c r="AS2517" s="93"/>
      <c r="AT2517" s="110" t="str">
        <f>$AT$2468</f>
        <v>1.07</v>
      </c>
      <c r="AU2517" t="str">
        <f>$Q$2453</f>
        <v>L2</v>
      </c>
      <c r="AV2517">
        <f>$E$21</f>
        <v>10.6875</v>
      </c>
      <c r="AW2517" cm="1">
        <f t="array" ref="AW2517">IFERROR(IF(AV2517=0,0,(INDEX($C$33:$C$38,MATCH($AZ$2468,$B$33:$B$38,0),0)*(AV2521+$BA$2468)+$AW$2468*COUNTIF(AV2517:AV2520,"&gt;0")*$C$32+$AY$2468*$C$31)*$AU$2468),0)</f>
        <v>0</v>
      </c>
      <c r="AX2517">
        <f>IF(AV2517=0,0,-(COUNTIF(AV2517:AV2520,"&gt;0")*$AW$2468*$C$32+$AY$2468*$C$31)*$H$27*$AU$2468)</f>
        <v>0</v>
      </c>
      <c r="AY2517">
        <f>IF(AV2517=0,0,$AY$2468*$H$26*$AU$2468)</f>
        <v>0</v>
      </c>
      <c r="AZ2517">
        <f>(0.6*AW2517+0.7*AX2517)*$AU$2468/2</f>
        <v>0</v>
      </c>
      <c r="BA2517">
        <f>(0.6*AW2517+0.6*AY2517)*$AU$2468/2</f>
        <v>0</v>
      </c>
      <c r="BC2517">
        <f>IF(AV2517=0,0,$BG$2468*$AP$2453)</f>
        <v>0</v>
      </c>
      <c r="BD2517">
        <f>IFERROR(BC2517/$AU$2468,0)</f>
        <v>0</v>
      </c>
      <c r="BE2517">
        <f>BC2517*($F$21+IF($F$21=0,0,($C$14+$C$15+IF($C$13="single",1.5,3)+3)/12))</f>
        <v>0</v>
      </c>
      <c r="BF2517">
        <f>BE2517-AZ2517</f>
        <v>0</v>
      </c>
      <c r="BG2517" cm="1">
        <f t="array" ref="BG2517">IFERROR(IF(BF2517&lt;0,0,BF2517/($AU$2468-INDEX(hd_off,MATCH(BT2517,hd_mark,0),0)/12)),0)</f>
        <v>0</v>
      </c>
      <c r="BH2517">
        <f>IF(AV2517=0,0,$BG$2468*$AM$2453)</f>
        <v>0</v>
      </c>
      <c r="BI2517">
        <f>IFERROR(BH2517/$AU$2468,0)</f>
        <v>0</v>
      </c>
      <c r="BJ2517">
        <f>BH2517*($F$21+IF($F$21=0,0,($C$14+$C$15+IF($C$13="single",1.5,3)+3)/12))</f>
        <v>0</v>
      </c>
      <c r="BK2517">
        <f>BJ2517-BA2517</f>
        <v>0</v>
      </c>
      <c r="BL2517" cm="1">
        <f t="array" ref="BL2517">IFERROR(IF(BK2517&lt;0,0,BK2517/($AU$2468-INDEX(hd_off,MATCH(BT2517,hd_mark,0),0)/12)),0)</f>
        <v>0</v>
      </c>
      <c r="BM2517">
        <f>MAX($F$21,$BB$2468)/$Q$2484</f>
        <v>0.30172413793103448</v>
      </c>
      <c r="BN2517">
        <f>IF(BM2517=0,0,IF(BM2517&gt;2,1.25-0.125*BM2517,1))</f>
        <v>1</v>
      </c>
      <c r="BO2517" cm="1">
        <f t="array" ref="BO2517">IFERROR(INDEX(sheath_ecap_asd,MATCH(BS2517,sheath_mark,0),0)*BN2517,0)</f>
        <v>0</v>
      </c>
      <c r="BP2517" cm="1">
        <f t="array" ref="BP2517">IFERROR(INDEX(sheath_wcap_asd,MATCH(BS2517,sheath_mark,0),0)*BN2517,0)</f>
        <v>0</v>
      </c>
      <c r="BQ2517" cm="1">
        <f t="array" ref="BQ2517">IFERROR(INDEX(hd_cap,MATCH(BT2517,hd_mark,0),0),0)</f>
        <v>0</v>
      </c>
      <c r="BS2517" s="19"/>
      <c r="BT2517" s="19"/>
      <c r="BU2517" s="100"/>
    </row>
    <row r="2518" x14ac:dyDescent="0.25">
      <c r="P2518" s="93"/>
      <c r="Q2518" s="109"/>
      <c r="R2518" t="str">
        <f>$Q$2454</f>
        <v>L3</v>
      </c>
      <c r="S2518">
        <f>$E$22</f>
        <v>21.375</v>
      </c>
      <c r="T2518" cm="1">
        <f t="array" ref="T2518">IFERROR(IF(S2518=0,0,(INDEX($C$33:$C$38,MATCH($W$2468,$B$33:$B$38,0),0)*(S2521+$X$2468)+$T$2468*COUNTIF(S2518:S2520,"&gt;0")*$C$32+$V$2468*$C$31)*$R$2468),0)</f>
        <v>0</v>
      </c>
      <c r="U2518">
        <f>IF(S2518=0,0,-(COUNTIF(S2518:S2520,"&gt;0")*$T$2468*$C$32+$V$2468*$C$31)*$H$27*$R$2468)</f>
        <v>0</v>
      </c>
      <c r="V2518">
        <f>IF(S2518=0,0,$V$2468*$H$26*$R$2468)</f>
        <v>0</v>
      </c>
      <c r="W2518">
        <f>(0.6*T2518+0.7*U2518)*$R$2468/2</f>
        <v>0</v>
      </c>
      <c r="X2518">
        <f>T2518*$R$2468/2</f>
        <v>0</v>
      </c>
      <c r="Z2518">
        <f>IF(S2518=0,0,$AD$2468*$AP$2454)</f>
        <v>0</v>
      </c>
      <c r="AA2518">
        <f>IFERROR(Z2518/$R$2468,0)</f>
        <v>0</v>
      </c>
      <c r="AB2518">
        <f>Z2518*($F$22+IF($F$22=0,0,($C$14+$C$15+IF($C$13="single",1.5,3)+3)/12))</f>
        <v>0</v>
      </c>
      <c r="AC2518">
        <f>AB2518-W2518</f>
        <v>0</v>
      </c>
      <c r="AD2518" cm="1">
        <f t="array" ref="AD2518">IFERROR(IF(AC2518&lt;0,0,AC2518/($R$2468-INDEX(hd_off,MATCH(AQ2518,hd_mark,0),0)/12)),0)</f>
        <v>0</v>
      </c>
      <c r="AE2518">
        <f>IF(S2518=0,0,$AD$2468*$AM$2454)</f>
        <v>0</v>
      </c>
      <c r="AF2518">
        <f>IFERROR(AE2518/$R$2468,0)</f>
        <v>0</v>
      </c>
      <c r="AG2518">
        <f>AE2518*($F$22+IF($F$22=0,0,($C$14+$C$15+IF($C$13="single",1.5,3)+3)/12))</f>
        <v>0</v>
      </c>
      <c r="AH2518">
        <f>AG2518-X2518</f>
        <v>0</v>
      </c>
      <c r="AI2518" cm="1">
        <f t="array" ref="AI2518">IFERROR(IF(AH2518&lt;0,0,AH2518/($R$2468-INDEX(hd_off,MATCH(AQ2518,hd_mark,0),0)/12)),0)</f>
        <v>0</v>
      </c>
      <c r="AJ2518">
        <f>MAX($F$22,$Z$2468)/$Q$2484</f>
        <v>0.30172413793103448</v>
      </c>
      <c r="AK2518">
        <f t="shared" ref="AK2518:AK2521" si="1559">IF(AJ2518=0,0,IF(AJ2518&gt;2,1.25-0.125*AJ2518,1))</f>
        <v>1</v>
      </c>
      <c r="AL2518" cm="1">
        <f t="array" ref="AL2518">IFERROR(INDEX(sheath_ecap_asd,MATCH(AP2518,sheath_mark,0),0)*AK2518,0)</f>
        <v>0</v>
      </c>
      <c r="AM2518" cm="1">
        <f t="array" ref="AM2518">IFERROR(INDEX(sheath_wcap_asd,MATCH(AP2518,sheath_mark,0),0)*AK2518,0)</f>
        <v>0</v>
      </c>
      <c r="AN2518" cm="1">
        <f t="array" ref="AN2518">IFERROR(INDEX(hd_cap,MATCH(AQ2518,hd_mark,0),0),0)</f>
        <v>0</v>
      </c>
      <c r="AP2518" s="19"/>
      <c r="AQ2518" s="19"/>
      <c r="AR2518" s="100"/>
      <c r="AS2518" s="93"/>
      <c r="AT2518" s="109"/>
      <c r="AU2518" t="str">
        <f>$Q$2454</f>
        <v>L3</v>
      </c>
      <c r="AV2518">
        <f>$E$22</f>
        <v>21.375</v>
      </c>
      <c r="AW2518" cm="1">
        <f t="array" ref="AW2518">IFERROR(IF(AV2518=0,0,(INDEX($C$33:$C$38,MATCH($AZ$2468,$B$33:$B$38,0),0)*(AV2521+$BA$2468)+$AW$2468*COUNTIF(AV2518:AV2520,"&gt;0")*$C$32+$AY$2468*$C$31)*$AU$2468),0)</f>
        <v>0</v>
      </c>
      <c r="AX2518">
        <f>IF(AV2518=0,0,-(COUNTIF(AV2518:AV2520,"&gt;0")*$AW$2468*$C$32+$AY$2468*$C$31)*$H$27*$AU$2468)</f>
        <v>0</v>
      </c>
      <c r="AY2518">
        <f>IF(AV2518=0,0,$AY$2468*$H$26*$AU$2468)</f>
        <v>0</v>
      </c>
      <c r="AZ2518">
        <f>(0.6*AW2518+0.7*AX2518)*$AU$2468/2</f>
        <v>0</v>
      </c>
      <c r="BA2518">
        <f>AW2518*$AU$2468/2</f>
        <v>0</v>
      </c>
      <c r="BC2518">
        <f>IF(AV2518=0,0,$BG$2468*$AP$2454)</f>
        <v>0</v>
      </c>
      <c r="BD2518">
        <f>IFERROR(BC2518/$AU$2468,0)</f>
        <v>0</v>
      </c>
      <c r="BE2518">
        <f>BC2518*($F$22+IF($F$22=0,0,($C$14+$C$15+IF($C$13="single",1.5,3)+3)/12))</f>
        <v>0</v>
      </c>
      <c r="BF2518">
        <f>BE2518-AZ2518</f>
        <v>0</v>
      </c>
      <c r="BG2518" cm="1">
        <f t="array" ref="BG2518">IFERROR(IF(BF2518&lt;0,0,BF2518/($AU$2468-INDEX(hd_off,MATCH(BT2518,hd_mark,0),0)/12)),0)</f>
        <v>0</v>
      </c>
      <c r="BH2518">
        <f>IF(AV2518=0,0,$BG$2468*$AM$2454)</f>
        <v>0</v>
      </c>
      <c r="BI2518">
        <f>IFERROR(BH2518/$AU$2468,0)</f>
        <v>0</v>
      </c>
      <c r="BJ2518">
        <f>BH2518*($F$22+IF($F$22=0,0,($C$14+$C$15+IF($C$13="single",1.5,3)+3)/12))</f>
        <v>0</v>
      </c>
      <c r="BK2518">
        <f>BJ2518-BA2518</f>
        <v>0</v>
      </c>
      <c r="BL2518" cm="1">
        <f t="array" ref="BL2518">IFERROR(IF(BK2518&lt;0,0,BK2518/($AU$2468-INDEX(hd_off,MATCH(BT2518,hd_mark,0),0)/12)),0)</f>
        <v>0</v>
      </c>
      <c r="BM2518">
        <f>MAX($F$22,$BC$2468)/$Q$2484</f>
        <v>0.30172413793103448</v>
      </c>
      <c r="BN2518">
        <f t="shared" ref="BN2518:BN2521" si="1560">IF(BM2518=0,0,IF(BM2518&gt;2,1.25-0.125*BM2518,1))</f>
        <v>1</v>
      </c>
      <c r="BO2518" cm="1">
        <f t="array" ref="BO2518">IFERROR(INDEX(sheath_ecap_asd,MATCH(BS2518,sheath_mark,0),0)*BN2518,0)</f>
        <v>0</v>
      </c>
      <c r="BP2518" cm="1">
        <f t="array" ref="BP2518">IFERROR(INDEX(sheath_wcap_asd,MATCH(BS2518,sheath_mark,0),0)*BN2518,0)</f>
        <v>0</v>
      </c>
      <c r="BQ2518" cm="1">
        <f t="array" ref="BQ2518">IFERROR(INDEX(hd_cap,MATCH(BT2518,hd_mark,0),0),0)</f>
        <v>0</v>
      </c>
      <c r="BS2518" s="19"/>
      <c r="BT2518" s="19"/>
      <c r="BU2518" s="100"/>
    </row>
    <row r="2519" x14ac:dyDescent="0.25">
      <c r="P2519" s="93"/>
      <c r="Q2519" s="109" t="s">
        <v>491</v>
      </c>
      <c r="R2519" t="str">
        <f>$Q$2455</f>
        <v>L4</v>
      </c>
      <c r="S2519">
        <f>$E$23</f>
        <v>0</v>
      </c>
      <c r="T2519" cm="1">
        <f t="array" ref="T2519">IFERROR(IF(S2519=0,0,(INDEX($C$33:$C$38,MATCH($W$2468,$B$33:$B$38,0),0)*(S2521+$X$2468)+$T$2468*COUNTIF(S2519:S2520,"&gt;0")*$C$32+$V$2468*$C$31)*$R$2468),0)</f>
        <v>0</v>
      </c>
      <c r="U2519">
        <f>IF(S2519=0,0,-(COUNTIF(S2519:S2520,"&gt;0")*$T$2468*$C$32+$V$2468*$C$31)*$H$27*$R$2468)</f>
        <v>0</v>
      </c>
      <c r="V2519">
        <f>IF(S2519=0,0,$V$2468*$H$26*$R$2468)</f>
        <v>0</v>
      </c>
      <c r="W2519">
        <f>(0.6*T2519+0.7*U2519)*$R$2468/2</f>
        <v>0</v>
      </c>
      <c r="X2519">
        <f>T2519*$R$2468/2</f>
        <v>0</v>
      </c>
      <c r="Z2519">
        <f>IF(S2519=0,0,$AD$2468*$AP$2455)</f>
        <v>0</v>
      </c>
      <c r="AA2519">
        <f>IFERROR(Z2519/$R$2468,0)</f>
        <v>0</v>
      </c>
      <c r="AB2519">
        <f>Z2519*($F$23+IF($F$23=0,0,($C$14+$C$15+IF($C$13="single",1.5,3)+3)/12))</f>
        <v>0</v>
      </c>
      <c r="AC2519">
        <f>AB2519-W2519</f>
        <v>0</v>
      </c>
      <c r="AD2519" cm="1">
        <f t="array" ref="AD2519">IFERROR(IF(AC2519&lt;0,0,AC2519/($R$2468-INDEX(hd_off,MATCH(AQ2519,hd_mark,0),0)/12)),0)</f>
        <v>0</v>
      </c>
      <c r="AE2519">
        <f>IF(S2519=0,0,$AD$2468*$AM$2455)</f>
        <v>0</v>
      </c>
      <c r="AF2519">
        <f>IFERROR(AE2519/$R$2468,0)</f>
        <v>0</v>
      </c>
      <c r="AG2519">
        <f>AE2519*($F$23+IF($F$23=0,0,($C$14+$C$15+IF($C$13="single",1.5,3)+3)/12))</f>
        <v>0</v>
      </c>
      <c r="AH2519">
        <f>AG2519-X2519</f>
        <v>0</v>
      </c>
      <c r="AI2519" cm="1">
        <f t="array" ref="AI2519">IFERROR(IF(AH2519&lt;0,0,AH2519/($R$2468-INDEX(hd_off,MATCH(AQ2519,hd_mark,0),0)/12)),0)</f>
        <v>0</v>
      </c>
      <c r="AJ2519">
        <f>MAX($F$23,$AA$2468)/$Q$2484</f>
        <v>0</v>
      </c>
      <c r="AK2519">
        <f t="shared" si="1559"/>
        <v>0</v>
      </c>
      <c r="AL2519" cm="1">
        <f t="array" ref="AL2519">IFERROR(INDEX(sheath_ecap_asd,MATCH(AP2519,sheath_mark,0),0)*AK2519,0)</f>
        <v>0</v>
      </c>
      <c r="AM2519" cm="1">
        <f t="array" ref="AM2519">IFERROR(INDEX(sheath_wcap_asd,MATCH(AP2519,sheath_mark,0),0)*AK2519,0)</f>
        <v>0</v>
      </c>
      <c r="AN2519" cm="1">
        <f t="array" ref="AN2519">IFERROR(INDEX(hd_cap,MATCH(AQ2519,hd_mark,0),0),0)</f>
        <v>0</v>
      </c>
      <c r="AP2519" s="19"/>
      <c r="AQ2519" s="19"/>
      <c r="AR2519" s="100"/>
      <c r="AS2519" s="93"/>
      <c r="AT2519" s="109" t="s">
        <v>491</v>
      </c>
      <c r="AU2519" t="str">
        <f>$Q$2455</f>
        <v>L4</v>
      </c>
      <c r="AV2519">
        <f>$E$23</f>
        <v>0</v>
      </c>
      <c r="AW2519" cm="1">
        <f t="array" ref="AW2519">IFERROR(IF(AV2519=0,0,(INDEX($C$33:$C$38,MATCH($AZ$2468,$B$33:$B$38,0),0)*(AV2521+$BA$2468)+$AW$2468*COUNTIF(AV2519:AV2520,"&gt;0")*$C$32+$AY$2468*$C$31)*$AU$2468),0)</f>
        <v>0</v>
      </c>
      <c r="AX2519">
        <f>IF(AV2519=0,0,-(COUNTIF(AV2519:AV2520,"&gt;0")*$AW$2468*$C$32+$AY$2468*$C$31)*$H$27*$AU$2468)</f>
        <v>0</v>
      </c>
      <c r="AY2519">
        <f>IF(AV2519=0,0,$AY$2468*$H$26*$AU$2468)</f>
        <v>0</v>
      </c>
      <c r="AZ2519">
        <f>(0.6*AW2519+0.7*AX2519)*$AU$2468/2</f>
        <v>0</v>
      </c>
      <c r="BA2519">
        <f>AW2519*$AU$2468/2</f>
        <v>0</v>
      </c>
      <c r="BC2519">
        <f>IF(AV2519=0,0,$BG$2468*$AP$2455)</f>
        <v>0</v>
      </c>
      <c r="BD2519">
        <f>IFERROR(BC2519/$AU$2468,0)</f>
        <v>0</v>
      </c>
      <c r="BE2519">
        <f>BC2519*($F$23+IF($F$23=0,0,($C$14+$C$15+IF($C$13="single",1.5,3)+3)/12))</f>
        <v>0</v>
      </c>
      <c r="BF2519">
        <f>BE2519-AZ2519</f>
        <v>0</v>
      </c>
      <c r="BG2519" cm="1">
        <f t="array" ref="BG2519">IFERROR(IF(BF2519&lt;0,0,BF2519/($AU$2468-INDEX(hd_off,MATCH(BT2519,hd_mark,0),0)/12)),0)</f>
        <v>0</v>
      </c>
      <c r="BH2519">
        <f>IF(AV2519=0,0,$BG$2468*$AM$2455)</f>
        <v>0</v>
      </c>
      <c r="BI2519">
        <f>IFERROR(BH2519/$AU$2468,0)</f>
        <v>0</v>
      </c>
      <c r="BJ2519">
        <f>BH2519*($F$23+IF($F$23=0,0,($C$14+$C$15+IF($C$13="single",1.5,3)+3)/12))</f>
        <v>0</v>
      </c>
      <c r="BK2519">
        <f>BJ2519-BA2519</f>
        <v>0</v>
      </c>
      <c r="BL2519" cm="1">
        <f t="array" ref="BL2519">IFERROR(IF(BK2519&lt;0,0,BK2519/($AU$2468-INDEX(hd_off,MATCH(BT2519,hd_mark,0),0)/12)),0)</f>
        <v>0</v>
      </c>
      <c r="BM2519">
        <f>MAX($F$23,$BD$2468)/$Q$2484</f>
        <v>0</v>
      </c>
      <c r="BN2519">
        <f t="shared" si="1560"/>
        <v>0</v>
      </c>
      <c r="BO2519" cm="1">
        <f t="array" ref="BO2519">IFERROR(INDEX(sheath_ecap_asd,MATCH(BS2519,sheath_mark,0),0)*BN2519,0)</f>
        <v>0</v>
      </c>
      <c r="BP2519" cm="1">
        <f t="array" ref="BP2519">IFERROR(INDEX(sheath_wcap_asd,MATCH(BS2519,sheath_mark,0),0)*BN2519,0)</f>
        <v>0</v>
      </c>
      <c r="BQ2519" cm="1">
        <f t="array" ref="BQ2519">IFERROR(INDEX(hd_cap,MATCH(BT2519,hd_mark,0),0),0)</f>
        <v>0</v>
      </c>
      <c r="BS2519" s="19"/>
      <c r="BT2519" s="19"/>
      <c r="BU2519" s="100"/>
    </row>
    <row r="2520" x14ac:dyDescent="0.25">
      <c r="P2520" s="93"/>
      <c r="Q2520" s="111">
        <f>$R$2468</f>
        <v>0</v>
      </c>
      <c r="R2520" t="str">
        <f>$Q$2456</f>
        <v>L5</v>
      </c>
      <c r="S2520">
        <f>$E$24</f>
        <v>0</v>
      </c>
      <c r="T2520" cm="1">
        <f t="array" ref="T2520">IFERROR(IF(S2520=0,0,(INDEX($C$33:$C$38,MATCH($W$2468,$B$33:$B$38,0),0)*(S2521+$X$2468)+$T$2468*COUNTIF(S2520:S2520,"&gt;0")*$C$32+$V$2468*$C$31)*$R$2468),0)</f>
        <v>0</v>
      </c>
      <c r="U2520">
        <f>IF(S2520=0,0,-(COUNTIF(S2520:S2520,"&gt;0")*$T$2468*$C$32+$V$2468*$C$31)*$H$27*$R$2468)</f>
        <v>0</v>
      </c>
      <c r="V2520">
        <f>IF(S2520=0,0,$V$2468*$H$26*$R$2468)</f>
        <v>0</v>
      </c>
      <c r="W2520">
        <f>(0.6*T2520+0.7*U2520)*$R$2468/2</f>
        <v>0</v>
      </c>
      <c r="X2520">
        <f>T2520*$R$2468/2</f>
        <v>0</v>
      </c>
      <c r="Z2520">
        <f>IF(S2520=0,0,$AD$2468*$AP$2456)</f>
        <v>0</v>
      </c>
      <c r="AA2520">
        <f>IFERROR(Z2520/$R$2468,0)</f>
        <v>0</v>
      </c>
      <c r="AB2520">
        <f>Z2520*($F$24+IF($F$24=0,0,($C$14+$C$15+IF($C$13="single",1.5,3)+3)/12))</f>
        <v>0</v>
      </c>
      <c r="AC2520">
        <f>AB2520-W2520</f>
        <v>0</v>
      </c>
      <c r="AD2520" cm="1">
        <f t="array" ref="AD2520">IFERROR(IF(AC2520&lt;0,0,AC2520/($R$2468-INDEX(hd_off,MATCH(AQ2520,hd_mark,0),0)/12)),0)</f>
        <v>0</v>
      </c>
      <c r="AE2520">
        <f>IF(S2520=0,0,$AD$2468*$AM$2456)</f>
        <v>0</v>
      </c>
      <c r="AF2520">
        <f>IFERROR(AE2520/$R$2468,0)</f>
        <v>0</v>
      </c>
      <c r="AG2520">
        <f>AE2520*($F$24+IF($F$24=0,0,($C$14+$C$15+IF($C$13="single",1.5,3)+3)/12))</f>
        <v>0</v>
      </c>
      <c r="AH2520">
        <f>AG2520-X2520</f>
        <v>0</v>
      </c>
      <c r="AI2520" cm="1">
        <f t="array" ref="AI2520">IFERROR(IF(AH2520&lt;0,0,AH2520/($R$2468-INDEX(hd_off,MATCH(AQ2520,hd_mark,0),0)/12)),0)</f>
        <v>0</v>
      </c>
      <c r="AJ2520">
        <f>MAX($F$24,$AB$2468)/$Q$2484</f>
        <v>0</v>
      </c>
      <c r="AK2520">
        <f t="shared" si="1559"/>
        <v>0</v>
      </c>
      <c r="AL2520" cm="1">
        <f t="array" ref="AL2520">IFERROR(INDEX(sheath_ecap_asd,MATCH(AP2520,sheath_mark,0),0)*AK2520,0)</f>
        <v>0</v>
      </c>
      <c r="AM2520" cm="1">
        <f t="array" ref="AM2520">IFERROR(INDEX(sheath_wcap_asd,MATCH(AP2520,sheath_mark,0),0)*AK2520,0)</f>
        <v>0</v>
      </c>
      <c r="AN2520" cm="1">
        <f t="array" ref="AN2520">IFERROR(INDEX(hd_cap,MATCH(AQ2520,hd_mark,0),0),0)</f>
        <v>0</v>
      </c>
      <c r="AP2520" s="19"/>
      <c r="AQ2520" s="19"/>
      <c r="AR2520" s="100"/>
      <c r="AS2520" s="93"/>
      <c r="AT2520" s="111">
        <f>$R$2468</f>
        <v>0</v>
      </c>
      <c r="AU2520" t="str">
        <f>$Q$2456</f>
        <v>L5</v>
      </c>
      <c r="AV2520">
        <f>$E$24</f>
        <v>0</v>
      </c>
      <c r="AW2520" cm="1">
        <f t="array" ref="AW2520">IFERROR(IF(AV2520=0,0,(INDEX($C$33:$C$38,MATCH($AZ$2468,$B$33:$B$38,0),0)*(AV2521+$BA$2468)+$AW$2468*COUNTIF(AV2520:AV2520,"&gt;0")*$C$32+$AY$2468*$C$31)*$AU$2468),0)</f>
        <v>0</v>
      </c>
      <c r="AX2520">
        <f>IF(AV2520=0,0,-(COUNTIF(AV2520:AV2520,"&gt;0")*$AW$2468*$C$32+$AY$2468*$C$31)*$H$27*$AU$2468)</f>
        <v>0</v>
      </c>
      <c r="AY2520">
        <f>IF(AV2520=0,0,$AY$2468*$H$26*$AU$2468)</f>
        <v>0</v>
      </c>
      <c r="AZ2520">
        <f>(0.6*AW2520+0.7*AX2520)*$AU$2468/2</f>
        <v>0</v>
      </c>
      <c r="BA2520">
        <f>AW2520*$AU$2468/2</f>
        <v>0</v>
      </c>
      <c r="BC2520">
        <f>IF(AV2520=0,0,$BG$2468*$AP$2456)</f>
        <v>0</v>
      </c>
      <c r="BD2520">
        <f>IFERROR(BC2520/$AU$2468,0)</f>
        <v>0</v>
      </c>
      <c r="BE2520">
        <f>BC2520*($F$24+IF($F$24=0,0,($C$14+$C$15+IF($C$13="single",1.5,3)+3)/12))</f>
        <v>0</v>
      </c>
      <c r="BF2520">
        <f>BE2520-AZ2520</f>
        <v>0</v>
      </c>
      <c r="BG2520" cm="1">
        <f t="array" ref="BG2520">IFERROR(IF(BF2520&lt;0,0,BF2520/($AU$2468-INDEX(hd_off,MATCH(BT2520,hd_mark,0),0)/12)),0)</f>
        <v>0</v>
      </c>
      <c r="BH2520">
        <f>IF(AV2520=0,0,$BG$2468*$AM$2456)</f>
        <v>0</v>
      </c>
      <c r="BI2520">
        <f>IFERROR(BH2520/$AU$2468,0)</f>
        <v>0</v>
      </c>
      <c r="BJ2520">
        <f>BH2520*($F$24+IF($F$24=0,0,($C$14+$C$15+IF($C$13="single",1.5,3)+3)/12))</f>
        <v>0</v>
      </c>
      <c r="BK2520">
        <f>BJ2520-BA2520</f>
        <v>0</v>
      </c>
      <c r="BL2520" cm="1">
        <f t="array" ref="BL2520">IFERROR(IF(BK2520&lt;0,0,BK2520/($AU$2468-INDEX(hd_off,MATCH(BT2520,hd_mark,0),0)/12)),0)</f>
        <v>0</v>
      </c>
      <c r="BM2520">
        <f>MAX($F$24,$BE$2468)/$Q$2484</f>
        <v>0</v>
      </c>
      <c r="BN2520">
        <f t="shared" si="1560"/>
        <v>0</v>
      </c>
      <c r="BO2520" cm="1">
        <f t="array" ref="BO2520">IFERROR(INDEX(sheath_ecap_asd,MATCH(BS2520,sheath_mark,0),0)*BN2520,0)</f>
        <v>0</v>
      </c>
      <c r="BP2520" cm="1">
        <f t="array" ref="BP2520">IFERROR(INDEX(sheath_wcap_asd,MATCH(BS2520,sheath_mark,0),0)*BN2520,0)</f>
        <v>0</v>
      </c>
      <c r="BQ2520" cm="1">
        <f t="array" ref="BQ2520">IFERROR(INDEX(hd_cap,MATCH(BT2520,hd_mark,0),0),0)</f>
        <v>0</v>
      </c>
      <c r="BS2520" s="19"/>
      <c r="BT2520" s="19"/>
      <c r="BU2520" s="100"/>
    </row>
    <row r="2521" x14ac:dyDescent="0.25">
      <c r="P2521" s="93"/>
      <c r="Q2521" s="109"/>
      <c r="R2521" t="str">
        <f>$Q$2457</f>
        <v>Roof</v>
      </c>
      <c r="S2521">
        <f>$E$25</f>
        <v>33.171875</v>
      </c>
      <c r="T2521" cm="1">
        <f t="array" ref="T2521">IFERROR(IF(S2521=0,0,(INDEX($C$33:$C$38,MATCH($W$2468,$B$33:$B$38,0),0)*(S2521+$X$2468)+$V$2468*$C$31)*$R$2468),0)</f>
        <v>0</v>
      </c>
      <c r="U2521">
        <f>IF(S2521=0,0,-$V$2468*$C$31*$H$27*$R$2468)</f>
        <v>0</v>
      </c>
      <c r="V2521">
        <f>IF(S2521=0,0,$V$2468*$H$26*$R$2468)</f>
        <v>0</v>
      </c>
      <c r="W2521">
        <f>(0.6*T2521+0.7*U2521)*$R$2468/2</f>
        <v>0</v>
      </c>
      <c r="X2521">
        <f>T2521*$R$2468/2</f>
        <v>0</v>
      </c>
      <c r="Z2521">
        <f>IF(S2521=0,0,$AD$2468*$AP$2457)</f>
        <v>0</v>
      </c>
      <c r="AA2521">
        <f>IFERROR(Z2521/$R$2468,0)</f>
        <v>0</v>
      </c>
      <c r="AB2521">
        <f>Z2521*($F$25+($C$16+$C$17+IF($C$13="single",1.5,3)+3)/12)</f>
        <v>0</v>
      </c>
      <c r="AC2521">
        <f>AB2521-W2521</f>
        <v>0</v>
      </c>
      <c r="AD2521" cm="1">
        <f t="array" ref="AD2521">IFERROR(IF(AC2521&lt;0,0,AC2521/($R$2468-INDEX(hd_off,MATCH(AQ2521,hd_mark,0),0)/12)),0)</f>
        <v>0</v>
      </c>
      <c r="AE2521">
        <f>IF(S2521=0,0,$AD$2468*$AM$2457)</f>
        <v>0</v>
      </c>
      <c r="AF2521">
        <f>IFERROR(AE2521/$R$2468,0)</f>
        <v>0</v>
      </c>
      <c r="AG2521">
        <f>AE2521*($F$25+($C$16+$C$17+IF($C$13="single",1.5,3)+3)/12)</f>
        <v>0</v>
      </c>
      <c r="AH2521">
        <f>AG2521-X2521</f>
        <v>0</v>
      </c>
      <c r="AI2521" cm="1">
        <f t="array" ref="AI2521">IFERROR(IF(AH2521&lt;0,0,AH2521/($R$2468-INDEX(hd_off,MATCH(AQ2521,hd_mark,0),0)/12)),0)</f>
        <v>0</v>
      </c>
      <c r="AJ2521">
        <f>MAX($F$25,$AC$2468)/$Q$2484</f>
        <v>0.29920977011494249</v>
      </c>
      <c r="AK2521">
        <f t="shared" si="1559"/>
        <v>1</v>
      </c>
      <c r="AL2521" cm="1">
        <f t="array" ref="AL2521">IFERROR(INDEX(sheath_ecap_asd,MATCH(AP2521,sheath_mark,0),0)*AK2521,0)</f>
        <v>0</v>
      </c>
      <c r="AM2521" cm="1">
        <f t="array" ref="AM2521">IFERROR(INDEX(sheath_wcap_asd,MATCH(AP2521,sheath_mark,0),0)*AK2521,0)</f>
        <v>0</v>
      </c>
      <c r="AN2521" cm="1">
        <f t="array" ref="AN2521">IFERROR(INDEX(hd_cap,MATCH(AQ2521,hd_mark,0),0),0)</f>
        <v>0</v>
      </c>
      <c r="AP2521" s="19"/>
      <c r="AQ2521" s="19"/>
      <c r="AR2521" s="100"/>
      <c r="AS2521" s="93"/>
      <c r="AT2521" s="109"/>
      <c r="AU2521" t="str">
        <f>$Q$2457</f>
        <v>Roof</v>
      </c>
      <c r="AV2521">
        <f>$E$25</f>
        <v>33.171875</v>
      </c>
      <c r="AW2521" cm="1">
        <f t="array" ref="AW2521">IFERROR(IF(AV2521=0,0,(INDEX($C$33:$C$38,MATCH($AZ$2468,$B$33:$B$38,0),0)*(AV2521+$BA$2468)+$AY$2468*$C$31)*$AU$2468),0)</f>
        <v>0</v>
      </c>
      <c r="AX2521">
        <f>IF(AV2521=0,0,-$AY$2468*$C$31*$H$27*$AU$2468)</f>
        <v>0</v>
      </c>
      <c r="AY2521">
        <f>IF(AV2521=0,0,$AY$2468*$H$26*$AU$2468)</f>
        <v>0</v>
      </c>
      <c r="AZ2521">
        <f>(0.6*AW2521+0.7*AX2521)*$AU$2468/2</f>
        <v>0</v>
      </c>
      <c r="BA2521">
        <f>AW2521*$AU$2468/2</f>
        <v>0</v>
      </c>
      <c r="BC2521">
        <f>IF(AV2521=0,0,$BG$2468*$AP$2457)</f>
        <v>0</v>
      </c>
      <c r="BD2521">
        <f>IFERROR(BC2521/$AU$2468,0)</f>
        <v>0</v>
      </c>
      <c r="BE2521">
        <f>BC2521*($F$25+($C$16+$C$17+IF($C$13="single",1.5,3)+3)/12)</f>
        <v>0</v>
      </c>
      <c r="BF2521">
        <f>BE2521-AZ2521</f>
        <v>0</v>
      </c>
      <c r="BG2521" cm="1">
        <f t="array" ref="BG2521">IFERROR(IF(BF2521&lt;0,0,BF2521/($AU$2468-INDEX(hd_off,MATCH(BT2521,hd_mark,0),0)/12)),0)</f>
        <v>0</v>
      </c>
      <c r="BH2521">
        <f>IF(AV2521=0,0,$BG$2468*$AM$2457)</f>
        <v>0</v>
      </c>
      <c r="BI2521">
        <f>IFERROR(BH2521/$AU$2468,0)</f>
        <v>0</v>
      </c>
      <c r="BJ2521">
        <f>BH2521*($F$25+($C$16+$C$17+IF($C$13="single",1.5,3)+3)/12)</f>
        <v>0</v>
      </c>
      <c r="BK2521">
        <f>BJ2521-BA2521</f>
        <v>0</v>
      </c>
      <c r="BL2521" cm="1">
        <f t="array" ref="BL2521">IFERROR(IF(BK2521&lt;0,0,BK2521/($AU$2468-INDEX(hd_off,MATCH(BT2521,hd_mark,0),0)/12)),0)</f>
        <v>0</v>
      </c>
      <c r="BM2521">
        <f>MAX($F$25,$BF$2468)/$Q$2484</f>
        <v>0.29920977011494249</v>
      </c>
      <c r="BN2521">
        <f t="shared" si="1560"/>
        <v>1</v>
      </c>
      <c r="BO2521" cm="1">
        <f t="array" ref="BO2521">IFERROR(INDEX(sheath_ecap_asd,MATCH(BS2521,sheath_mark,0),0)*BN2521,0)</f>
        <v>0</v>
      </c>
      <c r="BP2521" cm="1">
        <f t="array" ref="BP2521">IFERROR(INDEX(sheath_wcap_asd,MATCH(BS2521,sheath_mark,0),0)*BN2521,0)</f>
        <v>0</v>
      </c>
      <c r="BQ2521" cm="1">
        <f t="array" ref="BQ2521">IFERROR(INDEX(hd_cap,MATCH(BT2521,hd_mark,0),0),0)</f>
        <v>0</v>
      </c>
      <c r="BS2521" s="19"/>
      <c r="BT2521" s="19"/>
      <c r="BU2521" s="100"/>
    </row>
    <row r="2522" x14ac:dyDescent="0.25">
      <c r="P2522" s="93"/>
      <c r="AR2522" s="100"/>
      <c r="AS2522" s="93"/>
      <c r="BU2522" s="100"/>
    </row>
    <row r="2523" x14ac:dyDescent="0.25">
      <c r="P2523" s="93"/>
      <c r="Q2523" s="110" t="str">
        <f>$Q$2469</f>
        <v>A.08</v>
      </c>
      <c r="R2523" t="str">
        <f>$Q$2453</f>
        <v>L2</v>
      </c>
      <c r="S2523">
        <f>$E$21</f>
        <v>10.6875</v>
      </c>
      <c r="T2523" cm="1">
        <f t="array" ref="T2523">IFERROR(IF(S2523=0,0,(INDEX($C$33:$C$38,MATCH($W$2469,$B$33:$B$38,0),0)*(S2527+$X$2469)+$T$2469*COUNTIF(S2523:S2526,"&gt;0")*$C$32+$V$2469*$C$31)*$R$2469),0)</f>
        <v>0</v>
      </c>
      <c r="U2523">
        <f>IF(S2523=0,0,-(COUNTIF(S2523:S2526,"&gt;0")*$T$2469*$C$32+$V$2469*$C$31)*$H$27*$R$2469)</f>
        <v>0</v>
      </c>
      <c r="V2523">
        <f>IF(S2523=0,0,$V$2469*$H$26*$R$2469)</f>
        <v>0</v>
      </c>
      <c r="W2523">
        <f>(0.6*T2523+0.7*U2523)*$R$2469/2</f>
        <v>0</v>
      </c>
      <c r="X2523">
        <f>(0.6*T2523+0.6*V2523)*$R$2469/2</f>
        <v>0</v>
      </c>
      <c r="Z2523">
        <f>IF(S2523=0,0,$AD$2469*$AP$2453)</f>
        <v>0</v>
      </c>
      <c r="AA2523">
        <f>IFERROR(Z2523/$R$2469,0)</f>
        <v>0</v>
      </c>
      <c r="AB2523">
        <f>Z2523*($F$21+IF($F$21=0,0,($C$14+$C$15+IF($C$13="single",1.5,3)+3)/12))</f>
        <v>0</v>
      </c>
      <c r="AC2523">
        <f>AB2523-W2523</f>
        <v>0</v>
      </c>
      <c r="AD2523" cm="1">
        <f t="array" ref="AD2523">IFERROR(IF(AC2523&lt;0,0,AC2523/($R$2469-INDEX(hd_off,MATCH(AQ2523,hd_mark,0),0)/12)),0)</f>
        <v>0</v>
      </c>
      <c r="AE2523">
        <f>IF(S2523=0,0,$AD$2469*$AM$2453)</f>
        <v>0</v>
      </c>
      <c r="AF2523">
        <f>IFERROR(AE2523/$R$2469,0)</f>
        <v>0</v>
      </c>
      <c r="AG2523">
        <f>AE2523*($F$21+IF($F$21=0,0,($C$14+$C$15+IF($C$13="single",1.5,3)+3)/12))</f>
        <v>0</v>
      </c>
      <c r="AH2523">
        <f>AG2523-X2523</f>
        <v>0</v>
      </c>
      <c r="AI2523" cm="1">
        <f t="array" ref="AI2523">IFERROR(IF(AH2523&lt;0,0,AH2523/($R$2469-INDEX(hd_off,MATCH(AQ2523,hd_mark,0),0)/12)),0)</f>
        <v>0</v>
      </c>
      <c r="AJ2523">
        <f>MAX($F$21,$Y$2469)/$Q$2484</f>
        <v>0.30172413793103448</v>
      </c>
      <c r="AK2523">
        <f>IF(AJ2523=0,0,IF(AJ2523&gt;2,1.25-0.125*AJ2523,1))</f>
        <v>1</v>
      </c>
      <c r="AL2523" cm="1">
        <f t="array" ref="AL2523">IFERROR(INDEX(sheath_ecap_asd,MATCH(AP2523,sheath_mark,0),0)*AK2523,0)</f>
        <v>0</v>
      </c>
      <c r="AM2523" cm="1">
        <f t="array" ref="AM2523">IFERROR(INDEX(sheath_wcap_asd,MATCH(AP2523,sheath_mark,0),0)*AK2523,0)</f>
        <v>0</v>
      </c>
      <c r="AN2523" cm="1">
        <f t="array" ref="AN2523">IFERROR(INDEX(hd_cap,MATCH(AQ2523,hd_mark,0),0),0)</f>
        <v>0</v>
      </c>
      <c r="AP2523" s="19"/>
      <c r="AQ2523" s="19"/>
      <c r="AR2523" s="100"/>
      <c r="AS2523" s="93"/>
      <c r="AT2523" s="110" t="str">
        <f>$AT$2469</f>
        <v>1.08</v>
      </c>
      <c r="AU2523" t="str">
        <f>$Q$2453</f>
        <v>L2</v>
      </c>
      <c r="AV2523">
        <f>$E$21</f>
        <v>10.6875</v>
      </c>
      <c r="AW2523" cm="1">
        <f t="array" ref="AW2523">IFERROR(IF(AV2523=0,0,(INDEX($C$33:$C$38,MATCH($AZ$2469,$B$33:$B$38,0),0)*(AV2527+$BA$2469)+$AW$2469*COUNTIF(AV2523:AV2526,"&gt;0")*$C$32+$AY$2469*$C$31)*$AU$2469),0)</f>
        <v>0</v>
      </c>
      <c r="AX2523">
        <f>IF(AV2523=0,0,-(COUNTIF(AV2523:AV2526,"&gt;0")*$AW$2469*$C$32+$AY$2469*$C$31)*$H$27*$AU$2469)</f>
        <v>0</v>
      </c>
      <c r="AY2523">
        <f>IF(AV2523=0,0,$AY$2469*$H$26*$AU$2469)</f>
        <v>0</v>
      </c>
      <c r="AZ2523">
        <f>(0.6*AW2523+0.7*AX2523)*$AU$2469/2</f>
        <v>0</v>
      </c>
      <c r="BA2523">
        <f>(0.6*AW2523+0.6*AY2523)*$AU$2469/2</f>
        <v>0</v>
      </c>
      <c r="BC2523">
        <f>IF(AV2523=0,0,$BG$2469*$AP$2453)</f>
        <v>0</v>
      </c>
      <c r="BD2523">
        <f>IFERROR(BC2523/$AU$2469,0)</f>
        <v>0</v>
      </c>
      <c r="BE2523">
        <f>BC2523*($F$21+IF($F$21=0,0,($C$14+$C$15+IF($C$13="single",1.5,3)+3)/12))</f>
        <v>0</v>
      </c>
      <c r="BF2523">
        <f>BE2523-AZ2523</f>
        <v>0</v>
      </c>
      <c r="BG2523" cm="1">
        <f t="array" ref="BG2523">IFERROR(IF(BF2523&lt;0,0,BF2523/($AU$2469-INDEX(hd_off,MATCH(BT2523,hd_mark,0),0)/12)),0)</f>
        <v>0</v>
      </c>
      <c r="BH2523">
        <f>IF(AV2523=0,0,$BG$2469*$AM$2453)</f>
        <v>0</v>
      </c>
      <c r="BI2523">
        <f>IFERROR(BH2523/$AU$2469,0)</f>
        <v>0</v>
      </c>
      <c r="BJ2523">
        <f>BH2523*($F$21+IF($F$21=0,0,($C$14+$C$15+IF($C$13="single",1.5,3)+3)/12))</f>
        <v>0</v>
      </c>
      <c r="BK2523">
        <f>BJ2523-BA2523</f>
        <v>0</v>
      </c>
      <c r="BL2523" cm="1">
        <f t="array" ref="BL2523">IFERROR(IF(BK2523&lt;0,0,BK2523/($AU$2469-INDEX(hd_off,MATCH(BT2523,hd_mark,0),0)/12)),0)</f>
        <v>0</v>
      </c>
      <c r="BM2523">
        <f>MAX($F$21,$BB$2469)/$Q$2484</f>
        <v>0.30172413793103448</v>
      </c>
      <c r="BN2523">
        <f>IF(BM2523=0,0,IF(BM2523&gt;2,1.25-0.125*BM2523,1))</f>
        <v>1</v>
      </c>
      <c r="BO2523" cm="1">
        <f t="array" ref="BO2523">IFERROR(INDEX(sheath_ecap_asd,MATCH(BS2523,sheath_mark,0),0)*BN2523,0)</f>
        <v>0</v>
      </c>
      <c r="BP2523" cm="1">
        <f t="array" ref="BP2523">IFERROR(INDEX(sheath_wcap_asd,MATCH(BS2523,sheath_mark,0),0)*BN2523,0)</f>
        <v>0</v>
      </c>
      <c r="BQ2523" cm="1">
        <f t="array" ref="BQ2523">IFERROR(INDEX(hd_cap,MATCH(BT2523,hd_mark,0),0),0)</f>
        <v>0</v>
      </c>
      <c r="BS2523" s="19"/>
      <c r="BT2523" s="19"/>
      <c r="BU2523" s="100"/>
    </row>
    <row r="2524" x14ac:dyDescent="0.25">
      <c r="P2524" s="93"/>
      <c r="Q2524" s="109"/>
      <c r="R2524" t="str">
        <f>$Q$2454</f>
        <v>L3</v>
      </c>
      <c r="S2524">
        <f>$E$22</f>
        <v>21.375</v>
      </c>
      <c r="T2524" cm="1">
        <f t="array" ref="T2524">IFERROR(IF(S2524=0,0,(INDEX($C$33:$C$38,MATCH($W$2469,$B$33:$B$38,0),0)*(S2527+$X$2469)+$T$2469*COUNTIF(S2524:S2526,"&gt;0")*$C$32+$V$2469*$C$31)*$R$2469),0)</f>
        <v>0</v>
      </c>
      <c r="U2524">
        <f>IF(S2524=0,0,-(COUNTIF(S2524:S2526,"&gt;0")*$T$2469*$C$32+$V$2469*$C$31)*$H$27*$R$2469)</f>
        <v>0</v>
      </c>
      <c r="V2524">
        <f>IF(S2524=0,0,$V$2469*$H$26*$R$2469)</f>
        <v>0</v>
      </c>
      <c r="W2524">
        <f>(0.6*T2524+0.7*U2524)*$R$2469/2</f>
        <v>0</v>
      </c>
      <c r="X2524">
        <f>T2524*$R$2469/2</f>
        <v>0</v>
      </c>
      <c r="Z2524">
        <f>IF(S2524=0,0,$AD$2469*$AP$2454)</f>
        <v>0</v>
      </c>
      <c r="AA2524">
        <f>IFERROR(Z2524/$R$2469,0)</f>
        <v>0</v>
      </c>
      <c r="AB2524">
        <f>Z2524*($F$22+IF($F$22=0,0,($C$14+$C$15+IF($C$13="single",1.5,3)+3)/12))</f>
        <v>0</v>
      </c>
      <c r="AC2524">
        <f>AB2524-W2524</f>
        <v>0</v>
      </c>
      <c r="AD2524" cm="1">
        <f t="array" ref="AD2524">IFERROR(IF(AC2524&lt;0,0,AC2524/($R$2469-INDEX(hd_off,MATCH(AQ2524,hd_mark,0),0)/12)),0)</f>
        <v>0</v>
      </c>
      <c r="AE2524">
        <f>IF(S2524=0,0,$AD$2469*$AM$2454)</f>
        <v>0</v>
      </c>
      <c r="AF2524">
        <f>IFERROR(AE2524/$R$2469,0)</f>
        <v>0</v>
      </c>
      <c r="AG2524">
        <f>AE2524*($F$22+IF($F$22=0,0,($C$14+$C$15+IF($C$13="single",1.5,3)+3)/12))</f>
        <v>0</v>
      </c>
      <c r="AH2524">
        <f>AG2524-X2524</f>
        <v>0</v>
      </c>
      <c r="AI2524" cm="1">
        <f t="array" ref="AI2524">IFERROR(IF(AH2524&lt;0,0,AH2524/($R$2469-INDEX(hd_off,MATCH(AQ2524,hd_mark,0),0)/12)),0)</f>
        <v>0</v>
      </c>
      <c r="AJ2524">
        <f>MAX($F$22,$Z$2469)/$Q$2484</f>
        <v>0.30172413793103448</v>
      </c>
      <c r="AK2524">
        <f t="shared" ref="AK2524:AK2527" si="1561">IF(AJ2524=0,0,IF(AJ2524&gt;2,1.25-0.125*AJ2524,1))</f>
        <v>1</v>
      </c>
      <c r="AL2524" cm="1">
        <f t="array" ref="AL2524">IFERROR(INDEX(sheath_ecap_asd,MATCH(AP2524,sheath_mark,0),0)*AK2524,0)</f>
        <v>0</v>
      </c>
      <c r="AM2524" cm="1">
        <f t="array" ref="AM2524">IFERROR(INDEX(sheath_wcap_asd,MATCH(AP2524,sheath_mark,0),0)*AK2524,0)</f>
        <v>0</v>
      </c>
      <c r="AN2524" cm="1">
        <f t="array" ref="AN2524">IFERROR(INDEX(hd_cap,MATCH(AQ2524,hd_mark,0),0),0)</f>
        <v>0</v>
      </c>
      <c r="AP2524" s="19"/>
      <c r="AQ2524" s="19"/>
      <c r="AR2524" s="100"/>
      <c r="AS2524" s="93"/>
      <c r="AT2524" s="109"/>
      <c r="AU2524" t="str">
        <f>$Q$2454</f>
        <v>L3</v>
      </c>
      <c r="AV2524">
        <f>$E$22</f>
        <v>21.375</v>
      </c>
      <c r="AW2524" cm="1">
        <f t="array" ref="AW2524">IFERROR(IF(AV2524=0,0,(INDEX($C$33:$C$38,MATCH($AZ$2469,$B$33:$B$38,0),0)*(AV2527+$BA$2469)+$AW$2469*COUNTIF(AV2524:AV2526,"&gt;0")*$C$32+$AY$2469*$C$31)*$AU$2469),0)</f>
        <v>0</v>
      </c>
      <c r="AX2524">
        <f>IF(AV2524=0,0,-(COUNTIF(AV2524:AV2526,"&gt;0")*$AW$2469*$C$32+$AY$2469*$C$31)*$H$27*$AU$2469)</f>
        <v>0</v>
      </c>
      <c r="AY2524">
        <f>IF(AV2524=0,0,$AY$2469*$H$26*$AU$2469)</f>
        <v>0</v>
      </c>
      <c r="AZ2524">
        <f>(0.6*AW2524+0.7*AX2524)*$AU$2469/2</f>
        <v>0</v>
      </c>
      <c r="BA2524">
        <f>AW2524*$AU$2469/2</f>
        <v>0</v>
      </c>
      <c r="BC2524">
        <f>IF(AV2524=0,0,$BG$2469*$AP$2454)</f>
        <v>0</v>
      </c>
      <c r="BD2524">
        <f>IFERROR(BC2524/$AU$2469,0)</f>
        <v>0</v>
      </c>
      <c r="BE2524">
        <f>BC2524*($F$22+IF($F$22=0,0,($C$14+$C$15+IF($C$13="single",1.5,3)+3)/12))</f>
        <v>0</v>
      </c>
      <c r="BF2524">
        <f>BE2524-AZ2524</f>
        <v>0</v>
      </c>
      <c r="BG2524" cm="1">
        <f t="array" ref="BG2524">IFERROR(IF(BF2524&lt;0,0,BF2524/($AU$2469-INDEX(hd_off,MATCH(BT2524,hd_mark,0),0)/12)),0)</f>
        <v>0</v>
      </c>
      <c r="BH2524">
        <f>IF(AV2524=0,0,$BG$2469*$AM$2454)</f>
        <v>0</v>
      </c>
      <c r="BI2524">
        <f>IFERROR(BH2524/$AU$2469,0)</f>
        <v>0</v>
      </c>
      <c r="BJ2524">
        <f>BH2524*($F$22+IF($F$22=0,0,($C$14+$C$15+IF($C$13="single",1.5,3)+3)/12))</f>
        <v>0</v>
      </c>
      <c r="BK2524">
        <f>BJ2524-BA2524</f>
        <v>0</v>
      </c>
      <c r="BL2524" cm="1">
        <f t="array" ref="BL2524">IFERROR(IF(BK2524&lt;0,0,BK2524/($AU$2469-INDEX(hd_off,MATCH(BT2524,hd_mark,0),0)/12)),0)</f>
        <v>0</v>
      </c>
      <c r="BM2524">
        <f>MAX($F$22,$BC$2469)/$Q$2484</f>
        <v>0.30172413793103448</v>
      </c>
      <c r="BN2524">
        <f t="shared" ref="BN2524:BN2527" si="1562">IF(BM2524=0,0,IF(BM2524&gt;2,1.25-0.125*BM2524,1))</f>
        <v>1</v>
      </c>
      <c r="BO2524" cm="1">
        <f t="array" ref="BO2524">IFERROR(INDEX(sheath_ecap_asd,MATCH(BS2524,sheath_mark,0),0)*BN2524,0)</f>
        <v>0</v>
      </c>
      <c r="BP2524" cm="1">
        <f t="array" ref="BP2524">IFERROR(INDEX(sheath_wcap_asd,MATCH(BS2524,sheath_mark,0),0)*BN2524,0)</f>
        <v>0</v>
      </c>
      <c r="BQ2524" cm="1">
        <f t="array" ref="BQ2524">IFERROR(INDEX(hd_cap,MATCH(BT2524,hd_mark,0),0),0)</f>
        <v>0</v>
      </c>
      <c r="BS2524" s="19"/>
      <c r="BT2524" s="19"/>
      <c r="BU2524" s="100"/>
    </row>
    <row r="2525" x14ac:dyDescent="0.25">
      <c r="P2525" s="93"/>
      <c r="Q2525" s="109" t="s">
        <v>491</v>
      </c>
      <c r="R2525" t="str">
        <f>$Q$2455</f>
        <v>L4</v>
      </c>
      <c r="S2525">
        <f>$E$23</f>
        <v>0</v>
      </c>
      <c r="T2525" cm="1">
        <f t="array" ref="T2525">IFERROR(IF(S2525=0,0,(INDEX($C$33:$C$38,MATCH($W$2469,$B$33:$B$38,0),0)*(S2527+$X$2469)+$T$2469*COUNTIF(S2525:S2526,"&gt;0")*$C$32+$V$2469*$C$31)*$R$2469),0)</f>
        <v>0</v>
      </c>
      <c r="U2525">
        <f>IF(S2525=0,0,-(COUNTIF(S2525:S2526,"&gt;0")*$T$2469*$C$32+$V$2469*$C$31)*$H$27*$R$2469)</f>
        <v>0</v>
      </c>
      <c r="V2525">
        <f>IF(S2525=0,0,$V$2469*$H$26*$R$2469)</f>
        <v>0</v>
      </c>
      <c r="W2525">
        <f>(0.6*T2525+0.7*U2525)*$R$2469/2</f>
        <v>0</v>
      </c>
      <c r="X2525">
        <f>T2525*$R$2469/2</f>
        <v>0</v>
      </c>
      <c r="Z2525">
        <f>IF(S2525=0,0,$AD$2469*$AP$2455)</f>
        <v>0</v>
      </c>
      <c r="AA2525">
        <f>IFERROR(Z2525/$R$2469,0)</f>
        <v>0</v>
      </c>
      <c r="AB2525">
        <f>Z2525*($F$23+IF($F$23=0,0,($C$14+$C$15+IF($C$13="single",1.5,3)+3)/12))</f>
        <v>0</v>
      </c>
      <c r="AC2525">
        <f>AB2525-W2525</f>
        <v>0</v>
      </c>
      <c r="AD2525" cm="1">
        <f t="array" ref="AD2525">IFERROR(IF(AC2525&lt;0,0,AC2525/($R$2469-INDEX(hd_off,MATCH(AQ2525,hd_mark,0),0)/12)),0)</f>
        <v>0</v>
      </c>
      <c r="AE2525">
        <f>IF(S2525=0,0,$AD$2469*$AM$2455)</f>
        <v>0</v>
      </c>
      <c r="AF2525">
        <f>IFERROR(AE2525/$R$2469,0)</f>
        <v>0</v>
      </c>
      <c r="AG2525">
        <f>AE2525*($F$23+IF($F$23=0,0,($C$14+$C$15+IF($C$13="single",1.5,3)+3)/12))</f>
        <v>0</v>
      </c>
      <c r="AH2525">
        <f>AG2525-X2525</f>
        <v>0</v>
      </c>
      <c r="AI2525" cm="1">
        <f t="array" ref="AI2525">IFERROR(IF(AH2525&lt;0,0,AH2525/($R$2469-INDEX(hd_off,MATCH(AQ2525,hd_mark,0),0)/12)),0)</f>
        <v>0</v>
      </c>
      <c r="AJ2525">
        <f>MAX($F$23,$AA$2469)/$Q$2484</f>
        <v>0</v>
      </c>
      <c r="AK2525">
        <f t="shared" si="1561"/>
        <v>0</v>
      </c>
      <c r="AL2525" cm="1">
        <f t="array" ref="AL2525">IFERROR(INDEX(sheath_ecap_asd,MATCH(AP2525,sheath_mark,0),0)*AK2525,0)</f>
        <v>0</v>
      </c>
      <c r="AM2525" cm="1">
        <f t="array" ref="AM2525">IFERROR(INDEX(sheath_wcap_asd,MATCH(AP2525,sheath_mark,0),0)*AK2525,0)</f>
        <v>0</v>
      </c>
      <c r="AN2525" cm="1">
        <f t="array" ref="AN2525">IFERROR(INDEX(hd_cap,MATCH(AQ2525,hd_mark,0),0),0)</f>
        <v>0</v>
      </c>
      <c r="AP2525" s="19"/>
      <c r="AQ2525" s="19"/>
      <c r="AR2525" s="100"/>
      <c r="AS2525" s="93"/>
      <c r="AT2525" s="109" t="s">
        <v>491</v>
      </c>
      <c r="AU2525" t="str">
        <f>$Q$2455</f>
        <v>L4</v>
      </c>
      <c r="AV2525">
        <f>$E$23</f>
        <v>0</v>
      </c>
      <c r="AW2525" cm="1">
        <f t="array" ref="AW2525">IFERROR(IF(AV2525=0,0,(INDEX($C$33:$C$38,MATCH($AZ$2469,$B$33:$B$38,0),0)*(AV2527+$BA$2469)+$AW$2469*COUNTIF(AV2525:AV2526,"&gt;0")*$C$32+$AY$2469*$C$31)*$AU$2469),0)</f>
        <v>0</v>
      </c>
      <c r="AX2525">
        <f>IF(AV2525=0,0,-(COUNTIF(AV2525:AV2526,"&gt;0")*$AW$2469*$C$32+$AY$2469*$C$31)*$H$27*$AU$2469)</f>
        <v>0</v>
      </c>
      <c r="AY2525">
        <f>IF(AV2525=0,0,$AY$2469*$H$26*$AU$2469)</f>
        <v>0</v>
      </c>
      <c r="AZ2525">
        <f>(0.6*AW2525+0.7*AX2525)*$AU$2469/2</f>
        <v>0</v>
      </c>
      <c r="BA2525">
        <f>AW2525*$AU$2469/2</f>
        <v>0</v>
      </c>
      <c r="BC2525">
        <f>IF(AV2525=0,0,$BG$2469*$AP$2455)</f>
        <v>0</v>
      </c>
      <c r="BD2525">
        <f>IFERROR(BC2525/$AU$2469,0)</f>
        <v>0</v>
      </c>
      <c r="BE2525">
        <f>BC2525*($F$23+IF($F$23=0,0,($C$14+$C$15+IF($C$13="single",1.5,3)+3)/12))</f>
        <v>0</v>
      </c>
      <c r="BF2525">
        <f>BE2525-AZ2525</f>
        <v>0</v>
      </c>
      <c r="BG2525" cm="1">
        <f t="array" ref="BG2525">IFERROR(IF(BF2525&lt;0,0,BF2525/($AU$2469-INDEX(hd_off,MATCH(BT2525,hd_mark,0),0)/12)),0)</f>
        <v>0</v>
      </c>
      <c r="BH2525">
        <f>IF(AV2525=0,0,$BG$2469*$AM$2455)</f>
        <v>0</v>
      </c>
      <c r="BI2525">
        <f>IFERROR(BH2525/$AU$2469,0)</f>
        <v>0</v>
      </c>
      <c r="BJ2525">
        <f>BH2525*($F$23+IF($F$23=0,0,($C$14+$C$15+IF($C$13="single",1.5,3)+3)/12))</f>
        <v>0</v>
      </c>
      <c r="BK2525">
        <f>BJ2525-BA2525</f>
        <v>0</v>
      </c>
      <c r="BL2525" cm="1">
        <f t="array" ref="BL2525">IFERROR(IF(BK2525&lt;0,0,BK2525/($AU$2469-INDEX(hd_off,MATCH(BT2525,hd_mark,0),0)/12)),0)</f>
        <v>0</v>
      </c>
      <c r="BM2525">
        <f>MAX($F$23,$BD$2469)/$Q$2484</f>
        <v>0</v>
      </c>
      <c r="BN2525">
        <f t="shared" si="1562"/>
        <v>0</v>
      </c>
      <c r="BO2525" cm="1">
        <f t="array" ref="BO2525">IFERROR(INDEX(sheath_ecap_asd,MATCH(BS2525,sheath_mark,0),0)*BN2525,0)</f>
        <v>0</v>
      </c>
      <c r="BP2525" cm="1">
        <f t="array" ref="BP2525">IFERROR(INDEX(sheath_wcap_asd,MATCH(BS2525,sheath_mark,0),0)*BN2525,0)</f>
        <v>0</v>
      </c>
      <c r="BQ2525" cm="1">
        <f t="array" ref="BQ2525">IFERROR(INDEX(hd_cap,MATCH(BT2525,hd_mark,0),0),0)</f>
        <v>0</v>
      </c>
      <c r="BS2525" s="19"/>
      <c r="BT2525" s="19"/>
      <c r="BU2525" s="100"/>
    </row>
    <row r="2526" x14ac:dyDescent="0.25">
      <c r="P2526" s="93"/>
      <c r="Q2526" s="111">
        <f>$R$2469</f>
        <v>0</v>
      </c>
      <c r="R2526" t="str">
        <f>$Q$2456</f>
        <v>L5</v>
      </c>
      <c r="S2526">
        <f>$E$24</f>
        <v>0</v>
      </c>
      <c r="T2526" cm="1">
        <f t="array" ref="T2526">IFERROR(IF(S2526=0,0,(INDEX($C$33:$C$38,MATCH($W$2469,$B$33:$B$38,0),0)*(S2527+$X$2469)+$T$2469*COUNTIF(S2526:S2526,"&gt;0")*$C$32+$V$2469*$C$31)*$R$2469),0)</f>
        <v>0</v>
      </c>
      <c r="U2526">
        <f>IF(S2526=0,0,-(COUNTIF(S2526:S2526,"&gt;0")*$T$2469*$C$32+$V$2469*$C$31)*$H$27*$R$2469)</f>
        <v>0</v>
      </c>
      <c r="V2526">
        <f>IF(S2526=0,0,$V$2469*$H$26*$R$2469)</f>
        <v>0</v>
      </c>
      <c r="W2526">
        <f>(0.6*T2526+0.7*U2526)*$R$2469/2</f>
        <v>0</v>
      </c>
      <c r="X2526">
        <f>T2526*$R$2469/2</f>
        <v>0</v>
      </c>
      <c r="Z2526">
        <f>IF(S2526=0,0,$AD$2469*$AP$2456)</f>
        <v>0</v>
      </c>
      <c r="AA2526">
        <f>IFERROR(Z2526/$R$2469,0)</f>
        <v>0</v>
      </c>
      <c r="AB2526">
        <f>Z2526*($F$24+IF($F$24=0,0,($C$14+$C$15+IF($C$13="single",1.5,3)+3)/12))</f>
        <v>0</v>
      </c>
      <c r="AC2526">
        <f>AB2526-W2526</f>
        <v>0</v>
      </c>
      <c r="AD2526" cm="1">
        <f t="array" ref="AD2526">IFERROR(IF(AC2526&lt;0,0,AC2526/($R$2469-INDEX(hd_off,MATCH(AQ2526,hd_mark,0),0)/12)),0)</f>
        <v>0</v>
      </c>
      <c r="AE2526">
        <f>IF(S2526=0,0,$AD$2469*$AM$2456)</f>
        <v>0</v>
      </c>
      <c r="AF2526">
        <f>IFERROR(AE2526/$R$2469,0)</f>
        <v>0</v>
      </c>
      <c r="AG2526">
        <f>AE2526*($F$24+IF($F$24=0,0,($C$14+$C$15+IF($C$13="single",1.5,3)+3)/12))</f>
        <v>0</v>
      </c>
      <c r="AH2526">
        <f>AG2526-X2526</f>
        <v>0</v>
      </c>
      <c r="AI2526" cm="1">
        <f t="array" ref="AI2526">IFERROR(IF(AH2526&lt;0,0,AH2526/($R$2469-INDEX(hd_off,MATCH(AQ2526,hd_mark,0),0)/12)),0)</f>
        <v>0</v>
      </c>
      <c r="AJ2526">
        <f>MAX($F$24,$AB$2469)/$Q$2484</f>
        <v>0</v>
      </c>
      <c r="AK2526">
        <f t="shared" si="1561"/>
        <v>0</v>
      </c>
      <c r="AL2526" cm="1">
        <f t="array" ref="AL2526">IFERROR(INDEX(sheath_ecap_asd,MATCH(AP2526,sheath_mark,0),0)*AK2526,0)</f>
        <v>0</v>
      </c>
      <c r="AM2526" cm="1">
        <f t="array" ref="AM2526">IFERROR(INDEX(sheath_wcap_asd,MATCH(AP2526,sheath_mark,0),0)*AK2526,0)</f>
        <v>0</v>
      </c>
      <c r="AN2526" cm="1">
        <f t="array" ref="AN2526">IFERROR(INDEX(hd_cap,MATCH(AQ2526,hd_mark,0),0),0)</f>
        <v>0</v>
      </c>
      <c r="AP2526" s="19"/>
      <c r="AQ2526" s="19"/>
      <c r="AR2526" s="100"/>
      <c r="AS2526" s="93"/>
      <c r="AT2526" s="111">
        <f>$R$2469</f>
        <v>0</v>
      </c>
      <c r="AU2526" t="str">
        <f>$Q$2456</f>
        <v>L5</v>
      </c>
      <c r="AV2526">
        <f>$E$24</f>
        <v>0</v>
      </c>
      <c r="AW2526" cm="1">
        <f t="array" ref="AW2526">IFERROR(IF(AV2526=0,0,(INDEX($C$33:$C$38,MATCH($AZ$2469,$B$33:$B$38,0),0)*(AV2527+$BA$2469)+$AW$2469*COUNTIF(AV2526:AV2526,"&gt;0")*$C$32+$AY$2469*$C$31)*$AU$2469),0)</f>
        <v>0</v>
      </c>
      <c r="AX2526">
        <f>IF(AV2526=0,0,-(COUNTIF(AV2526:AV2526,"&gt;0")*$AW$2469*$C$32+$AY$2469*$C$31)*$H$27*$AU$2469)</f>
        <v>0</v>
      </c>
      <c r="AY2526">
        <f>IF(AV2526=0,0,$AY$2469*$H$26*$AU$2469)</f>
        <v>0</v>
      </c>
      <c r="AZ2526">
        <f>(0.6*AW2526+0.7*AX2526)*$AU$2469/2</f>
        <v>0</v>
      </c>
      <c r="BA2526">
        <f>AW2526*$AU$2469/2</f>
        <v>0</v>
      </c>
      <c r="BC2526">
        <f>IF(AV2526=0,0,$BG$2469*$AP$2456)</f>
        <v>0</v>
      </c>
      <c r="BD2526">
        <f>IFERROR(BC2526/$AU$2469,0)</f>
        <v>0</v>
      </c>
      <c r="BE2526">
        <f>BC2526*($F$24+IF($F$24=0,0,($C$14+$C$15+IF($C$13="single",1.5,3)+3)/12))</f>
        <v>0</v>
      </c>
      <c r="BF2526">
        <f>BE2526-AZ2526</f>
        <v>0</v>
      </c>
      <c r="BG2526" cm="1">
        <f t="array" ref="BG2526">IFERROR(IF(BF2526&lt;0,0,BF2526/($AU$2469-INDEX(hd_off,MATCH(BT2526,hd_mark,0),0)/12)),0)</f>
        <v>0</v>
      </c>
      <c r="BH2526">
        <f>IF(AV2526=0,0,$BG$2469*$AM$2456)</f>
        <v>0</v>
      </c>
      <c r="BI2526">
        <f>IFERROR(BH2526/$AU$2469,0)</f>
        <v>0</v>
      </c>
      <c r="BJ2526">
        <f>BH2526*($F$24+IF($F$24=0,0,($C$14+$C$15+IF($C$13="single",1.5,3)+3)/12))</f>
        <v>0</v>
      </c>
      <c r="BK2526">
        <f>BJ2526-BA2526</f>
        <v>0</v>
      </c>
      <c r="BL2526" cm="1">
        <f t="array" ref="BL2526">IFERROR(IF(BK2526&lt;0,0,BK2526/($AU$2469-INDEX(hd_off,MATCH(BT2526,hd_mark,0),0)/12)),0)</f>
        <v>0</v>
      </c>
      <c r="BM2526">
        <f>MAX($F$24,$BE$2469)/$Q$2484</f>
        <v>0</v>
      </c>
      <c r="BN2526">
        <f t="shared" si="1562"/>
        <v>0</v>
      </c>
      <c r="BO2526" cm="1">
        <f t="array" ref="BO2526">IFERROR(INDEX(sheath_ecap_asd,MATCH(BS2526,sheath_mark,0),0)*BN2526,0)</f>
        <v>0</v>
      </c>
      <c r="BP2526" cm="1">
        <f t="array" ref="BP2526">IFERROR(INDEX(sheath_wcap_asd,MATCH(BS2526,sheath_mark,0),0)*BN2526,0)</f>
        <v>0</v>
      </c>
      <c r="BQ2526" cm="1">
        <f t="array" ref="BQ2526">IFERROR(INDEX(hd_cap,MATCH(BT2526,hd_mark,0),0),0)</f>
        <v>0</v>
      </c>
      <c r="BS2526" s="19"/>
      <c r="BT2526" s="19"/>
      <c r="BU2526" s="100"/>
    </row>
    <row r="2527" x14ac:dyDescent="0.25">
      <c r="P2527" s="93"/>
      <c r="Q2527" s="109"/>
      <c r="R2527" t="str">
        <f>$Q$2457</f>
        <v>Roof</v>
      </c>
      <c r="S2527">
        <f>$E$25</f>
        <v>33.171875</v>
      </c>
      <c r="T2527" cm="1">
        <f t="array" ref="T2527">IFERROR(IF(S2527=0,0,(INDEX($C$33:$C$38,MATCH($W$2469,$B$33:$B$38,0),0)*(S2527+$X$2469)+$V$2469*$C$31)*$R$2469),0)</f>
        <v>0</v>
      </c>
      <c r="U2527">
        <f>IF(S2527=0,0,-$V$2469*$C$31*$H$27*$R$2469)</f>
        <v>0</v>
      </c>
      <c r="V2527">
        <f>IF(S2527=0,0,$V$2469*$H$26*$R$2469)</f>
        <v>0</v>
      </c>
      <c r="W2527">
        <f>(0.6*T2527+0.7*U2527)*$R$2469/2</f>
        <v>0</v>
      </c>
      <c r="X2527">
        <f>T2527*$R$2469/2</f>
        <v>0</v>
      </c>
      <c r="Z2527">
        <f>IF(S2527=0,0,$AD$2469*$AP$2457)</f>
        <v>0</v>
      </c>
      <c r="AA2527">
        <f>IFERROR(Z2527/$R$2469,0)</f>
        <v>0</v>
      </c>
      <c r="AB2527">
        <f>Z2527*($F$25+($C$16+$C$17+IF($C$13="single",1.5,3)+3)/12)</f>
        <v>0</v>
      </c>
      <c r="AC2527">
        <f>AB2527-W2527</f>
        <v>0</v>
      </c>
      <c r="AD2527" cm="1">
        <f t="array" ref="AD2527">IFERROR(IF(AC2527&lt;0,0,AC2527/($R$2469-INDEX(hd_off,MATCH(AQ2527,hd_mark,0),0)/12)),0)</f>
        <v>0</v>
      </c>
      <c r="AE2527">
        <f>IF(S2527=0,0,$AD$2469*$AM$2457)</f>
        <v>0</v>
      </c>
      <c r="AF2527">
        <f>IFERROR(AE2527/$R$2469,0)</f>
        <v>0</v>
      </c>
      <c r="AG2527">
        <f>AE2527*($F$25+($C$16+$C$17+IF($C$13="single",1.5,3)+3)/12)</f>
        <v>0</v>
      </c>
      <c r="AH2527">
        <f>AG2527-X2527</f>
        <v>0</v>
      </c>
      <c r="AI2527" cm="1">
        <f t="array" ref="AI2527">IFERROR(IF(AH2527&lt;0,0,AH2527/($R$2469-INDEX(hd_off,MATCH(AQ2527,hd_mark,0),0)/12)),0)</f>
        <v>0</v>
      </c>
      <c r="AJ2527">
        <f>MAX($F$25,$AC$2469)/$Q$2484</f>
        <v>0.29920977011494249</v>
      </c>
      <c r="AK2527">
        <f t="shared" si="1561"/>
        <v>1</v>
      </c>
      <c r="AL2527" cm="1">
        <f t="array" ref="AL2527">IFERROR(INDEX(sheath_ecap_asd,MATCH(AP2527,sheath_mark,0),0)*AK2527,0)</f>
        <v>0</v>
      </c>
      <c r="AM2527" cm="1">
        <f t="array" ref="AM2527">IFERROR(INDEX(sheath_wcap_asd,MATCH(AP2527,sheath_mark,0),0)*AK2527,0)</f>
        <v>0</v>
      </c>
      <c r="AN2527" cm="1">
        <f t="array" ref="AN2527">IFERROR(INDEX(hd_cap,MATCH(AQ2527,hd_mark,0),0),0)</f>
        <v>0</v>
      </c>
      <c r="AP2527" s="19"/>
      <c r="AQ2527" s="19"/>
      <c r="AR2527" s="100"/>
      <c r="AS2527" s="93"/>
      <c r="AT2527" s="109"/>
      <c r="AU2527" t="str">
        <f>$Q$2457</f>
        <v>Roof</v>
      </c>
      <c r="AV2527">
        <f>$E$25</f>
        <v>33.171875</v>
      </c>
      <c r="AW2527" cm="1">
        <f t="array" ref="AW2527">IFERROR(IF(AV2527=0,0,(INDEX($C$33:$C$38,MATCH($AZ$2469,$B$33:$B$38,0),0)*(AV2527+$BA$2469)+$AY$2469*$C$31)*$AU$2469),0)</f>
        <v>0</v>
      </c>
      <c r="AX2527">
        <f>IF(AV2527=0,0,-$AY$2469*$C$31*$H$27*$AU$2469)</f>
        <v>0</v>
      </c>
      <c r="AY2527">
        <f>IF(AV2527=0,0,$AY$2469*$H$26*$AU$2469)</f>
        <v>0</v>
      </c>
      <c r="AZ2527">
        <f>(0.6*AW2527+0.7*AX2527)*$AU$2469/2</f>
        <v>0</v>
      </c>
      <c r="BA2527">
        <f>AW2527*$AU$2469/2</f>
        <v>0</v>
      </c>
      <c r="BC2527">
        <f>IF(AV2527=0,0,$BG$2469*$AP$2457)</f>
        <v>0</v>
      </c>
      <c r="BD2527">
        <f>IFERROR(BC2527/$AU$2469,0)</f>
        <v>0</v>
      </c>
      <c r="BE2527">
        <f>BC2527*($F$25+($C$16+$C$17+IF($C$13="single",1.5,3)+3)/12)</f>
        <v>0</v>
      </c>
      <c r="BF2527">
        <f>BE2527-AZ2527</f>
        <v>0</v>
      </c>
      <c r="BG2527" cm="1">
        <f t="array" ref="BG2527">IFERROR(IF(BF2527&lt;0,0,BF2527/($AU$2469-INDEX(hd_off,MATCH(BT2527,hd_mark,0),0)/12)),0)</f>
        <v>0</v>
      </c>
      <c r="BH2527">
        <f>IF(AV2527=0,0,$BG$2469*$AM$2457)</f>
        <v>0</v>
      </c>
      <c r="BI2527">
        <f>IFERROR(BH2527/$AU$2469,0)</f>
        <v>0</v>
      </c>
      <c r="BJ2527">
        <f>BH2527*($F$25+($C$16+$C$17+IF($C$13="single",1.5,3)+3)/12)</f>
        <v>0</v>
      </c>
      <c r="BK2527">
        <f>BJ2527-BA2527</f>
        <v>0</v>
      </c>
      <c r="BL2527" cm="1">
        <f t="array" ref="BL2527">IFERROR(IF(BK2527&lt;0,0,BK2527/($AU$2469-INDEX(hd_off,MATCH(BT2527,hd_mark,0),0)/12)),0)</f>
        <v>0</v>
      </c>
      <c r="BM2527">
        <f>MAX($F$25,$BF$2469)/$Q$2484</f>
        <v>0.29920977011494249</v>
      </c>
      <c r="BN2527">
        <f t="shared" si="1562"/>
        <v>1</v>
      </c>
      <c r="BO2527" cm="1">
        <f t="array" ref="BO2527">IFERROR(INDEX(sheath_ecap_asd,MATCH(BS2527,sheath_mark,0),0)*BN2527,0)</f>
        <v>0</v>
      </c>
      <c r="BP2527" cm="1">
        <f t="array" ref="BP2527">IFERROR(INDEX(sheath_wcap_asd,MATCH(BS2527,sheath_mark,0),0)*BN2527,0)</f>
        <v>0</v>
      </c>
      <c r="BQ2527" cm="1">
        <f t="array" ref="BQ2527">IFERROR(INDEX(hd_cap,MATCH(BT2527,hd_mark,0),0),0)</f>
        <v>0</v>
      </c>
      <c r="BS2527" s="19"/>
      <c r="BT2527" s="19"/>
      <c r="BU2527" s="100"/>
    </row>
    <row r="2528" x14ac:dyDescent="0.25">
      <c r="P2528" s="93"/>
      <c r="AR2528" s="100"/>
      <c r="AS2528" s="93"/>
      <c r="BU2528" s="100"/>
    </row>
    <row r="2529" x14ac:dyDescent="0.25">
      <c r="P2529" s="93"/>
      <c r="Q2529" s="110" t="str">
        <f>$Q$2470</f>
        <v>A.09</v>
      </c>
      <c r="R2529" t="str">
        <f>$Q$2453</f>
        <v>L2</v>
      </c>
      <c r="S2529">
        <f>$E$21</f>
        <v>10.6875</v>
      </c>
      <c r="T2529" cm="1">
        <f t="array" ref="T2529">IFERROR(IF(S2529=0,0,(INDEX($C$33:$C$38,MATCH($W$2470,$B$33:$B$38,0),0)*(S2533+$X$2470)+$T$2470*COUNTIF(S2529:S2532,"&gt;0")*$C$32+$V$2470*$C$31)*$R$2470),0)</f>
        <v>0</v>
      </c>
      <c r="U2529">
        <f>IF(S2529=0,0,-(COUNTIF(S2529:S2532,"&gt;0")*$T$2470*$C$32+$V$2470*$C$31)*$H$27*$R$2470)</f>
        <v>0</v>
      </c>
      <c r="V2529">
        <f>IF(S2529=0,0,$V$2470*$H$26*$R$2470)</f>
        <v>0</v>
      </c>
      <c r="W2529">
        <f>(0.6*T2529+0.7*U2529)*$R$2470/2</f>
        <v>0</v>
      </c>
      <c r="X2529">
        <f>(0.6*T2529+0.6*V2529)*$R$2470/2</f>
        <v>0</v>
      </c>
      <c r="Z2529">
        <f>IF(S2529=0,0,$AD$2470*$AP$2453)</f>
        <v>0</v>
      </c>
      <c r="AA2529">
        <f>IFERROR(Z2529/$R$2470,0)</f>
        <v>0</v>
      </c>
      <c r="AB2529">
        <f>Z2529*($F$21+IF($F$21=0,0,($C$14+$C$15+IF($C$13="single",1.5,3)+3)/12))</f>
        <v>0</v>
      </c>
      <c r="AC2529">
        <f>AB2529-W2529</f>
        <v>0</v>
      </c>
      <c r="AD2529" cm="1">
        <f t="array" ref="AD2529">IFERROR(IF(AC2529&lt;0,0,AC2529/($R$2470-INDEX(hd_off,MATCH(AQ2529,hd_mark,0),0)/12)),0)</f>
        <v>0</v>
      </c>
      <c r="AE2529">
        <f>IF(S2529=0,0,$AD$2470*$AM$2453)</f>
        <v>0</v>
      </c>
      <c r="AF2529">
        <f>IFERROR(AE2529/$R$2470,0)</f>
        <v>0</v>
      </c>
      <c r="AG2529">
        <f>AE2529*($F$21+IF($F$21=0,0,($C$14+$C$15+IF($C$13="single",1.5,3)+3)/12))</f>
        <v>0</v>
      </c>
      <c r="AH2529">
        <f>AG2529-X2529</f>
        <v>0</v>
      </c>
      <c r="AI2529" cm="1">
        <f t="array" ref="AI2529">IFERROR(IF(AH2529&lt;0,0,AH2529/($R$2470-INDEX(hd_off,MATCH(AQ2529,hd_mark,0),0)/12)),0)</f>
        <v>0</v>
      </c>
      <c r="AJ2529">
        <f>MAX($F$21,$Y$2470)/$Q$2484</f>
        <v>0.30172413793103448</v>
      </c>
      <c r="AK2529">
        <f>IF(AJ2529=0,0,IF(AJ2529&gt;2,1.25-0.125*AJ2529,1))</f>
        <v>1</v>
      </c>
      <c r="AL2529" cm="1">
        <f t="array" ref="AL2529">IFERROR(INDEX(sheath_ecap_asd,MATCH(AP2529,sheath_mark,0),0)*AK2529,0)</f>
        <v>0</v>
      </c>
      <c r="AM2529" cm="1">
        <f t="array" ref="AM2529">IFERROR(INDEX(sheath_wcap_asd,MATCH(AP2529,sheath_mark,0),0)*AK2529,0)</f>
        <v>0</v>
      </c>
      <c r="AN2529" cm="1">
        <f t="array" ref="AN2529">IFERROR(INDEX(hd_cap,MATCH(AQ2529,hd_mark,0),0),0)</f>
        <v>0</v>
      </c>
      <c r="AP2529" s="19"/>
      <c r="AQ2529" s="19"/>
      <c r="AR2529" s="100"/>
      <c r="AS2529" s="93"/>
      <c r="AT2529" s="110" t="str">
        <f>$AT$2470</f>
        <v>1.09</v>
      </c>
      <c r="AU2529" t="str">
        <f>$Q$2453</f>
        <v>L2</v>
      </c>
      <c r="AV2529">
        <f>$E$21</f>
        <v>10.6875</v>
      </c>
      <c r="AW2529" cm="1">
        <f t="array" ref="AW2529">IFERROR(IF(AV2529=0,0,(INDEX($C$33:$C$38,MATCH($AZ$2470,$B$33:$B$38,0),0)*(AV2533+$BA$2470)+$AW$2470*COUNTIF(AV2529:AV2532,"&gt;0")*$C$32+$AY$2470*$C$31)*$AU$2470),0)</f>
        <v>0</v>
      </c>
      <c r="AX2529">
        <f>IF(AV2529=0,0,-(COUNTIF(AV2529:AV2532,"&gt;0")*$AW$2470*$C$32+$AY$2470*$C$31)*$H$27*$AU$2470)</f>
        <v>0</v>
      </c>
      <c r="AY2529">
        <f>IF(AV2529=0,0,$AY$2470*$H$26*$AU$2470)</f>
        <v>0</v>
      </c>
      <c r="AZ2529">
        <f>(0.6*AW2529+0.7*AX2529)*$AU$2470/2</f>
        <v>0</v>
      </c>
      <c r="BA2529">
        <f>(0.6*AW2529+0.6*AY2529)*$AU$2470/2</f>
        <v>0</v>
      </c>
      <c r="BC2529">
        <f>IF(AV2529=0,0,$BG$2470*$AP$2453)</f>
        <v>0</v>
      </c>
      <c r="BD2529">
        <f>IFERROR(BC2529/$AU$2470,0)</f>
        <v>0</v>
      </c>
      <c r="BE2529">
        <f>BC2529*($F$21+IF($F$21=0,0,($C$14+$C$15+IF($C$13="single",1.5,3)+3)/12))</f>
        <v>0</v>
      </c>
      <c r="BF2529">
        <f>BE2529-AZ2529</f>
        <v>0</v>
      </c>
      <c r="BG2529" cm="1">
        <f t="array" ref="BG2529">IFERROR(IF(BF2529&lt;0,0,BF2529/($AU$2470-INDEX(hd_off,MATCH(BT2529,hd_mark,0),0)/12)),0)</f>
        <v>0</v>
      </c>
      <c r="BH2529">
        <f>IF(AV2529=0,0,$BG$2470*$AM$2453)</f>
        <v>0</v>
      </c>
      <c r="BI2529">
        <f>IFERROR(BH2529/$AU$2470,0)</f>
        <v>0</v>
      </c>
      <c r="BJ2529">
        <f>BH2529*($F$21+IF($F$21=0,0,($C$14+$C$15+IF($C$13="single",1.5,3)+3)/12))</f>
        <v>0</v>
      </c>
      <c r="BK2529">
        <f>BJ2529-BA2529</f>
        <v>0</v>
      </c>
      <c r="BL2529" cm="1">
        <f t="array" ref="BL2529">IFERROR(IF(BK2529&lt;0,0,BK2529/($AU$2470-INDEX(hd_off,MATCH(BT2529,hd_mark,0),0)/12)),0)</f>
        <v>0</v>
      </c>
      <c r="BM2529">
        <f>MAX($F$21,$BB$2470)/$Q$2484</f>
        <v>0.30172413793103448</v>
      </c>
      <c r="BN2529">
        <f>IF(BM2529=0,0,IF(BM2529&gt;2,1.25-0.125*BM2529,1))</f>
        <v>1</v>
      </c>
      <c r="BO2529" cm="1">
        <f t="array" ref="BO2529">IFERROR(INDEX(sheath_ecap_asd,MATCH(BS2529,sheath_mark,0),0)*BN2529,0)</f>
        <v>0</v>
      </c>
      <c r="BP2529" cm="1">
        <f t="array" ref="BP2529">IFERROR(INDEX(sheath_wcap_asd,MATCH(BS2529,sheath_mark,0),0)*BN2529,0)</f>
        <v>0</v>
      </c>
      <c r="BQ2529" cm="1">
        <f t="array" ref="BQ2529">IFERROR(INDEX(hd_cap,MATCH(BT2529,hd_mark,0),0),0)</f>
        <v>0</v>
      </c>
      <c r="BS2529" s="19"/>
      <c r="BT2529" s="19"/>
      <c r="BU2529" s="100"/>
    </row>
    <row r="2530" x14ac:dyDescent="0.25">
      <c r="P2530" s="93"/>
      <c r="Q2530" s="109"/>
      <c r="R2530" t="str">
        <f>$Q$2454</f>
        <v>L3</v>
      </c>
      <c r="S2530">
        <f>$E$22</f>
        <v>21.375</v>
      </c>
      <c r="T2530" cm="1">
        <f t="array" ref="T2530">IFERROR(IF(S2530=0,0,(INDEX($C$33:$C$38,MATCH($W$2470,$B$33:$B$38,0),0)*(S2533+$X$2470)+$T$2470*COUNTIF(S2530:S2532,"&gt;0")*$C$32+$V$2470*$C$31)*$R$2470),0)</f>
        <v>0</v>
      </c>
      <c r="U2530">
        <f>IF(S2530=0,0,-(COUNTIF(S2530:S2532,"&gt;0")*$T$2470*$C$32+$V$2470*$C$31)*$H$27*$R$2470)</f>
        <v>0</v>
      </c>
      <c r="V2530">
        <f>IF(S2530=0,0,$V$2470*$H$26*$R$2470)</f>
        <v>0</v>
      </c>
      <c r="W2530">
        <f>(0.6*T2530+0.7*U2530)*$R$2470/2</f>
        <v>0</v>
      </c>
      <c r="X2530">
        <f>T2530*$R$2470/2</f>
        <v>0</v>
      </c>
      <c r="Z2530">
        <f>IF(S2530=0,0,$AD$2470*$AP$2454)</f>
        <v>0</v>
      </c>
      <c r="AA2530">
        <f>IFERROR(Z2530/$R$2470,0)</f>
        <v>0</v>
      </c>
      <c r="AB2530">
        <f>Z2530*($F$22+IF($F$22=0,0,($C$14+$C$15+IF($C$13="single",1.5,3)+3)/12))</f>
        <v>0</v>
      </c>
      <c r="AC2530">
        <f>AB2530-W2530</f>
        <v>0</v>
      </c>
      <c r="AD2530" cm="1">
        <f t="array" ref="AD2530">IFERROR(IF(AC2530&lt;0,0,AC2530/($R$2470-INDEX(hd_off,MATCH(AQ2530,hd_mark,0),0)/12)),0)</f>
        <v>0</v>
      </c>
      <c r="AE2530">
        <f>IF(S2530=0,0,$AD$2470*$AM$2454)</f>
        <v>0</v>
      </c>
      <c r="AF2530">
        <f>IFERROR(AE2530/$R$2470,0)</f>
        <v>0</v>
      </c>
      <c r="AG2530">
        <f>AE2530*($F$22+IF($F$22=0,0,($C$14+$C$15+IF($C$13="single",1.5,3)+3)/12))</f>
        <v>0</v>
      </c>
      <c r="AH2530">
        <f>AG2530-X2530</f>
        <v>0</v>
      </c>
      <c r="AI2530" cm="1">
        <f t="array" ref="AI2530">IFERROR(IF(AH2530&lt;0,0,AH2530/($R$2470-INDEX(hd_off,MATCH(AQ2530,hd_mark,0),0)/12)),0)</f>
        <v>0</v>
      </c>
      <c r="AJ2530">
        <f>MAX($F$22,$Z$2470)/$Q$2484</f>
        <v>0.30172413793103448</v>
      </c>
      <c r="AK2530">
        <f t="shared" ref="AK2530:AK2533" si="1563">IF(AJ2530=0,0,IF(AJ2530&gt;2,1.25-0.125*AJ2530,1))</f>
        <v>1</v>
      </c>
      <c r="AL2530" cm="1">
        <f t="array" ref="AL2530">IFERROR(INDEX(sheath_ecap_asd,MATCH(AP2530,sheath_mark,0),0)*AK2530,0)</f>
        <v>0</v>
      </c>
      <c r="AM2530" cm="1">
        <f t="array" ref="AM2530">IFERROR(INDEX(sheath_wcap_asd,MATCH(AP2530,sheath_mark,0),0)*AK2530,0)</f>
        <v>0</v>
      </c>
      <c r="AN2530" cm="1">
        <f t="array" ref="AN2530">IFERROR(INDEX(hd_cap,MATCH(AQ2530,hd_mark,0),0),0)</f>
        <v>0</v>
      </c>
      <c r="AP2530" s="19"/>
      <c r="AQ2530" s="19"/>
      <c r="AR2530" s="100"/>
      <c r="AS2530" s="93"/>
      <c r="AT2530" s="109"/>
      <c r="AU2530" t="str">
        <f>$Q$2454</f>
        <v>L3</v>
      </c>
      <c r="AV2530">
        <f>$E$22</f>
        <v>21.375</v>
      </c>
      <c r="AW2530" cm="1">
        <f t="array" ref="AW2530">IFERROR(IF(AV2530=0,0,(INDEX($C$33:$C$38,MATCH($AZ$2470,$B$33:$B$38,0),0)*(AV2533+$BA$2470)+$AW$2470*COUNTIF(AV2530:AV2532,"&gt;0")*$C$32+$AY$2470*$C$31)*$AU$2470),0)</f>
        <v>0</v>
      </c>
      <c r="AX2530">
        <f>IF(AV2530=0,0,-(COUNTIF(AV2530:AV2532,"&gt;0")*$AW$2470*$C$32+$AY$2470*$C$31)*$H$27*$AU$2470)</f>
        <v>0</v>
      </c>
      <c r="AY2530">
        <f>IF(AV2530=0,0,$AY$2470*$H$26*$AU$2470)</f>
        <v>0</v>
      </c>
      <c r="AZ2530">
        <f>(0.6*AW2530+0.7*AX2530)*$AU$2470/2</f>
        <v>0</v>
      </c>
      <c r="BA2530">
        <f>AW2530*$AU$2470/2</f>
        <v>0</v>
      </c>
      <c r="BC2530">
        <f>IF(AV2530=0,0,$BG$2470*$AP$2454)</f>
        <v>0</v>
      </c>
      <c r="BD2530">
        <f>IFERROR(BC2530/$AU$2470,0)</f>
        <v>0</v>
      </c>
      <c r="BE2530">
        <f>BC2530*($F$22+IF($F$22=0,0,($C$14+$C$15+IF($C$13="single",1.5,3)+3)/12))</f>
        <v>0</v>
      </c>
      <c r="BF2530">
        <f>BE2530-AZ2530</f>
        <v>0</v>
      </c>
      <c r="BG2530" cm="1">
        <f t="array" ref="BG2530">IFERROR(IF(BF2530&lt;0,0,BF2530/($AU$2470-INDEX(hd_off,MATCH(BT2530,hd_mark,0),0)/12)),0)</f>
        <v>0</v>
      </c>
      <c r="BH2530">
        <f>IF(AV2530=0,0,$BG$2470*$AM$2454)</f>
        <v>0</v>
      </c>
      <c r="BI2530">
        <f>IFERROR(BH2530/$AU$2470,0)</f>
        <v>0</v>
      </c>
      <c r="BJ2530">
        <f>BH2530*($F$22+IF($F$22=0,0,($C$14+$C$15+IF($C$13="single",1.5,3)+3)/12))</f>
        <v>0</v>
      </c>
      <c r="BK2530">
        <f>BJ2530-BA2530</f>
        <v>0</v>
      </c>
      <c r="BL2530" cm="1">
        <f t="array" ref="BL2530">IFERROR(IF(BK2530&lt;0,0,BK2530/($AU$2470-INDEX(hd_off,MATCH(BT2530,hd_mark,0),0)/12)),0)</f>
        <v>0</v>
      </c>
      <c r="BM2530">
        <f>MAX($F$22,$BC$2470)/$Q$2484</f>
        <v>0.30172413793103448</v>
      </c>
      <c r="BN2530">
        <f t="shared" ref="BN2530:BN2533" si="1564">IF(BM2530=0,0,IF(BM2530&gt;2,1.25-0.125*BM2530,1))</f>
        <v>1</v>
      </c>
      <c r="BO2530" cm="1">
        <f t="array" ref="BO2530">IFERROR(INDEX(sheath_ecap_asd,MATCH(BS2530,sheath_mark,0),0)*BN2530,0)</f>
        <v>0</v>
      </c>
      <c r="BP2530" cm="1">
        <f t="array" ref="BP2530">IFERROR(INDEX(sheath_wcap_asd,MATCH(BS2530,sheath_mark,0),0)*BN2530,0)</f>
        <v>0</v>
      </c>
      <c r="BQ2530" cm="1">
        <f t="array" ref="BQ2530">IFERROR(INDEX(hd_cap,MATCH(BT2530,hd_mark,0),0),0)</f>
        <v>0</v>
      </c>
      <c r="BS2530" s="19"/>
      <c r="BT2530" s="19"/>
      <c r="BU2530" s="100"/>
    </row>
    <row r="2531" x14ac:dyDescent="0.25">
      <c r="P2531" s="93"/>
      <c r="Q2531" s="109" t="s">
        <v>491</v>
      </c>
      <c r="R2531" t="str">
        <f>$Q$2455</f>
        <v>L4</v>
      </c>
      <c r="S2531">
        <f>$E$23</f>
        <v>0</v>
      </c>
      <c r="T2531" cm="1">
        <f t="array" ref="T2531">IFERROR(IF(S2531=0,0,(INDEX($C$33:$C$38,MATCH($W$2470,$B$33:$B$38,0),0)*(S2533+$X$2470)+$T$2470*COUNTIF(S2531:S2532,"&gt;0")*$C$32+$V$2470*$C$31)*$R$2470),0)</f>
        <v>0</v>
      </c>
      <c r="U2531">
        <f>IF(S2531=0,0,-(COUNTIF(S2531:S2532,"&gt;0")*$T$2470*$C$32+$V$2470*$C$31)*$H$27*$R$2470)</f>
        <v>0</v>
      </c>
      <c r="V2531">
        <f>IF(S2531=0,0,$V$2470*$H$26*$R$2470)</f>
        <v>0</v>
      </c>
      <c r="W2531">
        <f>(0.6*T2531+0.7*U2531)*$R$2470/2</f>
        <v>0</v>
      </c>
      <c r="X2531">
        <f>T2531*$R$2470/2</f>
        <v>0</v>
      </c>
      <c r="Z2531">
        <f>IF(S2531=0,0,$AD$2470*$AP$2455)</f>
        <v>0</v>
      </c>
      <c r="AA2531">
        <f>IFERROR(Z2531/$R$2470,0)</f>
        <v>0</v>
      </c>
      <c r="AB2531">
        <f>Z2531*($F$23+IF($F$23=0,0,($C$14+$C$15+IF($C$13="single",1.5,3)+3)/12))</f>
        <v>0</v>
      </c>
      <c r="AC2531">
        <f>AB2531-W2531</f>
        <v>0</v>
      </c>
      <c r="AD2531" cm="1">
        <f t="array" ref="AD2531">IFERROR(IF(AC2531&lt;0,0,AC2531/($R$2470-INDEX(hd_off,MATCH(AQ2531,hd_mark,0),0)/12)),0)</f>
        <v>0</v>
      </c>
      <c r="AE2531">
        <f>IF(S2531=0,0,$AD$2470*$AM$2455)</f>
        <v>0</v>
      </c>
      <c r="AF2531">
        <f>IFERROR(AE2531/$R$2470,0)</f>
        <v>0</v>
      </c>
      <c r="AG2531">
        <f>AE2531*($F$23+IF($F$23=0,0,($C$14+$C$15+IF($C$13="single",1.5,3)+3)/12))</f>
        <v>0</v>
      </c>
      <c r="AH2531">
        <f>AG2531-X2531</f>
        <v>0</v>
      </c>
      <c r="AI2531" cm="1">
        <f t="array" ref="AI2531">IFERROR(IF(AH2531&lt;0,0,AH2531/($R$2470-INDEX(hd_off,MATCH(AQ2531,hd_mark,0),0)/12)),0)</f>
        <v>0</v>
      </c>
      <c r="AJ2531">
        <f>MAX($F$23,$AA$2470)/$Q$2484</f>
        <v>0</v>
      </c>
      <c r="AK2531">
        <f t="shared" si="1563"/>
        <v>0</v>
      </c>
      <c r="AL2531" cm="1">
        <f t="array" ref="AL2531">IFERROR(INDEX(sheath_ecap_asd,MATCH(AP2531,sheath_mark,0),0)*AK2531,0)</f>
        <v>0</v>
      </c>
      <c r="AM2531" cm="1">
        <f t="array" ref="AM2531">IFERROR(INDEX(sheath_wcap_asd,MATCH(AP2531,sheath_mark,0),0)*AK2531,0)</f>
        <v>0</v>
      </c>
      <c r="AN2531" cm="1">
        <f t="array" ref="AN2531">IFERROR(INDEX(hd_cap,MATCH(AQ2531,hd_mark,0),0),0)</f>
        <v>0</v>
      </c>
      <c r="AP2531" s="19"/>
      <c r="AQ2531" s="19"/>
      <c r="AR2531" s="100"/>
      <c r="AS2531" s="93"/>
      <c r="AT2531" s="109" t="s">
        <v>491</v>
      </c>
      <c r="AU2531" t="str">
        <f>$Q$2455</f>
        <v>L4</v>
      </c>
      <c r="AV2531">
        <f>$E$23</f>
        <v>0</v>
      </c>
      <c r="AW2531" cm="1">
        <f t="array" ref="AW2531">IFERROR(IF(AV2531=0,0,(INDEX($C$33:$C$38,MATCH($AZ$2470,$B$33:$B$38,0),0)*(AV2533+$BA$2470)+$AW$2470*COUNTIF(AV2531:AV2532,"&gt;0")*$C$32+$AY$2470*$C$31)*$AU$2470),0)</f>
        <v>0</v>
      </c>
      <c r="AX2531">
        <f>IF(AV2531=0,0,-(COUNTIF(AV2531:AV2532,"&gt;0")*$AW$2470*$C$32+$AY$2470*$C$31)*$H$27*$AU$2470)</f>
        <v>0</v>
      </c>
      <c r="AY2531">
        <f>IF(AV2531=0,0,$AY$2470*$H$26*$AU$2470)</f>
        <v>0</v>
      </c>
      <c r="AZ2531">
        <f>(0.6*AW2531+0.7*AX2531)*$AU$2470/2</f>
        <v>0</v>
      </c>
      <c r="BA2531">
        <f>AW2531*$AU$2470/2</f>
        <v>0</v>
      </c>
      <c r="BC2531">
        <f>IF(AV2531=0,0,$BG$2470*$AP$2455)</f>
        <v>0</v>
      </c>
      <c r="BD2531">
        <f>IFERROR(BC2531/$AU$2470,0)</f>
        <v>0</v>
      </c>
      <c r="BE2531">
        <f>BC2531*($F$23+IF($F$23=0,0,($C$14+$C$15+IF($C$13="single",1.5,3)+3)/12))</f>
        <v>0</v>
      </c>
      <c r="BF2531">
        <f>BE2531-AZ2531</f>
        <v>0</v>
      </c>
      <c r="BG2531" cm="1">
        <f t="array" ref="BG2531">IFERROR(IF(BF2531&lt;0,0,BF2531/($AU$2470-INDEX(hd_off,MATCH(BT2531,hd_mark,0),0)/12)),0)</f>
        <v>0</v>
      </c>
      <c r="BH2531">
        <f>IF(AV2531=0,0,$BG$2470*$AM$2455)</f>
        <v>0</v>
      </c>
      <c r="BI2531">
        <f>IFERROR(BH2531/$AU$2470,0)</f>
        <v>0</v>
      </c>
      <c r="BJ2531">
        <f>BH2531*($F$23+IF($F$23=0,0,($C$14+$C$15+IF($C$13="single",1.5,3)+3)/12))</f>
        <v>0</v>
      </c>
      <c r="BK2531">
        <f>BJ2531-BA2531</f>
        <v>0</v>
      </c>
      <c r="BL2531" cm="1">
        <f t="array" ref="BL2531">IFERROR(IF(BK2531&lt;0,0,BK2531/($AU$2470-INDEX(hd_off,MATCH(BT2531,hd_mark,0),0)/12)),0)</f>
        <v>0</v>
      </c>
      <c r="BM2531">
        <f>MAX($F$23,$BD$2470)/$Q$2484</f>
        <v>0</v>
      </c>
      <c r="BN2531">
        <f t="shared" si="1564"/>
        <v>0</v>
      </c>
      <c r="BO2531" cm="1">
        <f t="array" ref="BO2531">IFERROR(INDEX(sheath_ecap_asd,MATCH(BS2531,sheath_mark,0),0)*BN2531,0)</f>
        <v>0</v>
      </c>
      <c r="BP2531" cm="1">
        <f t="array" ref="BP2531">IFERROR(INDEX(sheath_wcap_asd,MATCH(BS2531,sheath_mark,0),0)*BN2531,0)</f>
        <v>0</v>
      </c>
      <c r="BQ2531" cm="1">
        <f t="array" ref="BQ2531">IFERROR(INDEX(hd_cap,MATCH(BT2531,hd_mark,0),0),0)</f>
        <v>0</v>
      </c>
      <c r="BS2531" s="19"/>
      <c r="BT2531" s="19"/>
      <c r="BU2531" s="100"/>
    </row>
    <row r="2532" x14ac:dyDescent="0.25">
      <c r="P2532" s="93"/>
      <c r="Q2532" s="111">
        <f>$R$2470</f>
        <v>0</v>
      </c>
      <c r="R2532" t="str">
        <f>$Q$2456</f>
        <v>L5</v>
      </c>
      <c r="S2532">
        <f>$E$24</f>
        <v>0</v>
      </c>
      <c r="T2532" cm="1">
        <f t="array" ref="T2532">IFERROR(IF(S2532=0,0,(INDEX($C$33:$C$38,MATCH($W$2470,$B$33:$B$38,0),0)*(S2533+$X$2470)+$T$2470*COUNTIF(S2532:S2532,"&gt;0")*$C$32+$V$2470*$C$31)*$R$2470),0)</f>
        <v>0</v>
      </c>
      <c r="U2532">
        <f>IF(S2532=0,0,-(COUNTIF(S2532:S2532,"&gt;0")*$T$2470*$C$32+$V$2470*$C$31)*$H$27*$R$2470)</f>
        <v>0</v>
      </c>
      <c r="V2532">
        <f>IF(S2532=0,0,$V$2470*$H$26*$R$2470)</f>
        <v>0</v>
      </c>
      <c r="W2532">
        <f>(0.6*T2532+0.7*U2532)*$R$2470/2</f>
        <v>0</v>
      </c>
      <c r="X2532">
        <f>T2532*$R$2470/2</f>
        <v>0</v>
      </c>
      <c r="Z2532">
        <f>IF(S2532=0,0,$AD$2470*$AP$2456)</f>
        <v>0</v>
      </c>
      <c r="AA2532">
        <f>IFERROR(Z2532/$R$2470,0)</f>
        <v>0</v>
      </c>
      <c r="AB2532">
        <f>Z2532*($F$24+IF($F$24=0,0,($C$14+$C$15+IF($C$13="single",1.5,3)+3)/12))</f>
        <v>0</v>
      </c>
      <c r="AC2532">
        <f>AB2532-W2532</f>
        <v>0</v>
      </c>
      <c r="AD2532" cm="1">
        <f t="array" ref="AD2532">IFERROR(IF(AC2532&lt;0,0,AC2532/($R$2470-INDEX(hd_off,MATCH(AQ2532,hd_mark,0),0)/12)),0)</f>
        <v>0</v>
      </c>
      <c r="AE2532">
        <f>IF(S2532=0,0,$AD$2470*$AM$2456)</f>
        <v>0</v>
      </c>
      <c r="AF2532">
        <f>IFERROR(AE2532/$R$2470,0)</f>
        <v>0</v>
      </c>
      <c r="AG2532">
        <f>AE2532*($F$24+IF($F$24=0,0,($C$14+$C$15+IF($C$13="single",1.5,3)+3)/12))</f>
        <v>0</v>
      </c>
      <c r="AH2532">
        <f>AG2532-X2532</f>
        <v>0</v>
      </c>
      <c r="AI2532" cm="1">
        <f t="array" ref="AI2532">IFERROR(IF(AH2532&lt;0,0,AH2532/($R$2470-INDEX(hd_off,MATCH(AQ2532,hd_mark,0),0)/12)),0)</f>
        <v>0</v>
      </c>
      <c r="AJ2532">
        <f>MAX($F$24,$AB$2470)/$Q$2484</f>
        <v>0</v>
      </c>
      <c r="AK2532">
        <f t="shared" si="1563"/>
        <v>0</v>
      </c>
      <c r="AL2532" cm="1">
        <f t="array" ref="AL2532">IFERROR(INDEX(sheath_ecap_asd,MATCH(AP2532,sheath_mark,0),0)*AK2532,0)</f>
        <v>0</v>
      </c>
      <c r="AM2532" cm="1">
        <f t="array" ref="AM2532">IFERROR(INDEX(sheath_wcap_asd,MATCH(AP2532,sheath_mark,0),0)*AK2532,0)</f>
        <v>0</v>
      </c>
      <c r="AN2532" cm="1">
        <f t="array" ref="AN2532">IFERROR(INDEX(hd_cap,MATCH(AQ2532,hd_mark,0),0),0)</f>
        <v>0</v>
      </c>
      <c r="AP2532" s="19"/>
      <c r="AQ2532" s="19"/>
      <c r="AR2532" s="100"/>
      <c r="AS2532" s="93"/>
      <c r="AT2532" s="111">
        <f>$R$2470</f>
        <v>0</v>
      </c>
      <c r="AU2532" t="str">
        <f>$Q$2456</f>
        <v>L5</v>
      </c>
      <c r="AV2532">
        <f>$E$24</f>
        <v>0</v>
      </c>
      <c r="AW2532" cm="1">
        <f t="array" ref="AW2532">IFERROR(IF(AV2532=0,0,(INDEX($C$33:$C$38,MATCH($AZ$2470,$B$33:$B$38,0),0)*(AV2533+$BA$2470)+$AW$2470*COUNTIF(AV2532:AV2532,"&gt;0")*$C$32+$AY$2470*$C$31)*$AU$2470),0)</f>
        <v>0</v>
      </c>
      <c r="AX2532">
        <f>IF(AV2532=0,0,-(COUNTIF(AV2532:AV2532,"&gt;0")*$AW$2470*$C$32+$AY$2470*$C$31)*$H$27*$AU$2470)</f>
        <v>0</v>
      </c>
      <c r="AY2532">
        <f>IF(AV2532=0,0,$AY$2470*$H$26*$AU$2470)</f>
        <v>0</v>
      </c>
      <c r="AZ2532">
        <f>(0.6*AW2532+0.7*AX2532)*$AU$2470/2</f>
        <v>0</v>
      </c>
      <c r="BA2532">
        <f>AW2532*$AU$2470/2</f>
        <v>0</v>
      </c>
      <c r="BC2532">
        <f>IF(AV2532=0,0,$BG$2470*$AP$2456)</f>
        <v>0</v>
      </c>
      <c r="BD2532">
        <f>IFERROR(BC2532/$AU$2470,0)</f>
        <v>0</v>
      </c>
      <c r="BE2532">
        <f>BC2532*($F$24+IF($F$24=0,0,($C$14+$C$15+IF($C$13="single",1.5,3)+3)/12))</f>
        <v>0</v>
      </c>
      <c r="BF2532">
        <f>BE2532-AZ2532</f>
        <v>0</v>
      </c>
      <c r="BG2532" cm="1">
        <f t="array" ref="BG2532">IFERROR(IF(BF2532&lt;0,0,BF2532/($AU$2470-INDEX(hd_off,MATCH(BT2532,hd_mark,0),0)/12)),0)</f>
        <v>0</v>
      </c>
      <c r="BH2532">
        <f>IF(AV2532=0,0,$BG$2470*$AM$2456)</f>
        <v>0</v>
      </c>
      <c r="BI2532">
        <f>IFERROR(BH2532/$AU$2470,0)</f>
        <v>0</v>
      </c>
      <c r="BJ2532">
        <f>BH2532*($F$24+IF($F$24=0,0,($C$14+$C$15+IF($C$13="single",1.5,3)+3)/12))</f>
        <v>0</v>
      </c>
      <c r="BK2532">
        <f>BJ2532-BA2532</f>
        <v>0</v>
      </c>
      <c r="BL2532" cm="1">
        <f t="array" ref="BL2532">IFERROR(IF(BK2532&lt;0,0,BK2532/($AU$2470-INDEX(hd_off,MATCH(BT2532,hd_mark,0),0)/12)),0)</f>
        <v>0</v>
      </c>
      <c r="BM2532">
        <f>MAX($F$24,$BE$2470)/$Q$2484</f>
        <v>0</v>
      </c>
      <c r="BN2532">
        <f t="shared" si="1564"/>
        <v>0</v>
      </c>
      <c r="BO2532" cm="1">
        <f t="array" ref="BO2532">IFERROR(INDEX(sheath_ecap_asd,MATCH(BS2532,sheath_mark,0),0)*BN2532,0)</f>
        <v>0</v>
      </c>
      <c r="BP2532" cm="1">
        <f t="array" ref="BP2532">IFERROR(INDEX(sheath_wcap_asd,MATCH(BS2532,sheath_mark,0),0)*BN2532,0)</f>
        <v>0</v>
      </c>
      <c r="BQ2532" cm="1">
        <f t="array" ref="BQ2532">IFERROR(INDEX(hd_cap,MATCH(BT2532,hd_mark,0),0),0)</f>
        <v>0</v>
      </c>
      <c r="BS2532" s="19"/>
      <c r="BT2532" s="19"/>
      <c r="BU2532" s="100"/>
    </row>
    <row r="2533" x14ac:dyDescent="0.25">
      <c r="P2533" s="93"/>
      <c r="Q2533" s="109"/>
      <c r="R2533" t="str">
        <f>$Q$2457</f>
        <v>Roof</v>
      </c>
      <c r="S2533">
        <f>$E$25</f>
        <v>33.171875</v>
      </c>
      <c r="T2533" cm="1">
        <f t="array" ref="T2533">IFERROR(IF(S2533=0,0,(INDEX($C$33:$C$38,MATCH($W$2470,$B$33:$B$38,0),0)*(S2533+$X$2470)+$V$2470*$C$31)*$R$2470),0)</f>
        <v>0</v>
      </c>
      <c r="U2533">
        <f>IF(S2533=0,0,-$V$2470*$C$31*$H$27*$R$2470)</f>
        <v>0</v>
      </c>
      <c r="V2533">
        <f>IF(S2533=0,0,$V$2470*$H$26*$R$2470)</f>
        <v>0</v>
      </c>
      <c r="W2533">
        <f>(0.6*T2533+0.7*U2533)*$R$2470/2</f>
        <v>0</v>
      </c>
      <c r="X2533">
        <f>T2533*$R$2470/2</f>
        <v>0</v>
      </c>
      <c r="Z2533">
        <f>IF(S2533=0,0,$AD$2470*$AP$2457)</f>
        <v>0</v>
      </c>
      <c r="AA2533">
        <f>IFERROR(Z2533/$R$2470,0)</f>
        <v>0</v>
      </c>
      <c r="AB2533">
        <f>Z2533*($F$25+($C$16+$C$17+IF($C$13="single",1.5,3)+3)/12)</f>
        <v>0</v>
      </c>
      <c r="AC2533">
        <f>AB2533-W2533</f>
        <v>0</v>
      </c>
      <c r="AD2533" cm="1">
        <f t="array" ref="AD2533">IFERROR(IF(AC2533&lt;0,0,AC2533/($R$2470-INDEX(hd_off,MATCH(AQ2533,hd_mark,0),0)/12)),0)</f>
        <v>0</v>
      </c>
      <c r="AE2533">
        <f>IF(S2533=0,0,$AD$2470*$AM$2457)</f>
        <v>0</v>
      </c>
      <c r="AF2533">
        <f>IFERROR(AE2533/$R$2470,0)</f>
        <v>0</v>
      </c>
      <c r="AG2533">
        <f>AE2533*($F$25+($C$16+$C$17+IF($C$13="single",1.5,3)+3)/12)</f>
        <v>0</v>
      </c>
      <c r="AH2533">
        <f>AG2533-X2533</f>
        <v>0</v>
      </c>
      <c r="AI2533" cm="1">
        <f t="array" ref="AI2533">IFERROR(IF(AH2533&lt;0,0,AH2533/($R$2470-INDEX(hd_off,MATCH(AQ2533,hd_mark,0),0)/12)),0)</f>
        <v>0</v>
      </c>
      <c r="AJ2533">
        <f>MAX($F$25,$AC$2470)/$Q$2484</f>
        <v>0.29920977011494249</v>
      </c>
      <c r="AK2533">
        <f t="shared" si="1563"/>
        <v>1</v>
      </c>
      <c r="AL2533" cm="1">
        <f t="array" ref="AL2533">IFERROR(INDEX(sheath_ecap_asd,MATCH(AP2533,sheath_mark,0),0)*AK2533,0)</f>
        <v>0</v>
      </c>
      <c r="AM2533" cm="1">
        <f t="array" ref="AM2533">IFERROR(INDEX(sheath_wcap_asd,MATCH(AP2533,sheath_mark,0),0)*AK2533,0)</f>
        <v>0</v>
      </c>
      <c r="AN2533" cm="1">
        <f t="array" ref="AN2533">IFERROR(INDEX(hd_cap,MATCH(AQ2533,hd_mark,0),0),0)</f>
        <v>0</v>
      </c>
      <c r="AP2533" s="19"/>
      <c r="AQ2533" s="19"/>
      <c r="AR2533" s="100"/>
      <c r="AS2533" s="93"/>
      <c r="AT2533" s="109"/>
      <c r="AU2533" t="str">
        <f>$Q$2457</f>
        <v>Roof</v>
      </c>
      <c r="AV2533">
        <f>$E$25</f>
        <v>33.171875</v>
      </c>
      <c r="AW2533" cm="1">
        <f t="array" ref="AW2533">IFERROR(IF(AV2533=0,0,(INDEX($C$33:$C$38,MATCH($AZ$2470,$B$33:$B$38,0),0)*(AV2533+$BA$2470)+$AY$2470*$C$31)*$AU$2470),0)</f>
        <v>0</v>
      </c>
      <c r="AX2533">
        <f>IF(AV2533=0,0,-$AY$2470*$C$31*$H$27*$AU$2470)</f>
        <v>0</v>
      </c>
      <c r="AY2533">
        <f>IF(AV2533=0,0,$AY$2470*$H$26*$AU$2470)</f>
        <v>0</v>
      </c>
      <c r="AZ2533">
        <f>(0.6*AW2533+0.7*AX2533)*$AU$2470/2</f>
        <v>0</v>
      </c>
      <c r="BA2533">
        <f>AW2533*$AU$2470/2</f>
        <v>0</v>
      </c>
      <c r="BC2533">
        <f>IF(AV2533=0,0,$BG$2470*$AP$2457)</f>
        <v>0</v>
      </c>
      <c r="BD2533">
        <f>IFERROR(BC2533/$AU$2470,0)</f>
        <v>0</v>
      </c>
      <c r="BE2533">
        <f>BC2533*($F$25+($C$16+$C$17+IF($C$13="single",1.5,3)+3)/12)</f>
        <v>0</v>
      </c>
      <c r="BF2533">
        <f>BE2533-AZ2533</f>
        <v>0</v>
      </c>
      <c r="BG2533" cm="1">
        <f t="array" ref="BG2533">IFERROR(IF(BF2533&lt;0,0,BF2533/($AU$2470-INDEX(hd_off,MATCH(BT2533,hd_mark,0),0)/12)),0)</f>
        <v>0</v>
      </c>
      <c r="BH2533">
        <f>IF(AV2533=0,0,$BG$2470*$AM$2457)</f>
        <v>0</v>
      </c>
      <c r="BI2533">
        <f>IFERROR(BH2533/$AU$2470,0)</f>
        <v>0</v>
      </c>
      <c r="BJ2533">
        <f>BH2533*($F$25+($C$16+$C$17+IF($C$13="single",1.5,3)+3)/12)</f>
        <v>0</v>
      </c>
      <c r="BK2533">
        <f>BJ2533-BA2533</f>
        <v>0</v>
      </c>
      <c r="BL2533" cm="1">
        <f t="array" ref="BL2533">IFERROR(IF(BK2533&lt;0,0,BK2533/($AU$2470-INDEX(hd_off,MATCH(BT2533,hd_mark,0),0)/12)),0)</f>
        <v>0</v>
      </c>
      <c r="BM2533">
        <f>MAX($F$25,$BF$2470)/$Q$2484</f>
        <v>0.29920977011494249</v>
      </c>
      <c r="BN2533">
        <f t="shared" si="1564"/>
        <v>1</v>
      </c>
      <c r="BO2533" cm="1">
        <f t="array" ref="BO2533">IFERROR(INDEX(sheath_ecap_asd,MATCH(BS2533,sheath_mark,0),0)*BN2533,0)</f>
        <v>0</v>
      </c>
      <c r="BP2533" cm="1">
        <f t="array" ref="BP2533">IFERROR(INDEX(sheath_wcap_asd,MATCH(BS2533,sheath_mark,0),0)*BN2533,0)</f>
        <v>0</v>
      </c>
      <c r="BQ2533" cm="1">
        <f t="array" ref="BQ2533">IFERROR(INDEX(hd_cap,MATCH(BT2533,hd_mark,0),0),0)</f>
        <v>0</v>
      </c>
      <c r="BS2533" s="19"/>
      <c r="BT2533" s="19"/>
      <c r="BU2533" s="100"/>
    </row>
    <row r="2534" x14ac:dyDescent="0.25">
      <c r="P2534" s="93"/>
      <c r="AR2534" s="100"/>
      <c r="AS2534" s="93"/>
      <c r="BU2534" s="100"/>
    </row>
    <row r="2535" x14ac:dyDescent="0.25">
      <c r="P2535" s="93"/>
      <c r="Q2535" s="110" t="str">
        <f>$Q$2471</f>
        <v>A.10</v>
      </c>
      <c r="R2535" t="str">
        <f>$Q$2453</f>
        <v>L2</v>
      </c>
      <c r="S2535">
        <f>$E$21</f>
        <v>10.6875</v>
      </c>
      <c r="T2535" cm="1">
        <f t="array" ref="T2535">IFERROR(IF(S2535=0,0,(INDEX($C$33:$C$38,MATCH($W$2471,$B$33:$B$38,0),0)*(S2539+$X$2471)+$T$2471*COUNTIF(S2535:S2538,"&gt;0")*$C$32+$V$2471*$C$31)*$R$2471),0)</f>
        <v>0</v>
      </c>
      <c r="U2535">
        <f>IF(S2535=0,0,-(COUNTIF(S2535:S2538,"&gt;0")*$T$2471*$C$32+$V$2471*$C$31)*$H$27*$R$2471)</f>
        <v>0</v>
      </c>
      <c r="V2535">
        <f>IF(S2535=0,0,$V$2471*$H$26*$R$2471)</f>
        <v>0</v>
      </c>
      <c r="W2535">
        <f>(0.6*T2535+0.7*U2535)*$R$2471/2</f>
        <v>0</v>
      </c>
      <c r="X2535">
        <f>(0.6*T2535+0.6*V2535)*$R$2471/2</f>
        <v>0</v>
      </c>
      <c r="Z2535">
        <f>IF(S2535=0,0,$AD$2471*$AP$2453)</f>
        <v>0</v>
      </c>
      <c r="AA2535">
        <f>IFERROR(Z2535/$R$2471,0)</f>
        <v>0</v>
      </c>
      <c r="AB2535">
        <f>Z2535*($F$21+IF($F$21=0,0,($C$14+$C$15+IF($C$13="single",1.5,3)+3)/12))</f>
        <v>0</v>
      </c>
      <c r="AC2535">
        <f>AB2535-W2535</f>
        <v>0</v>
      </c>
      <c r="AD2535" cm="1">
        <f t="array" ref="AD2535">IFERROR(IF(AC2535&lt;0,0,AC2535/($R$2471-INDEX(hd_off,MATCH(AQ2535,hd_mark,0),0)/12)),0)</f>
        <v>0</v>
      </c>
      <c r="AE2535">
        <f>IF(S2535=0,0,$AD$2471*$AM$2453)</f>
        <v>0</v>
      </c>
      <c r="AF2535">
        <f>IFERROR(AE2535/$R$2471,0)</f>
        <v>0</v>
      </c>
      <c r="AG2535">
        <f>AE2535*($F$21+IF($F$21=0,0,($C$14+$C$15+IF($C$13="single",1.5,3)+3)/12))</f>
        <v>0</v>
      </c>
      <c r="AH2535">
        <f>AG2535-X2535</f>
        <v>0</v>
      </c>
      <c r="AI2535" cm="1">
        <f t="array" ref="AI2535">IFERROR(IF(AH2535&lt;0,0,AH2535/($R$2471-INDEX(hd_off,MATCH(AQ2535,hd_mark,0),0)/12)),0)</f>
        <v>0</v>
      </c>
      <c r="AJ2535">
        <f>MAX($F$21,$Y$2471)/$Q$2484</f>
        <v>0.30172413793103448</v>
      </c>
      <c r="AK2535">
        <f>IF(AJ2535=0,0,IF(AJ2535&gt;2,1.25-0.125*AJ2535,1))</f>
        <v>1</v>
      </c>
      <c r="AL2535" cm="1">
        <f t="array" ref="AL2535">IFERROR(INDEX(sheath_ecap_asd,MATCH(AP2535,sheath_mark,0),0)*AK2535,0)</f>
        <v>0</v>
      </c>
      <c r="AM2535" cm="1">
        <f t="array" ref="AM2535">IFERROR(INDEX(sheath_wcap_asd,MATCH(AP2535,sheath_mark,0),0)*AK2535,0)</f>
        <v>0</v>
      </c>
      <c r="AN2535" cm="1">
        <f t="array" ref="AN2535">IFERROR(INDEX(hd_cap,MATCH(AQ2535,hd_mark,0),0),0)</f>
        <v>0</v>
      </c>
      <c r="AP2535" s="19"/>
      <c r="AQ2535" s="19"/>
      <c r="AR2535" s="100"/>
      <c r="AS2535" s="93"/>
      <c r="AT2535" s="110" t="str">
        <f>$AT$2471</f>
        <v>1.10</v>
      </c>
      <c r="AU2535" t="str">
        <f>$Q$2453</f>
        <v>L2</v>
      </c>
      <c r="AV2535">
        <f>$E$21</f>
        <v>10.6875</v>
      </c>
      <c r="AW2535" cm="1">
        <f t="array" ref="AW2535">IFERROR(IF(AV2535=0,0,(INDEX($C$33:$C$38,MATCH($AZ$2471,$B$33:$B$38,0),0)*(AV2539+$BA$2471)+$AW$2471*COUNTIF(AV2535:AV2538,"&gt;0")*$C$32+$AY$2471*$C$31)*$AU$2471),0)</f>
        <v>0</v>
      </c>
      <c r="AX2535">
        <f>IF(AV2535=0,0,-(COUNTIF(AV2535:AV2538,"&gt;0")*$AW$2471*$C$32+$AY$2471*$C$31)*$H$27*$AU$2471)</f>
        <v>0</v>
      </c>
      <c r="AY2535">
        <f>IF(AV2535=0,0,$AY$2471*$H$26*$AU$2471)</f>
        <v>0</v>
      </c>
      <c r="AZ2535">
        <f>(0.6*AW2535+0.7*AX2535)*$AU$2471/2</f>
        <v>0</v>
      </c>
      <c r="BA2535">
        <f>(0.6*AW2535+0.6*AY2535)*$AU$2471/2</f>
        <v>0</v>
      </c>
      <c r="BC2535">
        <f>IF(AV2535=0,0,$BG$2471*$AP$2453)</f>
        <v>0</v>
      </c>
      <c r="BD2535">
        <f>IFERROR(BC2535/$AU$2471,0)</f>
        <v>0</v>
      </c>
      <c r="BE2535">
        <f>BC2535*($F$21+IF($F$21=0,0,($C$14+$C$15+IF($C$13="single",1.5,3)+3)/12))</f>
        <v>0</v>
      </c>
      <c r="BF2535">
        <f>BE2535-AZ2535</f>
        <v>0</v>
      </c>
      <c r="BG2535" cm="1">
        <f t="array" ref="BG2535">IFERROR(IF(BF2535&lt;0,0,BF2535/($AU$2471-INDEX(hd_off,MATCH(BT2535,hd_mark,0),0)/12)),0)</f>
        <v>0</v>
      </c>
      <c r="BH2535">
        <f>IF(AV2535=0,0,$BG$2471*$AM$2453)</f>
        <v>0</v>
      </c>
      <c r="BI2535">
        <f>IFERROR(BH2535/$AU$2471,0)</f>
        <v>0</v>
      </c>
      <c r="BJ2535">
        <f>BH2535*($F$21+IF($F$21=0,0,($C$14+$C$15+IF($C$13="single",1.5,3)+3)/12))</f>
        <v>0</v>
      </c>
      <c r="BK2535">
        <f>BJ2535-BA2535</f>
        <v>0</v>
      </c>
      <c r="BL2535" cm="1">
        <f t="array" ref="BL2535">IFERROR(IF(BK2535&lt;0,0,BK2535/($AU$2471-INDEX(hd_off,MATCH(BT2535,hd_mark,0),0)/12)),0)</f>
        <v>0</v>
      </c>
      <c r="BM2535">
        <f>MAX($F$21,$BB$2471)/$Q$2484</f>
        <v>0.30172413793103448</v>
      </c>
      <c r="BN2535">
        <f>IF(BM2535=0,0,IF(BM2535&gt;2,1.25-0.125*BM2535,1))</f>
        <v>1</v>
      </c>
      <c r="BO2535" cm="1">
        <f t="array" ref="BO2535">IFERROR(INDEX(sheath_ecap_asd,MATCH(BS2535,sheath_mark,0),0)*BN2535,0)</f>
        <v>0</v>
      </c>
      <c r="BP2535" cm="1">
        <f t="array" ref="BP2535">IFERROR(INDEX(sheath_wcap_asd,MATCH(BS2535,sheath_mark,0),0)*BN2535,0)</f>
        <v>0</v>
      </c>
      <c r="BQ2535" cm="1">
        <f t="array" ref="BQ2535">IFERROR(INDEX(hd_cap,MATCH(BT2535,hd_mark,0),0),0)</f>
        <v>0</v>
      </c>
      <c r="BS2535" s="19"/>
      <c r="BT2535" s="19"/>
      <c r="BU2535" s="100"/>
    </row>
    <row r="2536" x14ac:dyDescent="0.25">
      <c r="P2536" s="93"/>
      <c r="Q2536" s="109"/>
      <c r="R2536" t="str">
        <f>$Q$2454</f>
        <v>L3</v>
      </c>
      <c r="S2536">
        <f>$E$22</f>
        <v>21.375</v>
      </c>
      <c r="T2536" cm="1">
        <f t="array" ref="T2536">IFERROR(IF(S2536=0,0,(INDEX($C$33:$C$38,MATCH($W$2471,$B$33:$B$38,0),0)*(S2539+$X$2471)+$T$2471*COUNTIF(S2536:S2538,"&gt;0")*$C$32+$V$2471*$C$31)*$R$2471),0)</f>
        <v>0</v>
      </c>
      <c r="U2536">
        <f>IF(S2536=0,0,-(COUNTIF(S2536:S2538,"&gt;0")*$T$2471*$C$32+$V$2471*$C$31)*$H$27*$R$2471)</f>
        <v>0</v>
      </c>
      <c r="V2536">
        <f>IF(S2536=0,0,$V$2471*$H$26*$R$2471)</f>
        <v>0</v>
      </c>
      <c r="W2536">
        <f>(0.6*T2536+0.7*U2536)*$R$2471/2</f>
        <v>0</v>
      </c>
      <c r="X2536">
        <f>T2536*$R$2471/2</f>
        <v>0</v>
      </c>
      <c r="Z2536">
        <f>IF(S2536=0,0,$AD$2471*$AP$2454)</f>
        <v>0</v>
      </c>
      <c r="AA2536">
        <f>IFERROR(Z2536/$R$2471,0)</f>
        <v>0</v>
      </c>
      <c r="AB2536">
        <f>Z2536*($F$22+IF($F$22=0,0,($C$14+$C$15+IF($C$13="single",1.5,3)+3)/12))</f>
        <v>0</v>
      </c>
      <c r="AC2536">
        <f>AB2536-W2536</f>
        <v>0</v>
      </c>
      <c r="AD2536" cm="1">
        <f t="array" ref="AD2536">IFERROR(IF(AC2536&lt;0,0,AC2536/($R$2471-INDEX(hd_off,MATCH(AQ2536,hd_mark,0),0)/12)),0)</f>
        <v>0</v>
      </c>
      <c r="AE2536">
        <f>IF(S2536=0,0,$AD$2471*$AM$2454)</f>
        <v>0</v>
      </c>
      <c r="AF2536">
        <f>IFERROR(AE2536/$R$2471,0)</f>
        <v>0</v>
      </c>
      <c r="AG2536">
        <f>AE2536*($F$22+IF($F$22=0,0,($C$14+$C$15+IF($C$13="single",1.5,3)+3)/12))</f>
        <v>0</v>
      </c>
      <c r="AH2536">
        <f>AG2536-X2536</f>
        <v>0</v>
      </c>
      <c r="AI2536" cm="1">
        <f t="array" ref="AI2536">IFERROR(IF(AH2536&lt;0,0,AH2536/($R$2471-INDEX(hd_off,MATCH(AQ2536,hd_mark,0),0)/12)),0)</f>
        <v>0</v>
      </c>
      <c r="AJ2536">
        <f>MAX($F$22,$Z$2471)/$Q$2484</f>
        <v>0.30172413793103448</v>
      </c>
      <c r="AK2536">
        <f t="shared" ref="AK2536:AK2539" si="1565">IF(AJ2536=0,0,IF(AJ2536&gt;2,1.25-0.125*AJ2536,1))</f>
        <v>1</v>
      </c>
      <c r="AL2536" cm="1">
        <f t="array" ref="AL2536">IFERROR(INDEX(sheath_ecap_asd,MATCH(AP2536,sheath_mark,0),0)*AK2536,0)</f>
        <v>0</v>
      </c>
      <c r="AM2536" cm="1">
        <f t="array" ref="AM2536">IFERROR(INDEX(sheath_wcap_asd,MATCH(AP2536,sheath_mark,0),0)*AK2536,0)</f>
        <v>0</v>
      </c>
      <c r="AN2536" cm="1">
        <f t="array" ref="AN2536">IFERROR(INDEX(hd_cap,MATCH(AQ2536,hd_mark,0),0),0)</f>
        <v>0</v>
      </c>
      <c r="AP2536" s="19"/>
      <c r="AQ2536" s="19"/>
      <c r="AR2536" s="100"/>
      <c r="AS2536" s="93"/>
      <c r="AT2536" s="109"/>
      <c r="AU2536" t="str">
        <f>$Q$2454</f>
        <v>L3</v>
      </c>
      <c r="AV2536">
        <f>$E$22</f>
        <v>21.375</v>
      </c>
      <c r="AW2536" cm="1">
        <f t="array" ref="AW2536">IFERROR(IF(AV2536=0,0,(INDEX($C$33:$C$38,MATCH($AZ$2471,$B$33:$B$38,0),0)*(AV2539+$BA$2471)+$AW$2471*COUNTIF(AV2536:AV2538,"&gt;0")*$C$32+$AY$2471*$C$31)*$AU$2471),0)</f>
        <v>0</v>
      </c>
      <c r="AX2536">
        <f>IF(AV2536=0,0,-(COUNTIF(AV2536:AV2538,"&gt;0")*$AW$2471*$C$32+$AY$2471*$C$31)*$H$27*$AU$2471)</f>
        <v>0</v>
      </c>
      <c r="AY2536">
        <f>IF(AV2536=0,0,$AY$2471*$H$26*$AU$2471)</f>
        <v>0</v>
      </c>
      <c r="AZ2536">
        <f>(0.6*AW2536+0.7*AX2536)*$AU$2471/2</f>
        <v>0</v>
      </c>
      <c r="BA2536">
        <f>AW2536*$AU$2471/2</f>
        <v>0</v>
      </c>
      <c r="BC2536">
        <f>IF(AV2536=0,0,$BG$2471*$AP$2454)</f>
        <v>0</v>
      </c>
      <c r="BD2536">
        <f>IFERROR(BC2536/$AU$2471,0)</f>
        <v>0</v>
      </c>
      <c r="BE2536">
        <f>BC2536*($F$22+IF($F$22=0,0,($C$14+$C$15+IF($C$13="single",1.5,3)+3)/12))</f>
        <v>0</v>
      </c>
      <c r="BF2536">
        <f>BE2536-AZ2536</f>
        <v>0</v>
      </c>
      <c r="BG2536" cm="1">
        <f t="array" ref="BG2536">IFERROR(IF(BF2536&lt;0,0,BF2536/($AU$2471-INDEX(hd_off,MATCH(BT2536,hd_mark,0),0)/12)),0)</f>
        <v>0</v>
      </c>
      <c r="BH2536">
        <f>IF(AV2536=0,0,$BG$2471*$AM$2454)</f>
        <v>0</v>
      </c>
      <c r="BI2536">
        <f>IFERROR(BH2536/$AU$2471,0)</f>
        <v>0</v>
      </c>
      <c r="BJ2536">
        <f>BH2536*($F$22+IF($F$22=0,0,($C$14+$C$15+IF($C$13="single",1.5,3)+3)/12))</f>
        <v>0</v>
      </c>
      <c r="BK2536">
        <f>BJ2536-BA2536</f>
        <v>0</v>
      </c>
      <c r="BL2536" cm="1">
        <f t="array" ref="BL2536">IFERROR(IF(BK2536&lt;0,0,BK2536/($AU$2471-INDEX(hd_off,MATCH(BT2536,hd_mark,0),0)/12)),0)</f>
        <v>0</v>
      </c>
      <c r="BM2536">
        <f>MAX($F$22,$BC$2471)/$Q$2484</f>
        <v>0.30172413793103448</v>
      </c>
      <c r="BN2536">
        <f t="shared" ref="BN2536:BN2539" si="1566">IF(BM2536=0,0,IF(BM2536&gt;2,1.25-0.125*BM2536,1))</f>
        <v>1</v>
      </c>
      <c r="BO2536" cm="1">
        <f t="array" ref="BO2536">IFERROR(INDEX(sheath_ecap_asd,MATCH(BS2536,sheath_mark,0),0)*BN2536,0)</f>
        <v>0</v>
      </c>
      <c r="BP2536" cm="1">
        <f t="array" ref="BP2536">IFERROR(INDEX(sheath_wcap_asd,MATCH(BS2536,sheath_mark,0),0)*BN2536,0)</f>
        <v>0</v>
      </c>
      <c r="BQ2536" cm="1">
        <f t="array" ref="BQ2536">IFERROR(INDEX(hd_cap,MATCH(BT2536,hd_mark,0),0),0)</f>
        <v>0</v>
      </c>
      <c r="BS2536" s="19"/>
      <c r="BT2536" s="19"/>
      <c r="BU2536" s="100"/>
    </row>
    <row r="2537" x14ac:dyDescent="0.25">
      <c r="P2537" s="93"/>
      <c r="Q2537" s="109" t="s">
        <v>491</v>
      </c>
      <c r="R2537" t="str">
        <f>$Q$2455</f>
        <v>L4</v>
      </c>
      <c r="S2537">
        <f>$E$23</f>
        <v>0</v>
      </c>
      <c r="T2537" cm="1">
        <f t="array" ref="T2537">IFERROR(IF(S2537=0,0,(INDEX($C$33:$C$38,MATCH($W$2471,$B$33:$B$38,0),0)*(S2539+$X$2471)+$T$2471*COUNTIF(S2537:S2538,"&gt;0")*$C$32+$V$2471*$C$31)*$R$2471),0)</f>
        <v>0</v>
      </c>
      <c r="U2537">
        <f>IF(S2537=0,0,-(COUNTIF(S2537:S2538,"&gt;0")*$T$2471*$C$32+$V$2471*$C$31)*$H$27*$R$2471)</f>
        <v>0</v>
      </c>
      <c r="V2537">
        <f>IF(S2537=0,0,$V$2471*$H$26*$R$2471)</f>
        <v>0</v>
      </c>
      <c r="W2537">
        <f>(0.6*T2537+0.7*U2537)*$R$2471/2</f>
        <v>0</v>
      </c>
      <c r="X2537">
        <f>T2537*$R$2471/2</f>
        <v>0</v>
      </c>
      <c r="Z2537">
        <f>IF(S2537=0,0,$AD$2471*$AP$2455)</f>
        <v>0</v>
      </c>
      <c r="AA2537">
        <f>IFERROR(Z2537/$R$2471,0)</f>
        <v>0</v>
      </c>
      <c r="AB2537">
        <f>Z2537*($F$23+IF($F$23=0,0,($C$14+$C$15+IF($C$13="single",1.5,3)+3)/12))</f>
        <v>0</v>
      </c>
      <c r="AC2537">
        <f>AB2537-W2537</f>
        <v>0</v>
      </c>
      <c r="AD2537" cm="1">
        <f t="array" ref="AD2537">IFERROR(IF(AC2537&lt;0,0,AC2537/($R$2471-INDEX(hd_off,MATCH(AQ2537,hd_mark,0),0)/12)),0)</f>
        <v>0</v>
      </c>
      <c r="AE2537">
        <f>IF(S2537=0,0,$AD$2471*$AM$2455)</f>
        <v>0</v>
      </c>
      <c r="AF2537">
        <f>IFERROR(AE2537/$R$2471,0)</f>
        <v>0</v>
      </c>
      <c r="AG2537">
        <f>AE2537*($F$23+IF($F$23=0,0,($C$14+$C$15+IF($C$13="single",1.5,3)+3)/12))</f>
        <v>0</v>
      </c>
      <c r="AH2537">
        <f>AG2537-X2537</f>
        <v>0</v>
      </c>
      <c r="AI2537" cm="1">
        <f t="array" ref="AI2537">IFERROR(IF(AH2537&lt;0,0,AH2537/($R$2471-INDEX(hd_off,MATCH(AQ2537,hd_mark,0),0)/12)),0)</f>
        <v>0</v>
      </c>
      <c r="AJ2537">
        <f>MAX($F$23,$AA$2471)/$Q$2484</f>
        <v>0</v>
      </c>
      <c r="AK2537">
        <f t="shared" si="1565"/>
        <v>0</v>
      </c>
      <c r="AL2537" cm="1">
        <f t="array" ref="AL2537">IFERROR(INDEX(sheath_ecap_asd,MATCH(AP2537,sheath_mark,0),0)*AK2537,0)</f>
        <v>0</v>
      </c>
      <c r="AM2537" cm="1">
        <f t="array" ref="AM2537">IFERROR(INDEX(sheath_wcap_asd,MATCH(AP2537,sheath_mark,0),0)*AK2537,0)</f>
        <v>0</v>
      </c>
      <c r="AN2537" cm="1">
        <f t="array" ref="AN2537">IFERROR(INDEX(hd_cap,MATCH(AQ2537,hd_mark,0),0),0)</f>
        <v>0</v>
      </c>
      <c r="AP2537" s="19"/>
      <c r="AQ2537" s="19"/>
      <c r="AR2537" s="100"/>
      <c r="AS2537" s="93"/>
      <c r="AT2537" s="109" t="s">
        <v>491</v>
      </c>
      <c r="AU2537" t="str">
        <f>$Q$2455</f>
        <v>L4</v>
      </c>
      <c r="AV2537">
        <f>$E$23</f>
        <v>0</v>
      </c>
      <c r="AW2537" cm="1">
        <f t="array" ref="AW2537">IFERROR(IF(AV2537=0,0,(INDEX($C$33:$C$38,MATCH($AZ$2471,$B$33:$B$38,0),0)*(AV2539+$BA$2471)+$AW$2471*COUNTIF(AV2537:AV2538,"&gt;0")*$C$32+$AY$2471*$C$31)*$AU$2471),0)</f>
        <v>0</v>
      </c>
      <c r="AX2537">
        <f>IF(AV2537=0,0,-(COUNTIF(AV2537:AV2538,"&gt;0")*$AW$2471*$C$32+$AY$2471*$C$31)*$H$27*$AU$2471)</f>
        <v>0</v>
      </c>
      <c r="AY2537">
        <f>IF(AV2537=0,0,$AY$2471*$H$26*$AU$2471)</f>
        <v>0</v>
      </c>
      <c r="AZ2537">
        <f>(0.6*AW2537+0.7*AX2537)*$AU$2471/2</f>
        <v>0</v>
      </c>
      <c r="BA2537">
        <f>AW2537*$AU$2471/2</f>
        <v>0</v>
      </c>
      <c r="BC2537">
        <f>IF(AV2537=0,0,$BG$2471*$AP$2455)</f>
        <v>0</v>
      </c>
      <c r="BD2537">
        <f>IFERROR(BC2537/$AU$2471,0)</f>
        <v>0</v>
      </c>
      <c r="BE2537">
        <f>BC2537*($F$23+IF($F$23=0,0,($C$14+$C$15+IF($C$13="single",1.5,3)+3)/12))</f>
        <v>0</v>
      </c>
      <c r="BF2537">
        <f>BE2537-AZ2537</f>
        <v>0</v>
      </c>
      <c r="BG2537" cm="1">
        <f t="array" ref="BG2537">IFERROR(IF(BF2537&lt;0,0,BF2537/($AU$2471-INDEX(hd_off,MATCH(BT2537,hd_mark,0),0)/12)),0)</f>
        <v>0</v>
      </c>
      <c r="BH2537">
        <f>IF(AV2537=0,0,$BG$2471*$AM$2455)</f>
        <v>0</v>
      </c>
      <c r="BI2537">
        <f>IFERROR(BH2537/$AU$2471,0)</f>
        <v>0</v>
      </c>
      <c r="BJ2537">
        <f>BH2537*($F$23+IF($F$23=0,0,($C$14+$C$15+IF($C$13="single",1.5,3)+3)/12))</f>
        <v>0</v>
      </c>
      <c r="BK2537">
        <f>BJ2537-BA2537</f>
        <v>0</v>
      </c>
      <c r="BL2537" cm="1">
        <f t="array" ref="BL2537">IFERROR(IF(BK2537&lt;0,0,BK2537/($AU$2471-INDEX(hd_off,MATCH(BT2537,hd_mark,0),0)/12)),0)</f>
        <v>0</v>
      </c>
      <c r="BM2537">
        <f>MAX($F$23,$BD$2471)/$Q$2484</f>
        <v>0</v>
      </c>
      <c r="BN2537">
        <f t="shared" si="1566"/>
        <v>0</v>
      </c>
      <c r="BO2537" cm="1">
        <f t="array" ref="BO2537">IFERROR(INDEX(sheath_ecap_asd,MATCH(BS2537,sheath_mark,0),0)*BN2537,0)</f>
        <v>0</v>
      </c>
      <c r="BP2537" cm="1">
        <f t="array" ref="BP2537">IFERROR(INDEX(sheath_wcap_asd,MATCH(BS2537,sheath_mark,0),0)*BN2537,0)</f>
        <v>0</v>
      </c>
      <c r="BQ2537" cm="1">
        <f t="array" ref="BQ2537">IFERROR(INDEX(hd_cap,MATCH(BT2537,hd_mark,0),0),0)</f>
        <v>0</v>
      </c>
      <c r="BS2537" s="19"/>
      <c r="BT2537" s="19"/>
      <c r="BU2537" s="100"/>
    </row>
    <row r="2538" x14ac:dyDescent="0.25">
      <c r="P2538" s="93"/>
      <c r="Q2538" s="111">
        <f>$R$2471</f>
        <v>0</v>
      </c>
      <c r="R2538" t="str">
        <f>$Q$2456</f>
        <v>L5</v>
      </c>
      <c r="S2538">
        <f>$E$24</f>
        <v>0</v>
      </c>
      <c r="T2538" cm="1">
        <f t="array" ref="T2538">IFERROR(IF(S2538=0,0,(INDEX($C$33:$C$38,MATCH($W$2471,$B$33:$B$38,0),0)*(S2539+$X$2471)+$T$2471*COUNTIF(S2538:S2538,"&gt;0")*$C$32+$V$2471*$C$31)*$R$2471),0)</f>
        <v>0</v>
      </c>
      <c r="U2538">
        <f>IF(S2538=0,0,-(COUNTIF(S2538:S2538,"&gt;0")*$T$2471*$C$32+$V$2471*$C$31)*$H$27*$R$2471)</f>
        <v>0</v>
      </c>
      <c r="V2538">
        <f>IF(S2538=0,0,$V$2471*$H$26*$R$2471)</f>
        <v>0</v>
      </c>
      <c r="W2538">
        <f>(0.6*T2538+0.7*U2538)*$R$2471/2</f>
        <v>0</v>
      </c>
      <c r="X2538">
        <f>T2538*$R$2471/2</f>
        <v>0</v>
      </c>
      <c r="Z2538">
        <f>IF(S2538=0,0,$AD$2471*$AP$2456)</f>
        <v>0</v>
      </c>
      <c r="AA2538">
        <f>IFERROR(Z2538/$R$2471,0)</f>
        <v>0</v>
      </c>
      <c r="AB2538">
        <f>Z2538*($F$24+IF($F$24=0,0,($C$14+$C$15+IF($C$13="single",1.5,3)+3)/12))</f>
        <v>0</v>
      </c>
      <c r="AC2538">
        <f>AB2538-W2538</f>
        <v>0</v>
      </c>
      <c r="AD2538" cm="1">
        <f t="array" ref="AD2538">IFERROR(IF(AC2538&lt;0,0,AC2538/($R$2471-INDEX(hd_off,MATCH(AQ2538,hd_mark,0),0)/12)),0)</f>
        <v>0</v>
      </c>
      <c r="AE2538">
        <f>IF(S2538=0,0,$AD$2471*$AM$2456)</f>
        <v>0</v>
      </c>
      <c r="AF2538">
        <f>IFERROR(AE2538/$R$2471,0)</f>
        <v>0</v>
      </c>
      <c r="AG2538">
        <f>AE2538*($F$24+IF($F$24=0,0,($C$14+$C$15+IF($C$13="single",1.5,3)+3)/12))</f>
        <v>0</v>
      </c>
      <c r="AH2538">
        <f>AG2538-X2538</f>
        <v>0</v>
      </c>
      <c r="AI2538" cm="1">
        <f t="array" ref="AI2538">IFERROR(IF(AH2538&lt;0,0,AH2538/($R$2471-INDEX(hd_off,MATCH(AQ2538,hd_mark,0),0)/12)),0)</f>
        <v>0</v>
      </c>
      <c r="AJ2538">
        <f>MAX($F$24,$AB$2471)/$Q$2484</f>
        <v>0</v>
      </c>
      <c r="AK2538">
        <f t="shared" si="1565"/>
        <v>0</v>
      </c>
      <c r="AL2538" cm="1">
        <f t="array" ref="AL2538">IFERROR(INDEX(sheath_ecap_asd,MATCH(AP2538,sheath_mark,0),0)*AK2538,0)</f>
        <v>0</v>
      </c>
      <c r="AM2538" cm="1">
        <f t="array" ref="AM2538">IFERROR(INDEX(sheath_wcap_asd,MATCH(AP2538,sheath_mark,0),0)*AK2538,0)</f>
        <v>0</v>
      </c>
      <c r="AN2538" cm="1">
        <f t="array" ref="AN2538">IFERROR(INDEX(hd_cap,MATCH(AQ2538,hd_mark,0),0),0)</f>
        <v>0</v>
      </c>
      <c r="AP2538" s="19"/>
      <c r="AQ2538" s="19"/>
      <c r="AR2538" s="100"/>
      <c r="AS2538" s="93"/>
      <c r="AT2538" s="111">
        <f>$R$2471</f>
        <v>0</v>
      </c>
      <c r="AU2538" t="str">
        <f>$Q$2456</f>
        <v>L5</v>
      </c>
      <c r="AV2538">
        <f>$E$24</f>
        <v>0</v>
      </c>
      <c r="AW2538" cm="1">
        <f t="array" ref="AW2538">IFERROR(IF(AV2538=0,0,(INDEX($C$33:$C$38,MATCH($AZ$2471,$B$33:$B$38,0),0)*(AV2539+$BA$2471)+$AW$2471*COUNTIF(AV2538:AV2538,"&gt;0")*$C$32+$AY$2471*$C$31)*$AU$2471),0)</f>
        <v>0</v>
      </c>
      <c r="AX2538">
        <f>IF(AV2538=0,0,-(COUNTIF(AV2538:AV2538,"&gt;0")*$AW$2471*$C$32+$AY$2471*$C$31)*$H$27*$AU$2471)</f>
        <v>0</v>
      </c>
      <c r="AY2538">
        <f>IF(AV2538=0,0,$AY$2471*$H$26*$AU$2471)</f>
        <v>0</v>
      </c>
      <c r="AZ2538">
        <f>(0.6*AW2538+0.7*AX2538)*$AU$2471/2</f>
        <v>0</v>
      </c>
      <c r="BA2538">
        <f>AW2538*$AU$2471/2</f>
        <v>0</v>
      </c>
      <c r="BC2538">
        <f>IF(AV2538=0,0,$BG$2471*$AP$2456)</f>
        <v>0</v>
      </c>
      <c r="BD2538">
        <f>IFERROR(BC2538/$AU$2471,0)</f>
        <v>0</v>
      </c>
      <c r="BE2538">
        <f>BC2538*($F$24+IF($F$24=0,0,($C$14+$C$15+IF($C$13="single",1.5,3)+3)/12))</f>
        <v>0</v>
      </c>
      <c r="BF2538">
        <f>BE2538-AZ2538</f>
        <v>0</v>
      </c>
      <c r="BG2538" cm="1">
        <f t="array" ref="BG2538">IFERROR(IF(BF2538&lt;0,0,BF2538/($AU$2471-INDEX(hd_off,MATCH(BT2538,hd_mark,0),0)/12)),0)</f>
        <v>0</v>
      </c>
      <c r="BH2538">
        <f>IF(AV2538=0,0,$BG$2471*$AM$2456)</f>
        <v>0</v>
      </c>
      <c r="BI2538">
        <f>IFERROR(BH2538/$AU$2471,0)</f>
        <v>0</v>
      </c>
      <c r="BJ2538">
        <f>BH2538*($F$24+IF($F$24=0,0,($C$14+$C$15+IF($C$13="single",1.5,3)+3)/12))</f>
        <v>0</v>
      </c>
      <c r="BK2538">
        <f>BJ2538-BA2538</f>
        <v>0</v>
      </c>
      <c r="BL2538" cm="1">
        <f t="array" ref="BL2538">IFERROR(IF(BK2538&lt;0,0,BK2538/($AU$2471-INDEX(hd_off,MATCH(BT2538,hd_mark,0),0)/12)),0)</f>
        <v>0</v>
      </c>
      <c r="BM2538">
        <f>MAX($F$24,$BE$2471)/$Q$2484</f>
        <v>0</v>
      </c>
      <c r="BN2538">
        <f t="shared" si="1566"/>
        <v>0</v>
      </c>
      <c r="BO2538" cm="1">
        <f t="array" ref="BO2538">IFERROR(INDEX(sheath_ecap_asd,MATCH(BS2538,sheath_mark,0),0)*BN2538,0)</f>
        <v>0</v>
      </c>
      <c r="BP2538" cm="1">
        <f t="array" ref="BP2538">IFERROR(INDEX(sheath_wcap_asd,MATCH(BS2538,sheath_mark,0),0)*BN2538,0)</f>
        <v>0</v>
      </c>
      <c r="BQ2538" cm="1">
        <f t="array" ref="BQ2538">IFERROR(INDEX(hd_cap,MATCH(BT2538,hd_mark,0),0),0)</f>
        <v>0</v>
      </c>
      <c r="BS2538" s="19"/>
      <c r="BT2538" s="19"/>
      <c r="BU2538" s="100"/>
    </row>
    <row r="2539" x14ac:dyDescent="0.25">
      <c r="P2539" s="93"/>
      <c r="Q2539" s="109"/>
      <c r="R2539" t="str">
        <f>$Q$2457</f>
        <v>Roof</v>
      </c>
      <c r="S2539">
        <f>$E$25</f>
        <v>33.171875</v>
      </c>
      <c r="T2539" cm="1">
        <f t="array" ref="T2539">IFERROR(IF(S2539=0,0,(INDEX($C$33:$C$38,MATCH($W$2471,$B$33:$B$38,0),0)*(S2539+$X$2471)+$V$2471*$C$31)*$R$2471),0)</f>
        <v>0</v>
      </c>
      <c r="U2539">
        <f>IF(S2539=0,0,-$V$2471*$C$31*$H$27*$R$2471)</f>
        <v>0</v>
      </c>
      <c r="V2539">
        <f>IF(S2539=0,0,$V$2471*$H$26*$R$2471)</f>
        <v>0</v>
      </c>
      <c r="W2539">
        <f>(0.6*T2539+0.7*U2539)*$R$2471/2</f>
        <v>0</v>
      </c>
      <c r="X2539">
        <f>T2539*$R$2471/2</f>
        <v>0</v>
      </c>
      <c r="Z2539">
        <f>IF(S2539=0,0,$AD$2471*$AP$2457)</f>
        <v>0</v>
      </c>
      <c r="AA2539">
        <f>IFERROR(Z2539/$R$2471,0)</f>
        <v>0</v>
      </c>
      <c r="AB2539">
        <f>Z2539*($F$25+($C$16+$C$17+IF($C$13="single",1.5,3)+3)/12)</f>
        <v>0</v>
      </c>
      <c r="AC2539">
        <f>AB2539-W2539</f>
        <v>0</v>
      </c>
      <c r="AD2539" cm="1">
        <f t="array" ref="AD2539">IFERROR(IF(AC2539&lt;0,0,AC2539/($R$2471-INDEX(hd_off,MATCH(AQ2539,hd_mark,0),0)/12)),0)</f>
        <v>0</v>
      </c>
      <c r="AE2539">
        <f>IF(S2539=0,0,$AD$2471*$AM$2457)</f>
        <v>0</v>
      </c>
      <c r="AF2539">
        <f>IFERROR(AE2539/$R$2471,0)</f>
        <v>0</v>
      </c>
      <c r="AG2539">
        <f>AE2539*($F$25+($C$16+$C$17+IF($C$13="single",1.5,3)+3)/12)</f>
        <v>0</v>
      </c>
      <c r="AH2539">
        <f>AG2539-X2539</f>
        <v>0</v>
      </c>
      <c r="AI2539" cm="1">
        <f t="array" ref="AI2539">IFERROR(IF(AH2539&lt;0,0,AH2539/($R$2471-INDEX(hd_off,MATCH(AQ2539,hd_mark,0),0)/12)),0)</f>
        <v>0</v>
      </c>
      <c r="AJ2539">
        <f>MAX($F$25,$AC$2471)/$Q$2484</f>
        <v>0.29920977011494249</v>
      </c>
      <c r="AK2539">
        <f t="shared" si="1565"/>
        <v>1</v>
      </c>
      <c r="AL2539" cm="1">
        <f t="array" ref="AL2539">IFERROR(INDEX(sheath_ecap_asd,MATCH(AP2539,sheath_mark,0),0)*AK2539,0)</f>
        <v>0</v>
      </c>
      <c r="AM2539" cm="1">
        <f t="array" ref="AM2539">IFERROR(INDEX(sheath_wcap_asd,MATCH(AP2539,sheath_mark,0),0)*AK2539,0)</f>
        <v>0</v>
      </c>
      <c r="AN2539" cm="1">
        <f t="array" ref="AN2539">IFERROR(INDEX(hd_cap,MATCH(AQ2539,hd_mark,0),0),0)</f>
        <v>0</v>
      </c>
      <c r="AP2539" s="19"/>
      <c r="AQ2539" s="19"/>
      <c r="AR2539" s="100"/>
      <c r="AS2539" s="93"/>
      <c r="AT2539" s="109"/>
      <c r="AU2539" t="str">
        <f>$Q$2457</f>
        <v>Roof</v>
      </c>
      <c r="AV2539">
        <f>$E$25</f>
        <v>33.171875</v>
      </c>
      <c r="AW2539" cm="1">
        <f t="array" ref="AW2539">IFERROR(IF(AV2539=0,0,(INDEX($C$33:$C$38,MATCH($AZ$2471,$B$33:$B$38,0),0)*(AV2539+$BA$2471)+$AY$2471*$C$31)*$AU$2471),0)</f>
        <v>0</v>
      </c>
      <c r="AX2539">
        <f>IF(AV2539=0,0,-$AY$2471*$C$31*$H$27*$AU$2471)</f>
        <v>0</v>
      </c>
      <c r="AY2539">
        <f>IF(AV2539=0,0,$AY$2471*$H$26*$AU$2471)</f>
        <v>0</v>
      </c>
      <c r="AZ2539">
        <f>(0.6*AW2539+0.7*AX2539)*$AU$2471/2</f>
        <v>0</v>
      </c>
      <c r="BA2539">
        <f>AW2539*$AU$2471/2</f>
        <v>0</v>
      </c>
      <c r="BC2539">
        <f>IF(AV2539=0,0,$BG$2471*$AP$2457)</f>
        <v>0</v>
      </c>
      <c r="BD2539">
        <f>IFERROR(BC2539/$AU$2471,0)</f>
        <v>0</v>
      </c>
      <c r="BE2539">
        <f>BC2539*($F$25+($C$16+$C$17+IF($C$13="single",1.5,3)+3)/12)</f>
        <v>0</v>
      </c>
      <c r="BF2539">
        <f>BE2539-AZ2539</f>
        <v>0</v>
      </c>
      <c r="BG2539" cm="1">
        <f t="array" ref="BG2539">IFERROR(IF(BF2539&lt;0,0,BF2539/($AU$2471-INDEX(hd_off,MATCH(BT2539,hd_mark,0),0)/12)),0)</f>
        <v>0</v>
      </c>
      <c r="BH2539">
        <f>IF(AV2539=0,0,$BG$2471*$AM$2457)</f>
        <v>0</v>
      </c>
      <c r="BI2539">
        <f>IFERROR(BH2539/$AU$2471,0)</f>
        <v>0</v>
      </c>
      <c r="BJ2539">
        <f>BH2539*($F$25+($C$16+$C$17+IF($C$13="single",1.5,3)+3)/12)</f>
        <v>0</v>
      </c>
      <c r="BK2539">
        <f>BJ2539-BA2539</f>
        <v>0</v>
      </c>
      <c r="BL2539" cm="1">
        <f t="array" ref="BL2539">IFERROR(IF(BK2539&lt;0,0,BK2539/($AU$2471-INDEX(hd_off,MATCH(BT2539,hd_mark,0),0)/12)),0)</f>
        <v>0</v>
      </c>
      <c r="BM2539">
        <f>MAX($F$25,$BF$2471)/$Q$2484</f>
        <v>0.29920977011494249</v>
      </c>
      <c r="BN2539">
        <f t="shared" si="1566"/>
        <v>1</v>
      </c>
      <c r="BO2539" cm="1">
        <f t="array" ref="BO2539">IFERROR(INDEX(sheath_ecap_asd,MATCH(BS2539,sheath_mark,0),0)*BN2539,0)</f>
        <v>0</v>
      </c>
      <c r="BP2539" cm="1">
        <f t="array" ref="BP2539">IFERROR(INDEX(sheath_wcap_asd,MATCH(BS2539,sheath_mark,0),0)*BN2539,0)</f>
        <v>0</v>
      </c>
      <c r="BQ2539" cm="1">
        <f t="array" ref="BQ2539">IFERROR(INDEX(hd_cap,MATCH(BT2539,hd_mark,0),0),0)</f>
        <v>0</v>
      </c>
      <c r="BS2539" s="19"/>
      <c r="BT2539" s="19"/>
      <c r="BU2539" s="100"/>
    </row>
    <row r="2540" x14ac:dyDescent="0.25">
      <c r="P2540" s="93"/>
      <c r="AR2540" s="100"/>
      <c r="AS2540" s="93"/>
      <c r="BU2540" s="100"/>
    </row>
    <row r="2541" x14ac:dyDescent="0.25">
      <c r="P2541" s="93"/>
      <c r="Q2541" s="110" t="str">
        <f>$Q$2472</f>
        <v>A.11</v>
      </c>
      <c r="R2541" t="str">
        <f>$Q$2453</f>
        <v>L2</v>
      </c>
      <c r="S2541">
        <f>$E$21</f>
        <v>10.6875</v>
      </c>
      <c r="T2541" cm="1">
        <f t="array" ref="T2541">IFERROR(IF(S2541=0,0,(INDEX($C$33:$C$38,MATCH($W$2472,$B$33:$B$38,0),0)*(S2545+$X$2472)+$T$2472*COUNTIF(S2541:S2544,"&gt;0")*$C$32+$V$2472*$C$31)*$R$2472),0)</f>
        <v>0</v>
      </c>
      <c r="U2541">
        <f>IF(S2541=0,0,-(COUNTIF(S2541:S2544,"&gt;0")*$T$2472*$C$32+$V$2472*$C$31)*$H$27*$R$2472)</f>
        <v>0</v>
      </c>
      <c r="V2541">
        <f>IF(S2541=0,0,$V$2472*$H$26*$R$2472)</f>
        <v>0</v>
      </c>
      <c r="W2541">
        <f>(0.6*T2541+0.7*U2541)*$R$2472/2</f>
        <v>0</v>
      </c>
      <c r="X2541">
        <f>(0.6*T2541+0.6*V2541)*$R$2472/2</f>
        <v>0</v>
      </c>
      <c r="Z2541">
        <f>IF(S2541=0,0,$AD$2472*$AP$2453)</f>
        <v>0</v>
      </c>
      <c r="AA2541">
        <f>IFERROR(Z2541/$R$2472,0)</f>
        <v>0</v>
      </c>
      <c r="AB2541">
        <f>Z2541*($F$21+IF($F$21=0,0,($C$14+$C$15+IF($C$13="single",1.5,3)+3)/12))</f>
        <v>0</v>
      </c>
      <c r="AC2541">
        <f>AB2541-W2541</f>
        <v>0</v>
      </c>
      <c r="AD2541" cm="1">
        <f t="array" ref="AD2541">IFERROR(IF(AC2541&lt;0,0,AC2541/($R$2472-INDEX(hd_off,MATCH(AQ2541,hd_mark,0),0)/12)),0)</f>
        <v>0</v>
      </c>
      <c r="AE2541">
        <f>IF(S2541=0,0,$AD$2472*$AM$2453)</f>
        <v>0</v>
      </c>
      <c r="AF2541">
        <f>IFERROR(AE2541/$R$2472,0)</f>
        <v>0</v>
      </c>
      <c r="AG2541">
        <f>AE2541*($F$21+IF($F$21=0,0,($C$14+$C$15+IF($C$13="single",1.5,3)+3)/12))</f>
        <v>0</v>
      </c>
      <c r="AH2541">
        <f>AG2541-X2541</f>
        <v>0</v>
      </c>
      <c r="AI2541" cm="1">
        <f t="array" ref="AI2541">IFERROR(IF(AH2541&lt;0,0,AH2541/($R$2472-INDEX(hd_off,MATCH(AQ2541,hd_mark,0),0)/12)),0)</f>
        <v>0</v>
      </c>
      <c r="AJ2541">
        <f>MAX($F$21,$Y$2472)/$Q$2484</f>
        <v>0.30172413793103448</v>
      </c>
      <c r="AK2541">
        <f>IF(AJ2541=0,0,IF(AJ2541&gt;2,1.25-0.125*AJ2541,1))</f>
        <v>1</v>
      </c>
      <c r="AL2541" cm="1">
        <f t="array" ref="AL2541">IFERROR(INDEX(sheath_ecap_asd,MATCH(AP2541,sheath_mark,0),0)*AK2541,0)</f>
        <v>0</v>
      </c>
      <c r="AM2541" cm="1">
        <f t="array" ref="AM2541">IFERROR(INDEX(sheath_wcap_asd,MATCH(AP2541,sheath_mark,0),0)*AK2541,0)</f>
        <v>0</v>
      </c>
      <c r="AN2541" cm="1">
        <f t="array" ref="AN2541">IFERROR(INDEX(hd_cap,MATCH(AQ2541,hd_mark,0),0),0)</f>
        <v>0</v>
      </c>
      <c r="AP2541" s="19"/>
      <c r="AQ2541" s="19"/>
      <c r="AR2541" s="100"/>
      <c r="AS2541" s="93"/>
      <c r="AT2541" s="110" t="str">
        <f>$AT$2472</f>
        <v>1.11</v>
      </c>
      <c r="AU2541" t="str">
        <f>$Q$2453</f>
        <v>L2</v>
      </c>
      <c r="AV2541">
        <f>$E$21</f>
        <v>10.6875</v>
      </c>
      <c r="AW2541" cm="1">
        <f t="array" ref="AW2541">IFERROR(IF(AV2541=0,0,(INDEX($C$33:$C$38,MATCH($AZ$2472,$B$33:$B$38,0),0)*(AV2545+$BA$2472)+$AW$2472*COUNTIF(AV2541:AV2544,"&gt;0")*$C$32+$AY$2472*$C$31)*$AU$2472),0)</f>
        <v>0</v>
      </c>
      <c r="AX2541">
        <f>IF(AV2541=0,0,-(COUNTIF(AV2541:AV2544,"&gt;0")*$AW$2472*$C$32+$AY$2472*$C$31)*$H$27*$AU$2472)</f>
        <v>0</v>
      </c>
      <c r="AY2541">
        <f>IF(AV2541=0,0,$AY$2472*$H$26*$AU$2472)</f>
        <v>0</v>
      </c>
      <c r="AZ2541">
        <f>(0.6*AW2541+0.7*AX2541)*$AU$2472/2</f>
        <v>0</v>
      </c>
      <c r="BA2541">
        <f>(0.6*AW2541+0.6*AY2541)*$AU$2472/2</f>
        <v>0</v>
      </c>
      <c r="BC2541">
        <f>IF(AV2541=0,0,$BG$2472*$AP$2453)</f>
        <v>0</v>
      </c>
      <c r="BD2541">
        <f>IFERROR(BC2541/$AU$2472,0)</f>
        <v>0</v>
      </c>
      <c r="BE2541">
        <f>BC2541*($F$21+IF($F$21=0,0,($C$14+$C$15+IF($C$13="single",1.5,3)+3)/12))</f>
        <v>0</v>
      </c>
      <c r="BF2541">
        <f>BE2541-AZ2541</f>
        <v>0</v>
      </c>
      <c r="BG2541" cm="1">
        <f t="array" ref="BG2541">IFERROR(IF(BF2541&lt;0,0,BF2541/($AU$2472-INDEX(hd_off,MATCH(BT2541,hd_mark,0),0)/12)),0)</f>
        <v>0</v>
      </c>
      <c r="BH2541">
        <f>IF(AV2541=0,0,$BG$2472*$AM$2453)</f>
        <v>0</v>
      </c>
      <c r="BI2541">
        <f>IFERROR(BH2541/$AU$2472,0)</f>
        <v>0</v>
      </c>
      <c r="BJ2541">
        <f>BH2541*($F$21+IF($F$21=0,0,($C$14+$C$15+IF($C$13="single",1.5,3)+3)/12))</f>
        <v>0</v>
      </c>
      <c r="BK2541">
        <f>BJ2541-BA2541</f>
        <v>0</v>
      </c>
      <c r="BL2541" cm="1">
        <f t="array" ref="BL2541">IFERROR(IF(BK2541&lt;0,0,BK2541/($AU$2472-INDEX(hd_off,MATCH(BT2541,hd_mark,0),0)/12)),0)</f>
        <v>0</v>
      </c>
      <c r="BM2541">
        <f>MAX($F$21,$BB$2472)/$Q$2484</f>
        <v>0.30172413793103448</v>
      </c>
      <c r="BN2541">
        <f>IF(BM2541=0,0,IF(BM2541&gt;2,1.25-0.125*BM2541,1))</f>
        <v>1</v>
      </c>
      <c r="BO2541" cm="1">
        <f t="array" ref="BO2541">IFERROR(INDEX(sheath_ecap_asd,MATCH(BS2541,sheath_mark,0),0)*BN2541,0)</f>
        <v>0</v>
      </c>
      <c r="BP2541" cm="1">
        <f t="array" ref="BP2541">IFERROR(INDEX(sheath_wcap_asd,MATCH(BS2541,sheath_mark,0),0)*BN2541,0)</f>
        <v>0</v>
      </c>
      <c r="BQ2541" cm="1">
        <f t="array" ref="BQ2541">IFERROR(INDEX(hd_cap,MATCH(BT2541,hd_mark,0),0),0)</f>
        <v>0</v>
      </c>
      <c r="BS2541" s="19"/>
      <c r="BT2541" s="19"/>
      <c r="BU2541" s="100"/>
    </row>
    <row r="2542" x14ac:dyDescent="0.25">
      <c r="P2542" s="93"/>
      <c r="Q2542" s="109"/>
      <c r="R2542" t="str">
        <f>$Q$2454</f>
        <v>L3</v>
      </c>
      <c r="S2542">
        <f>$E$22</f>
        <v>21.375</v>
      </c>
      <c r="T2542" cm="1">
        <f t="array" ref="T2542">IFERROR(IF(S2542=0,0,(INDEX($C$33:$C$38,MATCH($W$2472,$B$33:$B$38,0),0)*(S2545+$X$2472)+$T$2472*COUNTIF(S2542:S2544,"&gt;0")*$C$32+$V$2472*$C$31)*$R$2472),0)</f>
        <v>0</v>
      </c>
      <c r="U2542">
        <f>IF(S2542=0,0,-(COUNTIF(S2542:S2544,"&gt;0")*$T$2472*$C$32+$V$2472*$C$31)*$H$27*$R$2472)</f>
        <v>0</v>
      </c>
      <c r="V2542">
        <f>IF(S2542=0,0,$V$2472*$H$26*$R$2472)</f>
        <v>0</v>
      </c>
      <c r="W2542">
        <f>(0.6*T2542+0.7*U2542)*$R$2472/2</f>
        <v>0</v>
      </c>
      <c r="X2542">
        <f>T2542*$R$2472/2</f>
        <v>0</v>
      </c>
      <c r="Z2542">
        <f>IF(S2542=0,0,$AD$2472*$AP$2454)</f>
        <v>0</v>
      </c>
      <c r="AA2542">
        <f>IFERROR(Z2542/$R$2472,0)</f>
        <v>0</v>
      </c>
      <c r="AB2542">
        <f>Z2542*($F$22+IF($F$22=0,0,($C$14+$C$15+IF($C$13="single",1.5,3)+3)/12))</f>
        <v>0</v>
      </c>
      <c r="AC2542">
        <f>AB2542-W2542</f>
        <v>0</v>
      </c>
      <c r="AD2542" cm="1">
        <f t="array" ref="AD2542">IFERROR(IF(AC2542&lt;0,0,AC2542/($R$2472-INDEX(hd_off,MATCH(AQ2542,hd_mark,0),0)/12)),0)</f>
        <v>0</v>
      </c>
      <c r="AE2542">
        <f>IF(S2542=0,0,$AD$2472*$AM$2454)</f>
        <v>0</v>
      </c>
      <c r="AF2542">
        <f>IFERROR(AE2542/$R$2472,0)</f>
        <v>0</v>
      </c>
      <c r="AG2542">
        <f>AE2542*($F$22+IF($F$22=0,0,($C$14+$C$15+IF($C$13="single",1.5,3)+3)/12))</f>
        <v>0</v>
      </c>
      <c r="AH2542">
        <f>AG2542-X2542</f>
        <v>0</v>
      </c>
      <c r="AI2542" cm="1">
        <f t="array" ref="AI2542">IFERROR(IF(AH2542&lt;0,0,AH2542/($R$2472-INDEX(hd_off,MATCH(AQ2542,hd_mark,0),0)/12)),0)</f>
        <v>0</v>
      </c>
      <c r="AJ2542">
        <f>MAX($F$22,$Z$2472)/$Q$2484</f>
        <v>0.30172413793103448</v>
      </c>
      <c r="AK2542">
        <f t="shared" ref="AK2542:AK2545" si="1567">IF(AJ2542=0,0,IF(AJ2542&gt;2,1.25-0.125*AJ2542,1))</f>
        <v>1</v>
      </c>
      <c r="AL2542" cm="1">
        <f t="array" ref="AL2542">IFERROR(INDEX(sheath_ecap_asd,MATCH(AP2542,sheath_mark,0),0)*AK2542,0)</f>
        <v>0</v>
      </c>
      <c r="AM2542" cm="1">
        <f t="array" ref="AM2542">IFERROR(INDEX(sheath_wcap_asd,MATCH(AP2542,sheath_mark,0),0)*AK2542,0)</f>
        <v>0</v>
      </c>
      <c r="AN2542" cm="1">
        <f t="array" ref="AN2542">IFERROR(INDEX(hd_cap,MATCH(AQ2542,hd_mark,0),0),0)</f>
        <v>0</v>
      </c>
      <c r="AP2542" s="19"/>
      <c r="AQ2542" s="19"/>
      <c r="AR2542" s="100"/>
      <c r="AS2542" s="93"/>
      <c r="AT2542" s="109"/>
      <c r="AU2542" t="str">
        <f>$Q$2454</f>
        <v>L3</v>
      </c>
      <c r="AV2542">
        <f>$E$22</f>
        <v>21.375</v>
      </c>
      <c r="AW2542" cm="1">
        <f t="array" ref="AW2542">IFERROR(IF(AV2542=0,0,(INDEX($C$33:$C$38,MATCH($AZ$2472,$B$33:$B$38,0),0)*(AV2545+$BA$2472)+$AW$2472*COUNTIF(AV2542:AV2544,"&gt;0")*$C$32+$AY$2472*$C$31)*$AU$2472),0)</f>
        <v>0</v>
      </c>
      <c r="AX2542">
        <f>IF(AV2542=0,0,-(COUNTIF(AV2542:AV2544,"&gt;0")*$AW$2472*$C$32+$AY$2472*$C$31)*$H$27*$AU$2472)</f>
        <v>0</v>
      </c>
      <c r="AY2542">
        <f>IF(AV2542=0,0,$AY$2472*$H$26*$AU$2472)</f>
        <v>0</v>
      </c>
      <c r="AZ2542">
        <f>(0.6*AW2542+0.7*AX2542)*$AU$2472/2</f>
        <v>0</v>
      </c>
      <c r="BA2542">
        <f>AW2542*$AU$2472/2</f>
        <v>0</v>
      </c>
      <c r="BC2542">
        <f>IF(AV2542=0,0,$BG$2472*$AP$2454)</f>
        <v>0</v>
      </c>
      <c r="BD2542">
        <f>IFERROR(BC2542/$AU$2472,0)</f>
        <v>0</v>
      </c>
      <c r="BE2542">
        <f>BC2542*($F$22+IF($F$22=0,0,($C$14+$C$15+IF($C$13="single",1.5,3)+3)/12))</f>
        <v>0</v>
      </c>
      <c r="BF2542">
        <f>BE2542-AZ2542</f>
        <v>0</v>
      </c>
      <c r="BG2542" cm="1">
        <f t="array" ref="BG2542">IFERROR(IF(BF2542&lt;0,0,BF2542/($AU$2472-INDEX(hd_off,MATCH(BT2542,hd_mark,0),0)/12)),0)</f>
        <v>0</v>
      </c>
      <c r="BH2542">
        <f>IF(AV2542=0,0,$BG$2472*$AM$2454)</f>
        <v>0</v>
      </c>
      <c r="BI2542">
        <f>IFERROR(BH2542/$AU$2472,0)</f>
        <v>0</v>
      </c>
      <c r="BJ2542">
        <f>BH2542*($F$22+IF($F$22=0,0,($C$14+$C$15+IF($C$13="single",1.5,3)+3)/12))</f>
        <v>0</v>
      </c>
      <c r="BK2542">
        <f>BJ2542-BA2542</f>
        <v>0</v>
      </c>
      <c r="BL2542" cm="1">
        <f t="array" ref="BL2542">IFERROR(IF(BK2542&lt;0,0,BK2542/($AU$2472-INDEX(hd_off,MATCH(BT2542,hd_mark,0),0)/12)),0)</f>
        <v>0</v>
      </c>
      <c r="BM2542">
        <f>MAX($F$22,$BC$2472)/$Q$2484</f>
        <v>0.30172413793103448</v>
      </c>
      <c r="BN2542">
        <f t="shared" ref="BN2542:BN2545" si="1568">IF(BM2542=0,0,IF(BM2542&gt;2,1.25-0.125*BM2542,1))</f>
        <v>1</v>
      </c>
      <c r="BO2542" cm="1">
        <f t="array" ref="BO2542">IFERROR(INDEX(sheath_ecap_asd,MATCH(BS2542,sheath_mark,0),0)*BN2542,0)</f>
        <v>0</v>
      </c>
      <c r="BP2542" cm="1">
        <f t="array" ref="BP2542">IFERROR(INDEX(sheath_wcap_asd,MATCH(BS2542,sheath_mark,0),0)*BN2542,0)</f>
        <v>0</v>
      </c>
      <c r="BQ2542" cm="1">
        <f t="array" ref="BQ2542">IFERROR(INDEX(hd_cap,MATCH(BT2542,hd_mark,0),0),0)</f>
        <v>0</v>
      </c>
      <c r="BS2542" s="19"/>
      <c r="BT2542" s="19"/>
      <c r="BU2542" s="100"/>
    </row>
    <row r="2543" x14ac:dyDescent="0.25">
      <c r="P2543" s="93"/>
      <c r="Q2543" s="109" t="s">
        <v>491</v>
      </c>
      <c r="R2543" t="str">
        <f>$Q$2455</f>
        <v>L4</v>
      </c>
      <c r="S2543">
        <f>$E$23</f>
        <v>0</v>
      </c>
      <c r="T2543" cm="1">
        <f t="array" ref="T2543">IFERROR(IF(S2543=0,0,(INDEX($C$33:$C$38,MATCH($W$2472,$B$33:$B$38,0),0)*(S2545+$X$2472)+$T$2472*COUNTIF(S2543:S2544,"&gt;0")*$C$32+$V$2472*$C$31)*$R$2472),0)</f>
        <v>0</v>
      </c>
      <c r="U2543">
        <f>IF(S2543=0,0,-(COUNTIF(S2543:S2544,"&gt;0")*$T$2472*$C$32+$V$2472*$C$31)*$H$27*$R$2472)</f>
        <v>0</v>
      </c>
      <c r="V2543">
        <f>IF(S2543=0,0,$V$2472*$H$26*$R$2472)</f>
        <v>0</v>
      </c>
      <c r="W2543">
        <f>(0.6*T2543+0.7*U2543)*$R$2472/2</f>
        <v>0</v>
      </c>
      <c r="X2543">
        <f>T2543*$R$2472/2</f>
        <v>0</v>
      </c>
      <c r="Z2543">
        <f>IF(S2543=0,0,$AD$2472*$AP$2455)</f>
        <v>0</v>
      </c>
      <c r="AA2543">
        <f>IFERROR(Z2543/$R$2472,0)</f>
        <v>0</v>
      </c>
      <c r="AB2543">
        <f>Z2543*($F$23+IF($F$23=0,0,($C$14+$C$15+IF($C$13="single",1.5,3)+3)/12))</f>
        <v>0</v>
      </c>
      <c r="AC2543">
        <f>AB2543-W2543</f>
        <v>0</v>
      </c>
      <c r="AD2543" cm="1">
        <f t="array" ref="AD2543">IFERROR(IF(AC2543&lt;0,0,AC2543/($R$2472-INDEX(hd_off,MATCH(AQ2543,hd_mark,0),0)/12)),0)</f>
        <v>0</v>
      </c>
      <c r="AE2543">
        <f>IF(S2543=0,0,$AD$2472*$AM$2455)</f>
        <v>0</v>
      </c>
      <c r="AF2543">
        <f>IFERROR(AE2543/$R$2472,0)</f>
        <v>0</v>
      </c>
      <c r="AG2543">
        <f>AE2543*($F$23+IF($F$23=0,0,($C$14+$C$15+IF($C$13="single",1.5,3)+3)/12))</f>
        <v>0</v>
      </c>
      <c r="AH2543">
        <f>AG2543-X2543</f>
        <v>0</v>
      </c>
      <c r="AI2543" cm="1">
        <f t="array" ref="AI2543">IFERROR(IF(AH2543&lt;0,0,AH2543/($R$2472-INDEX(hd_off,MATCH(AQ2543,hd_mark,0),0)/12)),0)</f>
        <v>0</v>
      </c>
      <c r="AJ2543">
        <f>MAX($F$23,$AA$2472)/$Q$2484</f>
        <v>0</v>
      </c>
      <c r="AK2543">
        <f t="shared" si="1567"/>
        <v>0</v>
      </c>
      <c r="AL2543" cm="1">
        <f t="array" ref="AL2543">IFERROR(INDEX(sheath_ecap_asd,MATCH(AP2543,sheath_mark,0),0)*AK2543,0)</f>
        <v>0</v>
      </c>
      <c r="AM2543" cm="1">
        <f t="array" ref="AM2543">IFERROR(INDEX(sheath_wcap_asd,MATCH(AP2543,sheath_mark,0),0)*AK2543,0)</f>
        <v>0</v>
      </c>
      <c r="AN2543" cm="1">
        <f t="array" ref="AN2543">IFERROR(INDEX(hd_cap,MATCH(AQ2543,hd_mark,0),0),0)</f>
        <v>0</v>
      </c>
      <c r="AP2543" s="19"/>
      <c r="AQ2543" s="19"/>
      <c r="AR2543" s="100"/>
      <c r="AS2543" s="93"/>
      <c r="AT2543" s="109" t="s">
        <v>491</v>
      </c>
      <c r="AU2543" t="str">
        <f>$Q$2455</f>
        <v>L4</v>
      </c>
      <c r="AV2543">
        <f>$E$23</f>
        <v>0</v>
      </c>
      <c r="AW2543" cm="1">
        <f t="array" ref="AW2543">IFERROR(IF(AV2543=0,0,(INDEX($C$33:$C$38,MATCH($AZ$2472,$B$33:$B$38,0),0)*(AV2545+$BA$2472)+$AW$2472*COUNTIF(AV2543:AV2544,"&gt;0")*$C$32+$AY$2472*$C$31)*$AU$2472),0)</f>
        <v>0</v>
      </c>
      <c r="AX2543">
        <f>IF(AV2543=0,0,-(COUNTIF(AV2543:AV2544,"&gt;0")*$AW$2472*$C$32+$AY$2472*$C$31)*$H$27*$AU$2472)</f>
        <v>0</v>
      </c>
      <c r="AY2543">
        <f>IF(AV2543=0,0,$AY$2472*$H$26*$AU$2472)</f>
        <v>0</v>
      </c>
      <c r="AZ2543">
        <f>(0.6*AW2543+0.7*AX2543)*$AU$2472/2</f>
        <v>0</v>
      </c>
      <c r="BA2543">
        <f>AW2543*$AU$2472/2</f>
        <v>0</v>
      </c>
      <c r="BC2543">
        <f>IF(AV2543=0,0,$BG$2472*$AP$2455)</f>
        <v>0</v>
      </c>
      <c r="BD2543">
        <f>IFERROR(BC2543/$AU$2472,0)</f>
        <v>0</v>
      </c>
      <c r="BE2543">
        <f>BC2543*($F$23+IF($F$23=0,0,($C$14+$C$15+IF($C$13="single",1.5,3)+3)/12))</f>
        <v>0</v>
      </c>
      <c r="BF2543">
        <f>BE2543-AZ2543</f>
        <v>0</v>
      </c>
      <c r="BG2543" cm="1">
        <f t="array" ref="BG2543">IFERROR(IF(BF2543&lt;0,0,BF2543/($AU$2472-INDEX(hd_off,MATCH(BT2543,hd_mark,0),0)/12)),0)</f>
        <v>0</v>
      </c>
      <c r="BH2543">
        <f>IF(AV2543=0,0,$BG$2472*$AM$2455)</f>
        <v>0</v>
      </c>
      <c r="BI2543">
        <f>IFERROR(BH2543/$AU$2472,0)</f>
        <v>0</v>
      </c>
      <c r="BJ2543">
        <f>BH2543*($F$23+IF($F$23=0,0,($C$14+$C$15+IF($C$13="single",1.5,3)+3)/12))</f>
        <v>0</v>
      </c>
      <c r="BK2543">
        <f>BJ2543-BA2543</f>
        <v>0</v>
      </c>
      <c r="BL2543" cm="1">
        <f t="array" ref="BL2543">IFERROR(IF(BK2543&lt;0,0,BK2543/($AU$2472-INDEX(hd_off,MATCH(BT2543,hd_mark,0),0)/12)),0)</f>
        <v>0</v>
      </c>
      <c r="BM2543">
        <f>MAX($F$23,$BD$2472)/$Q$2484</f>
        <v>0</v>
      </c>
      <c r="BN2543">
        <f t="shared" si="1568"/>
        <v>0</v>
      </c>
      <c r="BO2543" cm="1">
        <f t="array" ref="BO2543">IFERROR(INDEX(sheath_ecap_asd,MATCH(BS2543,sheath_mark,0),0)*BN2543,0)</f>
        <v>0</v>
      </c>
      <c r="BP2543" cm="1">
        <f t="array" ref="BP2543">IFERROR(INDEX(sheath_wcap_asd,MATCH(BS2543,sheath_mark,0),0)*BN2543,0)</f>
        <v>0</v>
      </c>
      <c r="BQ2543" cm="1">
        <f t="array" ref="BQ2543">IFERROR(INDEX(hd_cap,MATCH(BT2543,hd_mark,0),0),0)</f>
        <v>0</v>
      </c>
      <c r="BS2543" s="19"/>
      <c r="BT2543" s="19"/>
      <c r="BU2543" s="100"/>
    </row>
    <row r="2544" x14ac:dyDescent="0.25">
      <c r="P2544" s="93"/>
      <c r="Q2544" s="111">
        <f>$R$2472</f>
        <v>0</v>
      </c>
      <c r="R2544" t="str">
        <f>$Q$2456</f>
        <v>L5</v>
      </c>
      <c r="S2544">
        <f>$E$24</f>
        <v>0</v>
      </c>
      <c r="T2544" cm="1">
        <f t="array" ref="T2544">IFERROR(IF(S2544=0,0,(INDEX($C$33:$C$38,MATCH($W$2472,$B$33:$B$38,0),0)*(S2545+$X$2472)+$T$2472*COUNTIF(S2544:S2544,"&gt;0")*$C$32+$V$2472*$C$31)*$R$2472),0)</f>
        <v>0</v>
      </c>
      <c r="U2544">
        <f>IF(S2544=0,0,-(COUNTIF(S2544:S2544,"&gt;0")*$T$2472*$C$32+$V$2472*$C$31)*$H$27*$R$2472)</f>
        <v>0</v>
      </c>
      <c r="V2544">
        <f>IF(S2544=0,0,$V$2472*$H$26*$R$2472)</f>
        <v>0</v>
      </c>
      <c r="W2544">
        <f>(0.6*T2544+0.7*U2544)*$R$2472/2</f>
        <v>0</v>
      </c>
      <c r="X2544">
        <f>T2544*$R$2472/2</f>
        <v>0</v>
      </c>
      <c r="Z2544">
        <f>IF(S2544=0,0,$AD$2472*$AP$2456)</f>
        <v>0</v>
      </c>
      <c r="AA2544">
        <f>IFERROR(Z2544/$R$2472,0)</f>
        <v>0</v>
      </c>
      <c r="AB2544">
        <f>Z2544*($F$24+IF($F$24=0,0,($C$14+$C$15+IF($C$13="single",1.5,3)+3)/12))</f>
        <v>0</v>
      </c>
      <c r="AC2544">
        <f>AB2544-W2544</f>
        <v>0</v>
      </c>
      <c r="AD2544" cm="1">
        <f t="array" ref="AD2544">IFERROR(IF(AC2544&lt;0,0,AC2544/($R$2472-INDEX(hd_off,MATCH(AQ2544,hd_mark,0),0)/12)),0)</f>
        <v>0</v>
      </c>
      <c r="AE2544">
        <f>IF(S2544=0,0,$AD$2472*$AM$2456)</f>
        <v>0</v>
      </c>
      <c r="AF2544">
        <f>IFERROR(AE2544/$R$2472,0)</f>
        <v>0</v>
      </c>
      <c r="AG2544">
        <f>AE2544*($F$24+IF($F$24=0,0,($C$14+$C$15+IF($C$13="single",1.5,3)+3)/12))</f>
        <v>0</v>
      </c>
      <c r="AH2544">
        <f>AG2544-X2544</f>
        <v>0</v>
      </c>
      <c r="AI2544" cm="1">
        <f t="array" ref="AI2544">IFERROR(IF(AH2544&lt;0,0,AH2544/($R$2472-INDEX(hd_off,MATCH(AQ2544,hd_mark,0),0)/12)),0)</f>
        <v>0</v>
      </c>
      <c r="AJ2544">
        <f>MAX($F$24,$AB$2472)/$Q$2484</f>
        <v>0</v>
      </c>
      <c r="AK2544">
        <f t="shared" si="1567"/>
        <v>0</v>
      </c>
      <c r="AL2544" cm="1">
        <f t="array" ref="AL2544">IFERROR(INDEX(sheath_ecap_asd,MATCH(AP2544,sheath_mark,0),0)*AK2544,0)</f>
        <v>0</v>
      </c>
      <c r="AM2544" cm="1">
        <f t="array" ref="AM2544">IFERROR(INDEX(sheath_wcap_asd,MATCH(AP2544,sheath_mark,0),0)*AK2544,0)</f>
        <v>0</v>
      </c>
      <c r="AN2544" cm="1">
        <f t="array" ref="AN2544">IFERROR(INDEX(hd_cap,MATCH(AQ2544,hd_mark,0),0),0)</f>
        <v>0</v>
      </c>
      <c r="AP2544" s="19"/>
      <c r="AQ2544" s="19"/>
      <c r="AR2544" s="100"/>
      <c r="AS2544" s="93"/>
      <c r="AT2544" s="111">
        <f>$R$2472</f>
        <v>0</v>
      </c>
      <c r="AU2544" t="str">
        <f>$Q$2456</f>
        <v>L5</v>
      </c>
      <c r="AV2544">
        <f>$E$24</f>
        <v>0</v>
      </c>
      <c r="AW2544" cm="1">
        <f t="array" ref="AW2544">IFERROR(IF(AV2544=0,0,(INDEX($C$33:$C$38,MATCH($AZ$2472,$B$33:$B$38,0),0)*(AV2545+$BA$2472)+$AW$2472*COUNTIF(AV2544:AV2544,"&gt;0")*$C$32+$AY$2472*$C$31)*$AU$2472),0)</f>
        <v>0</v>
      </c>
      <c r="AX2544">
        <f>IF(AV2544=0,0,-(COUNTIF(AV2544:AV2544,"&gt;0")*$AW$2472*$C$32+$AY$2472*$C$31)*$H$27*$AU$2472)</f>
        <v>0</v>
      </c>
      <c r="AY2544">
        <f>IF(AV2544=0,0,$AY$2472*$H$26*$AU$2472)</f>
        <v>0</v>
      </c>
      <c r="AZ2544">
        <f>(0.6*AW2544+0.7*AX2544)*$AU$2472/2</f>
        <v>0</v>
      </c>
      <c r="BA2544">
        <f>AW2544*$AU$2472/2</f>
        <v>0</v>
      </c>
      <c r="BC2544">
        <f>IF(AV2544=0,0,$BG$2472*$AP$2456)</f>
        <v>0</v>
      </c>
      <c r="BD2544">
        <f>IFERROR(BC2544/$AU$2472,0)</f>
        <v>0</v>
      </c>
      <c r="BE2544">
        <f>BC2544*($F$24+IF($F$24=0,0,($C$14+$C$15+IF($C$13="single",1.5,3)+3)/12))</f>
        <v>0</v>
      </c>
      <c r="BF2544">
        <f>BE2544-AZ2544</f>
        <v>0</v>
      </c>
      <c r="BG2544" cm="1">
        <f t="array" ref="BG2544">IFERROR(IF(BF2544&lt;0,0,BF2544/($AU$2472-INDEX(hd_off,MATCH(BT2544,hd_mark,0),0)/12)),0)</f>
        <v>0</v>
      </c>
      <c r="BH2544">
        <f>IF(AV2544=0,0,$BG$2472*$AM$2456)</f>
        <v>0</v>
      </c>
      <c r="BI2544">
        <f>IFERROR(BH2544/$AU$2472,0)</f>
        <v>0</v>
      </c>
      <c r="BJ2544">
        <f>BH2544*($F$24+IF($F$24=0,0,($C$14+$C$15+IF($C$13="single",1.5,3)+3)/12))</f>
        <v>0</v>
      </c>
      <c r="BK2544">
        <f>BJ2544-BA2544</f>
        <v>0</v>
      </c>
      <c r="BL2544" cm="1">
        <f t="array" ref="BL2544">IFERROR(IF(BK2544&lt;0,0,BK2544/($AU$2472-INDEX(hd_off,MATCH(BT2544,hd_mark,0),0)/12)),0)</f>
        <v>0</v>
      </c>
      <c r="BM2544">
        <f>MAX($F$24,$BE$2472)/$Q$2484</f>
        <v>0</v>
      </c>
      <c r="BN2544">
        <f t="shared" si="1568"/>
        <v>0</v>
      </c>
      <c r="BO2544" cm="1">
        <f t="array" ref="BO2544">IFERROR(INDEX(sheath_ecap_asd,MATCH(BS2544,sheath_mark,0),0)*BN2544,0)</f>
        <v>0</v>
      </c>
      <c r="BP2544" cm="1">
        <f t="array" ref="BP2544">IFERROR(INDEX(sheath_wcap_asd,MATCH(BS2544,sheath_mark,0),0)*BN2544,0)</f>
        <v>0</v>
      </c>
      <c r="BQ2544" cm="1">
        <f t="array" ref="BQ2544">IFERROR(INDEX(hd_cap,MATCH(BT2544,hd_mark,0),0),0)</f>
        <v>0</v>
      </c>
      <c r="BS2544" s="19"/>
      <c r="BT2544" s="19"/>
      <c r="BU2544" s="100"/>
    </row>
    <row r="2545" x14ac:dyDescent="0.25">
      <c r="P2545" s="93"/>
      <c r="Q2545" s="109"/>
      <c r="R2545" t="str">
        <f>$Q$2457</f>
        <v>Roof</v>
      </c>
      <c r="S2545">
        <f>$E$25</f>
        <v>33.171875</v>
      </c>
      <c r="T2545" cm="1">
        <f t="array" ref="T2545">IFERROR(IF(S2545=0,0,(INDEX($C$33:$C$38,MATCH($W$2472,$B$33:$B$38,0),0)*(S2545+$X$2472)+$V$2472*$C$31)*$R$2472),0)</f>
        <v>0</v>
      </c>
      <c r="U2545">
        <f>IF(S2545=0,0,-$V$2472*$C$31*$H$27*$R$2472)</f>
        <v>0</v>
      </c>
      <c r="V2545">
        <f>IF(S2545=0,0,$V$2472*$H$26*$R$2472)</f>
        <v>0</v>
      </c>
      <c r="W2545">
        <f>(0.6*T2545+0.7*U2545)*$R$2472/2</f>
        <v>0</v>
      </c>
      <c r="X2545">
        <f>T2545*$R$2472/2</f>
        <v>0</v>
      </c>
      <c r="Z2545">
        <f>IF(S2545=0,0,$AD$2472*$AP$2457)</f>
        <v>0</v>
      </c>
      <c r="AA2545">
        <f>IFERROR(Z2545/$R$2472,0)</f>
        <v>0</v>
      </c>
      <c r="AB2545">
        <f>Z2545*($F$25+($C$16+$C$17+IF($C$13="single",1.5,3)+3)/12)</f>
        <v>0</v>
      </c>
      <c r="AC2545">
        <f>AB2545-W2545</f>
        <v>0</v>
      </c>
      <c r="AD2545" cm="1">
        <f t="array" ref="AD2545">IFERROR(IF(AC2545&lt;0,0,AC2545/($R$2472-INDEX(hd_off,MATCH(AQ2545,hd_mark,0),0)/12)),0)</f>
        <v>0</v>
      </c>
      <c r="AE2545">
        <f>IF(S2545=0,0,$AD$2472*$AM$2457)</f>
        <v>0</v>
      </c>
      <c r="AF2545">
        <f>IFERROR(AE2545/$R$2472,0)</f>
        <v>0</v>
      </c>
      <c r="AG2545">
        <f>AE2545*($F$25+($C$16+$C$17+IF($C$13="single",1.5,3)+3)/12)</f>
        <v>0</v>
      </c>
      <c r="AH2545">
        <f>AG2545-X2545</f>
        <v>0</v>
      </c>
      <c r="AI2545" cm="1">
        <f t="array" ref="AI2545">IFERROR(IF(AH2545&lt;0,0,AH2545/($R$2472-INDEX(hd_off,MATCH(AQ2545,hd_mark,0),0)/12)),0)</f>
        <v>0</v>
      </c>
      <c r="AJ2545">
        <f>MAX($F$25,$AC$2472)/$Q$2484</f>
        <v>0.29920977011494249</v>
      </c>
      <c r="AK2545">
        <f t="shared" si="1567"/>
        <v>1</v>
      </c>
      <c r="AL2545" cm="1">
        <f t="array" ref="AL2545">IFERROR(INDEX(sheath_ecap_asd,MATCH(AP2545,sheath_mark,0),0)*AK2545,0)</f>
        <v>0</v>
      </c>
      <c r="AM2545" cm="1">
        <f t="array" ref="AM2545">IFERROR(INDEX(sheath_wcap_asd,MATCH(AP2545,sheath_mark,0),0)*AK2545,0)</f>
        <v>0</v>
      </c>
      <c r="AN2545" cm="1">
        <f t="array" ref="AN2545">IFERROR(INDEX(hd_cap,MATCH(AQ2545,hd_mark,0),0),0)</f>
        <v>0</v>
      </c>
      <c r="AP2545" s="19"/>
      <c r="AQ2545" s="19"/>
      <c r="AR2545" s="100"/>
      <c r="AS2545" s="93"/>
      <c r="AT2545" s="109"/>
      <c r="AU2545" t="str">
        <f>$Q$2457</f>
        <v>Roof</v>
      </c>
      <c r="AV2545">
        <f>$E$25</f>
        <v>33.171875</v>
      </c>
      <c r="AW2545" cm="1">
        <f t="array" ref="AW2545">IFERROR(IF(AV2545=0,0,(INDEX($C$33:$C$38,MATCH($AZ$2472,$B$33:$B$38,0),0)*(AV2545+$BA$2472)+$AY$2472*$C$31)*$AU$2472),0)</f>
        <v>0</v>
      </c>
      <c r="AX2545">
        <f>IF(AV2545=0,0,-$AY$2472*$C$31*$H$27*$AU$2472)</f>
        <v>0</v>
      </c>
      <c r="AY2545">
        <f>IF(AV2545=0,0,$AY$2472*$H$26*$AU$2472)</f>
        <v>0</v>
      </c>
      <c r="AZ2545">
        <f>(0.6*AW2545+0.7*AX2545)*$AU$2472/2</f>
        <v>0</v>
      </c>
      <c r="BA2545">
        <f>AW2545*$AU$2472/2</f>
        <v>0</v>
      </c>
      <c r="BC2545">
        <f>IF(AV2545=0,0,$BG$2472*$AP$2457)</f>
        <v>0</v>
      </c>
      <c r="BD2545">
        <f>IFERROR(BC2545/$AU$2472,0)</f>
        <v>0</v>
      </c>
      <c r="BE2545">
        <f>BC2545*($F$25+($C$16+$C$17+IF($C$13="single",1.5,3)+3)/12)</f>
        <v>0</v>
      </c>
      <c r="BF2545">
        <f>BE2545-AZ2545</f>
        <v>0</v>
      </c>
      <c r="BG2545" cm="1">
        <f t="array" ref="BG2545">IFERROR(IF(BF2545&lt;0,0,BF2545/($AU$2472-INDEX(hd_off,MATCH(BT2545,hd_mark,0),0)/12)),0)</f>
        <v>0</v>
      </c>
      <c r="BH2545">
        <f>IF(AV2545=0,0,$BG$2472*$AM$2457)</f>
        <v>0</v>
      </c>
      <c r="BI2545">
        <f>IFERROR(BH2545/$AU$2472,0)</f>
        <v>0</v>
      </c>
      <c r="BJ2545">
        <f>BH2545*($F$25+($C$16+$C$17+IF($C$13="single",1.5,3)+3)/12)</f>
        <v>0</v>
      </c>
      <c r="BK2545">
        <f>BJ2545-BA2545</f>
        <v>0</v>
      </c>
      <c r="BL2545" cm="1">
        <f t="array" ref="BL2545">IFERROR(IF(BK2545&lt;0,0,BK2545/($AU$2472-INDEX(hd_off,MATCH(BT2545,hd_mark,0),0)/12)),0)</f>
        <v>0</v>
      </c>
      <c r="BM2545">
        <f>MAX($F$25,$BF$2472)/$Q$2484</f>
        <v>0.29920977011494249</v>
      </c>
      <c r="BN2545">
        <f t="shared" si="1568"/>
        <v>1</v>
      </c>
      <c r="BO2545" cm="1">
        <f t="array" ref="BO2545">IFERROR(INDEX(sheath_ecap_asd,MATCH(BS2545,sheath_mark,0),0)*BN2545,0)</f>
        <v>0</v>
      </c>
      <c r="BP2545" cm="1">
        <f t="array" ref="BP2545">IFERROR(INDEX(sheath_wcap_asd,MATCH(BS2545,sheath_mark,0),0)*BN2545,0)</f>
        <v>0</v>
      </c>
      <c r="BQ2545" cm="1">
        <f t="array" ref="BQ2545">IFERROR(INDEX(hd_cap,MATCH(BT2545,hd_mark,0),0),0)</f>
        <v>0</v>
      </c>
      <c r="BS2545" s="19"/>
      <c r="BT2545" s="19"/>
      <c r="BU2545" s="100"/>
    </row>
    <row r="2546" x14ac:dyDescent="0.25">
      <c r="P2546" s="93"/>
      <c r="AR2546" s="100"/>
      <c r="AS2546" s="93"/>
      <c r="BU2546" s="100"/>
    </row>
    <row r="2547" x14ac:dyDescent="0.25">
      <c r="P2547" s="93"/>
      <c r="Q2547" s="110" t="str">
        <f>$Q$2473</f>
        <v>A.12</v>
      </c>
      <c r="R2547" t="str">
        <f>$Q$2453</f>
        <v>L2</v>
      </c>
      <c r="S2547">
        <f>$E$21</f>
        <v>10.6875</v>
      </c>
      <c r="T2547" cm="1">
        <f t="array" ref="T2547">IFERROR(IF(S2547=0,0,(INDEX($C$33:$C$38,MATCH($W$2473,$B$33:$B$38,0),0)*(S2551+$X$2473)+$T$2473*COUNTIF(S2547:S2550,"&gt;0")*$C$32+$V$2473*$C$31)*$R$2473),0)</f>
        <v>0</v>
      </c>
      <c r="U2547">
        <f>IF(S2547=0,0,-(COUNTIF(S2547:S2550,"&gt;0")*$T$2473*$C$32+$V$2473*$C$31)*$H$27*$R$2473)</f>
        <v>0</v>
      </c>
      <c r="V2547">
        <f>IF(S2547=0,0,$V$2473*$H$26*$R$2473)</f>
        <v>0</v>
      </c>
      <c r="W2547">
        <f>(0.6*T2547+0.7*U2547)*$R$2473/2</f>
        <v>0</v>
      </c>
      <c r="X2547">
        <f>(0.6*T2547+0.6*V2547)*$R$2473/2</f>
        <v>0</v>
      </c>
      <c r="Z2547">
        <f>IF(S2547=0,0,$AD$2473*$AP$2453)</f>
        <v>0</v>
      </c>
      <c r="AA2547">
        <f>IFERROR(Z2547/$R$2473,0)</f>
        <v>0</v>
      </c>
      <c r="AB2547">
        <f>Z2547*($F$21+IF($F$21=0,0,($C$14+$C$15+IF($C$13="single",1.5,3)+3)/12))</f>
        <v>0</v>
      </c>
      <c r="AC2547">
        <f>AB2547-W2547</f>
        <v>0</v>
      </c>
      <c r="AD2547" cm="1">
        <f t="array" ref="AD2547">IFERROR(IF(AC2547&lt;0,0,AC2547/($R$2473-INDEX(hd_off,MATCH(AQ2547,hd_mark,0),0)/12)),0)</f>
        <v>0</v>
      </c>
      <c r="AE2547">
        <f>IF(S2547=0,0,$AD$2473*$AM$2453)</f>
        <v>0</v>
      </c>
      <c r="AF2547">
        <f>IFERROR(AE2547/$R$2473,0)</f>
        <v>0</v>
      </c>
      <c r="AG2547">
        <f>AE2547*($F$21+IF($F$21=0,0,($C$14+$C$15+IF($C$13="single",1.5,3)+3)/12))</f>
        <v>0</v>
      </c>
      <c r="AH2547">
        <f>AG2547-X2547</f>
        <v>0</v>
      </c>
      <c r="AI2547" cm="1">
        <f t="array" ref="AI2547">IFERROR(IF(AH2547&lt;0,0,AH2547/($R$2473-INDEX(hd_off,MATCH(AQ2547,hd_mark,0),0)/12)),0)</f>
        <v>0</v>
      </c>
      <c r="AJ2547">
        <f>MAX($F$21,$Y$2473)/$Q$2484</f>
        <v>0.30172413793103448</v>
      </c>
      <c r="AK2547">
        <f>IF(AJ2547=0,0,IF(AJ2547&gt;2,1.25-0.125*AJ2547,1))</f>
        <v>1</v>
      </c>
      <c r="AL2547" cm="1">
        <f t="array" ref="AL2547">IFERROR(INDEX(sheath_ecap_asd,MATCH(AP2547,sheath_mark,0),0)*AK2547,0)</f>
        <v>0</v>
      </c>
      <c r="AM2547" cm="1">
        <f t="array" ref="AM2547">IFERROR(INDEX(sheath_wcap_asd,MATCH(AP2547,sheath_mark,0),0)*AK2547,0)</f>
        <v>0</v>
      </c>
      <c r="AN2547" cm="1">
        <f t="array" ref="AN2547">IFERROR(INDEX(hd_cap,MATCH(AQ2547,hd_mark,0),0),0)</f>
        <v>0</v>
      </c>
      <c r="AP2547" s="19"/>
      <c r="AQ2547" s="19"/>
      <c r="AR2547" s="100"/>
      <c r="AS2547" s="93"/>
      <c r="AT2547" s="110" t="str">
        <f>$AT$2473</f>
        <v>1.12</v>
      </c>
      <c r="AU2547" t="str">
        <f>$Q$2453</f>
        <v>L2</v>
      </c>
      <c r="AV2547">
        <f>$E$21</f>
        <v>10.6875</v>
      </c>
      <c r="AW2547" cm="1">
        <f t="array" ref="AW2547">IFERROR(IF(AV2547=0,0,(INDEX($C$33:$C$38,MATCH($AZ$2473,$B$33:$B$38,0),0)*(AV2551+$BA$2473)+$AW$2473*COUNTIF(AV2547:AV2550,"&gt;0")*$C$32+$AY$2473*$C$31)*$AU$2473),0)</f>
        <v>0</v>
      </c>
      <c r="AX2547">
        <f>IF(AV2547=0,0,-(COUNTIF(AV2547:AV2550,"&gt;0")*$AW$2473*$C$32+$AY$2473*$C$31)*$H$27*$AU$2473)</f>
        <v>0</v>
      </c>
      <c r="AY2547">
        <f>IF(AV2547=0,0,$AY$2473*$H$26*$AU$2473)</f>
        <v>0</v>
      </c>
      <c r="AZ2547">
        <f>(0.6*AW2547+0.7*AX2547)*$AU$2473/2</f>
        <v>0</v>
      </c>
      <c r="BA2547">
        <f>(0.6*AW2547+0.6*AY2547)*$AU$2473/2</f>
        <v>0</v>
      </c>
      <c r="BC2547">
        <f>IF(AV2547=0,0,$BG$2473*$AP$2453)</f>
        <v>0</v>
      </c>
      <c r="BD2547">
        <f>IFERROR(BC2547/$AU$2473,0)</f>
        <v>0</v>
      </c>
      <c r="BE2547">
        <f>BC2547*($F$21+IF($F$21=0,0,($C$14+$C$15+IF($C$13="single",1.5,3)+3)/12))</f>
        <v>0</v>
      </c>
      <c r="BF2547">
        <f>BE2547-AZ2547</f>
        <v>0</v>
      </c>
      <c r="BG2547" cm="1">
        <f t="array" ref="BG2547">IFERROR(IF(BF2547&lt;0,0,BF2547/($AU$2473-INDEX(hd_off,MATCH(BT2547,hd_mark,0),0)/12)),0)</f>
        <v>0</v>
      </c>
      <c r="BH2547">
        <f>IF(AV2547=0,0,$BG$2473*$AM$2453)</f>
        <v>0</v>
      </c>
      <c r="BI2547">
        <f>IFERROR(BH2547/$AU$2473,0)</f>
        <v>0</v>
      </c>
      <c r="BJ2547">
        <f>BH2547*($F$21+IF($F$21=0,0,($C$14+$C$15+IF($C$13="single",1.5,3)+3)/12))</f>
        <v>0</v>
      </c>
      <c r="BK2547">
        <f>BJ2547-BA2547</f>
        <v>0</v>
      </c>
      <c r="BL2547" cm="1">
        <f t="array" ref="BL2547">IFERROR(IF(BK2547&lt;0,0,BK2547/($AU$2473-INDEX(hd_off,MATCH(BT2547,hd_mark,0),0)/12)),0)</f>
        <v>0</v>
      </c>
      <c r="BM2547">
        <f>MAX($F$21,$BB$2473)/$Q$2484</f>
        <v>0.30172413793103448</v>
      </c>
      <c r="BN2547">
        <f>IF(BM2547=0,0,IF(BM2547&gt;2,1.25-0.125*BM2547,1))</f>
        <v>1</v>
      </c>
      <c r="BO2547" cm="1">
        <f t="array" ref="BO2547">IFERROR(INDEX(sheath_ecap_asd,MATCH(BS2547,sheath_mark,0),0)*BN2547,0)</f>
        <v>0</v>
      </c>
      <c r="BP2547" cm="1">
        <f t="array" ref="BP2547">IFERROR(INDEX(sheath_wcap_asd,MATCH(BS2547,sheath_mark,0),0)*BN2547,0)</f>
        <v>0</v>
      </c>
      <c r="BQ2547" cm="1">
        <f t="array" ref="BQ2547">IFERROR(INDEX(hd_cap,MATCH(BT2547,hd_mark,0),0),0)</f>
        <v>0</v>
      </c>
      <c r="BS2547" s="19"/>
      <c r="BT2547" s="19"/>
      <c r="BU2547" s="100"/>
    </row>
    <row r="2548" x14ac:dyDescent="0.25">
      <c r="P2548" s="93"/>
      <c r="Q2548" s="109"/>
      <c r="R2548" t="str">
        <f>$Q$2454</f>
        <v>L3</v>
      </c>
      <c r="S2548">
        <f>$E$22</f>
        <v>21.375</v>
      </c>
      <c r="T2548" cm="1">
        <f t="array" ref="T2548">IFERROR(IF(S2548=0,0,(INDEX($C$33:$C$38,MATCH($W$2473,$B$33:$B$38,0),0)*(S2551+$X$2473)+$T$2473*COUNTIF(S2548:S2550,"&gt;0")*$C$32+$V$2473*$C$31)*$R$2473),0)</f>
        <v>0</v>
      </c>
      <c r="U2548">
        <f>IF(S2548=0,0,-(COUNTIF(S2548:S2550,"&gt;0")*$T$2473*$C$32+$V$2473*$C$31)*$H$27*$R$2473)</f>
        <v>0</v>
      </c>
      <c r="V2548">
        <f>IF(S2548=0,0,$V$2473*$H$26*$R$2473)</f>
        <v>0</v>
      </c>
      <c r="W2548">
        <f>(0.6*T2548+0.7*U2548)*$R$2473/2</f>
        <v>0</v>
      </c>
      <c r="X2548">
        <f>T2548*$R$2473/2</f>
        <v>0</v>
      </c>
      <c r="Z2548">
        <f>IF(S2548=0,0,$AD$2473*$AP$2454)</f>
        <v>0</v>
      </c>
      <c r="AA2548">
        <f>IFERROR(Z2548/$R$2473,0)</f>
        <v>0</v>
      </c>
      <c r="AB2548">
        <f>Z2548*($F$22+IF($F$22=0,0,($C$14+$C$15+IF($C$13="single",1.5,3)+3)/12))</f>
        <v>0</v>
      </c>
      <c r="AC2548">
        <f>AB2548-W2548</f>
        <v>0</v>
      </c>
      <c r="AD2548" cm="1">
        <f t="array" ref="AD2548">IFERROR(IF(AC2548&lt;0,0,AC2548/($R$2473-INDEX(hd_off,MATCH(AQ2548,hd_mark,0),0)/12)),0)</f>
        <v>0</v>
      </c>
      <c r="AE2548">
        <f>IF(S2548=0,0,$AD$2473*$AM$2454)</f>
        <v>0</v>
      </c>
      <c r="AF2548">
        <f>IFERROR(AE2548/$R$2473,0)</f>
        <v>0</v>
      </c>
      <c r="AG2548">
        <f>AE2548*($F$22+IF($F$22=0,0,($C$14+$C$15+IF($C$13="single",1.5,3)+3)/12))</f>
        <v>0</v>
      </c>
      <c r="AH2548">
        <f>AG2548-X2548</f>
        <v>0</v>
      </c>
      <c r="AI2548" cm="1">
        <f t="array" ref="AI2548">IFERROR(IF(AH2548&lt;0,0,AH2548/($R$2473-INDEX(hd_off,MATCH(AQ2548,hd_mark,0),0)/12)),0)</f>
        <v>0</v>
      </c>
      <c r="AJ2548">
        <f>MAX($F$22,$Z$2473)/$Q$2484</f>
        <v>0.30172413793103448</v>
      </c>
      <c r="AK2548">
        <f t="shared" ref="AK2548:AK2551" si="1569">IF(AJ2548=0,0,IF(AJ2548&gt;2,1.25-0.125*AJ2548,1))</f>
        <v>1</v>
      </c>
      <c r="AL2548" cm="1">
        <f t="array" ref="AL2548">IFERROR(INDEX(sheath_ecap_asd,MATCH(AP2548,sheath_mark,0),0)*AK2548,0)</f>
        <v>0</v>
      </c>
      <c r="AM2548" cm="1">
        <f t="array" ref="AM2548">IFERROR(INDEX(sheath_wcap_asd,MATCH(AP2548,sheath_mark,0),0)*AK2548,0)</f>
        <v>0</v>
      </c>
      <c r="AN2548" cm="1">
        <f t="array" ref="AN2548">IFERROR(INDEX(hd_cap,MATCH(AQ2548,hd_mark,0),0),0)</f>
        <v>0</v>
      </c>
      <c r="AP2548" s="19"/>
      <c r="AQ2548" s="19"/>
      <c r="AR2548" s="100"/>
      <c r="AS2548" s="93"/>
      <c r="AT2548" s="109"/>
      <c r="AU2548" t="str">
        <f>$Q$2454</f>
        <v>L3</v>
      </c>
      <c r="AV2548">
        <f>$E$22</f>
        <v>21.375</v>
      </c>
      <c r="AW2548" cm="1">
        <f t="array" ref="AW2548">IFERROR(IF(AV2548=0,0,(INDEX($C$33:$C$38,MATCH($AZ$2473,$B$33:$B$38,0),0)*(AV2551+$BA$2473)+$AW$2473*COUNTIF(AV2548:AV2550,"&gt;0")*$C$32+$AY$2473*$C$31)*$AU$2473),0)</f>
        <v>0</v>
      </c>
      <c r="AX2548">
        <f>IF(AV2548=0,0,-(COUNTIF(AV2548:AV2550,"&gt;0")*$AW$2473*$C$32+$AY$2473*$C$31)*$H$27*$AU$2473)</f>
        <v>0</v>
      </c>
      <c r="AY2548">
        <f>IF(AV2548=0,0,$AY$2473*$H$26*$AU$2473)</f>
        <v>0</v>
      </c>
      <c r="AZ2548">
        <f>(0.6*AW2548+0.7*AX2548)*$AU$2473/2</f>
        <v>0</v>
      </c>
      <c r="BA2548">
        <f>AW2548*$AU$2473/2</f>
        <v>0</v>
      </c>
      <c r="BC2548">
        <f>IF(AV2548=0,0,$BG$2473*$AP$2454)</f>
        <v>0</v>
      </c>
      <c r="BD2548">
        <f>IFERROR(BC2548/$AU$2473,0)</f>
        <v>0</v>
      </c>
      <c r="BE2548">
        <f>BC2548*($F$22+IF($F$22=0,0,($C$14+$C$15+IF($C$13="single",1.5,3)+3)/12))</f>
        <v>0</v>
      </c>
      <c r="BF2548">
        <f>BE2548-AZ2548</f>
        <v>0</v>
      </c>
      <c r="BG2548" cm="1">
        <f t="array" ref="BG2548">IFERROR(IF(BF2548&lt;0,0,BF2548/($AU$2473-INDEX(hd_off,MATCH(BT2548,hd_mark,0),0)/12)),0)</f>
        <v>0</v>
      </c>
      <c r="BH2548">
        <f>IF(AV2548=0,0,$BG$2473*$AM$2454)</f>
        <v>0</v>
      </c>
      <c r="BI2548">
        <f>IFERROR(BH2548/$AU$2473,0)</f>
        <v>0</v>
      </c>
      <c r="BJ2548">
        <f>BH2548*($F$22+IF($F$22=0,0,($C$14+$C$15+IF($C$13="single",1.5,3)+3)/12))</f>
        <v>0</v>
      </c>
      <c r="BK2548">
        <f>BJ2548-BA2548</f>
        <v>0</v>
      </c>
      <c r="BL2548" cm="1">
        <f t="array" ref="BL2548">IFERROR(IF(BK2548&lt;0,0,BK2548/($AU$2473-INDEX(hd_off,MATCH(BT2548,hd_mark,0),0)/12)),0)</f>
        <v>0</v>
      </c>
      <c r="BM2548">
        <f>MAX($F$22,$BC$2473)/$Q$2484</f>
        <v>0.30172413793103448</v>
      </c>
      <c r="BN2548">
        <f t="shared" ref="BN2548:BN2551" si="1570">IF(BM2548=0,0,IF(BM2548&gt;2,1.25-0.125*BM2548,1))</f>
        <v>1</v>
      </c>
      <c r="BO2548" cm="1">
        <f t="array" ref="BO2548">IFERROR(INDEX(sheath_ecap_asd,MATCH(BS2548,sheath_mark,0),0)*BN2548,0)</f>
        <v>0</v>
      </c>
      <c r="BP2548" cm="1">
        <f t="array" ref="BP2548">IFERROR(INDEX(sheath_wcap_asd,MATCH(BS2548,sheath_mark,0),0)*BN2548,0)</f>
        <v>0</v>
      </c>
      <c r="BQ2548" cm="1">
        <f t="array" ref="BQ2548">IFERROR(INDEX(hd_cap,MATCH(BT2548,hd_mark,0),0),0)</f>
        <v>0</v>
      </c>
      <c r="BS2548" s="19"/>
      <c r="BT2548" s="19"/>
      <c r="BU2548" s="100"/>
    </row>
    <row r="2549" x14ac:dyDescent="0.25">
      <c r="P2549" s="93"/>
      <c r="Q2549" s="109" t="s">
        <v>491</v>
      </c>
      <c r="R2549" t="str">
        <f>$Q$2455</f>
        <v>L4</v>
      </c>
      <c r="S2549">
        <f>$E$23</f>
        <v>0</v>
      </c>
      <c r="T2549" cm="1">
        <f t="array" ref="T2549">IFERROR(IF(S2549=0,0,(INDEX($C$33:$C$38,MATCH($W$2473,$B$33:$B$38,0),0)*(S2551+$X$2473)+$T$2473*COUNTIF(S2549:S2550,"&gt;0")*$C$32+$V$2473*$C$31)*$R$2473),0)</f>
        <v>0</v>
      </c>
      <c r="U2549">
        <f>IF(S2549=0,0,-(COUNTIF(S2549:S2550,"&gt;0")*$T$2473*$C$32+$V$2473*$C$31)*$H$27*$R$2473)</f>
        <v>0</v>
      </c>
      <c r="V2549">
        <f>IF(S2549=0,0,$V$2473*$H$26*$R$2473)</f>
        <v>0</v>
      </c>
      <c r="W2549">
        <f>(0.6*T2549+0.7*U2549)*$R$2473/2</f>
        <v>0</v>
      </c>
      <c r="X2549">
        <f>T2549*$R$2473/2</f>
        <v>0</v>
      </c>
      <c r="Z2549">
        <f>IF(S2549=0,0,$AD$2473*$AP$2455)</f>
        <v>0</v>
      </c>
      <c r="AA2549">
        <f>IFERROR(Z2549/$R$2473,0)</f>
        <v>0</v>
      </c>
      <c r="AB2549">
        <f>Z2549*($F$23+IF($F$23=0,0,($C$14+$C$15+IF($C$13="single",1.5,3)+3)/12))</f>
        <v>0</v>
      </c>
      <c r="AC2549">
        <f>AB2549-W2549</f>
        <v>0</v>
      </c>
      <c r="AD2549" cm="1">
        <f t="array" ref="AD2549">IFERROR(IF(AC2549&lt;0,0,AC2549/($R$2473-INDEX(hd_off,MATCH(AQ2549,hd_mark,0),0)/12)),0)</f>
        <v>0</v>
      </c>
      <c r="AE2549">
        <f>IF(S2549=0,0,$AD$2473*$AM$2455)</f>
        <v>0</v>
      </c>
      <c r="AF2549">
        <f>IFERROR(AE2549/$R$2473,0)</f>
        <v>0</v>
      </c>
      <c r="AG2549">
        <f>AE2549*($F$23+IF($F$23=0,0,($C$14+$C$15+IF($C$13="single",1.5,3)+3)/12))</f>
        <v>0</v>
      </c>
      <c r="AH2549">
        <f>AG2549-X2549</f>
        <v>0</v>
      </c>
      <c r="AI2549" cm="1">
        <f t="array" ref="AI2549">IFERROR(IF(AH2549&lt;0,0,AH2549/($R$2473-INDEX(hd_off,MATCH(AQ2549,hd_mark,0),0)/12)),0)</f>
        <v>0</v>
      </c>
      <c r="AJ2549">
        <f>MAX($F$23,$AA$2473)/$Q$2484</f>
        <v>0</v>
      </c>
      <c r="AK2549">
        <f t="shared" si="1569"/>
        <v>0</v>
      </c>
      <c r="AL2549" cm="1">
        <f t="array" ref="AL2549">IFERROR(INDEX(sheath_ecap_asd,MATCH(AP2549,sheath_mark,0),0)*AK2549,0)</f>
        <v>0</v>
      </c>
      <c r="AM2549" cm="1">
        <f t="array" ref="AM2549">IFERROR(INDEX(sheath_wcap_asd,MATCH(AP2549,sheath_mark,0),0)*AK2549,0)</f>
        <v>0</v>
      </c>
      <c r="AN2549" cm="1">
        <f t="array" ref="AN2549">IFERROR(INDEX(hd_cap,MATCH(AQ2549,hd_mark,0),0),0)</f>
        <v>0</v>
      </c>
      <c r="AP2549" s="19"/>
      <c r="AQ2549" s="19"/>
      <c r="AR2549" s="100"/>
      <c r="AS2549" s="93"/>
      <c r="AT2549" s="109" t="s">
        <v>491</v>
      </c>
      <c r="AU2549" t="str">
        <f>$Q$2455</f>
        <v>L4</v>
      </c>
      <c r="AV2549">
        <f>$E$23</f>
        <v>0</v>
      </c>
      <c r="AW2549" cm="1">
        <f t="array" ref="AW2549">IFERROR(IF(AV2549=0,0,(INDEX($C$33:$C$38,MATCH($AZ$2473,$B$33:$B$38,0),0)*(AV2551+$BA$2473)+$AW$2473*COUNTIF(AV2549:AV2550,"&gt;0")*$C$32+$AY$2473*$C$31)*$AU$2473),0)</f>
        <v>0</v>
      </c>
      <c r="AX2549">
        <f>IF(AV2549=0,0,-(COUNTIF(AV2549:AV2550,"&gt;0")*$AW$2473*$C$32+$AY$2473*$C$31)*$H$27*$AU$2473)</f>
        <v>0</v>
      </c>
      <c r="AY2549">
        <f>IF(AV2549=0,0,$AY$2473*$H$26*$AU$2473)</f>
        <v>0</v>
      </c>
      <c r="AZ2549">
        <f>(0.6*AW2549+0.7*AX2549)*$AU$2473/2</f>
        <v>0</v>
      </c>
      <c r="BA2549">
        <f>AW2549*$AU$2473/2</f>
        <v>0</v>
      </c>
      <c r="BC2549">
        <f>IF(AV2549=0,0,$BG$2473*$AP$2455)</f>
        <v>0</v>
      </c>
      <c r="BD2549">
        <f>IFERROR(BC2549/$AU$2473,0)</f>
        <v>0</v>
      </c>
      <c r="BE2549">
        <f>BC2549*($F$23+IF($F$23=0,0,($C$14+$C$15+IF($C$13="single",1.5,3)+3)/12))</f>
        <v>0</v>
      </c>
      <c r="BF2549">
        <f>BE2549-AZ2549</f>
        <v>0</v>
      </c>
      <c r="BG2549" cm="1">
        <f t="array" ref="BG2549">IFERROR(IF(BF2549&lt;0,0,BF2549/($AU$2473-INDEX(hd_off,MATCH(BT2549,hd_mark,0),0)/12)),0)</f>
        <v>0</v>
      </c>
      <c r="BH2549">
        <f>IF(AV2549=0,0,$BG$2473*$AM$2455)</f>
        <v>0</v>
      </c>
      <c r="BI2549">
        <f>IFERROR(BH2549/$AU$2473,0)</f>
        <v>0</v>
      </c>
      <c r="BJ2549">
        <f>BH2549*($F$23+IF($F$23=0,0,($C$14+$C$15+IF($C$13="single",1.5,3)+3)/12))</f>
        <v>0</v>
      </c>
      <c r="BK2549">
        <f>BJ2549-BA2549</f>
        <v>0</v>
      </c>
      <c r="BL2549" cm="1">
        <f t="array" ref="BL2549">IFERROR(IF(BK2549&lt;0,0,BK2549/($AU$2473-INDEX(hd_off,MATCH(BT2549,hd_mark,0),0)/12)),0)</f>
        <v>0</v>
      </c>
      <c r="BM2549">
        <f>MAX($F$23,$BD$2473)/$Q$2484</f>
        <v>0</v>
      </c>
      <c r="BN2549">
        <f t="shared" si="1570"/>
        <v>0</v>
      </c>
      <c r="BO2549" cm="1">
        <f t="array" ref="BO2549">IFERROR(INDEX(sheath_ecap_asd,MATCH(BS2549,sheath_mark,0),0)*BN2549,0)</f>
        <v>0</v>
      </c>
      <c r="BP2549" cm="1">
        <f t="array" ref="BP2549">IFERROR(INDEX(sheath_wcap_asd,MATCH(BS2549,sheath_mark,0),0)*BN2549,0)</f>
        <v>0</v>
      </c>
      <c r="BQ2549" cm="1">
        <f t="array" ref="BQ2549">IFERROR(INDEX(hd_cap,MATCH(BT2549,hd_mark,0),0),0)</f>
        <v>0</v>
      </c>
      <c r="BS2549" s="19"/>
      <c r="BT2549" s="19"/>
      <c r="BU2549" s="100"/>
    </row>
    <row r="2550" x14ac:dyDescent="0.25">
      <c r="P2550" s="93"/>
      <c r="Q2550" s="111">
        <f>$R$2473</f>
        <v>0</v>
      </c>
      <c r="R2550" t="str">
        <f>$Q$2456</f>
        <v>L5</v>
      </c>
      <c r="S2550">
        <f>$E$24</f>
        <v>0</v>
      </c>
      <c r="T2550" cm="1">
        <f t="array" ref="T2550">IFERROR(IF(S2550=0,0,(INDEX($C$33:$C$38,MATCH($W$2473,$B$33:$B$38,0),0)*(S2551+$X$2473)+$T$2473*COUNTIF(S2550:S2550,"&gt;0")*$C$32+$V$2473*$C$31)*$R$2473),0)</f>
        <v>0</v>
      </c>
      <c r="U2550">
        <f>IF(S2550=0,0,-(COUNTIF(S2550:S2550,"&gt;0")*$T$2473*$C$32+$V$2473*$C$31)*$H$27*$R$2473)</f>
        <v>0</v>
      </c>
      <c r="V2550">
        <f>IF(S2550=0,0,$V$2473*$H$26*$R$2473)</f>
        <v>0</v>
      </c>
      <c r="W2550">
        <f>(0.6*T2550+0.7*U2550)*$R$2473/2</f>
        <v>0</v>
      </c>
      <c r="X2550">
        <f>T2550*$R$2473/2</f>
        <v>0</v>
      </c>
      <c r="Z2550">
        <f>IF(S2550=0,0,$AD$2473*$AP$2456)</f>
        <v>0</v>
      </c>
      <c r="AA2550">
        <f>IFERROR(Z2550/$R$2473,0)</f>
        <v>0</v>
      </c>
      <c r="AB2550">
        <f>Z2550*($F$24+IF($F$24=0,0,($C$14+$C$15+IF($C$13="single",1.5,3)+3)/12))</f>
        <v>0</v>
      </c>
      <c r="AC2550">
        <f>AB2550-W2550</f>
        <v>0</v>
      </c>
      <c r="AD2550" cm="1">
        <f t="array" ref="AD2550">IFERROR(IF(AC2550&lt;0,0,AC2550/($R$2473-INDEX(hd_off,MATCH(AQ2550,hd_mark,0),0)/12)),0)</f>
        <v>0</v>
      </c>
      <c r="AE2550">
        <f>IF(S2550=0,0,$AD$2473*$AM$2456)</f>
        <v>0</v>
      </c>
      <c r="AF2550">
        <f>IFERROR(AE2550/$R$2473,0)</f>
        <v>0</v>
      </c>
      <c r="AG2550">
        <f>AE2550*($F$24+IF($F$24=0,0,($C$14+$C$15+IF($C$13="single",1.5,3)+3)/12))</f>
        <v>0</v>
      </c>
      <c r="AH2550">
        <f>AG2550-X2550</f>
        <v>0</v>
      </c>
      <c r="AI2550" cm="1">
        <f t="array" ref="AI2550">IFERROR(IF(AH2550&lt;0,0,AH2550/($R$2473-INDEX(hd_off,MATCH(AQ2550,hd_mark,0),0)/12)),0)</f>
        <v>0</v>
      </c>
      <c r="AJ2550">
        <f>MAX($F$24,$AB$2473)/$Q$2484</f>
        <v>0</v>
      </c>
      <c r="AK2550">
        <f t="shared" si="1569"/>
        <v>0</v>
      </c>
      <c r="AL2550" cm="1">
        <f t="array" ref="AL2550">IFERROR(INDEX(sheath_ecap_asd,MATCH(AP2550,sheath_mark,0),0)*AK2550,0)</f>
        <v>0</v>
      </c>
      <c r="AM2550" cm="1">
        <f t="array" ref="AM2550">IFERROR(INDEX(sheath_wcap_asd,MATCH(AP2550,sheath_mark,0),0)*AK2550,0)</f>
        <v>0</v>
      </c>
      <c r="AN2550" cm="1">
        <f t="array" ref="AN2550">IFERROR(INDEX(hd_cap,MATCH(AQ2550,hd_mark,0),0),0)</f>
        <v>0</v>
      </c>
      <c r="AP2550" s="19"/>
      <c r="AQ2550" s="19"/>
      <c r="AR2550" s="100"/>
      <c r="AS2550" s="93"/>
      <c r="AT2550" s="111">
        <f>$R$2473</f>
        <v>0</v>
      </c>
      <c r="AU2550" t="str">
        <f>$Q$2456</f>
        <v>L5</v>
      </c>
      <c r="AV2550">
        <f>$E$24</f>
        <v>0</v>
      </c>
      <c r="AW2550" cm="1">
        <f t="array" ref="AW2550">IFERROR(IF(AV2550=0,0,(INDEX($C$33:$C$38,MATCH($AZ$2473,$B$33:$B$38,0),0)*(AV2551+$BA$2473)+$AW$2473*COUNTIF(AV2550:AV2550,"&gt;0")*$C$32+$AY$2473*$C$31)*$AU$2473),0)</f>
        <v>0</v>
      </c>
      <c r="AX2550">
        <f>IF(AV2550=0,0,-(COUNTIF(AV2550:AV2550,"&gt;0")*$AW$2473*$C$32+$AY$2473*$C$31)*$H$27*$AU$2473)</f>
        <v>0</v>
      </c>
      <c r="AY2550">
        <f>IF(AV2550=0,0,$AY$2473*$H$26*$AU$2473)</f>
        <v>0</v>
      </c>
      <c r="AZ2550">
        <f>(0.6*AW2550+0.7*AX2550)*$AU$2473/2</f>
        <v>0</v>
      </c>
      <c r="BA2550">
        <f>AW2550*$AU$2473/2</f>
        <v>0</v>
      </c>
      <c r="BC2550">
        <f>IF(AV2550=0,0,$BG$2473*$AP$2456)</f>
        <v>0</v>
      </c>
      <c r="BD2550">
        <f>IFERROR(BC2550/$AU$2473,0)</f>
        <v>0</v>
      </c>
      <c r="BE2550">
        <f>BC2550*($F$24+IF($F$24=0,0,($C$14+$C$15+IF($C$13="single",1.5,3)+3)/12))</f>
        <v>0</v>
      </c>
      <c r="BF2550">
        <f>BE2550-AZ2550</f>
        <v>0</v>
      </c>
      <c r="BG2550" cm="1">
        <f t="array" ref="BG2550">IFERROR(IF(BF2550&lt;0,0,BF2550/($AU$2473-INDEX(hd_off,MATCH(BT2550,hd_mark,0),0)/12)),0)</f>
        <v>0</v>
      </c>
      <c r="BH2550">
        <f>IF(AV2550=0,0,$BG$2473*$AM$2456)</f>
        <v>0</v>
      </c>
      <c r="BI2550">
        <f>IFERROR(BH2550/$AU$2473,0)</f>
        <v>0</v>
      </c>
      <c r="BJ2550">
        <f>BH2550*($F$24+IF($F$24=0,0,($C$14+$C$15+IF($C$13="single",1.5,3)+3)/12))</f>
        <v>0</v>
      </c>
      <c r="BK2550">
        <f>BJ2550-BA2550</f>
        <v>0</v>
      </c>
      <c r="BL2550" cm="1">
        <f t="array" ref="BL2550">IFERROR(IF(BK2550&lt;0,0,BK2550/($AU$2473-INDEX(hd_off,MATCH(BT2550,hd_mark,0),0)/12)),0)</f>
        <v>0</v>
      </c>
      <c r="BM2550">
        <f>MAX($F$24,$BE$2473)/$Q$2484</f>
        <v>0</v>
      </c>
      <c r="BN2550">
        <f t="shared" si="1570"/>
        <v>0</v>
      </c>
      <c r="BO2550" cm="1">
        <f t="array" ref="BO2550">IFERROR(INDEX(sheath_ecap_asd,MATCH(BS2550,sheath_mark,0),0)*BN2550,0)</f>
        <v>0</v>
      </c>
      <c r="BP2550" cm="1">
        <f t="array" ref="BP2550">IFERROR(INDEX(sheath_wcap_asd,MATCH(BS2550,sheath_mark,0),0)*BN2550,0)</f>
        <v>0</v>
      </c>
      <c r="BQ2550" cm="1">
        <f t="array" ref="BQ2550">IFERROR(INDEX(hd_cap,MATCH(BT2550,hd_mark,0),0),0)</f>
        <v>0</v>
      </c>
      <c r="BS2550" s="19"/>
      <c r="BT2550" s="19"/>
      <c r="BU2550" s="100"/>
    </row>
    <row r="2551" x14ac:dyDescent="0.25">
      <c r="P2551" s="93"/>
      <c r="Q2551" s="109"/>
      <c r="R2551" t="str">
        <f>$Q$2457</f>
        <v>Roof</v>
      </c>
      <c r="S2551">
        <f>$E$25</f>
        <v>33.171875</v>
      </c>
      <c r="T2551" cm="1">
        <f t="array" ref="T2551">IFERROR(IF(S2551=0,0,(INDEX($C$33:$C$38,MATCH($W$2473,$B$33:$B$38,0),0)*(S2551+$X$2473)+$V$2473*$C$31)*$R$2473),0)</f>
        <v>0</v>
      </c>
      <c r="U2551">
        <f>IF(S2551=0,0,-$V$2473*$C$31*$H$27*$R$2473)</f>
        <v>0</v>
      </c>
      <c r="V2551">
        <f>IF(S2551=0,0,$V$2473*$H$26*$R$2473)</f>
        <v>0</v>
      </c>
      <c r="W2551">
        <f>(0.6*T2551+0.7*U2551)*$R$2473/2</f>
        <v>0</v>
      </c>
      <c r="X2551">
        <f>T2551*$R$2473/2</f>
        <v>0</v>
      </c>
      <c r="Z2551">
        <f>IF(S2551=0,0,$AD$2473*$AP$2457)</f>
        <v>0</v>
      </c>
      <c r="AA2551">
        <f>IFERROR(Z2551/$R$2473,0)</f>
        <v>0</v>
      </c>
      <c r="AB2551">
        <f>Z2551*($F$25+($C$16+$C$17+IF($C$13="single",1.5,3)+3)/12)</f>
        <v>0</v>
      </c>
      <c r="AC2551">
        <f>AB2551-W2551</f>
        <v>0</v>
      </c>
      <c r="AD2551" cm="1">
        <f t="array" ref="AD2551">IFERROR(IF(AC2551&lt;0,0,AC2551/($R$2473-INDEX(hd_off,MATCH(AQ2551,hd_mark,0),0)/12)),0)</f>
        <v>0</v>
      </c>
      <c r="AE2551">
        <f>IF(S2551=0,0,$AD$2473*$AM$2457)</f>
        <v>0</v>
      </c>
      <c r="AF2551">
        <f>IFERROR(AE2551/$R$2473,0)</f>
        <v>0</v>
      </c>
      <c r="AG2551">
        <f>AE2551*($F$25+($C$16+$C$17+IF($C$13="single",1.5,3)+3)/12)</f>
        <v>0</v>
      </c>
      <c r="AH2551">
        <f>AG2551-X2551</f>
        <v>0</v>
      </c>
      <c r="AI2551" cm="1">
        <f t="array" ref="AI2551">IFERROR(IF(AH2551&lt;0,0,AH2551/($R$2473-INDEX(hd_off,MATCH(AQ2551,hd_mark,0),0)/12)),0)</f>
        <v>0</v>
      </c>
      <c r="AJ2551">
        <f>MAX($F$25,$AC$2473)/$Q$2484</f>
        <v>0.29920977011494249</v>
      </c>
      <c r="AK2551">
        <f t="shared" si="1569"/>
        <v>1</v>
      </c>
      <c r="AL2551" cm="1">
        <f t="array" ref="AL2551">IFERROR(INDEX(sheath_ecap_asd,MATCH(AP2551,sheath_mark,0),0)*AK2551,0)</f>
        <v>0</v>
      </c>
      <c r="AM2551" cm="1">
        <f t="array" ref="AM2551">IFERROR(INDEX(sheath_wcap_asd,MATCH(AP2551,sheath_mark,0),0)*AK2551,0)</f>
        <v>0</v>
      </c>
      <c r="AN2551" cm="1">
        <f t="array" ref="AN2551">IFERROR(INDEX(hd_cap,MATCH(AQ2551,hd_mark,0),0),0)</f>
        <v>0</v>
      </c>
      <c r="AP2551" s="19"/>
      <c r="AQ2551" s="19"/>
      <c r="AR2551" s="100"/>
      <c r="AS2551" s="93"/>
      <c r="AT2551" s="109"/>
      <c r="AU2551" t="str">
        <f>$Q$2457</f>
        <v>Roof</v>
      </c>
      <c r="AV2551">
        <f>$E$25</f>
        <v>33.171875</v>
      </c>
      <c r="AW2551" cm="1">
        <f t="array" ref="AW2551">IFERROR(IF(AV2551=0,0,(INDEX($C$33:$C$38,MATCH($AZ$2473,$B$33:$B$38,0),0)*(AV2551+$BA$2473)+$AY$2473*$C$31)*$AU$2473),0)</f>
        <v>0</v>
      </c>
      <c r="AX2551">
        <f>IF(AV2551=0,0,-$AY$2473*$C$31*$H$27*$AU$2473)</f>
        <v>0</v>
      </c>
      <c r="AY2551">
        <f>IF(AV2551=0,0,$AY$2473*$H$26*$AU$2473)</f>
        <v>0</v>
      </c>
      <c r="AZ2551">
        <f>(0.6*AW2551+0.7*AX2551)*$AU$2473/2</f>
        <v>0</v>
      </c>
      <c r="BA2551">
        <f>AW2551*$AU$2473/2</f>
        <v>0</v>
      </c>
      <c r="BC2551">
        <f>IF(AV2551=0,0,$BG$2473*$AP$2457)</f>
        <v>0</v>
      </c>
      <c r="BD2551">
        <f>IFERROR(BC2551/$AU$2473,0)</f>
        <v>0</v>
      </c>
      <c r="BE2551">
        <f>BC2551*($F$25+($C$16+$C$17+IF($C$13="single",1.5,3)+3)/12)</f>
        <v>0</v>
      </c>
      <c r="BF2551">
        <f>BE2551-AZ2551</f>
        <v>0</v>
      </c>
      <c r="BG2551" cm="1">
        <f t="array" ref="BG2551">IFERROR(IF(BF2551&lt;0,0,BF2551/($AU$2473-INDEX(hd_off,MATCH(BT2551,hd_mark,0),0)/12)),0)</f>
        <v>0</v>
      </c>
      <c r="BH2551">
        <f>IF(AV2551=0,0,$BG$2473*$AM$2457)</f>
        <v>0</v>
      </c>
      <c r="BI2551">
        <f>IFERROR(BH2551/$AU$2473,0)</f>
        <v>0</v>
      </c>
      <c r="BJ2551">
        <f>BH2551*($F$25+($C$16+$C$17+IF($C$13="single",1.5,3)+3)/12)</f>
        <v>0</v>
      </c>
      <c r="BK2551">
        <f>BJ2551-BA2551</f>
        <v>0</v>
      </c>
      <c r="BL2551" cm="1">
        <f t="array" ref="BL2551">IFERROR(IF(BK2551&lt;0,0,BK2551/($AU$2473-INDEX(hd_off,MATCH(BT2551,hd_mark,0),0)/12)),0)</f>
        <v>0</v>
      </c>
      <c r="BM2551">
        <f>MAX($F$25,$BF$2473)/$Q$2484</f>
        <v>0.29920977011494249</v>
      </c>
      <c r="BN2551">
        <f t="shared" si="1570"/>
        <v>1</v>
      </c>
      <c r="BO2551" cm="1">
        <f t="array" ref="BO2551">IFERROR(INDEX(sheath_ecap_asd,MATCH(BS2551,sheath_mark,0),0)*BN2551,0)</f>
        <v>0</v>
      </c>
      <c r="BP2551" cm="1">
        <f t="array" ref="BP2551">IFERROR(INDEX(sheath_wcap_asd,MATCH(BS2551,sheath_mark,0),0)*BN2551,0)</f>
        <v>0</v>
      </c>
      <c r="BQ2551" cm="1">
        <f t="array" ref="BQ2551">IFERROR(INDEX(hd_cap,MATCH(BT2551,hd_mark,0),0),0)</f>
        <v>0</v>
      </c>
      <c r="BS2551" s="19"/>
      <c r="BT2551" s="19"/>
      <c r="BU2551" s="100"/>
    </row>
    <row r="2552" x14ac:dyDescent="0.25">
      <c r="P2552" s="93"/>
      <c r="AR2552" s="100"/>
      <c r="AS2552" s="93"/>
      <c r="BU2552" s="100"/>
    </row>
    <row r="2553" x14ac:dyDescent="0.25">
      <c r="P2553" s="93"/>
      <c r="Q2553" s="110" t="str">
        <f>$Q$2474</f>
        <v>A.13</v>
      </c>
      <c r="R2553" t="str">
        <f>$Q$2453</f>
        <v>L2</v>
      </c>
      <c r="S2553">
        <f>$E$21</f>
        <v>10.6875</v>
      </c>
      <c r="T2553" cm="1">
        <f t="array" ref="T2553">IFERROR(IF(S2553=0,0,(INDEX($C$33:$C$38,MATCH($W$2474,$B$33:$B$38,0),0)*(S2557+$X$2474)+$T$2474*COUNTIF(S2553:S2556,"&gt;0")*$C$32+$V$2474*$C$31)*$R$2474),0)</f>
        <v>0</v>
      </c>
      <c r="U2553">
        <f>IF(S2553=0,0,-(COUNTIF(S2553:S2556,"&gt;0")*$T$2474*$C$32+$V$2474*$C$31)*$H$27*$R$2474)</f>
        <v>0</v>
      </c>
      <c r="V2553">
        <f>IF(S2553=0,0,$V$2474*$H$26*$R$2474)</f>
        <v>0</v>
      </c>
      <c r="W2553">
        <f>(0.6*T2553+0.7*U2553)*$R$2474/2</f>
        <v>0</v>
      </c>
      <c r="X2553">
        <f>(0.6*T2553+0.6*V2553)*$R$2474/2</f>
        <v>0</v>
      </c>
      <c r="Z2553">
        <f>IF(S2553=0,0,$AD$2474*$AP$2453)</f>
        <v>0</v>
      </c>
      <c r="AA2553">
        <f>IFERROR(Z2553/$R$2474,0)</f>
        <v>0</v>
      </c>
      <c r="AB2553">
        <f>Z2553*($F$21+IF($F$21=0,0,($C$14+$C$15+IF($C$13="single",1.5,3)+3)/12))</f>
        <v>0</v>
      </c>
      <c r="AC2553">
        <f>AB2553-W2553</f>
        <v>0</v>
      </c>
      <c r="AD2553" cm="1">
        <f t="array" ref="AD2553">IFERROR(IF(AC2553&lt;0,0,AC2553/($R$2474-INDEX(hd_off,MATCH(AQ2553,hd_mark,0),0)/12)),0)</f>
        <v>0</v>
      </c>
      <c r="AE2553">
        <f>IF(S2553=0,0,$AD$2474*$AM$2453)</f>
        <v>0</v>
      </c>
      <c r="AF2553">
        <f>IFERROR(AE2553/$R$2474,0)</f>
        <v>0</v>
      </c>
      <c r="AG2553">
        <f>AE2553*($F$21+IF($F$21=0,0,($C$14+$C$15+IF($C$13="single",1.5,3)+3)/12))</f>
        <v>0</v>
      </c>
      <c r="AH2553">
        <f>AG2553-X2553</f>
        <v>0</v>
      </c>
      <c r="AI2553" cm="1">
        <f t="array" ref="AI2553">IFERROR(IF(AH2553&lt;0,0,AH2553/($R$2474-INDEX(hd_off,MATCH(AQ2553,hd_mark,0),0)/12)),0)</f>
        <v>0</v>
      </c>
      <c r="AJ2553">
        <f>MAX($F$21,$Y$2474)/$Q$2484</f>
        <v>0.30172413793103448</v>
      </c>
      <c r="AK2553">
        <f>IF(AJ2553=0,0,IF(AJ2553&gt;2,1.25-0.125*AJ2553,1))</f>
        <v>1</v>
      </c>
      <c r="AL2553" cm="1">
        <f t="array" ref="AL2553">IFERROR(INDEX(sheath_ecap_asd,MATCH(AP2553,sheath_mark,0),0)*AK2553,0)</f>
        <v>0</v>
      </c>
      <c r="AM2553" cm="1">
        <f t="array" ref="AM2553">IFERROR(INDEX(sheath_wcap_asd,MATCH(AP2553,sheath_mark,0),0)*AK2553,0)</f>
        <v>0</v>
      </c>
      <c r="AN2553" cm="1">
        <f t="array" ref="AN2553">IFERROR(INDEX(hd_cap,MATCH(AQ2553,hd_mark,0),0),0)</f>
        <v>0</v>
      </c>
      <c r="AP2553" s="19"/>
      <c r="AQ2553" s="19"/>
      <c r="AR2553" s="100"/>
      <c r="AS2553" s="93"/>
      <c r="AT2553" s="110" t="str">
        <f>$AT$2474</f>
        <v>1.13</v>
      </c>
      <c r="AU2553" t="str">
        <f>$Q$2453</f>
        <v>L2</v>
      </c>
      <c r="AV2553">
        <f>$E$21</f>
        <v>10.6875</v>
      </c>
      <c r="AW2553" cm="1">
        <f t="array" ref="AW2553">IFERROR(IF(AV2553=0,0,(INDEX($C$33:$C$38,MATCH($AZ$2474,$B$33:$B$38,0),0)*(AV2557+$BA$2474)+$AW$2474*COUNTIF(AV2553:AV2556,"&gt;0")*$C$32+$AY$2474*$C$31)*$AU$2474),0)</f>
        <v>0</v>
      </c>
      <c r="AX2553">
        <f>IF(AV2553=0,0,-(COUNTIF(AV2553:AV2556,"&gt;0")*$AW$2474*$C$32+$AY$2474*$C$31)*$H$27*$AU$2474)</f>
        <v>0</v>
      </c>
      <c r="AY2553">
        <f>IF(AV2553=0,0,$AY$2474*$H$26*$AU$2474)</f>
        <v>0</v>
      </c>
      <c r="AZ2553">
        <f>(0.6*AW2553+0.7*AX2553)*$AU$2474/2</f>
        <v>0</v>
      </c>
      <c r="BA2553">
        <f>(0.6*AW2553+0.6*AY2553)*$AU$2474/2</f>
        <v>0</v>
      </c>
      <c r="BC2553">
        <f>IF(AV2553=0,0,$BG$2474*$AP$2453)</f>
        <v>0</v>
      </c>
      <c r="BD2553">
        <f>IFERROR(BC2553/$AU$2474,0)</f>
        <v>0</v>
      </c>
      <c r="BE2553">
        <f>BC2553*($F$21+IF($F$21=0,0,($C$14+$C$15+IF($C$13="single",1.5,3)+3)/12))</f>
        <v>0</v>
      </c>
      <c r="BF2553">
        <f>BE2553-AZ2553</f>
        <v>0</v>
      </c>
      <c r="BG2553" cm="1">
        <f t="array" ref="BG2553">IFERROR(IF(BF2553&lt;0,0,BF2553/($AU$2474-INDEX(hd_off,MATCH(BT2553,hd_mark,0),0)/12)),0)</f>
        <v>0</v>
      </c>
      <c r="BH2553">
        <f>IF(AV2553=0,0,$BG$2474*$AM$2453)</f>
        <v>0</v>
      </c>
      <c r="BI2553">
        <f>IFERROR(BH2553/$AU$2474,0)</f>
        <v>0</v>
      </c>
      <c r="BJ2553">
        <f>BH2553*($F$21+IF($F$21=0,0,($C$14+$C$15+IF($C$13="single",1.5,3)+3)/12))</f>
        <v>0</v>
      </c>
      <c r="BK2553">
        <f>BJ2553-BA2553</f>
        <v>0</v>
      </c>
      <c r="BL2553" cm="1">
        <f t="array" ref="BL2553">IFERROR(IF(BK2553&lt;0,0,BK2553/($AU$2474-INDEX(hd_off,MATCH(BT2553,hd_mark,0),0)/12)),0)</f>
        <v>0</v>
      </c>
      <c r="BM2553">
        <f>MAX($F$21,$BB$2474)/$Q$2484</f>
        <v>0.30172413793103448</v>
      </c>
      <c r="BN2553">
        <f>IF(BM2553=0,0,IF(BM2553&gt;2,1.25-0.125*BM2553,1))</f>
        <v>1</v>
      </c>
      <c r="BO2553" cm="1">
        <f t="array" ref="BO2553">IFERROR(INDEX(sheath_ecap_asd,MATCH(BS2553,sheath_mark,0),0)*BN2553,0)</f>
        <v>0</v>
      </c>
      <c r="BP2553" cm="1">
        <f t="array" ref="BP2553">IFERROR(INDEX(sheath_wcap_asd,MATCH(BS2553,sheath_mark,0),0)*BN2553,0)</f>
        <v>0</v>
      </c>
      <c r="BQ2553" cm="1">
        <f t="array" ref="BQ2553">IFERROR(INDEX(hd_cap,MATCH(BT2553,hd_mark,0),0),0)</f>
        <v>0</v>
      </c>
      <c r="BS2553" s="19"/>
      <c r="BT2553" s="19"/>
      <c r="BU2553" s="100"/>
    </row>
    <row r="2554" x14ac:dyDescent="0.25">
      <c r="P2554" s="93"/>
      <c r="Q2554" s="109"/>
      <c r="R2554" t="str">
        <f>$Q$2454</f>
        <v>L3</v>
      </c>
      <c r="S2554">
        <f>$E$22</f>
        <v>21.375</v>
      </c>
      <c r="T2554" cm="1">
        <f t="array" ref="T2554">IFERROR(IF(S2554=0,0,(INDEX($C$33:$C$38,MATCH($W$2474,$B$33:$B$38,0),0)*(S2557+$X$2474)+$T$2474*COUNTIF(S2554:S2556,"&gt;0")*$C$32+$V$2474*$C$31)*$R$2474),0)</f>
        <v>0</v>
      </c>
      <c r="U2554">
        <f>IF(S2554=0,0,-(COUNTIF(S2554:S2556,"&gt;0")*$T$2474*$C$32+$V$2474*$C$31)*$H$27*$R$2474)</f>
        <v>0</v>
      </c>
      <c r="V2554">
        <f>IF(S2554=0,0,$V$2474*$H$26*$R$2474)</f>
        <v>0</v>
      </c>
      <c r="W2554">
        <f>(0.6*T2554+0.7*U2554)*$R$2474/2</f>
        <v>0</v>
      </c>
      <c r="X2554">
        <f>T2554*$R$2474/2</f>
        <v>0</v>
      </c>
      <c r="Z2554">
        <f>IF(S2554=0,0,$AD$2474*$AP$2454)</f>
        <v>0</v>
      </c>
      <c r="AA2554">
        <f>IFERROR(Z2554/$R$2474,0)</f>
        <v>0</v>
      </c>
      <c r="AB2554">
        <f>Z2554*($F$22+IF($F$22=0,0,($C$14+$C$15+IF($C$13="single",1.5,3)+3)/12))</f>
        <v>0</v>
      </c>
      <c r="AC2554">
        <f>AB2554-W2554</f>
        <v>0</v>
      </c>
      <c r="AD2554" cm="1">
        <f t="array" ref="AD2554">IFERROR(IF(AC2554&lt;0,0,AC2554/($R$2474-INDEX(hd_off,MATCH(AQ2554,hd_mark,0),0)/12)),0)</f>
        <v>0</v>
      </c>
      <c r="AE2554">
        <f>IF(S2554=0,0,$AD$2474*$AM$2454)</f>
        <v>0</v>
      </c>
      <c r="AF2554">
        <f>IFERROR(AE2554/$R$2474,0)</f>
        <v>0</v>
      </c>
      <c r="AG2554">
        <f>AE2554*($F$22+IF($F$22=0,0,($C$14+$C$15+IF($C$13="single",1.5,3)+3)/12))</f>
        <v>0</v>
      </c>
      <c r="AH2554">
        <f>AG2554-X2554</f>
        <v>0</v>
      </c>
      <c r="AI2554" cm="1">
        <f t="array" ref="AI2554">IFERROR(IF(AH2554&lt;0,0,AH2554/($R$2474-INDEX(hd_off,MATCH(AQ2554,hd_mark,0),0)/12)),0)</f>
        <v>0</v>
      </c>
      <c r="AJ2554">
        <f>MAX($F$22,$Z$2474)/$Q$2484</f>
        <v>0.30172413793103448</v>
      </c>
      <c r="AK2554">
        <f t="shared" ref="AK2554:AK2557" si="1571">IF(AJ2554=0,0,IF(AJ2554&gt;2,1.25-0.125*AJ2554,1))</f>
        <v>1</v>
      </c>
      <c r="AL2554" cm="1">
        <f t="array" ref="AL2554">IFERROR(INDEX(sheath_ecap_asd,MATCH(AP2554,sheath_mark,0),0)*AK2554,0)</f>
        <v>0</v>
      </c>
      <c r="AM2554" cm="1">
        <f t="array" ref="AM2554">IFERROR(INDEX(sheath_wcap_asd,MATCH(AP2554,sheath_mark,0),0)*AK2554,0)</f>
        <v>0</v>
      </c>
      <c r="AN2554" cm="1">
        <f t="array" ref="AN2554">IFERROR(INDEX(hd_cap,MATCH(AQ2554,hd_mark,0),0),0)</f>
        <v>0</v>
      </c>
      <c r="AP2554" s="19"/>
      <c r="AQ2554" s="19"/>
      <c r="AR2554" s="100"/>
      <c r="AS2554" s="93"/>
      <c r="AT2554" s="109"/>
      <c r="AU2554" t="str">
        <f>$Q$2454</f>
        <v>L3</v>
      </c>
      <c r="AV2554">
        <f>$E$22</f>
        <v>21.375</v>
      </c>
      <c r="AW2554" cm="1">
        <f t="array" ref="AW2554">IFERROR(IF(AV2554=0,0,(INDEX($C$33:$C$38,MATCH($AZ$2474,$B$33:$B$38,0),0)*(AV2557+$BA$2474)+$AW$2474*COUNTIF(AV2554:AV2556,"&gt;0")*$C$32+$AY$2474*$C$31)*$AU$2474),0)</f>
        <v>0</v>
      </c>
      <c r="AX2554">
        <f>IF(AV2554=0,0,-(COUNTIF(AV2554:AV2556,"&gt;0")*$AW$2474*$C$32+$AY$2474*$C$31)*$H$27*$AU$2474)</f>
        <v>0</v>
      </c>
      <c r="AY2554">
        <f>IF(AV2554=0,0,$AY$2474*$H$26*$AU$2474)</f>
        <v>0</v>
      </c>
      <c r="AZ2554">
        <f>(0.6*AW2554+0.7*AX2554)*$AU$2474/2</f>
        <v>0</v>
      </c>
      <c r="BA2554">
        <f>AW2554*$AU$2474/2</f>
        <v>0</v>
      </c>
      <c r="BC2554">
        <f>IF(AV2554=0,0,$BG$2474*$AP$2454)</f>
        <v>0</v>
      </c>
      <c r="BD2554">
        <f>IFERROR(BC2554/$AU$2474,0)</f>
        <v>0</v>
      </c>
      <c r="BE2554">
        <f>BC2554*($F$22+IF($F$22=0,0,($C$14+$C$15+IF($C$13="single",1.5,3)+3)/12))</f>
        <v>0</v>
      </c>
      <c r="BF2554">
        <f>BE2554-AZ2554</f>
        <v>0</v>
      </c>
      <c r="BG2554" cm="1">
        <f t="array" ref="BG2554">IFERROR(IF(BF2554&lt;0,0,BF2554/($AU$2474-INDEX(hd_off,MATCH(BT2554,hd_mark,0),0)/12)),0)</f>
        <v>0</v>
      </c>
      <c r="BH2554">
        <f>IF(AV2554=0,0,$BG$2474*$AM$2454)</f>
        <v>0</v>
      </c>
      <c r="BI2554">
        <f>IFERROR(BH2554/$AU$2474,0)</f>
        <v>0</v>
      </c>
      <c r="BJ2554">
        <f>BH2554*($F$22+IF($F$22=0,0,($C$14+$C$15+IF($C$13="single",1.5,3)+3)/12))</f>
        <v>0</v>
      </c>
      <c r="BK2554">
        <f>BJ2554-BA2554</f>
        <v>0</v>
      </c>
      <c r="BL2554" cm="1">
        <f t="array" ref="BL2554">IFERROR(IF(BK2554&lt;0,0,BK2554/($AU$2474-INDEX(hd_off,MATCH(BT2554,hd_mark,0),0)/12)),0)</f>
        <v>0</v>
      </c>
      <c r="BM2554">
        <f>MAX($F$22,$BC$2474)/$Q$2484</f>
        <v>0.30172413793103448</v>
      </c>
      <c r="BN2554">
        <f t="shared" ref="BN2554:BN2557" si="1572">IF(BM2554=0,0,IF(BM2554&gt;2,1.25-0.125*BM2554,1))</f>
        <v>1</v>
      </c>
      <c r="BO2554" cm="1">
        <f t="array" ref="BO2554">IFERROR(INDEX(sheath_ecap_asd,MATCH(BS2554,sheath_mark,0),0)*BN2554,0)</f>
        <v>0</v>
      </c>
      <c r="BP2554" cm="1">
        <f t="array" ref="BP2554">IFERROR(INDEX(sheath_wcap_asd,MATCH(BS2554,sheath_mark,0),0)*BN2554,0)</f>
        <v>0</v>
      </c>
      <c r="BQ2554" cm="1">
        <f t="array" ref="BQ2554">IFERROR(INDEX(hd_cap,MATCH(BT2554,hd_mark,0),0),0)</f>
        <v>0</v>
      </c>
      <c r="BS2554" s="19"/>
      <c r="BT2554" s="19"/>
      <c r="BU2554" s="100"/>
    </row>
    <row r="2555" x14ac:dyDescent="0.25">
      <c r="P2555" s="93"/>
      <c r="Q2555" s="109" t="s">
        <v>491</v>
      </c>
      <c r="R2555" t="str">
        <f>$Q$2455</f>
        <v>L4</v>
      </c>
      <c r="S2555">
        <f>$E$23</f>
        <v>0</v>
      </c>
      <c r="T2555" cm="1">
        <f t="array" ref="T2555">IFERROR(IF(S2555=0,0,(INDEX($C$33:$C$38,MATCH($W$2474,$B$33:$B$38,0),0)*(S2557+$X$2474)+$T$2474*COUNTIF(S2555:S2556,"&gt;0")*$C$32+$V$2474*$C$31)*$R$2474),0)</f>
        <v>0</v>
      </c>
      <c r="U2555">
        <f>IF(S2555=0,0,-(COUNTIF(S2555:S2556,"&gt;0")*$T$2474*$C$32+$V$2474*$C$31)*$H$27*$R$2474)</f>
        <v>0</v>
      </c>
      <c r="V2555">
        <f>IF(S2555=0,0,$V$2474*$H$26*$R$2474)</f>
        <v>0</v>
      </c>
      <c r="W2555">
        <f>(0.6*T2555+0.7*U2555)*$R$2474/2</f>
        <v>0</v>
      </c>
      <c r="X2555">
        <f>T2555*$R$2474/2</f>
        <v>0</v>
      </c>
      <c r="Z2555">
        <f>IF(S2555=0,0,$AD$2474*$AP$2455)</f>
        <v>0</v>
      </c>
      <c r="AA2555">
        <f>IFERROR(Z2555/$R$2474,0)</f>
        <v>0</v>
      </c>
      <c r="AB2555">
        <f>Z2555*($F$23+IF($F$23=0,0,($C$14+$C$15+IF($C$13="single",1.5,3)+3)/12))</f>
        <v>0</v>
      </c>
      <c r="AC2555">
        <f>AB2555-W2555</f>
        <v>0</v>
      </c>
      <c r="AD2555" cm="1">
        <f t="array" ref="AD2555">IFERROR(IF(AC2555&lt;0,0,AC2555/($R$2474-INDEX(hd_off,MATCH(AQ2555,hd_mark,0),0)/12)),0)</f>
        <v>0</v>
      </c>
      <c r="AE2555">
        <f>IF(S2555=0,0,$AD$2474*$AM$2455)</f>
        <v>0</v>
      </c>
      <c r="AF2555">
        <f>IFERROR(AE2555/$R$2474,0)</f>
        <v>0</v>
      </c>
      <c r="AG2555">
        <f>AE2555*($F$23+IF($F$23=0,0,($C$14+$C$15+IF($C$13="single",1.5,3)+3)/12))</f>
        <v>0</v>
      </c>
      <c r="AH2555">
        <f>AG2555-X2555</f>
        <v>0</v>
      </c>
      <c r="AI2555" cm="1">
        <f t="array" ref="AI2555">IFERROR(IF(AH2555&lt;0,0,AH2555/($R$2474-INDEX(hd_off,MATCH(AQ2555,hd_mark,0),0)/12)),0)</f>
        <v>0</v>
      </c>
      <c r="AJ2555">
        <f>MAX($F$23,$AA$2474)/$Q$2484</f>
        <v>0</v>
      </c>
      <c r="AK2555">
        <f t="shared" si="1571"/>
        <v>0</v>
      </c>
      <c r="AL2555" cm="1">
        <f t="array" ref="AL2555">IFERROR(INDEX(sheath_ecap_asd,MATCH(AP2555,sheath_mark,0),0)*AK2555,0)</f>
        <v>0</v>
      </c>
      <c r="AM2555" cm="1">
        <f t="array" ref="AM2555">IFERROR(INDEX(sheath_wcap_asd,MATCH(AP2555,sheath_mark,0),0)*AK2555,0)</f>
        <v>0</v>
      </c>
      <c r="AN2555" cm="1">
        <f t="array" ref="AN2555">IFERROR(INDEX(hd_cap,MATCH(AQ2555,hd_mark,0),0),0)</f>
        <v>0</v>
      </c>
      <c r="AP2555" s="19"/>
      <c r="AQ2555" s="19"/>
      <c r="AR2555" s="100"/>
      <c r="AS2555" s="93"/>
      <c r="AT2555" s="109" t="s">
        <v>491</v>
      </c>
      <c r="AU2555" t="str">
        <f>$Q$2455</f>
        <v>L4</v>
      </c>
      <c r="AV2555">
        <f>$E$23</f>
        <v>0</v>
      </c>
      <c r="AW2555" cm="1">
        <f t="array" ref="AW2555">IFERROR(IF(AV2555=0,0,(INDEX($C$33:$C$38,MATCH($AZ$2474,$B$33:$B$38,0),0)*(AV2557+$BA$2474)+$AW$2474*COUNTIF(AV2555:AV2556,"&gt;0")*$C$32+$AY$2474*$C$31)*$AU$2474),0)</f>
        <v>0</v>
      </c>
      <c r="AX2555">
        <f>IF(AV2555=0,0,-(COUNTIF(AV2555:AV2556,"&gt;0")*$AW$2474*$C$32+$AY$2474*$C$31)*$H$27*$AU$2474)</f>
        <v>0</v>
      </c>
      <c r="AY2555">
        <f>IF(AV2555=0,0,$AY$2474*$H$26*$AU$2474)</f>
        <v>0</v>
      </c>
      <c r="AZ2555">
        <f>(0.6*AW2555+0.7*AX2555)*$AU$2474/2</f>
        <v>0</v>
      </c>
      <c r="BA2555">
        <f>AW2555*$AU$2474/2</f>
        <v>0</v>
      </c>
      <c r="BC2555">
        <f>IF(AV2555=0,0,$BG$2474*$AP$2455)</f>
        <v>0</v>
      </c>
      <c r="BD2555">
        <f>IFERROR(BC2555/$AU$2474,0)</f>
        <v>0</v>
      </c>
      <c r="BE2555">
        <f>BC2555*($F$23+IF($F$23=0,0,($C$14+$C$15+IF($C$13="single",1.5,3)+3)/12))</f>
        <v>0</v>
      </c>
      <c r="BF2555">
        <f>BE2555-AZ2555</f>
        <v>0</v>
      </c>
      <c r="BG2555" cm="1">
        <f t="array" ref="BG2555">IFERROR(IF(BF2555&lt;0,0,BF2555/($AU$2474-INDEX(hd_off,MATCH(BT2555,hd_mark,0),0)/12)),0)</f>
        <v>0</v>
      </c>
      <c r="BH2555">
        <f>IF(AV2555=0,0,$BG$2474*$AM$2455)</f>
        <v>0</v>
      </c>
      <c r="BI2555">
        <f>IFERROR(BH2555/$AU$2474,0)</f>
        <v>0</v>
      </c>
      <c r="BJ2555">
        <f>BH2555*($F$23+IF($F$23=0,0,($C$14+$C$15+IF($C$13="single",1.5,3)+3)/12))</f>
        <v>0</v>
      </c>
      <c r="BK2555">
        <f>BJ2555-BA2555</f>
        <v>0</v>
      </c>
      <c r="BL2555" cm="1">
        <f t="array" ref="BL2555">IFERROR(IF(BK2555&lt;0,0,BK2555/($AU$2474-INDEX(hd_off,MATCH(BT2555,hd_mark,0),0)/12)),0)</f>
        <v>0</v>
      </c>
      <c r="BM2555">
        <f>MAX($F$23,$BD$2474)/$Q$2484</f>
        <v>0</v>
      </c>
      <c r="BN2555">
        <f t="shared" si="1572"/>
        <v>0</v>
      </c>
      <c r="BO2555" cm="1">
        <f t="array" ref="BO2555">IFERROR(INDEX(sheath_ecap_asd,MATCH(BS2555,sheath_mark,0),0)*BN2555,0)</f>
        <v>0</v>
      </c>
      <c r="BP2555" cm="1">
        <f t="array" ref="BP2555">IFERROR(INDEX(sheath_wcap_asd,MATCH(BS2555,sheath_mark,0),0)*BN2555,0)</f>
        <v>0</v>
      </c>
      <c r="BQ2555" cm="1">
        <f t="array" ref="BQ2555">IFERROR(INDEX(hd_cap,MATCH(BT2555,hd_mark,0),0),0)</f>
        <v>0</v>
      </c>
      <c r="BS2555" s="19"/>
      <c r="BT2555" s="19"/>
      <c r="BU2555" s="100"/>
    </row>
    <row r="2556" x14ac:dyDescent="0.25">
      <c r="P2556" s="93"/>
      <c r="Q2556" s="111">
        <f>$R$2474</f>
        <v>0</v>
      </c>
      <c r="R2556" t="str">
        <f>$Q$2456</f>
        <v>L5</v>
      </c>
      <c r="S2556">
        <f>$E$24</f>
        <v>0</v>
      </c>
      <c r="T2556" cm="1">
        <f t="array" ref="T2556">IFERROR(IF(S2556=0,0,(INDEX($C$33:$C$38,MATCH($W$2474,$B$33:$B$38,0),0)*(S2557+$X$2474)+$T$2474*COUNTIF(S2556:S2556,"&gt;0")*$C$32+$V$2474*$C$31)*$R$2474),0)</f>
        <v>0</v>
      </c>
      <c r="U2556">
        <f>IF(S2556=0,0,-(COUNTIF(S2556:S2556,"&gt;0")*$T$2474*$C$32+$V$2474*$C$31)*$H$27*$R$2474)</f>
        <v>0</v>
      </c>
      <c r="V2556">
        <f>IF(S2556=0,0,$V$2474*$H$26*$R$2474)</f>
        <v>0</v>
      </c>
      <c r="W2556">
        <f>(0.6*T2556+0.7*U2556)*$R$2474/2</f>
        <v>0</v>
      </c>
      <c r="X2556">
        <f>T2556*$R$2474/2</f>
        <v>0</v>
      </c>
      <c r="Z2556">
        <f>IF(S2556=0,0,$AD$2474*$AP$2456)</f>
        <v>0</v>
      </c>
      <c r="AA2556">
        <f>IFERROR(Z2556/$R$2474,0)</f>
        <v>0</v>
      </c>
      <c r="AB2556">
        <f>Z2556*($F$24+IF($F$24=0,0,($C$14+$C$15+IF($C$13="single",1.5,3)+3)/12))</f>
        <v>0</v>
      </c>
      <c r="AC2556">
        <f>AB2556-W2556</f>
        <v>0</v>
      </c>
      <c r="AD2556" cm="1">
        <f t="array" ref="AD2556">IFERROR(IF(AC2556&lt;0,0,AC2556/($R$2474-INDEX(hd_off,MATCH(AQ2556,hd_mark,0),0)/12)),0)</f>
        <v>0</v>
      </c>
      <c r="AE2556">
        <f>IF(S2556=0,0,$AD$2474*$AM$2456)</f>
        <v>0</v>
      </c>
      <c r="AF2556">
        <f>IFERROR(AE2556/$R$2474,0)</f>
        <v>0</v>
      </c>
      <c r="AG2556">
        <f>AE2556*($F$24+IF($F$24=0,0,($C$14+$C$15+IF($C$13="single",1.5,3)+3)/12))</f>
        <v>0</v>
      </c>
      <c r="AH2556">
        <f>AG2556-X2556</f>
        <v>0</v>
      </c>
      <c r="AI2556" cm="1">
        <f t="array" ref="AI2556">IFERROR(IF(AH2556&lt;0,0,AH2556/($R$2474-INDEX(hd_off,MATCH(AQ2556,hd_mark,0),0)/12)),0)</f>
        <v>0</v>
      </c>
      <c r="AJ2556">
        <f>MAX($F$24,$AB$2474)/$Q$2484</f>
        <v>0</v>
      </c>
      <c r="AK2556">
        <f t="shared" si="1571"/>
        <v>0</v>
      </c>
      <c r="AL2556" cm="1">
        <f t="array" ref="AL2556">IFERROR(INDEX(sheath_ecap_asd,MATCH(AP2556,sheath_mark,0),0)*AK2556,0)</f>
        <v>0</v>
      </c>
      <c r="AM2556" cm="1">
        <f t="array" ref="AM2556">IFERROR(INDEX(sheath_wcap_asd,MATCH(AP2556,sheath_mark,0),0)*AK2556,0)</f>
        <v>0</v>
      </c>
      <c r="AN2556" cm="1">
        <f t="array" ref="AN2556">IFERROR(INDEX(hd_cap,MATCH(AQ2556,hd_mark,0),0),0)</f>
        <v>0</v>
      </c>
      <c r="AP2556" s="19"/>
      <c r="AQ2556" s="19"/>
      <c r="AR2556" s="100"/>
      <c r="AS2556" s="93"/>
      <c r="AT2556" s="111">
        <f>$R$2474</f>
        <v>0</v>
      </c>
      <c r="AU2556" t="str">
        <f>$Q$2456</f>
        <v>L5</v>
      </c>
      <c r="AV2556">
        <f>$E$24</f>
        <v>0</v>
      </c>
      <c r="AW2556" cm="1">
        <f t="array" ref="AW2556">IFERROR(IF(AV2556=0,0,(INDEX($C$33:$C$38,MATCH($AZ$2474,$B$33:$B$38,0),0)*(AV2557+$BA$2474)+$AW$2474*COUNTIF(AV2556:AV2556,"&gt;0")*$C$32+$AY$2474*$C$31)*$AU$2474),0)</f>
        <v>0</v>
      </c>
      <c r="AX2556">
        <f>IF(AV2556=0,0,-(COUNTIF(AV2556:AV2556,"&gt;0")*$AW$2474*$C$32+$AY$2474*$C$31)*$H$27*$AU$2474)</f>
        <v>0</v>
      </c>
      <c r="AY2556">
        <f>IF(AV2556=0,0,$AY$2474*$H$26*$AU$2474)</f>
        <v>0</v>
      </c>
      <c r="AZ2556">
        <f>(0.6*AW2556+0.7*AX2556)*$AU$2474/2</f>
        <v>0</v>
      </c>
      <c r="BA2556">
        <f>AW2556*$AU$2474/2</f>
        <v>0</v>
      </c>
      <c r="BC2556">
        <f>IF(AV2556=0,0,$BG$2474*$AP$2456)</f>
        <v>0</v>
      </c>
      <c r="BD2556">
        <f>IFERROR(BC2556/$AU$2474,0)</f>
        <v>0</v>
      </c>
      <c r="BE2556">
        <f>BC2556*($F$24+IF($F$24=0,0,($C$14+$C$15+IF($C$13="single",1.5,3)+3)/12))</f>
        <v>0</v>
      </c>
      <c r="BF2556">
        <f>BE2556-AZ2556</f>
        <v>0</v>
      </c>
      <c r="BG2556" cm="1">
        <f t="array" ref="BG2556">IFERROR(IF(BF2556&lt;0,0,BF2556/($AU$2474-INDEX(hd_off,MATCH(BT2556,hd_mark,0),0)/12)),0)</f>
        <v>0</v>
      </c>
      <c r="BH2556">
        <f>IF(AV2556=0,0,$BG$2474*$AM$2456)</f>
        <v>0</v>
      </c>
      <c r="BI2556">
        <f>IFERROR(BH2556/$AU$2474,0)</f>
        <v>0</v>
      </c>
      <c r="BJ2556">
        <f>BH2556*($F$24+IF($F$24=0,0,($C$14+$C$15+IF($C$13="single",1.5,3)+3)/12))</f>
        <v>0</v>
      </c>
      <c r="BK2556">
        <f>BJ2556-BA2556</f>
        <v>0</v>
      </c>
      <c r="BL2556" cm="1">
        <f t="array" ref="BL2556">IFERROR(IF(BK2556&lt;0,0,BK2556/($AU$2474-INDEX(hd_off,MATCH(BT2556,hd_mark,0),0)/12)),0)</f>
        <v>0</v>
      </c>
      <c r="BM2556">
        <f>MAX($F$24,$BE$2474)/$Q$2484</f>
        <v>0</v>
      </c>
      <c r="BN2556">
        <f t="shared" si="1572"/>
        <v>0</v>
      </c>
      <c r="BO2556" cm="1">
        <f t="array" ref="BO2556">IFERROR(INDEX(sheath_ecap_asd,MATCH(BS2556,sheath_mark,0),0)*BN2556,0)</f>
        <v>0</v>
      </c>
      <c r="BP2556" cm="1">
        <f t="array" ref="BP2556">IFERROR(INDEX(sheath_wcap_asd,MATCH(BS2556,sheath_mark,0),0)*BN2556,0)</f>
        <v>0</v>
      </c>
      <c r="BQ2556" cm="1">
        <f t="array" ref="BQ2556">IFERROR(INDEX(hd_cap,MATCH(BT2556,hd_mark,0),0),0)</f>
        <v>0</v>
      </c>
      <c r="BS2556" s="19"/>
      <c r="BT2556" s="19"/>
      <c r="BU2556" s="100"/>
    </row>
    <row r="2557" x14ac:dyDescent="0.25">
      <c r="P2557" s="93"/>
      <c r="Q2557" s="109"/>
      <c r="R2557" t="str">
        <f>$Q$2457</f>
        <v>Roof</v>
      </c>
      <c r="S2557">
        <f>$E$25</f>
        <v>33.171875</v>
      </c>
      <c r="T2557" cm="1">
        <f t="array" ref="T2557">IFERROR(IF(S2557=0,0,(INDEX($C$33:$C$38,MATCH($W$2474,$B$33:$B$38,0),0)*(S2557+$X$2474)+$V$2474*$C$31)*$R$2474),0)</f>
        <v>0</v>
      </c>
      <c r="U2557">
        <f>IF(S2557=0,0,-$V$2474*$C$31*$H$27*$R$2474)</f>
        <v>0</v>
      </c>
      <c r="V2557">
        <f>IF(S2557=0,0,$V$2474*$H$26*$R$2474)</f>
        <v>0</v>
      </c>
      <c r="W2557">
        <f>(0.6*T2557+0.7*U2557)*$R$2474/2</f>
        <v>0</v>
      </c>
      <c r="X2557">
        <f>T2557*$R$2474/2</f>
        <v>0</v>
      </c>
      <c r="Z2557">
        <f>IF(S2557=0,0,$AD$2474*$AP$2457)</f>
        <v>0</v>
      </c>
      <c r="AA2557">
        <f>IFERROR(Z2557/$R$2474,0)</f>
        <v>0</v>
      </c>
      <c r="AB2557">
        <f>Z2557*($F$25+($C$16+$C$17+IF($C$13="single",1.5,3)+3)/12)</f>
        <v>0</v>
      </c>
      <c r="AC2557">
        <f>AB2557-W2557</f>
        <v>0</v>
      </c>
      <c r="AD2557" cm="1">
        <f t="array" ref="AD2557">IFERROR(IF(AC2557&lt;0,0,AC2557/($R$2474-INDEX(hd_off,MATCH(AQ2557,hd_mark,0),0)/12)),0)</f>
        <v>0</v>
      </c>
      <c r="AE2557">
        <f>IF(S2557=0,0,$AD$2474*$AM$2457)</f>
        <v>0</v>
      </c>
      <c r="AF2557">
        <f>IFERROR(AE2557/$R$2474,0)</f>
        <v>0</v>
      </c>
      <c r="AG2557">
        <f>AE2557*($F$25+($C$16+$C$17+IF($C$13="single",1.5,3)+3)/12)</f>
        <v>0</v>
      </c>
      <c r="AH2557">
        <f>AG2557-X2557</f>
        <v>0</v>
      </c>
      <c r="AI2557" cm="1">
        <f t="array" ref="AI2557">IFERROR(IF(AH2557&lt;0,0,AH2557/($R$2474-INDEX(hd_off,MATCH(AQ2557,hd_mark,0),0)/12)),0)</f>
        <v>0</v>
      </c>
      <c r="AJ2557">
        <f>MAX($F$25,$AC$2474)/$Q$2484</f>
        <v>0.29920977011494249</v>
      </c>
      <c r="AK2557">
        <f t="shared" si="1571"/>
        <v>1</v>
      </c>
      <c r="AL2557" cm="1">
        <f t="array" ref="AL2557">IFERROR(INDEX(sheath_ecap_asd,MATCH(AP2557,sheath_mark,0),0)*AK2557,0)</f>
        <v>0</v>
      </c>
      <c r="AM2557" cm="1">
        <f t="array" ref="AM2557">IFERROR(INDEX(sheath_wcap_asd,MATCH(AP2557,sheath_mark,0),0)*AK2557,0)</f>
        <v>0</v>
      </c>
      <c r="AN2557" cm="1">
        <f t="array" ref="AN2557">IFERROR(INDEX(hd_cap,MATCH(AQ2557,hd_mark,0),0),0)</f>
        <v>0</v>
      </c>
      <c r="AP2557" s="19"/>
      <c r="AQ2557" s="19"/>
      <c r="AR2557" s="100"/>
      <c r="AS2557" s="93"/>
      <c r="AT2557" s="109"/>
      <c r="AU2557" t="str">
        <f>$Q$2457</f>
        <v>Roof</v>
      </c>
      <c r="AV2557">
        <f>$E$25</f>
        <v>33.171875</v>
      </c>
      <c r="AW2557" cm="1">
        <f t="array" ref="AW2557">IFERROR(IF(AV2557=0,0,(INDEX($C$33:$C$38,MATCH($AZ$2474,$B$33:$B$38,0),0)*(AV2557+$BA$2474)+$AY$2474*$C$31)*$AU$2474),0)</f>
        <v>0</v>
      </c>
      <c r="AX2557">
        <f>IF(AV2557=0,0,-$AY$2474*$C$31*$H$27*$AU$2474)</f>
        <v>0</v>
      </c>
      <c r="AY2557">
        <f>IF(AV2557=0,0,$AY$2474*$H$26*$AU$2474)</f>
        <v>0</v>
      </c>
      <c r="AZ2557">
        <f>(0.6*AW2557+0.7*AX2557)*$AU$2474/2</f>
        <v>0</v>
      </c>
      <c r="BA2557">
        <f>AW2557*$AU$2474/2</f>
        <v>0</v>
      </c>
      <c r="BC2557">
        <f>IF(AV2557=0,0,$BG$2474*$AP$2457)</f>
        <v>0</v>
      </c>
      <c r="BD2557">
        <f>IFERROR(BC2557/$AU$2474,0)</f>
        <v>0</v>
      </c>
      <c r="BE2557">
        <f>BC2557*($F$25+($C$16+$C$17+IF($C$13="single",1.5,3)+3)/12)</f>
        <v>0</v>
      </c>
      <c r="BF2557">
        <f>BE2557-AZ2557</f>
        <v>0</v>
      </c>
      <c r="BG2557" cm="1">
        <f t="array" ref="BG2557">IFERROR(IF(BF2557&lt;0,0,BF2557/($AU$2474-INDEX(hd_off,MATCH(BT2557,hd_mark,0),0)/12)),0)</f>
        <v>0</v>
      </c>
      <c r="BH2557">
        <f>IF(AV2557=0,0,$BG$2474*$AM$2457)</f>
        <v>0</v>
      </c>
      <c r="BI2557">
        <f>IFERROR(BH2557/$AU$2474,0)</f>
        <v>0</v>
      </c>
      <c r="BJ2557">
        <f>BH2557*($F$25+($C$16+$C$17+IF($C$13="single",1.5,3)+3)/12)</f>
        <v>0</v>
      </c>
      <c r="BK2557">
        <f>BJ2557-BA2557</f>
        <v>0</v>
      </c>
      <c r="BL2557" cm="1">
        <f t="array" ref="BL2557">IFERROR(IF(BK2557&lt;0,0,BK2557/($AU$2474-INDEX(hd_off,MATCH(BT2557,hd_mark,0),0)/12)),0)</f>
        <v>0</v>
      </c>
      <c r="BM2557">
        <f>MAX($F$25,$BF$2474)/$Q$2484</f>
        <v>0.29920977011494249</v>
      </c>
      <c r="BN2557">
        <f t="shared" si="1572"/>
        <v>1</v>
      </c>
      <c r="BO2557" cm="1">
        <f t="array" ref="BO2557">IFERROR(INDEX(sheath_ecap_asd,MATCH(BS2557,sheath_mark,0),0)*BN2557,0)</f>
        <v>0</v>
      </c>
      <c r="BP2557" cm="1">
        <f t="array" ref="BP2557">IFERROR(INDEX(sheath_wcap_asd,MATCH(BS2557,sheath_mark,0),0)*BN2557,0)</f>
        <v>0</v>
      </c>
      <c r="BQ2557" cm="1">
        <f t="array" ref="BQ2557">IFERROR(INDEX(hd_cap,MATCH(BT2557,hd_mark,0),0),0)</f>
        <v>0</v>
      </c>
      <c r="BS2557" s="19"/>
      <c r="BT2557" s="19"/>
      <c r="BU2557" s="100"/>
    </row>
    <row r="2558" x14ac:dyDescent="0.25">
      <c r="P2558" s="93"/>
      <c r="AR2558" s="100"/>
      <c r="AS2558" s="93"/>
      <c r="BU2558" s="100"/>
    </row>
    <row r="2559" x14ac:dyDescent="0.25">
      <c r="P2559" s="93"/>
      <c r="Q2559" s="110" t="str">
        <f>$Q$2475</f>
        <v>A.14</v>
      </c>
      <c r="R2559" t="str">
        <f>$Q$2453</f>
        <v>L2</v>
      </c>
      <c r="S2559">
        <f>$E$21</f>
        <v>10.6875</v>
      </c>
      <c r="T2559" cm="1">
        <f t="array" ref="T2559">IFERROR(IF(S2559=0,0,(INDEX($C$33:$C$38,MATCH($W$2475,$B$33:$B$38,0),0)*(S2563+$X$2475)+$T$2475*COUNTIF(S2559:S2575,"&gt;0")*$C$32+$V$2475*$C$31)*$R$2475),0)</f>
        <v>0</v>
      </c>
      <c r="U2559">
        <f>IF(S2559=0,0,-(COUNTIF(S2559:S2575,"&gt;0")*$T$2475*$C$32+$V$2475*$C$31)*$H$27*$R$2475)</f>
        <v>0</v>
      </c>
      <c r="V2559">
        <f>IF(S2559=0,0,$V$2475*$H$26*$R$2475)</f>
        <v>0</v>
      </c>
      <c r="W2559">
        <f>(0.6*T2559+0.7*U2559)*$R$2475/2</f>
        <v>0</v>
      </c>
      <c r="X2559">
        <f>(0.6*T2559+0.6*V2559)*$R$2475/2</f>
        <v>0</v>
      </c>
      <c r="Z2559">
        <f>IF(S2559=0,0,$AD$2475*$AP$2453)</f>
        <v>0</v>
      </c>
      <c r="AA2559">
        <f>IFERROR(Z2559/$R$2475,0)</f>
        <v>0</v>
      </c>
      <c r="AB2559">
        <f>Z2559*($F$21+IF($F$21=0,0,($C$14+$C$15+IF($C$13="single",1.5,3)+3)/12))</f>
        <v>0</v>
      </c>
      <c r="AC2559">
        <f>AB2559-W2559</f>
        <v>0</v>
      </c>
      <c r="AD2559" cm="1">
        <f t="array" ref="AD2559">IFERROR(IF(AC2559&lt;0,0,AC2559/($R$2475-INDEX(hd_off,MATCH(AQ2559,hd_mark,0),0)/12)),0)</f>
        <v>0</v>
      </c>
      <c r="AE2559">
        <f>IF(S2559=0,0,$AD$2475*$AM$2453)</f>
        <v>0</v>
      </c>
      <c r="AF2559">
        <f>IFERROR(AE2559/$R$2475,0)</f>
        <v>0</v>
      </c>
      <c r="AG2559">
        <f>AE2559*($F$21+IF($F$21=0,0,($C$14+$C$15+IF($C$13="single",1.5,3)+3)/12))</f>
        <v>0</v>
      </c>
      <c r="AH2559">
        <f>AG2559-X2559</f>
        <v>0</v>
      </c>
      <c r="AI2559" cm="1">
        <f t="array" ref="AI2559">IFERROR(IF(AH2559&lt;0,0,AH2559/($R$2475-INDEX(hd_off,MATCH(AQ2559,hd_mark,0),0)/12)),0)</f>
        <v>0</v>
      </c>
      <c r="AJ2559">
        <f>MAX($F$21,$Y$2475)/$Q$2484</f>
        <v>0.30172413793103448</v>
      </c>
      <c r="AK2559">
        <f>IF(AJ2559=0,0,IF(AJ2559&gt;2,1.25-0.125*AJ2559,1))</f>
        <v>1</v>
      </c>
      <c r="AL2559" cm="1">
        <f t="array" ref="AL2559">IFERROR(INDEX(sheath_ecap_asd,MATCH(AP2559,sheath_mark,0),0)*AK2559,0)</f>
        <v>0</v>
      </c>
      <c r="AM2559" cm="1">
        <f t="array" ref="AM2559">IFERROR(INDEX(sheath_wcap_asd,MATCH(AP2559,sheath_mark,0),0)*AK2559,0)</f>
        <v>0</v>
      </c>
      <c r="AN2559" cm="1">
        <f t="array" ref="AN2559">IFERROR(INDEX(hd_cap,MATCH(AQ2559,hd_mark,0),0),0)</f>
        <v>0</v>
      </c>
      <c r="AP2559" s="19"/>
      <c r="AQ2559" s="19"/>
      <c r="AR2559" s="100"/>
      <c r="AS2559" s="93"/>
      <c r="AT2559" s="110" t="str">
        <f>$AT$2475</f>
        <v>1.14</v>
      </c>
      <c r="AU2559" t="str">
        <f>$Q$2453</f>
        <v>L2</v>
      </c>
      <c r="AV2559">
        <f>$E$21</f>
        <v>10.6875</v>
      </c>
      <c r="AW2559" cm="1">
        <f t="array" ref="AW2559">IFERROR(IF(AV2559=0,0,(INDEX($C$33:$C$38,MATCH($AZ$2475,$B$33:$B$38,0),0)*(AV2563+$BA$2475)+$AW$2475*COUNTIF(AV2559:AV2575,"&gt;0")*$C$32+$AY$2475*$C$31)*$AU$2475),0)</f>
        <v>0</v>
      </c>
      <c r="AX2559">
        <f>IF(AV2559=0,0,-(COUNTIF(AV2559:AV2575,"&gt;0")*$AW$2475*$C$32+$AY$2475*$C$31)*$H$27*$AU$2475)</f>
        <v>0</v>
      </c>
      <c r="AY2559">
        <f>IF(AV2559=0,0,$AY$2475*$H$26*$AU$2475)</f>
        <v>0</v>
      </c>
      <c r="AZ2559">
        <f>(0.6*AW2559+0.7*AX2559)*$AU$2475/2</f>
        <v>0</v>
      </c>
      <c r="BA2559">
        <f>(0.6*AW2559+0.6*AY2559)*$AU$2475/2</f>
        <v>0</v>
      </c>
      <c r="BC2559">
        <f>IF(AV2559=0,0,$BG$2475*$AP$2453)</f>
        <v>0</v>
      </c>
      <c r="BD2559">
        <f>IFERROR(BC2559/$AU$2475,0)</f>
        <v>0</v>
      </c>
      <c r="BE2559">
        <f>BC2559*($F$21+IF($F$21=0,0,($C$14+$C$15+IF($C$13="single",1.5,3)+3)/12))</f>
        <v>0</v>
      </c>
      <c r="BF2559">
        <f>BE2559-AZ2559</f>
        <v>0</v>
      </c>
      <c r="BG2559" cm="1">
        <f t="array" ref="BG2559">IFERROR(IF(BF2559&lt;0,0,BF2559/($AU$2475-INDEX(hd_off,MATCH(BT2559,hd_mark,0),0)/12)),0)</f>
        <v>0</v>
      </c>
      <c r="BH2559">
        <f>IF(AV2559=0,0,$BG$2475*$AM$2453)</f>
        <v>0</v>
      </c>
      <c r="BI2559">
        <f>IFERROR(BH2559/$AU$2475,0)</f>
        <v>0</v>
      </c>
      <c r="BJ2559">
        <f>BH2559*($F$21+IF($F$21=0,0,($C$14+$C$15+IF($C$13="single",1.5,3)+3)/12))</f>
        <v>0</v>
      </c>
      <c r="BK2559">
        <f>BJ2559-BA2559</f>
        <v>0</v>
      </c>
      <c r="BL2559" cm="1">
        <f t="array" ref="BL2559">IFERROR(IF(BK2559&lt;0,0,BK2559/($AU$2475-INDEX(hd_off,MATCH(BT2559,hd_mark,0),0)/12)),0)</f>
        <v>0</v>
      </c>
      <c r="BM2559">
        <f>MAX($F$21,$BB$2475)/$Q$2484</f>
        <v>0.30172413793103448</v>
      </c>
      <c r="BN2559">
        <f>IF(BM2559=0,0,IF(BM2559&gt;2,1.25-0.125*BM2559,1))</f>
        <v>1</v>
      </c>
      <c r="BO2559" cm="1">
        <f t="array" ref="BO2559">IFERROR(INDEX(sheath_ecap_asd,MATCH(BS2559,sheath_mark,0),0)*BN2559,0)</f>
        <v>0</v>
      </c>
      <c r="BP2559" cm="1">
        <f t="array" ref="BP2559">IFERROR(INDEX(sheath_wcap_asd,MATCH(BS2559,sheath_mark,0),0)*BN2559,0)</f>
        <v>0</v>
      </c>
      <c r="BQ2559" cm="1">
        <f t="array" ref="BQ2559">IFERROR(INDEX(hd_cap,MATCH(BT2559,hd_mark,0),0),0)</f>
        <v>0</v>
      </c>
      <c r="BS2559" s="19"/>
      <c r="BT2559" s="19"/>
      <c r="BU2559" s="100"/>
    </row>
    <row r="2560" x14ac:dyDescent="0.25">
      <c r="P2560" s="93"/>
      <c r="Q2560" s="109"/>
      <c r="R2560" t="str">
        <f>$Q$2454</f>
        <v>L3</v>
      </c>
      <c r="S2560">
        <f>$E$22</f>
        <v>21.375</v>
      </c>
      <c r="T2560" cm="1">
        <f t="array" ref="T2560">IFERROR(IF(S2560=0,0,(INDEX($C$33:$C$38,MATCH($W$2475,$B$33:$B$38,0),0)*(S2563+$X$2475)+$T$2475*COUNTIF(S2560:S2575,"&gt;0")*$C$32+$V$2475*$C$31)*$R$2475),0)</f>
        <v>0</v>
      </c>
      <c r="U2560">
        <f>IF(S2560=0,0,-(COUNTIF(S2560:S2575,"&gt;0")*$T$2475*$C$32+$V$2475*$C$31)*$H$27*$R$2475)</f>
        <v>0</v>
      </c>
      <c r="V2560">
        <f>IF(S2560=0,0,$V$2475*$H$26*$R$2475)</f>
        <v>0</v>
      </c>
      <c r="W2560">
        <f>(0.6*T2560+0.7*U2560)*$R$2475/2</f>
        <v>0</v>
      </c>
      <c r="X2560">
        <f>T2560*$R$2475/2</f>
        <v>0</v>
      </c>
      <c r="Z2560">
        <f>IF(S2560=0,0,$AD$2475*$AP$2454)</f>
        <v>0</v>
      </c>
      <c r="AA2560">
        <f>IFERROR(Z2560/$R$2475,0)</f>
        <v>0</v>
      </c>
      <c r="AB2560">
        <f>Z2560*($F$22+IF($F$22=0,0,($C$14+$C$15+IF($C$13="single",1.5,3)+3)/12))</f>
        <v>0</v>
      </c>
      <c r="AC2560">
        <f>AB2560-W2560</f>
        <v>0</v>
      </c>
      <c r="AD2560" cm="1">
        <f t="array" ref="AD2560">IFERROR(IF(AC2560&lt;0,0,AC2560/($R$2475-INDEX(hd_off,MATCH(AQ2560,hd_mark,0),0)/12)),0)</f>
        <v>0</v>
      </c>
      <c r="AE2560">
        <f>IF(S2560=0,0,$AD$2475*$AM$2454)</f>
        <v>0</v>
      </c>
      <c r="AF2560">
        <f>IFERROR(AE2560/$R$2475,0)</f>
        <v>0</v>
      </c>
      <c r="AG2560">
        <f>AE2560*($F$22+IF($F$22=0,0,($C$14+$C$15+IF($C$13="single",1.5,3)+3)/12))</f>
        <v>0</v>
      </c>
      <c r="AH2560">
        <f>AG2560-X2560</f>
        <v>0</v>
      </c>
      <c r="AI2560" cm="1">
        <f t="array" ref="AI2560">IFERROR(IF(AH2560&lt;0,0,AH2560/($R$2475-INDEX(hd_off,MATCH(AQ2560,hd_mark,0),0)/12)),0)</f>
        <v>0</v>
      </c>
      <c r="AJ2560">
        <f>MAX($F$22,$Z$2475)/$Q$2484</f>
        <v>0.30172413793103448</v>
      </c>
      <c r="AK2560">
        <f t="shared" ref="AK2560:AK2563" si="1573">IF(AJ2560=0,0,IF(AJ2560&gt;2,1.25-0.125*AJ2560,1))</f>
        <v>1</v>
      </c>
      <c r="AL2560" cm="1">
        <f t="array" ref="AL2560">IFERROR(INDEX(sheath_ecap_asd,MATCH(AP2560,sheath_mark,0),0)*AK2560,0)</f>
        <v>0</v>
      </c>
      <c r="AM2560" cm="1">
        <f t="array" ref="AM2560">IFERROR(INDEX(sheath_wcap_asd,MATCH(AP2560,sheath_mark,0),0)*AK2560,0)</f>
        <v>0</v>
      </c>
      <c r="AN2560" cm="1">
        <f t="array" ref="AN2560">IFERROR(INDEX(hd_cap,MATCH(AQ2560,hd_mark,0),0),0)</f>
        <v>0</v>
      </c>
      <c r="AP2560" s="19"/>
      <c r="AQ2560" s="19"/>
      <c r="AR2560" s="100"/>
      <c r="AS2560" s="93"/>
      <c r="AT2560" s="109"/>
      <c r="AU2560" t="str">
        <f>$Q$2454</f>
        <v>L3</v>
      </c>
      <c r="AV2560">
        <f>$E$22</f>
        <v>21.375</v>
      </c>
      <c r="AW2560" cm="1">
        <f t="array" ref="AW2560">IFERROR(IF(AV2560=0,0,(INDEX($C$33:$C$38,MATCH($AZ$2475,$B$33:$B$38,0),0)*(AV2563+$BA$2475)+$AW$2475*COUNTIF(AV2560:AV2575,"&gt;0")*$C$32+$AY$2475*$C$31)*$AU$2475),0)</f>
        <v>0</v>
      </c>
      <c r="AX2560">
        <f>IF(AV2560=0,0,-(COUNTIF(AV2560:AV2575,"&gt;0")*$AW$2475*$C$32+$AY$2475*$C$31)*$H$27*$AU$2475)</f>
        <v>0</v>
      </c>
      <c r="AY2560">
        <f>IF(AV2560=0,0,$AY$2475*$H$26*$AU$2475)</f>
        <v>0</v>
      </c>
      <c r="AZ2560">
        <f>(0.6*AW2560+0.7*AX2560)*$AU$2475/2</f>
        <v>0</v>
      </c>
      <c r="BA2560">
        <f>AW2560*$AU$2475/2</f>
        <v>0</v>
      </c>
      <c r="BC2560">
        <f>IF(AV2560=0,0,$BG$2475*$AP$2454)</f>
        <v>0</v>
      </c>
      <c r="BD2560">
        <f>IFERROR(BC2560/$AU$2475,0)</f>
        <v>0</v>
      </c>
      <c r="BE2560">
        <f>BC2560*($F$22+IF($F$22=0,0,($C$14+$C$15+IF($C$13="single",1.5,3)+3)/12))</f>
        <v>0</v>
      </c>
      <c r="BF2560">
        <f>BE2560-AZ2560</f>
        <v>0</v>
      </c>
      <c r="BG2560" cm="1">
        <f t="array" ref="BG2560">IFERROR(IF(BF2560&lt;0,0,BF2560/($AU$2475-INDEX(hd_off,MATCH(BT2560,hd_mark,0),0)/12)),0)</f>
        <v>0</v>
      </c>
      <c r="BH2560">
        <f>IF(AV2560=0,0,$BG$2475*$AM$2454)</f>
        <v>0</v>
      </c>
      <c r="BI2560">
        <f>IFERROR(BH2560/$AU$2475,0)</f>
        <v>0</v>
      </c>
      <c r="BJ2560">
        <f>BH2560*($F$22+IF($F$22=0,0,($C$14+$C$15+IF($C$13="single",1.5,3)+3)/12))</f>
        <v>0</v>
      </c>
      <c r="BK2560">
        <f>BJ2560-BA2560</f>
        <v>0</v>
      </c>
      <c r="BL2560" cm="1">
        <f t="array" ref="BL2560">IFERROR(IF(BK2560&lt;0,0,BK2560/($AU$2475-INDEX(hd_off,MATCH(BT2560,hd_mark,0),0)/12)),0)</f>
        <v>0</v>
      </c>
      <c r="BM2560">
        <f>MAX($F$22,$BC$2475)/$Q$2484</f>
        <v>0.30172413793103448</v>
      </c>
      <c r="BN2560">
        <f t="shared" ref="BN2560:BN2561" si="1574">IF(BM2560=0,0,IF(BM2560&gt;2,1.25-0.125*BM2560,1))</f>
        <v>1</v>
      </c>
      <c r="BO2560" cm="1">
        <f t="array" ref="BO2560">IFERROR(INDEX(sheath_ecap_asd,MATCH(BS2560,sheath_mark,0),0)*BN2560,0)</f>
        <v>0</v>
      </c>
      <c r="BP2560" cm="1">
        <f t="array" ref="BP2560">IFERROR(INDEX(sheath_wcap_asd,MATCH(BS2560,sheath_mark,0),0)*BN2560,0)</f>
        <v>0</v>
      </c>
      <c r="BQ2560" cm="1">
        <f t="array" ref="BQ2560">IFERROR(INDEX(hd_cap,MATCH(BT2560,hd_mark,0),0),0)</f>
        <v>0</v>
      </c>
      <c r="BS2560" s="19"/>
      <c r="BT2560" s="19"/>
      <c r="BU2560" s="100"/>
    </row>
    <row r="2561" x14ac:dyDescent="0.25">
      <c r="P2561" s="93"/>
      <c r="Q2561" s="109" t="s">
        <v>491</v>
      </c>
      <c r="R2561" t="str">
        <f>$Q$2455</f>
        <v>L4</v>
      </c>
      <c r="S2561">
        <f>$E$23</f>
        <v>0</v>
      </c>
      <c r="T2561" cm="1">
        <f t="array" ref="T2561">IFERROR(IF(S2561=0,0,(INDEX($C$33:$C$38,MATCH($W$2475,$B$33:$B$38,0),0)*(S2563+$X$2475)+$T$2475*COUNTIF(S2561:S2575,"&gt;0")*$C$32+$V$2475*$C$31)*$R$2475),0)</f>
        <v>0</v>
      </c>
      <c r="U2561">
        <f>IF(S2561=0,0,-(COUNTIF(S2561:S2575,"&gt;0")*$T$2475*$C$32+$V$2475*$C$31)*$H$27*$R$2475)</f>
        <v>0</v>
      </c>
      <c r="V2561">
        <f>IF(S2561=0,0,$V$2475*$H$26*$R$2475)</f>
        <v>0</v>
      </c>
      <c r="W2561">
        <f>(0.6*T2561+0.7*U2561)*$R$2475/2</f>
        <v>0</v>
      </c>
      <c r="X2561">
        <f>T2561*$R$2475/2</f>
        <v>0</v>
      </c>
      <c r="Z2561">
        <f>IF(S2561=0,0,$AD$2475*$AP$2455)</f>
        <v>0</v>
      </c>
      <c r="AA2561">
        <f>IFERROR(Z2561/$R$2475,0)</f>
        <v>0</v>
      </c>
      <c r="AB2561">
        <f>Z2561*($F$23+IF($F$23=0,0,($C$14+$C$15+IF($C$13="single",1.5,3)+3)/12))</f>
        <v>0</v>
      </c>
      <c r="AC2561">
        <f>AB2561-W2561</f>
        <v>0</v>
      </c>
      <c r="AD2561" cm="1">
        <f t="array" ref="AD2561">IFERROR(IF(AC2561&lt;0,0,AC2561/($R$2475-INDEX(hd_off,MATCH(AQ2561,hd_mark,0),0)/12)),0)</f>
        <v>0</v>
      </c>
      <c r="AE2561">
        <f>IF(S2561=0,0,$AD$2475*$AM$2455)</f>
        <v>0</v>
      </c>
      <c r="AF2561">
        <f>IFERROR(AE2561/$R$2475,0)</f>
        <v>0</v>
      </c>
      <c r="AG2561">
        <f>AE2561*($F$23+IF($F$23=0,0,($C$14+$C$15+IF($C$13="single",1.5,3)+3)/12))</f>
        <v>0</v>
      </c>
      <c r="AH2561">
        <f>AG2561-X2561</f>
        <v>0</v>
      </c>
      <c r="AI2561" cm="1">
        <f t="array" ref="AI2561">IFERROR(IF(AH2561&lt;0,0,AH2561/($R$2475-INDEX(hd_off,MATCH(AQ2561,hd_mark,0),0)/12)),0)</f>
        <v>0</v>
      </c>
      <c r="AJ2561">
        <f>MAX($F$23,$AA$2475)/$Q$2484</f>
        <v>0</v>
      </c>
      <c r="AK2561">
        <f t="shared" si="1573"/>
        <v>0</v>
      </c>
      <c r="AL2561" cm="1">
        <f t="array" ref="AL2561">IFERROR(INDEX(sheath_ecap_asd,MATCH(AP2561,sheath_mark,0),0)*AK2561,0)</f>
        <v>0</v>
      </c>
      <c r="AM2561" cm="1">
        <f t="array" ref="AM2561">IFERROR(INDEX(sheath_wcap_asd,MATCH(AP2561,sheath_mark,0),0)*AK2561,0)</f>
        <v>0</v>
      </c>
      <c r="AN2561" cm="1">
        <f t="array" ref="AN2561">IFERROR(INDEX(hd_cap,MATCH(AQ2561,hd_mark,0),0),0)</f>
        <v>0</v>
      </c>
      <c r="AP2561" s="19"/>
      <c r="AQ2561" s="19"/>
      <c r="AR2561" s="100"/>
      <c r="AS2561" s="93"/>
      <c r="AT2561" s="109" t="s">
        <v>491</v>
      </c>
      <c r="AU2561" t="str">
        <f>$Q$2455</f>
        <v>L4</v>
      </c>
      <c r="AV2561">
        <f>$E$23</f>
        <v>0</v>
      </c>
      <c r="AW2561" cm="1">
        <f t="array" ref="AW2561">IFERROR(IF(AV2561=0,0,(INDEX($C$33:$C$38,MATCH($AZ$2475,$B$33:$B$38,0),0)*(AV2563+$BA$2475)+$AW$2475*COUNTIF(AV2561:AV2575,"&gt;0")*$C$32+$AY$2475*$C$31)*$AU$2475),0)</f>
        <v>0</v>
      </c>
      <c r="AX2561">
        <f>IF(AV2561=0,0,-(COUNTIF(AV2561:AV2575,"&gt;0")*$AW$2475*$C$32+$AY$2475*$C$31)*$H$27*$AU$2475)</f>
        <v>0</v>
      </c>
      <c r="AY2561">
        <f>IF(AV2561=0,0,$AY$2475*$H$26*$AU$2475)</f>
        <v>0</v>
      </c>
      <c r="AZ2561">
        <f>(0.6*AW2561+0.7*AX2561)*$AU$2475/2</f>
        <v>0</v>
      </c>
      <c r="BA2561">
        <f>AW2561*$AU$2475/2</f>
        <v>0</v>
      </c>
      <c r="BC2561">
        <f>IF(AV2561=0,0,$BG$2475*$AP$2455)</f>
        <v>0</v>
      </c>
      <c r="BD2561">
        <f>IFERROR(BC2561/$AU$2475,0)</f>
        <v>0</v>
      </c>
      <c r="BE2561">
        <f>BC2561*($F$23+IF($F$23=0,0,($C$14+$C$15+IF($C$13="single",1.5,3)+3)/12))</f>
        <v>0</v>
      </c>
      <c r="BF2561">
        <f>BE2561-AZ2561</f>
        <v>0</v>
      </c>
      <c r="BG2561" cm="1">
        <f t="array" ref="BG2561">IFERROR(IF(BF2561&lt;0,0,BF2561/($AU$2475-INDEX(hd_off,MATCH(BT2561,hd_mark,0),0)/12)),0)</f>
        <v>0</v>
      </c>
      <c r="BH2561">
        <f>IF(AV2561=0,0,$BG$2475*$AM$2455)</f>
        <v>0</v>
      </c>
      <c r="BI2561">
        <f>IFERROR(BH2561/$AU$2475,0)</f>
        <v>0</v>
      </c>
      <c r="BJ2561">
        <f>BH2561*($F$23+IF($F$23=0,0,($C$14+$C$15+IF($C$13="single",1.5,3)+3)/12))</f>
        <v>0</v>
      </c>
      <c r="BK2561">
        <f>BJ2561-BA2561</f>
        <v>0</v>
      </c>
      <c r="BL2561" cm="1">
        <f t="array" ref="BL2561">IFERROR(IF(BK2561&lt;0,0,BK2561/($AU$2475-INDEX(hd_off,MATCH(BT2561,hd_mark,0),0)/12)),0)</f>
        <v>0</v>
      </c>
      <c r="BM2561">
        <f>MAX($F$23,$BD$2475)/$Q$2484</f>
        <v>0</v>
      </c>
      <c r="BN2561">
        <f t="shared" si="1574"/>
        <v>0</v>
      </c>
      <c r="BO2561" cm="1">
        <f t="array" ref="BO2561">IFERROR(INDEX(sheath_ecap_asd,MATCH(BS2561,sheath_mark,0),0)*BN2561,0)</f>
        <v>0</v>
      </c>
      <c r="BP2561" cm="1">
        <f t="array" ref="BP2561">IFERROR(INDEX(sheath_wcap_asd,MATCH(BS2561,sheath_mark,0),0)*BN2561,0)</f>
        <v>0</v>
      </c>
      <c r="BQ2561" cm="1">
        <f t="array" ref="BQ2561">IFERROR(INDEX(hd_cap,MATCH(BT2561,hd_mark,0),0),0)</f>
        <v>0</v>
      </c>
      <c r="BS2561" s="19"/>
      <c r="BT2561" s="19"/>
      <c r="BU2561" s="100"/>
    </row>
    <row r="2562" x14ac:dyDescent="0.25">
      <c r="P2562" s="93"/>
      <c r="Q2562" s="111">
        <f>$R$2475</f>
        <v>0</v>
      </c>
      <c r="R2562" t="str">
        <f>$Q$2456</f>
        <v>L5</v>
      </c>
      <c r="S2562">
        <f>$E$24</f>
        <v>0</v>
      </c>
      <c r="T2562" cm="1">
        <f t="array" ref="T2562">IFERROR(IF(S2575=0,0,(INDEX($C$33:$C$38,MATCH($W$2475,$B$33:$B$38,0),0)*(S2563+$X$2475)+$T$2475*COUNTIF(S2575:S2575,"&gt;0")*$C$32+$V$2475*$C$31)*$R$2475),0)</f>
        <v>0</v>
      </c>
      <c r="U2562">
        <f>IF(S2575=0,0,-(COUNTIF(S2575:S2575,"&gt;0")*$T$2475*$C$32+$V$2475*$C$31)*$H$27*$R$2475)</f>
        <v>0</v>
      </c>
      <c r="V2562">
        <f>IF(S2575=0,0,$V$2475*$H$26*$R$2475)</f>
        <v>0</v>
      </c>
      <c r="W2562">
        <f>(0.6*T2575+0.7*U2575)*$R$2475/2</f>
        <v>0</v>
      </c>
      <c r="X2562">
        <f>T2575*$R$2475/2</f>
        <v>0</v>
      </c>
      <c r="Z2562">
        <f>IF(S2575=0,0,$AD$2475*$AP$2456)</f>
        <v>0</v>
      </c>
      <c r="AA2562">
        <f>IFERROR(Z2575/$R$2475,0)</f>
        <v>0</v>
      </c>
      <c r="AB2562">
        <f>Z2575*($F$24+IF($F$24=0,0,($C$14+$C$15+IF($C$13="single",1.5,3)+3)/12))</f>
        <v>0</v>
      </c>
      <c r="AC2562">
        <f>AB2575-W2575</f>
        <v>0</v>
      </c>
      <c r="AD2562" cm="1">
        <f t="array" ref="AD2562">IFERROR(IF(AC2575&lt;0,0,AC2575/($R$2475-INDEX(hd_off,MATCH(AQ2575,hd_mark,0),0)/12)),0)</f>
        <v>0</v>
      </c>
      <c r="AE2562">
        <f>IF(S2575=0,0,$AD$2475*$AM$2456)</f>
        <v>0</v>
      </c>
      <c r="AF2562">
        <f>IFERROR(AE2575/$R$2475,0)</f>
        <v>0</v>
      </c>
      <c r="AG2562">
        <f>AE2575*($F$24+IF($F$24=0,0,($C$14+$C$15+IF($C$13="single",1.5,3)+3)/12))</f>
        <v>0</v>
      </c>
      <c r="AH2562">
        <f>AG2575-X2575</f>
        <v>0</v>
      </c>
      <c r="AI2562" cm="1">
        <f t="array" ref="AI2562">IFERROR(IF(AH2575&lt;0,0,AH2575/($R$2475-INDEX(hd_off,MATCH(AQ2575,hd_mark,0),0)/12)),0)</f>
        <v>0</v>
      </c>
      <c r="AJ2562">
        <f>MAX($F$24,$AB$2475)/$Q$2484</f>
        <v>0</v>
      </c>
      <c r="AK2562">
        <f>IF(AJ2575=0,0,IF(AJ2575&gt;2,1.25-0.125*AJ2575,1))</f>
        <v>1</v>
      </c>
      <c r="AL2562" cm="1">
        <f t="array" ref="AL2562">IFERROR(INDEX(sheath_ecap_asd,MATCH(AP2575,sheath_mark,0),0)*AK2575,0)</f>
        <v>0</v>
      </c>
      <c r="AM2562" cm="1">
        <f t="array" ref="AM2562">IFERROR(INDEX(sheath_wcap_asd,MATCH(AP2575,sheath_mark,0),0)*AK2575,0)</f>
        <v>0</v>
      </c>
      <c r="AN2562" cm="1">
        <f t="array" ref="AN2562">IFERROR(INDEX(hd_cap,MATCH(AQ2575,hd_mark,0),0),0)</f>
        <v>0</v>
      </c>
      <c r="AP2562" s="19"/>
      <c r="AQ2562" s="19"/>
      <c r="AR2562" s="100"/>
      <c r="AS2562" s="93"/>
      <c r="AT2562" s="111">
        <f>$R$2475</f>
        <v>0</v>
      </c>
      <c r="AU2562" t="str">
        <f>$Q$2456</f>
        <v>L5</v>
      </c>
      <c r="AV2562">
        <f>$E$24</f>
        <v>0</v>
      </c>
      <c r="AW2562" cm="1">
        <f t="array" ref="AW2562">IFERROR(IF(AV2575=0,0,(INDEX($C$33:$C$38,MATCH($AZ$2475,$B$33:$B$38,0),0)*(AV2563+$BA$2475)+$AW$2475*COUNTIF(AV2575:AV2575,"&gt;0")*$C$32+$AY$2475*$C$31)*$AU$2475),0)</f>
        <v>0</v>
      </c>
      <c r="AX2562">
        <f>IF(AV2575=0,0,-(COUNTIF(AV2575:AV2575,"&gt;0")*$AW$2475*$C$32+$AY$2475*$C$31)*$H$27*$AU$2475)</f>
        <v>0</v>
      </c>
      <c r="AY2562">
        <f>IF(AV2575=0,0,$AY$2475*$H$26*$AU$2475)</f>
        <v>0</v>
      </c>
      <c r="AZ2562">
        <f>(0.6*AW2575+0.7*AX2575)*$AU$2475/2</f>
        <v>0</v>
      </c>
      <c r="BA2562">
        <f>AW2575*$AU$2475/2</f>
        <v>0</v>
      </c>
      <c r="BC2562">
        <f>IF(AV2575=0,0,$BG$2475*$AP$2456)</f>
        <v>0</v>
      </c>
      <c r="BD2562">
        <f>IFERROR(BC2575/$AU$2475,0)</f>
        <v>0</v>
      </c>
      <c r="BE2562">
        <f>BC2575*($F$24+IF($F$24=0,0,($C$14+$C$15+IF($C$13="single",1.5,3)+3)/12))</f>
        <v>0</v>
      </c>
      <c r="BF2562">
        <f>BE2575-AZ2575</f>
        <v>0</v>
      </c>
      <c r="BG2562" cm="1">
        <f t="array" ref="BG2562">IFERROR(IF(BF2575&lt;0,0,BF2575/($AU$2475-INDEX(hd_off,MATCH(BT2575,hd_mark,0),0)/12)),0)</f>
        <v>0</v>
      </c>
      <c r="BH2562">
        <f>IF(AV2575=0,0,$BG$2475*$AM$2456)</f>
        <v>0</v>
      </c>
      <c r="BI2562">
        <f>IFERROR(BH2575/$AU$2475,0)</f>
        <v>0</v>
      </c>
      <c r="BJ2562">
        <f>BH2575*($F$24+IF($F$24=0,0,($C$14+$C$15+IF($C$13="single",1.5,3)+3)/12))</f>
        <v>0</v>
      </c>
      <c r="BK2562">
        <f>BJ2575-BA2575</f>
        <v>0</v>
      </c>
      <c r="BL2562" cm="1">
        <f t="array" ref="BL2562">IFERROR(IF(BK2575&lt;0,0,BK2575/($AU$2475-INDEX(hd_off,MATCH(BT2575,hd_mark,0),0)/12)),0)</f>
        <v>0</v>
      </c>
      <c r="BM2562">
        <f>MAX($F$24,$BE$2475)/$Q$2484</f>
        <v>0</v>
      </c>
      <c r="BN2562">
        <f>IF(BM2575=0,0,IF(BM2575&gt;2,1.25-0.125*BM2575,1))</f>
        <v>0</v>
      </c>
      <c r="BO2562" cm="1">
        <f t="array" ref="BO2562">IFERROR(INDEX(sheath_ecap_asd,MATCH(BS2575,sheath_mark,0),0)*BN2575,0)</f>
        <v>0</v>
      </c>
      <c r="BP2562" cm="1">
        <f t="array" ref="BP2562">IFERROR(INDEX(sheath_wcap_asd,MATCH(BS2575,sheath_mark,0),0)*BN2575,0)</f>
        <v>0</v>
      </c>
      <c r="BQ2562" cm="1">
        <f t="array" ref="BQ2562">IFERROR(INDEX(hd_cap,MATCH(BT2575,hd_mark,0),0),0)</f>
        <v>0</v>
      </c>
      <c r="BS2562" s="19"/>
      <c r="BT2562" s="19"/>
      <c r="BU2562" s="100"/>
    </row>
    <row r="2563" x14ac:dyDescent="0.25">
      <c r="P2563" s="93"/>
      <c r="Q2563" s="109"/>
      <c r="R2563" t="str">
        <f>$Q$2457</f>
        <v>Roof</v>
      </c>
      <c r="S2563">
        <f>$E$25</f>
        <v>33.171875</v>
      </c>
      <c r="T2563" cm="1">
        <f t="array" ref="T2563">IFERROR(IF(S2563=0,0,(INDEX($C$33:$C$38,MATCH($W$2475,$B$33:$B$38,0),0)*(S2563+$X$2475)+$V$2475*$C$31)*$R$2475),0)</f>
        <v>0</v>
      </c>
      <c r="U2563">
        <f>IF(S2563=0,0,-$V$2475*$C$31*$H$27*$R$2475)</f>
        <v>0</v>
      </c>
      <c r="V2563">
        <f>IF(S2563=0,0,$V$2475*$H$26*$R$2475)</f>
        <v>0</v>
      </c>
      <c r="W2563">
        <f>(0.6*T2563+0.7*U2563)*$R$2475/2</f>
        <v>0</v>
      </c>
      <c r="X2563">
        <f>T2563*$R$2475/2</f>
        <v>0</v>
      </c>
      <c r="Z2563">
        <f>IF(S2563=0,0,$AD$2475*$AP$2457)</f>
        <v>0</v>
      </c>
      <c r="AA2563">
        <f>IFERROR(Z2563/$R$2475,0)</f>
        <v>0</v>
      </c>
      <c r="AB2563">
        <f>Z2563*($F$25+($C$16+$C$17+IF($C$13="single",1.5,3)+3)/12)</f>
        <v>0</v>
      </c>
      <c r="AC2563">
        <f>AB2563-W2563</f>
        <v>0</v>
      </c>
      <c r="AD2563" cm="1">
        <f t="array" ref="AD2563">IFERROR(IF(AC2563&lt;0,0,AC2563/($R$2475-INDEX(hd_off,MATCH(AQ2563,hd_mark,0),0)/12)),0)</f>
        <v>0</v>
      </c>
      <c r="AE2563">
        <f>IF(S2563=0,0,$AD$2475*$AM$2457)</f>
        <v>0</v>
      </c>
      <c r="AF2563">
        <f>IFERROR(AE2563/$R$2475,0)</f>
        <v>0</v>
      </c>
      <c r="AG2563">
        <f>AE2563*($F$25+($C$16+$C$17+IF($C$13="single",1.5,3)+3)/12)</f>
        <v>0</v>
      </c>
      <c r="AH2563">
        <f>AG2563-X2563</f>
        <v>0</v>
      </c>
      <c r="AI2563" cm="1">
        <f t="array" ref="AI2563">IFERROR(IF(AH2563&lt;0,0,AH2563/($R$2475-INDEX(hd_off,MATCH(AQ2563,hd_mark,0),0)/12)),0)</f>
        <v>0</v>
      </c>
      <c r="AJ2563">
        <f>MAX($F$25,$AC$2475)/$Q$2484</f>
        <v>0.29920977011494249</v>
      </c>
      <c r="AK2563">
        <f t="shared" si="1573"/>
        <v>1</v>
      </c>
      <c r="AL2563" cm="1">
        <f t="array" ref="AL2563">IFERROR(INDEX(sheath_ecap_asd,MATCH(AP2563,sheath_mark,0),0)*AK2563,0)</f>
        <v>0</v>
      </c>
      <c r="AM2563" cm="1">
        <f t="array" ref="AM2563">IFERROR(INDEX(sheath_wcap_asd,MATCH(AP2563,sheath_mark,0),0)*AK2563,0)</f>
        <v>0</v>
      </c>
      <c r="AN2563" cm="1">
        <f t="array" ref="AN2563">IFERROR(INDEX(hd_cap,MATCH(AQ2563,hd_mark,0),0),0)</f>
        <v>0</v>
      </c>
      <c r="AP2563" s="19"/>
      <c r="AQ2563" s="19"/>
      <c r="AR2563" s="100"/>
      <c r="AS2563" s="93"/>
      <c r="AT2563" s="109"/>
      <c r="AU2563" t="str">
        <f>$Q$2457</f>
        <v>Roof</v>
      </c>
      <c r="AV2563">
        <f>$E$25</f>
        <v>33.171875</v>
      </c>
      <c r="AW2563" cm="1">
        <f t="array" ref="AW2563">IFERROR(IF(AV2563=0,0,(INDEX($C$33:$C$38,MATCH($AZ$2475,$B$33:$B$38,0),0)*(AV2563+$BA$2475)+$AY$2475*$C$31)*$AU$2475),0)</f>
        <v>0</v>
      </c>
      <c r="AX2563">
        <f>IF(AV2563=0,0,-$AY$2475*$C$31*$H$27*$AU$2475)</f>
        <v>0</v>
      </c>
      <c r="AY2563">
        <f>IF(AV2563=0,0,$AY$2475*$H$26*$AU$2475)</f>
        <v>0</v>
      </c>
      <c r="AZ2563">
        <f>(0.6*AW2563+0.7*AX2563)*$AU$2475/2</f>
        <v>0</v>
      </c>
      <c r="BA2563">
        <f>AW2563*$AU$2475/2</f>
        <v>0</v>
      </c>
      <c r="BC2563">
        <f>IF(AV2563=0,0,$BG$2475*$AP$2457)</f>
        <v>0</v>
      </c>
      <c r="BD2563">
        <f>IFERROR(BC2563/$AU$2475,0)</f>
        <v>0</v>
      </c>
      <c r="BE2563">
        <f>BC2563*($F$25+($C$16+$C$17+IF($C$13="single",1.5,3)+3)/12)</f>
        <v>0</v>
      </c>
      <c r="BF2563">
        <f>BE2563-AZ2563</f>
        <v>0</v>
      </c>
      <c r="BG2563" cm="1">
        <f t="array" ref="BG2563">IFERROR(IF(BF2563&lt;0,0,BF2563/($AU$2475-INDEX(hd_off,MATCH(BT2563,hd_mark,0),0)/12)),0)</f>
        <v>0</v>
      </c>
      <c r="BH2563">
        <f>IF(AV2563=0,0,$BG$2475*$AM$2457)</f>
        <v>0</v>
      </c>
      <c r="BI2563">
        <f>IFERROR(BH2563/$AU$2475,0)</f>
        <v>0</v>
      </c>
      <c r="BJ2563">
        <f>BH2563*($F$25+($C$16+$C$17+IF($C$13="single",1.5,3)+3)/12)</f>
        <v>0</v>
      </c>
      <c r="BK2563">
        <f>BJ2563-BA2563</f>
        <v>0</v>
      </c>
      <c r="BL2563" cm="1">
        <f t="array" ref="BL2563">IFERROR(IF(BK2563&lt;0,0,BK2563/($AU$2475-INDEX(hd_off,MATCH(BT2563,hd_mark,0),0)/12)),0)</f>
        <v>0</v>
      </c>
      <c r="BM2563">
        <f>MAX($F$25,$BF$2475)/$Q$2484</f>
        <v>0.29920977011494249</v>
      </c>
      <c r="BN2563">
        <f t="shared" ref="BN2563" si="1575">IF(BM2563=0,0,IF(BM2563&gt;2,1.25-0.125*BM2563,1))</f>
        <v>1</v>
      </c>
      <c r="BO2563" cm="1">
        <f t="array" ref="BO2563">IFERROR(INDEX(sheath_ecap_asd,MATCH(BS2563,sheath_mark,0),0)*BN2563,0)</f>
        <v>0</v>
      </c>
      <c r="BP2563" cm="1">
        <f t="array" ref="BP2563">IFERROR(INDEX(sheath_wcap_asd,MATCH(BS2563,sheath_mark,0),0)*BN2563,0)</f>
        <v>0</v>
      </c>
      <c r="BQ2563" cm="1">
        <f t="array" ref="BQ2563">IFERROR(INDEX(hd_cap,MATCH(BT2563,hd_mark,0),0),0)</f>
        <v>0</v>
      </c>
      <c r="BS2563" s="19"/>
      <c r="BT2563" s="19"/>
      <c r="BU2563" s="100"/>
    </row>
    <row r="2564" x14ac:dyDescent="0.25">
      <c r="P2564" s="93"/>
      <c r="AR2564" s="100"/>
      <c r="AS2564" s="93"/>
      <c r="BU2564" s="100"/>
    </row>
    <row r="2565" x14ac:dyDescent="0.25">
      <c r="P2565" s="93"/>
      <c r="Q2565" s="110" t="str">
        <f>$Q$2476</f>
        <v>A.15</v>
      </c>
      <c r="R2565" t="str">
        <f>$Q$2453</f>
        <v>L2</v>
      </c>
      <c r="S2565">
        <f>$E$21</f>
        <v>10.6875</v>
      </c>
      <c r="T2565" cm="1">
        <f t="array" ref="T2565">IFERROR(IF(S2565=0,0,(INDEX($C$33:$C$38,MATCH($W$2476,$B$33:$B$38,0),0)*(S2569+$X$2476)+$T$2476*COUNTIF(S2565:S2568,"&gt;0")*$C$32+$V$2476*$C$31)*$R$2476),0)</f>
        <v>0</v>
      </c>
      <c r="U2565">
        <f>IF(S2565=0,0,-(COUNTIF(S2565:S2568,"&gt;0")*$T$2476*$C$32+$V$2476*$C$31)*$H$27*$R$2476)</f>
        <v>0</v>
      </c>
      <c r="V2565">
        <f>IF(S2565=0,0,$V$2476*$H$26*$R$2476)</f>
        <v>0</v>
      </c>
      <c r="W2565">
        <f>(0.6*T2565+0.7*U2565)*$R$2476/2</f>
        <v>0</v>
      </c>
      <c r="X2565">
        <f>(0.6*T2565+0.6*V2565)*$R$2476/2</f>
        <v>0</v>
      </c>
      <c r="Z2565">
        <f>IF(S2565=0,0,$AD$2476*$AP$2453)</f>
        <v>0</v>
      </c>
      <c r="AA2565">
        <f>IFERROR(Z2565/$R$2476,0)</f>
        <v>0</v>
      </c>
      <c r="AB2565">
        <f>Z2565*($F$21+IF($F$21=0,0,($C$14+$C$15+IF($C$13="single",1.5,3)+3)/12))</f>
        <v>0</v>
      </c>
      <c r="AC2565">
        <f>AB2565-W2565</f>
        <v>0</v>
      </c>
      <c r="AD2565" cm="1">
        <f t="array" ref="AD2565">IFERROR(IF(AC2565&lt;0,0,AC2565/($R$2476-INDEX(hd_off,MATCH(AQ2565,hd_mark,0),0)/12)),0)</f>
        <v>0</v>
      </c>
      <c r="AE2565">
        <f>IF(S2565=0,0,$AD$2476*$AM$2453)</f>
        <v>0</v>
      </c>
      <c r="AF2565">
        <f>IFERROR(AE2565/$R$2476,0)</f>
        <v>0</v>
      </c>
      <c r="AG2565">
        <f>AE2565*($F$21+IF($F$21=0,0,($C$14+$C$15+IF($C$13="single",1.5,3)+3)/12))</f>
        <v>0</v>
      </c>
      <c r="AH2565">
        <f>AG2565-X2565</f>
        <v>0</v>
      </c>
      <c r="AI2565" cm="1">
        <f t="array" ref="AI2565">IFERROR(IF(AH2565&lt;0,0,AH2565/($R$2476-INDEX(hd_off,MATCH(AQ2565,hd_mark,0),0)/12)),0)</f>
        <v>0</v>
      </c>
      <c r="AJ2565">
        <f>MAX($F$21,$Y$2476)/$Q$2484</f>
        <v>0.30172413793103448</v>
      </c>
      <c r="AK2565">
        <f>IF(AJ2565=0,0,IF(AJ2565&gt;2,1.25-0.125*AJ2565,1))</f>
        <v>1</v>
      </c>
      <c r="AL2565" cm="1">
        <f t="array" ref="AL2565">IFERROR(INDEX(sheath_ecap_asd,MATCH(AP2565,sheath_mark,0),0)*AK2565,0)</f>
        <v>0</v>
      </c>
      <c r="AM2565" cm="1">
        <f t="array" ref="AM2565">IFERROR(INDEX(sheath_wcap_asd,MATCH(AP2565,sheath_mark,0),0)*AK2565,0)</f>
        <v>0</v>
      </c>
      <c r="AN2565" cm="1">
        <f t="array" ref="AN2565">IFERROR(INDEX(hd_cap,MATCH(AQ2565,hd_mark,0),0),0)</f>
        <v>0</v>
      </c>
      <c r="AP2565" s="19"/>
      <c r="AQ2565" s="19"/>
      <c r="AR2565" s="100"/>
      <c r="AS2565" s="93"/>
      <c r="AT2565" s="110" t="str">
        <f>$AT$2476</f>
        <v>1.15</v>
      </c>
      <c r="AU2565" t="str">
        <f>$Q$2453</f>
        <v>L2</v>
      </c>
      <c r="AV2565">
        <f>$E$21</f>
        <v>10.6875</v>
      </c>
      <c r="AW2565" cm="1">
        <f t="array" ref="AW2565">IFERROR(IF(AV2565=0,0,(INDEX($C$33:$C$38,MATCH($AZ$2476,$B$33:$B$38,0),0)*(AV2569+$BA$2476)+$AW$2476*COUNTIF(AV2565:AV2568,"&gt;0")*$C$32+$AY$2476*$C$31)*$AU$2476),0)</f>
        <v>0</v>
      </c>
      <c r="AX2565">
        <f>IF(AV2565=0,0,-(COUNTIF(AV2565:AV2568,"&gt;0")*$AW$2476*$C$32+$AY$2476*$C$31)*$H$27*$AU$2476)</f>
        <v>0</v>
      </c>
      <c r="AY2565">
        <f>IF(AV2565=0,0,$AY$2476*$H$26*$AU$2476)</f>
        <v>0</v>
      </c>
      <c r="AZ2565">
        <f>(0.6*AW2565+0.7*AX2565)*$AU$2476/2</f>
        <v>0</v>
      </c>
      <c r="BA2565">
        <f>(0.6*AW2565+0.6*AY2565)*$AU$2476/2</f>
        <v>0</v>
      </c>
      <c r="BC2565">
        <f>IF(AV2565=0,0,$BG$2476*$AP$2453)</f>
        <v>0</v>
      </c>
      <c r="BD2565">
        <f>IFERROR(BC2565/$AU$2476,0)</f>
        <v>0</v>
      </c>
      <c r="BE2565">
        <f>BC2565*($F$21+IF($F$21=0,0,($C$14+$C$15+IF($C$13="single",1.5,3)+3)/12))</f>
        <v>0</v>
      </c>
      <c r="BF2565">
        <f>BE2565-AZ2565</f>
        <v>0</v>
      </c>
      <c r="BG2565" cm="1">
        <f t="array" ref="BG2565">IFERROR(IF(BF2565&lt;0,0,BF2565/($AU$2476-INDEX(hd_off,MATCH(BT2565,hd_mark,0),0)/12)),0)</f>
        <v>0</v>
      </c>
      <c r="BH2565">
        <f>IF(AV2565=0,0,$BG$2476*$AM$2453)</f>
        <v>0</v>
      </c>
      <c r="BI2565">
        <f>IFERROR(BH2565/$AU$2476,0)</f>
        <v>0</v>
      </c>
      <c r="BJ2565">
        <f>BH2565*($F$21+IF($F$21=0,0,($C$14+$C$15+IF($C$13="single",1.5,3)+3)/12))</f>
        <v>0</v>
      </c>
      <c r="BK2565">
        <f>BJ2565-BA2565</f>
        <v>0</v>
      </c>
      <c r="BL2565" cm="1">
        <f t="array" ref="BL2565">IFERROR(IF(BK2565&lt;0,0,BK2565/($AU$2476-INDEX(hd_off,MATCH(BT2565,hd_mark,0),0)/12)),0)</f>
        <v>0</v>
      </c>
      <c r="BM2565">
        <f>MAX($F$21,$BB$2476)/$Q$2484</f>
        <v>0.30172413793103448</v>
      </c>
      <c r="BN2565">
        <f>IF(BM2565=0,0,IF(BM2565&gt;2,1.25-0.125*BM2565,1))</f>
        <v>1</v>
      </c>
      <c r="BO2565" cm="1">
        <f t="array" ref="BO2565">IFERROR(INDEX(sheath_ecap_asd,MATCH(BS2565,sheath_mark,0),0)*BN2565,0)</f>
        <v>0</v>
      </c>
      <c r="BP2565" cm="1">
        <f t="array" ref="BP2565">IFERROR(INDEX(sheath_wcap_asd,MATCH(BS2565,sheath_mark,0),0)*BN2565,0)</f>
        <v>0</v>
      </c>
      <c r="BQ2565" cm="1">
        <f t="array" ref="BQ2565">IFERROR(INDEX(hd_cap,MATCH(BT2565,hd_mark,0),0),0)</f>
        <v>0</v>
      </c>
      <c r="BS2565" s="19"/>
      <c r="BT2565" s="19"/>
      <c r="BU2565" s="100"/>
    </row>
    <row r="2566" x14ac:dyDescent="0.25">
      <c r="P2566" s="93"/>
      <c r="Q2566" s="109"/>
      <c r="R2566" t="str">
        <f>$Q$2454</f>
        <v>L3</v>
      </c>
      <c r="S2566">
        <f>$E$22</f>
        <v>21.375</v>
      </c>
      <c r="T2566" cm="1">
        <f t="array" ref="T2566">IFERROR(IF(S2566=0,0,(INDEX($C$33:$C$38,MATCH($W$2476,$B$33:$B$38,0),0)*(S2569+$X$2476)+$T$2476*COUNTIF(S2566:S2568,"&gt;0")*$C$32+$V$2476*$C$31)*$R$2476),0)</f>
        <v>0</v>
      </c>
      <c r="U2566">
        <f>IF(S2566=0,0,-(COUNTIF(S2566:S2568,"&gt;0")*$T$2476*$C$32+$V$2476*$C$31)*$H$27*$R$2476)</f>
        <v>0</v>
      </c>
      <c r="V2566">
        <f>IF(S2566=0,0,$V$2476*$H$26*$R$2476)</f>
        <v>0</v>
      </c>
      <c r="W2566">
        <f>(0.6*T2566+0.7*U2566)*$R$2476/2</f>
        <v>0</v>
      </c>
      <c r="X2566">
        <f>T2566*$R$2476/2</f>
        <v>0</v>
      </c>
      <c r="Z2566">
        <f>IF(S2566=0,0,$AD$2476*$AP$2454)</f>
        <v>0</v>
      </c>
      <c r="AA2566">
        <f>IFERROR(Z2566/$R$2476,0)</f>
        <v>0</v>
      </c>
      <c r="AB2566">
        <f>Z2566*($F$22+IF($F$22=0,0,($C$14+$C$15+IF($C$13="single",1.5,3)+3)/12))</f>
        <v>0</v>
      </c>
      <c r="AC2566">
        <f>AB2566-W2566</f>
        <v>0</v>
      </c>
      <c r="AD2566" cm="1">
        <f t="array" ref="AD2566">IFERROR(IF(AC2566&lt;0,0,AC2566/($R$2476-INDEX(hd_off,MATCH(AQ2566,hd_mark,0),0)/12)),0)</f>
        <v>0</v>
      </c>
      <c r="AE2566">
        <f>IF(S2566=0,0,$AD$2476*$AM$2454)</f>
        <v>0</v>
      </c>
      <c r="AF2566">
        <f>IFERROR(AE2566/$R$2476,0)</f>
        <v>0</v>
      </c>
      <c r="AG2566">
        <f>AE2566*($F$22+IF($F$22=0,0,($C$14+$C$15+IF($C$13="single",1.5,3)+3)/12))</f>
        <v>0</v>
      </c>
      <c r="AH2566">
        <f>AG2566-X2566</f>
        <v>0</v>
      </c>
      <c r="AI2566" cm="1">
        <f t="array" ref="AI2566">IFERROR(IF(AH2566&lt;0,0,AH2566/($R$2476-INDEX(hd_off,MATCH(AQ2566,hd_mark,0),0)/12)),0)</f>
        <v>0</v>
      </c>
      <c r="AJ2566">
        <f>MAX($F$22,$Z$2476)/$Q$2484</f>
        <v>0.30172413793103448</v>
      </c>
      <c r="AK2566">
        <f t="shared" ref="AK2566:AK2569" si="1576">IF(AJ2566=0,0,IF(AJ2566&gt;2,1.25-0.125*AJ2566,1))</f>
        <v>1</v>
      </c>
      <c r="AL2566" cm="1">
        <f t="array" ref="AL2566">IFERROR(INDEX(sheath_ecap_asd,MATCH(AP2566,sheath_mark,0),0)*AK2566,0)</f>
        <v>0</v>
      </c>
      <c r="AM2566" cm="1">
        <f t="array" ref="AM2566">IFERROR(INDEX(sheath_wcap_asd,MATCH(AP2566,sheath_mark,0),0)*AK2566,0)</f>
        <v>0</v>
      </c>
      <c r="AN2566" cm="1">
        <f t="array" ref="AN2566">IFERROR(INDEX(hd_cap,MATCH(AQ2566,hd_mark,0),0),0)</f>
        <v>0</v>
      </c>
      <c r="AP2566" s="19"/>
      <c r="AQ2566" s="19"/>
      <c r="AR2566" s="100"/>
      <c r="AS2566" s="93"/>
      <c r="AT2566" s="109"/>
      <c r="AU2566" t="str">
        <f>$Q$2454</f>
        <v>L3</v>
      </c>
      <c r="AV2566">
        <f>$E$22</f>
        <v>21.375</v>
      </c>
      <c r="AW2566" cm="1">
        <f t="array" ref="AW2566">IFERROR(IF(AV2566=0,0,(INDEX($C$33:$C$38,MATCH($AZ$2476,$B$33:$B$38,0),0)*(AV2569+$BA$2476)+$AW$2476*COUNTIF(AV2566:AV2568,"&gt;0")*$C$32+$AY$2476*$C$31)*$AU$2476),0)</f>
        <v>0</v>
      </c>
      <c r="AX2566">
        <f>IF(AV2566=0,0,-(COUNTIF(AV2566:AV2568,"&gt;0")*$AW$2476*$C$32+$AY$2476*$C$31)*$H$27*$AU$2476)</f>
        <v>0</v>
      </c>
      <c r="AY2566">
        <f>IF(AV2566=0,0,$AY$2476*$H$26*$AU$2476)</f>
        <v>0</v>
      </c>
      <c r="AZ2566">
        <f>(0.6*AW2566+0.7*AX2566)*$AU$2476/2</f>
        <v>0</v>
      </c>
      <c r="BA2566">
        <f>AW2566*$AU$2476/2</f>
        <v>0</v>
      </c>
      <c r="BC2566">
        <f>IF(AV2566=0,0,$BG$2476*$AP$2454)</f>
        <v>0</v>
      </c>
      <c r="BD2566">
        <f>IFERROR(BC2566/$AU$2476,0)</f>
        <v>0</v>
      </c>
      <c r="BE2566">
        <f>BC2566*($F$22+IF($F$22=0,0,($C$14+$C$15+IF($C$13="single",1.5,3)+3)/12))</f>
        <v>0</v>
      </c>
      <c r="BF2566">
        <f>BE2566-AZ2566</f>
        <v>0</v>
      </c>
      <c r="BG2566" cm="1">
        <f t="array" ref="BG2566">IFERROR(IF(BF2566&lt;0,0,BF2566/($AU$2476-INDEX(hd_off,MATCH(BT2566,hd_mark,0),0)/12)),0)</f>
        <v>0</v>
      </c>
      <c r="BH2566">
        <f>IF(AV2566=0,0,$BG$2476*$AM$2454)</f>
        <v>0</v>
      </c>
      <c r="BI2566">
        <f>IFERROR(BH2566/$AU$2476,0)</f>
        <v>0</v>
      </c>
      <c r="BJ2566">
        <f>BH2566*($F$22+IF($F$22=0,0,($C$14+$C$15+IF($C$13="single",1.5,3)+3)/12))</f>
        <v>0</v>
      </c>
      <c r="BK2566">
        <f>BJ2566-BA2566</f>
        <v>0</v>
      </c>
      <c r="BL2566" cm="1">
        <f t="array" ref="BL2566">IFERROR(IF(BK2566&lt;0,0,BK2566/($AU$2476-INDEX(hd_off,MATCH(BT2566,hd_mark,0),0)/12)),0)</f>
        <v>0</v>
      </c>
      <c r="BM2566">
        <f>MAX($F$22,$BC$2476)/$Q$2484</f>
        <v>0.30172413793103448</v>
      </c>
      <c r="BN2566">
        <f t="shared" ref="BN2566:BN2569" si="1577">IF(BM2566=0,0,IF(BM2566&gt;2,1.25-0.125*BM2566,1))</f>
        <v>1</v>
      </c>
      <c r="BO2566" cm="1">
        <f t="array" ref="BO2566">IFERROR(INDEX(sheath_ecap_asd,MATCH(BS2566,sheath_mark,0),0)*BN2566,0)</f>
        <v>0</v>
      </c>
      <c r="BP2566" cm="1">
        <f t="array" ref="BP2566">IFERROR(INDEX(sheath_wcap_asd,MATCH(BS2566,sheath_mark,0),0)*BN2566,0)</f>
        <v>0</v>
      </c>
      <c r="BQ2566" cm="1">
        <f t="array" ref="BQ2566">IFERROR(INDEX(hd_cap,MATCH(BT2566,hd_mark,0),0),0)</f>
        <v>0</v>
      </c>
      <c r="BS2566" s="19"/>
      <c r="BT2566" s="19"/>
      <c r="BU2566" s="100"/>
    </row>
    <row r="2567" x14ac:dyDescent="0.25">
      <c r="P2567" s="93"/>
      <c r="Q2567" s="109" t="s">
        <v>491</v>
      </c>
      <c r="R2567" t="str">
        <f>$Q$2455</f>
        <v>L4</v>
      </c>
      <c r="S2567">
        <f>$E$23</f>
        <v>0</v>
      </c>
      <c r="T2567" cm="1">
        <f t="array" ref="T2567">IFERROR(IF(S2567=0,0,(INDEX($C$33:$C$38,MATCH($W$2476,$B$33:$B$38,0),0)*(S2569+$X$2476)+$T$2476*COUNTIF(S2567:S2568,"&gt;0")*$C$32+$V$2476*$C$31)*$R$2476),0)</f>
        <v>0</v>
      </c>
      <c r="U2567">
        <f>IF(S2567=0,0,-(COUNTIF(S2567:S2568,"&gt;0")*$T$2476*$C$32+$V$2476*$C$31)*$H$27*$R$2476)</f>
        <v>0</v>
      </c>
      <c r="V2567">
        <f>IF(S2567=0,0,$V$2476*$H$26*$R$2476)</f>
        <v>0</v>
      </c>
      <c r="W2567">
        <f>(0.6*T2567+0.7*U2567)*$R$2476/2</f>
        <v>0</v>
      </c>
      <c r="X2567">
        <f>T2567*$R$2476/2</f>
        <v>0</v>
      </c>
      <c r="Z2567">
        <f>IF(S2567=0,0,$AD$2476*$AP$2455)</f>
        <v>0</v>
      </c>
      <c r="AA2567">
        <f>IFERROR(Z2567/$R$2476,0)</f>
        <v>0</v>
      </c>
      <c r="AB2567">
        <f>Z2567*($F$23+IF($F$23=0,0,($C$14+$C$15+IF($C$13="single",1.5,3)+3)/12))</f>
        <v>0</v>
      </c>
      <c r="AC2567">
        <f>AB2567-W2567</f>
        <v>0</v>
      </c>
      <c r="AD2567" cm="1">
        <f t="array" ref="AD2567">IFERROR(IF(AC2567&lt;0,0,AC2567/($R$2476-INDEX(hd_off,MATCH(AQ2567,hd_mark,0),0)/12)),0)</f>
        <v>0</v>
      </c>
      <c r="AE2567">
        <f>IF(S2567=0,0,$AD$2476*$AM$2455)</f>
        <v>0</v>
      </c>
      <c r="AF2567">
        <f>IFERROR(AE2567/$R$2476,0)</f>
        <v>0</v>
      </c>
      <c r="AG2567">
        <f>AE2567*($F$23+IF($F$23=0,0,($C$14+$C$15+IF($C$13="single",1.5,3)+3)/12))</f>
        <v>0</v>
      </c>
      <c r="AH2567">
        <f>AG2567-X2567</f>
        <v>0</v>
      </c>
      <c r="AI2567" cm="1">
        <f t="array" ref="AI2567">IFERROR(IF(AH2567&lt;0,0,AH2567/($R$2476-INDEX(hd_off,MATCH(AQ2567,hd_mark,0),0)/12)),0)</f>
        <v>0</v>
      </c>
      <c r="AJ2567">
        <f>MAX($F$23,$AA$2476)/$Q$2484</f>
        <v>0</v>
      </c>
      <c r="AK2567">
        <f t="shared" si="1576"/>
        <v>0</v>
      </c>
      <c r="AL2567" cm="1">
        <f t="array" ref="AL2567">IFERROR(INDEX(sheath_ecap_asd,MATCH(AP2567,sheath_mark,0),0)*AK2567,0)</f>
        <v>0</v>
      </c>
      <c r="AM2567" cm="1">
        <f t="array" ref="AM2567">IFERROR(INDEX(sheath_wcap_asd,MATCH(AP2567,sheath_mark,0),0)*AK2567,0)</f>
        <v>0</v>
      </c>
      <c r="AN2567" cm="1">
        <f t="array" ref="AN2567">IFERROR(INDEX(hd_cap,MATCH(AQ2567,hd_mark,0),0),0)</f>
        <v>0</v>
      </c>
      <c r="AP2567" s="19"/>
      <c r="AQ2567" s="19"/>
      <c r="AR2567" s="100"/>
      <c r="AS2567" s="93"/>
      <c r="AT2567" s="109" t="s">
        <v>491</v>
      </c>
      <c r="AU2567" t="str">
        <f>$Q$2455</f>
        <v>L4</v>
      </c>
      <c r="AV2567">
        <f>$E$23</f>
        <v>0</v>
      </c>
      <c r="AW2567" cm="1">
        <f t="array" ref="AW2567">IFERROR(IF(AV2567=0,0,(INDEX($C$33:$C$38,MATCH($AZ$2476,$B$33:$B$38,0),0)*(AV2569+$BA$2476)+$AW$2476*COUNTIF(AV2567:AV2568,"&gt;0")*$C$32+$AY$2476*$C$31)*$AU$2476),0)</f>
        <v>0</v>
      </c>
      <c r="AX2567">
        <f>IF(AV2567=0,0,-(COUNTIF(AV2567:AV2568,"&gt;0")*$AW$2476*$C$32+$AY$2476*$C$31)*$H$27*$AU$2476)</f>
        <v>0</v>
      </c>
      <c r="AY2567">
        <f>IF(AV2567=0,0,$AY$2476*$H$26*$AU$2476)</f>
        <v>0</v>
      </c>
      <c r="AZ2567">
        <f>(0.6*AW2567+0.7*AX2567)*$AU$2476/2</f>
        <v>0</v>
      </c>
      <c r="BA2567">
        <f>AW2567*$AU$2476/2</f>
        <v>0</v>
      </c>
      <c r="BC2567">
        <f>IF(AV2567=0,0,$BG$2476*$AP$2455)</f>
        <v>0</v>
      </c>
      <c r="BD2567">
        <f>IFERROR(BC2567/$AU$2476,0)</f>
        <v>0</v>
      </c>
      <c r="BE2567">
        <f>BC2567*($F$23+IF($F$23=0,0,($C$14+$C$15+IF($C$13="single",1.5,3)+3)/12))</f>
        <v>0</v>
      </c>
      <c r="BF2567">
        <f>BE2567-AZ2567</f>
        <v>0</v>
      </c>
      <c r="BG2567" cm="1">
        <f t="array" ref="BG2567">IFERROR(IF(BF2567&lt;0,0,BF2567/($AU$2476-INDEX(hd_off,MATCH(BT2567,hd_mark,0),0)/12)),0)</f>
        <v>0</v>
      </c>
      <c r="BH2567">
        <f>IF(AV2567=0,0,$BG$2476*$AM$2455)</f>
        <v>0</v>
      </c>
      <c r="BI2567">
        <f>IFERROR(BH2567/$AU$2476,0)</f>
        <v>0</v>
      </c>
      <c r="BJ2567">
        <f>BH2567*($F$23+IF($F$23=0,0,($C$14+$C$15+IF($C$13="single",1.5,3)+3)/12))</f>
        <v>0</v>
      </c>
      <c r="BK2567">
        <f>BJ2567-BA2567</f>
        <v>0</v>
      </c>
      <c r="BL2567" cm="1">
        <f t="array" ref="BL2567">IFERROR(IF(BK2567&lt;0,0,BK2567/($AU$2476-INDEX(hd_off,MATCH(BT2567,hd_mark,0),0)/12)),0)</f>
        <v>0</v>
      </c>
      <c r="BM2567">
        <f>MAX($F$23,$BD$2476)/$Q$2484</f>
        <v>0</v>
      </c>
      <c r="BN2567">
        <f t="shared" si="1577"/>
        <v>0</v>
      </c>
      <c r="BO2567" cm="1">
        <f t="array" ref="BO2567">IFERROR(INDEX(sheath_ecap_asd,MATCH(BS2567,sheath_mark,0),0)*BN2567,0)</f>
        <v>0</v>
      </c>
      <c r="BP2567" cm="1">
        <f t="array" ref="BP2567">IFERROR(INDEX(sheath_wcap_asd,MATCH(BS2567,sheath_mark,0),0)*BN2567,0)</f>
        <v>0</v>
      </c>
      <c r="BQ2567" cm="1">
        <f t="array" ref="BQ2567">IFERROR(INDEX(hd_cap,MATCH(BT2567,hd_mark,0),0),0)</f>
        <v>0</v>
      </c>
      <c r="BS2567" s="19"/>
      <c r="BT2567" s="19"/>
      <c r="BU2567" s="100"/>
    </row>
    <row r="2568" x14ac:dyDescent="0.25">
      <c r="P2568" s="93"/>
      <c r="Q2568" s="111">
        <f>$R$2476</f>
        <v>0</v>
      </c>
      <c r="R2568" t="str">
        <f>$Q$2456</f>
        <v>L5</v>
      </c>
      <c r="S2568">
        <f>$E$24</f>
        <v>0</v>
      </c>
      <c r="T2568" cm="1">
        <f t="array" ref="T2568">IFERROR(IF(S2568=0,0,(INDEX($C$33:$C$38,MATCH($W$2476,$B$33:$B$38,0),0)*(S2569+$X$2476)+$T$2476*COUNTIF(S2568:S2568,"&gt;0")*$C$32+$V$2476*$C$31)*$R$2476),0)</f>
        <v>0</v>
      </c>
      <c r="U2568">
        <f>IF(S2568=0,0,-(COUNTIF(S2568:S2568,"&gt;0")*$T$2476*$C$32+$V$2476*$C$31)*$H$27*$R$2476)</f>
        <v>0</v>
      </c>
      <c r="V2568">
        <f>IF(S2568=0,0,$V$2476*$H$26*$R$2476)</f>
        <v>0</v>
      </c>
      <c r="W2568">
        <f>(0.6*T2568+0.7*U2568)*$R$2476/2</f>
        <v>0</v>
      </c>
      <c r="X2568">
        <f>T2568*$R$2476/2</f>
        <v>0</v>
      </c>
      <c r="Z2568">
        <f>IF(S2568=0,0,$AD$2476*$AP$2456)</f>
        <v>0</v>
      </c>
      <c r="AA2568">
        <f>IFERROR(Z2568/$R$2476,0)</f>
        <v>0</v>
      </c>
      <c r="AB2568">
        <f>Z2568*($F$24+IF($F$24=0,0,($C$14+$C$15+IF($C$13="single",1.5,3)+3)/12))</f>
        <v>0</v>
      </c>
      <c r="AC2568">
        <f>AB2568-W2568</f>
        <v>0</v>
      </c>
      <c r="AD2568" cm="1">
        <f t="array" ref="AD2568">IFERROR(IF(AC2568&lt;0,0,AC2568/($R$2476-INDEX(hd_off,MATCH(AQ2568,hd_mark,0),0)/12)),0)</f>
        <v>0</v>
      </c>
      <c r="AE2568">
        <f>IF(S2568=0,0,$AD$2476*$AM$2456)</f>
        <v>0</v>
      </c>
      <c r="AF2568">
        <f>IFERROR(AE2568/$R$2476,0)</f>
        <v>0</v>
      </c>
      <c r="AG2568">
        <f>AE2568*($F$24+IF($F$24=0,0,($C$14+$C$15+IF($C$13="single",1.5,3)+3)/12))</f>
        <v>0</v>
      </c>
      <c r="AH2568">
        <f>AG2568-X2568</f>
        <v>0</v>
      </c>
      <c r="AI2568" cm="1">
        <f t="array" ref="AI2568">IFERROR(IF(AH2568&lt;0,0,AH2568/($R$2476-INDEX(hd_off,MATCH(AQ2568,hd_mark,0),0)/12)),0)</f>
        <v>0</v>
      </c>
      <c r="AJ2568">
        <f>MAX($F$24,$AB$2476)/$Q$2484</f>
        <v>0</v>
      </c>
      <c r="AK2568">
        <f t="shared" si="1576"/>
        <v>0</v>
      </c>
      <c r="AL2568" cm="1">
        <f t="array" ref="AL2568">IFERROR(INDEX(sheath_ecap_asd,MATCH(AP2568,sheath_mark,0),0)*AK2568,0)</f>
        <v>0</v>
      </c>
      <c r="AM2568" cm="1">
        <f t="array" ref="AM2568">IFERROR(INDEX(sheath_wcap_asd,MATCH(AP2568,sheath_mark,0),0)*AK2568,0)</f>
        <v>0</v>
      </c>
      <c r="AN2568" cm="1">
        <f t="array" ref="AN2568">IFERROR(INDEX(hd_cap,MATCH(AQ2568,hd_mark,0),0),0)</f>
        <v>0</v>
      </c>
      <c r="AP2568" s="19"/>
      <c r="AQ2568" s="19"/>
      <c r="AR2568" s="100"/>
      <c r="AS2568" s="93"/>
      <c r="AT2568" s="111">
        <f>$R$2476</f>
        <v>0</v>
      </c>
      <c r="AU2568" t="str">
        <f>$Q$2456</f>
        <v>L5</v>
      </c>
      <c r="AV2568">
        <f>$E$24</f>
        <v>0</v>
      </c>
      <c r="AW2568" cm="1">
        <f t="array" ref="AW2568">IFERROR(IF(AV2568=0,0,(INDEX($C$33:$C$38,MATCH($AZ$2476,$B$33:$B$38,0),0)*(AV2569+$BA$2476)+$AW$2476*COUNTIF(AV2568:AV2568,"&gt;0")*$C$32+$AY$2476*$C$31)*$AU$2476),0)</f>
        <v>0</v>
      </c>
      <c r="AX2568">
        <f>IF(AV2568=0,0,-(COUNTIF(AV2568:AV2568,"&gt;0")*$AW$2476*$C$32+$AY$2476*$C$31)*$H$27*$AU$2476)</f>
        <v>0</v>
      </c>
      <c r="AY2568">
        <f>IF(AV2568=0,0,$AY$2476*$H$26*$AU$2476)</f>
        <v>0</v>
      </c>
      <c r="AZ2568">
        <f>(0.6*AW2568+0.7*AX2568)*$AU$2476/2</f>
        <v>0</v>
      </c>
      <c r="BA2568">
        <f>AW2568*$AU$2476/2</f>
        <v>0</v>
      </c>
      <c r="BC2568">
        <f>IF(AV2568=0,0,$BG$2476*$AP$2456)</f>
        <v>0</v>
      </c>
      <c r="BD2568">
        <f>IFERROR(BC2568/$AU$2476,0)</f>
        <v>0</v>
      </c>
      <c r="BE2568">
        <f>BC2568*($F$24+IF($F$24=0,0,($C$14+$C$15+IF($C$13="single",1.5,3)+3)/12))</f>
        <v>0</v>
      </c>
      <c r="BF2568">
        <f>BE2568-AZ2568</f>
        <v>0</v>
      </c>
      <c r="BG2568" cm="1">
        <f t="array" ref="BG2568">IFERROR(IF(BF2568&lt;0,0,BF2568/($AU$2476-INDEX(hd_off,MATCH(BT2568,hd_mark,0),0)/12)),0)</f>
        <v>0</v>
      </c>
      <c r="BH2568">
        <f>IF(AV2568=0,0,$BG$2476*$AM$2456)</f>
        <v>0</v>
      </c>
      <c r="BI2568">
        <f>IFERROR(BH2568/$AU$2476,0)</f>
        <v>0</v>
      </c>
      <c r="BJ2568">
        <f>BH2568*($F$24+IF($F$24=0,0,($C$14+$C$15+IF($C$13="single",1.5,3)+3)/12))</f>
        <v>0</v>
      </c>
      <c r="BK2568">
        <f>BJ2568-BA2568</f>
        <v>0</v>
      </c>
      <c r="BL2568" cm="1">
        <f t="array" ref="BL2568">IFERROR(IF(BK2568&lt;0,0,BK2568/($AU$2476-INDEX(hd_off,MATCH(BT2568,hd_mark,0),0)/12)),0)</f>
        <v>0</v>
      </c>
      <c r="BM2568">
        <f>MAX($F$24,$BE$2476)/$Q$2484</f>
        <v>0</v>
      </c>
      <c r="BN2568">
        <f t="shared" si="1577"/>
        <v>0</v>
      </c>
      <c r="BO2568" cm="1">
        <f t="array" ref="BO2568">IFERROR(INDEX(sheath_ecap_asd,MATCH(BS2568,sheath_mark,0),0)*BN2568,0)</f>
        <v>0</v>
      </c>
      <c r="BP2568" cm="1">
        <f t="array" ref="BP2568">IFERROR(INDEX(sheath_wcap_asd,MATCH(BS2568,sheath_mark,0),0)*BN2568,0)</f>
        <v>0</v>
      </c>
      <c r="BQ2568" cm="1">
        <f t="array" ref="BQ2568">IFERROR(INDEX(hd_cap,MATCH(BT2568,hd_mark,0),0),0)</f>
        <v>0</v>
      </c>
      <c r="BS2568" s="19"/>
      <c r="BT2568" s="19"/>
      <c r="BU2568" s="100"/>
    </row>
    <row r="2569" x14ac:dyDescent="0.25">
      <c r="P2569" s="93"/>
      <c r="Q2569" s="109"/>
      <c r="R2569" t="str">
        <f>$Q$2457</f>
        <v>Roof</v>
      </c>
      <c r="S2569">
        <f>$E$25</f>
        <v>33.171875</v>
      </c>
      <c r="T2569" cm="1">
        <f t="array" ref="T2569">IFERROR(IF(S2569=0,0,(INDEX($C$33:$C$38,MATCH($W$2476,$B$33:$B$38,0),0)*(S2569+$X$2476)+$V$2476*$C$31)*$R$2476),0)</f>
        <v>0</v>
      </c>
      <c r="U2569">
        <f>IF(S2569=0,0,-$V$2476*$C$31*$H$27*$R$2476)</f>
        <v>0</v>
      </c>
      <c r="V2569">
        <f>IF(S2569=0,0,$V$2476*$H$26*$R$2476)</f>
        <v>0</v>
      </c>
      <c r="W2569">
        <f>(0.6*T2569+0.7*U2569)*$R$2476/2</f>
        <v>0</v>
      </c>
      <c r="X2569">
        <f>T2569*$R$2476/2</f>
        <v>0</v>
      </c>
      <c r="Z2569">
        <f>IF(S2569=0,0,$AD$2476*$AP$2457)</f>
        <v>0</v>
      </c>
      <c r="AA2569">
        <f>IFERROR(Z2569/$R$2476,0)</f>
        <v>0</v>
      </c>
      <c r="AB2569">
        <f>Z2569*($F$25+($C$16+$C$17+IF($C$13="single",1.5,3)+3)/12)</f>
        <v>0</v>
      </c>
      <c r="AC2569">
        <f>AB2569-W2569</f>
        <v>0</v>
      </c>
      <c r="AD2569" cm="1">
        <f t="array" ref="AD2569">IFERROR(IF(AC2569&lt;0,0,AC2569/($R$2476-INDEX(hd_off,MATCH(AQ2569,hd_mark,0),0)/12)),0)</f>
        <v>0</v>
      </c>
      <c r="AE2569">
        <f>IF(S2569=0,0,$AD$2476*$AM$2457)</f>
        <v>0</v>
      </c>
      <c r="AF2569">
        <f>IFERROR(AE2569/$R$2476,0)</f>
        <v>0</v>
      </c>
      <c r="AG2569">
        <f>AE2569*($F$25+($C$16+$C$17+IF($C$13="single",1.5,3)+3)/12)</f>
        <v>0</v>
      </c>
      <c r="AH2569">
        <f>AG2569-X2569</f>
        <v>0</v>
      </c>
      <c r="AI2569" cm="1">
        <f t="array" ref="AI2569">IFERROR(IF(AH2569&lt;0,0,AH2569/($R$2476-INDEX(hd_off,MATCH(AQ2569,hd_mark,0),0)/12)),0)</f>
        <v>0</v>
      </c>
      <c r="AJ2569">
        <f>MAX($F$25,$AC$2476)/$Q$2484</f>
        <v>0.29920977011494249</v>
      </c>
      <c r="AK2569">
        <f t="shared" si="1576"/>
        <v>1</v>
      </c>
      <c r="AL2569" cm="1">
        <f t="array" ref="AL2569">IFERROR(INDEX(sheath_ecap_asd,MATCH(AP2569,sheath_mark,0),0)*AK2569,0)</f>
        <v>0</v>
      </c>
      <c r="AM2569" cm="1">
        <f t="array" ref="AM2569">IFERROR(INDEX(sheath_wcap_asd,MATCH(AP2569,sheath_mark,0),0)*AK2569,0)</f>
        <v>0</v>
      </c>
      <c r="AN2569" cm="1">
        <f t="array" ref="AN2569">IFERROR(INDEX(hd_cap,MATCH(AQ2569,hd_mark,0),0),0)</f>
        <v>0</v>
      </c>
      <c r="AP2569" s="19"/>
      <c r="AQ2569" s="19"/>
      <c r="AR2569" s="100"/>
      <c r="AS2569" s="93"/>
      <c r="AT2569" s="109"/>
      <c r="AU2569" t="str">
        <f>$Q$2457</f>
        <v>Roof</v>
      </c>
      <c r="AV2569">
        <f>$E$25</f>
        <v>33.171875</v>
      </c>
      <c r="AW2569" cm="1">
        <f t="array" ref="AW2569">IFERROR(IF(AV2569=0,0,(INDEX($C$33:$C$38,MATCH($AZ$2476,$B$33:$B$38,0),0)*(AV2569+$BA$2476)+$AY$2476*$C$31)*$AU$2476),0)</f>
        <v>0</v>
      </c>
      <c r="AX2569">
        <f>IF(AV2569=0,0,-$AY$2476*$C$31*$H$27*$AU$2476)</f>
        <v>0</v>
      </c>
      <c r="AY2569">
        <f>IF(AV2569=0,0,$AY$2476*$H$26*$AU$2476)</f>
        <v>0</v>
      </c>
      <c r="AZ2569">
        <f>(0.6*AW2569+0.7*AX2569)*$AU$2476/2</f>
        <v>0</v>
      </c>
      <c r="BA2569">
        <f>AW2569*$AU$2476/2</f>
        <v>0</v>
      </c>
      <c r="BC2569">
        <f>IF(AV2569=0,0,$BG$2476*$AP$2457)</f>
        <v>0</v>
      </c>
      <c r="BD2569">
        <f>IFERROR(BC2569/$AU$2476,0)</f>
        <v>0</v>
      </c>
      <c r="BE2569">
        <f>BC2569*($F$25+($C$16+$C$17+IF($C$13="single",1.5,3)+3)/12)</f>
        <v>0</v>
      </c>
      <c r="BF2569">
        <f>BE2569-AZ2569</f>
        <v>0</v>
      </c>
      <c r="BG2569" cm="1">
        <f t="array" ref="BG2569">IFERROR(IF(BF2569&lt;0,0,BF2569/($AU$2476-INDEX(hd_off,MATCH(BT2569,hd_mark,0),0)/12)),0)</f>
        <v>0</v>
      </c>
      <c r="BH2569">
        <f>IF(AV2569=0,0,$BG$2476*$AM$2457)</f>
        <v>0</v>
      </c>
      <c r="BI2569">
        <f>IFERROR(BH2569/$AU$2476,0)</f>
        <v>0</v>
      </c>
      <c r="BJ2569">
        <f>BH2569*($F$25+($C$16+$C$17+IF($C$13="single",1.5,3)+3)/12)</f>
        <v>0</v>
      </c>
      <c r="BK2569">
        <f>BJ2569-BA2569</f>
        <v>0</v>
      </c>
      <c r="BL2569" cm="1">
        <f t="array" ref="BL2569">IFERROR(IF(BK2569&lt;0,0,BK2569/($AU$2476-INDEX(hd_off,MATCH(BT2569,hd_mark,0),0)/12)),0)</f>
        <v>0</v>
      </c>
      <c r="BM2569">
        <f>MAX($F$25,$BF$2476)/$Q$2484</f>
        <v>0.29920977011494249</v>
      </c>
      <c r="BN2569">
        <f t="shared" si="1577"/>
        <v>1</v>
      </c>
      <c r="BO2569" cm="1">
        <f t="array" ref="BO2569">IFERROR(INDEX(sheath_ecap_asd,MATCH(BS2569,sheath_mark,0),0)*BN2569,0)</f>
        <v>0</v>
      </c>
      <c r="BP2569" cm="1">
        <f t="array" ref="BP2569">IFERROR(INDEX(sheath_wcap_asd,MATCH(BS2569,sheath_mark,0),0)*BN2569,0)</f>
        <v>0</v>
      </c>
      <c r="BQ2569" cm="1">
        <f t="array" ref="BQ2569">IFERROR(INDEX(hd_cap,MATCH(BT2569,hd_mark,0),0),0)</f>
        <v>0</v>
      </c>
      <c r="BS2569" s="19"/>
      <c r="BT2569" s="19"/>
      <c r="BU2569" s="100"/>
    </row>
    <row r="2570" x14ac:dyDescent="0.25">
      <c r="P2570" s="93"/>
      <c r="AR2570" s="100"/>
      <c r="AS2570" s="93"/>
      <c r="BU2570" s="100"/>
    </row>
    <row r="2571" x14ac:dyDescent="0.25">
      <c r="P2571" s="93"/>
      <c r="Q2571" s="110" t="str">
        <f>$Q$2477</f>
        <v>A.16</v>
      </c>
      <c r="R2571" t="str">
        <f>$Q$2453</f>
        <v>L2</v>
      </c>
      <c r="S2571">
        <f>$E$21</f>
        <v>10.6875</v>
      </c>
      <c r="T2571" cm="1">
        <f t="array" ref="T2571">IFERROR(IF(S2571=0,0,(INDEX($C$33:$C$38,MATCH($W$2477,$B$33:$B$38,0),0)*(S2575+$X$2477)+$T$2477*COUNTIF(S2571:S2574,"&gt;0")*$C$32+$V$2477*$C$31)*$R$2477),0)</f>
        <v>0</v>
      </c>
      <c r="U2571">
        <f>IF(S2571=0,0,-(COUNTIF(S2571:S2574,"&gt;0")*$T$2477*$C$32+$V$2477*$C$31)*$H$27*$R$2477)</f>
        <v>0</v>
      </c>
      <c r="V2571">
        <f>IF(S2571=0,0,$V$2477*$H$26*$R$2477)</f>
        <v>0</v>
      </c>
      <c r="W2571">
        <f>(0.6*T2571+0.7*U2571)*$R$2477/2</f>
        <v>0</v>
      </c>
      <c r="X2571">
        <f>(0.6*T2571+0.6*V2571)*$R$2477/2</f>
        <v>0</v>
      </c>
      <c r="Z2571">
        <f>IF(S2571=0,0,$AD$2477*$AP$2453)</f>
        <v>0</v>
      </c>
      <c r="AA2571">
        <f>IFERROR(Z2571/$R$2477,0)</f>
        <v>0</v>
      </c>
      <c r="AB2571">
        <f>Z2571*($F$21+IF($F$21=0,0,($C$14+$C$15+IF($C$13="single",1.5,3)+3)/12))</f>
        <v>0</v>
      </c>
      <c r="AC2571">
        <f>AB2571-W2571</f>
        <v>0</v>
      </c>
      <c r="AD2571" cm="1">
        <f t="array" ref="AD2571">IFERROR(IF(AC2571&lt;0,0,AC2571/($R$2477-INDEX(hd_off,MATCH(AQ2571,hd_mark,0),0)/12)),0)</f>
        <v>0</v>
      </c>
      <c r="AE2571">
        <f>IF(S2571=0,0,$AD$2477*$AM$2453)</f>
        <v>0</v>
      </c>
      <c r="AF2571">
        <f>IFERROR(AE2571/$R$2477,0)</f>
        <v>0</v>
      </c>
      <c r="AG2571">
        <f>AE2571*($F$21+IF($F$21=0,0,($C$14+$C$15+IF($C$13="single",1.5,3)+3)/12))</f>
        <v>0</v>
      </c>
      <c r="AH2571">
        <f>AG2571-X2571</f>
        <v>0</v>
      </c>
      <c r="AI2571" cm="1">
        <f t="array" ref="AI2571">IFERROR(IF(AH2571&lt;0,0,AH2571/($R$2477-INDEX(hd_off,MATCH(AQ2571,hd_mark,0),0)/12)),0)</f>
        <v>0</v>
      </c>
      <c r="AJ2571">
        <f>MAX($F$21,$Y$2477)/$Q$2484</f>
        <v>0.30172413793103448</v>
      </c>
      <c r="AK2571">
        <f>IF(AJ2571=0,0,IF(AJ2571&gt;2,1.25-0.125*AJ2571,1))</f>
        <v>1</v>
      </c>
      <c r="AL2571" cm="1">
        <f t="array" ref="AL2571">IFERROR(INDEX(sheath_ecap_asd,MATCH(AP2571,sheath_mark,0),0)*AK2571,0)</f>
        <v>0</v>
      </c>
      <c r="AM2571" cm="1">
        <f t="array" ref="AM2571">IFERROR(INDEX(sheath_wcap_asd,MATCH(AP2571,sheath_mark,0),0)*AK2571,0)</f>
        <v>0</v>
      </c>
      <c r="AN2571" cm="1">
        <f t="array" ref="AN2571">IFERROR(INDEX(hd_cap,MATCH(AQ2571,hd_mark,0),0),0)</f>
        <v>0</v>
      </c>
      <c r="AP2571" s="19"/>
      <c r="AQ2571" s="19"/>
      <c r="AR2571" s="100"/>
      <c r="AS2571" s="93"/>
      <c r="AT2571" s="110" t="str">
        <f>$AT$2477</f>
        <v>1.16</v>
      </c>
      <c r="AU2571" t="str">
        <f>$Q$2453</f>
        <v>L2</v>
      </c>
      <c r="AV2571">
        <f>$E$21</f>
        <v>10.6875</v>
      </c>
      <c r="AW2571" cm="1">
        <f t="array" ref="AW2571">IFERROR(IF(AV2571=0,0,(INDEX($C$33:$C$38,MATCH($AZ$2477,$B$33:$B$38,0),0)*(AV2575+$BA$2477)+$AW$2477*COUNTIF(AV2571:AV2574,"&gt;0")*$C$32+$AY$2477*$C$31)*$AU$2477),0)</f>
        <v>0</v>
      </c>
      <c r="AX2571">
        <f>IF(AV2571=0,0,-(COUNTIF(AV2571:AV2574,"&gt;0")*$AW$2477*$C$32+$AY$2477*$C$31)*$H$27*$AU$2477)</f>
        <v>0</v>
      </c>
      <c r="AY2571">
        <f>IF(AV2571=0,0,$AY$2477*$H$26*$AU$2477)</f>
        <v>0</v>
      </c>
      <c r="AZ2571">
        <f>(0.6*AW2571+0.7*AX2571)*$AU$2477/2</f>
        <v>0</v>
      </c>
      <c r="BA2571">
        <f>(0.6*AW2571+0.6*AY2571)*$AU$2477/2</f>
        <v>0</v>
      </c>
      <c r="BC2571">
        <f>IF(AV2571=0,0,$BG$2477*$AP$2453)</f>
        <v>0</v>
      </c>
      <c r="BD2571">
        <f>IFERROR(BC2571/$AU$2477,0)</f>
        <v>0</v>
      </c>
      <c r="BE2571">
        <f>BC2571*($F$21+IF($F$21=0,0,($C$14+$C$15+IF($C$13="single",1.5,3)+3)/12))</f>
        <v>0</v>
      </c>
      <c r="BF2571">
        <f>BE2571-AZ2571</f>
        <v>0</v>
      </c>
      <c r="BG2571" cm="1">
        <f t="array" ref="BG2571">IFERROR(IF(BF2571&lt;0,0,BF2571/($AU$2477-INDEX(hd_off,MATCH(BT2571,hd_mark,0),0)/12)),0)</f>
        <v>0</v>
      </c>
      <c r="BH2571">
        <f>IF(AV2571=0,0,$BG$2477*$AM$2453)</f>
        <v>0</v>
      </c>
      <c r="BI2571">
        <f>IFERROR(BH2571/$AU$2477,0)</f>
        <v>0</v>
      </c>
      <c r="BJ2571">
        <f>BH2571*($F$21+IF($F$21=0,0,($C$14+$C$15+IF($C$13="single",1.5,3)+3)/12))</f>
        <v>0</v>
      </c>
      <c r="BK2571">
        <f>BJ2571-BA2571</f>
        <v>0</v>
      </c>
      <c r="BL2571" cm="1">
        <f t="array" ref="BL2571">IFERROR(IF(BK2571&lt;0,0,BK2571/($AU$2477-INDEX(hd_off,MATCH(BT2571,hd_mark,0),0)/12)),0)</f>
        <v>0</v>
      </c>
      <c r="BM2571">
        <f>MAX($F$21,$BB$2477)/$Q$2484</f>
        <v>0.30172413793103448</v>
      </c>
      <c r="BN2571">
        <f>IF(BM2571=0,0,IF(BM2571&gt;2,1.25-0.125*BM2571,1))</f>
        <v>1</v>
      </c>
      <c r="BO2571" cm="1">
        <f t="array" ref="BO2571">IFERROR(INDEX(sheath_ecap_asd,MATCH(BS2571,sheath_mark,0),0)*BN2571,0)</f>
        <v>0</v>
      </c>
      <c r="BP2571" cm="1">
        <f t="array" ref="BP2571">IFERROR(INDEX(sheath_wcap_asd,MATCH(BS2571,sheath_mark,0),0)*BN2571,0)</f>
        <v>0</v>
      </c>
      <c r="BQ2571" cm="1">
        <f t="array" ref="BQ2571">IFERROR(INDEX(hd_cap,MATCH(BT2571,hd_mark,0),0),0)</f>
        <v>0</v>
      </c>
      <c r="BS2571" s="19"/>
      <c r="BT2571" s="19"/>
      <c r="BU2571" s="100"/>
    </row>
    <row r="2572" x14ac:dyDescent="0.25">
      <c r="P2572" s="93"/>
      <c r="Q2572" s="109"/>
      <c r="R2572" t="str">
        <f>$Q$2454</f>
        <v>L3</v>
      </c>
      <c r="S2572">
        <f>$E$22</f>
        <v>21.375</v>
      </c>
      <c r="T2572" cm="1">
        <f t="array" ref="T2572">IFERROR(IF(S2572=0,0,(INDEX($C$33:$C$38,MATCH($W$2477,$B$33:$B$38,0),0)*(S2575+$X$2477)+$T$2477*COUNTIF(S2572:S2574,"&gt;0")*$C$32+$V$2477*$C$31)*$R$2477),0)</f>
        <v>0</v>
      </c>
      <c r="U2572">
        <f>IF(S2572=0,0,-(COUNTIF(S2572:S2574,"&gt;0")*$T$2477*$C$32+$V$2477*$C$31)*$H$27*$R$2477)</f>
        <v>0</v>
      </c>
      <c r="V2572">
        <f>IF(S2572=0,0,$V$2477*$H$26*$R$2477)</f>
        <v>0</v>
      </c>
      <c r="W2572">
        <f>(0.6*T2572+0.7*U2572)*$R$2477/2</f>
        <v>0</v>
      </c>
      <c r="X2572">
        <f>T2572*$R$2477/2</f>
        <v>0</v>
      </c>
      <c r="Z2572">
        <f>IF(S2572=0,0,$AD$2477*$AP$2454)</f>
        <v>0</v>
      </c>
      <c r="AA2572">
        <f>IFERROR(Z2572/$R$2477,0)</f>
        <v>0</v>
      </c>
      <c r="AB2572">
        <f>Z2572*($F$22+IF($F$22=0,0,($C$14+$C$15+IF($C$13="single",1.5,3)+3)/12))</f>
        <v>0</v>
      </c>
      <c r="AC2572">
        <f>AB2572-W2572</f>
        <v>0</v>
      </c>
      <c r="AD2572" cm="1">
        <f t="array" ref="AD2572">IFERROR(IF(AC2572&lt;0,0,AC2572/($R$2477-INDEX(hd_off,MATCH(AQ2572,hd_mark,0),0)/12)),0)</f>
        <v>0</v>
      </c>
      <c r="AE2572">
        <f>IF(S2572=0,0,$AD$2477*$AM$2454)</f>
        <v>0</v>
      </c>
      <c r="AF2572">
        <f>IFERROR(AE2572/$R$2477,0)</f>
        <v>0</v>
      </c>
      <c r="AG2572">
        <f>AE2572*($F$22+IF($F$22=0,0,($C$14+$C$15+IF($C$13="single",1.5,3)+3)/12))</f>
        <v>0</v>
      </c>
      <c r="AH2572">
        <f>AG2572-X2572</f>
        <v>0</v>
      </c>
      <c r="AI2572" cm="1">
        <f t="array" ref="AI2572">IFERROR(IF(AH2572&lt;0,0,AH2572/($R$2477-INDEX(hd_off,MATCH(AQ2572,hd_mark,0),0)/12)),0)</f>
        <v>0</v>
      </c>
      <c r="AJ2572">
        <f>MAX($F$22,$Z$2477)/$Q$2484</f>
        <v>0.30172413793103448</v>
      </c>
      <c r="AK2572">
        <f t="shared" ref="AK2572:AK2575" si="1578">IF(AJ2572=0,0,IF(AJ2572&gt;2,1.25-0.125*AJ2572,1))</f>
        <v>1</v>
      </c>
      <c r="AL2572" cm="1">
        <f t="array" ref="AL2572">IFERROR(INDEX(sheath_ecap_asd,MATCH(AP2572,sheath_mark,0),0)*AK2572,0)</f>
        <v>0</v>
      </c>
      <c r="AM2572" cm="1">
        <f t="array" ref="AM2572">IFERROR(INDEX(sheath_wcap_asd,MATCH(AP2572,sheath_mark,0),0)*AK2572,0)</f>
        <v>0</v>
      </c>
      <c r="AN2572" cm="1">
        <f t="array" ref="AN2572">IFERROR(INDEX(hd_cap,MATCH(AQ2572,hd_mark,0),0),0)</f>
        <v>0</v>
      </c>
      <c r="AP2572" s="19"/>
      <c r="AQ2572" s="19"/>
      <c r="AR2572" s="100"/>
      <c r="AS2572" s="93"/>
      <c r="AT2572" s="109"/>
      <c r="AU2572" t="str">
        <f>$Q$2454</f>
        <v>L3</v>
      </c>
      <c r="AV2572">
        <f>$E$22</f>
        <v>21.375</v>
      </c>
      <c r="AW2572" cm="1">
        <f t="array" ref="AW2572">IFERROR(IF(AV2572=0,0,(INDEX($C$33:$C$38,MATCH($AZ$2477,$B$33:$B$38,0),0)*(AV2575+$BA$2477)+$AW$2477*COUNTIF(AV2572:AV2574,"&gt;0")*$C$32+$AY$2477*$C$31)*$AU$2477),0)</f>
        <v>0</v>
      </c>
      <c r="AX2572">
        <f>IF(AV2572=0,0,-(COUNTIF(AV2572:AV2574,"&gt;0")*$AW$2477*$C$32+$AY$2477*$C$31)*$H$27*$AU$2477)</f>
        <v>0</v>
      </c>
      <c r="AY2572">
        <f>IF(AV2572=0,0,$AY$2477*$H$26*$AU$2477)</f>
        <v>0</v>
      </c>
      <c r="AZ2572">
        <f>(0.6*AW2572+0.7*AX2572)*$AU$2477/2</f>
        <v>0</v>
      </c>
      <c r="BA2572">
        <f>AW2572*$AU$2477/2</f>
        <v>0</v>
      </c>
      <c r="BC2572">
        <f>IF(AV2572=0,0,$BG$2477*$AP$2454)</f>
        <v>0</v>
      </c>
      <c r="BD2572">
        <f>IFERROR(BC2572/$AU$2477,0)</f>
        <v>0</v>
      </c>
      <c r="BE2572">
        <f>BC2572*($F$22+IF($F$22=0,0,($C$14+$C$15+IF($C$13="single",1.5,3)+3)/12))</f>
        <v>0</v>
      </c>
      <c r="BF2572">
        <f>BE2572-AZ2572</f>
        <v>0</v>
      </c>
      <c r="BG2572" cm="1">
        <f t="array" ref="BG2572">IFERROR(IF(BF2572&lt;0,0,BF2572/($AU$2477-INDEX(hd_off,MATCH(BT2572,hd_mark,0),0)/12)),0)</f>
        <v>0</v>
      </c>
      <c r="BH2572">
        <f>IF(AV2572=0,0,$BG$2477*$AM$2454)</f>
        <v>0</v>
      </c>
      <c r="BI2572">
        <f>IFERROR(BH2572/$AU$2477,0)</f>
        <v>0</v>
      </c>
      <c r="BJ2572">
        <f>BH2572*($F$22+IF($F$22=0,0,($C$14+$C$15+IF($C$13="single",1.5,3)+3)/12))</f>
        <v>0</v>
      </c>
      <c r="BK2572">
        <f>BJ2572-BA2572</f>
        <v>0</v>
      </c>
      <c r="BL2572" cm="1">
        <f t="array" ref="BL2572">IFERROR(IF(BK2572&lt;0,0,BK2572/($AU$2477-INDEX(hd_off,MATCH(BT2572,hd_mark,0),0)/12)),0)</f>
        <v>0</v>
      </c>
      <c r="BM2572">
        <f>MAX($F$22,$BC$2477)/$Q$2484</f>
        <v>0.30172413793103448</v>
      </c>
      <c r="BN2572">
        <f t="shared" ref="BN2572:BN2574" si="1579">IF(BM2572=0,0,IF(BM2572&gt;2,1.25-0.125*BM2572,1))</f>
        <v>1</v>
      </c>
      <c r="BO2572" cm="1">
        <f t="array" ref="BO2572">IFERROR(INDEX(sheath_ecap_asd,MATCH(BS2572,sheath_mark,0),0)*BN2572,0)</f>
        <v>0</v>
      </c>
      <c r="BP2572" cm="1">
        <f t="array" ref="BP2572">IFERROR(INDEX(sheath_wcap_asd,MATCH(BS2572,sheath_mark,0),0)*BN2572,0)</f>
        <v>0</v>
      </c>
      <c r="BQ2572" cm="1">
        <f t="array" ref="BQ2572">IFERROR(INDEX(hd_cap,MATCH(BT2572,hd_mark,0),0),0)</f>
        <v>0</v>
      </c>
      <c r="BS2572" s="19"/>
      <c r="BT2572" s="19"/>
      <c r="BU2572" s="100"/>
    </row>
    <row r="2573" x14ac:dyDescent="0.25">
      <c r="P2573" s="93"/>
      <c r="Q2573" s="109" t="s">
        <v>491</v>
      </c>
      <c r="R2573" t="str">
        <f>$Q$2455</f>
        <v>L4</v>
      </c>
      <c r="S2573">
        <f>$E$23</f>
        <v>0</v>
      </c>
      <c r="T2573" cm="1">
        <f t="array" ref="T2573">IFERROR(IF(S2573=0,0,(INDEX($C$33:$C$38,MATCH($W$2477,$B$33:$B$38,0),0)*(S2575+$X$2477)+$T$2477*COUNTIF(S2573:S2574,"&gt;0")*$C$32+$V$2477*$C$31)*$R$2477),0)</f>
        <v>0</v>
      </c>
      <c r="U2573">
        <f>IF(S2573=0,0,-(COUNTIF(S2573:S2574,"&gt;0")*$T$2477*$C$32+$V$2477*$C$31)*$H$27*$R$2477)</f>
        <v>0</v>
      </c>
      <c r="V2573">
        <f>IF(S2573=0,0,$V$2477*$H$26*$R$2477)</f>
        <v>0</v>
      </c>
      <c r="W2573">
        <f>(0.6*T2573+0.7*U2573)*$R$2477/2</f>
        <v>0</v>
      </c>
      <c r="X2573">
        <f>T2573*$R$2477/2</f>
        <v>0</v>
      </c>
      <c r="Z2573">
        <f>IF(S2573=0,0,$AD$2477*$AP$2455)</f>
        <v>0</v>
      </c>
      <c r="AA2573">
        <f>IFERROR(Z2573/$R$2477,0)</f>
        <v>0</v>
      </c>
      <c r="AB2573">
        <f>Z2573*($F$23+IF($F$23=0,0,($C$14+$C$15+IF($C$13="single",1.5,3)+3)/12))</f>
        <v>0</v>
      </c>
      <c r="AC2573">
        <f>AB2573-W2573</f>
        <v>0</v>
      </c>
      <c r="AD2573" cm="1">
        <f t="array" ref="AD2573">IFERROR(IF(AC2573&lt;0,0,AC2573/($R$2477-INDEX(hd_off,MATCH(AQ2573,hd_mark,0),0)/12)),0)</f>
        <v>0</v>
      </c>
      <c r="AE2573">
        <f>IF(S2573=0,0,$AD$2477*$AM$2455)</f>
        <v>0</v>
      </c>
      <c r="AF2573">
        <f>IFERROR(AE2573/$R$2477,0)</f>
        <v>0</v>
      </c>
      <c r="AG2573">
        <f>AE2573*($F$23+IF($F$23=0,0,($C$14+$C$15+IF($C$13="single",1.5,3)+3)/12))</f>
        <v>0</v>
      </c>
      <c r="AH2573">
        <f>AG2573-X2573</f>
        <v>0</v>
      </c>
      <c r="AI2573" cm="1">
        <f t="array" ref="AI2573">IFERROR(IF(AH2573&lt;0,0,AH2573/($R$2477-INDEX(hd_off,MATCH(AQ2573,hd_mark,0),0)/12)),0)</f>
        <v>0</v>
      </c>
      <c r="AJ2573">
        <f>MAX($F$23,$AA$2477)/$Q$2484</f>
        <v>0</v>
      </c>
      <c r="AK2573">
        <f t="shared" si="1578"/>
        <v>0</v>
      </c>
      <c r="AL2573" cm="1">
        <f t="array" ref="AL2573">IFERROR(INDEX(sheath_ecap_asd,MATCH(AP2573,sheath_mark,0),0)*AK2573,0)</f>
        <v>0</v>
      </c>
      <c r="AM2573" cm="1">
        <f t="array" ref="AM2573">IFERROR(INDEX(sheath_wcap_asd,MATCH(AP2573,sheath_mark,0),0)*AK2573,0)</f>
        <v>0</v>
      </c>
      <c r="AN2573" cm="1">
        <f t="array" ref="AN2573">IFERROR(INDEX(hd_cap,MATCH(AQ2573,hd_mark,0),0),0)</f>
        <v>0</v>
      </c>
      <c r="AP2573" s="19"/>
      <c r="AQ2573" s="19"/>
      <c r="AR2573" s="100"/>
      <c r="AS2573" s="93"/>
      <c r="AT2573" s="109" t="s">
        <v>491</v>
      </c>
      <c r="AU2573" t="str">
        <f>$Q$2455</f>
        <v>L4</v>
      </c>
      <c r="AV2573">
        <f>$E$23</f>
        <v>0</v>
      </c>
      <c r="AW2573" cm="1">
        <f t="array" ref="AW2573">IFERROR(IF(AV2573=0,0,(INDEX($C$33:$C$38,MATCH($AZ$2477,$B$33:$B$38,0),0)*(AV2575+$BA$2477)+$AW$2477*COUNTIF(AV2573:AV2574,"&gt;0")*$C$32+$AY$2477*$C$31)*$AU$2477),0)</f>
        <v>0</v>
      </c>
      <c r="AX2573">
        <f>IF(AV2573=0,0,-(COUNTIF(AV2573:AV2574,"&gt;0")*$AW$2477*$C$32+$AY$2477*$C$31)*$H$27*$AU$2477)</f>
        <v>0</v>
      </c>
      <c r="AY2573">
        <f>IF(AV2573=0,0,$AY$2477*$H$26*$AU$2477)</f>
        <v>0</v>
      </c>
      <c r="AZ2573">
        <f>(0.6*AW2573+0.7*AX2573)*$AU$2477/2</f>
        <v>0</v>
      </c>
      <c r="BA2573">
        <f>AW2573*$AU$2477/2</f>
        <v>0</v>
      </c>
      <c r="BC2573">
        <f>IF(AV2573=0,0,$BG$2477*$AP$2455)</f>
        <v>0</v>
      </c>
      <c r="BD2573">
        <f>IFERROR(BC2573/$AU$2477,0)</f>
        <v>0</v>
      </c>
      <c r="BE2573">
        <f>BC2573*($F$23+IF($F$23=0,0,($C$14+$C$15+IF($C$13="single",1.5,3)+3)/12))</f>
        <v>0</v>
      </c>
      <c r="BF2573">
        <f>BE2573-AZ2573</f>
        <v>0</v>
      </c>
      <c r="BG2573" cm="1">
        <f t="array" ref="BG2573">IFERROR(IF(BF2573&lt;0,0,BF2573/($AU$2477-INDEX(hd_off,MATCH(BT2573,hd_mark,0),0)/12)),0)</f>
        <v>0</v>
      </c>
      <c r="BH2573">
        <f>IF(AV2573=0,0,$BG$2477*$AM$2455)</f>
        <v>0</v>
      </c>
      <c r="BI2573">
        <f>IFERROR(BH2573/$AU$2477,0)</f>
        <v>0</v>
      </c>
      <c r="BJ2573">
        <f>BH2573*($F$23+IF($F$23=0,0,($C$14+$C$15+IF($C$13="single",1.5,3)+3)/12))</f>
        <v>0</v>
      </c>
      <c r="BK2573">
        <f>BJ2573-BA2573</f>
        <v>0</v>
      </c>
      <c r="BL2573" cm="1">
        <f t="array" ref="BL2573">IFERROR(IF(BK2573&lt;0,0,BK2573/($AU$2477-INDEX(hd_off,MATCH(BT2573,hd_mark,0),0)/12)),0)</f>
        <v>0</v>
      </c>
      <c r="BM2573">
        <f>MAX($F$23,$BD$2477)/$Q$2484</f>
        <v>0</v>
      </c>
      <c r="BN2573">
        <f t="shared" si="1579"/>
        <v>0</v>
      </c>
      <c r="BO2573" cm="1">
        <f t="array" ref="BO2573">IFERROR(INDEX(sheath_ecap_asd,MATCH(BS2573,sheath_mark,0),0)*BN2573,0)</f>
        <v>0</v>
      </c>
      <c r="BP2573" cm="1">
        <f t="array" ref="BP2573">IFERROR(INDEX(sheath_wcap_asd,MATCH(BS2573,sheath_mark,0),0)*BN2573,0)</f>
        <v>0</v>
      </c>
      <c r="BQ2573" cm="1">
        <f t="array" ref="BQ2573">IFERROR(INDEX(hd_cap,MATCH(BT2573,hd_mark,0),0),0)</f>
        <v>0</v>
      </c>
      <c r="BS2573" s="19"/>
      <c r="BT2573" s="19"/>
      <c r="BU2573" s="100"/>
    </row>
    <row r="2574" x14ac:dyDescent="0.25">
      <c r="P2574" s="93"/>
      <c r="Q2574" s="111">
        <f>$R$2477</f>
        <v>0</v>
      </c>
      <c r="R2574" t="str">
        <f>$Q$2456</f>
        <v>L5</v>
      </c>
      <c r="S2574">
        <f>$E$24</f>
        <v>0</v>
      </c>
      <c r="T2574" cm="1">
        <f t="array" ref="T2574">IFERROR(IF(S2574=0,0,(INDEX($C$33:$C$38,MATCH($W$2477,$B$33:$B$38,0),0)*(S2575+$X$2477)+$T$2477*COUNTIF(S2574:S2574,"&gt;0")*$C$32+$V$2477*$C$31)*$R$2477),0)</f>
        <v>0</v>
      </c>
      <c r="U2574">
        <f>IF(S2574=0,0,-(COUNTIF(S2574:S2574,"&gt;0")*$T$2477*$C$32+$V$2477*$C$31)*$H$27*$R$2477)</f>
        <v>0</v>
      </c>
      <c r="V2574">
        <f>IF(S2574=0,0,$V$2477*$H$26*$R$2477)</f>
        <v>0</v>
      </c>
      <c r="W2574">
        <f>(0.6*T2574+0.7*U2574)*$R$2477/2</f>
        <v>0</v>
      </c>
      <c r="X2574">
        <f>T2574*$R$2477/2</f>
        <v>0</v>
      </c>
      <c r="Z2574">
        <f>IF(S2574=0,0,$AD$2477*$AP$2456)</f>
        <v>0</v>
      </c>
      <c r="AA2574">
        <f>IFERROR(Z2574/$R$2477,0)</f>
        <v>0</v>
      </c>
      <c r="AB2574">
        <f>Z2574*($F$24+IF($F$24=0,0,($C$14+$C$15+IF($C$13="single",1.5,3)+3)/12))</f>
        <v>0</v>
      </c>
      <c r="AC2574">
        <f>AB2574-W2574</f>
        <v>0</v>
      </c>
      <c r="AD2574" cm="1">
        <f t="array" ref="AD2574">IFERROR(IF(AC2574&lt;0,0,AC2574/($R$2477-INDEX(hd_off,MATCH(AQ2574,hd_mark,0),0)/12)),0)</f>
        <v>0</v>
      </c>
      <c r="AE2574">
        <f>IF(S2574=0,0,$AD$2477*$AM$2456)</f>
        <v>0</v>
      </c>
      <c r="AF2574">
        <f>IFERROR(AE2574/$R$2477,0)</f>
        <v>0</v>
      </c>
      <c r="AG2574">
        <f>AE2574*($F$24+IF($F$24=0,0,($C$14+$C$15+IF($C$13="single",1.5,3)+3)/12))</f>
        <v>0</v>
      </c>
      <c r="AH2574">
        <f>AG2574-X2574</f>
        <v>0</v>
      </c>
      <c r="AI2574" cm="1">
        <f t="array" ref="AI2574">IFERROR(IF(AH2574&lt;0,0,AH2574/($R$2477-INDEX(hd_off,MATCH(AQ2574,hd_mark,0),0)/12)),0)</f>
        <v>0</v>
      </c>
      <c r="AJ2574">
        <f>MAX($F$24,$AB$2477)/$Q$2484</f>
        <v>0</v>
      </c>
      <c r="AK2574">
        <f t="shared" si="1578"/>
        <v>0</v>
      </c>
      <c r="AL2574" cm="1">
        <f t="array" ref="AL2574">IFERROR(INDEX(sheath_ecap_asd,MATCH(AP2574,sheath_mark,0),0)*AK2574,0)</f>
        <v>0</v>
      </c>
      <c r="AM2574" cm="1">
        <f t="array" ref="AM2574">IFERROR(INDEX(sheath_wcap_asd,MATCH(AP2574,sheath_mark,0),0)*AK2574,0)</f>
        <v>0</v>
      </c>
      <c r="AN2574" cm="1">
        <f t="array" ref="AN2574">IFERROR(INDEX(hd_cap,MATCH(AQ2574,hd_mark,0),0),0)</f>
        <v>0</v>
      </c>
      <c r="AP2574" s="19"/>
      <c r="AQ2574" s="19"/>
      <c r="AR2574" s="100"/>
      <c r="AS2574" s="93"/>
      <c r="AT2574" s="111">
        <f>$R$2477</f>
        <v>0</v>
      </c>
      <c r="AU2574" t="str">
        <f>$Q$2456</f>
        <v>L5</v>
      </c>
      <c r="AV2574">
        <f>$E$24</f>
        <v>0</v>
      </c>
      <c r="AW2574" cm="1">
        <f t="array" ref="AW2574">IFERROR(IF(AV2574=0,0,(INDEX($C$33:$C$38,MATCH($AZ$2477,$B$33:$B$38,0),0)*(AV2575+$BA$2477)+$AW$2477*COUNTIF(AV2574:AV2574,"&gt;0")*$C$32+$AY$2477*$C$31)*$AU$2477),0)</f>
        <v>0</v>
      </c>
      <c r="AX2574">
        <f>IF(AV2574=0,0,-(COUNTIF(AV2574:AV2574,"&gt;0")*$AW$2477*$C$32+$AY$2477*$C$31)*$H$27*$AU$2477)</f>
        <v>0</v>
      </c>
      <c r="AY2574">
        <f>IF(AV2574=0,0,$AY$2477*$H$26*$AU$2477)</f>
        <v>0</v>
      </c>
      <c r="AZ2574">
        <f>(0.6*AW2574+0.7*AX2574)*$AU$2477/2</f>
        <v>0</v>
      </c>
      <c r="BA2574">
        <f>AW2574*$AU$2477/2</f>
        <v>0</v>
      </c>
      <c r="BC2574">
        <f>IF(AV2574=0,0,$BG$2477*$AP$2456)</f>
        <v>0</v>
      </c>
      <c r="BD2574">
        <f>IFERROR(BC2574/$AU$2477,0)</f>
        <v>0</v>
      </c>
      <c r="BE2574">
        <f>BC2574*($F$24+IF($F$24=0,0,($C$14+$C$15+IF($C$13="single",1.5,3)+3)/12))</f>
        <v>0</v>
      </c>
      <c r="BF2574">
        <f>BE2574-AZ2574</f>
        <v>0</v>
      </c>
      <c r="BG2574" cm="1">
        <f t="array" ref="BG2574">IFERROR(IF(BF2574&lt;0,0,BF2574/($AU$2477-INDEX(hd_off,MATCH(BT2574,hd_mark,0),0)/12)),0)</f>
        <v>0</v>
      </c>
      <c r="BH2574">
        <f>IF(AV2574=0,0,$BG$2477*$AM$2456)</f>
        <v>0</v>
      </c>
      <c r="BI2574">
        <f>IFERROR(BH2574/$AU$2477,0)</f>
        <v>0</v>
      </c>
      <c r="BJ2574">
        <f>BH2574*($F$24+IF($F$24=0,0,($C$14+$C$15+IF($C$13="single",1.5,3)+3)/12))</f>
        <v>0</v>
      </c>
      <c r="BK2574">
        <f>BJ2574-BA2574</f>
        <v>0</v>
      </c>
      <c r="BL2574" cm="1">
        <f t="array" ref="BL2574">IFERROR(IF(BK2574&lt;0,0,BK2574/($AU$2477-INDEX(hd_off,MATCH(BT2574,hd_mark,0),0)/12)),0)</f>
        <v>0</v>
      </c>
      <c r="BM2574">
        <f>MAX($F$24,$BE$2477)/$Q$2484</f>
        <v>0</v>
      </c>
      <c r="BN2574">
        <f t="shared" si="1579"/>
        <v>0</v>
      </c>
      <c r="BO2574" cm="1">
        <f t="array" ref="BO2574">IFERROR(INDEX(sheath_ecap_asd,MATCH(BS2574,sheath_mark,0),0)*BN2574,0)</f>
        <v>0</v>
      </c>
      <c r="BP2574" cm="1">
        <f t="array" ref="BP2574">IFERROR(INDEX(sheath_wcap_asd,MATCH(BS2574,sheath_mark,0),0)*BN2574,0)</f>
        <v>0</v>
      </c>
      <c r="BQ2574" cm="1">
        <f t="array" ref="BQ2574">IFERROR(INDEX(hd_cap,MATCH(BT2574,hd_mark,0),0),0)</f>
        <v>0</v>
      </c>
      <c r="BS2574" s="19"/>
      <c r="BT2574" s="19"/>
      <c r="BU2574" s="100"/>
    </row>
    <row r="2575" x14ac:dyDescent="0.25">
      <c r="P2575" s="93"/>
      <c r="Q2575" s="109"/>
      <c r="R2575" t="str">
        <f>$Q$2457</f>
        <v>Roof</v>
      </c>
      <c r="S2575">
        <f>$E$25</f>
        <v>33.171875</v>
      </c>
      <c r="T2575" cm="1">
        <f t="array" ref="T2575">IFERROR(IF(S2575=0,0,(INDEX($C$33:$C$38,MATCH($W$2477,$B$33:$B$38,0),0)*(S2575+$X$2477)+$V$2477*$C$31)*$R$2477),0)</f>
        <v>0</v>
      </c>
      <c r="U2575">
        <f>IF(S2575=0,0,-$V$2477*$C$31*$H$27*$R$2477)</f>
        <v>0</v>
      </c>
      <c r="V2575">
        <f>IF(S2575=0,0,$V$2477*$H$26*$R$2477)</f>
        <v>0</v>
      </c>
      <c r="W2575">
        <f>(0.6*T2575+0.7*U2575)*$R$2477/2</f>
        <v>0</v>
      </c>
      <c r="X2575">
        <f>T2575*$R$2477/2</f>
        <v>0</v>
      </c>
      <c r="Z2575">
        <f>IF(S2575=0,0,$AD$2477*$AP$2457)</f>
        <v>0</v>
      </c>
      <c r="AA2575">
        <f>IFERROR(Z2575/$R$2477,0)</f>
        <v>0</v>
      </c>
      <c r="AB2575">
        <f>Z2575*($F$25+($C$16+$C$17+IF($C$13="single",1.5,3)+3)/12)</f>
        <v>0</v>
      </c>
      <c r="AC2575">
        <f>AB2575-W2575</f>
        <v>0</v>
      </c>
      <c r="AD2575" cm="1">
        <f t="array" ref="AD2575">IFERROR(IF(AC2575&lt;0,0,AC2575/($R$2477-INDEX(hd_off,MATCH(AQ2575,hd_mark,0),0)/12)),0)</f>
        <v>0</v>
      </c>
      <c r="AE2575">
        <f>IF(S2575=0,0,$AD$2477*$AM$2457)</f>
        <v>0</v>
      </c>
      <c r="AF2575">
        <f>IFERROR(AE2575/$R$2477,0)</f>
        <v>0</v>
      </c>
      <c r="AG2575">
        <f>AE2575*($F$25+($C$16+$C$17+IF($C$13="single",1.5,3)+3)/12)</f>
        <v>0</v>
      </c>
      <c r="AH2575">
        <f>AG2575-X2575</f>
        <v>0</v>
      </c>
      <c r="AI2575" cm="1">
        <f t="array" ref="AI2575">IFERROR(IF(AH2575&lt;0,0,AH2575/($R$2477-INDEX(hd_off,MATCH(AQ2575,hd_mark,0),0)/12)),0)</f>
        <v>0</v>
      </c>
      <c r="AJ2575">
        <f>MAX($F$25,$AC$2477)/$Q$2484</f>
        <v>0.29920977011494249</v>
      </c>
      <c r="AK2575">
        <f t="shared" si="1578"/>
        <v>1</v>
      </c>
      <c r="AL2575" cm="1">
        <f t="array" ref="AL2575">IFERROR(INDEX(sheath_ecap_asd,MATCH(AP2575,sheath_mark,0),0)*AK2575,0)</f>
        <v>0</v>
      </c>
      <c r="AM2575" cm="1">
        <f t="array" ref="AM2575">IFERROR(INDEX(sheath_wcap_asd,MATCH(AP2575,sheath_mark,0),0)*AK2575,0)</f>
        <v>0</v>
      </c>
      <c r="AN2575" cm="1">
        <f t="array" ref="AN2575">IFERROR(INDEX(hd_cap,MATCH(AQ2575,hd_mark,0),0),0)</f>
        <v>0</v>
      </c>
      <c r="AP2575" s="19"/>
      <c r="AQ2575" s="19"/>
      <c r="AR2575" s="100"/>
      <c r="AS2575" s="93"/>
      <c r="BU2575" s="100"/>
    </row>
    <row r="2576" x14ac:dyDescent="0.25">
      <c r="B2576" s="1" t="s">
        <v>569</v>
      </c>
      <c r="C2576">
        <f>E16+H16*12</f>
        <v>32.4375</v>
      </c>
      <c r="E2576" s="19">
        <v>24</v>
      </c>
      <c r="F2576" s="19">
        <f>32+5.625/12</f>
        <v>32.46875</v>
      </c>
      <c r="G2576" s="19">
        <f>33+10.5/12</f>
        <v>33.875</v>
      </c>
      <c r="H2576">
        <f>(G16-F16)/2</f>
        <v>0.703125</v>
      </c>
      <c r="P2576" s="93"/>
      <c r="Q2576" t="s">
        <v>524</v>
      </c>
      <c r="R2576" s="2" t="str">
        <f>$B$62</f>
        <v>A</v>
      </c>
      <c r="AR2576" s="100"/>
      <c r="AS2576" s="93"/>
      <c r="AT2576" t="s">
        <v>524</v>
      </c>
      <c r="AU2576" s="2">
        <f>H62</f>
        <v>1</v>
      </c>
      <c r="BU2576" s="100"/>
    </row>
    <row r="2577" x14ac:dyDescent="0.25">
      <c r="B2577" s="1" t="s">
        <v>500</v>
      </c>
      <c r="C2577" s="19">
        <v>0.5</v>
      </c>
      <c r="P2577" s="93"/>
      <c r="AR2577" s="100"/>
      <c r="AS2577" s="93"/>
      <c r="BU2577" s="100"/>
    </row>
    <row r="2578" x14ac:dyDescent="0.25">
      <c r="P2578" s="93"/>
      <c r="R2578" t="s">
        <v>482</v>
      </c>
      <c r="Z2578" t="s">
        <v>483</v>
      </c>
      <c r="AH2578" t="s">
        <v>502</v>
      </c>
      <c r="AJ2578" t="s">
        <v>454</v>
      </c>
      <c r="AR2578" s="100"/>
      <c r="AS2578" s="93"/>
      <c r="AU2578" t="s">
        <v>482</v>
      </c>
      <c r="BC2578" t="s">
        <v>483</v>
      </c>
      <c r="BK2578" t="s">
        <v>502</v>
      </c>
      <c r="BM2578" t="s">
        <v>454</v>
      </c>
      <c r="BU2578" s="100"/>
    </row>
    <row r="2579" x14ac:dyDescent="0.25">
      <c r="B2579" t="s">
        <v>448</v>
      </c>
      <c r="C2579" t="s">
        <v>272</v>
      </c>
      <c r="D2579" t="s">
        <v>193</v>
      </c>
      <c r="E2579" s="70" t="s">
        <v>454</v>
      </c>
      <c r="F2579" s="71" t="s">
        <v>501</v>
      </c>
      <c r="H2579" t="s">
        <v>475</v>
      </c>
      <c r="J2579" t="s">
        <v>476</v>
      </c>
      <c r="P2579" s="93"/>
      <c r="R2579" t="s">
        <v>480</v>
      </c>
      <c r="S2579" t="s">
        <v>481</v>
      </c>
      <c r="T2579" t="s">
        <v>486</v>
      </c>
      <c r="U2579" t="s">
        <v>487</v>
      </c>
      <c r="V2579" t="s">
        <v>484</v>
      </c>
      <c r="W2579" t="s">
        <v>485</v>
      </c>
      <c r="X2579" t="s">
        <v>488</v>
      </c>
      <c r="Y2579" t="s">
        <v>489</v>
      </c>
      <c r="Z2579" t="s">
        <v>480</v>
      </c>
      <c r="AA2579" t="s">
        <v>481</v>
      </c>
      <c r="AB2579" t="s">
        <v>486</v>
      </c>
      <c r="AC2579" t="s">
        <v>487</v>
      </c>
      <c r="AD2579" t="s">
        <v>484</v>
      </c>
      <c r="AE2579" t="s">
        <v>485</v>
      </c>
      <c r="AF2579" t="s">
        <v>488</v>
      </c>
      <c r="AG2579" t="s">
        <v>489</v>
      </c>
      <c r="AH2579" t="s">
        <v>312</v>
      </c>
      <c r="AI2579" t="s">
        <v>258</v>
      </c>
      <c r="AJ2579" t="s">
        <v>486</v>
      </c>
      <c r="AK2579" t="s">
        <v>490</v>
      </c>
      <c r="AL2579" t="s">
        <v>487</v>
      </c>
      <c r="AM2579" t="s">
        <v>490</v>
      </c>
      <c r="AN2579" t="s">
        <v>488</v>
      </c>
      <c r="AO2579" t="s">
        <v>490</v>
      </c>
      <c r="AP2579" t="s">
        <v>489</v>
      </c>
      <c r="AQ2579" t="s">
        <v>490</v>
      </c>
      <c r="AR2579" s="100"/>
      <c r="AS2579" s="93"/>
      <c r="AU2579" t="s">
        <v>480</v>
      </c>
      <c r="AV2579" t="s">
        <v>481</v>
      </c>
      <c r="AW2579" t="s">
        <v>486</v>
      </c>
      <c r="AX2579" t="s">
        <v>487</v>
      </c>
      <c r="AY2579" t="s">
        <v>484</v>
      </c>
      <c r="AZ2579" t="s">
        <v>485</v>
      </c>
      <c r="BA2579" t="s">
        <v>488</v>
      </c>
      <c r="BB2579" t="s">
        <v>489</v>
      </c>
      <c r="BC2579" t="s">
        <v>480</v>
      </c>
      <c r="BD2579" t="s">
        <v>481</v>
      </c>
      <c r="BE2579" t="s">
        <v>486</v>
      </c>
      <c r="BF2579" t="s">
        <v>487</v>
      </c>
      <c r="BG2579" t="s">
        <v>484</v>
      </c>
      <c r="BH2579" t="s">
        <v>485</v>
      </c>
      <c r="BI2579" t="s">
        <v>488</v>
      </c>
      <c r="BJ2579" t="s">
        <v>489</v>
      </c>
      <c r="BK2579" t="s">
        <v>312</v>
      </c>
      <c r="BL2579" t="s">
        <v>258</v>
      </c>
      <c r="BM2579" t="s">
        <v>486</v>
      </c>
      <c r="BN2579" t="s">
        <v>490</v>
      </c>
      <c r="BO2579" t="s">
        <v>487</v>
      </c>
      <c r="BP2579" t="s">
        <v>490</v>
      </c>
      <c r="BQ2579" t="s">
        <v>488</v>
      </c>
      <c r="BR2579" t="s">
        <v>490</v>
      </c>
      <c r="BS2579" t="s">
        <v>489</v>
      </c>
      <c r="BT2579" t="s">
        <v>490</v>
      </c>
      <c r="BU2579" s="100"/>
    </row>
    <row r="2580" x14ac:dyDescent="0.25">
      <c r="B2580" t="s">
        <v>449</v>
      </c>
      <c r="C2580" s="19">
        <v>0</v>
      </c>
      <c r="D2580" s="19">
        <v>0</v>
      </c>
      <c r="E2580" s="66">
        <f>C20+D20/12</f>
        <v>0</v>
      </c>
      <c r="F2580" s="67">
        <v>0</v>
      </c>
      <c r="H2580" s="19">
        <v>0</v>
      </c>
      <c r="I2580" s="64" t="s">
        <v>196</v>
      </c>
      <c r="J2580" s="19">
        <v>0</v>
      </c>
      <c r="K2580" s="19">
        <v>0</v>
      </c>
      <c r="L2580" s="19">
        <v>0</v>
      </c>
      <c r="M2580" s="19">
        <v>0</v>
      </c>
      <c r="P2580" s="93"/>
      <c r="Q2580" t="s">
        <v>449</v>
      </c>
      <c r="R2580" s="19">
        <f>$H$20</f>
        <v>0</v>
      </c>
      <c r="S2580">
        <f>R2580*0.6</f>
        <v>0</v>
      </c>
      <c r="T2580">
        <f>$C$62/2*R2580</f>
        <v>0</v>
      </c>
      <c r="U2580">
        <f>T2580*0.6</f>
        <v>0</v>
      </c>
      <c r="V2580" s="19">
        <v>0</v>
      </c>
      <c r="W2580">
        <f>V2580*0.7</f>
        <v>0</v>
      </c>
      <c r="X2580">
        <f>$C$62/2*V2580</f>
        <v>0</v>
      </c>
      <c r="Y2580">
        <f>X2580*0.7</f>
        <v>0</v>
      </c>
      <c r="Z2580" s="19">
        <f>$H$20</f>
        <v>0</v>
      </c>
      <c r="AA2580">
        <f>Z2580*0.6</f>
        <v>0</v>
      </c>
      <c r="AB2580">
        <f>$D$62/2*Z2580</f>
        <v>0</v>
      </c>
      <c r="AC2580">
        <f t="shared" ref="AC2580:AC2586" si="1580">0.6*AB2580</f>
        <v>0</v>
      </c>
      <c r="AD2580" s="19">
        <v>0</v>
      </c>
      <c r="AE2580">
        <f>AD2580*0.7</f>
        <v>0</v>
      </c>
      <c r="AF2580">
        <f>$D$62/2*AD2580</f>
        <v>0</v>
      </c>
      <c r="AG2580">
        <f>AF2580*0.7</f>
        <v>0</v>
      </c>
      <c r="AH2580" s="19">
        <v>0</v>
      </c>
      <c r="AI2580" s="19">
        <v>0</v>
      </c>
      <c r="AJ2580" s="17">
        <f>T2580+AB2580+AH2580</f>
        <v>0</v>
      </c>
      <c r="AK2580" s="17">
        <f>AK2581+AJ2580</f>
        <v>13166</v>
      </c>
      <c r="AL2580" s="17">
        <f>AJ2580*0.6</f>
        <v>0</v>
      </c>
      <c r="AM2580" s="17">
        <f>AM2581+AL2580</f>
        <v>7899.5999999999995</v>
      </c>
      <c r="AN2580" s="17">
        <f>X2580+AF2580+AI2580</f>
        <v>0</v>
      </c>
      <c r="AO2580" s="17">
        <f t="shared" ref="AO2580:AQ2583" si="1581">AN2580+AO2581</f>
        <v>1302.0999999999999</v>
      </c>
      <c r="AP2580" s="17">
        <f>AN2580*0.7</f>
        <v>0</v>
      </c>
      <c r="AQ2580" s="17">
        <f>AP2580+AQ2581</f>
        <v>911.46999999999991</v>
      </c>
      <c r="AR2580" s="100"/>
      <c r="AS2580" s="93"/>
      <c r="AT2580" t="s">
        <v>449</v>
      </c>
      <c r="AU2580" s="19">
        <f>$H$20</f>
        <v>0</v>
      </c>
      <c r="AV2580">
        <f>AU2580*0.6</f>
        <v>0</v>
      </c>
      <c r="AW2580">
        <f t="shared" ref="AW2580:AW2586" si="1582">$I$62/2*AU2580</f>
        <v>0</v>
      </c>
      <c r="AX2580">
        <f>AW2580*0.6</f>
        <v>0</v>
      </c>
      <c r="AY2580" s="19">
        <v>0</v>
      </c>
      <c r="AZ2580">
        <f>AY2580*0.7</f>
        <v>0</v>
      </c>
      <c r="BA2580">
        <f t="shared" ref="BA2580:BA2585" si="1583">$I$62/2*AY2580</f>
        <v>0</v>
      </c>
      <c r="BB2580">
        <f>BA2580*0.7</f>
        <v>0</v>
      </c>
      <c r="BC2580" s="19">
        <f>$H$20</f>
        <v>0</v>
      </c>
      <c r="BD2580">
        <f>BC2580*0.6</f>
        <v>0</v>
      </c>
      <c r="BE2580">
        <f t="shared" ref="BE2580:BE2586" si="1584">$J$62/2*BC2580</f>
        <v>0</v>
      </c>
      <c r="BF2580">
        <f t="shared" ref="BF2580:BF2586" si="1585">0.6*BE2580</f>
        <v>0</v>
      </c>
      <c r="BG2580" s="19">
        <v>0</v>
      </c>
      <c r="BH2580">
        <f>BG2580*0.7</f>
        <v>0</v>
      </c>
      <c r="BI2580">
        <f t="shared" ref="BI2580:BI2585" si="1586">$J$62/2*BG2580</f>
        <v>0</v>
      </c>
      <c r="BJ2580">
        <f>BI2580*0.7</f>
        <v>0</v>
      </c>
      <c r="BK2580" s="19">
        <v>0</v>
      </c>
      <c r="BL2580" s="19">
        <v>0</v>
      </c>
      <c r="BM2580" s="17">
        <f>AW2580+BE2580+BK2580</f>
        <v>0</v>
      </c>
      <c r="BN2580" s="17">
        <f>BN2581+BM2580</f>
        <v>12258</v>
      </c>
      <c r="BO2580" s="17">
        <f>BM2580*0.6</f>
        <v>0</v>
      </c>
      <c r="BP2580" s="17">
        <f>BP2581+BO2580</f>
        <v>7354.7999999999993</v>
      </c>
      <c r="BQ2580" s="17">
        <f>BA2580+BI2580+BL2580</f>
        <v>0</v>
      </c>
      <c r="BR2580" s="17">
        <f t="shared" ref="BR2580:BR2583" si="1587">BQ2580+BR2581</f>
        <v>1212.3</v>
      </c>
      <c r="BS2580" s="17">
        <f>BQ2580*0.7</f>
        <v>0</v>
      </c>
      <c r="BT2580" s="17">
        <f>BS2580+BT2581</f>
        <v>848.6099999999999</v>
      </c>
      <c r="BU2580" s="100"/>
    </row>
    <row r="2581" x14ac:dyDescent="0.25">
      <c r="B2581" t="s">
        <v>450</v>
      </c>
      <c r="C2581" s="19">
        <v>10</v>
      </c>
      <c r="D2581" s="19">
        <v>8.25</v>
      </c>
      <c r="E2581" s="66">
        <f>C21+D21/12</f>
        <v>10.6875</v>
      </c>
      <c r="F2581" s="67">
        <f>IF(E21&gt;0,E21-(C15+C14+2*1.5+IF(C13="single",1.5,3))/12-_xlfn.XLOOKUP(E21,E20,E20,,-1),0)</f>
        <v>8.75</v>
      </c>
      <c r="H2581" s="19">
        <v>236</v>
      </c>
      <c r="I2581" s="64" t="s">
        <v>196</v>
      </c>
      <c r="J2581" s="19">
        <v>33.799999999999997</v>
      </c>
      <c r="K2581" s="19">
        <v>65.599999999999994</v>
      </c>
      <c r="L2581" s="19">
        <v>19.3</v>
      </c>
      <c r="M2581" s="19">
        <v>119.6</v>
      </c>
      <c r="P2581" s="93"/>
      <c r="Q2581" t="s">
        <v>450</v>
      </c>
      <c r="R2581" s="19">
        <f>$H$21</f>
        <v>236</v>
      </c>
      <c r="S2581">
        <f t="shared" ref="S2581:S2586" si="1588">R2581*0.6</f>
        <v>141.6</v>
      </c>
      <c r="T2581">
        <f t="shared" ref="T2581:T2585" si="1589">$C$62/2*R2581</f>
        <v>0</v>
      </c>
      <c r="U2581">
        <f>T2581*0.6</f>
        <v>0</v>
      </c>
      <c r="V2581" s="19">
        <v>33.799999999999997</v>
      </c>
      <c r="W2581">
        <f t="shared" ref="W2581:W2585" si="1590">V2581*0.7</f>
        <v>23.659999999999997</v>
      </c>
      <c r="X2581">
        <f t="shared" ref="X2581:X2585" si="1591">$C$62/2*V2581</f>
        <v>0</v>
      </c>
      <c r="Y2581">
        <f t="shared" ref="Y2581:Y2585" si="1592">X2581*0.7</f>
        <v>0</v>
      </c>
      <c r="Z2581" s="19">
        <f>$H$21</f>
        <v>236</v>
      </c>
      <c r="AA2581">
        <f t="shared" ref="AA2581:AA2585" si="1593">Z2581*0.6</f>
        <v>141.6</v>
      </c>
      <c r="AB2581">
        <f t="shared" ref="AB2581:AB2585" si="1594">$D$62/2*Z2581</f>
        <v>3422</v>
      </c>
      <c r="AC2581">
        <f t="shared" si="1580"/>
        <v>2053.1999999999998</v>
      </c>
      <c r="AD2581" s="19">
        <v>33.799999999999997</v>
      </c>
      <c r="AE2581">
        <f t="shared" ref="AE2581:AE2585" si="1595">AD2581*0.7</f>
        <v>23.659999999999997</v>
      </c>
      <c r="AF2581">
        <f t="shared" ref="AF2581:AF2585" si="1596">$D$62/2*AD2581</f>
        <v>490.09999999999997</v>
      </c>
      <c r="AG2581">
        <f t="shared" ref="AG2581:AG2585" si="1597">AF2581*0.7</f>
        <v>343.06999999999994</v>
      </c>
      <c r="AH2581" s="19">
        <v>0</v>
      </c>
      <c r="AI2581" s="19">
        <v>0</v>
      </c>
      <c r="AJ2581" s="17">
        <f>T2581+AB2581+AH2581</f>
        <v>3422</v>
      </c>
      <c r="AK2581" s="17">
        <f>AK2582+AJ2581</f>
        <v>13166</v>
      </c>
      <c r="AL2581" s="17">
        <f t="shared" ref="AL2581:AL2585" si="1598">AJ2581*0.6</f>
        <v>2053.1999999999998</v>
      </c>
      <c r="AM2581" s="17">
        <f t="shared" ref="AM2581:AM2583" si="1599">AM2582+AL2581</f>
        <v>7899.5999999999995</v>
      </c>
      <c r="AN2581" s="17">
        <f t="shared" ref="AN2581:AN2584" si="1600">X2581+AF2581+AI2581</f>
        <v>490.09999999999997</v>
      </c>
      <c r="AO2581" s="17">
        <f t="shared" si="1581"/>
        <v>1302.0999999999999</v>
      </c>
      <c r="AP2581" s="17">
        <f t="shared" ref="AP2581:AP2584" si="1601">AN2581*0.7</f>
        <v>343.06999999999994</v>
      </c>
      <c r="AQ2581" s="17">
        <f t="shared" si="1581"/>
        <v>911.46999999999991</v>
      </c>
      <c r="AR2581" s="100"/>
      <c r="AS2581" s="93"/>
      <c r="AT2581" t="s">
        <v>450</v>
      </c>
      <c r="AU2581" s="19">
        <f>$H$21</f>
        <v>236</v>
      </c>
      <c r="AV2581">
        <f t="shared" ref="AV2581:AV2586" si="1602">AU2581*0.6</f>
        <v>141.6</v>
      </c>
      <c r="AW2581">
        <f t="shared" si="1582"/>
        <v>0</v>
      </c>
      <c r="AX2581">
        <f>AW2581*0.6</f>
        <v>0</v>
      </c>
      <c r="AY2581" s="19">
        <v>33.799999999999997</v>
      </c>
      <c r="AZ2581">
        <f t="shared" ref="AZ2581:AZ2585" si="1603">AY2581*0.7</f>
        <v>23.659999999999997</v>
      </c>
      <c r="BA2581">
        <f t="shared" si="1583"/>
        <v>0</v>
      </c>
      <c r="BB2581">
        <f t="shared" ref="BB2581:BB2585" si="1604">BA2581*0.7</f>
        <v>0</v>
      </c>
      <c r="BC2581" s="19">
        <f>$H$21</f>
        <v>236</v>
      </c>
      <c r="BD2581">
        <f t="shared" ref="BD2581:BD2585" si="1605">BC2581*0.6</f>
        <v>141.6</v>
      </c>
      <c r="BE2581">
        <f t="shared" si="1584"/>
        <v>3186</v>
      </c>
      <c r="BF2581">
        <f t="shared" si="1585"/>
        <v>1911.6</v>
      </c>
      <c r="BG2581" s="19">
        <v>33.799999999999997</v>
      </c>
      <c r="BH2581">
        <f t="shared" ref="BH2581:BH2585" si="1606">BG2581*0.7</f>
        <v>23.659999999999997</v>
      </c>
      <c r="BI2581">
        <f t="shared" si="1586"/>
        <v>456.29999999999995</v>
      </c>
      <c r="BJ2581">
        <f t="shared" ref="BJ2581:BJ2585" si="1607">BI2581*0.7</f>
        <v>319.40999999999997</v>
      </c>
      <c r="BK2581" s="19">
        <v>0</v>
      </c>
      <c r="BL2581" s="19">
        <v>0</v>
      </c>
      <c r="BM2581" s="17">
        <f>AW2581+BE2581+BK2581</f>
        <v>3186</v>
      </c>
      <c r="BN2581" s="17">
        <f>BN2582+BM2581</f>
        <v>12258</v>
      </c>
      <c r="BO2581" s="17">
        <f t="shared" ref="BO2581" si="1608">BM2581*0.6</f>
        <v>1911.6</v>
      </c>
      <c r="BP2581" s="17">
        <f t="shared" ref="BP2581:BP2583" si="1609">BP2582+BO2581</f>
        <v>7354.7999999999993</v>
      </c>
      <c r="BQ2581" s="17">
        <f t="shared" ref="BQ2581:BQ2584" si="1610">BA2581+BI2581+BL2581</f>
        <v>456.29999999999995</v>
      </c>
      <c r="BR2581" s="17">
        <f t="shared" si="1587"/>
        <v>1212.3</v>
      </c>
      <c r="BS2581" s="17">
        <f t="shared" ref="BS2581:BS2584" si="1611">BQ2581*0.7</f>
        <v>319.40999999999997</v>
      </c>
      <c r="BT2581" s="17">
        <f t="shared" ref="BT2581:BT2583" si="1612">BS2581+BT2582</f>
        <v>848.6099999999999</v>
      </c>
      <c r="BU2581" s="100"/>
    </row>
    <row r="2582" x14ac:dyDescent="0.25">
      <c r="B2582" t="s">
        <v>451</v>
      </c>
      <c r="C2582" s="19">
        <v>21</v>
      </c>
      <c r="D2582" s="19">
        <v>4.5</v>
      </c>
      <c r="E2582" s="66">
        <f t="shared" ref="E22:E25" si="1613">C22+D22/12</f>
        <v>21.375</v>
      </c>
      <c r="F2582" s="67">
        <f>IF(E22&gt;0,E22-(C15+C14+2*1.5+IF(C13="single",1.5,3))/12-_xlfn.XLOOKUP(E22,E20:E21,E20:E21,,-1),0)</f>
        <v>8.75</v>
      </c>
      <c r="H2582" s="19">
        <v>229</v>
      </c>
      <c r="I2582" s="64" t="s">
        <v>196</v>
      </c>
      <c r="J2582" s="19">
        <v>37.1</v>
      </c>
      <c r="K2582" s="19">
        <v>71.8</v>
      </c>
      <c r="L2582" s="19">
        <v>21.1</v>
      </c>
      <c r="M2582" s="19">
        <v>131.1</v>
      </c>
      <c r="P2582" s="93"/>
      <c r="Q2582" t="s">
        <v>451</v>
      </c>
      <c r="R2582" s="19">
        <f>$H$22</f>
        <v>229</v>
      </c>
      <c r="S2582">
        <f t="shared" si="1588"/>
        <v>137.4</v>
      </c>
      <c r="T2582">
        <f t="shared" si="1589"/>
        <v>0</v>
      </c>
      <c r="U2582">
        <f t="shared" ref="U2582:U2586" si="1614">T2582*0.6</f>
        <v>0</v>
      </c>
      <c r="V2582" s="19">
        <v>37.1</v>
      </c>
      <c r="W2582">
        <f t="shared" si="1590"/>
        <v>25.97</v>
      </c>
      <c r="X2582">
        <f>$C$62/2*V2582</f>
        <v>0</v>
      </c>
      <c r="Y2582">
        <f t="shared" si="1592"/>
        <v>0</v>
      </c>
      <c r="Z2582" s="19">
        <f>$H$22</f>
        <v>229</v>
      </c>
      <c r="AA2582">
        <f t="shared" si="1593"/>
        <v>137.4</v>
      </c>
      <c r="AB2582">
        <f t="shared" si="1594"/>
        <v>3320.5</v>
      </c>
      <c r="AC2582">
        <f t="shared" si="1580"/>
        <v>1992.3</v>
      </c>
      <c r="AD2582" s="19">
        <v>37.1</v>
      </c>
      <c r="AE2582">
        <f t="shared" si="1595"/>
        <v>25.97</v>
      </c>
      <c r="AF2582">
        <f t="shared" si="1596"/>
        <v>537.95000000000005</v>
      </c>
      <c r="AG2582">
        <f t="shared" si="1597"/>
        <v>376.565</v>
      </c>
      <c r="AH2582" s="19">
        <v>0</v>
      </c>
      <c r="AI2582" s="19">
        <v>0</v>
      </c>
      <c r="AJ2582" s="17">
        <f t="shared" ref="AJ2582:AJ2584" si="1615">T2582+AB2582+AH2582</f>
        <v>3320.5</v>
      </c>
      <c r="AK2582" s="17">
        <f>AK2583+AJ2582</f>
        <v>9744</v>
      </c>
      <c r="AL2582" s="17">
        <f>AJ2582*0.6</f>
        <v>1992.3</v>
      </c>
      <c r="AM2582" s="17">
        <f t="shared" si="1599"/>
        <v>5846.4</v>
      </c>
      <c r="AN2582" s="17">
        <f t="shared" si="1600"/>
        <v>537.95000000000005</v>
      </c>
      <c r="AO2582" s="17">
        <f t="shared" si="1581"/>
        <v>812</v>
      </c>
      <c r="AP2582" s="17">
        <f t="shared" si="1601"/>
        <v>376.565</v>
      </c>
      <c r="AQ2582" s="17">
        <f t="shared" si="1581"/>
        <v>568.4</v>
      </c>
      <c r="AR2582" s="100"/>
      <c r="AS2582" s="93"/>
      <c r="AT2582" t="s">
        <v>451</v>
      </c>
      <c r="AU2582" s="19">
        <f>$H$22</f>
        <v>229</v>
      </c>
      <c r="AV2582">
        <f t="shared" si="1602"/>
        <v>137.4</v>
      </c>
      <c r="AW2582">
        <f t="shared" si="1582"/>
        <v>0</v>
      </c>
      <c r="AX2582">
        <f t="shared" ref="AX2582:AX2586" si="1616">AW2582*0.6</f>
        <v>0</v>
      </c>
      <c r="AY2582" s="19">
        <v>37.1</v>
      </c>
      <c r="AZ2582">
        <f t="shared" si="1603"/>
        <v>25.97</v>
      </c>
      <c r="BA2582">
        <f t="shared" si="1583"/>
        <v>0</v>
      </c>
      <c r="BB2582">
        <f t="shared" si="1604"/>
        <v>0</v>
      </c>
      <c r="BC2582" s="19">
        <f>$H$22</f>
        <v>229</v>
      </c>
      <c r="BD2582">
        <f t="shared" si="1605"/>
        <v>137.4</v>
      </c>
      <c r="BE2582">
        <f t="shared" si="1584"/>
        <v>3091.5</v>
      </c>
      <c r="BF2582">
        <f t="shared" si="1585"/>
        <v>1854.8999999999999</v>
      </c>
      <c r="BG2582" s="19">
        <v>37.1</v>
      </c>
      <c r="BH2582">
        <f t="shared" si="1606"/>
        <v>25.97</v>
      </c>
      <c r="BI2582">
        <f t="shared" si="1586"/>
        <v>500.85</v>
      </c>
      <c r="BJ2582">
        <f t="shared" si="1607"/>
        <v>350.59499999999997</v>
      </c>
      <c r="BK2582" s="19">
        <v>0</v>
      </c>
      <c r="BL2582" s="19">
        <v>0</v>
      </c>
      <c r="BM2582" s="17">
        <f t="shared" ref="BM2582:BM2584" si="1617">AW2582+BE2582+BK2582</f>
        <v>3091.5</v>
      </c>
      <c r="BN2582" s="17">
        <f>BN2583+BM2582</f>
        <v>9072</v>
      </c>
      <c r="BO2582" s="17">
        <f>BM2582*0.6</f>
        <v>1854.8999999999999</v>
      </c>
      <c r="BP2582" s="17">
        <f t="shared" si="1609"/>
        <v>5443.2</v>
      </c>
      <c r="BQ2582" s="17">
        <f t="shared" si="1610"/>
        <v>500.85</v>
      </c>
      <c r="BR2582" s="17">
        <f t="shared" si="1587"/>
        <v>756</v>
      </c>
      <c r="BS2582" s="17">
        <f t="shared" si="1611"/>
        <v>350.59499999999997</v>
      </c>
      <c r="BT2582" s="17">
        <f t="shared" si="1612"/>
        <v>529.19999999999993</v>
      </c>
      <c r="BU2582" s="100"/>
    </row>
    <row r="2583" x14ac:dyDescent="0.25">
      <c r="B2583" t="s">
        <v>452</v>
      </c>
      <c r="C2583" s="19">
        <v>0</v>
      </c>
      <c r="D2583" s="19">
        <v>0</v>
      </c>
      <c r="E2583" s="66">
        <f t="shared" si="1613"/>
        <v>0</v>
      </c>
      <c r="F2583" s="67">
        <f>IF(E23&gt;0,E23-(C15+C14+2*1.5+IF(C13="single",1.5,3))/12-_xlfn.XLOOKUP(E23,E20:E22,E20:E22,,-1),0)</f>
        <v>0</v>
      </c>
      <c r="H2583" s="19">
        <v>0</v>
      </c>
      <c r="I2583" s="64" t="s">
        <v>196</v>
      </c>
      <c r="J2583" s="19">
        <v>0</v>
      </c>
      <c r="K2583" s="19">
        <v>0</v>
      </c>
      <c r="L2583" s="19">
        <v>0</v>
      </c>
      <c r="M2583" s="19">
        <v>0</v>
      </c>
      <c r="P2583" s="93"/>
      <c r="Q2583" t="s">
        <v>452</v>
      </c>
      <c r="R2583" s="19">
        <f>$H$23</f>
        <v>0</v>
      </c>
      <c r="S2583">
        <f t="shared" si="1588"/>
        <v>0</v>
      </c>
      <c r="T2583">
        <f t="shared" si="1589"/>
        <v>0</v>
      </c>
      <c r="U2583">
        <f t="shared" si="1614"/>
        <v>0</v>
      </c>
      <c r="V2583" s="19">
        <v>0</v>
      </c>
      <c r="W2583">
        <f t="shared" si="1590"/>
        <v>0</v>
      </c>
      <c r="X2583">
        <f t="shared" si="1591"/>
        <v>0</v>
      </c>
      <c r="Y2583">
        <f t="shared" si="1592"/>
        <v>0</v>
      </c>
      <c r="Z2583" s="19">
        <f>$H$23</f>
        <v>0</v>
      </c>
      <c r="AA2583">
        <f t="shared" si="1593"/>
        <v>0</v>
      </c>
      <c r="AB2583">
        <f t="shared" si="1594"/>
        <v>0</v>
      </c>
      <c r="AC2583">
        <f t="shared" si="1580"/>
        <v>0</v>
      </c>
      <c r="AD2583" s="19">
        <v>0</v>
      </c>
      <c r="AE2583">
        <f t="shared" si="1595"/>
        <v>0</v>
      </c>
      <c r="AF2583">
        <f t="shared" si="1596"/>
        <v>0</v>
      </c>
      <c r="AG2583">
        <f t="shared" si="1597"/>
        <v>0</v>
      </c>
      <c r="AH2583" s="19">
        <v>0</v>
      </c>
      <c r="AI2583" s="19">
        <v>0</v>
      </c>
      <c r="AJ2583" s="17">
        <f t="shared" si="1615"/>
        <v>0</v>
      </c>
      <c r="AK2583" s="17">
        <f>AK2584+AJ2583</f>
        <v>6423.5</v>
      </c>
      <c r="AL2583" s="17">
        <f>AJ2583*0.6</f>
        <v>0</v>
      </c>
      <c r="AM2583" s="17">
        <f t="shared" si="1599"/>
        <v>3854.1</v>
      </c>
      <c r="AN2583" s="17">
        <f t="shared" si="1600"/>
        <v>0</v>
      </c>
      <c r="AO2583" s="17">
        <f t="shared" si="1581"/>
        <v>274.04999999999995</v>
      </c>
      <c r="AP2583" s="17">
        <f t="shared" si="1601"/>
        <v>0</v>
      </c>
      <c r="AQ2583" s="17">
        <f t="shared" si="1581"/>
        <v>191.83499999999995</v>
      </c>
      <c r="AR2583" s="100"/>
      <c r="AS2583" s="93"/>
      <c r="AT2583" t="s">
        <v>452</v>
      </c>
      <c r="AU2583" s="19">
        <f>$H$23</f>
        <v>0</v>
      </c>
      <c r="AV2583">
        <f t="shared" si="1602"/>
        <v>0</v>
      </c>
      <c r="AW2583">
        <f t="shared" si="1582"/>
        <v>0</v>
      </c>
      <c r="AX2583">
        <f t="shared" si="1616"/>
        <v>0</v>
      </c>
      <c r="AY2583" s="19">
        <v>0</v>
      </c>
      <c r="AZ2583">
        <f t="shared" si="1603"/>
        <v>0</v>
      </c>
      <c r="BA2583">
        <f t="shared" si="1583"/>
        <v>0</v>
      </c>
      <c r="BB2583">
        <f t="shared" si="1604"/>
        <v>0</v>
      </c>
      <c r="BC2583" s="19">
        <f>$H$23</f>
        <v>0</v>
      </c>
      <c r="BD2583">
        <f t="shared" si="1605"/>
        <v>0</v>
      </c>
      <c r="BE2583">
        <f t="shared" si="1584"/>
        <v>0</v>
      </c>
      <c r="BF2583">
        <f t="shared" si="1585"/>
        <v>0</v>
      </c>
      <c r="BG2583" s="19">
        <v>0</v>
      </c>
      <c r="BH2583">
        <f t="shared" si="1606"/>
        <v>0</v>
      </c>
      <c r="BI2583">
        <f t="shared" si="1586"/>
        <v>0</v>
      </c>
      <c r="BJ2583">
        <f t="shared" si="1607"/>
        <v>0</v>
      </c>
      <c r="BK2583" s="19">
        <v>0</v>
      </c>
      <c r="BL2583" s="19">
        <v>0</v>
      </c>
      <c r="BM2583" s="17">
        <f t="shared" si="1617"/>
        <v>0</v>
      </c>
      <c r="BN2583" s="17">
        <f>BN2584+BM2583</f>
        <v>5980.5</v>
      </c>
      <c r="BO2583" s="17">
        <f>BM2583*0.6</f>
        <v>0</v>
      </c>
      <c r="BP2583" s="17">
        <f t="shared" si="1609"/>
        <v>3588.2999999999997</v>
      </c>
      <c r="BQ2583" s="17">
        <f t="shared" si="1610"/>
        <v>0</v>
      </c>
      <c r="BR2583" s="17">
        <f t="shared" si="1587"/>
        <v>255.14999999999998</v>
      </c>
      <c r="BS2583" s="17">
        <f t="shared" si="1611"/>
        <v>0</v>
      </c>
      <c r="BT2583" s="17">
        <f t="shared" si="1612"/>
        <v>178.60499999999996</v>
      </c>
      <c r="BU2583" s="100"/>
    </row>
    <row r="2584" x14ac:dyDescent="0.25">
      <c r="B2584" t="s">
        <v>453</v>
      </c>
      <c r="C2584" s="19">
        <v>0</v>
      </c>
      <c r="D2584" s="19">
        <v>0</v>
      </c>
      <c r="E2584" s="66">
        <f t="shared" si="1613"/>
        <v>0</v>
      </c>
      <c r="F2584" s="67">
        <f>IF(E24&gt;0,E24-(C15+C14+2*1.5+IF(C13="single",1.5,3))/12-_xlfn.XLOOKUP(E24,E20:E23,E20:E23,,-1),0)</f>
        <v>0</v>
      </c>
      <c r="H2584" s="19">
        <v>0</v>
      </c>
      <c r="I2584" s="64" t="s">
        <v>196</v>
      </c>
      <c r="J2584" s="19">
        <v>0</v>
      </c>
      <c r="K2584" s="19">
        <v>0</v>
      </c>
      <c r="L2584" s="19">
        <v>0</v>
      </c>
      <c r="M2584" s="19">
        <v>0</v>
      </c>
      <c r="P2584" s="93"/>
      <c r="Q2584" t="s">
        <v>453</v>
      </c>
      <c r="R2584" s="19">
        <f>$H$24</f>
        <v>0</v>
      </c>
      <c r="S2584">
        <f t="shared" si="1588"/>
        <v>0</v>
      </c>
      <c r="T2584">
        <f t="shared" si="1589"/>
        <v>0</v>
      </c>
      <c r="U2584">
        <f t="shared" si="1614"/>
        <v>0</v>
      </c>
      <c r="V2584" s="19">
        <v>0</v>
      </c>
      <c r="W2584">
        <f t="shared" si="1590"/>
        <v>0</v>
      </c>
      <c r="X2584">
        <f t="shared" si="1591"/>
        <v>0</v>
      </c>
      <c r="Y2584">
        <f t="shared" si="1592"/>
        <v>0</v>
      </c>
      <c r="Z2584" s="19">
        <f>$H$24</f>
        <v>0</v>
      </c>
      <c r="AA2584">
        <f t="shared" si="1593"/>
        <v>0</v>
      </c>
      <c r="AB2584">
        <f t="shared" si="1594"/>
        <v>0</v>
      </c>
      <c r="AC2584">
        <f t="shared" si="1580"/>
        <v>0</v>
      </c>
      <c r="AD2584" s="19">
        <v>0</v>
      </c>
      <c r="AE2584">
        <f t="shared" si="1595"/>
        <v>0</v>
      </c>
      <c r="AF2584">
        <f t="shared" si="1596"/>
        <v>0</v>
      </c>
      <c r="AG2584">
        <f t="shared" si="1597"/>
        <v>0</v>
      </c>
      <c r="AH2584" s="19">
        <v>0</v>
      </c>
      <c r="AI2584" s="19">
        <v>0</v>
      </c>
      <c r="AJ2584" s="17">
        <f t="shared" si="1615"/>
        <v>0</v>
      </c>
      <c r="AK2584" s="17">
        <f>AK2585+IF(AJ2584=0,0,AJ2584)</f>
        <v>6423.5</v>
      </c>
      <c r="AL2584" s="17">
        <f t="shared" si="1598"/>
        <v>0</v>
      </c>
      <c r="AM2584" s="17">
        <f>AM2585+AL2584</f>
        <v>3854.1</v>
      </c>
      <c r="AN2584" s="17">
        <f t="shared" si="1600"/>
        <v>0</v>
      </c>
      <c r="AO2584" s="17">
        <f>AN2584+AO2585</f>
        <v>274.04999999999995</v>
      </c>
      <c r="AP2584" s="17">
        <f t="shared" si="1601"/>
        <v>0</v>
      </c>
      <c r="AQ2584" s="17">
        <f>AP2584+AQ2585</f>
        <v>191.83499999999995</v>
      </c>
      <c r="AR2584" s="100"/>
      <c r="AS2584" s="93"/>
      <c r="AT2584" t="s">
        <v>453</v>
      </c>
      <c r="AU2584" s="19">
        <f>$H$24</f>
        <v>0</v>
      </c>
      <c r="AV2584">
        <f t="shared" si="1602"/>
        <v>0</v>
      </c>
      <c r="AW2584">
        <f t="shared" si="1582"/>
        <v>0</v>
      </c>
      <c r="AX2584">
        <f t="shared" si="1616"/>
        <v>0</v>
      </c>
      <c r="AY2584" s="19">
        <v>0</v>
      </c>
      <c r="AZ2584">
        <f t="shared" si="1603"/>
        <v>0</v>
      </c>
      <c r="BA2584">
        <f t="shared" si="1583"/>
        <v>0</v>
      </c>
      <c r="BB2584">
        <f t="shared" si="1604"/>
        <v>0</v>
      </c>
      <c r="BC2584" s="19">
        <f>$H$24</f>
        <v>0</v>
      </c>
      <c r="BD2584">
        <f t="shared" si="1605"/>
        <v>0</v>
      </c>
      <c r="BE2584">
        <f t="shared" si="1584"/>
        <v>0</v>
      </c>
      <c r="BF2584">
        <f t="shared" si="1585"/>
        <v>0</v>
      </c>
      <c r="BG2584" s="19">
        <v>0</v>
      </c>
      <c r="BH2584">
        <f t="shared" si="1606"/>
        <v>0</v>
      </c>
      <c r="BI2584">
        <f t="shared" si="1586"/>
        <v>0</v>
      </c>
      <c r="BJ2584">
        <f t="shared" si="1607"/>
        <v>0</v>
      </c>
      <c r="BK2584" s="19">
        <v>0</v>
      </c>
      <c r="BL2584" s="19">
        <v>0</v>
      </c>
      <c r="BM2584" s="17">
        <f t="shared" si="1617"/>
        <v>0</v>
      </c>
      <c r="BN2584" s="17">
        <f>BN2585+IF(BM2584=0,0,BM2584)</f>
        <v>5980.5</v>
      </c>
      <c r="BO2584" s="17">
        <f t="shared" ref="BO2584:BO2585" si="1618">BM2584*0.6</f>
        <v>0</v>
      </c>
      <c r="BP2584" s="17">
        <f>BP2585+BO2584</f>
        <v>3588.2999999999997</v>
      </c>
      <c r="BQ2584" s="17">
        <f t="shared" si="1610"/>
        <v>0</v>
      </c>
      <c r="BR2584" s="17">
        <f>BQ2584+BR2585</f>
        <v>255.14999999999998</v>
      </c>
      <c r="BS2584" s="17">
        <f t="shared" si="1611"/>
        <v>0</v>
      </c>
      <c r="BT2584" s="17">
        <f>BS2584+BT2585</f>
        <v>178.60499999999996</v>
      </c>
      <c r="BU2584" s="100"/>
    </row>
    <row r="2585" x14ac:dyDescent="0.25">
      <c r="B2585" t="s">
        <v>275</v>
      </c>
      <c r="C2585" s="19">
        <f>(33+32)/2</f>
        <v>32.5</v>
      </c>
      <c r="D2585" s="19">
        <f>(10.5+5.625)/2</f>
        <v>8.0625</v>
      </c>
      <c r="E2585" s="68">
        <f t="shared" si="1613"/>
        <v>33.171875</v>
      </c>
      <c r="F2585" s="69">
        <f>E25-(C17+C16+2*1.5+IF(C13="single",1.5,3))/12-_xlfn.XLOOKUP(E25,E20:E24,E20:E24,,-1)</f>
        <v>8.6770833333333321</v>
      </c>
      <c r="H2585" s="19">
        <v>443</v>
      </c>
      <c r="I2585" s="64" t="s">
        <v>196</v>
      </c>
      <c r="J2585" s="19">
        <v>18.899999999999999</v>
      </c>
      <c r="K2585" s="19">
        <v>36.6</v>
      </c>
      <c r="L2585" s="19">
        <v>10.8</v>
      </c>
      <c r="M2585" s="19">
        <v>66.7</v>
      </c>
      <c r="P2585" s="93"/>
      <c r="Q2585" t="s">
        <v>275</v>
      </c>
      <c r="R2585" s="19">
        <f>$H$25</f>
        <v>443</v>
      </c>
      <c r="S2585">
        <f t="shared" si="1588"/>
        <v>265.8</v>
      </c>
      <c r="T2585">
        <f t="shared" si="1589"/>
        <v>0</v>
      </c>
      <c r="U2585">
        <f t="shared" si="1614"/>
        <v>0</v>
      </c>
      <c r="V2585" s="19">
        <v>18.899999999999999</v>
      </c>
      <c r="W2585">
        <f t="shared" si="1590"/>
        <v>13.229999999999999</v>
      </c>
      <c r="X2585">
        <f t="shared" si="1591"/>
        <v>0</v>
      </c>
      <c r="Y2585">
        <f t="shared" si="1592"/>
        <v>0</v>
      </c>
      <c r="Z2585" s="19">
        <f>$H$25</f>
        <v>443</v>
      </c>
      <c r="AA2585">
        <f t="shared" si="1593"/>
        <v>265.8</v>
      </c>
      <c r="AB2585">
        <f t="shared" si="1594"/>
        <v>6423.5</v>
      </c>
      <c r="AC2585">
        <f t="shared" si="1580"/>
        <v>3854.1</v>
      </c>
      <c r="AD2585" s="19">
        <v>18.899999999999999</v>
      </c>
      <c r="AE2585">
        <f t="shared" si="1595"/>
        <v>13.229999999999999</v>
      </c>
      <c r="AF2585">
        <f t="shared" si="1596"/>
        <v>274.04999999999995</v>
      </c>
      <c r="AG2585">
        <f t="shared" si="1597"/>
        <v>191.83499999999995</v>
      </c>
      <c r="AH2585" s="19">
        <v>0</v>
      </c>
      <c r="AI2585" s="19">
        <v>0</v>
      </c>
      <c r="AJ2585" s="17">
        <f>T2585+AB2585+AH2585</f>
        <v>6423.5</v>
      </c>
      <c r="AK2585" s="17">
        <f>AJ2585</f>
        <v>6423.5</v>
      </c>
      <c r="AL2585" s="17">
        <f t="shared" si="1598"/>
        <v>3854.1</v>
      </c>
      <c r="AM2585" s="17">
        <f>AL2585</f>
        <v>3854.1</v>
      </c>
      <c r="AN2585" s="17">
        <f>X2585+AF2585+AI2585</f>
        <v>274.04999999999995</v>
      </c>
      <c r="AO2585" s="17">
        <f>AN2585</f>
        <v>274.04999999999995</v>
      </c>
      <c r="AP2585" s="17">
        <f>AN2585*0.7</f>
        <v>191.83499999999995</v>
      </c>
      <c r="AQ2585" s="17">
        <f>AP2585</f>
        <v>191.83499999999995</v>
      </c>
      <c r="AR2585" s="100"/>
      <c r="AS2585" s="93"/>
      <c r="AT2585" t="s">
        <v>275</v>
      </c>
      <c r="AU2585" s="19">
        <f>$H$25</f>
        <v>443</v>
      </c>
      <c r="AV2585">
        <f t="shared" si="1602"/>
        <v>265.8</v>
      </c>
      <c r="AW2585">
        <f t="shared" si="1582"/>
        <v>0</v>
      </c>
      <c r="AX2585">
        <f t="shared" si="1616"/>
        <v>0</v>
      </c>
      <c r="AY2585" s="19">
        <v>18.899999999999999</v>
      </c>
      <c r="AZ2585">
        <f t="shared" si="1603"/>
        <v>13.229999999999999</v>
      </c>
      <c r="BA2585">
        <f t="shared" si="1583"/>
        <v>0</v>
      </c>
      <c r="BB2585">
        <f t="shared" si="1604"/>
        <v>0</v>
      </c>
      <c r="BC2585" s="19">
        <f>$H$25</f>
        <v>443</v>
      </c>
      <c r="BD2585">
        <f t="shared" si="1605"/>
        <v>265.8</v>
      </c>
      <c r="BE2585">
        <f t="shared" si="1584"/>
        <v>5980.5</v>
      </c>
      <c r="BF2585">
        <f t="shared" si="1585"/>
        <v>3588.2999999999997</v>
      </c>
      <c r="BG2585" s="19">
        <v>18.899999999999999</v>
      </c>
      <c r="BH2585">
        <f t="shared" si="1606"/>
        <v>13.229999999999999</v>
      </c>
      <c r="BI2585">
        <f t="shared" si="1586"/>
        <v>255.14999999999998</v>
      </c>
      <c r="BJ2585">
        <f t="shared" si="1607"/>
        <v>178.60499999999996</v>
      </c>
      <c r="BK2585" s="19">
        <v>0</v>
      </c>
      <c r="BL2585" s="19">
        <v>0</v>
      </c>
      <c r="BM2585" s="17">
        <f>AW2585+BE2585+BK2585</f>
        <v>5980.5</v>
      </c>
      <c r="BN2585" s="17">
        <f>BM2585</f>
        <v>5980.5</v>
      </c>
      <c r="BO2585" s="17">
        <f t="shared" si="1618"/>
        <v>3588.2999999999997</v>
      </c>
      <c r="BP2585" s="17">
        <f>BO2585</f>
        <v>3588.2999999999997</v>
      </c>
      <c r="BQ2585" s="17">
        <f>BA2585+BI2585+BL2585</f>
        <v>255.14999999999998</v>
      </c>
      <c r="BR2585" s="17">
        <f>BQ2585</f>
        <v>255.14999999999998</v>
      </c>
      <c r="BS2585" s="17">
        <f>BQ2585*0.7</f>
        <v>178.60499999999996</v>
      </c>
      <c r="BT2585" s="17">
        <f>BS2585</f>
        <v>178.60499999999996</v>
      </c>
      <c r="BU2585" s="100"/>
    </row>
    <row r="2586" x14ac:dyDescent="0.25">
      <c r="B2586" t="s">
        <v>530</v>
      </c>
      <c r="E2586" s="73"/>
      <c r="F2586" s="73"/>
      <c r="H2586" s="19">
        <v>-22.9</v>
      </c>
      <c r="I2586" s="64" t="s">
        <v>270</v>
      </c>
      <c r="P2586" s="93"/>
      <c r="R2586" s="19">
        <f>$H$26</f>
        <v>-22.9</v>
      </c>
      <c r="S2586">
        <f t="shared" si="1588"/>
        <v>-13.739999999999998</v>
      </c>
      <c r="T2586">
        <f>$I$62/2*R2586</f>
        <v>0</v>
      </c>
      <c r="U2586">
        <f t="shared" si="1614"/>
        <v>0</v>
      </c>
      <c r="Z2586" s="19">
        <f>$H$26</f>
        <v>-22.9</v>
      </c>
      <c r="AA2586">
        <f>Z2586*0.6</f>
        <v>-13.739999999999998</v>
      </c>
      <c r="AB2586">
        <f>$J$62/2*Z2586</f>
        <v>-309.14999999999998</v>
      </c>
      <c r="AC2586">
        <f t="shared" si="1580"/>
        <v>-185.48999999999998</v>
      </c>
      <c r="AR2586" s="100"/>
      <c r="AS2586" s="93"/>
      <c r="AU2586" s="19">
        <f>$H$26</f>
        <v>-22.9</v>
      </c>
      <c r="AV2586">
        <f t="shared" si="1602"/>
        <v>-13.739999999999998</v>
      </c>
      <c r="AW2586">
        <f t="shared" si="1582"/>
        <v>0</v>
      </c>
      <c r="AX2586">
        <f t="shared" si="1616"/>
        <v>0</v>
      </c>
      <c r="BC2586" s="19">
        <f>$H$26</f>
        <v>-22.9</v>
      </c>
      <c r="BD2586">
        <f>BC2586*0.6</f>
        <v>-13.739999999999998</v>
      </c>
      <c r="BE2586">
        <f t="shared" si="1584"/>
        <v>-309.14999999999998</v>
      </c>
      <c r="BF2586">
        <f t="shared" si="1585"/>
        <v>-185.48999999999998</v>
      </c>
      <c r="BU2586" s="100"/>
    </row>
    <row r="2587" x14ac:dyDescent="0.25">
      <c r="B2587" t="s">
        <v>531</v>
      </c>
      <c r="C2587" s="1" t="s">
        <v>533</v>
      </c>
      <c r="D2587" s="19">
        <v>0.18</v>
      </c>
      <c r="E2587" s="73"/>
      <c r="F2587" s="73"/>
      <c r="H2587">
        <f>0.2*D27</f>
        <v>3.5999999999999997E-2</v>
      </c>
      <c r="I2587" s="64" t="s">
        <v>534</v>
      </c>
      <c r="P2587" s="93"/>
      <c r="Q2587" s="1"/>
      <c r="AR2587" s="100"/>
      <c r="AS2587" s="93"/>
      <c r="AT2587" s="1"/>
      <c r="BU2587" s="100"/>
    </row>
    <row r="2588" x14ac:dyDescent="0.25">
      <c r="P2588" s="93"/>
      <c r="Y2588" s="112" t="s">
        <v>752</v>
      </c>
      <c r="Z2588" s="112"/>
      <c r="AA2588" s="112"/>
      <c r="AB2588" s="112"/>
      <c r="AC2588" s="112"/>
      <c r="AR2588" s="100"/>
      <c r="AS2588" s="93"/>
      <c r="BB2588" s="112" t="s">
        <v>752</v>
      </c>
      <c r="BC2588" s="112"/>
      <c r="BD2588" s="112"/>
      <c r="BE2588" s="112"/>
      <c r="BF2588" s="112"/>
      <c r="BU2588" s="100"/>
    </row>
    <row r="2589" x14ac:dyDescent="0.25">
      <c r="B2589" t="s">
        <v>513</v>
      </c>
      <c r="P2589" s="93"/>
      <c r="Q2589" t="s">
        <v>479</v>
      </c>
      <c r="R2589" t="s">
        <v>491</v>
      </c>
      <c r="S2589" t="s">
        <v>508</v>
      </c>
      <c r="T2589" t="s">
        <v>507</v>
      </c>
      <c r="U2589" t="s">
        <v>535</v>
      </c>
      <c r="V2589" t="s">
        <v>536</v>
      </c>
      <c r="W2589" t="s">
        <v>479</v>
      </c>
      <c r="X2589" t="s">
        <v>537</v>
      </c>
      <c r="Y2589" t="s">
        <v>450</v>
      </c>
      <c r="Z2589" t="s">
        <v>451</v>
      </c>
      <c r="AA2589" t="s">
        <v>452</v>
      </c>
      <c r="AB2589" t="s">
        <v>453</v>
      </c>
      <c r="AC2589" t="s">
        <v>753</v>
      </c>
      <c r="AD2589" t="s">
        <v>519</v>
      </c>
      <c r="AR2589" s="100"/>
      <c r="AS2589" s="93"/>
      <c r="AT2589" t="s">
        <v>479</v>
      </c>
      <c r="AU2589" t="s">
        <v>491</v>
      </c>
      <c r="AV2589" t="s">
        <v>508</v>
      </c>
      <c r="AW2589" t="s">
        <v>507</v>
      </c>
      <c r="AX2589" t="s">
        <v>535</v>
      </c>
      <c r="AY2589" t="s">
        <v>536</v>
      </c>
      <c r="AZ2589" t="s">
        <v>479</v>
      </c>
      <c r="BA2589" t="s">
        <v>537</v>
      </c>
      <c r="BB2589" t="s">
        <v>450</v>
      </c>
      <c r="BC2589" t="s">
        <v>451</v>
      </c>
      <c r="BD2589" t="s">
        <v>452</v>
      </c>
      <c r="BE2589" t="s">
        <v>453</v>
      </c>
      <c r="BF2589" t="s">
        <v>753</v>
      </c>
      <c r="BG2589" t="s">
        <v>519</v>
      </c>
      <c r="BU2589" s="100"/>
    </row>
    <row r="2590" x14ac:dyDescent="0.25">
      <c r="B2590" s="1" t="s">
        <v>275</v>
      </c>
      <c r="C2590" s="19">
        <v>20</v>
      </c>
      <c r="D2590" t="s">
        <v>567</v>
      </c>
      <c r="P2590" s="93"/>
      <c r="Q2590" s="109" t="str">
        <f>R2576&amp;".01"</f>
        <v>A.01</v>
      </c>
      <c r="R2590" s="19">
        <v>29</v>
      </c>
      <c r="S2590" s="19">
        <v>12</v>
      </c>
      <c r="T2590">
        <f>S2590/2</f>
        <v>6</v>
      </c>
      <c r="U2590" s="19">
        <v>4</v>
      </c>
      <c r="V2590">
        <f>U2590/2</f>
        <v>2</v>
      </c>
      <c r="W2590" s="19" t="s">
        <v>515</v>
      </c>
      <c r="X2590" s="19">
        <v>6</v>
      </c>
      <c r="Y2590" s="19"/>
      <c r="Z2590" s="19"/>
      <c r="AA2590" s="19"/>
      <c r="AB2590" s="19"/>
      <c r="AC2590" s="19"/>
      <c r="AD2590" s="108">
        <f>R2590/R2606</f>
        <v>1</v>
      </c>
      <c r="AR2590" s="100"/>
      <c r="AS2590" s="93"/>
      <c r="AT2590" s="109" t="str">
        <f>AU$2576&amp;".01"</f>
        <v>1.01</v>
      </c>
      <c r="AU2590" s="19">
        <v>29</v>
      </c>
      <c r="AV2590" s="19">
        <v>12</v>
      </c>
      <c r="AW2590">
        <f>AV2590/2</f>
        <v>6</v>
      </c>
      <c r="AX2590" s="19">
        <v>4</v>
      </c>
      <c r="AY2590">
        <f>AX2590/2</f>
        <v>2</v>
      </c>
      <c r="AZ2590" s="19" t="s">
        <v>515</v>
      </c>
      <c r="BA2590" s="19">
        <v>6</v>
      </c>
      <c r="BB2590" s="19"/>
      <c r="BC2590" s="19"/>
      <c r="BD2590" s="19"/>
      <c r="BE2590" s="19"/>
      <c r="BF2590" s="19"/>
      <c r="BG2590" s="108">
        <f>AU2590/AU2606</f>
        <v>1</v>
      </c>
      <c r="BU2590" s="100"/>
    </row>
    <row r="2591" x14ac:dyDescent="0.25">
      <c r="B2591" s="1"/>
      <c r="C2591">
        <f>0.9*C30</f>
        <v>18</v>
      </c>
      <c r="D2591" t="s">
        <v>532</v>
      </c>
      <c r="P2591" s="93"/>
      <c r="Q2591" s="109" t="str">
        <f>R2576&amp;".02"</f>
        <v>A.02</v>
      </c>
      <c r="R2591" s="19"/>
      <c r="S2591" s="19"/>
      <c r="T2591">
        <f t="shared" ref="T2591:T2605" si="1619">S2591/2</f>
        <v>0</v>
      </c>
      <c r="U2591" s="19"/>
      <c r="V2591">
        <f t="shared" ref="V2591:V2605" si="1620">U2591/2</f>
        <v>0</v>
      </c>
      <c r="W2591" s="19"/>
      <c r="X2591" s="19"/>
      <c r="Y2591" s="19"/>
      <c r="Z2591" s="19"/>
      <c r="AA2591" s="19"/>
      <c r="AB2591" s="19"/>
      <c r="AC2591" s="19"/>
      <c r="AR2591" s="100"/>
      <c r="AS2591" s="93"/>
      <c r="AT2591" s="109" t="str">
        <f>AU$2576&amp;".02"</f>
        <v>1.02</v>
      </c>
      <c r="AU2591" s="19"/>
      <c r="AV2591" s="19"/>
      <c r="AW2591">
        <f t="shared" ref="AW2591:AW2605" si="1621">AV2591/2</f>
        <v>0</v>
      </c>
      <c r="AX2591" s="19"/>
      <c r="AY2591">
        <f t="shared" ref="AY2591:AY2605" si="1622">AX2591/2</f>
        <v>0</v>
      </c>
      <c r="AZ2591" s="19"/>
      <c r="BA2591" s="19"/>
      <c r="BB2591" s="19"/>
      <c r="BC2591" s="19"/>
      <c r="BD2591" s="19"/>
      <c r="BE2591" s="19"/>
      <c r="BF2591" s="19"/>
      <c r="BU2591" s="100"/>
    </row>
    <row r="2592" x14ac:dyDescent="0.25">
      <c r="B2592" s="1" t="s">
        <v>514</v>
      </c>
      <c r="C2592" s="19">
        <v>26</v>
      </c>
      <c r="D2592" t="s">
        <v>512</v>
      </c>
      <c r="P2592" s="93"/>
      <c r="Q2592" s="109" t="str">
        <f>R2576&amp;".03"</f>
        <v>A.03</v>
      </c>
      <c r="R2592" s="19"/>
      <c r="S2592" s="19"/>
      <c r="T2592">
        <f t="shared" si="1619"/>
        <v>0</v>
      </c>
      <c r="U2592" s="19"/>
      <c r="V2592">
        <f t="shared" si="1620"/>
        <v>0</v>
      </c>
      <c r="W2592" s="19"/>
      <c r="X2592" s="19"/>
      <c r="Y2592" s="19"/>
      <c r="Z2592" s="19"/>
      <c r="AA2592" s="19"/>
      <c r="AB2592" s="19"/>
      <c r="AC2592" s="19"/>
      <c r="AR2592" s="100"/>
      <c r="AS2592" s="93"/>
      <c r="AT2592" s="109" t="str">
        <f>AU$2576&amp;".03"</f>
        <v>1.03</v>
      </c>
      <c r="AU2592" s="19"/>
      <c r="AV2592" s="19"/>
      <c r="AW2592">
        <f t="shared" si="1621"/>
        <v>0</v>
      </c>
      <c r="AX2592" s="19"/>
      <c r="AY2592">
        <f t="shared" si="1622"/>
        <v>0</v>
      </c>
      <c r="AZ2592" s="19"/>
      <c r="BA2592" s="19"/>
      <c r="BB2592" s="19"/>
      <c r="BC2592" s="19"/>
      <c r="BD2592" s="19"/>
      <c r="BE2592" s="19"/>
      <c r="BF2592" s="19"/>
      <c r="BU2592" s="100"/>
    </row>
    <row r="2593" x14ac:dyDescent="0.25">
      <c r="B2593" s="1" t="s">
        <v>477</v>
      </c>
      <c r="C2593" s="19">
        <v>11</v>
      </c>
      <c r="D2593" t="s">
        <v>509</v>
      </c>
      <c r="P2593" s="93"/>
      <c r="Q2593" s="109" t="str">
        <f>R2576&amp;".04"</f>
        <v>A.04</v>
      </c>
      <c r="R2593" s="19"/>
      <c r="S2593" s="19"/>
      <c r="T2593">
        <f t="shared" si="1619"/>
        <v>0</v>
      </c>
      <c r="U2593" s="19"/>
      <c r="V2593">
        <f t="shared" si="1620"/>
        <v>0</v>
      </c>
      <c r="W2593" s="19"/>
      <c r="X2593" s="19"/>
      <c r="Y2593" s="19"/>
      <c r="Z2593" s="19"/>
      <c r="AA2593" s="19"/>
      <c r="AB2593" s="19"/>
      <c r="AC2593" s="19"/>
      <c r="AR2593" s="100"/>
      <c r="AS2593" s="93"/>
      <c r="AT2593" s="109" t="str">
        <f>AU$2576&amp;".04"</f>
        <v>1.04</v>
      </c>
      <c r="AU2593" s="19"/>
      <c r="AV2593" s="19"/>
      <c r="AW2593">
        <f t="shared" si="1621"/>
        <v>0</v>
      </c>
      <c r="AX2593" s="19"/>
      <c r="AY2593">
        <f t="shared" si="1622"/>
        <v>0</v>
      </c>
      <c r="AZ2593" s="19"/>
      <c r="BA2593" s="19"/>
      <c r="BB2593" s="19"/>
      <c r="BC2593" s="19"/>
      <c r="BD2593" s="19"/>
      <c r="BE2593" s="19"/>
      <c r="BF2593" s="19"/>
      <c r="BU2593" s="100"/>
    </row>
    <row r="2594" x14ac:dyDescent="0.25">
      <c r="B2594" s="1" t="s">
        <v>478</v>
      </c>
      <c r="C2594" s="19">
        <v>13</v>
      </c>
      <c r="D2594" t="s">
        <v>510</v>
      </c>
      <c r="P2594" s="93"/>
      <c r="Q2594" s="109" t="str">
        <f>R2576&amp;".05"</f>
        <v>A.05</v>
      </c>
      <c r="R2594" s="19"/>
      <c r="S2594" s="19"/>
      <c r="T2594">
        <f t="shared" si="1619"/>
        <v>0</v>
      </c>
      <c r="U2594" s="19"/>
      <c r="V2594">
        <f t="shared" si="1620"/>
        <v>0</v>
      </c>
      <c r="W2594" s="19"/>
      <c r="X2594" s="19"/>
      <c r="Y2594" s="19"/>
      <c r="Z2594" s="19"/>
      <c r="AA2594" s="19"/>
      <c r="AB2594" s="19"/>
      <c r="AC2594" s="19"/>
      <c r="AR2594" s="100"/>
      <c r="AS2594" s="93"/>
      <c r="AT2594" s="109" t="str">
        <f>AU$2576&amp;".05"</f>
        <v>1.05</v>
      </c>
      <c r="AU2594" s="19"/>
      <c r="AV2594" s="19"/>
      <c r="AW2594">
        <f t="shared" si="1621"/>
        <v>0</v>
      </c>
      <c r="AX2594" s="19"/>
      <c r="AY2594">
        <f t="shared" si="1622"/>
        <v>0</v>
      </c>
      <c r="AZ2594" s="19"/>
      <c r="BA2594" s="19"/>
      <c r="BB2594" s="19"/>
      <c r="BC2594" s="19"/>
      <c r="BD2594" s="19"/>
      <c r="BE2594" s="19"/>
      <c r="BF2594" s="19"/>
      <c r="BU2594" s="100"/>
    </row>
    <row r="2595" x14ac:dyDescent="0.25">
      <c r="B2595" s="1" t="s">
        <v>515</v>
      </c>
      <c r="C2595" s="19">
        <v>18</v>
      </c>
      <c r="D2595" t="s">
        <v>511</v>
      </c>
      <c r="P2595" s="93"/>
      <c r="Q2595" s="109" t="str">
        <f>R2576&amp;".06"</f>
        <v>A.06</v>
      </c>
      <c r="R2595" s="19"/>
      <c r="S2595" s="19"/>
      <c r="T2595">
        <f t="shared" si="1619"/>
        <v>0</v>
      </c>
      <c r="U2595" s="19"/>
      <c r="V2595">
        <f t="shared" si="1620"/>
        <v>0</v>
      </c>
      <c r="W2595" s="19"/>
      <c r="X2595" s="19"/>
      <c r="Y2595" s="19"/>
      <c r="Z2595" s="19"/>
      <c r="AA2595" s="19"/>
      <c r="AB2595" s="19"/>
      <c r="AC2595" s="19"/>
      <c r="AR2595" s="100"/>
      <c r="AS2595" s="93"/>
      <c r="AT2595" s="109" t="str">
        <f>AU$2576&amp;".06"</f>
        <v>1.06</v>
      </c>
      <c r="AU2595" s="19"/>
      <c r="AV2595" s="19"/>
      <c r="AW2595">
        <f t="shared" si="1621"/>
        <v>0</v>
      </c>
      <c r="AX2595" s="19"/>
      <c r="AY2595">
        <f t="shared" si="1622"/>
        <v>0</v>
      </c>
      <c r="AZ2595" s="19"/>
      <c r="BA2595" s="19"/>
      <c r="BB2595" s="19"/>
      <c r="BC2595" s="19"/>
      <c r="BD2595" s="19"/>
      <c r="BE2595" s="19"/>
      <c r="BF2595" s="19"/>
      <c r="BU2595" s="100"/>
    </row>
    <row r="2596" x14ac:dyDescent="0.25">
      <c r="B2596" s="1" t="s">
        <v>516</v>
      </c>
      <c r="P2596" s="93"/>
      <c r="Q2596" s="109" t="str">
        <f>R2576&amp;".07"</f>
        <v>A.07</v>
      </c>
      <c r="R2596" s="19"/>
      <c r="S2596" s="19"/>
      <c r="T2596">
        <f t="shared" si="1619"/>
        <v>0</v>
      </c>
      <c r="U2596" s="19"/>
      <c r="V2596">
        <f t="shared" si="1620"/>
        <v>0</v>
      </c>
      <c r="W2596" s="19"/>
      <c r="X2596" s="19"/>
      <c r="Y2596" s="19"/>
      <c r="Z2596" s="19"/>
      <c r="AA2596" s="19"/>
      <c r="AB2596" s="19"/>
      <c r="AC2596" s="19"/>
      <c r="AF2596" s="109"/>
      <c r="AR2596" s="100"/>
      <c r="AS2596" s="93"/>
      <c r="AT2596" s="109" t="str">
        <f>AU$2576&amp;".07"</f>
        <v>1.07</v>
      </c>
      <c r="AU2596" s="19"/>
      <c r="AV2596" s="19"/>
      <c r="AW2596">
        <f t="shared" si="1621"/>
        <v>0</v>
      </c>
      <c r="AX2596" s="19"/>
      <c r="AY2596">
        <f t="shared" si="1622"/>
        <v>0</v>
      </c>
      <c r="AZ2596" s="19"/>
      <c r="BA2596" s="19"/>
      <c r="BB2596" s="19"/>
      <c r="BC2596" s="19"/>
      <c r="BD2596" s="19"/>
      <c r="BE2596" s="19"/>
      <c r="BF2596" s="19"/>
      <c r="BI2596" s="109"/>
      <c r="BU2596" s="100"/>
    </row>
    <row r="2597" x14ac:dyDescent="0.25">
      <c r="B2597" s="1" t="s">
        <v>517</v>
      </c>
      <c r="P2597" s="93"/>
      <c r="Q2597" s="109" t="str">
        <f>R2576&amp;".08"</f>
        <v>A.08</v>
      </c>
      <c r="R2597" s="19"/>
      <c r="S2597" s="19"/>
      <c r="T2597">
        <f t="shared" si="1619"/>
        <v>0</v>
      </c>
      <c r="U2597" s="19"/>
      <c r="V2597">
        <f t="shared" si="1620"/>
        <v>0</v>
      </c>
      <c r="W2597" s="19"/>
      <c r="X2597" s="19"/>
      <c r="Y2597" s="19"/>
      <c r="Z2597" s="19"/>
      <c r="AA2597" s="19"/>
      <c r="AB2597" s="19"/>
      <c r="AC2597" s="19"/>
      <c r="AF2597" s="109"/>
      <c r="AR2597" s="100"/>
      <c r="AS2597" s="93"/>
      <c r="AT2597" s="109" t="str">
        <f>AU$2576&amp;".08"</f>
        <v>1.08</v>
      </c>
      <c r="AU2597" s="19"/>
      <c r="AV2597" s="19"/>
      <c r="AW2597">
        <f t="shared" si="1621"/>
        <v>0</v>
      </c>
      <c r="AX2597" s="19"/>
      <c r="AY2597">
        <f t="shared" si="1622"/>
        <v>0</v>
      </c>
      <c r="AZ2597" s="19"/>
      <c r="BA2597" s="19"/>
      <c r="BB2597" s="19"/>
      <c r="BC2597" s="19"/>
      <c r="BD2597" s="19"/>
      <c r="BE2597" s="19"/>
      <c r="BF2597" s="19"/>
      <c r="BI2597" s="109"/>
      <c r="BU2597" s="100"/>
    </row>
    <row r="2598" x14ac:dyDescent="0.25">
      <c r="B2598" s="1" t="s">
        <v>518</v>
      </c>
      <c r="P2598" s="93"/>
      <c r="Q2598" s="109" t="str">
        <f>R2576&amp;".09"</f>
        <v>A.09</v>
      </c>
      <c r="R2598" s="19"/>
      <c r="S2598" s="19"/>
      <c r="T2598">
        <f t="shared" si="1619"/>
        <v>0</v>
      </c>
      <c r="U2598" s="19"/>
      <c r="V2598">
        <f t="shared" si="1620"/>
        <v>0</v>
      </c>
      <c r="W2598" s="19"/>
      <c r="X2598" s="19"/>
      <c r="Y2598" s="19"/>
      <c r="Z2598" s="19"/>
      <c r="AA2598" s="19"/>
      <c r="AB2598" s="19"/>
      <c r="AC2598" s="19"/>
      <c r="AF2598" s="109"/>
      <c r="AR2598" s="100"/>
      <c r="AS2598" s="93"/>
      <c r="AT2598" s="109" t="str">
        <f>AU$2576&amp;".09"</f>
        <v>1.09</v>
      </c>
      <c r="AU2598" s="19"/>
      <c r="AV2598" s="19"/>
      <c r="AW2598">
        <f t="shared" si="1621"/>
        <v>0</v>
      </c>
      <c r="AX2598" s="19"/>
      <c r="AY2598">
        <f t="shared" si="1622"/>
        <v>0</v>
      </c>
      <c r="AZ2598" s="19"/>
      <c r="BA2598" s="19"/>
      <c r="BB2598" s="19"/>
      <c r="BC2598" s="19"/>
      <c r="BD2598" s="19"/>
      <c r="BE2598" s="19"/>
      <c r="BF2598" s="19"/>
      <c r="BI2598" s="109"/>
      <c r="BU2598" s="100"/>
    </row>
    <row r="2599" x14ac:dyDescent="0.25">
      <c r="P2599" s="93"/>
      <c r="Q2599" s="109" t="str">
        <f>R2576&amp;".10"</f>
        <v>A.10</v>
      </c>
      <c r="R2599" s="19"/>
      <c r="S2599" s="19"/>
      <c r="T2599">
        <f t="shared" si="1619"/>
        <v>0</v>
      </c>
      <c r="U2599" s="19"/>
      <c r="V2599">
        <f t="shared" si="1620"/>
        <v>0</v>
      </c>
      <c r="W2599" s="19"/>
      <c r="X2599" s="19"/>
      <c r="Y2599" s="19"/>
      <c r="Z2599" s="19"/>
      <c r="AA2599" s="19"/>
      <c r="AB2599" s="19"/>
      <c r="AC2599" s="19"/>
      <c r="AF2599" s="109"/>
      <c r="AR2599" s="100"/>
      <c r="AS2599" s="93"/>
      <c r="AT2599" s="109" t="str">
        <f>AU$2576&amp;".10"</f>
        <v>1.10</v>
      </c>
      <c r="AU2599" s="19"/>
      <c r="AV2599" s="19"/>
      <c r="AW2599">
        <f t="shared" si="1621"/>
        <v>0</v>
      </c>
      <c r="AX2599" s="19"/>
      <c r="AY2599">
        <f t="shared" si="1622"/>
        <v>0</v>
      </c>
      <c r="AZ2599" s="19"/>
      <c r="BA2599" s="19"/>
      <c r="BB2599" s="19"/>
      <c r="BC2599" s="19"/>
      <c r="BD2599" s="19"/>
      <c r="BE2599" s="19"/>
      <c r="BF2599" s="19"/>
      <c r="BI2599" s="109"/>
      <c r="BU2599" s="100"/>
    </row>
    <row r="2600" x14ac:dyDescent="0.25">
      <c r="C2600" s="112" t="s">
        <v>495</v>
      </c>
      <c r="D2600" s="112"/>
      <c r="E2600" s="112"/>
      <c r="I2600" s="112" t="s">
        <v>495</v>
      </c>
      <c r="J2600" s="112"/>
      <c r="K2600" s="112"/>
      <c r="P2600" s="93"/>
      <c r="Q2600" s="109" t="str">
        <f>R2576&amp;".11"</f>
        <v>A.11</v>
      </c>
      <c r="R2600" s="19"/>
      <c r="S2600" s="19"/>
      <c r="T2600">
        <f t="shared" si="1619"/>
        <v>0</v>
      </c>
      <c r="U2600" s="19"/>
      <c r="V2600">
        <f t="shared" si="1620"/>
        <v>0</v>
      </c>
      <c r="W2600" s="19"/>
      <c r="X2600" s="19"/>
      <c r="Y2600" s="19"/>
      <c r="Z2600" s="19"/>
      <c r="AA2600" s="19"/>
      <c r="AB2600" s="19"/>
      <c r="AC2600" s="19"/>
      <c r="AF2600" s="109"/>
      <c r="AR2600" s="100"/>
      <c r="AS2600" s="93"/>
      <c r="AT2600" s="109" t="str">
        <f>AU$2576&amp;".11"</f>
        <v>1.11</v>
      </c>
      <c r="AU2600" s="19"/>
      <c r="AV2600" s="19"/>
      <c r="AW2600">
        <f t="shared" si="1621"/>
        <v>0</v>
      </c>
      <c r="AX2600" s="19"/>
      <c r="AY2600">
        <f t="shared" si="1622"/>
        <v>0</v>
      </c>
      <c r="AZ2600" s="19"/>
      <c r="BA2600" s="19"/>
      <c r="BB2600" s="19"/>
      <c r="BC2600" s="19"/>
      <c r="BD2600" s="19"/>
      <c r="BE2600" s="19"/>
      <c r="BF2600" s="19"/>
      <c r="BI2600" s="109"/>
      <c r="BU2600" s="100"/>
    </row>
    <row r="2601" x14ac:dyDescent="0.25">
      <c r="B2601" t="s">
        <v>474</v>
      </c>
      <c r="C2601" t="s">
        <v>492</v>
      </c>
      <c r="D2601" t="s">
        <v>493</v>
      </c>
      <c r="E2601" t="s">
        <v>494</v>
      </c>
      <c r="H2601" t="s">
        <v>455</v>
      </c>
      <c r="I2601" t="s">
        <v>492</v>
      </c>
      <c r="J2601" t="s">
        <v>493</v>
      </c>
      <c r="K2601" t="s">
        <v>494</v>
      </c>
      <c r="P2601" s="93"/>
      <c r="Q2601" s="109" t="str">
        <f>R2576&amp;".12"</f>
        <v>A.12</v>
      </c>
      <c r="R2601" s="19"/>
      <c r="S2601" s="19"/>
      <c r="T2601">
        <f t="shared" si="1619"/>
        <v>0</v>
      </c>
      <c r="U2601" s="19"/>
      <c r="V2601">
        <f t="shared" si="1620"/>
        <v>0</v>
      </c>
      <c r="W2601" s="19"/>
      <c r="X2601" s="19"/>
      <c r="Y2601" s="19"/>
      <c r="Z2601" s="19"/>
      <c r="AA2601" s="19"/>
      <c r="AB2601" s="19"/>
      <c r="AC2601" s="19"/>
      <c r="AF2601" s="109"/>
      <c r="AR2601" s="100"/>
      <c r="AS2601" s="93"/>
      <c r="AT2601" s="109" t="str">
        <f>AU$2576&amp;".12"</f>
        <v>1.12</v>
      </c>
      <c r="AU2601" s="19"/>
      <c r="AV2601" s="19"/>
      <c r="AW2601">
        <f t="shared" si="1621"/>
        <v>0</v>
      </c>
      <c r="AX2601" s="19"/>
      <c r="AY2601">
        <f t="shared" si="1622"/>
        <v>0</v>
      </c>
      <c r="AZ2601" s="19"/>
      <c r="BA2601" s="19"/>
      <c r="BB2601" s="19"/>
      <c r="BC2601" s="19"/>
      <c r="BD2601" s="19"/>
      <c r="BE2601" s="19"/>
      <c r="BF2601" s="19"/>
      <c r="BI2601" s="109"/>
      <c r="BU2601" s="100"/>
    </row>
    <row r="2602" x14ac:dyDescent="0.25">
      <c r="B2602" t="s">
        <v>274</v>
      </c>
      <c r="C2602" s="19">
        <v>0</v>
      </c>
      <c r="D2602" s="19">
        <v>29</v>
      </c>
      <c r="E2602">
        <f>C62+D62</f>
        <v>29</v>
      </c>
      <c r="H2602">
        <v>1</v>
      </c>
      <c r="I2602" s="19">
        <v>0</v>
      </c>
      <c r="J2602" s="19">
        <v>27</v>
      </c>
      <c r="K2602">
        <f>I62+J62</f>
        <v>27</v>
      </c>
      <c r="P2602" s="93"/>
      <c r="Q2602" s="109" t="str">
        <f>R2576&amp;".13"</f>
        <v>A.13</v>
      </c>
      <c r="R2602" s="19"/>
      <c r="S2602" s="19"/>
      <c r="T2602">
        <f t="shared" si="1619"/>
        <v>0</v>
      </c>
      <c r="U2602" s="19"/>
      <c r="V2602">
        <f t="shared" si="1620"/>
        <v>0</v>
      </c>
      <c r="W2602" s="19"/>
      <c r="X2602" s="19"/>
      <c r="Y2602" s="19"/>
      <c r="Z2602" s="19"/>
      <c r="AA2602" s="19"/>
      <c r="AB2602" s="19"/>
      <c r="AC2602" s="19"/>
      <c r="AF2602" s="109"/>
      <c r="AR2602" s="100"/>
      <c r="AS2602" s="93"/>
      <c r="AT2602" s="109" t="str">
        <f>AU$2576&amp;".13"</f>
        <v>1.13</v>
      </c>
      <c r="AU2602" s="19"/>
      <c r="AV2602" s="19"/>
      <c r="AW2602">
        <f t="shared" si="1621"/>
        <v>0</v>
      </c>
      <c r="AX2602" s="19"/>
      <c r="AY2602">
        <f t="shared" si="1622"/>
        <v>0</v>
      </c>
      <c r="AZ2602" s="19"/>
      <c r="BA2602" s="19"/>
      <c r="BB2602" s="19"/>
      <c r="BC2602" s="19"/>
      <c r="BD2602" s="19"/>
      <c r="BE2602" s="19"/>
      <c r="BF2602" s="19"/>
      <c r="BI2602" s="109"/>
      <c r="BU2602" s="100"/>
    </row>
    <row r="2603" x14ac:dyDescent="0.25">
      <c r="B2603" t="s">
        <v>279</v>
      </c>
      <c r="C2603" s="19">
        <v>29</v>
      </c>
      <c r="D2603" s="19">
        <v>6</v>
      </c>
      <c r="E2603">
        <f t="shared" ref="E43:E67" si="1623">C43+D43</f>
        <v>35</v>
      </c>
      <c r="H2603">
        <v>2</v>
      </c>
      <c r="I2603" s="19">
        <v>27</v>
      </c>
      <c r="J2603" s="19">
        <v>14</v>
      </c>
      <c r="K2603">
        <f t="shared" ref="K43:K67" si="1624">I43+J43</f>
        <v>41</v>
      </c>
      <c r="P2603" s="93"/>
      <c r="Q2603" s="109" t="str">
        <f>R2576&amp;".14"</f>
        <v>A.14</v>
      </c>
      <c r="R2603" s="19"/>
      <c r="S2603" s="19"/>
      <c r="T2603">
        <f t="shared" si="1619"/>
        <v>0</v>
      </c>
      <c r="U2603" s="19"/>
      <c r="V2603">
        <f t="shared" si="1620"/>
        <v>0</v>
      </c>
      <c r="W2603" s="19"/>
      <c r="X2603" s="19"/>
      <c r="Y2603" s="19"/>
      <c r="Z2603" s="19"/>
      <c r="AA2603" s="19"/>
      <c r="AB2603" s="19"/>
      <c r="AC2603" s="19"/>
      <c r="AF2603" s="109"/>
      <c r="AR2603" s="100"/>
      <c r="AS2603" s="93"/>
      <c r="AT2603" s="109" t="str">
        <f>AU$2576&amp;".14"</f>
        <v>1.14</v>
      </c>
      <c r="AU2603" s="19"/>
      <c r="AV2603" s="19"/>
      <c r="AW2603">
        <f t="shared" si="1621"/>
        <v>0</v>
      </c>
      <c r="AX2603" s="19"/>
      <c r="AY2603">
        <f t="shared" si="1622"/>
        <v>0</v>
      </c>
      <c r="AZ2603" s="19"/>
      <c r="BA2603" s="19"/>
      <c r="BB2603" s="19"/>
      <c r="BC2603" s="19"/>
      <c r="BD2603" s="19"/>
      <c r="BE2603" s="19"/>
      <c r="BF2603" s="19"/>
      <c r="BI2603" s="109"/>
      <c r="BU2603" s="100"/>
    </row>
    <row r="2604" x14ac:dyDescent="0.25">
      <c r="B2604" t="s">
        <v>283</v>
      </c>
      <c r="C2604" s="19">
        <v>6</v>
      </c>
      <c r="D2604" s="19">
        <v>29</v>
      </c>
      <c r="E2604">
        <f t="shared" si="1623"/>
        <v>35</v>
      </c>
      <c r="H2604">
        <v>3</v>
      </c>
      <c r="I2604" s="19">
        <v>14</v>
      </c>
      <c r="J2604" s="19">
        <v>13</v>
      </c>
      <c r="K2604">
        <f t="shared" si="1624"/>
        <v>27</v>
      </c>
      <c r="P2604" s="93"/>
      <c r="Q2604" s="109" t="str">
        <f>R2576&amp;".15"</f>
        <v>A.15</v>
      </c>
      <c r="R2604" s="19"/>
      <c r="S2604" s="19"/>
      <c r="T2604">
        <f t="shared" si="1619"/>
        <v>0</v>
      </c>
      <c r="U2604" s="19"/>
      <c r="V2604">
        <f t="shared" si="1620"/>
        <v>0</v>
      </c>
      <c r="W2604" s="19"/>
      <c r="X2604" s="19"/>
      <c r="Y2604" s="19"/>
      <c r="Z2604" s="19"/>
      <c r="AA2604" s="19"/>
      <c r="AB2604" s="19"/>
      <c r="AC2604" s="19"/>
      <c r="AF2604" s="109"/>
      <c r="AR2604" s="100"/>
      <c r="AS2604" s="93"/>
      <c r="AT2604" s="109" t="str">
        <f>AU$2576&amp;".15"</f>
        <v>1.15</v>
      </c>
      <c r="AU2604" s="19"/>
      <c r="AV2604" s="19"/>
      <c r="AW2604">
        <f t="shared" si="1621"/>
        <v>0</v>
      </c>
      <c r="AX2604" s="19"/>
      <c r="AY2604">
        <f t="shared" si="1622"/>
        <v>0</v>
      </c>
      <c r="AZ2604" s="19"/>
      <c r="BA2604" s="19"/>
      <c r="BB2604" s="19"/>
      <c r="BC2604" s="19"/>
      <c r="BD2604" s="19"/>
      <c r="BE2604" s="19"/>
      <c r="BF2604" s="19"/>
      <c r="BI2604" s="109"/>
      <c r="BU2604" s="100"/>
    </row>
    <row r="2605" x14ac:dyDescent="0.25">
      <c r="B2605" t="s">
        <v>287</v>
      </c>
      <c r="C2605" s="19">
        <v>26</v>
      </c>
      <c r="D2605" s="19">
        <v>26</v>
      </c>
      <c r="E2605">
        <f t="shared" si="1623"/>
        <v>52</v>
      </c>
      <c r="F2605" t="s">
        <v>506</v>
      </c>
      <c r="H2605">
        <v>4</v>
      </c>
      <c r="I2605" s="19">
        <v>13</v>
      </c>
      <c r="J2605" s="19">
        <v>27</v>
      </c>
      <c r="K2605">
        <f t="shared" si="1624"/>
        <v>40</v>
      </c>
      <c r="P2605" s="93"/>
      <c r="Q2605" s="109" t="str">
        <f>R2576&amp;".16"</f>
        <v>A.16</v>
      </c>
      <c r="R2605" s="19"/>
      <c r="S2605" s="19"/>
      <c r="T2605">
        <f t="shared" si="1619"/>
        <v>0</v>
      </c>
      <c r="U2605" s="19"/>
      <c r="V2605">
        <f t="shared" si="1620"/>
        <v>0</v>
      </c>
      <c r="W2605" s="19"/>
      <c r="X2605" s="19"/>
      <c r="Y2605" s="19"/>
      <c r="Z2605" s="19"/>
      <c r="AA2605" s="19"/>
      <c r="AB2605" s="19"/>
      <c r="AC2605" s="19"/>
      <c r="AF2605" s="109"/>
      <c r="AR2605" s="100"/>
      <c r="AS2605" s="93"/>
      <c r="AT2605" s="109" t="str">
        <f>AU$2576&amp;".16"</f>
        <v>1.16</v>
      </c>
      <c r="AU2605" s="19"/>
      <c r="AV2605" s="19"/>
      <c r="AW2605">
        <f t="shared" si="1621"/>
        <v>0</v>
      </c>
      <c r="AX2605" s="19"/>
      <c r="AY2605">
        <f t="shared" si="1622"/>
        <v>0</v>
      </c>
      <c r="AZ2605" s="19"/>
      <c r="BA2605" s="19"/>
      <c r="BB2605" s="19"/>
      <c r="BC2605" s="19"/>
      <c r="BD2605" s="19"/>
      <c r="BE2605" s="19"/>
      <c r="BF2605" s="19"/>
      <c r="BI2605" s="109"/>
      <c r="BU2605" s="100"/>
    </row>
    <row r="2606" x14ac:dyDescent="0.25">
      <c r="B2606" t="s">
        <v>288</v>
      </c>
      <c r="C2606" s="19">
        <v>29</v>
      </c>
      <c r="D2606" s="19">
        <v>0</v>
      </c>
      <c r="E2606">
        <f t="shared" si="1623"/>
        <v>29</v>
      </c>
      <c r="H2606">
        <v>5</v>
      </c>
      <c r="I2606" s="19">
        <v>27</v>
      </c>
      <c r="J2606" s="19">
        <v>11</v>
      </c>
      <c r="K2606">
        <f t="shared" si="1624"/>
        <v>38</v>
      </c>
      <c r="P2606" s="93"/>
      <c r="R2606">
        <f>SUM(R2590:R2605)</f>
        <v>29</v>
      </c>
      <c r="AR2606" s="100"/>
      <c r="AS2606" s="93"/>
      <c r="AU2606">
        <f>SUM(AU2590:AU2605)</f>
        <v>29</v>
      </c>
      <c r="BU2606" s="100"/>
    </row>
    <row r="2607" x14ac:dyDescent="0.25">
      <c r="B2607" t="s">
        <v>293</v>
      </c>
      <c r="C2607" s="19">
        <v>17</v>
      </c>
      <c r="D2607" s="19">
        <v>27</v>
      </c>
      <c r="E2607">
        <f t="shared" si="1623"/>
        <v>44</v>
      </c>
      <c r="H2607">
        <v>6</v>
      </c>
      <c r="I2607" s="19">
        <v>11</v>
      </c>
      <c r="J2607" s="19">
        <v>6</v>
      </c>
      <c r="K2607">
        <f t="shared" si="1624"/>
        <v>17</v>
      </c>
      <c r="P2607" s="93"/>
      <c r="AP2607" t="s">
        <v>746</v>
      </c>
      <c r="AR2607" s="100"/>
      <c r="AS2607" s="93"/>
      <c r="BS2607" t="s">
        <v>746</v>
      </c>
      <c r="BU2607" s="100"/>
    </row>
    <row r="2608" x14ac:dyDescent="0.25">
      <c r="B2608" t="s">
        <v>456</v>
      </c>
      <c r="C2608" s="19">
        <v>27</v>
      </c>
      <c r="D2608" s="19">
        <v>27</v>
      </c>
      <c r="E2608">
        <f t="shared" si="1623"/>
        <v>54</v>
      </c>
      <c r="H2608">
        <v>7</v>
      </c>
      <c r="I2608" s="19">
        <v>6</v>
      </c>
      <c r="J2608" s="19">
        <v>11</v>
      </c>
      <c r="K2608">
        <f t="shared" si="1624"/>
        <v>17</v>
      </c>
      <c r="P2608" s="93"/>
      <c r="Q2608" t="s">
        <v>525</v>
      </c>
      <c r="R2608" t="s">
        <v>263</v>
      </c>
      <c r="S2608" t="s">
        <v>526</v>
      </c>
      <c r="T2608" t="s">
        <v>570</v>
      </c>
      <c r="U2608" t="s">
        <v>571</v>
      </c>
      <c r="V2608" t="s">
        <v>572</v>
      </c>
      <c r="W2608" t="s">
        <v>539</v>
      </c>
      <c r="X2608" t="s">
        <v>538</v>
      </c>
      <c r="Z2608" t="s">
        <v>522</v>
      </c>
      <c r="AA2608" t="s">
        <v>523</v>
      </c>
      <c r="AB2608" t="s">
        <v>541</v>
      </c>
      <c r="AC2608" t="s">
        <v>540</v>
      </c>
      <c r="AD2608" t="s">
        <v>542</v>
      </c>
      <c r="AE2608" t="s">
        <v>520</v>
      </c>
      <c r="AF2608" t="s">
        <v>521</v>
      </c>
      <c r="AG2608" t="s">
        <v>527</v>
      </c>
      <c r="AH2608" t="s">
        <v>528</v>
      </c>
      <c r="AI2608" t="s">
        <v>543</v>
      </c>
      <c r="AJ2608" t="s">
        <v>744</v>
      </c>
      <c r="AK2608" t="s">
        <v>745</v>
      </c>
      <c r="AL2608" t="s">
        <v>749</v>
      </c>
      <c r="AM2608" t="s">
        <v>750</v>
      </c>
      <c r="AN2608" t="s">
        <v>751</v>
      </c>
      <c r="AP2608" t="s">
        <v>747</v>
      </c>
      <c r="AQ2608" t="s">
        <v>748</v>
      </c>
      <c r="AR2608" s="100"/>
      <c r="AS2608" s="93"/>
      <c r="AT2608" t="s">
        <v>525</v>
      </c>
      <c r="AU2608" t="s">
        <v>263</v>
      </c>
      <c r="AV2608" t="s">
        <v>526</v>
      </c>
      <c r="AW2608" t="s">
        <v>570</v>
      </c>
      <c r="AX2608" t="s">
        <v>571</v>
      </c>
      <c r="AY2608" t="s">
        <v>572</v>
      </c>
      <c r="AZ2608" t="s">
        <v>539</v>
      </c>
      <c r="BA2608" t="s">
        <v>538</v>
      </c>
      <c r="BC2608" t="s">
        <v>522</v>
      </c>
      <c r="BD2608" t="s">
        <v>523</v>
      </c>
      <c r="BE2608" t="s">
        <v>541</v>
      </c>
      <c r="BF2608" t="s">
        <v>540</v>
      </c>
      <c r="BG2608" t="s">
        <v>542</v>
      </c>
      <c r="BH2608" t="s">
        <v>520</v>
      </c>
      <c r="BI2608" t="s">
        <v>521</v>
      </c>
      <c r="BJ2608" t="s">
        <v>527</v>
      </c>
      <c r="BK2608" t="s">
        <v>528</v>
      </c>
      <c r="BL2608" t="s">
        <v>543</v>
      </c>
      <c r="BM2608" t="s">
        <v>744</v>
      </c>
      <c r="BN2608" t="s">
        <v>745</v>
      </c>
      <c r="BO2608" t="s">
        <v>749</v>
      </c>
      <c r="BP2608" t="s">
        <v>750</v>
      </c>
      <c r="BQ2608" t="s">
        <v>751</v>
      </c>
      <c r="BS2608" t="s">
        <v>747</v>
      </c>
      <c r="BT2608" t="s">
        <v>748</v>
      </c>
      <c r="BU2608" s="100"/>
    </row>
    <row r="2609" x14ac:dyDescent="0.25">
      <c r="B2609" t="s">
        <v>457</v>
      </c>
      <c r="C2609" s="19">
        <v>27</v>
      </c>
      <c r="D2609" s="19">
        <v>27</v>
      </c>
      <c r="E2609">
        <f t="shared" si="1623"/>
        <v>54</v>
      </c>
      <c r="H2609">
        <v>8</v>
      </c>
      <c r="I2609" s="19">
        <v>20</v>
      </c>
      <c r="J2609" s="19">
        <v>0</v>
      </c>
      <c r="K2609">
        <f t="shared" si="1624"/>
        <v>20</v>
      </c>
      <c r="L2609" t="s">
        <v>506</v>
      </c>
      <c r="P2609" s="93"/>
      <c r="Q2609" s="110" t="str">
        <f>$Q$2590</f>
        <v>A.01</v>
      </c>
      <c r="R2609" t="str">
        <f>$Q$2581</f>
        <v>L2</v>
      </c>
      <c r="S2609">
        <f>$E$21</f>
        <v>10.6875</v>
      </c>
      <c r="T2609" cm="1">
        <f t="array" ref="T2609">IFERROR(IF(S2609=0,0,(INDEX($C$33:$C$38,MATCH($W$2590,$B$33:$B$38,0),0)*(S2613+$X$2590)+$T$2590*COUNTIF(S2609:S2612,"&gt;0")*$C$32+$V$2590*$C$31)*$R$2590),0)</f>
        <v>30539.71875</v>
      </c>
      <c r="U2609">
        <f>IF(S2609=0,0,-(COUNTIF(S2609:S2612,"&gt;0")*$T$2590*$C$32+$V$2590*$C$31)*$H$27*$R$2590)</f>
        <v>-363.31199999999995</v>
      </c>
      <c r="V2609">
        <f>IF(S2609=0,0,$V$2590*$H$26*$R$2590)</f>
        <v>-1328.1999999999998</v>
      </c>
      <c r="W2609">
        <f>(0.6*T2609+0.7*U2609)*$R$2590/2</f>
        <v>262007.93632499999</v>
      </c>
      <c r="X2609">
        <f>(0.6*T2609+0.6*V2609)*$R$2590/2</f>
        <v>254140.21312500001</v>
      </c>
      <c r="Z2609">
        <f>IF(S2609=0,0,$AD$2590*$AP$2581)</f>
        <v>343.06999999999994</v>
      </c>
      <c r="AA2609">
        <f>IFERROR(Z2609/$R$2590,0)</f>
        <v>11.829999999999998</v>
      </c>
      <c r="AB2609">
        <f>Z2609*($F$21+IF($F$21=0,0,($C$14+$C$15+IF($C$13="single",1.5,3)+3)/12))</f>
        <v>3666.5606249999992</v>
      </c>
      <c r="AC2609">
        <f>AB2609-W2609</f>
        <v>-258341.37569999998</v>
      </c>
      <c r="AD2609" cm="1">
        <f t="array" ref="AD2609">IFERROR(IF(AC2609&lt;0,0,AC2609/($R$2590-INDEX(hd_off,MATCH(AQ2609,hd_mark,0),0)/12)),0)</f>
        <v>0</v>
      </c>
      <c r="AE2609">
        <f>IF(S2609=0,0,$AD$2590*$AM$2581)</f>
        <v>7899.5999999999995</v>
      </c>
      <c r="AF2609">
        <f>IFERROR(AE2609/$R$2590,0)</f>
        <v>272.39999999999998</v>
      </c>
      <c r="AG2609">
        <f>AE2609*($F$21+IF($F$21=0,0,($C$14+$C$15+IF($C$13="single",1.5,3)+3)/12))</f>
        <v>84426.974999999991</v>
      </c>
      <c r="AH2609">
        <f>AG2609-X2609</f>
        <v>-169713.23812500003</v>
      </c>
      <c r="AI2609" cm="1">
        <f t="array" ref="AI2609">IFERROR(IF(AH2609&lt;0,0,AH2609/($R$2590-INDEX(hd_off,MATCH(AQ2609,hd_mark,0),0)/12)),0)</f>
        <v>0</v>
      </c>
      <c r="AJ2609">
        <f>MAX($F$21,$Y$2590)/$Q$2612</f>
        <v>0.30172413793103448</v>
      </c>
      <c r="AK2609">
        <f>IF(AJ2609=0,0,IF(AJ2609&gt;2,1.25-0.125*AJ2609,1))</f>
        <v>1</v>
      </c>
      <c r="AL2609" cm="1">
        <f t="array" ref="AL2609">IFERROR(INDEX(sheath_ecap_asd,MATCH(AP2609,sheath_mark,0),0)*AK2609,0)</f>
        <v>239.85714285714286</v>
      </c>
      <c r="AM2609" cm="1">
        <f t="array" ref="AM2609">IFERROR(INDEX(sheath_wcap_asd,MATCH(AP2609,sheath_mark,0),0)*AK2609,0)</f>
        <v>335.8</v>
      </c>
      <c r="AN2609" cm="1">
        <f t="array" ref="AN2609">IFERROR(INDEX(hd_cap,MATCH(AQ2609,hd_mark,0),0),0)</f>
        <v>0</v>
      </c>
      <c r="AP2609" s="19">
        <v>21</v>
      </c>
      <c r="AQ2609" s="19"/>
      <c r="AR2609" s="100"/>
      <c r="AS2609" s="93"/>
      <c r="AT2609" s="110" t="str">
        <f>$AT$2590</f>
        <v>1.01</v>
      </c>
      <c r="AU2609" t="str">
        <f>$Q$2581</f>
        <v>L2</v>
      </c>
      <c r="AV2609">
        <f>$E$21</f>
        <v>10.6875</v>
      </c>
      <c r="AW2609" cm="1">
        <f t="array" ref="AW2609">IFERROR(IF(AV2609=0,0,(INDEX($C$33:$C$38,MATCH($AZ$2590,$B$33:$B$38,0),0)*(AV2613+$BA$2590)+$AW$2590*COUNTIF(AV2609:AV2612,"&gt;0")*$C$32+$AY$2590*$C$31)*$AU$2590),0)</f>
        <v>30539.71875</v>
      </c>
      <c r="AX2609">
        <f>IF(AV2609=0,0,-(COUNTIF(AV2609:AV2612,"&gt;0")*$AW$2590*$C$32+$AY$2590*$C$31)*$H$27*$AU$2590)</f>
        <v>-363.31199999999995</v>
      </c>
      <c r="AY2609">
        <f>IF(AV2609=0,0,$AY$2590*$H$26*$AU$2590)</f>
        <v>-1328.1999999999998</v>
      </c>
      <c r="AZ2609">
        <f>(0.6*AW2609+0.7*AX2609)*$AU$2590/2</f>
        <v>262007.93632499999</v>
      </c>
      <c r="BA2609">
        <f>(0.6*AW2609+0.6*AY2609)*$AU$2590/2</f>
        <v>254140.21312500001</v>
      </c>
      <c r="BC2609">
        <f>IF(AV2609=0,0,$BG$2590*$AP$2581)</f>
        <v>343.06999999999994</v>
      </c>
      <c r="BD2609">
        <f>IFERROR(BC2609/$AU$2590,0)</f>
        <v>11.829999999999998</v>
      </c>
      <c r="BE2609">
        <f>BC2609*($F$21+IF($F$21=0,0,($C$14+$C$15+IF($C$13="single",1.5,3)+3)/12))</f>
        <v>3666.5606249999992</v>
      </c>
      <c r="BF2609">
        <f>BE2609-AZ2609</f>
        <v>-258341.37569999998</v>
      </c>
      <c r="BG2609" cm="1">
        <f t="array" ref="BG2609">IFERROR(IF(BF2609&lt;0,0,BF2609/($AU$2590-INDEX(hd_off,MATCH(BT2609,hd_mark,0),0)/12)),0)</f>
        <v>0</v>
      </c>
      <c r="BH2609">
        <f>IF(AV2609=0,0,$BG$2590*$AM$2581)</f>
        <v>7899.5999999999995</v>
      </c>
      <c r="BI2609">
        <f>IFERROR(BH2609/$AU$2590,0)</f>
        <v>272.39999999999998</v>
      </c>
      <c r="BJ2609">
        <f>BH2609*($F$21+IF($F$21=0,0,($C$14+$C$15+IF($C$13="single",1.5,3)+3)/12))</f>
        <v>84426.974999999991</v>
      </c>
      <c r="BK2609">
        <f>BJ2609-BA2609</f>
        <v>-169713.23812500003</v>
      </c>
      <c r="BL2609" cm="1">
        <f t="array" ref="BL2609">IFERROR(IF(BK2609&lt;0,0,BK2609/($AU$2590-INDEX(hd_off,MATCH(BT2609,hd_mark,0),0)/12)),0)</f>
        <v>0</v>
      </c>
      <c r="BM2609">
        <f>MAX($F$21,$BB$2590)/$Q$2612</f>
        <v>0.30172413793103448</v>
      </c>
      <c r="BN2609">
        <f>IF(BM2609=0,0,IF(BM2609&gt;2,1.25-0.125*BM2609,1))</f>
        <v>1</v>
      </c>
      <c r="BO2609" cm="1">
        <f t="array" ref="BO2609">IFERROR(INDEX(sheath_ecap_asd,MATCH(BS2609,sheath_mark,0),0)*BN2609,0)</f>
        <v>239.85714285714286</v>
      </c>
      <c r="BP2609" cm="1">
        <f t="array" ref="BP2609">IFERROR(INDEX(sheath_wcap_asd,MATCH(BS2609,sheath_mark,0),0)*BN2609,0)</f>
        <v>335.8</v>
      </c>
      <c r="BQ2609" cm="1">
        <f t="array" ref="BQ2609">IFERROR(INDEX(hd_cap,MATCH(BT2609,hd_mark,0),0),0)</f>
        <v>0</v>
      </c>
      <c r="BS2609" s="19">
        <v>21</v>
      </c>
      <c r="BT2609" s="19"/>
      <c r="BU2609" s="100"/>
    </row>
    <row r="2610" x14ac:dyDescent="0.25">
      <c r="B2610" t="s">
        <v>458</v>
      </c>
      <c r="C2610" s="19">
        <v>27</v>
      </c>
      <c r="D2610" s="19">
        <v>27</v>
      </c>
      <c r="E2610">
        <f t="shared" si="1623"/>
        <v>54</v>
      </c>
      <c r="H2610">
        <v>9</v>
      </c>
      <c r="I2610" s="19">
        <v>30</v>
      </c>
      <c r="J2610" s="19">
        <v>0</v>
      </c>
      <c r="K2610">
        <f t="shared" si="1624"/>
        <v>30</v>
      </c>
      <c r="P2610" s="93"/>
      <c r="Q2610" s="109"/>
      <c r="R2610" t="str">
        <f>$Q$2582</f>
        <v>L3</v>
      </c>
      <c r="S2610">
        <f>$E$22</f>
        <v>21.375</v>
      </c>
      <c r="T2610" cm="1">
        <f t="array" ref="T2610">IFERROR(IF(S2610=0,0,(INDEX($C$33:$C$38,MATCH($W$2590,$B$33:$B$38,0),0)*(S2613+$X$2590)+$T$2590*COUNTIF(S2610:S2612,"&gt;0")*$C$32+$V$2590*$C$31)*$R$2590),0)</f>
        <v>26015.71875</v>
      </c>
      <c r="U2610">
        <f>IF(S2610=0,0,-(COUNTIF(S2610:S2612,"&gt;0")*$T$2590*$C$32+$V$2590*$C$31)*$H$27*$R$2590)</f>
        <v>-200.44799999999998</v>
      </c>
      <c r="V2610">
        <f>IF(S2610=0,0,$V$2590*$H$26*$R$2590)</f>
        <v>-1328.1999999999998</v>
      </c>
      <c r="W2610">
        <f t="shared" ref="W2610:W2612" si="1625">(0.6*T2610+0.7*U2610)*$R$2590/2</f>
        <v>224302.20592500002</v>
      </c>
      <c r="X2610">
        <f>T2610*$R$2590/2</f>
        <v>377227.921875</v>
      </c>
      <c r="Z2610">
        <f>IF(S2610=0,0,$AD$2590*$AP$2582)</f>
        <v>376.565</v>
      </c>
      <c r="AA2610">
        <f>IFERROR(Z2610/$R$2590,0)</f>
        <v>12.984999999999999</v>
      </c>
      <c r="AB2610">
        <f>Z2610*($F$22+IF($F$22=0,0,($C$14+$C$15+IF($C$13="single",1.5,3)+3)/12))</f>
        <v>4024.5384374999999</v>
      </c>
      <c r="AC2610">
        <f>AB2610-W2610</f>
        <v>-220277.6674875</v>
      </c>
      <c r="AD2610" cm="1">
        <f t="array" ref="AD2610">IFERROR(IF(AC2610&lt;0,0,AC2610/($R$2590-INDEX(hd_off,MATCH(AQ2610,hd_mark,0),0)/12)),0)</f>
        <v>0</v>
      </c>
      <c r="AE2610">
        <f>IF(S2610=0,0,$AD$2590*$AM$2582)</f>
        <v>5846.4</v>
      </c>
      <c r="AF2610">
        <f>IFERROR(AE2610/$R$2590,0)</f>
        <v>201.6</v>
      </c>
      <c r="AG2610">
        <f>AE2610*($F$22+IF($F$22=0,0,($C$14+$C$15+IF($C$13="single",1.5,3)+3)/12))</f>
        <v>62483.399999999994</v>
      </c>
      <c r="AH2610">
        <f>AG2610-X2610</f>
        <v>-314744.52187499998</v>
      </c>
      <c r="AI2610" cm="1">
        <f t="array" ref="AI2610">IFERROR(IF(AH2610&lt;0,0,AH2610/($R$2590-INDEX(hd_off,MATCH(AQ2610,hd_mark,0),0)/12)),0)</f>
        <v>0</v>
      </c>
      <c r="AJ2610">
        <f>MAX($F$22,$Z$2590)/$Q$2612</f>
        <v>0.30172413793103448</v>
      </c>
      <c r="AK2610">
        <f t="shared" ref="AK2610:AK2613" si="1626">IF(AJ2610=0,0,IF(AJ2610&gt;2,1.25-0.125*AJ2610,1))</f>
        <v>1</v>
      </c>
      <c r="AL2610" cm="1">
        <f t="array" ref="AL2610">IFERROR(INDEX(sheath_ecap_asd,MATCH(AP2610,sheath_mark,0),0)*AK2610,0)</f>
        <v>239.85714285714286</v>
      </c>
      <c r="AM2610" cm="1">
        <f t="array" ref="AM2610">IFERROR(INDEX(sheath_wcap_asd,MATCH(AP2610,sheath_mark,0),0)*AK2610,0)</f>
        <v>335.8</v>
      </c>
      <c r="AN2610" cm="1">
        <f t="array" ref="AN2610">IFERROR(INDEX(hd_cap,MATCH(AQ2610,hd_mark,0),0),0)</f>
        <v>0</v>
      </c>
      <c r="AP2610" s="19">
        <v>21</v>
      </c>
      <c r="AQ2610" s="19"/>
      <c r="AR2610" s="100"/>
      <c r="AS2610" s="93"/>
      <c r="AT2610" s="109"/>
      <c r="AU2610" t="str">
        <f>$Q$2582</f>
        <v>L3</v>
      </c>
      <c r="AV2610">
        <f>$E$22</f>
        <v>21.375</v>
      </c>
      <c r="AW2610" cm="1">
        <f t="array" ref="AW2610">IFERROR(IF(AV2610=0,0,(INDEX($C$33:$C$38,MATCH($AZ$2590,$B$33:$B$38,0),0)*(AV2613+$BA$2590)+$AW$2590*COUNTIF(AV2610:AV2612,"&gt;0")*$C$32+$AY$2590*$C$31)*$AU$2590),0)</f>
        <v>26015.71875</v>
      </c>
      <c r="AX2610">
        <f>IF(AV2610=0,0,-(COUNTIF(AV2610:AV2612,"&gt;0")*$AW$2590*$C$32+$AY$2590*$C$31)*$H$27*$AU$2590)</f>
        <v>-200.44799999999998</v>
      </c>
      <c r="AY2610">
        <f>IF(AV2610=0,0,$AY$2590*$H$26*$AU$2590)</f>
        <v>-1328.1999999999998</v>
      </c>
      <c r="AZ2610">
        <f>(0.6*AW2610+0.7*AX2610)*$AU$2590/2</f>
        <v>224302.20592500002</v>
      </c>
      <c r="BA2610">
        <f>AW2610*$AU$2590/2</f>
        <v>377227.921875</v>
      </c>
      <c r="BC2610">
        <f>IF(AV2610=0,0,$BG$2590*$AP$2582)</f>
        <v>376.565</v>
      </c>
      <c r="BD2610">
        <f>IFERROR(BC2610/$AU$2590,0)</f>
        <v>12.984999999999999</v>
      </c>
      <c r="BE2610">
        <f>BC2610*($F$22+IF($F$22=0,0,($C$14+$C$15+IF($C$13="single",1.5,3)+3)/12))</f>
        <v>4024.5384374999999</v>
      </c>
      <c r="BF2610">
        <f>BE2610-AZ2610</f>
        <v>-220277.6674875</v>
      </c>
      <c r="BG2610" cm="1">
        <f t="array" ref="BG2610">IFERROR(IF(BF2610&lt;0,0,BF2610/($AU$2590-INDEX(hd_off,MATCH(BT2610,hd_mark,0),0)/12)),0)</f>
        <v>0</v>
      </c>
      <c r="BH2610">
        <f>IF(AV2610=0,0,$BG$2590*$AM$2582)</f>
        <v>5846.4</v>
      </c>
      <c r="BI2610">
        <f>IFERROR(BH2610/$AU$2590,0)</f>
        <v>201.6</v>
      </c>
      <c r="BJ2610">
        <f>BH2610*($F$22+IF($F$22=0,0,($C$14+$C$15+IF($C$13="single",1.5,3)+3)/12))</f>
        <v>62483.399999999994</v>
      </c>
      <c r="BK2610">
        <f>BJ2610-BA2610</f>
        <v>-314744.52187499998</v>
      </c>
      <c r="BL2610" cm="1">
        <f t="array" ref="BL2610">IFERROR(IF(BK2610&lt;0,0,BK2610/($AU$2590-INDEX(hd_off,MATCH(BT2610,hd_mark,0),0)/12)),0)</f>
        <v>0</v>
      </c>
      <c r="BM2610">
        <f>MAX($F$22,$BC$2590)/$Q$2612</f>
        <v>0.30172413793103448</v>
      </c>
      <c r="BN2610">
        <f t="shared" ref="BN2610:BN2613" si="1627">IF(BM2610=0,0,IF(BM2610&gt;2,1.25-0.125*BM2610,1))</f>
        <v>1</v>
      </c>
      <c r="BO2610" cm="1">
        <f t="array" ref="BO2610">IFERROR(INDEX(sheath_ecap_asd,MATCH(BS2610,sheath_mark,0),0)*BN2610,0)</f>
        <v>239.85714285714286</v>
      </c>
      <c r="BP2610" cm="1">
        <f t="array" ref="BP2610">IFERROR(INDEX(sheath_wcap_asd,MATCH(BS2610,sheath_mark,0),0)*BN2610,0)</f>
        <v>335.8</v>
      </c>
      <c r="BQ2610" cm="1">
        <f t="array" ref="BQ2610">IFERROR(INDEX(hd_cap,MATCH(BT2610,hd_mark,0),0),0)</f>
        <v>0</v>
      </c>
      <c r="BS2610" s="19">
        <v>21</v>
      </c>
      <c r="BT2610" s="19"/>
      <c r="BU2610" s="100"/>
    </row>
    <row r="2611" x14ac:dyDescent="0.25">
      <c r="B2611" t="s">
        <v>459</v>
      </c>
      <c r="C2611" s="19">
        <v>27</v>
      </c>
      <c r="D2611" s="19">
        <v>41</v>
      </c>
      <c r="E2611">
        <f t="shared" si="1623"/>
        <v>68</v>
      </c>
      <c r="F2611" t="s">
        <v>506</v>
      </c>
      <c r="H2611">
        <v>10</v>
      </c>
      <c r="I2611" s="19">
        <v>30</v>
      </c>
      <c r="J2611" s="19">
        <v>0</v>
      </c>
      <c r="K2611">
        <f t="shared" si="1624"/>
        <v>30</v>
      </c>
      <c r="P2611" s="93"/>
      <c r="Q2611" s="109" t="s">
        <v>491</v>
      </c>
      <c r="R2611" t="str">
        <f>$Q$2583</f>
        <v>L4</v>
      </c>
      <c r="S2611">
        <f>$E$23</f>
        <v>0</v>
      </c>
      <c r="T2611" cm="1">
        <f t="array" ref="T2611">IFERROR(IF(S2611=0,0,(INDEX($C$33:$C$38,MATCH($W$2590,$B$33:$B$38,0),0)*(S2613+$X$2590)+$T$2590*COUNTIF(S2611:S2612,"&gt;0")*$C$32+$V$2590*$C$31)*$R$2590),0)</f>
        <v>0</v>
      </c>
      <c r="U2611">
        <f>IF(S2611=0,0,-(COUNTIF(S2611:S2612,"&gt;0")*$T$2590*$C$32+$V$2590*$C$31)*$H$27*$R$2590)</f>
        <v>0</v>
      </c>
      <c r="V2611">
        <f>IF(S2611=0,0,$V$2590*$H$26*$R$2590)</f>
        <v>0</v>
      </c>
      <c r="W2611">
        <f t="shared" si="1625"/>
        <v>0</v>
      </c>
      <c r="X2611">
        <f>T2611*$R$2590/2</f>
        <v>0</v>
      </c>
      <c r="Z2611">
        <f>IF(S2611=0,0,$AD$2590*$AP$2583)</f>
        <v>0</v>
      </c>
      <c r="AA2611">
        <f>IFERROR(Z2611/$R$2590,0)</f>
        <v>0</v>
      </c>
      <c r="AB2611">
        <f>Z2611*($F$23+IF($F$23=0,0,($C$14+$C$15+IF($C$13="single",1.5,3)+3)/12))</f>
        <v>0</v>
      </c>
      <c r="AC2611">
        <f>AB2611-W2611</f>
        <v>0</v>
      </c>
      <c r="AD2611" cm="1">
        <f t="array" ref="AD2611">IFERROR(IF(AC2611&lt;0,0,AC2611/($R$2590-INDEX(hd_off,MATCH(AQ2611,hd_mark,0),0)/12)),0)</f>
        <v>0</v>
      </c>
      <c r="AE2611">
        <f>IF(S2611=0,0,$AD$2590*$AM$2583)</f>
        <v>0</v>
      </c>
      <c r="AF2611">
        <f>IFERROR(AE2611/$R$2590,0)</f>
        <v>0</v>
      </c>
      <c r="AG2611">
        <f>AE2611*($F$23+IF($F$23=0,0,($C$14+$C$15+IF($C$13="single",1.5,3)+3)/12))</f>
        <v>0</v>
      </c>
      <c r="AH2611">
        <f>AG2611-X2611</f>
        <v>0</v>
      </c>
      <c r="AI2611" cm="1">
        <f t="array" ref="AI2611">IFERROR(IF(AH2611&lt;0,0,AH2611/($R$2590-INDEX(hd_off,MATCH(AQ2611,hd_mark,0),0)/12)),0)</f>
        <v>0</v>
      </c>
      <c r="AJ2611">
        <f>MAX($F$23,$AA$2590)/$Q$2612</f>
        <v>0</v>
      </c>
      <c r="AK2611">
        <f t="shared" si="1626"/>
        <v>0</v>
      </c>
      <c r="AL2611" cm="1">
        <f t="array" ref="AL2611">IFERROR(INDEX(sheath_ecap_asd,MATCH(AP2611,sheath_mark,0),0)*AK2611,0)</f>
        <v>0</v>
      </c>
      <c r="AM2611" cm="1">
        <f t="array" ref="AM2611">IFERROR(INDEX(sheath_wcap_asd,MATCH(AP2611,sheath_mark,0),0)*AK2611,0)</f>
        <v>0</v>
      </c>
      <c r="AN2611" cm="1">
        <f t="array" ref="AN2611">IFERROR(INDEX(hd_cap,MATCH(AQ2611,hd_mark,0),0),0)</f>
        <v>0</v>
      </c>
      <c r="AP2611" s="19"/>
      <c r="AQ2611" s="19"/>
      <c r="AR2611" s="100"/>
      <c r="AS2611" s="93"/>
      <c r="AT2611" s="109" t="s">
        <v>491</v>
      </c>
      <c r="AU2611" t="str">
        <f>$Q$2583</f>
        <v>L4</v>
      </c>
      <c r="AV2611">
        <f>$E$23</f>
        <v>0</v>
      </c>
      <c r="AW2611" cm="1">
        <f t="array" ref="AW2611">IFERROR(IF(AV2611=0,0,(INDEX($C$33:$C$38,MATCH($AZ$2590,$B$33:$B$38,0),0)*(AV2613+$BA$2590)+$AW$2590*COUNTIF(AV2611:AV2612,"&gt;0")*$C$32+$AY$2590*$C$31)*$AU$2590),0)</f>
        <v>0</v>
      </c>
      <c r="AX2611">
        <f>IF(AV2611=0,0,-(COUNTIF(AV2611:AV2612,"&gt;0")*$AW$2590*$C$32+$AY$2590*$C$31)*$H$27*$AU$2590)</f>
        <v>0</v>
      </c>
      <c r="AY2611">
        <f>IF(AV2611=0,0,$AY$2590*$H$26*$AU$2590)</f>
        <v>0</v>
      </c>
      <c r="AZ2611">
        <f>(0.6*AW2611+0.7*AX2611)*$AU$2590/2</f>
        <v>0</v>
      </c>
      <c r="BA2611">
        <f>AW2611*$AU$2590/2</f>
        <v>0</v>
      </c>
      <c r="BC2611">
        <f>IF(AV2611=0,0,$BG$2590*$AP$2583)</f>
        <v>0</v>
      </c>
      <c r="BD2611">
        <f>IFERROR(BC2611/$AU$2590,0)</f>
        <v>0</v>
      </c>
      <c r="BE2611">
        <f>BC2611*($F$23+IF($F$23=0,0,($C$14+$C$15+IF($C$13="single",1.5,3)+3)/12))</f>
        <v>0</v>
      </c>
      <c r="BF2611">
        <f>BE2611-AZ2611</f>
        <v>0</v>
      </c>
      <c r="BG2611" cm="1">
        <f t="array" ref="BG2611">IFERROR(IF(BF2611&lt;0,0,BF2611/($AU$2590-INDEX(hd_off,MATCH(BT2611,hd_mark,0),0)/12)),0)</f>
        <v>0</v>
      </c>
      <c r="BH2611">
        <f>IF(AV2611=0,0,$BG$2590*$AM$2583)</f>
        <v>0</v>
      </c>
      <c r="BI2611">
        <f>IFERROR(BH2611/$AU$2590,0)</f>
        <v>0</v>
      </c>
      <c r="BJ2611">
        <f>BH2611*($F$23+IF($F$23=0,0,($C$14+$C$15+IF($C$13="single",1.5,3)+3)/12))</f>
        <v>0</v>
      </c>
      <c r="BK2611">
        <f>BJ2611-BA2611</f>
        <v>0</v>
      </c>
      <c r="BL2611" cm="1">
        <f t="array" ref="BL2611">IFERROR(IF(BK2611&lt;0,0,BK2611/($AU$2590-INDEX(hd_off,MATCH(BT2611,hd_mark,0),0)/12)),0)</f>
        <v>0</v>
      </c>
      <c r="BM2611">
        <f>MAX($F$23,$BD$2590)/$Q$2612</f>
        <v>0</v>
      </c>
      <c r="BN2611">
        <f t="shared" si="1627"/>
        <v>0</v>
      </c>
      <c r="BO2611" cm="1">
        <f t="array" ref="BO2611">IFERROR(INDEX(sheath_ecap_asd,MATCH(BS2611,sheath_mark,0),0)*BN2611,0)</f>
        <v>0</v>
      </c>
      <c r="BP2611" cm="1">
        <f t="array" ref="BP2611">IFERROR(INDEX(sheath_wcap_asd,MATCH(BS2611,sheath_mark,0),0)*BN2611,0)</f>
        <v>0</v>
      </c>
      <c r="BQ2611" cm="1">
        <f t="array" ref="BQ2611">IFERROR(INDEX(hd_cap,MATCH(BT2611,hd_mark,0),0),0)</f>
        <v>0</v>
      </c>
      <c r="BS2611" s="19"/>
      <c r="BT2611" s="19"/>
      <c r="BU2611" s="100"/>
    </row>
    <row r="2612" x14ac:dyDescent="0.25">
      <c r="B2612" t="s">
        <v>171</v>
      </c>
      <c r="C2612" s="19">
        <v>0</v>
      </c>
      <c r="D2612" s="19">
        <v>29</v>
      </c>
      <c r="E2612">
        <f t="shared" si="1623"/>
        <v>29</v>
      </c>
      <c r="H2612">
        <v>11</v>
      </c>
      <c r="I2612" s="19">
        <v>0</v>
      </c>
      <c r="J2612" s="19">
        <v>27</v>
      </c>
      <c r="K2612">
        <f t="shared" si="1624"/>
        <v>27</v>
      </c>
      <c r="P2612" s="93"/>
      <c r="Q2612" s="111">
        <f>$R$2590</f>
        <v>29</v>
      </c>
      <c r="R2612" t="str">
        <f>$Q$2584</f>
        <v>L5</v>
      </c>
      <c r="S2612">
        <f>$E$24</f>
        <v>0</v>
      </c>
      <c r="T2612" cm="1">
        <f t="array" ref="T2612">IFERROR(IF(S2612=0,0,(INDEX($C$33:$C$38,MATCH($W$2590,$B$33:$B$38,0),0)*(S2613+$X$2590)+$T$2590*COUNTIF(S2612:S2612,"&gt;0")*$C$32+$V$2590*$C$31)*$R$2590),0)</f>
        <v>0</v>
      </c>
      <c r="U2612">
        <f>IF(S2612=0,0,-(COUNTIF(S2612:S2612,"&gt;0")*$T$2590*$C$32+$V$2590*$C$31)*$H$27*$R$2590)</f>
        <v>0</v>
      </c>
      <c r="V2612">
        <f>IF(S2612=0,0,$V$2590*$H$26*$R$2590)</f>
        <v>0</v>
      </c>
      <c r="W2612">
        <f t="shared" si="1625"/>
        <v>0</v>
      </c>
      <c r="X2612">
        <f>T2612*$R$2590/2</f>
        <v>0</v>
      </c>
      <c r="Z2612">
        <f>IF(S2612=0,0,$AD$2590*$AP$2584)</f>
        <v>0</v>
      </c>
      <c r="AA2612">
        <f>IFERROR(Z2612/$R$2590,0)</f>
        <v>0</v>
      </c>
      <c r="AB2612">
        <f>Z2612*($F$24+IF($F$24=0,0,($C$14+$C$15+IF($C$13="single",1.5,3)+3)/12))</f>
        <v>0</v>
      </c>
      <c r="AC2612">
        <f>AB2612-W2612</f>
        <v>0</v>
      </c>
      <c r="AD2612" cm="1">
        <f t="array" ref="AD2612">IFERROR(IF(AC2612&lt;0,0,AC2612/($R$2590-INDEX(hd_off,MATCH(AQ2612,hd_mark,0),0)/12)),0)</f>
        <v>0</v>
      </c>
      <c r="AE2612">
        <f>IF(S2612=0,0,$AD$2590*$AM$2584)</f>
        <v>0</v>
      </c>
      <c r="AF2612">
        <f>IFERROR(AE2612/$R$2590,0)</f>
        <v>0</v>
      </c>
      <c r="AG2612">
        <f>AE2612*($F$24+IF($F$24=0,0,($C$14+$C$15+IF($C$13="single",1.5,3)+3)/12))</f>
        <v>0</v>
      </c>
      <c r="AH2612">
        <f>AG2612-X2612</f>
        <v>0</v>
      </c>
      <c r="AI2612" cm="1">
        <f t="array" ref="AI2612">IFERROR(IF(AH2612&lt;0,0,AH2612/($R$2590-INDEX(hd_off,MATCH(AQ2612,hd_mark,0),0)/12)),0)</f>
        <v>0</v>
      </c>
      <c r="AJ2612">
        <f>MAX($F$24,$AB$2590)/$Q$2612</f>
        <v>0</v>
      </c>
      <c r="AK2612">
        <f t="shared" si="1626"/>
        <v>0</v>
      </c>
      <c r="AL2612" cm="1">
        <f t="array" ref="AL2612">IFERROR(INDEX(sheath_ecap_asd,MATCH(AP2612,sheath_mark,0),0)*AK2612,0)</f>
        <v>0</v>
      </c>
      <c r="AM2612" cm="1">
        <f t="array" ref="AM2612">IFERROR(INDEX(sheath_wcap_asd,MATCH(AP2612,sheath_mark,0),0)*AK2612,0)</f>
        <v>0</v>
      </c>
      <c r="AN2612" cm="1">
        <f t="array" ref="AN2612">IFERROR(INDEX(hd_cap,MATCH(AQ2612,hd_mark,0),0),0)</f>
        <v>0</v>
      </c>
      <c r="AP2612" s="19"/>
      <c r="AQ2612" s="19"/>
      <c r="AR2612" s="100"/>
      <c r="AS2612" s="93"/>
      <c r="AT2612" s="111">
        <f>$R$2590</f>
        <v>29</v>
      </c>
      <c r="AU2612" t="str">
        <f>$Q$2584</f>
        <v>L5</v>
      </c>
      <c r="AV2612">
        <f>$E$24</f>
        <v>0</v>
      </c>
      <c r="AW2612" cm="1">
        <f t="array" ref="AW2612">IFERROR(IF(AV2612=0,0,(INDEX($C$33:$C$38,MATCH($AZ$2590,$B$33:$B$38,0),0)*(AV2613+$BA$2590)+$AW$2590*COUNTIF(AV2612:AV2612,"&gt;0")*$C$32+$AY$2590*$C$31)*$AU$2590),0)</f>
        <v>0</v>
      </c>
      <c r="AX2612">
        <f>IF(AV2612=0,0,-(COUNTIF(AV2612:AV2612,"&gt;0")*$AW$2590*$C$32+$AY$2590*$C$31)*$H$27*$AU$2590)</f>
        <v>0</v>
      </c>
      <c r="AY2612">
        <f>IF(AV2612=0,0,$AY$2590*$H$26*$AU$2590)</f>
        <v>0</v>
      </c>
      <c r="AZ2612">
        <f>(0.6*AW2612+0.7*AX2612)*$AU$2590/2</f>
        <v>0</v>
      </c>
      <c r="BA2612">
        <f>AW2612*$AU$2590/2</f>
        <v>0</v>
      </c>
      <c r="BC2612">
        <f>IF(AV2612=0,0,$BG$2590*$AP$2584)</f>
        <v>0</v>
      </c>
      <c r="BD2612">
        <f>IFERROR(BC2612/$AU$2590,0)</f>
        <v>0</v>
      </c>
      <c r="BE2612">
        <f>BC2612*($F$24+IF($F$24=0,0,($C$14+$C$15+IF($C$13="single",1.5,3)+3)/12))</f>
        <v>0</v>
      </c>
      <c r="BF2612">
        <f>BE2612-AZ2612</f>
        <v>0</v>
      </c>
      <c r="BG2612" cm="1">
        <f t="array" ref="BG2612">IFERROR(IF(BF2612&lt;0,0,BF2612/($AU$2590-INDEX(hd_off,MATCH(BT2612,hd_mark,0),0)/12)),0)</f>
        <v>0</v>
      </c>
      <c r="BH2612">
        <f>IF(AV2612=0,0,$BG$2590*$AM$2584)</f>
        <v>0</v>
      </c>
      <c r="BI2612">
        <f>IFERROR(BH2612/$AU$2590,0)</f>
        <v>0</v>
      </c>
      <c r="BJ2612">
        <f>BH2612*($F$24+IF($F$24=0,0,($C$14+$C$15+IF($C$13="single",1.5,3)+3)/12))</f>
        <v>0</v>
      </c>
      <c r="BK2612">
        <f>BJ2612-BA2612</f>
        <v>0</v>
      </c>
      <c r="BL2612" cm="1">
        <f t="array" ref="BL2612">IFERROR(IF(BK2612&lt;0,0,BK2612/($AU$2590-INDEX(hd_off,MATCH(BT2612,hd_mark,0),0)/12)),0)</f>
        <v>0</v>
      </c>
      <c r="BM2612">
        <f>MAX($F$24,$BE$2590)/$Q$2612</f>
        <v>0</v>
      </c>
      <c r="BN2612">
        <f t="shared" si="1627"/>
        <v>0</v>
      </c>
      <c r="BO2612" cm="1">
        <f t="array" ref="BO2612">IFERROR(INDEX(sheath_ecap_asd,MATCH(BS2612,sheath_mark,0),0)*BN2612,0)</f>
        <v>0</v>
      </c>
      <c r="BP2612" cm="1">
        <f t="array" ref="BP2612">IFERROR(INDEX(sheath_wcap_asd,MATCH(BS2612,sheath_mark,0),0)*BN2612,0)</f>
        <v>0</v>
      </c>
      <c r="BQ2612" cm="1">
        <f t="array" ref="BQ2612">IFERROR(INDEX(hd_cap,MATCH(BT2612,hd_mark,0),0),0)</f>
        <v>0</v>
      </c>
      <c r="BS2612" s="19"/>
      <c r="BT2612" s="19"/>
      <c r="BU2612" s="100"/>
    </row>
    <row r="2613" x14ac:dyDescent="0.25">
      <c r="B2613" t="s">
        <v>460</v>
      </c>
      <c r="C2613" s="19">
        <v>29</v>
      </c>
      <c r="D2613" s="19">
        <v>6</v>
      </c>
      <c r="E2613">
        <f t="shared" si="1623"/>
        <v>35</v>
      </c>
      <c r="H2613">
        <v>12</v>
      </c>
      <c r="I2613" s="19">
        <v>27</v>
      </c>
      <c r="J2613" s="19">
        <v>14</v>
      </c>
      <c r="K2613">
        <f t="shared" si="1624"/>
        <v>41</v>
      </c>
      <c r="P2613" s="93"/>
      <c r="Q2613" s="109"/>
      <c r="R2613" t="str">
        <f>$Q$2585</f>
        <v>Roof</v>
      </c>
      <c r="S2613">
        <f>$E$25</f>
        <v>33.171875</v>
      </c>
      <c r="T2613" cm="1">
        <f t="array" ref="T2613">IFERROR(IF(S2613=0,0,(INDEX($C$33:$C$38,MATCH($W$2590,$B$33:$B$38,0),0)*(S2613+$X$2590)+$V$2590*$C$31)*$R$2590),0)</f>
        <v>21491.71875</v>
      </c>
      <c r="U2613">
        <f>IF(S2613=0,0,-$V$2590*$C$31*$H$27*$R$2590)</f>
        <v>-37.583999999999996</v>
      </c>
      <c r="V2613">
        <f>IF(S2613=0,0,$V$2590*$H$26*$R$2590)</f>
        <v>-1328.1999999999998</v>
      </c>
      <c r="W2613">
        <f>(0.6*T2613+0.7*U2613)*$R$2590/2</f>
        <v>186596.47552499999</v>
      </c>
      <c r="X2613">
        <f>T2613*$R$2590/2</f>
        <v>311629.921875</v>
      </c>
      <c r="Z2613">
        <f>IF(S2613=0,0,$AD$2590*$AP$2585)</f>
        <v>191.83499999999995</v>
      </c>
      <c r="AA2613">
        <f>IFERROR(Z2613/$R$2590,0)</f>
        <v>6.6149999999999984</v>
      </c>
      <c r="AB2613">
        <f>Z2613*($F$25+($C$16+$C$17+IF($C$13="single",1.5,3)+3)/12)</f>
        <v>2263.0535156249989</v>
      </c>
      <c r="AC2613">
        <f>AB2613-W2613</f>
        <v>-184333.42200937498</v>
      </c>
      <c r="AD2613" cm="1">
        <f t="array" ref="AD2613">IFERROR(IF(AC2613&lt;0,0,AC2613/($R$2590-INDEX(hd_off,MATCH(AQ2613,hd_mark,0),0)/12)),0)</f>
        <v>0</v>
      </c>
      <c r="AE2613">
        <f>IF(S2613=0,0,$AD$2590*$AM$2585)</f>
        <v>3854.1</v>
      </c>
      <c r="AF2613">
        <f>IFERROR(AE2613/$R$2590,0)</f>
        <v>132.9</v>
      </c>
      <c r="AG2613">
        <f>AE2613*($F$25+($C$16+$C$17+IF($C$13="single",1.5,3)+3)/12)</f>
        <v>45466.335937499993</v>
      </c>
      <c r="AH2613">
        <f>AG2613-X2613</f>
        <v>-266163.5859375</v>
      </c>
      <c r="AI2613" cm="1">
        <f t="array" ref="AI2613">IFERROR(IF(AH2613&lt;0,0,AH2613/($R$2590-INDEX(hd_off,MATCH(AQ2613,hd_mark,0),0)/12)),0)</f>
        <v>0</v>
      </c>
      <c r="AJ2613">
        <f>MAX($F$25,$AC$2590)/$Q$2612</f>
        <v>0.29920977011494249</v>
      </c>
      <c r="AK2613">
        <f t="shared" si="1626"/>
        <v>1</v>
      </c>
      <c r="AL2613" cm="1">
        <f t="array" ref="AL2613">IFERROR(INDEX(sheath_ecap_asd,MATCH(AP2613,sheath_mark,0),0)*AK2613,0)</f>
        <v>95.285714285714306</v>
      </c>
      <c r="AM2613" cm="1">
        <f t="array" ref="AM2613">IFERROR(INDEX(sheath_wcap_asd,MATCH(AP2613,sheath_mark,0),0)*AK2613,0)</f>
        <v>133.4</v>
      </c>
      <c r="AN2613" cm="1">
        <f t="array" ref="AN2613">IFERROR(INDEX(hd_cap,MATCH(AQ2613,hd_mark,0),0),0)</f>
        <v>0</v>
      </c>
      <c r="AP2613" s="19">
        <v>11</v>
      </c>
      <c r="AQ2613" s="19"/>
      <c r="AR2613" s="100"/>
      <c r="AS2613" s="93"/>
      <c r="AT2613" s="109"/>
      <c r="AU2613" t="str">
        <f>$Q$2585</f>
        <v>Roof</v>
      </c>
      <c r="AV2613">
        <f>$E$25</f>
        <v>33.171875</v>
      </c>
      <c r="AW2613" cm="1">
        <f t="array" ref="AW2613">IFERROR(IF(AV2613=0,0,(INDEX($C$33:$C$38,MATCH($AZ$2590,$B$33:$B$38,0),0)*(AV2613+$BA$2590)+$AY$2590*$C$31)*$AU$2590),0)</f>
        <v>21491.71875</v>
      </c>
      <c r="AX2613">
        <f>IF(AV2613=0,0,-$AY$2590*$C$31*$H$27*$AU$2590)</f>
        <v>-37.583999999999996</v>
      </c>
      <c r="AY2613">
        <f>IF(AV2613=0,0,$AY$2590*$H$26*$AU$2590)</f>
        <v>-1328.1999999999998</v>
      </c>
      <c r="AZ2613">
        <f>(0.6*AW2613+0.7*AX2613)*$AU$2590/2</f>
        <v>186596.47552499999</v>
      </c>
      <c r="BA2613">
        <f>AW2613*$AU$2590/2</f>
        <v>311629.921875</v>
      </c>
      <c r="BC2613">
        <f>IF(AV2613=0,0,$BG$2590*$AP$2585)</f>
        <v>191.83499999999995</v>
      </c>
      <c r="BD2613">
        <f>IFERROR(BC2613/$AU$2590,0)</f>
        <v>6.6149999999999984</v>
      </c>
      <c r="BE2613">
        <f>BC2613*($F$25+($C$16+$C$17+IF($C$13="single",1.5,3)+3)/12)</f>
        <v>2263.0535156249989</v>
      </c>
      <c r="BF2613">
        <f>BE2613-AZ2613</f>
        <v>-184333.42200937498</v>
      </c>
      <c r="BG2613" cm="1">
        <f t="array" ref="BG2613">IFERROR(IF(BF2613&lt;0,0,BF2613/($AU$2590-INDEX(hd_off,MATCH(BT2613,hd_mark,0),0)/12)),0)</f>
        <v>0</v>
      </c>
      <c r="BH2613">
        <f>IF(AV2613=0,0,$BG$2590*$AM$2585)</f>
        <v>3854.1</v>
      </c>
      <c r="BI2613">
        <f>IFERROR(BH2613/$AU$2590,0)</f>
        <v>132.9</v>
      </c>
      <c r="BJ2613">
        <f>BH2613*($F$25+($C$16+$C$17+IF($C$13="single",1.5,3)+3)/12)</f>
        <v>45466.335937499993</v>
      </c>
      <c r="BK2613">
        <f>BJ2613-BA2613</f>
        <v>-266163.5859375</v>
      </c>
      <c r="BL2613" cm="1">
        <f t="array" ref="BL2613">IFERROR(IF(BK2613&lt;0,0,BK2613/($AU$2590-INDEX(hd_off,MATCH(BT2613,hd_mark,0),0)/12)),0)</f>
        <v>0</v>
      </c>
      <c r="BM2613">
        <f>MAX($F$25,$BF$2590)/$Q$2612</f>
        <v>0.29920977011494249</v>
      </c>
      <c r="BN2613">
        <f t="shared" si="1627"/>
        <v>1</v>
      </c>
      <c r="BO2613" cm="1">
        <f t="array" ref="BO2613">IFERROR(INDEX(sheath_ecap_asd,MATCH(BS2613,sheath_mark,0),0)*BN2613,0)</f>
        <v>95.285714285714306</v>
      </c>
      <c r="BP2613" cm="1">
        <f t="array" ref="BP2613">IFERROR(INDEX(sheath_wcap_asd,MATCH(BS2613,sheath_mark,0),0)*BN2613,0)</f>
        <v>133.4</v>
      </c>
      <c r="BQ2613" cm="1">
        <f t="array" ref="BQ2613">IFERROR(INDEX(hd_cap,MATCH(BT2613,hd_mark,0),0),0)</f>
        <v>0</v>
      </c>
      <c r="BS2613" s="19">
        <v>11</v>
      </c>
      <c r="BT2613" s="19"/>
      <c r="BU2613" s="100"/>
    </row>
    <row r="2614" x14ac:dyDescent="0.25">
      <c r="B2614" t="s">
        <v>461</v>
      </c>
      <c r="C2614" s="19">
        <v>6</v>
      </c>
      <c r="D2614" s="19">
        <v>29</v>
      </c>
      <c r="E2614">
        <f t="shared" si="1623"/>
        <v>35</v>
      </c>
      <c r="H2614">
        <v>13</v>
      </c>
      <c r="I2614" s="19">
        <v>14</v>
      </c>
      <c r="J2614" s="19">
        <v>12</v>
      </c>
      <c r="K2614">
        <f t="shared" si="1624"/>
        <v>26</v>
      </c>
      <c r="P2614" s="93"/>
      <c r="Q2614" s="109"/>
      <c r="AR2614" s="100"/>
      <c r="AS2614" s="93"/>
      <c r="AT2614" s="109"/>
      <c r="BU2614" s="100"/>
    </row>
    <row r="2615" x14ac:dyDescent="0.25">
      <c r="B2615" t="s">
        <v>462</v>
      </c>
      <c r="C2615" s="19">
        <v>29</v>
      </c>
      <c r="D2615" s="19">
        <v>0</v>
      </c>
      <c r="E2615">
        <f t="shared" si="1623"/>
        <v>29</v>
      </c>
      <c r="H2615">
        <v>14</v>
      </c>
      <c r="I2615" s="19">
        <v>12</v>
      </c>
      <c r="J2615" s="19">
        <v>27</v>
      </c>
      <c r="K2615">
        <f t="shared" si="1624"/>
        <v>39</v>
      </c>
      <c r="P2615" s="93"/>
      <c r="Q2615" s="110" t="str">
        <f>$Q$2591</f>
        <v>A.02</v>
      </c>
      <c r="R2615" t="str">
        <f>$Q$2581</f>
        <v>L2</v>
      </c>
      <c r="S2615">
        <f>$E$21</f>
        <v>10.6875</v>
      </c>
      <c r="T2615" cm="1">
        <f t="array" ref="T2615">IFERROR(IF(S2615=0,0,(INDEX($C$33:$C$38,MATCH($W$2591,$B$33:$B$38,0),0)*(S2619+$X$2591)+$T$2591*COUNTIF(S2615:S2618,"&gt;0")*$C$32+$V$2591*$C$31)*$R$2591),0)</f>
        <v>0</v>
      </c>
      <c r="U2615">
        <f>IF(S2615=0,0,-(COUNTIF(S2615:S2618,"&gt;0")*$T$2591*$C$32+$V$2591*$C$31)*$H$27*$R$2591)</f>
        <v>0</v>
      </c>
      <c r="V2615">
        <f>IF(S2615=0,0,$V$2591*$H$26*$R$2591)</f>
        <v>0</v>
      </c>
      <c r="W2615">
        <f>(0.6*T2615+0.7*U2615)*$R$2591/2</f>
        <v>0</v>
      </c>
      <c r="X2615">
        <f>(0.6*T2615+0.6*V2615)*$R$2591/2</f>
        <v>0</v>
      </c>
      <c r="Z2615">
        <f>IF(S2615=0,0,$AD$2591*$AP$2581)</f>
        <v>0</v>
      </c>
      <c r="AA2615">
        <f>IFERROR(Z2615/$R$2591,0)</f>
        <v>0</v>
      </c>
      <c r="AB2615">
        <f>Z2615*($F$21+IF($F$21=0,0,($C$14+$C$15+IF($C$13="single",1.5,3)+3)/12))</f>
        <v>0</v>
      </c>
      <c r="AC2615">
        <f>AB2615-W2615</f>
        <v>0</v>
      </c>
      <c r="AD2615" cm="1">
        <f t="array" ref="AD2615">IFERROR(IF(AC2615&lt;0,0,AC2615/($R$2591-INDEX(hd_off,MATCH(AQ2615,hd_mark,0),0)/12)),0)</f>
        <v>0</v>
      </c>
      <c r="AE2615">
        <f>IF(S2615=0,0,$AD$2591*$AM$2581)</f>
        <v>0</v>
      </c>
      <c r="AF2615">
        <f>IFERROR(AE2615/$R$2591,0)</f>
        <v>0</v>
      </c>
      <c r="AG2615">
        <f>AE2615*($F$21+IF($F$21=0,0,($C$14+$C$15+IF($C$13="single",1.5,3)+3)/12))</f>
        <v>0</v>
      </c>
      <c r="AH2615">
        <f>AG2615-X2615</f>
        <v>0</v>
      </c>
      <c r="AI2615" cm="1">
        <f t="array" ref="AI2615">IFERROR(IF(AH2615&lt;0,0,AH2615/($R$2591-INDEX(hd_off,MATCH(AQ2615,hd_mark,0),0)/12)),0)</f>
        <v>0</v>
      </c>
      <c r="AJ2615">
        <f>MAX($F$21,$Y$2591)/$Q$2612</f>
        <v>0.30172413793103448</v>
      </c>
      <c r="AK2615">
        <f>IF(AJ2615=0,0,IF(AJ2615&gt;2,1.25-0.125*AJ2615,1))</f>
        <v>1</v>
      </c>
      <c r="AL2615" cm="1">
        <f t="array" ref="AL2615">IFERROR(INDEX(sheath_ecap_asd,MATCH(AP2615,sheath_mark,0),0)*AK2615,0)</f>
        <v>0</v>
      </c>
      <c r="AM2615" cm="1">
        <f t="array" ref="AM2615">IFERROR(INDEX(sheath_wcap_asd,MATCH(AP2615,sheath_mark,0),0)*AK2615,0)</f>
        <v>0</v>
      </c>
      <c r="AN2615" cm="1">
        <f t="array" ref="AN2615">IFERROR(INDEX(hd_cap,MATCH(AQ2615,hd_mark,0),0),0)</f>
        <v>0</v>
      </c>
      <c r="AP2615" s="19"/>
      <c r="AQ2615" s="19"/>
      <c r="AR2615" s="100"/>
      <c r="AS2615" s="93"/>
      <c r="AT2615" s="110" t="str">
        <f>$AT$2591</f>
        <v>1.02</v>
      </c>
      <c r="AU2615" t="str">
        <f>$Q$2581</f>
        <v>L2</v>
      </c>
      <c r="AV2615">
        <f>$E$21</f>
        <v>10.6875</v>
      </c>
      <c r="AW2615" cm="1">
        <f t="array" ref="AW2615">IFERROR(IF(AV2615=0,0,(INDEX($C$33:$C$38,MATCH($AZ$2591,$B$33:$B$38,0),0)*(AV2619+$BA$2591)+$AW$2591*COUNTIF(AV2615:AV2618,"&gt;0")*$C$32+$AY$2591*$C$31)*$AU$2591),0)</f>
        <v>0</v>
      </c>
      <c r="AX2615">
        <f>IF(AV2615=0,0,-(COUNTIF(AV2615:AV2618,"&gt;0")*$AW$2591*$C$32+$AY$2591*$C$31)*$H$27*$AU$2591)</f>
        <v>0</v>
      </c>
      <c r="AY2615">
        <f>IF(AV2615=0,0,$AY$2591*$H$26*$AU$2591)</f>
        <v>0</v>
      </c>
      <c r="AZ2615">
        <f>(0.6*AW2615+0.7*AX2615)*$AU$2591/2</f>
        <v>0</v>
      </c>
      <c r="BA2615">
        <f>(0.6*AW2615+0.6*AY2615)*$AU$2591/2</f>
        <v>0</v>
      </c>
      <c r="BC2615">
        <f>IF(AV2615=0,0,$BG$2591*$AP$2581)</f>
        <v>0</v>
      </c>
      <c r="BD2615">
        <f>IFERROR(BC2615/$AU$2591,0)</f>
        <v>0</v>
      </c>
      <c r="BE2615">
        <f>BC2615*($F$21+IF($F$21=0,0,($C$14+$C$15+IF($C$13="single",1.5,3)+3)/12))</f>
        <v>0</v>
      </c>
      <c r="BF2615">
        <f>BE2615-AZ2615</f>
        <v>0</v>
      </c>
      <c r="BG2615" cm="1">
        <f t="array" ref="BG2615">IFERROR(IF(BF2615&lt;0,0,BF2615/($AU$2591-INDEX(hd_off,MATCH(BT2615,hd_mark,0),0)/12)),0)</f>
        <v>0</v>
      </c>
      <c r="BH2615">
        <f>IF(AV2615=0,0,$BG$2591*$AM$2581)</f>
        <v>0</v>
      </c>
      <c r="BI2615">
        <f>IFERROR(BH2615/$AU$2591,0)</f>
        <v>0</v>
      </c>
      <c r="BJ2615">
        <f>BH2615*($F$21+IF($F$21=0,0,($C$14+$C$15+IF($C$13="single",1.5,3)+3)/12))</f>
        <v>0</v>
      </c>
      <c r="BK2615">
        <f>BJ2615-BA2615</f>
        <v>0</v>
      </c>
      <c r="BL2615" cm="1">
        <f t="array" ref="BL2615">IFERROR(IF(BK2615&lt;0,0,BK2615/($AU$2591-INDEX(hd_off,MATCH(BT2615,hd_mark,0),0)/12)),0)</f>
        <v>0</v>
      </c>
      <c r="BM2615">
        <f>MAX($F$21,$BB$2591)/$Q$2612</f>
        <v>0.30172413793103448</v>
      </c>
      <c r="BN2615">
        <f>IF(BM2615=0,0,IF(BM2615&gt;2,1.25-0.125*BM2615,1))</f>
        <v>1</v>
      </c>
      <c r="BO2615" cm="1">
        <f t="array" ref="BO2615">IFERROR(INDEX(sheath_ecap_asd,MATCH(BS2615,sheath_mark,0),0)*BN2615,0)</f>
        <v>0</v>
      </c>
      <c r="BP2615" cm="1">
        <f t="array" ref="BP2615">IFERROR(INDEX(sheath_wcap_asd,MATCH(BS2615,sheath_mark,0),0)*BN2615,0)</f>
        <v>0</v>
      </c>
      <c r="BQ2615" cm="1">
        <f t="array" ref="BQ2615">IFERROR(INDEX(hd_cap,MATCH(BT2615,hd_mark,0),0),0)</f>
        <v>0</v>
      </c>
      <c r="BS2615" s="19"/>
      <c r="BT2615" s="19"/>
      <c r="BU2615" s="100"/>
    </row>
    <row r="2616" x14ac:dyDescent="0.25">
      <c r="B2616" t="s">
        <v>463</v>
      </c>
      <c r="C2616" s="19"/>
      <c r="D2616" s="19"/>
      <c r="E2616">
        <f t="shared" si="1623"/>
        <v>0</v>
      </c>
      <c r="H2616">
        <v>15</v>
      </c>
      <c r="I2616" s="19">
        <v>27</v>
      </c>
      <c r="J2616" s="19">
        <v>18</v>
      </c>
      <c r="K2616">
        <f t="shared" si="1624"/>
        <v>45</v>
      </c>
      <c r="P2616" s="93"/>
      <c r="Q2616" s="109"/>
      <c r="R2616" t="str">
        <f>$Q$2582</f>
        <v>L3</v>
      </c>
      <c r="S2616">
        <f>$E$22</f>
        <v>21.375</v>
      </c>
      <c r="T2616" cm="1">
        <f t="array" ref="T2616">IFERROR(IF(S2616=0,0,(INDEX($C$33:$C$38,MATCH($W$2591,$B$33:$B$38,0),0)*(S2619+$X$2591)+$T$2591*COUNTIF(S2616:S2618,"&gt;0")*$C$32+$V$2591*$C$31)*$R$2591),0)</f>
        <v>0</v>
      </c>
      <c r="U2616">
        <f>IF(S2616=0,0,-(COUNTIF(S2616:S2618,"&gt;0")*$T$2591*$C$32+$V$2591*$C$31)*$H$27*$R$2591)</f>
        <v>0</v>
      </c>
      <c r="V2616">
        <f>IF(S2616=0,0,$V$2591*$H$26*$R$2591)</f>
        <v>0</v>
      </c>
      <c r="W2616">
        <f>(0.6*T2616+0.7*U2616)*$R$2591/2</f>
        <v>0</v>
      </c>
      <c r="X2616">
        <f>T2616*$R$2591/2</f>
        <v>0</v>
      </c>
      <c r="Z2616">
        <f>IF(S2616=0,0,$AD$2591*$AP$2582)</f>
        <v>0</v>
      </c>
      <c r="AA2616">
        <f>IFERROR(Z2616/$R$2591,0)</f>
        <v>0</v>
      </c>
      <c r="AB2616">
        <f>Z2616*($F$22+IF($F$22=0,0,($C$14+$C$15+IF($C$13="single",1.5,3)+3)/12))</f>
        <v>0</v>
      </c>
      <c r="AC2616">
        <f>AB2616-W2616</f>
        <v>0</v>
      </c>
      <c r="AD2616" cm="1">
        <f t="array" ref="AD2616">IFERROR(IF(AC2616&lt;0,0,AC2616/($R$2591-INDEX(hd_off,MATCH(AQ2616,hd_mark,0),0)/12)),0)</f>
        <v>0</v>
      </c>
      <c r="AE2616">
        <f>IF(S2616=0,0,$AD$2591*$AM$2582)</f>
        <v>0</v>
      </c>
      <c r="AF2616">
        <f>IFERROR(AE2616/$R$2591,0)</f>
        <v>0</v>
      </c>
      <c r="AG2616">
        <f>AE2616*($F$22+IF($F$22=0,0,($C$14+$C$15+IF($C$13="single",1.5,3)+3)/12))</f>
        <v>0</v>
      </c>
      <c r="AH2616">
        <f>AG2616-X2616</f>
        <v>0</v>
      </c>
      <c r="AI2616" cm="1">
        <f t="array" ref="AI2616">IFERROR(IF(AH2616&lt;0,0,AH2616/($R$2591-INDEX(hd_off,MATCH(AQ2616,hd_mark,0),0)/12)),0)</f>
        <v>0</v>
      </c>
      <c r="AJ2616">
        <f>MAX($F$22,$Z$2591)/$Q$2612</f>
        <v>0.30172413793103448</v>
      </c>
      <c r="AK2616">
        <f t="shared" ref="AK2616:AK2619" si="1628">IF(AJ2616=0,0,IF(AJ2616&gt;2,1.25-0.125*AJ2616,1))</f>
        <v>1</v>
      </c>
      <c r="AL2616" cm="1">
        <f t="array" ref="AL2616">IFERROR(INDEX(sheath_ecap_asd,MATCH(AP2616,sheath_mark,0),0)*AK2616,0)</f>
        <v>0</v>
      </c>
      <c r="AM2616" cm="1">
        <f t="array" ref="AM2616">IFERROR(INDEX(sheath_wcap_asd,MATCH(AP2616,sheath_mark,0),0)*AK2616,0)</f>
        <v>0</v>
      </c>
      <c r="AN2616" cm="1">
        <f t="array" ref="AN2616">IFERROR(INDEX(hd_cap,MATCH(AQ2616,hd_mark,0),0),0)</f>
        <v>0</v>
      </c>
      <c r="AP2616" s="19"/>
      <c r="AQ2616" s="19"/>
      <c r="AR2616" s="100"/>
      <c r="AS2616" s="93"/>
      <c r="AT2616" s="109"/>
      <c r="AU2616" t="str">
        <f>$Q$2582</f>
        <v>L3</v>
      </c>
      <c r="AV2616">
        <f>$E$22</f>
        <v>21.375</v>
      </c>
      <c r="AW2616" cm="1">
        <f t="array" ref="AW2616">IFERROR(IF(AV2616=0,0,(INDEX($C$33:$C$38,MATCH($AZ$2591,$B$33:$B$38,0),0)*(AV2619+$BA$2591)+$AW$2591*COUNTIF(AV2616:AV2618,"&gt;0")*$C$32+$AY$2591*$C$31)*$AU$2591),0)</f>
        <v>0</v>
      </c>
      <c r="AX2616">
        <f>IF(AV2616=0,0,-(COUNTIF(AV2616:AV2618,"&gt;0")*$AW$2591*$C$32+$AY$2591*$C$31)*$H$27*$AU$2591)</f>
        <v>0</v>
      </c>
      <c r="AY2616">
        <f>IF(AV2616=0,0,$AY$2591*$H$26*$AU$2591)</f>
        <v>0</v>
      </c>
      <c r="AZ2616">
        <f>(0.6*AW2616+0.7*AX2616)*$AU$2591/2</f>
        <v>0</v>
      </c>
      <c r="BA2616">
        <f>AW2616*$AU$2591/2</f>
        <v>0</v>
      </c>
      <c r="BC2616">
        <f>IF(AV2616=0,0,$BG$2591*$AP$2582)</f>
        <v>0</v>
      </c>
      <c r="BD2616">
        <f>IFERROR(BC2616/$AU$2591,0)</f>
        <v>0</v>
      </c>
      <c r="BE2616">
        <f>BC2616*($F$22+IF($F$22=0,0,($C$14+$C$15+IF($C$13="single",1.5,3)+3)/12))</f>
        <v>0</v>
      </c>
      <c r="BF2616">
        <f>BE2616-AZ2616</f>
        <v>0</v>
      </c>
      <c r="BG2616" cm="1">
        <f t="array" ref="BG2616">IFERROR(IF(BF2616&lt;0,0,BF2616/($AU$2591-INDEX(hd_off,MATCH(BT2616,hd_mark,0),0)/12)),0)</f>
        <v>0</v>
      </c>
      <c r="BH2616">
        <f>IF(AV2616=0,0,$BG$2591*$AM$2582)</f>
        <v>0</v>
      </c>
      <c r="BI2616">
        <f>IFERROR(BH2616/$AU$2591,0)</f>
        <v>0</v>
      </c>
      <c r="BJ2616">
        <f>BH2616*($F$22+IF($F$22=0,0,($C$14+$C$15+IF($C$13="single",1.5,3)+3)/12))</f>
        <v>0</v>
      </c>
      <c r="BK2616">
        <f>BJ2616-BA2616</f>
        <v>0</v>
      </c>
      <c r="BL2616" cm="1">
        <f t="array" ref="BL2616">IFERROR(IF(BK2616&lt;0,0,BK2616/($AU$2591-INDEX(hd_off,MATCH(BT2616,hd_mark,0),0)/12)),0)</f>
        <v>0</v>
      </c>
      <c r="BM2616">
        <f>MAX($F$22,$BC$2591)/$Q$2612</f>
        <v>0.30172413793103448</v>
      </c>
      <c r="BN2616">
        <f t="shared" ref="BN2616:BN2619" si="1629">IF(BM2616=0,0,IF(BM2616&gt;2,1.25-0.125*BM2616,1))</f>
        <v>1</v>
      </c>
      <c r="BO2616" cm="1">
        <f t="array" ref="BO2616">IFERROR(INDEX(sheath_ecap_asd,MATCH(BS2616,sheath_mark,0),0)*BN2616,0)</f>
        <v>0</v>
      </c>
      <c r="BP2616" cm="1">
        <f t="array" ref="BP2616">IFERROR(INDEX(sheath_wcap_asd,MATCH(BS2616,sheath_mark,0),0)*BN2616,0)</f>
        <v>0</v>
      </c>
      <c r="BQ2616" cm="1">
        <f t="array" ref="BQ2616">IFERROR(INDEX(hd_cap,MATCH(BT2616,hd_mark,0),0),0)</f>
        <v>0</v>
      </c>
      <c r="BS2616" s="19"/>
      <c r="BT2616" s="19"/>
      <c r="BU2616" s="100"/>
    </row>
    <row r="2617" x14ac:dyDescent="0.25">
      <c r="B2617" t="s">
        <v>464</v>
      </c>
      <c r="C2617" s="19"/>
      <c r="D2617" s="19"/>
      <c r="E2617">
        <f t="shared" si="1623"/>
        <v>0</v>
      </c>
      <c r="H2617">
        <v>16</v>
      </c>
      <c r="I2617" s="19"/>
      <c r="J2617" s="19"/>
      <c r="K2617">
        <f t="shared" si="1624"/>
        <v>0</v>
      </c>
      <c r="P2617" s="93"/>
      <c r="Q2617" s="109" t="s">
        <v>491</v>
      </c>
      <c r="R2617" t="str">
        <f>$Q$2583</f>
        <v>L4</v>
      </c>
      <c r="S2617">
        <f>$E$23</f>
        <v>0</v>
      </c>
      <c r="T2617" cm="1">
        <f t="array" ref="T2617">IFERROR(IF(S2617=0,0,(INDEX($C$33:$C$38,MATCH($W$2591,$B$33:$B$38,0),0)*(S2619+$X$2591)+$T$2591*COUNTIF(S2617:S2618,"&gt;0")*$C$32+$V$2591*$C$31)*$R$2591),0)</f>
        <v>0</v>
      </c>
      <c r="U2617">
        <f>IF(S2617=0,0,-(COUNTIF(S2617:S2618,"&gt;0")*$T$2591*$C$32+$V$2591*$C$31)*$H$27*$R$2591)</f>
        <v>0</v>
      </c>
      <c r="V2617">
        <f>IF(S2617=0,0,$V$2591*$H$26*$R$2591)</f>
        <v>0</v>
      </c>
      <c r="W2617">
        <f>(0.6*T2617+0.7*U2617)*$R$2591/2</f>
        <v>0</v>
      </c>
      <c r="X2617">
        <f>T2617*$R$2591/2</f>
        <v>0</v>
      </c>
      <c r="Z2617">
        <f>IF(S2617=0,0,$AD$2591*$AP$2583)</f>
        <v>0</v>
      </c>
      <c r="AA2617">
        <f>IFERROR(Z2617/$R$2591,0)</f>
        <v>0</v>
      </c>
      <c r="AB2617">
        <f>Z2617*($F$23+IF($F$23=0,0,($C$14+$C$15+IF($C$13="single",1.5,3)+3)/12))</f>
        <v>0</v>
      </c>
      <c r="AC2617">
        <f>AB2617-W2617</f>
        <v>0</v>
      </c>
      <c r="AD2617" cm="1">
        <f t="array" ref="AD2617">IFERROR(IF(AC2617&lt;0,0,AC2617/($R$2591-INDEX(hd_off,MATCH(AQ2617,hd_mark,0),0)/12)),0)</f>
        <v>0</v>
      </c>
      <c r="AE2617">
        <f>IF(S2617=0,0,$AD$2591*$AM$2583)</f>
        <v>0</v>
      </c>
      <c r="AF2617">
        <f>IFERROR(AE2617/$R$2591,0)</f>
        <v>0</v>
      </c>
      <c r="AG2617">
        <f>AE2617*($F$23+IF($F$23=0,0,($C$14+$C$15+IF($C$13="single",1.5,3)+3)/12))</f>
        <v>0</v>
      </c>
      <c r="AH2617">
        <f>AG2617-X2617</f>
        <v>0</v>
      </c>
      <c r="AI2617" cm="1">
        <f t="array" ref="AI2617">IFERROR(IF(AH2617&lt;0,0,AH2617/($R$2591-INDEX(hd_off,MATCH(AQ2617,hd_mark,0),0)/12)),0)</f>
        <v>0</v>
      </c>
      <c r="AJ2617">
        <f>MAX($F$23,$AA$2591)/$Q$2612</f>
        <v>0</v>
      </c>
      <c r="AK2617">
        <f t="shared" si="1628"/>
        <v>0</v>
      </c>
      <c r="AL2617" cm="1">
        <f t="array" ref="AL2617">IFERROR(INDEX(sheath_ecap_asd,MATCH(AP2617,sheath_mark,0),0)*AK2617,0)</f>
        <v>0</v>
      </c>
      <c r="AM2617" cm="1">
        <f t="array" ref="AM2617">IFERROR(INDEX(sheath_wcap_asd,MATCH(AP2617,sheath_mark,0),0)*AK2617,0)</f>
        <v>0</v>
      </c>
      <c r="AN2617" cm="1">
        <f t="array" ref="AN2617">IFERROR(INDEX(hd_cap,MATCH(AQ2617,hd_mark,0),0),0)</f>
        <v>0</v>
      </c>
      <c r="AP2617" s="19"/>
      <c r="AQ2617" s="19"/>
      <c r="AR2617" s="100"/>
      <c r="AS2617" s="93"/>
      <c r="AT2617" s="109" t="s">
        <v>491</v>
      </c>
      <c r="AU2617" t="str">
        <f>$Q$2583</f>
        <v>L4</v>
      </c>
      <c r="AV2617">
        <f>$E$23</f>
        <v>0</v>
      </c>
      <c r="AW2617" cm="1">
        <f t="array" ref="AW2617">IFERROR(IF(AV2617=0,0,(INDEX($C$33:$C$38,MATCH($AZ$2591,$B$33:$B$38,0),0)*(AV2619+$BA$2591)+$AW$2591*COUNTIF(AV2617:AV2618,"&gt;0")*$C$32+$AY$2591*$C$31)*$AU$2591),0)</f>
        <v>0</v>
      </c>
      <c r="AX2617">
        <f>IF(AV2617=0,0,-(COUNTIF(AV2617:AV2618,"&gt;0")*$AW$2591*$C$32+$AY$2591*$C$31)*$H$27*$AU$2591)</f>
        <v>0</v>
      </c>
      <c r="AY2617">
        <f>IF(AV2617=0,0,$AY$2591*$H$26*$AU$2591)</f>
        <v>0</v>
      </c>
      <c r="AZ2617">
        <f>(0.6*AW2617+0.7*AX2617)*$AU$2591/2</f>
        <v>0</v>
      </c>
      <c r="BA2617">
        <f>AW2617*$AU$2591/2</f>
        <v>0</v>
      </c>
      <c r="BC2617">
        <f>IF(AV2617=0,0,$BG$2591*$AP$2583)</f>
        <v>0</v>
      </c>
      <c r="BD2617">
        <f>IFERROR(BC2617/$AU$2591,0)</f>
        <v>0</v>
      </c>
      <c r="BE2617">
        <f>BC2617*($F$23+IF($F$23=0,0,($C$14+$C$15+IF($C$13="single",1.5,3)+3)/12))</f>
        <v>0</v>
      </c>
      <c r="BF2617">
        <f>BE2617-AZ2617</f>
        <v>0</v>
      </c>
      <c r="BG2617" cm="1">
        <f t="array" ref="BG2617">IFERROR(IF(BF2617&lt;0,0,BF2617/($AU$2591-INDEX(hd_off,MATCH(BT2617,hd_mark,0),0)/12)),0)</f>
        <v>0</v>
      </c>
      <c r="BH2617">
        <f>IF(AV2617=0,0,$BG$2591*$AM$2583)</f>
        <v>0</v>
      </c>
      <c r="BI2617">
        <f>IFERROR(BH2617/$AU$2591,0)</f>
        <v>0</v>
      </c>
      <c r="BJ2617">
        <f>BH2617*($F$23+IF($F$23=0,0,($C$14+$C$15+IF($C$13="single",1.5,3)+3)/12))</f>
        <v>0</v>
      </c>
      <c r="BK2617">
        <f>BJ2617-BA2617</f>
        <v>0</v>
      </c>
      <c r="BL2617" cm="1">
        <f t="array" ref="BL2617">IFERROR(IF(BK2617&lt;0,0,BK2617/($AU$2591-INDEX(hd_off,MATCH(BT2617,hd_mark,0),0)/12)),0)</f>
        <v>0</v>
      </c>
      <c r="BM2617">
        <f>MAX($F$23,$BD$2591)/$Q$2612</f>
        <v>0</v>
      </c>
      <c r="BN2617">
        <f t="shared" si="1629"/>
        <v>0</v>
      </c>
      <c r="BO2617" cm="1">
        <f t="array" ref="BO2617">IFERROR(INDEX(sheath_ecap_asd,MATCH(BS2617,sheath_mark,0),0)*BN2617,0)</f>
        <v>0</v>
      </c>
      <c r="BP2617" cm="1">
        <f t="array" ref="BP2617">IFERROR(INDEX(sheath_wcap_asd,MATCH(BS2617,sheath_mark,0),0)*BN2617,0)</f>
        <v>0</v>
      </c>
      <c r="BQ2617" cm="1">
        <f t="array" ref="BQ2617">IFERROR(INDEX(hd_cap,MATCH(BT2617,hd_mark,0),0),0)</f>
        <v>0</v>
      </c>
      <c r="BS2617" s="19"/>
      <c r="BT2617" s="19"/>
      <c r="BU2617" s="100"/>
    </row>
    <row r="2618" x14ac:dyDescent="0.25">
      <c r="B2618" t="s">
        <v>465</v>
      </c>
      <c r="C2618" s="19"/>
      <c r="D2618" s="19"/>
      <c r="E2618">
        <f t="shared" si="1623"/>
        <v>0</v>
      </c>
      <c r="H2618">
        <v>17</v>
      </c>
      <c r="I2618" s="19"/>
      <c r="J2618" s="19"/>
      <c r="K2618">
        <f t="shared" si="1624"/>
        <v>0</v>
      </c>
      <c r="P2618" s="93"/>
      <c r="Q2618" s="111">
        <f>$R$2591</f>
        <v>0</v>
      </c>
      <c r="R2618" t="str">
        <f>$Q$2584</f>
        <v>L5</v>
      </c>
      <c r="S2618">
        <f>$E$24</f>
        <v>0</v>
      </c>
      <c r="T2618" cm="1">
        <f t="array" ref="T2618">IFERROR(IF(S2618=0,0,(INDEX($C$33:$C$38,MATCH($W$2591,$B$33:$B$38,0),0)*(S2619+$X$2591)+$T$2591*COUNTIF(S2618:S2618,"&gt;0")*$C$32+$V$2591*$C$31)*$R$2591),0)</f>
        <v>0</v>
      </c>
      <c r="U2618">
        <f>IF(S2618=0,0,-(COUNTIF(S2618:S2618,"&gt;0")*$T$2591*$C$32+$V$2591*$C$31)*$H$27*$R$2591)</f>
        <v>0</v>
      </c>
      <c r="V2618">
        <f>IF(S2618=0,0,$V$2591*$H$26*$R$2591)</f>
        <v>0</v>
      </c>
      <c r="W2618">
        <f>(0.6*T2618+0.7*U2618)*$R$2591/2</f>
        <v>0</v>
      </c>
      <c r="X2618">
        <f>T2618*$R$2591/2</f>
        <v>0</v>
      </c>
      <c r="Z2618">
        <f>IF(S2618=0,0,$AD$2591*$AP$2584)</f>
        <v>0</v>
      </c>
      <c r="AA2618">
        <f>IFERROR(Z2618/$R$2591,0)</f>
        <v>0</v>
      </c>
      <c r="AB2618">
        <f>Z2618*($F$24+IF($F$24=0,0,($C$14+$C$15+IF($C$13="single",1.5,3)+3)/12))</f>
        <v>0</v>
      </c>
      <c r="AC2618">
        <f>AB2618-W2618</f>
        <v>0</v>
      </c>
      <c r="AD2618" cm="1">
        <f t="array" ref="AD2618">IFERROR(IF(AC2618&lt;0,0,AC2618/($R$2591-INDEX(hd_off,MATCH(AQ2618,hd_mark,0),0)/12)),0)</f>
        <v>0</v>
      </c>
      <c r="AE2618">
        <f>IF(S2618=0,0,$AD$2591*$AM$2584)</f>
        <v>0</v>
      </c>
      <c r="AF2618">
        <f>IFERROR(AE2618/$R$2591,0)</f>
        <v>0</v>
      </c>
      <c r="AG2618">
        <f>AE2618*($F$24+IF($F$24=0,0,($C$14+$C$15+IF($C$13="single",1.5,3)+3)/12))</f>
        <v>0</v>
      </c>
      <c r="AH2618">
        <f>AG2618-X2618</f>
        <v>0</v>
      </c>
      <c r="AI2618" cm="1">
        <f t="array" ref="AI2618">IFERROR(IF(AH2618&lt;0,0,AH2618/($R$2591-INDEX(hd_off,MATCH(AQ2618,hd_mark,0),0)/12)),0)</f>
        <v>0</v>
      </c>
      <c r="AJ2618">
        <f>MAX($F$24,$AB$2591)/$Q$2612</f>
        <v>0</v>
      </c>
      <c r="AK2618">
        <f t="shared" si="1628"/>
        <v>0</v>
      </c>
      <c r="AL2618" cm="1">
        <f t="array" ref="AL2618">IFERROR(INDEX(sheath_ecap_asd,MATCH(AP2618,sheath_mark,0),0)*AK2618,0)</f>
        <v>0</v>
      </c>
      <c r="AM2618" cm="1">
        <f t="array" ref="AM2618">IFERROR(INDEX(sheath_wcap_asd,MATCH(AP2618,sheath_mark,0),0)*AK2618,0)</f>
        <v>0</v>
      </c>
      <c r="AN2618" cm="1">
        <f t="array" ref="AN2618">IFERROR(INDEX(hd_cap,MATCH(AQ2618,hd_mark,0),0),0)</f>
        <v>0</v>
      </c>
      <c r="AP2618" s="19"/>
      <c r="AQ2618" s="19"/>
      <c r="AR2618" s="100"/>
      <c r="AS2618" s="93"/>
      <c r="AT2618" s="111">
        <f>$R$2591</f>
        <v>0</v>
      </c>
      <c r="AU2618" t="str">
        <f>$Q$2584</f>
        <v>L5</v>
      </c>
      <c r="AV2618">
        <f>$E$24</f>
        <v>0</v>
      </c>
      <c r="AW2618" cm="1">
        <f t="array" ref="AW2618">IFERROR(IF(AV2618=0,0,(INDEX($C$33:$C$38,MATCH($AZ$2591,$B$33:$B$38,0),0)*(AV2619+$BA$2591)+$AW$2591*COUNTIF(AV2618:AV2618,"&gt;0")*$C$32+$AY$2591*$C$31)*$AU$2591),0)</f>
        <v>0</v>
      </c>
      <c r="AX2618">
        <f>IF(AV2618=0,0,-(COUNTIF(AV2618:AV2618,"&gt;0")*$AW$2591*$C$32+$AY$2591*$C$31)*$H$27*$AU$2591)</f>
        <v>0</v>
      </c>
      <c r="AY2618">
        <f>IF(AV2618=0,0,$AY$2591*$H$26*$AU$2591)</f>
        <v>0</v>
      </c>
      <c r="AZ2618">
        <f>(0.6*AW2618+0.7*AX2618)*$AU$2591/2</f>
        <v>0</v>
      </c>
      <c r="BA2618">
        <f>AW2618*$AU$2591/2</f>
        <v>0</v>
      </c>
      <c r="BC2618">
        <f>IF(AV2618=0,0,$BG$2591*$AP$2584)</f>
        <v>0</v>
      </c>
      <c r="BD2618">
        <f>IFERROR(BC2618/$AU$2591,0)</f>
        <v>0</v>
      </c>
      <c r="BE2618">
        <f>BC2618*($F$24+IF($F$24=0,0,($C$14+$C$15+IF($C$13="single",1.5,3)+3)/12))</f>
        <v>0</v>
      </c>
      <c r="BF2618">
        <f>BE2618-AZ2618</f>
        <v>0</v>
      </c>
      <c r="BG2618" cm="1">
        <f t="array" ref="BG2618">IFERROR(IF(BF2618&lt;0,0,BF2618/($AU$2591-INDEX(hd_off,MATCH(BT2618,hd_mark,0),0)/12)),0)</f>
        <v>0</v>
      </c>
      <c r="BH2618">
        <f>IF(AV2618=0,0,$BG$2591*$AM$2584)</f>
        <v>0</v>
      </c>
      <c r="BI2618">
        <f>IFERROR(BH2618/$AU$2591,0)</f>
        <v>0</v>
      </c>
      <c r="BJ2618">
        <f>BH2618*($F$24+IF($F$24=0,0,($C$14+$C$15+IF($C$13="single",1.5,3)+3)/12))</f>
        <v>0</v>
      </c>
      <c r="BK2618">
        <f>BJ2618-BA2618</f>
        <v>0</v>
      </c>
      <c r="BL2618" cm="1">
        <f t="array" ref="BL2618">IFERROR(IF(BK2618&lt;0,0,BK2618/($AU$2591-INDEX(hd_off,MATCH(BT2618,hd_mark,0),0)/12)),0)</f>
        <v>0</v>
      </c>
      <c r="BM2618">
        <f>MAX($F$24,$BE$2591)/$Q$2612</f>
        <v>0</v>
      </c>
      <c r="BN2618">
        <f t="shared" si="1629"/>
        <v>0</v>
      </c>
      <c r="BO2618" cm="1">
        <f t="array" ref="BO2618">IFERROR(INDEX(sheath_ecap_asd,MATCH(BS2618,sheath_mark,0),0)*BN2618,0)</f>
        <v>0</v>
      </c>
      <c r="BP2618" cm="1">
        <f t="array" ref="BP2618">IFERROR(INDEX(sheath_wcap_asd,MATCH(BS2618,sheath_mark,0),0)*BN2618,0)</f>
        <v>0</v>
      </c>
      <c r="BQ2618" cm="1">
        <f t="array" ref="BQ2618">IFERROR(INDEX(hd_cap,MATCH(BT2618,hd_mark,0),0),0)</f>
        <v>0</v>
      </c>
      <c r="BS2618" s="19"/>
      <c r="BT2618" s="19"/>
      <c r="BU2618" s="100"/>
    </row>
    <row r="2619" x14ac:dyDescent="0.25">
      <c r="B2619" t="s">
        <v>466</v>
      </c>
      <c r="C2619" s="19"/>
      <c r="D2619" s="19"/>
      <c r="E2619">
        <f t="shared" si="1623"/>
        <v>0</v>
      </c>
      <c r="H2619">
        <v>18</v>
      </c>
      <c r="I2619" s="19"/>
      <c r="J2619" s="19"/>
      <c r="K2619">
        <f t="shared" si="1624"/>
        <v>0</v>
      </c>
      <c r="P2619" s="93"/>
      <c r="Q2619" s="109"/>
      <c r="R2619" t="str">
        <f>$Q$2585</f>
        <v>Roof</v>
      </c>
      <c r="S2619">
        <f>$E$25</f>
        <v>33.171875</v>
      </c>
      <c r="T2619" cm="1">
        <f t="array" ref="T2619">IFERROR(IF(S2619=0,0,(INDEX($C$33:$C$38,MATCH($W$2591,$B$33:$B$38,0),0)*(S2619+$X$2591)+$V$2591*$C$31)*$R$2591),0)</f>
        <v>0</v>
      </c>
      <c r="U2619">
        <f>IF(S2619=0,0,-$V$2591*$C$31*$H$27*$R$2591)</f>
        <v>0</v>
      </c>
      <c r="V2619">
        <f>IF(S2619=0,0,$V$2591*$H$26*$R$2591)</f>
        <v>0</v>
      </c>
      <c r="W2619">
        <f>(0.6*T2619+0.7*U2619)*$R$2591/2</f>
        <v>0</v>
      </c>
      <c r="X2619">
        <f>T2619*$R$2591/2</f>
        <v>0</v>
      </c>
      <c r="Z2619">
        <f>IF(S2619=0,0,$AD$2591*$AP$2585)</f>
        <v>0</v>
      </c>
      <c r="AA2619">
        <f>IFERROR(Z2619/$R$2591,0)</f>
        <v>0</v>
      </c>
      <c r="AB2619">
        <f>Z2619*($F$25+($C$16+$C$17+IF($C$13="single",1.5,3)+3)/12)</f>
        <v>0</v>
      </c>
      <c r="AC2619">
        <f>AB2619-W2619</f>
        <v>0</v>
      </c>
      <c r="AD2619" cm="1">
        <f t="array" ref="AD2619">IFERROR(IF(AC2619&lt;0,0,AC2619/($R$2591-INDEX(hd_off,MATCH(AQ2619,hd_mark,0),0)/12)),0)</f>
        <v>0</v>
      </c>
      <c r="AE2619">
        <f>IF(S2619=0,0,$AD$2591*$AM$2585)</f>
        <v>0</v>
      </c>
      <c r="AF2619">
        <f>IFERROR(AE2619/$R$2591,0)</f>
        <v>0</v>
      </c>
      <c r="AG2619">
        <f>AE2619*($F$25+($C$16+$C$17+IF($C$13="single",1.5,3)+3)/12)</f>
        <v>0</v>
      </c>
      <c r="AH2619">
        <f>AG2619-X2619</f>
        <v>0</v>
      </c>
      <c r="AI2619" cm="1">
        <f t="array" ref="AI2619">IFERROR(IF(AH2619&lt;0,0,AH2619/($R$2591-INDEX(hd_off,MATCH(AQ2619,hd_mark,0),0)/12)),0)</f>
        <v>0</v>
      </c>
      <c r="AJ2619">
        <f>MAX($F$25,$AC$2591)/$Q$2612</f>
        <v>0.29920977011494249</v>
      </c>
      <c r="AK2619">
        <f t="shared" si="1628"/>
        <v>1</v>
      </c>
      <c r="AL2619" cm="1">
        <f t="array" ref="AL2619">IFERROR(INDEX(sheath_ecap_asd,MATCH(AP2619,sheath_mark,0),0)*AK2619,0)</f>
        <v>0</v>
      </c>
      <c r="AM2619" cm="1">
        <f t="array" ref="AM2619">IFERROR(INDEX(sheath_wcap_asd,MATCH(AP2619,sheath_mark,0),0)*AK2619,0)</f>
        <v>0</v>
      </c>
      <c r="AN2619" cm="1">
        <f t="array" ref="AN2619">IFERROR(INDEX(hd_cap,MATCH(AQ2619,hd_mark,0),0),0)</f>
        <v>0</v>
      </c>
      <c r="AP2619" s="19"/>
      <c r="AQ2619" s="19"/>
      <c r="AR2619" s="100"/>
      <c r="AS2619" s="93"/>
      <c r="AT2619" s="109"/>
      <c r="AU2619" t="str">
        <f>$Q$2585</f>
        <v>Roof</v>
      </c>
      <c r="AV2619">
        <f>$E$25</f>
        <v>33.171875</v>
      </c>
      <c r="AW2619" cm="1">
        <f t="array" ref="AW2619">IFERROR(IF(AV2619=0,0,(INDEX($C$33:$C$38,MATCH($AZ$2591,$B$33:$B$38,0),0)*(AV2619+$BA$2591)+$AY$2591*$C$31)*$AU$2591),0)</f>
        <v>0</v>
      </c>
      <c r="AX2619">
        <f>IF(AV2619=0,0,-$AY$2591*$C$31*$H$27*$AU$2591)</f>
        <v>0</v>
      </c>
      <c r="AY2619">
        <f>IF(AV2619=0,0,$AY$2591*$H$26*$AU$2591)</f>
        <v>0</v>
      </c>
      <c r="AZ2619">
        <f>(0.6*AW2619+0.7*AX2619)*$AU$2591/2</f>
        <v>0</v>
      </c>
      <c r="BA2619">
        <f>AW2619*$AU$2591/2</f>
        <v>0</v>
      </c>
      <c r="BC2619">
        <f>IF(AV2619=0,0,$BG$2591*$AP$2585)</f>
        <v>0</v>
      </c>
      <c r="BD2619">
        <f>IFERROR(BC2619/$AU$2591,0)</f>
        <v>0</v>
      </c>
      <c r="BE2619">
        <f>BC2619*($F$25+($C$16+$C$17+IF($C$13="single",1.5,3)+3)/12)</f>
        <v>0</v>
      </c>
      <c r="BF2619">
        <f>BE2619-AZ2619</f>
        <v>0</v>
      </c>
      <c r="BG2619" cm="1">
        <f t="array" ref="BG2619">IFERROR(IF(BF2619&lt;0,0,BF2619/($AU$2591-INDEX(hd_off,MATCH(BT2619,hd_mark,0),0)/12)),0)</f>
        <v>0</v>
      </c>
      <c r="BH2619">
        <f>IF(AV2619=0,0,$BG$2591*$AM$2585)</f>
        <v>0</v>
      </c>
      <c r="BI2619">
        <f>IFERROR(BH2619/$AU$2591,0)</f>
        <v>0</v>
      </c>
      <c r="BJ2619">
        <f>BH2619*($F$25+($C$16+$C$17+IF($C$13="single",1.5,3)+3)/12)</f>
        <v>0</v>
      </c>
      <c r="BK2619">
        <f>BJ2619-BA2619</f>
        <v>0</v>
      </c>
      <c r="BL2619" cm="1">
        <f t="array" ref="BL2619">IFERROR(IF(BK2619&lt;0,0,BK2619/($AU$2591-INDEX(hd_off,MATCH(BT2619,hd_mark,0),0)/12)),0)</f>
        <v>0</v>
      </c>
      <c r="BM2619">
        <f>MAX($F$25,$BF$2591)/$Q$2612</f>
        <v>0.29920977011494249</v>
      </c>
      <c r="BN2619">
        <f t="shared" si="1629"/>
        <v>1</v>
      </c>
      <c r="BO2619" cm="1">
        <f t="array" ref="BO2619">IFERROR(INDEX(sheath_ecap_asd,MATCH(BS2619,sheath_mark,0),0)*BN2619,0)</f>
        <v>0</v>
      </c>
      <c r="BP2619" cm="1">
        <f t="array" ref="BP2619">IFERROR(INDEX(sheath_wcap_asd,MATCH(BS2619,sheath_mark,0),0)*BN2619,0)</f>
        <v>0</v>
      </c>
      <c r="BQ2619" cm="1">
        <f t="array" ref="BQ2619">IFERROR(INDEX(hd_cap,MATCH(BT2619,hd_mark,0),0),0)</f>
        <v>0</v>
      </c>
      <c r="BS2619" s="19"/>
      <c r="BT2619" s="19"/>
      <c r="BU2619" s="100"/>
    </row>
    <row r="2620" x14ac:dyDescent="0.25">
      <c r="B2620" t="s">
        <v>467</v>
      </c>
      <c r="C2620" s="19"/>
      <c r="D2620" s="19"/>
      <c r="E2620">
        <f t="shared" si="1623"/>
        <v>0</v>
      </c>
      <c r="H2620">
        <v>19</v>
      </c>
      <c r="I2620" s="19"/>
      <c r="J2620" s="19"/>
      <c r="K2620">
        <f t="shared" si="1624"/>
        <v>0</v>
      </c>
      <c r="P2620" s="93"/>
      <c r="AR2620" s="100"/>
      <c r="AS2620" s="93"/>
      <c r="BU2620" s="100"/>
    </row>
    <row r="2621" x14ac:dyDescent="0.25">
      <c r="B2621" t="s">
        <v>468</v>
      </c>
      <c r="C2621" s="19"/>
      <c r="D2621" s="19"/>
      <c r="E2621">
        <f t="shared" si="1623"/>
        <v>0</v>
      </c>
      <c r="H2621">
        <v>20</v>
      </c>
      <c r="I2621" s="19"/>
      <c r="J2621" s="19"/>
      <c r="K2621">
        <f t="shared" si="1624"/>
        <v>0</v>
      </c>
      <c r="P2621" s="93"/>
      <c r="Q2621" s="110" t="str">
        <f>$Q$2592</f>
        <v>A.03</v>
      </c>
      <c r="R2621" t="str">
        <f>$Q$2581</f>
        <v>L2</v>
      </c>
      <c r="S2621">
        <f>$E$21</f>
        <v>10.6875</v>
      </c>
      <c r="T2621" cm="1">
        <f t="array" ref="T2621">IFERROR(IF(S2621=0,0,(INDEX($C$33:$C$38,MATCH($W$2592,$B$33:$B$38,0),0)*(S2625+$X$2592)+$T$2592*COUNTIF(S2621:S2624,"&gt;0")*$C$32+$V$2592*$C$31)*$R$2592),0)</f>
        <v>0</v>
      </c>
      <c r="U2621">
        <f>IF(S2621=0,0,-(COUNTIF(S2621:S2624,"&gt;0")*$T$2592*$C$32+$V$2592*$C$31)*$H$27*$R$2592)</f>
        <v>0</v>
      </c>
      <c r="V2621">
        <f>IF(S2621=0,0,$V$2592*$H$26*$R$2592)</f>
        <v>0</v>
      </c>
      <c r="W2621">
        <f>(0.6*T2621+0.7*U2621)*$R$2592/2</f>
        <v>0</v>
      </c>
      <c r="X2621">
        <f>(0.6*T2621+0.6*V2621)*$R$2592/2</f>
        <v>0</v>
      </c>
      <c r="Z2621">
        <f>IF(S2621=0,0,$AD$2592*$AP$2581)</f>
        <v>0</v>
      </c>
      <c r="AA2621">
        <f>IFERROR(Z2621/$R$2592,0)</f>
        <v>0</v>
      </c>
      <c r="AB2621">
        <f>Z2621*($F$21+IF($F$21=0,0,($C$14+$C$15+IF($C$13="single",1.5,3)+3)/12))</f>
        <v>0</v>
      </c>
      <c r="AC2621">
        <f>AB2621-W2621</f>
        <v>0</v>
      </c>
      <c r="AD2621" cm="1">
        <f t="array" ref="AD2621">IFERROR(IF(AC2621&lt;0,0,AC2621/($R$2592-INDEX(hd_off,MATCH(AQ2621,hd_mark,0),0)/12)),0)</f>
        <v>0</v>
      </c>
      <c r="AE2621">
        <f>IF(S2621=0,0,$AD$2592*$AM$2581)</f>
        <v>0</v>
      </c>
      <c r="AF2621">
        <f>IFERROR(AE2621/$R$2592,0)</f>
        <v>0</v>
      </c>
      <c r="AG2621">
        <f>AE2621*($F$21+IF($F$21=0,0,($C$14+$C$15+IF($C$13="single",1.5,3)+3)/12))</f>
        <v>0</v>
      </c>
      <c r="AH2621">
        <f>AG2621-X2621</f>
        <v>0</v>
      </c>
      <c r="AI2621" cm="1">
        <f t="array" ref="AI2621">IFERROR(IF(AH2621&lt;0,0,AH2621/($R$2592-INDEX(hd_off,MATCH(AQ2621,hd_mark,0),0)/12)),0)</f>
        <v>0</v>
      </c>
      <c r="AJ2621">
        <f>MAX($F$21,$Y$2592)/$Q$2612</f>
        <v>0.30172413793103448</v>
      </c>
      <c r="AK2621">
        <f>IF(AJ2621=0,0,IF(AJ2621&gt;2,1.25-0.125*AJ2621,1))</f>
        <v>1</v>
      </c>
      <c r="AL2621" cm="1">
        <f t="array" ref="AL2621">IFERROR(INDEX(sheath_ecap_asd,MATCH(AP2621,sheath_mark,0),0)*AK2621,0)</f>
        <v>0</v>
      </c>
      <c r="AM2621" cm="1">
        <f t="array" ref="AM2621">IFERROR(INDEX(sheath_wcap_asd,MATCH(AP2621,sheath_mark,0),0)*AK2621,0)</f>
        <v>0</v>
      </c>
      <c r="AN2621" cm="1">
        <f t="array" ref="AN2621">IFERROR(INDEX(hd_cap,MATCH(AQ2621,hd_mark,0),0),0)</f>
        <v>0</v>
      </c>
      <c r="AP2621" s="19"/>
      <c r="AQ2621" s="19"/>
      <c r="AR2621" s="100"/>
      <c r="AS2621" s="93"/>
      <c r="AT2621" s="110" t="str">
        <f>$AT$2592</f>
        <v>1.03</v>
      </c>
      <c r="AU2621" t="str">
        <f>$Q$2581</f>
        <v>L2</v>
      </c>
      <c r="AV2621">
        <f>$E$21</f>
        <v>10.6875</v>
      </c>
      <c r="AW2621" cm="1">
        <f t="array" ref="AW2621">IFERROR(IF(AV2621=0,0,(INDEX($C$33:$C$38,MATCH($AZ$2592,$B$33:$B$38,0),0)*(AV2625+$BA$2592)+$AW$2592*COUNTIF(AV2621:AV2624,"&gt;0")*$C$32+$AY$2592*$C$31)*$AU$2592),0)</f>
        <v>0</v>
      </c>
      <c r="AX2621">
        <f>IF(AV2621=0,0,-(COUNTIF(AV2621:AV2624,"&gt;0")*$AW$2592*$C$32+$AY$2592*$C$31)*$H$27*$AU$2592)</f>
        <v>0</v>
      </c>
      <c r="AY2621">
        <f>IF(AV2621=0,0,$AY$2592*$H$26*$AU$2592)</f>
        <v>0</v>
      </c>
      <c r="AZ2621">
        <f>(0.6*AW2621+0.7*AX2621)*$AU$2592/2</f>
        <v>0</v>
      </c>
      <c r="BA2621">
        <f>(0.6*AW2621+0.6*AY2621)*$AU$2592/2</f>
        <v>0</v>
      </c>
      <c r="BC2621">
        <f>IF(AV2621=0,0,$BG$2592*$AP$2581)</f>
        <v>0</v>
      </c>
      <c r="BD2621">
        <f>IFERROR(BC2621/$AU$2592,0)</f>
        <v>0</v>
      </c>
      <c r="BE2621">
        <f>BC2621*($F$21+IF($F$21=0,0,($C$14+$C$15+IF($C$13="single",1.5,3)+3)/12))</f>
        <v>0</v>
      </c>
      <c r="BF2621">
        <f>BE2621-AZ2621</f>
        <v>0</v>
      </c>
      <c r="BG2621" cm="1">
        <f t="array" ref="BG2621">IFERROR(IF(BF2621&lt;0,0,BF2621/($AU$2592-INDEX(hd_off,MATCH(BT2621,hd_mark,0),0)/12)),0)</f>
        <v>0</v>
      </c>
      <c r="BH2621">
        <f>IF(AV2621=0,0,$BG$2592*$AM$2581)</f>
        <v>0</v>
      </c>
      <c r="BI2621">
        <f>IFERROR(BH2621/$AU$2592,0)</f>
        <v>0</v>
      </c>
      <c r="BJ2621">
        <f>BH2621*($F$21+IF($F$21=0,0,($C$14+$C$15+IF($C$13="single",1.5,3)+3)/12))</f>
        <v>0</v>
      </c>
      <c r="BK2621">
        <f>BJ2621-BA2621</f>
        <v>0</v>
      </c>
      <c r="BL2621" cm="1">
        <f t="array" ref="BL2621">IFERROR(IF(BK2621&lt;0,0,BK2621/($AU$2592-INDEX(hd_off,MATCH(BT2621,hd_mark,0),0)/12)),0)</f>
        <v>0</v>
      </c>
      <c r="BM2621">
        <f>MAX($F$21,$BB$2592)/$Q$2612</f>
        <v>0.30172413793103448</v>
      </c>
      <c r="BN2621">
        <f>IF(BM2621=0,0,IF(BM2621&gt;2,1.25-0.125*BM2621,1))</f>
        <v>1</v>
      </c>
      <c r="BO2621" cm="1">
        <f t="array" ref="BO2621">IFERROR(INDEX(sheath_ecap_asd,MATCH(BS2621,sheath_mark,0),0)*BN2621,0)</f>
        <v>0</v>
      </c>
      <c r="BP2621" cm="1">
        <f t="array" ref="BP2621">IFERROR(INDEX(sheath_wcap_asd,MATCH(BS2621,sheath_mark,0),0)*BN2621,0)</f>
        <v>0</v>
      </c>
      <c r="BQ2621" cm="1">
        <f t="array" ref="BQ2621">IFERROR(INDEX(hd_cap,MATCH(BT2621,hd_mark,0),0),0)</f>
        <v>0</v>
      </c>
      <c r="BS2621" s="19"/>
      <c r="BT2621" s="19"/>
      <c r="BU2621" s="100"/>
    </row>
    <row r="2622" x14ac:dyDescent="0.25">
      <c r="B2622" t="s">
        <v>469</v>
      </c>
      <c r="C2622" s="19"/>
      <c r="D2622" s="19"/>
      <c r="E2622">
        <f t="shared" si="1623"/>
        <v>0</v>
      </c>
      <c r="H2622">
        <v>21</v>
      </c>
      <c r="I2622" s="19"/>
      <c r="J2622" s="19"/>
      <c r="K2622">
        <f t="shared" si="1624"/>
        <v>0</v>
      </c>
      <c r="P2622" s="93"/>
      <c r="Q2622" s="109"/>
      <c r="R2622" t="str">
        <f>$Q$2582</f>
        <v>L3</v>
      </c>
      <c r="S2622">
        <f>$E$22</f>
        <v>21.375</v>
      </c>
      <c r="T2622" cm="1">
        <f t="array" ref="T2622">IFERROR(IF(S2622=0,0,(INDEX($C$33:$C$38,MATCH($W$2592,$B$33:$B$38,0),0)*(S2625+$X$2592)+$T$2592*COUNTIF(S2622:S2624,"&gt;0")*$C$32+$V$2592*$C$31)*$R$2592),0)</f>
        <v>0</v>
      </c>
      <c r="U2622">
        <f>IF(S2622=0,0,-(COUNTIF(S2622:S2624,"&gt;0")*$T$2592*$C$32+$V$2592*$C$31)*$H$27*$R$2592)</f>
        <v>0</v>
      </c>
      <c r="V2622">
        <f>IF(S2622=0,0,$V$2592*$H$26*$R$2592)</f>
        <v>0</v>
      </c>
      <c r="W2622">
        <f>(0.6*T2622+0.7*U2622)*$R$2592/2</f>
        <v>0</v>
      </c>
      <c r="X2622">
        <f>T2622*$R$2592/2</f>
        <v>0</v>
      </c>
      <c r="Z2622">
        <f>IF(S2622=0,0,$AD$2592*$AP$2582)</f>
        <v>0</v>
      </c>
      <c r="AA2622">
        <f>IFERROR(Z2622/$R$2592,0)</f>
        <v>0</v>
      </c>
      <c r="AB2622">
        <f>Z2622*($F$22+IF($F$22=0,0,($C$14+$C$15+IF($C$13="single",1.5,3)+3)/12))</f>
        <v>0</v>
      </c>
      <c r="AC2622">
        <f>AB2622-W2622</f>
        <v>0</v>
      </c>
      <c r="AD2622" cm="1">
        <f t="array" ref="AD2622">IFERROR(IF(AC2622&lt;0,0,AC2622/($R$2592-INDEX(hd_off,MATCH(AQ2622,hd_mark,0),0)/12)),0)</f>
        <v>0</v>
      </c>
      <c r="AE2622">
        <f>IF(S2622=0,0,$AD$2592*$AM$2582)</f>
        <v>0</v>
      </c>
      <c r="AF2622">
        <f>IFERROR(AE2622/$R$2592,0)</f>
        <v>0</v>
      </c>
      <c r="AG2622">
        <f>AE2622*($F$22+IF($F$22=0,0,($C$14+$C$15+IF($C$13="single",1.5,3)+3)/12))</f>
        <v>0</v>
      </c>
      <c r="AH2622">
        <f>AG2622-X2622</f>
        <v>0</v>
      </c>
      <c r="AI2622" cm="1">
        <f t="array" ref="AI2622">IFERROR(IF(AH2622&lt;0,0,AH2622/($R$2592-INDEX(hd_off,MATCH(AQ2622,hd_mark,0),0)/12)),0)</f>
        <v>0</v>
      </c>
      <c r="AJ2622">
        <f>MAX($F$22,$Z$2592)/$Q$2612</f>
        <v>0.30172413793103448</v>
      </c>
      <c r="AK2622">
        <f t="shared" ref="AK2622:AK2625" si="1630">IF(AJ2622=0,0,IF(AJ2622&gt;2,1.25-0.125*AJ2622,1))</f>
        <v>1</v>
      </c>
      <c r="AL2622" cm="1">
        <f t="array" ref="AL2622">IFERROR(INDEX(sheath_ecap_asd,MATCH(AP2622,sheath_mark,0),0)*AK2622,0)</f>
        <v>0</v>
      </c>
      <c r="AM2622" cm="1">
        <f t="array" ref="AM2622">IFERROR(INDEX(sheath_wcap_asd,MATCH(AP2622,sheath_mark,0),0)*AK2622,0)</f>
        <v>0</v>
      </c>
      <c r="AN2622" cm="1">
        <f t="array" ref="AN2622">IFERROR(INDEX(hd_cap,MATCH(AQ2622,hd_mark,0),0),0)</f>
        <v>0</v>
      </c>
      <c r="AP2622" s="19"/>
      <c r="AQ2622" s="19"/>
      <c r="AR2622" s="100"/>
      <c r="AS2622" s="93"/>
      <c r="AT2622" s="109"/>
      <c r="AU2622" t="str">
        <f>$Q$2582</f>
        <v>L3</v>
      </c>
      <c r="AV2622">
        <f>$E$22</f>
        <v>21.375</v>
      </c>
      <c r="AW2622" cm="1">
        <f t="array" ref="AW2622">IFERROR(IF(AV2622=0,0,(INDEX($C$33:$C$38,MATCH($AZ$2592,$B$33:$B$38,0),0)*(AV2625+$BA$2592)+$AW$2592*COUNTIF(AV2622:AV2624,"&gt;0")*$C$32+$AY$2592*$C$31)*$AU$2592),0)</f>
        <v>0</v>
      </c>
      <c r="AX2622">
        <f>IF(AV2622=0,0,-(COUNTIF(AV2622:AV2624,"&gt;0")*$AW$2592*$C$32+$AY$2592*$C$31)*$H$27*$AU$2592)</f>
        <v>0</v>
      </c>
      <c r="AY2622">
        <f>IF(AV2622=0,0,$AY$2592*$H$26*$AU$2592)</f>
        <v>0</v>
      </c>
      <c r="AZ2622">
        <f>(0.6*AW2622+0.7*AX2622)*$AU$2592/2</f>
        <v>0</v>
      </c>
      <c r="BA2622">
        <f>AW2622*$AU$2592/2</f>
        <v>0</v>
      </c>
      <c r="BC2622">
        <f>IF(AV2622=0,0,$BG$2592*$AP$2582)</f>
        <v>0</v>
      </c>
      <c r="BD2622">
        <f>IFERROR(BC2622/$AU$2592,0)</f>
        <v>0</v>
      </c>
      <c r="BE2622">
        <f>BC2622*($F$22+IF($F$22=0,0,($C$14+$C$15+IF($C$13="single",1.5,3)+3)/12))</f>
        <v>0</v>
      </c>
      <c r="BF2622">
        <f>BE2622-AZ2622</f>
        <v>0</v>
      </c>
      <c r="BG2622" cm="1">
        <f t="array" ref="BG2622">IFERROR(IF(BF2622&lt;0,0,BF2622/($AU$2592-INDEX(hd_off,MATCH(BT2622,hd_mark,0),0)/12)),0)</f>
        <v>0</v>
      </c>
      <c r="BH2622">
        <f>IF(AV2622=0,0,$BG$2592*$AM$2582)</f>
        <v>0</v>
      </c>
      <c r="BI2622">
        <f>IFERROR(BH2622/$AU$2592,0)</f>
        <v>0</v>
      </c>
      <c r="BJ2622">
        <f>BH2622*($F$22+IF($F$22=0,0,($C$14+$C$15+IF($C$13="single",1.5,3)+3)/12))</f>
        <v>0</v>
      </c>
      <c r="BK2622">
        <f>BJ2622-BA2622</f>
        <v>0</v>
      </c>
      <c r="BL2622" cm="1">
        <f t="array" ref="BL2622">IFERROR(IF(BK2622&lt;0,0,BK2622/($AU$2592-INDEX(hd_off,MATCH(BT2622,hd_mark,0),0)/12)),0)</f>
        <v>0</v>
      </c>
      <c r="BM2622">
        <f>MAX($F$22,$BC$2592)/$Q$2612</f>
        <v>0.30172413793103448</v>
      </c>
      <c r="BN2622">
        <f t="shared" ref="BN2622:BN2625" si="1631">IF(BM2622=0,0,IF(BM2622&gt;2,1.25-0.125*BM2622,1))</f>
        <v>1</v>
      </c>
      <c r="BO2622" cm="1">
        <f t="array" ref="BO2622">IFERROR(INDEX(sheath_ecap_asd,MATCH(BS2622,sheath_mark,0),0)*BN2622,0)</f>
        <v>0</v>
      </c>
      <c r="BP2622" cm="1">
        <f t="array" ref="BP2622">IFERROR(INDEX(sheath_wcap_asd,MATCH(BS2622,sheath_mark,0),0)*BN2622,0)</f>
        <v>0</v>
      </c>
      <c r="BQ2622" cm="1">
        <f t="array" ref="BQ2622">IFERROR(INDEX(hd_cap,MATCH(BT2622,hd_mark,0),0),0)</f>
        <v>0</v>
      </c>
      <c r="BS2622" s="19"/>
      <c r="BT2622" s="19"/>
      <c r="BU2622" s="100"/>
    </row>
    <row r="2623" x14ac:dyDescent="0.25">
      <c r="B2623" t="s">
        <v>285</v>
      </c>
      <c r="C2623" s="19"/>
      <c r="D2623" s="19"/>
      <c r="E2623">
        <f t="shared" si="1623"/>
        <v>0</v>
      </c>
      <c r="H2623">
        <v>22</v>
      </c>
      <c r="I2623" s="19"/>
      <c r="J2623" s="19"/>
      <c r="K2623">
        <f t="shared" si="1624"/>
        <v>0</v>
      </c>
      <c r="P2623" s="93"/>
      <c r="Q2623" s="109" t="s">
        <v>491</v>
      </c>
      <c r="R2623" t="str">
        <f>$Q$2583</f>
        <v>L4</v>
      </c>
      <c r="S2623">
        <f>$E$23</f>
        <v>0</v>
      </c>
      <c r="T2623" cm="1">
        <f t="array" ref="T2623">IFERROR(IF(S2623=0,0,(INDEX($C$33:$C$38,MATCH($W$2592,$B$33:$B$38,0),0)*(S2625+$X$2592)+$T$2592*COUNTIF(S2623:S2624,"&gt;0")*$C$32+$V$2592*$C$31)*$R$2592),0)</f>
        <v>0</v>
      </c>
      <c r="U2623">
        <f>IF(S2623=0,0,-(COUNTIF(S2623:S2624,"&gt;0")*$T$2592*$C$32+$V$2592*$C$31)*$H$27*$R$2592)</f>
        <v>0</v>
      </c>
      <c r="V2623">
        <f>IF(S2623=0,0,$V$2592*$H$26*$R$2592)</f>
        <v>0</v>
      </c>
      <c r="W2623">
        <f>(0.6*T2623+0.7*U2623)*$R$2592/2</f>
        <v>0</v>
      </c>
      <c r="X2623">
        <f>T2623*$R$2592/2</f>
        <v>0</v>
      </c>
      <c r="Z2623">
        <f>IF(S2623=0,0,$AD$2592*$AP$2583)</f>
        <v>0</v>
      </c>
      <c r="AA2623">
        <f>IFERROR(Z2623/$R$2592,0)</f>
        <v>0</v>
      </c>
      <c r="AB2623">
        <f>Z2623*($F$23+IF($F$23=0,0,($C$14+$C$15+IF($C$13="single",1.5,3)+3)/12))</f>
        <v>0</v>
      </c>
      <c r="AC2623">
        <f>AB2623-W2623</f>
        <v>0</v>
      </c>
      <c r="AD2623" cm="1">
        <f t="array" ref="AD2623">IFERROR(IF(AC2623&lt;0,0,AC2623/($R$2592-INDEX(hd_off,MATCH(AQ2623,hd_mark,0),0)/12)),0)</f>
        <v>0</v>
      </c>
      <c r="AE2623">
        <f>IF(S2623=0,0,$AD$2592*$AM$2583)</f>
        <v>0</v>
      </c>
      <c r="AF2623">
        <f>IFERROR(AE2623/$R$2592,0)</f>
        <v>0</v>
      </c>
      <c r="AG2623">
        <f>AE2623*($F$23+IF($F$23=0,0,($C$14+$C$15+IF($C$13="single",1.5,3)+3)/12))</f>
        <v>0</v>
      </c>
      <c r="AH2623">
        <f>AG2623-X2623</f>
        <v>0</v>
      </c>
      <c r="AI2623" cm="1">
        <f t="array" ref="AI2623">IFERROR(IF(AH2623&lt;0,0,AH2623/($R$2592-INDEX(hd_off,MATCH(AQ2623,hd_mark,0),0)/12)),0)</f>
        <v>0</v>
      </c>
      <c r="AJ2623">
        <f>MAX($F$23,$AA$2592)/$Q$2612</f>
        <v>0</v>
      </c>
      <c r="AK2623">
        <f t="shared" si="1630"/>
        <v>0</v>
      </c>
      <c r="AL2623" cm="1">
        <f t="array" ref="AL2623">IFERROR(INDEX(sheath_ecap_asd,MATCH(AP2623,sheath_mark,0),0)*AK2623,0)</f>
        <v>0</v>
      </c>
      <c r="AM2623" cm="1">
        <f t="array" ref="AM2623">IFERROR(INDEX(sheath_wcap_asd,MATCH(AP2623,sheath_mark,0),0)*AK2623,0)</f>
        <v>0</v>
      </c>
      <c r="AN2623" cm="1">
        <f t="array" ref="AN2623">IFERROR(INDEX(hd_cap,MATCH(AQ2623,hd_mark,0),0),0)</f>
        <v>0</v>
      </c>
      <c r="AP2623" s="19"/>
      <c r="AQ2623" s="19"/>
      <c r="AR2623" s="100"/>
      <c r="AS2623" s="93"/>
      <c r="AT2623" s="109" t="s">
        <v>491</v>
      </c>
      <c r="AU2623" t="str">
        <f>$Q$2583</f>
        <v>L4</v>
      </c>
      <c r="AV2623">
        <f>$E$23</f>
        <v>0</v>
      </c>
      <c r="AW2623" cm="1">
        <f t="array" ref="AW2623">IFERROR(IF(AV2623=0,0,(INDEX($C$33:$C$38,MATCH($AZ$2592,$B$33:$B$38,0),0)*(AV2625+$BA$2592)+$AW$2592*COUNTIF(AV2623:AV2624,"&gt;0")*$C$32+$AY$2592*$C$31)*$AU$2592),0)</f>
        <v>0</v>
      </c>
      <c r="AX2623">
        <f>IF(AV2623=0,0,-(COUNTIF(AV2623:AV2624,"&gt;0")*$AW$2592*$C$32+$AY$2592*$C$31)*$H$27*$AU$2592)</f>
        <v>0</v>
      </c>
      <c r="AY2623">
        <f>IF(AV2623=0,0,$AY$2592*$H$26*$AU$2592)</f>
        <v>0</v>
      </c>
      <c r="AZ2623">
        <f>(0.6*AW2623+0.7*AX2623)*$AU$2592/2</f>
        <v>0</v>
      </c>
      <c r="BA2623">
        <f>AW2623*$AU$2592/2</f>
        <v>0</v>
      </c>
      <c r="BC2623">
        <f>IF(AV2623=0,0,$BG$2592*$AP$2583)</f>
        <v>0</v>
      </c>
      <c r="BD2623">
        <f>IFERROR(BC2623/$AU$2592,0)</f>
        <v>0</v>
      </c>
      <c r="BE2623">
        <f>BC2623*($F$23+IF($F$23=0,0,($C$14+$C$15+IF($C$13="single",1.5,3)+3)/12))</f>
        <v>0</v>
      </c>
      <c r="BF2623">
        <f>BE2623-AZ2623</f>
        <v>0</v>
      </c>
      <c r="BG2623" cm="1">
        <f t="array" ref="BG2623">IFERROR(IF(BF2623&lt;0,0,BF2623/($AU$2592-INDEX(hd_off,MATCH(BT2623,hd_mark,0),0)/12)),0)</f>
        <v>0</v>
      </c>
      <c r="BH2623">
        <f>IF(AV2623=0,0,$BG$2592*$AM$2583)</f>
        <v>0</v>
      </c>
      <c r="BI2623">
        <f>IFERROR(BH2623/$AU$2592,0)</f>
        <v>0</v>
      </c>
      <c r="BJ2623">
        <f>BH2623*($F$23+IF($F$23=0,0,($C$14+$C$15+IF($C$13="single",1.5,3)+3)/12))</f>
        <v>0</v>
      </c>
      <c r="BK2623">
        <f>BJ2623-BA2623</f>
        <v>0</v>
      </c>
      <c r="BL2623" cm="1">
        <f t="array" ref="BL2623">IFERROR(IF(BK2623&lt;0,0,BK2623/($AU$2592-INDEX(hd_off,MATCH(BT2623,hd_mark,0),0)/12)),0)</f>
        <v>0</v>
      </c>
      <c r="BM2623">
        <f>MAX($F$23,$BD$2592)/$Q$2612</f>
        <v>0</v>
      </c>
      <c r="BN2623">
        <f t="shared" si="1631"/>
        <v>0</v>
      </c>
      <c r="BO2623" cm="1">
        <f t="array" ref="BO2623">IFERROR(INDEX(sheath_ecap_asd,MATCH(BS2623,sheath_mark,0),0)*BN2623,0)</f>
        <v>0</v>
      </c>
      <c r="BP2623" cm="1">
        <f t="array" ref="BP2623">IFERROR(INDEX(sheath_wcap_asd,MATCH(BS2623,sheath_mark,0),0)*BN2623,0)</f>
        <v>0</v>
      </c>
      <c r="BQ2623" cm="1">
        <f t="array" ref="BQ2623">IFERROR(INDEX(hd_cap,MATCH(BT2623,hd_mark,0),0),0)</f>
        <v>0</v>
      </c>
      <c r="BS2623" s="19"/>
      <c r="BT2623" s="19"/>
      <c r="BU2623" s="100"/>
    </row>
    <row r="2624" x14ac:dyDescent="0.25">
      <c r="B2624" t="s">
        <v>470</v>
      </c>
      <c r="C2624" s="19"/>
      <c r="D2624" s="19"/>
      <c r="E2624">
        <f t="shared" si="1623"/>
        <v>0</v>
      </c>
      <c r="H2624">
        <v>23</v>
      </c>
      <c r="I2624" s="19"/>
      <c r="J2624" s="19"/>
      <c r="K2624">
        <f t="shared" si="1624"/>
        <v>0</v>
      </c>
      <c r="P2624" s="93"/>
      <c r="Q2624" s="111">
        <f>$R$2592</f>
        <v>0</v>
      </c>
      <c r="R2624" t="str">
        <f>$Q$2584</f>
        <v>L5</v>
      </c>
      <c r="S2624">
        <f>$E$24</f>
        <v>0</v>
      </c>
      <c r="T2624" cm="1">
        <f t="array" ref="T2624">IFERROR(IF(S2624=0,0,(INDEX($C$33:$C$38,MATCH($W$2592,$B$33:$B$38,0),0)*(S2625+$X$2592)+$T$2592*COUNTIF(S2624:S2624,"&gt;0")*$C$32+$V$2592*$C$31)*$R$2592),0)</f>
        <v>0</v>
      </c>
      <c r="U2624">
        <f>IF(S2624=0,0,-(COUNTIF(S2624:S2624,"&gt;0")*$T$2592*$C$32+$V$2592*$C$31)*$H$27*$R$2592)</f>
        <v>0</v>
      </c>
      <c r="V2624">
        <f>IF(S2624=0,0,$V$2592*$H$26*$R$2592)</f>
        <v>0</v>
      </c>
      <c r="W2624">
        <f>(0.6*T2624+0.7*U2624)*$R$2592/2</f>
        <v>0</v>
      </c>
      <c r="X2624">
        <f>T2624*$R$2592/2</f>
        <v>0</v>
      </c>
      <c r="Z2624">
        <f>IF(S2624=0,0,$AD$2592*$AP$2584)</f>
        <v>0</v>
      </c>
      <c r="AA2624">
        <f>IFERROR(Z2624/$R$2592,0)</f>
        <v>0</v>
      </c>
      <c r="AB2624">
        <f>Z2624*($F$24+IF($F$24=0,0,($C$14+$C$15+IF($C$13="single",1.5,3)+3)/12))</f>
        <v>0</v>
      </c>
      <c r="AC2624">
        <f>AB2624-W2624</f>
        <v>0</v>
      </c>
      <c r="AD2624" cm="1">
        <f t="array" ref="AD2624">IFERROR(IF(AC2624&lt;0,0,AC2624/($R$2592-INDEX(hd_off,MATCH(AQ2624,hd_mark,0),0)/12)),0)</f>
        <v>0</v>
      </c>
      <c r="AE2624">
        <f>IF(S2624=0,0,$AD$2592*$AM$2584)</f>
        <v>0</v>
      </c>
      <c r="AF2624">
        <f>IFERROR(AE2624/$R$2592,0)</f>
        <v>0</v>
      </c>
      <c r="AG2624">
        <f>AE2624*($F$24+IF($F$24=0,0,($C$14+$C$15+IF($C$13="single",1.5,3)+3)/12))</f>
        <v>0</v>
      </c>
      <c r="AH2624">
        <f>AG2624-X2624</f>
        <v>0</v>
      </c>
      <c r="AI2624" cm="1">
        <f t="array" ref="AI2624">IFERROR(IF(AH2624&lt;0,0,AH2624/($R$2592-INDEX(hd_off,MATCH(AQ2624,hd_mark,0),0)/12)),0)</f>
        <v>0</v>
      </c>
      <c r="AJ2624">
        <f>MAX($F$24,$AB$2592)/$Q$2612</f>
        <v>0</v>
      </c>
      <c r="AK2624">
        <f t="shared" si="1630"/>
        <v>0</v>
      </c>
      <c r="AL2624" cm="1">
        <f t="array" ref="AL2624">IFERROR(INDEX(sheath_ecap_asd,MATCH(AP2624,sheath_mark,0),0)*AK2624,0)</f>
        <v>0</v>
      </c>
      <c r="AM2624" cm="1">
        <f t="array" ref="AM2624">IFERROR(INDEX(sheath_wcap_asd,MATCH(AP2624,sheath_mark,0),0)*AK2624,0)</f>
        <v>0</v>
      </c>
      <c r="AN2624" cm="1">
        <f t="array" ref="AN2624">IFERROR(INDEX(hd_cap,MATCH(AQ2624,hd_mark,0),0),0)</f>
        <v>0</v>
      </c>
      <c r="AP2624" s="19"/>
      <c r="AQ2624" s="19"/>
      <c r="AR2624" s="100"/>
      <c r="AS2624" s="93"/>
      <c r="AT2624" s="111">
        <f>$R$2592</f>
        <v>0</v>
      </c>
      <c r="AU2624" t="str">
        <f>$Q$2584</f>
        <v>L5</v>
      </c>
      <c r="AV2624">
        <f>$E$24</f>
        <v>0</v>
      </c>
      <c r="AW2624" cm="1">
        <f t="array" ref="AW2624">IFERROR(IF(AV2624=0,0,(INDEX($C$33:$C$38,MATCH($AZ$2592,$B$33:$B$38,0),0)*(AV2625+$BA$2592)+$AW$2592*COUNTIF(AV2624:AV2624,"&gt;0")*$C$32+$AY$2592*$C$31)*$AU$2592),0)</f>
        <v>0</v>
      </c>
      <c r="AX2624">
        <f>IF(AV2624=0,0,-(COUNTIF(AV2624:AV2624,"&gt;0")*$AW$2592*$C$32+$AY$2592*$C$31)*$H$27*$AU$2592)</f>
        <v>0</v>
      </c>
      <c r="AY2624">
        <f>IF(AV2624=0,0,$AY$2592*$H$26*$AU$2592)</f>
        <v>0</v>
      </c>
      <c r="AZ2624">
        <f>(0.6*AW2624+0.7*AX2624)*$AU$2592/2</f>
        <v>0</v>
      </c>
      <c r="BA2624">
        <f>AW2624*$AU$2592/2</f>
        <v>0</v>
      </c>
      <c r="BC2624">
        <f>IF(AV2624=0,0,$BG$2592*$AP$2584)</f>
        <v>0</v>
      </c>
      <c r="BD2624">
        <f>IFERROR(BC2624/$AU$2592,0)</f>
        <v>0</v>
      </c>
      <c r="BE2624">
        <f>BC2624*($F$24+IF($F$24=0,0,($C$14+$C$15+IF($C$13="single",1.5,3)+3)/12))</f>
        <v>0</v>
      </c>
      <c r="BF2624">
        <f>BE2624-AZ2624</f>
        <v>0</v>
      </c>
      <c r="BG2624" cm="1">
        <f t="array" ref="BG2624">IFERROR(IF(BF2624&lt;0,0,BF2624/($AU$2592-INDEX(hd_off,MATCH(BT2624,hd_mark,0),0)/12)),0)</f>
        <v>0</v>
      </c>
      <c r="BH2624">
        <f>IF(AV2624=0,0,$BG$2592*$AM$2584)</f>
        <v>0</v>
      </c>
      <c r="BI2624">
        <f>IFERROR(BH2624/$AU$2592,0)</f>
        <v>0</v>
      </c>
      <c r="BJ2624">
        <f>BH2624*($F$24+IF($F$24=0,0,($C$14+$C$15+IF($C$13="single",1.5,3)+3)/12))</f>
        <v>0</v>
      </c>
      <c r="BK2624">
        <f>BJ2624-BA2624</f>
        <v>0</v>
      </c>
      <c r="BL2624" cm="1">
        <f t="array" ref="BL2624">IFERROR(IF(BK2624&lt;0,0,BK2624/($AU$2592-INDEX(hd_off,MATCH(BT2624,hd_mark,0),0)/12)),0)</f>
        <v>0</v>
      </c>
      <c r="BM2624">
        <f>MAX($F$24,$BE$2592)/$Q$2612</f>
        <v>0</v>
      </c>
      <c r="BN2624">
        <f t="shared" si="1631"/>
        <v>0</v>
      </c>
      <c r="BO2624" cm="1">
        <f t="array" ref="BO2624">IFERROR(INDEX(sheath_ecap_asd,MATCH(BS2624,sheath_mark,0),0)*BN2624,0)</f>
        <v>0</v>
      </c>
      <c r="BP2624" cm="1">
        <f t="array" ref="BP2624">IFERROR(INDEX(sheath_wcap_asd,MATCH(BS2624,sheath_mark,0),0)*BN2624,0)</f>
        <v>0</v>
      </c>
      <c r="BQ2624" cm="1">
        <f t="array" ref="BQ2624">IFERROR(INDEX(hd_cap,MATCH(BT2624,hd_mark,0),0),0)</f>
        <v>0</v>
      </c>
      <c r="BS2624" s="19"/>
      <c r="BT2624" s="19"/>
      <c r="BU2624" s="100"/>
    </row>
    <row r="2625" x14ac:dyDescent="0.25">
      <c r="B2625" t="s">
        <v>471</v>
      </c>
      <c r="C2625" s="19"/>
      <c r="D2625" s="19"/>
      <c r="E2625">
        <f t="shared" si="1623"/>
        <v>0</v>
      </c>
      <c r="H2625">
        <v>24</v>
      </c>
      <c r="I2625" s="19"/>
      <c r="J2625" s="19"/>
      <c r="K2625">
        <f t="shared" si="1624"/>
        <v>0</v>
      </c>
      <c r="P2625" s="93"/>
      <c r="Q2625" s="109"/>
      <c r="R2625" t="str">
        <f>$Q$2585</f>
        <v>Roof</v>
      </c>
      <c r="S2625">
        <f>$E$25</f>
        <v>33.171875</v>
      </c>
      <c r="T2625" cm="1">
        <f t="array" ref="T2625">IFERROR(IF(S2625=0,0,(INDEX($C$33:$C$38,MATCH($W$2592,$B$33:$B$38,0),0)*(S2625+$X$2592)+$V$2592*$C$31)*$R$2592),0)</f>
        <v>0</v>
      </c>
      <c r="U2625">
        <f>IF(S2625=0,0,-$V$2592*$C$31*$H$27*$R$2592)</f>
        <v>0</v>
      </c>
      <c r="V2625">
        <f>IF(S2625=0,0,$V$2592*$H$26*$R$2592)</f>
        <v>0</v>
      </c>
      <c r="W2625">
        <f>(0.6*T2625+0.7*U2625)*$R$2592/2</f>
        <v>0</v>
      </c>
      <c r="X2625">
        <f>T2625*$R$2592/2</f>
        <v>0</v>
      </c>
      <c r="Z2625">
        <f>IF(S2625=0,0,$AD$2592*$AP$2585)</f>
        <v>0</v>
      </c>
      <c r="AA2625">
        <f>IFERROR(Z2625/$R$2592,0)</f>
        <v>0</v>
      </c>
      <c r="AB2625">
        <f>Z2625*($F$25+($C$16+$C$17+IF($C$13="single",1.5,3)+3)/12)</f>
        <v>0</v>
      </c>
      <c r="AC2625">
        <f>AB2625-W2625</f>
        <v>0</v>
      </c>
      <c r="AD2625" cm="1">
        <f t="array" ref="AD2625">IFERROR(IF(AC2625&lt;0,0,AC2625/($R$2592-INDEX(hd_off,MATCH(AQ2625,hd_mark,0),0)/12)),0)</f>
        <v>0</v>
      </c>
      <c r="AE2625">
        <f>IF(S2625=0,0,$AD$2592*$AM$2585)</f>
        <v>0</v>
      </c>
      <c r="AF2625">
        <f>IFERROR(AE2625/$R$2592,0)</f>
        <v>0</v>
      </c>
      <c r="AG2625">
        <f>AE2625*($F$25+($C$16+$C$17+IF($C$13="single",1.5,3)+3)/12)</f>
        <v>0</v>
      </c>
      <c r="AH2625">
        <f>AG2625-X2625</f>
        <v>0</v>
      </c>
      <c r="AI2625" cm="1">
        <f t="array" ref="AI2625">IFERROR(IF(AH2625&lt;0,0,AH2625/($R$2592-INDEX(hd_off,MATCH(AQ2625,hd_mark,0),0)/12)),0)</f>
        <v>0</v>
      </c>
      <c r="AJ2625">
        <f>MAX($F$25,$AC$2592)/$Q$2612</f>
        <v>0.29920977011494249</v>
      </c>
      <c r="AK2625">
        <f t="shared" si="1630"/>
        <v>1</v>
      </c>
      <c r="AL2625" cm="1">
        <f t="array" ref="AL2625">IFERROR(INDEX(sheath_ecap_asd,MATCH(AP2625,sheath_mark,0),0)*AK2625,0)</f>
        <v>0</v>
      </c>
      <c r="AM2625" cm="1">
        <f t="array" ref="AM2625">IFERROR(INDEX(sheath_wcap_asd,MATCH(AP2625,sheath_mark,0),0)*AK2625,0)</f>
        <v>0</v>
      </c>
      <c r="AN2625" cm="1">
        <f t="array" ref="AN2625">IFERROR(INDEX(hd_cap,MATCH(AQ2625,hd_mark,0),0),0)</f>
        <v>0</v>
      </c>
      <c r="AP2625" s="19"/>
      <c r="AQ2625" s="19"/>
      <c r="AR2625" s="100"/>
      <c r="AS2625" s="93"/>
      <c r="AT2625" s="109"/>
      <c r="AU2625" t="str">
        <f>$Q$2585</f>
        <v>Roof</v>
      </c>
      <c r="AV2625">
        <f>$E$25</f>
        <v>33.171875</v>
      </c>
      <c r="AW2625" cm="1">
        <f t="array" ref="AW2625">IFERROR(IF(AV2625=0,0,(INDEX($C$33:$C$38,MATCH($AZ$2592,$B$33:$B$38,0),0)*(AV2625+$BA$2592)+$AY$2592*$C$31)*$AU$2592),0)</f>
        <v>0</v>
      </c>
      <c r="AX2625">
        <f>IF(AV2625=0,0,-$AY$2592*$C$31*$H$27*$AU$2592)</f>
        <v>0</v>
      </c>
      <c r="AY2625">
        <f>IF(AV2625=0,0,$AY$2592*$H$26*$AU$2592)</f>
        <v>0</v>
      </c>
      <c r="AZ2625">
        <f>(0.6*AW2625+0.7*AX2625)*$AU$2592/2</f>
        <v>0</v>
      </c>
      <c r="BA2625">
        <f>AW2625*$AU$2592/2</f>
        <v>0</v>
      </c>
      <c r="BC2625">
        <f>IF(AV2625=0,0,$BG$2592*$AP$2585)</f>
        <v>0</v>
      </c>
      <c r="BD2625">
        <f>IFERROR(BC2625/$AU$2592,0)</f>
        <v>0</v>
      </c>
      <c r="BE2625">
        <f>BC2625*($F$25+($C$16+$C$17+IF($C$13="single",1.5,3)+3)/12)</f>
        <v>0</v>
      </c>
      <c r="BF2625">
        <f>BE2625-AZ2625</f>
        <v>0</v>
      </c>
      <c r="BG2625" cm="1">
        <f t="array" ref="BG2625">IFERROR(IF(BF2625&lt;0,0,BF2625/($AU$2592-INDEX(hd_off,MATCH(BT2625,hd_mark,0),0)/12)),0)</f>
        <v>0</v>
      </c>
      <c r="BH2625">
        <f>IF(AV2625=0,0,$BG$2592*$AM$2585)</f>
        <v>0</v>
      </c>
      <c r="BI2625">
        <f>IFERROR(BH2625/$AU$2592,0)</f>
        <v>0</v>
      </c>
      <c r="BJ2625">
        <f>BH2625*($F$25+($C$16+$C$17+IF($C$13="single",1.5,3)+3)/12)</f>
        <v>0</v>
      </c>
      <c r="BK2625">
        <f>BJ2625-BA2625</f>
        <v>0</v>
      </c>
      <c r="BL2625" cm="1">
        <f t="array" ref="BL2625">IFERROR(IF(BK2625&lt;0,0,BK2625/($AU$2592-INDEX(hd_off,MATCH(BT2625,hd_mark,0),0)/12)),0)</f>
        <v>0</v>
      </c>
      <c r="BM2625">
        <f>MAX($F$25,$BF$2592)/$Q$2612</f>
        <v>0.29920977011494249</v>
      </c>
      <c r="BN2625">
        <f t="shared" si="1631"/>
        <v>1</v>
      </c>
      <c r="BO2625" cm="1">
        <f t="array" ref="BO2625">IFERROR(INDEX(sheath_ecap_asd,MATCH(BS2625,sheath_mark,0),0)*BN2625,0)</f>
        <v>0</v>
      </c>
      <c r="BP2625" cm="1">
        <f t="array" ref="BP2625">IFERROR(INDEX(sheath_wcap_asd,MATCH(BS2625,sheath_mark,0),0)*BN2625,0)</f>
        <v>0</v>
      </c>
      <c r="BQ2625" cm="1">
        <f t="array" ref="BQ2625">IFERROR(INDEX(hd_cap,MATCH(BT2625,hd_mark,0),0),0)</f>
        <v>0</v>
      </c>
      <c r="BS2625" s="19"/>
      <c r="BT2625" s="19"/>
      <c r="BU2625" s="100"/>
    </row>
    <row r="2626" x14ac:dyDescent="0.25">
      <c r="B2626" t="s">
        <v>472</v>
      </c>
      <c r="C2626" s="19"/>
      <c r="D2626" s="19"/>
      <c r="E2626">
        <f t="shared" si="1623"/>
        <v>0</v>
      </c>
      <c r="H2626">
        <v>25</v>
      </c>
      <c r="I2626" s="19"/>
      <c r="J2626" s="19"/>
      <c r="K2626">
        <f t="shared" si="1624"/>
        <v>0</v>
      </c>
      <c r="P2626" s="93"/>
      <c r="AR2626" s="100"/>
      <c r="AS2626" s="93"/>
      <c r="BU2626" s="100"/>
    </row>
    <row r="2627" x14ac:dyDescent="0.25">
      <c r="B2627" t="s">
        <v>473</v>
      </c>
      <c r="C2627" s="19"/>
      <c r="D2627" s="19"/>
      <c r="E2627">
        <f t="shared" si="1623"/>
        <v>0</v>
      </c>
      <c r="H2627">
        <v>26</v>
      </c>
      <c r="I2627" s="19"/>
      <c r="J2627" s="19"/>
      <c r="K2627">
        <f t="shared" si="1624"/>
        <v>0</v>
      </c>
      <c r="P2627" s="93"/>
      <c r="Q2627" s="110" t="str">
        <f>$Q$2593</f>
        <v>A.04</v>
      </c>
      <c r="R2627" t="str">
        <f>$Q$2581</f>
        <v>L2</v>
      </c>
      <c r="S2627">
        <f>$E$21</f>
        <v>10.6875</v>
      </c>
      <c r="T2627" cm="1">
        <f t="array" ref="T2627">IFERROR(IF(S2627=0,0,(INDEX($C$33:$C$38,MATCH($W$2593,$B$33:$B$38,0),0)*(S2631+$X$2593)+$T$2593*COUNTIF(S2627:S2630,"&gt;0")*$C$32+$V$2593*$C$31)*$R$2593),0)</f>
        <v>0</v>
      </c>
      <c r="U2627">
        <f>IF(S2627=0,0,-(COUNTIF(S2627:S2630,"&gt;0")*$T$2593*$C$32+$V$2593*$C$31)*$H$27*$R$2593)</f>
        <v>0</v>
      </c>
      <c r="V2627">
        <f>IF(S2627=0,0,$V$2593*$H$26*$R$2593)</f>
        <v>0</v>
      </c>
      <c r="W2627">
        <f>(0.6*T2627+0.7*U2627)*$R$2593/2</f>
        <v>0</v>
      </c>
      <c r="X2627">
        <f>(0.6*T2627+0.6*V2627)*$R$2593/2</f>
        <v>0</v>
      </c>
      <c r="Z2627">
        <f>IF(S2627=0,0,$AD$2593*$AP$2581)</f>
        <v>0</v>
      </c>
      <c r="AA2627">
        <f>IFERROR(Z2627/$R$2593,0)</f>
        <v>0</v>
      </c>
      <c r="AB2627">
        <f>Z2627*($F$21+IF($F$21=0,0,($C$14+$C$15+IF($C$13="single",1.5,3)+3)/12))</f>
        <v>0</v>
      </c>
      <c r="AC2627">
        <f>AB2627-W2627</f>
        <v>0</v>
      </c>
      <c r="AD2627" cm="1">
        <f t="array" ref="AD2627">IFERROR(IF(AC2627&lt;0,0,AC2627/($R$2593-INDEX(hd_off,MATCH(AQ2627,hd_mark,0),0)/12)),0)</f>
        <v>0</v>
      </c>
      <c r="AE2627">
        <f>IF(S2627=0,0,$AD$2593*$AM$2581)</f>
        <v>0</v>
      </c>
      <c r="AF2627">
        <f>IFERROR(AE2627/$R$2593,0)</f>
        <v>0</v>
      </c>
      <c r="AG2627">
        <f>AE2627*($F$21+IF($F$21=0,0,($C$14+$C$15+IF($C$13="single",1.5,3)+3)/12))</f>
        <v>0</v>
      </c>
      <c r="AH2627">
        <f>AG2627-X2627</f>
        <v>0</v>
      </c>
      <c r="AI2627" cm="1">
        <f t="array" ref="AI2627">IFERROR(IF(AH2627&lt;0,0,AH2627/($R$2593-INDEX(hd_off,MATCH(AQ2627,hd_mark,0),0)/12)),0)</f>
        <v>0</v>
      </c>
      <c r="AJ2627">
        <f>MAX($F$21,$Y$2593)/$Q$2612</f>
        <v>0.30172413793103448</v>
      </c>
      <c r="AK2627">
        <f>IF(AJ2627=0,0,IF(AJ2627&gt;2,1.25-0.125*AJ2627,1))</f>
        <v>1</v>
      </c>
      <c r="AL2627" cm="1">
        <f t="array" ref="AL2627">IFERROR(INDEX(sheath_ecap_asd,MATCH(AP2627,sheath_mark,0),0)*AK2627,0)</f>
        <v>0</v>
      </c>
      <c r="AM2627" cm="1">
        <f t="array" ref="AM2627">IFERROR(INDEX(sheath_wcap_asd,MATCH(AP2627,sheath_mark,0),0)*AK2627,0)</f>
        <v>0</v>
      </c>
      <c r="AN2627" cm="1">
        <f t="array" ref="AN2627">IFERROR(INDEX(hd_cap,MATCH(AQ2627,hd_mark,0),0),0)</f>
        <v>0</v>
      </c>
      <c r="AP2627" s="19"/>
      <c r="AQ2627" s="19"/>
      <c r="AR2627" s="100"/>
      <c r="AS2627" s="93"/>
      <c r="AT2627" s="110" t="str">
        <f>$AT$2593</f>
        <v>1.04</v>
      </c>
      <c r="AU2627" t="str">
        <f>$Q$2581</f>
        <v>L2</v>
      </c>
      <c r="AV2627">
        <f>$E$21</f>
        <v>10.6875</v>
      </c>
      <c r="AW2627" cm="1">
        <f t="array" ref="AW2627">IFERROR(IF(AV2627=0,0,(INDEX($C$33:$C$38,MATCH($AZ$2593,$B$33:$B$38,0),0)*(AV2631+$BA$2593)+$AW$2593*COUNTIF(AV2627:AV2630,"&gt;0")*$C$32+$AY$2593*$C$31)*$AU$2593),0)</f>
        <v>0</v>
      </c>
      <c r="AX2627">
        <f>IF(AV2627=0,0,-(COUNTIF(AV2627:AV2630,"&gt;0")*$AW$2593*$C$32+$AY$2593*$C$31)*$H$27*$AU$2593)</f>
        <v>0</v>
      </c>
      <c r="AY2627">
        <f>IF(AV2627=0,0,$AY$2593*$H$26*$AU$2593)</f>
        <v>0</v>
      </c>
      <c r="AZ2627">
        <f>(0.6*AW2627+0.7*AX2627)*$AU$2593/2</f>
        <v>0</v>
      </c>
      <c r="BA2627">
        <f>(0.6*AW2627+0.6*AY2627)*$AU$2593/2</f>
        <v>0</v>
      </c>
      <c r="BC2627">
        <f>IF(AV2627=0,0,$BG$2593*$AP$2581)</f>
        <v>0</v>
      </c>
      <c r="BD2627">
        <f>IFERROR(BC2627/$AU$2593,0)</f>
        <v>0</v>
      </c>
      <c r="BE2627">
        <f>BC2627*($F$21+IF($F$21=0,0,($C$14+$C$15+IF($C$13="single",1.5,3)+3)/12))</f>
        <v>0</v>
      </c>
      <c r="BF2627">
        <f>BE2627-AZ2627</f>
        <v>0</v>
      </c>
      <c r="BG2627" cm="1">
        <f t="array" ref="BG2627">IFERROR(IF(BF2627&lt;0,0,BF2627/($AU$2593-INDEX(hd_off,MATCH(BT2627,hd_mark,0),0)/12)),0)</f>
        <v>0</v>
      </c>
      <c r="BH2627">
        <f>IF(AV2627=0,0,$BG$2593*$AM$2581)</f>
        <v>0</v>
      </c>
      <c r="BI2627">
        <f>IFERROR(BH2627/$AU$2593,0)</f>
        <v>0</v>
      </c>
      <c r="BJ2627">
        <f>BH2627*($F$21+IF($F$21=0,0,($C$14+$C$15+IF($C$13="single",1.5,3)+3)/12))</f>
        <v>0</v>
      </c>
      <c r="BK2627">
        <f>BJ2627-BA2627</f>
        <v>0</v>
      </c>
      <c r="BL2627" cm="1">
        <f t="array" ref="BL2627">IFERROR(IF(BK2627&lt;0,0,BK2627/($AU$2593-INDEX(hd_off,MATCH(BT2627,hd_mark,0),0)/12)),0)</f>
        <v>0</v>
      </c>
      <c r="BM2627">
        <f>MAX($F$21,$BB$2593)/$Q$2612</f>
        <v>0.30172413793103448</v>
      </c>
      <c r="BN2627">
        <f>IF(BM2627=0,0,IF(BM2627&gt;2,1.25-0.125*BM2627,1))</f>
        <v>1</v>
      </c>
      <c r="BO2627" cm="1">
        <f t="array" ref="BO2627">IFERROR(INDEX(sheath_ecap_asd,MATCH(BS2627,sheath_mark,0),0)*BN2627,0)</f>
        <v>0</v>
      </c>
      <c r="BP2627" cm="1">
        <f t="array" ref="BP2627">IFERROR(INDEX(sheath_wcap_asd,MATCH(BS2627,sheath_mark,0),0)*BN2627,0)</f>
        <v>0</v>
      </c>
      <c r="BQ2627" cm="1">
        <f t="array" ref="BQ2627">IFERROR(INDEX(hd_cap,MATCH(BT2627,hd_mark,0),0),0)</f>
        <v>0</v>
      </c>
      <c r="BS2627" s="19"/>
      <c r="BT2627" s="19"/>
      <c r="BU2627" s="100"/>
    </row>
    <row r="2628" x14ac:dyDescent="0.25">
      <c r="P2628" s="93"/>
      <c r="Q2628" s="109"/>
      <c r="R2628" t="str">
        <f>$Q$2582</f>
        <v>L3</v>
      </c>
      <c r="S2628">
        <f>$E$22</f>
        <v>21.375</v>
      </c>
      <c r="T2628" cm="1">
        <f t="array" ref="T2628">IFERROR(IF(S2628=0,0,(INDEX($C$33:$C$38,MATCH($W$2593,$B$33:$B$38,0),0)*(S2631+$X$2593)+$T$2593*COUNTIF(S2628:S2630,"&gt;0")*$C$32+$V$2593*$C$31)*$R$2593),0)</f>
        <v>0</v>
      </c>
      <c r="U2628">
        <f>IF(S2628=0,0,-(COUNTIF(S2628:S2630,"&gt;0")*$T$2593*$C$32+$V$2593*$C$31)*$H$27*$R$2593)</f>
        <v>0</v>
      </c>
      <c r="V2628">
        <f>IF(S2628=0,0,$V$2593*$H$26*$R$2593)</f>
        <v>0</v>
      </c>
      <c r="W2628">
        <f>(0.6*T2628+0.7*U2628)*$R$2593/2</f>
        <v>0</v>
      </c>
      <c r="X2628">
        <f>T2628*$R$2593/2</f>
        <v>0</v>
      </c>
      <c r="Z2628">
        <f>IF(S2628=0,0,$AD$2593*$AP$2582)</f>
        <v>0</v>
      </c>
      <c r="AA2628">
        <f>IFERROR(Z2628/$R$2593,0)</f>
        <v>0</v>
      </c>
      <c r="AB2628">
        <f>Z2628*($F$22+IF($F$22=0,0,($C$14+$C$15+IF($C$13="single",1.5,3)+3)/12))</f>
        <v>0</v>
      </c>
      <c r="AC2628">
        <f>AB2628-W2628</f>
        <v>0</v>
      </c>
      <c r="AD2628" cm="1">
        <f t="array" ref="AD2628">IFERROR(IF(AC2628&lt;0,0,AC2628/($R$2593-INDEX(hd_off,MATCH(AQ2628,hd_mark,0),0)/12)),0)</f>
        <v>0</v>
      </c>
      <c r="AE2628">
        <f>IF(S2628=0,0,$AD$2593*$AM$2582)</f>
        <v>0</v>
      </c>
      <c r="AF2628">
        <f>IFERROR(AE2628/$R$2593,0)</f>
        <v>0</v>
      </c>
      <c r="AG2628">
        <f>AE2628*($F$22+IF($F$22=0,0,($C$14+$C$15+IF($C$13="single",1.5,3)+3)/12))</f>
        <v>0</v>
      </c>
      <c r="AH2628">
        <f>AG2628-X2628</f>
        <v>0</v>
      </c>
      <c r="AI2628" cm="1">
        <f t="array" ref="AI2628">IFERROR(IF(AH2628&lt;0,0,AH2628/($R$2593-INDEX(hd_off,MATCH(AQ2628,hd_mark,0),0)/12)),0)</f>
        <v>0</v>
      </c>
      <c r="AJ2628">
        <f>MAX($F$22,$Z$2593)/$Q$2612</f>
        <v>0.30172413793103448</v>
      </c>
      <c r="AK2628">
        <f t="shared" ref="AK2628:AK2631" si="1632">IF(AJ2628=0,0,IF(AJ2628&gt;2,1.25-0.125*AJ2628,1))</f>
        <v>1</v>
      </c>
      <c r="AL2628" cm="1">
        <f t="array" ref="AL2628">IFERROR(INDEX(sheath_ecap_asd,MATCH(AP2628,sheath_mark,0),0)*AK2628,0)</f>
        <v>0</v>
      </c>
      <c r="AM2628" cm="1">
        <f t="array" ref="AM2628">IFERROR(INDEX(sheath_wcap_asd,MATCH(AP2628,sheath_mark,0),0)*AK2628,0)</f>
        <v>0</v>
      </c>
      <c r="AN2628" cm="1">
        <f t="array" ref="AN2628">IFERROR(INDEX(hd_cap,MATCH(AQ2628,hd_mark,0),0),0)</f>
        <v>0</v>
      </c>
      <c r="AP2628" s="19"/>
      <c r="AQ2628" s="19"/>
      <c r="AR2628" s="100"/>
      <c r="AS2628" s="93"/>
      <c r="AT2628" s="109"/>
      <c r="AU2628" t="str">
        <f>$Q$2582</f>
        <v>L3</v>
      </c>
      <c r="AV2628">
        <f>$E$22</f>
        <v>21.375</v>
      </c>
      <c r="AW2628" cm="1">
        <f t="array" ref="AW2628">IFERROR(IF(AV2628=0,0,(INDEX($C$33:$C$38,MATCH($AZ$2593,$B$33:$B$38,0),0)*(AV2631+$BA$2593)+$AW$2593*COUNTIF(AV2628:AV2630,"&gt;0")*$C$32+$AY$2593*$C$31)*$AU$2593),0)</f>
        <v>0</v>
      </c>
      <c r="AX2628">
        <f>IF(AV2628=0,0,-(COUNTIF(AV2628:AV2630,"&gt;0")*$AW$2593*$C$32+$AY$2593*$C$31)*$H$27*$AU$2593)</f>
        <v>0</v>
      </c>
      <c r="AY2628">
        <f>IF(AV2628=0,0,$AY$2593*$H$26*$AU$2593)</f>
        <v>0</v>
      </c>
      <c r="AZ2628">
        <f>(0.6*AW2628+0.7*AX2628)*$AU$2593/2</f>
        <v>0</v>
      </c>
      <c r="BA2628">
        <f>AW2628*$AU$2593/2</f>
        <v>0</v>
      </c>
      <c r="BC2628">
        <f>IF(AV2628=0,0,$BG$2593*$AP$2582)</f>
        <v>0</v>
      </c>
      <c r="BD2628">
        <f>IFERROR(BC2628/$AU$2593,0)</f>
        <v>0</v>
      </c>
      <c r="BE2628">
        <f>BC2628*($F$22+IF($F$22=0,0,($C$14+$C$15+IF($C$13="single",1.5,3)+3)/12))</f>
        <v>0</v>
      </c>
      <c r="BF2628">
        <f>BE2628-AZ2628</f>
        <v>0</v>
      </c>
      <c r="BG2628" cm="1">
        <f t="array" ref="BG2628">IFERROR(IF(BF2628&lt;0,0,BF2628/($AU$2593-INDEX(hd_off,MATCH(BT2628,hd_mark,0),0)/12)),0)</f>
        <v>0</v>
      </c>
      <c r="BH2628">
        <f>IF(AV2628=0,0,$BG$2593*$AM$2582)</f>
        <v>0</v>
      </c>
      <c r="BI2628">
        <f>IFERROR(BH2628/$AU$2593,0)</f>
        <v>0</v>
      </c>
      <c r="BJ2628">
        <f>BH2628*($F$22+IF($F$22=0,0,($C$14+$C$15+IF($C$13="single",1.5,3)+3)/12))</f>
        <v>0</v>
      </c>
      <c r="BK2628">
        <f>BJ2628-BA2628</f>
        <v>0</v>
      </c>
      <c r="BL2628" cm="1">
        <f t="array" ref="BL2628">IFERROR(IF(BK2628&lt;0,0,BK2628/($AU$2593-INDEX(hd_off,MATCH(BT2628,hd_mark,0),0)/12)),0)</f>
        <v>0</v>
      </c>
      <c r="BM2628">
        <f>MAX($F$22,$BC$2593)/$Q$2612</f>
        <v>0.30172413793103448</v>
      </c>
      <c r="BN2628">
        <f t="shared" ref="BN2628:BN2631" si="1633">IF(BM2628=0,0,IF(BM2628&gt;2,1.25-0.125*BM2628,1))</f>
        <v>1</v>
      </c>
      <c r="BO2628" cm="1">
        <f t="array" ref="BO2628">IFERROR(INDEX(sheath_ecap_asd,MATCH(BS2628,sheath_mark,0),0)*BN2628,0)</f>
        <v>0</v>
      </c>
      <c r="BP2628" cm="1">
        <f t="array" ref="BP2628">IFERROR(INDEX(sheath_wcap_asd,MATCH(BS2628,sheath_mark,0),0)*BN2628,0)</f>
        <v>0</v>
      </c>
      <c r="BQ2628" cm="1">
        <f t="array" ref="BQ2628">IFERROR(INDEX(hd_cap,MATCH(BT2628,hd_mark,0),0),0)</f>
        <v>0</v>
      </c>
      <c r="BS2628" s="19"/>
      <c r="BT2628" s="19"/>
      <c r="BU2628" s="100"/>
    </row>
    <row r="2629" x14ac:dyDescent="0.25">
      <c r="B2629" s="1"/>
      <c r="P2629" s="93"/>
      <c r="Q2629" s="109" t="s">
        <v>491</v>
      </c>
      <c r="R2629" t="str">
        <f>$Q$2583</f>
        <v>L4</v>
      </c>
      <c r="S2629">
        <f>$E$23</f>
        <v>0</v>
      </c>
      <c r="T2629" cm="1">
        <f t="array" ref="T2629">IFERROR(IF(S2629=0,0,(INDEX($C$33:$C$38,MATCH($W$2593,$B$33:$B$38,0),0)*(S2631+$X$2593)+$T$2593*COUNTIF(S2629:S2630,"&gt;0")*$C$32+$V$2593*$C$31)*$R$2593),0)</f>
        <v>0</v>
      </c>
      <c r="U2629">
        <f>IF(S2629=0,0,-(COUNTIF(S2629:S2630,"&gt;0")*$T$2593*$C$32+$V$2593*$C$31)*$H$27*$R$2593)</f>
        <v>0</v>
      </c>
      <c r="V2629">
        <f>IF(S2629=0,0,$V$2593*$H$26*$R$2593)</f>
        <v>0</v>
      </c>
      <c r="W2629">
        <f>(0.6*T2629+0.7*U2629)*$R$2593/2</f>
        <v>0</v>
      </c>
      <c r="X2629">
        <f>T2629*$R$2593/2</f>
        <v>0</v>
      </c>
      <c r="Z2629">
        <f>IF(S2629=0,0,$AD$2593*$AP$2583)</f>
        <v>0</v>
      </c>
      <c r="AA2629">
        <f>IFERROR(Z2629/$R$2593,0)</f>
        <v>0</v>
      </c>
      <c r="AB2629">
        <f>Z2629*($F$23+IF($F$23=0,0,($C$14+$C$15+IF($C$13="single",1.5,3)+3)/12))</f>
        <v>0</v>
      </c>
      <c r="AC2629">
        <f>AB2629-W2629</f>
        <v>0</v>
      </c>
      <c r="AD2629" cm="1">
        <f t="array" ref="AD2629">IFERROR(IF(AC2629&lt;0,0,AC2629/($R$2593-INDEX(hd_off,MATCH(AQ2629,hd_mark,0),0)/12)),0)</f>
        <v>0</v>
      </c>
      <c r="AE2629">
        <f>IF(S2629=0,0,$AD$2593*$AM$2583)</f>
        <v>0</v>
      </c>
      <c r="AF2629">
        <f>IFERROR(AE2629/$R$2593,0)</f>
        <v>0</v>
      </c>
      <c r="AG2629">
        <f>AE2629*($F$23+IF($F$23=0,0,($C$14+$C$15+IF($C$13="single",1.5,3)+3)/12))</f>
        <v>0</v>
      </c>
      <c r="AH2629">
        <f>AG2629-X2629</f>
        <v>0</v>
      </c>
      <c r="AI2629" cm="1">
        <f t="array" ref="AI2629">IFERROR(IF(AH2629&lt;0,0,AH2629/($R$2593-INDEX(hd_off,MATCH(AQ2629,hd_mark,0),0)/12)),0)</f>
        <v>0</v>
      </c>
      <c r="AJ2629">
        <f>MAX($F$23,$AA$2593)/$Q$2612</f>
        <v>0</v>
      </c>
      <c r="AK2629">
        <f t="shared" si="1632"/>
        <v>0</v>
      </c>
      <c r="AL2629" cm="1">
        <f t="array" ref="AL2629">IFERROR(INDEX(sheath_ecap_asd,MATCH(AP2629,sheath_mark,0),0)*AK2629,0)</f>
        <v>0</v>
      </c>
      <c r="AM2629" cm="1">
        <f t="array" ref="AM2629">IFERROR(INDEX(sheath_wcap_asd,MATCH(AP2629,sheath_mark,0),0)*AK2629,0)</f>
        <v>0</v>
      </c>
      <c r="AN2629" cm="1">
        <f t="array" ref="AN2629">IFERROR(INDEX(hd_cap,MATCH(AQ2629,hd_mark,0),0),0)</f>
        <v>0</v>
      </c>
      <c r="AP2629" s="19"/>
      <c r="AQ2629" s="19"/>
      <c r="AR2629" s="100"/>
      <c r="AS2629" s="93"/>
      <c r="AT2629" s="109" t="s">
        <v>491</v>
      </c>
      <c r="AU2629" t="str">
        <f>$Q$2583</f>
        <v>L4</v>
      </c>
      <c r="AV2629">
        <f>$E$23</f>
        <v>0</v>
      </c>
      <c r="AW2629" cm="1">
        <f t="array" ref="AW2629">IFERROR(IF(AV2629=0,0,(INDEX($C$33:$C$38,MATCH($AZ$2593,$B$33:$B$38,0),0)*(AV2631+$BA$2593)+$AW$2593*COUNTIF(AV2629:AV2630,"&gt;0")*$C$32+$AY$2593*$C$31)*$AU$2593),0)</f>
        <v>0</v>
      </c>
      <c r="AX2629">
        <f>IF(AV2629=0,0,-(COUNTIF(AV2629:AV2630,"&gt;0")*$AW$2593*$C$32+$AY$2593*$C$31)*$H$27*$AU$2593)</f>
        <v>0</v>
      </c>
      <c r="AY2629">
        <f>IF(AV2629=0,0,$AY$2593*$H$26*$AU$2593)</f>
        <v>0</v>
      </c>
      <c r="AZ2629">
        <f>(0.6*AW2629+0.7*AX2629)*$AU$2593/2</f>
        <v>0</v>
      </c>
      <c r="BA2629">
        <f>AW2629*$AU$2593/2</f>
        <v>0</v>
      </c>
      <c r="BC2629">
        <f>IF(AV2629=0,0,$BG$2593*$AP$2583)</f>
        <v>0</v>
      </c>
      <c r="BD2629">
        <f>IFERROR(BC2629/$AU$2593,0)</f>
        <v>0</v>
      </c>
      <c r="BE2629">
        <f>BC2629*($F$23+IF($F$23=0,0,($C$14+$C$15+IF($C$13="single",1.5,3)+3)/12))</f>
        <v>0</v>
      </c>
      <c r="BF2629">
        <f>BE2629-AZ2629</f>
        <v>0</v>
      </c>
      <c r="BG2629" cm="1">
        <f t="array" ref="BG2629">IFERROR(IF(BF2629&lt;0,0,BF2629/($AU$2593-INDEX(hd_off,MATCH(BT2629,hd_mark,0),0)/12)),0)</f>
        <v>0</v>
      </c>
      <c r="BH2629">
        <f>IF(AV2629=0,0,$BG$2593*$AM$2583)</f>
        <v>0</v>
      </c>
      <c r="BI2629">
        <f>IFERROR(BH2629/$AU$2593,0)</f>
        <v>0</v>
      </c>
      <c r="BJ2629">
        <f>BH2629*($F$23+IF($F$23=0,0,($C$14+$C$15+IF($C$13="single",1.5,3)+3)/12))</f>
        <v>0</v>
      </c>
      <c r="BK2629">
        <f>BJ2629-BA2629</f>
        <v>0</v>
      </c>
      <c r="BL2629" cm="1">
        <f t="array" ref="BL2629">IFERROR(IF(BK2629&lt;0,0,BK2629/($AU$2593-INDEX(hd_off,MATCH(BT2629,hd_mark,0),0)/12)),0)</f>
        <v>0</v>
      </c>
      <c r="BM2629">
        <f>MAX($F$23,$BD$2593)/$Q$2612</f>
        <v>0</v>
      </c>
      <c r="BN2629">
        <f t="shared" si="1633"/>
        <v>0</v>
      </c>
      <c r="BO2629" cm="1">
        <f t="array" ref="BO2629">IFERROR(INDEX(sheath_ecap_asd,MATCH(BS2629,sheath_mark,0),0)*BN2629,0)</f>
        <v>0</v>
      </c>
      <c r="BP2629" cm="1">
        <f t="array" ref="BP2629">IFERROR(INDEX(sheath_wcap_asd,MATCH(BS2629,sheath_mark,0),0)*BN2629,0)</f>
        <v>0</v>
      </c>
      <c r="BQ2629" cm="1">
        <f t="array" ref="BQ2629">IFERROR(INDEX(hd_cap,MATCH(BT2629,hd_mark,0),0),0)</f>
        <v>0</v>
      </c>
      <c r="BS2629" s="19"/>
      <c r="BT2629" s="19"/>
      <c r="BU2629" s="100"/>
    </row>
    <row r="2630" x14ac:dyDescent="0.25">
      <c r="P2630" s="93"/>
      <c r="Q2630" s="111">
        <f>$R$2593</f>
        <v>0</v>
      </c>
      <c r="R2630" t="str">
        <f>$Q$2584</f>
        <v>L5</v>
      </c>
      <c r="S2630">
        <f>$E$24</f>
        <v>0</v>
      </c>
      <c r="T2630" cm="1">
        <f t="array" ref="T2630">IFERROR(IF(S2630=0,0,(INDEX($C$33:$C$38,MATCH($W$2593,$B$33:$B$38,0),0)*(S2631+$X$2593)+$T$2593*COUNTIF(S2630:S2630,"&gt;0")*$C$32+$V$2593*$C$31)*$R$2593),0)</f>
        <v>0</v>
      </c>
      <c r="U2630">
        <f>IF(S2630=0,0,-(COUNTIF(S2630:S2630,"&gt;0")*$T$2593*$C$32+$V$2593*$C$31)*$H$27*$R$2593)</f>
        <v>0</v>
      </c>
      <c r="V2630">
        <f>IF(S2630=0,0,$V$2593*$H$26*$R$2593)</f>
        <v>0</v>
      </c>
      <c r="W2630">
        <f>(0.6*T2630+0.7*U2630)*$R$2593/2</f>
        <v>0</v>
      </c>
      <c r="X2630">
        <f>T2630*$R$2593/2</f>
        <v>0</v>
      </c>
      <c r="Z2630">
        <f>IF(S2630=0,0,$AD$2593*$AP$2584)</f>
        <v>0</v>
      </c>
      <c r="AA2630">
        <f>IFERROR(Z2630/$R$2593,0)</f>
        <v>0</v>
      </c>
      <c r="AB2630">
        <f>Z2630*($F$24+IF($F$24=0,0,($C$14+$C$15+IF($C$13="single",1.5,3)+3)/12))</f>
        <v>0</v>
      </c>
      <c r="AC2630">
        <f>AB2630-W2630</f>
        <v>0</v>
      </c>
      <c r="AD2630" cm="1">
        <f t="array" ref="AD2630">IFERROR(IF(AC2630&lt;0,0,AC2630/($R$2593-INDEX(hd_off,MATCH(AQ2630,hd_mark,0),0)/12)),0)</f>
        <v>0</v>
      </c>
      <c r="AE2630">
        <f>IF(S2630=0,0,$AD$2593*$AM$2584)</f>
        <v>0</v>
      </c>
      <c r="AF2630">
        <f>IFERROR(AE2630/$R$2593,0)</f>
        <v>0</v>
      </c>
      <c r="AG2630">
        <f>AE2630*($F$24+IF($F$24=0,0,($C$14+$C$15+IF($C$13="single",1.5,3)+3)/12))</f>
        <v>0</v>
      </c>
      <c r="AH2630">
        <f>AG2630-X2630</f>
        <v>0</v>
      </c>
      <c r="AI2630" cm="1">
        <f t="array" ref="AI2630">IFERROR(IF(AH2630&lt;0,0,AH2630/($R$2593-INDEX(hd_off,MATCH(AQ2630,hd_mark,0),0)/12)),0)</f>
        <v>0</v>
      </c>
      <c r="AJ2630">
        <f>MAX($F$24,$AB$2593)/$Q$2612</f>
        <v>0</v>
      </c>
      <c r="AK2630">
        <f t="shared" si="1632"/>
        <v>0</v>
      </c>
      <c r="AL2630" cm="1">
        <f t="array" ref="AL2630">IFERROR(INDEX(sheath_ecap_asd,MATCH(AP2630,sheath_mark,0),0)*AK2630,0)</f>
        <v>0</v>
      </c>
      <c r="AM2630" cm="1">
        <f t="array" ref="AM2630">IFERROR(INDEX(sheath_wcap_asd,MATCH(AP2630,sheath_mark,0),0)*AK2630,0)</f>
        <v>0</v>
      </c>
      <c r="AN2630" cm="1">
        <f t="array" ref="AN2630">IFERROR(INDEX(hd_cap,MATCH(AQ2630,hd_mark,0),0),0)</f>
        <v>0</v>
      </c>
      <c r="AP2630" s="19"/>
      <c r="AQ2630" s="19"/>
      <c r="AR2630" s="100"/>
      <c r="AS2630" s="93"/>
      <c r="AT2630" s="111">
        <f>$R$2593</f>
        <v>0</v>
      </c>
      <c r="AU2630" t="str">
        <f>$Q$2584</f>
        <v>L5</v>
      </c>
      <c r="AV2630">
        <f>$E$24</f>
        <v>0</v>
      </c>
      <c r="AW2630" cm="1">
        <f t="array" ref="AW2630">IFERROR(IF(AV2630=0,0,(INDEX($C$33:$C$38,MATCH($AZ$2593,$B$33:$B$38,0),0)*(AV2631+$BA$2593)+$AW$2593*COUNTIF(AV2630:AV2630,"&gt;0")*$C$32+$AY$2593*$C$31)*$AU$2593),0)</f>
        <v>0</v>
      </c>
      <c r="AX2630">
        <f>IF(AV2630=0,0,-(COUNTIF(AV2630:AV2630,"&gt;0")*$AW$2593*$C$32+$AY$2593*$C$31)*$H$27*$AU$2593)</f>
        <v>0</v>
      </c>
      <c r="AY2630">
        <f>IF(AV2630=0,0,$AY$2593*$H$26*$AU$2593)</f>
        <v>0</v>
      </c>
      <c r="AZ2630">
        <f>(0.6*AW2630+0.7*AX2630)*$AU$2593/2</f>
        <v>0</v>
      </c>
      <c r="BA2630">
        <f>AW2630*$AU$2593/2</f>
        <v>0</v>
      </c>
      <c r="BC2630">
        <f>IF(AV2630=0,0,$BG$2593*$AP$2584)</f>
        <v>0</v>
      </c>
      <c r="BD2630">
        <f>IFERROR(BC2630/$AU$2593,0)</f>
        <v>0</v>
      </c>
      <c r="BE2630">
        <f>BC2630*($F$24+IF($F$24=0,0,($C$14+$C$15+IF($C$13="single",1.5,3)+3)/12))</f>
        <v>0</v>
      </c>
      <c r="BF2630">
        <f>BE2630-AZ2630</f>
        <v>0</v>
      </c>
      <c r="BG2630" cm="1">
        <f t="array" ref="BG2630">IFERROR(IF(BF2630&lt;0,0,BF2630/($AU$2593-INDEX(hd_off,MATCH(BT2630,hd_mark,0),0)/12)),0)</f>
        <v>0</v>
      </c>
      <c r="BH2630">
        <f>IF(AV2630=0,0,$BG$2593*$AM$2584)</f>
        <v>0</v>
      </c>
      <c r="BI2630">
        <f>IFERROR(BH2630/$AU$2593,0)</f>
        <v>0</v>
      </c>
      <c r="BJ2630">
        <f>BH2630*($F$24+IF($F$24=0,0,($C$14+$C$15+IF($C$13="single",1.5,3)+3)/12))</f>
        <v>0</v>
      </c>
      <c r="BK2630">
        <f>BJ2630-BA2630</f>
        <v>0</v>
      </c>
      <c r="BL2630" cm="1">
        <f t="array" ref="BL2630">IFERROR(IF(BK2630&lt;0,0,BK2630/($AU$2593-INDEX(hd_off,MATCH(BT2630,hd_mark,0),0)/12)),0)</f>
        <v>0</v>
      </c>
      <c r="BM2630">
        <f>MAX($F$24,$BE$2593)/$Q$2612</f>
        <v>0</v>
      </c>
      <c r="BN2630">
        <f t="shared" si="1633"/>
        <v>0</v>
      </c>
      <c r="BO2630" cm="1">
        <f t="array" ref="BO2630">IFERROR(INDEX(sheath_ecap_asd,MATCH(BS2630,sheath_mark,0),0)*BN2630,0)</f>
        <v>0</v>
      </c>
      <c r="BP2630" cm="1">
        <f t="array" ref="BP2630">IFERROR(INDEX(sheath_wcap_asd,MATCH(BS2630,sheath_mark,0),0)*BN2630,0)</f>
        <v>0</v>
      </c>
      <c r="BQ2630" cm="1">
        <f t="array" ref="BQ2630">IFERROR(INDEX(hd_cap,MATCH(BT2630,hd_mark,0),0),0)</f>
        <v>0</v>
      </c>
      <c r="BS2630" s="19"/>
      <c r="BT2630" s="19"/>
      <c r="BU2630" s="100"/>
    </row>
    <row r="2631" x14ac:dyDescent="0.25">
      <c r="P2631" s="93"/>
      <c r="Q2631" s="109"/>
      <c r="R2631" t="str">
        <f>$Q$2585</f>
        <v>Roof</v>
      </c>
      <c r="S2631">
        <f>$E$25</f>
        <v>33.171875</v>
      </c>
      <c r="T2631" cm="1">
        <f t="array" ref="T2631">IFERROR(IF(S2631=0,0,(INDEX($C$33:$C$38,MATCH($W$2593,$B$33:$B$38,0),0)*(S2631+$X$2593)+$V$2593*$C$31)*$R$2593),0)</f>
        <v>0</v>
      </c>
      <c r="U2631">
        <f>IF(S2631=0,0,-$V$2593*$C$31*$H$27*$R$2593)</f>
        <v>0</v>
      </c>
      <c r="V2631">
        <f>IF(S2631=0,0,$V$2593*$H$26*$R$2593)</f>
        <v>0</v>
      </c>
      <c r="W2631">
        <f>(0.6*T2631+0.7*U2631)*$R$2593/2</f>
        <v>0</v>
      </c>
      <c r="X2631">
        <f>T2631*$R$2593/2</f>
        <v>0</v>
      </c>
      <c r="Z2631">
        <f>IF(S2631=0,0,$AD$2593*$AP$2585)</f>
        <v>0</v>
      </c>
      <c r="AA2631">
        <f>IFERROR(Z2631/$R$2593,0)</f>
        <v>0</v>
      </c>
      <c r="AB2631">
        <f>Z2631*($F$25+($C$16+$C$17+IF($C$13="single",1.5,3)+3)/12)</f>
        <v>0</v>
      </c>
      <c r="AC2631">
        <f>AB2631-W2631</f>
        <v>0</v>
      </c>
      <c r="AD2631" cm="1">
        <f t="array" ref="AD2631">IFERROR(IF(AC2631&lt;0,0,AC2631/($R$2593-INDEX(hd_off,MATCH(AQ2631,hd_mark,0),0)/12)),0)</f>
        <v>0</v>
      </c>
      <c r="AE2631">
        <f>IF(S2631=0,0,$AD$2593*$AM$2585)</f>
        <v>0</v>
      </c>
      <c r="AF2631">
        <f>IFERROR(AE2631/$R$2593,0)</f>
        <v>0</v>
      </c>
      <c r="AG2631">
        <f>AE2631*($F$25+($C$16+$C$17+IF($C$13="single",1.5,3)+3)/12)</f>
        <v>0</v>
      </c>
      <c r="AH2631">
        <f>AG2631-X2631</f>
        <v>0</v>
      </c>
      <c r="AI2631" cm="1">
        <f t="array" ref="AI2631">IFERROR(IF(AH2631&lt;0,0,AH2631/($R$2593-INDEX(hd_off,MATCH(AQ2631,hd_mark,0),0)/12)),0)</f>
        <v>0</v>
      </c>
      <c r="AJ2631">
        <f>MAX($F$25,$AC$2593)/$Q$2612</f>
        <v>0.29920977011494249</v>
      </c>
      <c r="AK2631">
        <f t="shared" si="1632"/>
        <v>1</v>
      </c>
      <c r="AL2631" cm="1">
        <f t="array" ref="AL2631">IFERROR(INDEX(sheath_ecap_asd,MATCH(AP2631,sheath_mark,0),0)*AK2631,0)</f>
        <v>0</v>
      </c>
      <c r="AM2631" cm="1">
        <f t="array" ref="AM2631">IFERROR(INDEX(sheath_wcap_asd,MATCH(AP2631,sheath_mark,0),0)*AK2631,0)</f>
        <v>0</v>
      </c>
      <c r="AN2631" cm="1">
        <f t="array" ref="AN2631">IFERROR(INDEX(hd_cap,MATCH(AQ2631,hd_mark,0),0),0)</f>
        <v>0</v>
      </c>
      <c r="AP2631" s="19"/>
      <c r="AQ2631" s="19"/>
      <c r="AR2631" s="100"/>
      <c r="AS2631" s="93"/>
      <c r="AT2631" s="109"/>
      <c r="AU2631" t="str">
        <f>$Q$2585</f>
        <v>Roof</v>
      </c>
      <c r="AV2631">
        <f>$E$25</f>
        <v>33.171875</v>
      </c>
      <c r="AW2631" cm="1">
        <f t="array" ref="AW2631">IFERROR(IF(AV2631=0,0,(INDEX($C$33:$C$38,MATCH($AZ$2593,$B$33:$B$38,0),0)*(AV2631+$BA$2593)+$AY$2593*$C$31)*$AU$2593),0)</f>
        <v>0</v>
      </c>
      <c r="AX2631">
        <f>IF(AV2631=0,0,-$AY$2593*$C$31*$H$27*$AU$2593)</f>
        <v>0</v>
      </c>
      <c r="AY2631">
        <f>IF(AV2631=0,0,$AY$2593*$H$26*$AU$2593)</f>
        <v>0</v>
      </c>
      <c r="AZ2631">
        <f>(0.6*AW2631+0.7*AX2631)*$AU$2593/2</f>
        <v>0</v>
      </c>
      <c r="BA2631">
        <f>AW2631*$AU$2593/2</f>
        <v>0</v>
      </c>
      <c r="BC2631">
        <f>IF(AV2631=0,0,$BG$2593*$AP$2585)</f>
        <v>0</v>
      </c>
      <c r="BD2631">
        <f>IFERROR(BC2631/$AU$2593,0)</f>
        <v>0</v>
      </c>
      <c r="BE2631">
        <f>BC2631*($F$25+($C$16+$C$17+IF($C$13="single",1.5,3)+3)/12)</f>
        <v>0</v>
      </c>
      <c r="BF2631">
        <f>BE2631-AZ2631</f>
        <v>0</v>
      </c>
      <c r="BG2631" cm="1">
        <f t="array" ref="BG2631">IFERROR(IF(BF2631&lt;0,0,BF2631/($AU$2593-INDEX(hd_off,MATCH(BT2631,hd_mark,0),0)/12)),0)</f>
        <v>0</v>
      </c>
      <c r="BH2631">
        <f>IF(AV2631=0,0,$BG$2593*$AM$2585)</f>
        <v>0</v>
      </c>
      <c r="BI2631">
        <f>IFERROR(BH2631/$AU$2593,0)</f>
        <v>0</v>
      </c>
      <c r="BJ2631">
        <f>BH2631*($F$25+($C$16+$C$17+IF($C$13="single",1.5,3)+3)/12)</f>
        <v>0</v>
      </c>
      <c r="BK2631">
        <f>BJ2631-BA2631</f>
        <v>0</v>
      </c>
      <c r="BL2631" cm="1">
        <f t="array" ref="BL2631">IFERROR(IF(BK2631&lt;0,0,BK2631/($AU$2593-INDEX(hd_off,MATCH(BT2631,hd_mark,0),0)/12)),0)</f>
        <v>0</v>
      </c>
      <c r="BM2631">
        <f>MAX($F$25,$BF$2593)/$Q$2612</f>
        <v>0.29920977011494249</v>
      </c>
      <c r="BN2631">
        <f t="shared" si="1633"/>
        <v>1</v>
      </c>
      <c r="BO2631" cm="1">
        <f t="array" ref="BO2631">IFERROR(INDEX(sheath_ecap_asd,MATCH(BS2631,sheath_mark,0),0)*BN2631,0)</f>
        <v>0</v>
      </c>
      <c r="BP2631" cm="1">
        <f t="array" ref="BP2631">IFERROR(INDEX(sheath_wcap_asd,MATCH(BS2631,sheath_mark,0),0)*BN2631,0)</f>
        <v>0</v>
      </c>
      <c r="BQ2631" cm="1">
        <f t="array" ref="BQ2631">IFERROR(INDEX(hd_cap,MATCH(BT2631,hd_mark,0),0),0)</f>
        <v>0</v>
      </c>
      <c r="BS2631" s="19"/>
      <c r="BT2631" s="19"/>
      <c r="BU2631" s="100"/>
    </row>
    <row r="2632" x14ac:dyDescent="0.25">
      <c r="P2632" s="93"/>
      <c r="AR2632" s="100"/>
      <c r="AS2632" s="93"/>
      <c r="BU2632" s="100"/>
    </row>
    <row r="2633" x14ac:dyDescent="0.25">
      <c r="P2633" s="93"/>
      <c r="Q2633" s="110" t="str">
        <f>$Q$2594</f>
        <v>A.05</v>
      </c>
      <c r="R2633" t="str">
        <f>$Q$2581</f>
        <v>L2</v>
      </c>
      <c r="S2633">
        <f>$E$21</f>
        <v>10.6875</v>
      </c>
      <c r="T2633" cm="1">
        <f t="array" ref="T2633">IFERROR(IF(S2633=0,0,(INDEX($C$33:$C$38,MATCH($W$2594,$B$33:$B$38,0),0)*(S2637+$X$2594)+$T$2594*COUNTIF(S2633:S2636,"&gt;0")*$C$32+$V$2594*$C$31)*$R$2594),0)</f>
        <v>0</v>
      </c>
      <c r="U2633">
        <f>IF(S2633=0,0,-(COUNTIF(S2633:S2636,"&gt;0")*$T$2594*$C$32+$V$2594*$C$31)*$H$27*$R$2594)</f>
        <v>0</v>
      </c>
      <c r="V2633">
        <f>IF(S2633=0,0,$V$2594*$H$26*$R$2594)</f>
        <v>0</v>
      </c>
      <c r="W2633">
        <f>(0.6*T2633+0.7*U2633)*$R$2594/2</f>
        <v>0</v>
      </c>
      <c r="X2633">
        <f>(0.6*T2633+0.6*V2633)*$R$2594/2</f>
        <v>0</v>
      </c>
      <c r="Z2633">
        <f>IF(S2633=0,0,$AD$2594*$AP$2581)</f>
        <v>0</v>
      </c>
      <c r="AA2633">
        <f>IFERROR(Z2633/$R$2594,0)</f>
        <v>0</v>
      </c>
      <c r="AB2633">
        <f>Z2633*($F$21+IF($F$21=0,0,($C$14+$C$15+IF($C$13="single",1.5,3)+3)/12))</f>
        <v>0</v>
      </c>
      <c r="AC2633">
        <f>AB2633-W2633</f>
        <v>0</v>
      </c>
      <c r="AD2633" cm="1">
        <f t="array" ref="AD2633">IFERROR(IF(AC2633&lt;0,0,AC2633/($R$2594-INDEX(hd_off,MATCH(AQ2633,hd_mark,0),0)/12)),0)</f>
        <v>0</v>
      </c>
      <c r="AE2633">
        <f>IF(S2633=0,0,$AD$2594*$AM$2581)</f>
        <v>0</v>
      </c>
      <c r="AF2633">
        <f>IFERROR(AE2633/$R$2594,0)</f>
        <v>0</v>
      </c>
      <c r="AG2633">
        <f>AE2633*($F$21+IF($F$21=0,0,($C$14+$C$15+IF($C$13="single",1.5,3)+3)/12))</f>
        <v>0</v>
      </c>
      <c r="AH2633">
        <f>AG2633-X2633</f>
        <v>0</v>
      </c>
      <c r="AI2633" cm="1">
        <f t="array" ref="AI2633">IFERROR(IF(AH2633&lt;0,0,AH2633/($R$2594-INDEX(hd_off,MATCH(AQ2633,hd_mark,0),0)/12)),0)</f>
        <v>0</v>
      </c>
      <c r="AJ2633">
        <f>MAX($F$21,$Y$2594)/$Q$2612</f>
        <v>0.30172413793103448</v>
      </c>
      <c r="AK2633">
        <f>IF(AJ2633=0,0,IF(AJ2633&gt;2,1.25-0.125*AJ2633,1))</f>
        <v>1</v>
      </c>
      <c r="AL2633" cm="1">
        <f t="array" ref="AL2633">IFERROR(INDEX(sheath_ecap_asd,MATCH(AP2633,sheath_mark,0),0)*AK2633,0)</f>
        <v>0</v>
      </c>
      <c r="AM2633" cm="1">
        <f t="array" ref="AM2633">IFERROR(INDEX(sheath_wcap_asd,MATCH(AP2633,sheath_mark,0),0)*AK2633,0)</f>
        <v>0</v>
      </c>
      <c r="AN2633" cm="1">
        <f t="array" ref="AN2633">IFERROR(INDEX(hd_cap,MATCH(AQ2633,hd_mark,0),0),0)</f>
        <v>0</v>
      </c>
      <c r="AP2633" s="19"/>
      <c r="AQ2633" s="19"/>
      <c r="AR2633" s="100"/>
      <c r="AS2633" s="93"/>
      <c r="AT2633" s="110" t="str">
        <f>$AT$2594</f>
        <v>1.05</v>
      </c>
      <c r="AU2633" t="str">
        <f>$Q$2581</f>
        <v>L2</v>
      </c>
      <c r="AV2633">
        <f>$E$21</f>
        <v>10.6875</v>
      </c>
      <c r="AW2633" cm="1">
        <f t="array" ref="AW2633">IFERROR(IF(AV2633=0,0,(INDEX($C$33:$C$38,MATCH($AZ$2594,$B$33:$B$38,0),0)*(AV2637+$BA$2594)+$AW$2594*COUNTIF(AV2633:AV2636,"&gt;0")*$C$32+$AY$2594*$C$31)*$AU$2594),0)</f>
        <v>0</v>
      </c>
      <c r="AX2633">
        <f>IF(AV2633=0,0,-(COUNTIF(AV2633:AV2636,"&gt;0")*$AW$2594*$C$32+$AY$2594*$C$31)*$H$27*$AU$2594)</f>
        <v>0</v>
      </c>
      <c r="AY2633">
        <f>IF(AV2633=0,0,$AY$2594*$H$26*$AU$2594)</f>
        <v>0</v>
      </c>
      <c r="AZ2633">
        <f>(0.6*AW2633+0.7*AX2633)*$AU$2594/2</f>
        <v>0</v>
      </c>
      <c r="BA2633">
        <f>(0.6*AW2633+0.6*AY2633)*$AU$2594/2</f>
        <v>0</v>
      </c>
      <c r="BC2633">
        <f>IF(AV2633=0,0,$BG$2594*$AP$2581)</f>
        <v>0</v>
      </c>
      <c r="BD2633">
        <f>IFERROR(BC2633/$AU$2594,0)</f>
        <v>0</v>
      </c>
      <c r="BE2633">
        <f>BC2633*($F$21+IF($F$21=0,0,($C$14+$C$15+IF($C$13="single",1.5,3)+3)/12))</f>
        <v>0</v>
      </c>
      <c r="BF2633">
        <f>BE2633-AZ2633</f>
        <v>0</v>
      </c>
      <c r="BG2633" cm="1">
        <f t="array" ref="BG2633">IFERROR(IF(BF2633&lt;0,0,BF2633/($AU$2594-INDEX(hd_off,MATCH(BT2633,hd_mark,0),0)/12)),0)</f>
        <v>0</v>
      </c>
      <c r="BH2633">
        <f>IF(AV2633=0,0,$BG$2594*$AM$2581)</f>
        <v>0</v>
      </c>
      <c r="BI2633">
        <f>IFERROR(BH2633/$AU$2594,0)</f>
        <v>0</v>
      </c>
      <c r="BJ2633">
        <f>BH2633*($F$21+IF($F$21=0,0,($C$14+$C$15+IF($C$13="single",1.5,3)+3)/12))</f>
        <v>0</v>
      </c>
      <c r="BK2633">
        <f>BJ2633-BA2633</f>
        <v>0</v>
      </c>
      <c r="BL2633" cm="1">
        <f t="array" ref="BL2633">IFERROR(IF(BK2633&lt;0,0,BK2633/($AU$2594-INDEX(hd_off,MATCH(BT2633,hd_mark,0),0)/12)),0)</f>
        <v>0</v>
      </c>
      <c r="BM2633">
        <f>MAX($F$21,$BB$2594)/$Q$2612</f>
        <v>0.30172413793103448</v>
      </c>
      <c r="BN2633">
        <f>IF(BM2633=0,0,IF(BM2633&gt;2,1.25-0.125*BM2633,1))</f>
        <v>1</v>
      </c>
      <c r="BO2633" cm="1">
        <f t="array" ref="BO2633">IFERROR(INDEX(sheath_ecap_asd,MATCH(BS2633,sheath_mark,0),0)*BN2633,0)</f>
        <v>0</v>
      </c>
      <c r="BP2633" cm="1">
        <f t="array" ref="BP2633">IFERROR(INDEX(sheath_wcap_asd,MATCH(BS2633,sheath_mark,0),0)*BN2633,0)</f>
        <v>0</v>
      </c>
      <c r="BQ2633" cm="1">
        <f t="array" ref="BQ2633">IFERROR(INDEX(hd_cap,MATCH(BT2633,hd_mark,0),0),0)</f>
        <v>0</v>
      </c>
      <c r="BS2633" s="19"/>
      <c r="BT2633" s="19"/>
      <c r="BU2633" s="100"/>
    </row>
    <row r="2634" x14ac:dyDescent="0.25">
      <c r="B2634" s="1"/>
      <c r="P2634" s="93"/>
      <c r="Q2634" s="109"/>
      <c r="R2634" t="str">
        <f>$Q$2582</f>
        <v>L3</v>
      </c>
      <c r="S2634">
        <f>$E$22</f>
        <v>21.375</v>
      </c>
      <c r="T2634" cm="1">
        <f t="array" ref="T2634">IFERROR(IF(S2634=0,0,(INDEX($C$33:$C$38,MATCH($W$2594,$B$33:$B$38,0),0)*(S2637+$X$2594)+$T$2594*COUNTIF(S2634:S2636,"&gt;0")*$C$32+$V$2594*$C$31)*$R$2594),0)</f>
        <v>0</v>
      </c>
      <c r="U2634">
        <f>IF(S2634=0,0,-(COUNTIF(S2634:S2636,"&gt;0")*$T$2594*$C$32+$V$2594*$C$31)*$H$27*$R$2594)</f>
        <v>0</v>
      </c>
      <c r="V2634">
        <f>IF(S2634=0,0,$V$2594*$H$26*$R$2594)</f>
        <v>0</v>
      </c>
      <c r="W2634">
        <f>(0.6*T2634+0.7*U2634)*$R$2594/2</f>
        <v>0</v>
      </c>
      <c r="X2634">
        <f>T2634*$R$2594/2</f>
        <v>0</v>
      </c>
      <c r="Z2634">
        <f>IF(S2634=0,0,$AD$2594*$AP$2582)</f>
        <v>0</v>
      </c>
      <c r="AA2634">
        <f>IFERROR(Z2634/$R$2594,0)</f>
        <v>0</v>
      </c>
      <c r="AB2634">
        <f>Z2634*($F$22+IF($F$22=0,0,($C$14+$C$15+IF($C$13="single",1.5,3)+3)/12))</f>
        <v>0</v>
      </c>
      <c r="AC2634">
        <f>AB2634-W2634</f>
        <v>0</v>
      </c>
      <c r="AD2634" cm="1">
        <f t="array" ref="AD2634">IFERROR(IF(AC2634&lt;0,0,AC2634/($R$2594-INDEX(hd_off,MATCH(AQ2634,hd_mark,0),0)/12)),0)</f>
        <v>0</v>
      </c>
      <c r="AE2634">
        <f>IF(S2634=0,0,$AD$2594*$AM$2582)</f>
        <v>0</v>
      </c>
      <c r="AF2634">
        <f>IFERROR(AE2634/$R$2594,0)</f>
        <v>0</v>
      </c>
      <c r="AG2634">
        <f>AE2634*($F$22+IF($F$22=0,0,($C$14+$C$15+IF($C$13="single",1.5,3)+3)/12))</f>
        <v>0</v>
      </c>
      <c r="AH2634">
        <f>AG2634-X2634</f>
        <v>0</v>
      </c>
      <c r="AI2634" cm="1">
        <f t="array" ref="AI2634">IFERROR(IF(AH2634&lt;0,0,AH2634/($R$2594-INDEX(hd_off,MATCH(AQ2634,hd_mark,0),0)/12)),0)</f>
        <v>0</v>
      </c>
      <c r="AJ2634">
        <f>MAX($F$22,$Z$2594)/$Q$2612</f>
        <v>0.30172413793103448</v>
      </c>
      <c r="AK2634">
        <f t="shared" ref="AK2634:AK2637" si="1634">IF(AJ2634=0,0,IF(AJ2634&gt;2,1.25-0.125*AJ2634,1))</f>
        <v>1</v>
      </c>
      <c r="AL2634" cm="1">
        <f t="array" ref="AL2634">IFERROR(INDEX(sheath_ecap_asd,MATCH(AP2634,sheath_mark,0),0)*AK2634,0)</f>
        <v>0</v>
      </c>
      <c r="AM2634" cm="1">
        <f t="array" ref="AM2634">IFERROR(INDEX(sheath_wcap_asd,MATCH(AP2634,sheath_mark,0),0)*AK2634,0)</f>
        <v>0</v>
      </c>
      <c r="AN2634" cm="1">
        <f t="array" ref="AN2634">IFERROR(INDEX(hd_cap,MATCH(AQ2634,hd_mark,0),0),0)</f>
        <v>0</v>
      </c>
      <c r="AP2634" s="19"/>
      <c r="AQ2634" s="19"/>
      <c r="AR2634" s="100"/>
      <c r="AS2634" s="93"/>
      <c r="AT2634" s="109"/>
      <c r="AU2634" t="str">
        <f>$Q$2582</f>
        <v>L3</v>
      </c>
      <c r="AV2634">
        <f>$E$22</f>
        <v>21.375</v>
      </c>
      <c r="AW2634" cm="1">
        <f t="array" ref="AW2634">IFERROR(IF(AV2634=0,0,(INDEX($C$33:$C$38,MATCH($AZ$2594,$B$33:$B$38,0),0)*(AV2637+$BA$2594)+$AW$2594*COUNTIF(AV2634:AV2636,"&gt;0")*$C$32+$AY$2594*$C$31)*$AU$2594),0)</f>
        <v>0</v>
      </c>
      <c r="AX2634">
        <f>IF(AV2634=0,0,-(COUNTIF(AV2634:AV2636,"&gt;0")*$AW$2594*$C$32+$AY$2594*$C$31)*$H$27*$AU$2594)</f>
        <v>0</v>
      </c>
      <c r="AY2634">
        <f>IF(AV2634=0,0,$AY$2594*$H$26*$AU$2594)</f>
        <v>0</v>
      </c>
      <c r="AZ2634">
        <f>(0.6*AW2634+0.7*AX2634)*$AU$2594/2</f>
        <v>0</v>
      </c>
      <c r="BA2634">
        <f>AW2634*$AU$2594/2</f>
        <v>0</v>
      </c>
      <c r="BC2634">
        <f>IF(AV2634=0,0,$BG$2594*$AP$2582)</f>
        <v>0</v>
      </c>
      <c r="BD2634">
        <f>IFERROR(BC2634/$AU$2594,0)</f>
        <v>0</v>
      </c>
      <c r="BE2634">
        <f>BC2634*($F$22+IF($F$22=0,0,($C$14+$C$15+IF($C$13="single",1.5,3)+3)/12))</f>
        <v>0</v>
      </c>
      <c r="BF2634">
        <f>BE2634-AZ2634</f>
        <v>0</v>
      </c>
      <c r="BG2634" cm="1">
        <f t="array" ref="BG2634">IFERROR(IF(BF2634&lt;0,0,BF2634/($AU$2594-INDEX(hd_off,MATCH(BT2634,hd_mark,0),0)/12)),0)</f>
        <v>0</v>
      </c>
      <c r="BH2634">
        <f>IF(AV2634=0,0,$BG$2594*$AM$2582)</f>
        <v>0</v>
      </c>
      <c r="BI2634">
        <f>IFERROR(BH2634/$AU$2594,0)</f>
        <v>0</v>
      </c>
      <c r="BJ2634">
        <f>BH2634*($F$22+IF($F$22=0,0,($C$14+$C$15+IF($C$13="single",1.5,3)+3)/12))</f>
        <v>0</v>
      </c>
      <c r="BK2634">
        <f>BJ2634-BA2634</f>
        <v>0</v>
      </c>
      <c r="BL2634" cm="1">
        <f t="array" ref="BL2634">IFERROR(IF(BK2634&lt;0,0,BK2634/($AU$2594-INDEX(hd_off,MATCH(BT2634,hd_mark,0),0)/12)),0)</f>
        <v>0</v>
      </c>
      <c r="BM2634">
        <f>MAX($F$22,$BC$2594)/$Q$2612</f>
        <v>0.30172413793103448</v>
      </c>
      <c r="BN2634">
        <f t="shared" ref="BN2634:BN2637" si="1635">IF(BM2634=0,0,IF(BM2634&gt;2,1.25-0.125*BM2634,1))</f>
        <v>1</v>
      </c>
      <c r="BO2634" cm="1">
        <f t="array" ref="BO2634">IFERROR(INDEX(sheath_ecap_asd,MATCH(BS2634,sheath_mark,0),0)*BN2634,0)</f>
        <v>0</v>
      </c>
      <c r="BP2634" cm="1">
        <f t="array" ref="BP2634">IFERROR(INDEX(sheath_wcap_asd,MATCH(BS2634,sheath_mark,0),0)*BN2634,0)</f>
        <v>0</v>
      </c>
      <c r="BQ2634" cm="1">
        <f t="array" ref="BQ2634">IFERROR(INDEX(hd_cap,MATCH(BT2634,hd_mark,0),0),0)</f>
        <v>0</v>
      </c>
      <c r="BS2634" s="19"/>
      <c r="BT2634" s="19"/>
      <c r="BU2634" s="100"/>
    </row>
    <row r="2635" x14ac:dyDescent="0.25">
      <c r="P2635" s="93"/>
      <c r="Q2635" s="109" t="s">
        <v>491</v>
      </c>
      <c r="R2635" t="str">
        <f>$Q$2583</f>
        <v>L4</v>
      </c>
      <c r="S2635">
        <f>$E$23</f>
        <v>0</v>
      </c>
      <c r="T2635" cm="1">
        <f t="array" ref="T2635">IFERROR(IF(S2635=0,0,(INDEX($C$33:$C$38,MATCH($W$2594,$B$33:$B$38,0),0)*(S2637+$X$2594)+$T$2594*COUNTIF(S2635:S2636,"&gt;0")*$C$32+$V$2594*$C$31)*$R$2594),0)</f>
        <v>0</v>
      </c>
      <c r="U2635">
        <f>IF(S2635=0,0,-(COUNTIF(S2635:S2636,"&gt;0")*$T$2594*$C$32+$V$2594*$C$31)*$H$27*$R$2594)</f>
        <v>0</v>
      </c>
      <c r="V2635">
        <f>IF(S2635=0,0,$V$2594*$H$26*$R$2594)</f>
        <v>0</v>
      </c>
      <c r="W2635">
        <f>(0.6*T2635+0.7*U2635)*$R$2594/2</f>
        <v>0</v>
      </c>
      <c r="X2635">
        <f>T2635*$R$2594/2</f>
        <v>0</v>
      </c>
      <c r="Z2635">
        <f>IF(S2635=0,0,$AD$2594*$AP$2583)</f>
        <v>0</v>
      </c>
      <c r="AA2635">
        <f>IFERROR(Z2635/$R$2594,0)</f>
        <v>0</v>
      </c>
      <c r="AB2635">
        <f>Z2635*($F$23+IF($F$23=0,0,($C$14+$C$15+IF($C$13="single",1.5,3)+3)/12))</f>
        <v>0</v>
      </c>
      <c r="AC2635">
        <f>AB2635-W2635</f>
        <v>0</v>
      </c>
      <c r="AD2635" cm="1">
        <f t="array" ref="AD2635">IFERROR(IF(AC2635&lt;0,0,AC2635/($R$2594-INDEX(hd_off,MATCH(AQ2635,hd_mark,0),0)/12)),0)</f>
        <v>0</v>
      </c>
      <c r="AE2635">
        <f>IF(S2635=0,0,$AD$2594*$AM$2583)</f>
        <v>0</v>
      </c>
      <c r="AF2635">
        <f>IFERROR(AE2635/$R$2594,0)</f>
        <v>0</v>
      </c>
      <c r="AG2635">
        <f>AE2635*($F$23+IF($F$23=0,0,($C$14+$C$15+IF($C$13="single",1.5,3)+3)/12))</f>
        <v>0</v>
      </c>
      <c r="AH2635">
        <f>AG2635-X2635</f>
        <v>0</v>
      </c>
      <c r="AI2635" cm="1">
        <f t="array" ref="AI2635">IFERROR(IF(AH2635&lt;0,0,AH2635/($R$2594-INDEX(hd_off,MATCH(AQ2635,hd_mark,0),0)/12)),0)</f>
        <v>0</v>
      </c>
      <c r="AJ2635">
        <f>MAX($F$23,$AA$2594)/$Q$2612</f>
        <v>0</v>
      </c>
      <c r="AK2635">
        <f t="shared" si="1634"/>
        <v>0</v>
      </c>
      <c r="AL2635" cm="1">
        <f t="array" ref="AL2635">IFERROR(INDEX(sheath_ecap_asd,MATCH(AP2635,sheath_mark,0),0)*AK2635,0)</f>
        <v>0</v>
      </c>
      <c r="AM2635" cm="1">
        <f t="array" ref="AM2635">IFERROR(INDEX(sheath_wcap_asd,MATCH(AP2635,sheath_mark,0),0)*AK2635,0)</f>
        <v>0</v>
      </c>
      <c r="AN2635" cm="1">
        <f t="array" ref="AN2635">IFERROR(INDEX(hd_cap,MATCH(AQ2635,hd_mark,0),0),0)</f>
        <v>0</v>
      </c>
      <c r="AP2635" s="19"/>
      <c r="AQ2635" s="19"/>
      <c r="AR2635" s="100"/>
      <c r="AS2635" s="93"/>
      <c r="AT2635" s="109" t="s">
        <v>491</v>
      </c>
      <c r="AU2635" t="str">
        <f>$Q$2583</f>
        <v>L4</v>
      </c>
      <c r="AV2635">
        <f>$E$23</f>
        <v>0</v>
      </c>
      <c r="AW2635" cm="1">
        <f t="array" ref="AW2635">IFERROR(IF(AV2635=0,0,(INDEX($C$33:$C$38,MATCH($AZ$2594,$B$33:$B$38,0),0)*(AV2637+$BA$2594)+$AW$2594*COUNTIF(AV2635:AV2636,"&gt;0")*$C$32+$AY$2594*$C$31)*$AU$2594),0)</f>
        <v>0</v>
      </c>
      <c r="AX2635">
        <f>IF(AV2635=0,0,-(COUNTIF(AV2635:AV2636,"&gt;0")*$AW$2594*$C$32+$AY$2594*$C$31)*$H$27*$AU$2594)</f>
        <v>0</v>
      </c>
      <c r="AY2635">
        <f>IF(AV2635=0,0,$AY$2594*$H$26*$AU$2594)</f>
        <v>0</v>
      </c>
      <c r="AZ2635">
        <f>(0.6*AW2635+0.7*AX2635)*$AU$2594/2</f>
        <v>0</v>
      </c>
      <c r="BA2635">
        <f>AW2635*$AU$2594/2</f>
        <v>0</v>
      </c>
      <c r="BC2635">
        <f>IF(AV2635=0,0,$BG$2594*$AP$2583)</f>
        <v>0</v>
      </c>
      <c r="BD2635">
        <f>IFERROR(BC2635/$AU$2594,0)</f>
        <v>0</v>
      </c>
      <c r="BE2635">
        <f>BC2635*($F$23+IF($F$23=0,0,($C$14+$C$15+IF($C$13="single",1.5,3)+3)/12))</f>
        <v>0</v>
      </c>
      <c r="BF2635">
        <f>BE2635-AZ2635</f>
        <v>0</v>
      </c>
      <c r="BG2635" cm="1">
        <f t="array" ref="BG2635">IFERROR(IF(BF2635&lt;0,0,BF2635/($AU$2594-INDEX(hd_off,MATCH(BT2635,hd_mark,0),0)/12)),0)</f>
        <v>0</v>
      </c>
      <c r="BH2635">
        <f>IF(AV2635=0,0,$BG$2594*$AM$2583)</f>
        <v>0</v>
      </c>
      <c r="BI2635">
        <f>IFERROR(BH2635/$AU$2594,0)</f>
        <v>0</v>
      </c>
      <c r="BJ2635">
        <f>BH2635*($F$23+IF($F$23=0,0,($C$14+$C$15+IF($C$13="single",1.5,3)+3)/12))</f>
        <v>0</v>
      </c>
      <c r="BK2635">
        <f>BJ2635-BA2635</f>
        <v>0</v>
      </c>
      <c r="BL2635" cm="1">
        <f t="array" ref="BL2635">IFERROR(IF(BK2635&lt;0,0,BK2635/($AU$2594-INDEX(hd_off,MATCH(BT2635,hd_mark,0),0)/12)),0)</f>
        <v>0</v>
      </c>
      <c r="BM2635">
        <f>MAX($F$23,$BD$2594)/$Q$2612</f>
        <v>0</v>
      </c>
      <c r="BN2635">
        <f t="shared" si="1635"/>
        <v>0</v>
      </c>
      <c r="BO2635" cm="1">
        <f t="array" ref="BO2635">IFERROR(INDEX(sheath_ecap_asd,MATCH(BS2635,sheath_mark,0),0)*BN2635,0)</f>
        <v>0</v>
      </c>
      <c r="BP2635" cm="1">
        <f t="array" ref="BP2635">IFERROR(INDEX(sheath_wcap_asd,MATCH(BS2635,sheath_mark,0),0)*BN2635,0)</f>
        <v>0</v>
      </c>
      <c r="BQ2635" cm="1">
        <f t="array" ref="BQ2635">IFERROR(INDEX(hd_cap,MATCH(BT2635,hd_mark,0),0),0)</f>
        <v>0</v>
      </c>
      <c r="BS2635" s="19"/>
      <c r="BT2635" s="19"/>
      <c r="BU2635" s="100"/>
    </row>
    <row r="2636" x14ac:dyDescent="0.25">
      <c r="P2636" s="93"/>
      <c r="Q2636" s="111">
        <f>$R$2594</f>
        <v>0</v>
      </c>
      <c r="R2636" t="str">
        <f>$Q$2584</f>
        <v>L5</v>
      </c>
      <c r="S2636">
        <f>$E$24</f>
        <v>0</v>
      </c>
      <c r="T2636" cm="1">
        <f t="array" ref="T2636">IFERROR(IF(S2636=0,0,(INDEX($C$33:$C$38,MATCH($W$2594,$B$33:$B$38,0),0)*(S2637+$X$2594)+$T$2594*COUNTIF(S2636:S2636,"&gt;0")*$C$32+$V$2594*$C$31)*$R$2594),0)</f>
        <v>0</v>
      </c>
      <c r="U2636">
        <f>IF(S2636=0,0,-(COUNTIF(S2636:S2636,"&gt;0")*$T$2594*$C$32+$V$2594*$C$31)*$H$27*$R$2594)</f>
        <v>0</v>
      </c>
      <c r="V2636">
        <f>IF(S2636=0,0,$V$2594*$H$26*$R$2594)</f>
        <v>0</v>
      </c>
      <c r="W2636">
        <f>(0.6*T2636+0.7*U2636)*$R$2594/2</f>
        <v>0</v>
      </c>
      <c r="X2636">
        <f>T2636*$R$2594/2</f>
        <v>0</v>
      </c>
      <c r="Z2636">
        <f>IF(S2636=0,0,$AD$2594*$AP$2584)</f>
        <v>0</v>
      </c>
      <c r="AA2636">
        <f>IFERROR(Z2636/$R$2594,0)</f>
        <v>0</v>
      </c>
      <c r="AB2636">
        <f>Z2636*($F$24+IF($F$24=0,0,($C$14+$C$15+IF($C$13="single",1.5,3)+3)/12))</f>
        <v>0</v>
      </c>
      <c r="AC2636">
        <f>AB2636-W2636</f>
        <v>0</v>
      </c>
      <c r="AD2636" cm="1">
        <f t="array" ref="AD2636">IFERROR(IF(AC2636&lt;0,0,AC2636/($R$2594-INDEX(hd_off,MATCH(AQ2636,hd_mark,0),0)/12)),0)</f>
        <v>0</v>
      </c>
      <c r="AE2636">
        <f>IF(S2636=0,0,$AD$2594*$AM$2584)</f>
        <v>0</v>
      </c>
      <c r="AF2636">
        <f>IFERROR(AE2636/$R$2594,0)</f>
        <v>0</v>
      </c>
      <c r="AG2636">
        <f>AE2636*($F$24+IF($F$24=0,0,($C$14+$C$15+IF($C$13="single",1.5,3)+3)/12))</f>
        <v>0</v>
      </c>
      <c r="AH2636">
        <f>AG2636-X2636</f>
        <v>0</v>
      </c>
      <c r="AI2636" cm="1">
        <f t="array" ref="AI2636">IFERROR(IF(AH2636&lt;0,0,AH2636/($R$2594-INDEX(hd_off,MATCH(AQ2636,hd_mark,0),0)/12)),0)</f>
        <v>0</v>
      </c>
      <c r="AJ2636">
        <f>MAX($F$24,$AB$2594)/$Q$2612</f>
        <v>0</v>
      </c>
      <c r="AK2636">
        <f t="shared" si="1634"/>
        <v>0</v>
      </c>
      <c r="AL2636" cm="1">
        <f t="array" ref="AL2636">IFERROR(INDEX(sheath_ecap_asd,MATCH(AP2636,sheath_mark,0),0)*AK2636,0)</f>
        <v>0</v>
      </c>
      <c r="AM2636" cm="1">
        <f t="array" ref="AM2636">IFERROR(INDEX(sheath_wcap_asd,MATCH(AP2636,sheath_mark,0),0)*AK2636,0)</f>
        <v>0</v>
      </c>
      <c r="AN2636" cm="1">
        <f t="array" ref="AN2636">IFERROR(INDEX(hd_cap,MATCH(AQ2636,hd_mark,0),0),0)</f>
        <v>0</v>
      </c>
      <c r="AP2636" s="19"/>
      <c r="AQ2636" s="19"/>
      <c r="AR2636" s="100"/>
      <c r="AS2636" s="93"/>
      <c r="AT2636" s="111">
        <f>$R$2594</f>
        <v>0</v>
      </c>
      <c r="AU2636" t="str">
        <f>$Q$2584</f>
        <v>L5</v>
      </c>
      <c r="AV2636">
        <f>$E$24</f>
        <v>0</v>
      </c>
      <c r="AW2636" cm="1">
        <f t="array" ref="AW2636">IFERROR(IF(AV2636=0,0,(INDEX($C$33:$C$38,MATCH($AZ$2594,$B$33:$B$38,0),0)*(AV2637+$BA$2594)+$AW$2594*COUNTIF(AV2636:AV2636,"&gt;0")*$C$32+$AY$2594*$C$31)*$AU$2594),0)</f>
        <v>0</v>
      </c>
      <c r="AX2636">
        <f>IF(AV2636=0,0,-(COUNTIF(AV2636:AV2636,"&gt;0")*$AW$2594*$C$32+$AY$2594*$C$31)*$H$27*$AU$2594)</f>
        <v>0</v>
      </c>
      <c r="AY2636">
        <f>IF(AV2636=0,0,$AY$2594*$H$26*$AU$2594)</f>
        <v>0</v>
      </c>
      <c r="AZ2636">
        <f>(0.6*AW2636+0.7*AX2636)*$AU$2594/2</f>
        <v>0</v>
      </c>
      <c r="BA2636">
        <f>AW2636*$AU$2594/2</f>
        <v>0</v>
      </c>
      <c r="BC2636">
        <f>IF(AV2636=0,0,$BG$2594*$AP$2584)</f>
        <v>0</v>
      </c>
      <c r="BD2636">
        <f>IFERROR(BC2636/$AU$2594,0)</f>
        <v>0</v>
      </c>
      <c r="BE2636">
        <f>BC2636*($F$24+IF($F$24=0,0,($C$14+$C$15+IF($C$13="single",1.5,3)+3)/12))</f>
        <v>0</v>
      </c>
      <c r="BF2636">
        <f>BE2636-AZ2636</f>
        <v>0</v>
      </c>
      <c r="BG2636" cm="1">
        <f t="array" ref="BG2636">IFERROR(IF(BF2636&lt;0,0,BF2636/($AU$2594-INDEX(hd_off,MATCH(BT2636,hd_mark,0),0)/12)),0)</f>
        <v>0</v>
      </c>
      <c r="BH2636">
        <f>IF(AV2636=0,0,$BG$2594*$AM$2584)</f>
        <v>0</v>
      </c>
      <c r="BI2636">
        <f>IFERROR(BH2636/$AU$2594,0)</f>
        <v>0</v>
      </c>
      <c r="BJ2636">
        <f>BH2636*($F$24+IF($F$24=0,0,($C$14+$C$15+IF($C$13="single",1.5,3)+3)/12))</f>
        <v>0</v>
      </c>
      <c r="BK2636">
        <f>BJ2636-BA2636</f>
        <v>0</v>
      </c>
      <c r="BL2636" cm="1">
        <f t="array" ref="BL2636">IFERROR(IF(BK2636&lt;0,0,BK2636/($AU$2594-INDEX(hd_off,MATCH(BT2636,hd_mark,0),0)/12)),0)</f>
        <v>0</v>
      </c>
      <c r="BM2636">
        <f>MAX($F$24,$BE$2594)/$Q$2612</f>
        <v>0</v>
      </c>
      <c r="BN2636">
        <f t="shared" si="1635"/>
        <v>0</v>
      </c>
      <c r="BO2636" cm="1">
        <f t="array" ref="BO2636">IFERROR(INDEX(sheath_ecap_asd,MATCH(BS2636,sheath_mark,0),0)*BN2636,0)</f>
        <v>0</v>
      </c>
      <c r="BP2636" cm="1">
        <f t="array" ref="BP2636">IFERROR(INDEX(sheath_wcap_asd,MATCH(BS2636,sheath_mark,0),0)*BN2636,0)</f>
        <v>0</v>
      </c>
      <c r="BQ2636" cm="1">
        <f t="array" ref="BQ2636">IFERROR(INDEX(hd_cap,MATCH(BT2636,hd_mark,0),0),0)</f>
        <v>0</v>
      </c>
      <c r="BS2636" s="19"/>
      <c r="BT2636" s="19"/>
      <c r="BU2636" s="100"/>
    </row>
    <row r="2637" x14ac:dyDescent="0.25">
      <c r="P2637" s="93"/>
      <c r="Q2637" s="109"/>
      <c r="R2637" t="str">
        <f>$Q$2585</f>
        <v>Roof</v>
      </c>
      <c r="S2637">
        <f>$E$25</f>
        <v>33.171875</v>
      </c>
      <c r="T2637" cm="1">
        <f t="array" ref="T2637">IFERROR(IF(S2637=0,0,(INDEX($C$33:$C$38,MATCH($W$2594,$B$33:$B$38,0),0)*(S2637+$X$2594)+$V$2594*$C$31)*$R$2594),0)</f>
        <v>0</v>
      </c>
      <c r="U2637">
        <f>IF(S2637=0,0,-$V$2594*$C$31*$H$27*$R$2594)</f>
        <v>0</v>
      </c>
      <c r="V2637">
        <f>IF(S2637=0,0,$V$2594*$H$26*$R$2594)</f>
        <v>0</v>
      </c>
      <c r="W2637">
        <f>(0.6*T2637+0.7*U2637)*$R$2594/2</f>
        <v>0</v>
      </c>
      <c r="X2637">
        <f>T2637*$R$2594/2</f>
        <v>0</v>
      </c>
      <c r="Z2637">
        <f>IF(S2637=0,0,$AD$2594*$AP$2585)</f>
        <v>0</v>
      </c>
      <c r="AA2637">
        <f>IFERROR(Z2637/$R$2594,0)</f>
        <v>0</v>
      </c>
      <c r="AB2637">
        <f>Z2637*($F$25+($C$16+$C$17+IF($C$13="single",1.5,3)+3)/12)</f>
        <v>0</v>
      </c>
      <c r="AC2637">
        <f>AB2637-W2637</f>
        <v>0</v>
      </c>
      <c r="AD2637" cm="1">
        <f t="array" ref="AD2637">IFERROR(IF(AC2637&lt;0,0,AC2637/($R$2594-INDEX(hd_off,MATCH(AQ2637,hd_mark,0),0)/12)),0)</f>
        <v>0</v>
      </c>
      <c r="AE2637">
        <f>IF(S2637=0,0,$AD$2594*$AM$2585)</f>
        <v>0</v>
      </c>
      <c r="AF2637">
        <f>IFERROR(AE2637/$R$2594,0)</f>
        <v>0</v>
      </c>
      <c r="AG2637">
        <f>AE2637*($F$25+($C$16+$C$17+IF($C$13="single",1.5,3)+3)/12)</f>
        <v>0</v>
      </c>
      <c r="AH2637">
        <f>AG2637-X2637</f>
        <v>0</v>
      </c>
      <c r="AI2637" cm="1">
        <f t="array" ref="AI2637">IFERROR(IF(AH2637&lt;0,0,AH2637/($R$2594-INDEX(hd_off,MATCH(AQ2637,hd_mark,0),0)/12)),0)</f>
        <v>0</v>
      </c>
      <c r="AJ2637">
        <f>MAX($F$25,$AC$2594)/$Q$2612</f>
        <v>0.29920977011494249</v>
      </c>
      <c r="AK2637">
        <f t="shared" si="1634"/>
        <v>1</v>
      </c>
      <c r="AL2637" cm="1">
        <f t="array" ref="AL2637">IFERROR(INDEX(sheath_ecap_asd,MATCH(AP2637,sheath_mark,0),0)*AK2637,0)</f>
        <v>0</v>
      </c>
      <c r="AM2637" cm="1">
        <f t="array" ref="AM2637">IFERROR(INDEX(sheath_wcap_asd,MATCH(AP2637,sheath_mark,0),0)*AK2637,0)</f>
        <v>0</v>
      </c>
      <c r="AN2637" cm="1">
        <f t="array" ref="AN2637">IFERROR(INDEX(hd_cap,MATCH(AQ2637,hd_mark,0),0),0)</f>
        <v>0</v>
      </c>
      <c r="AP2637" s="19"/>
      <c r="AQ2637" s="19"/>
      <c r="AR2637" s="100"/>
      <c r="AS2637" s="93"/>
      <c r="AT2637" s="109"/>
      <c r="AU2637" t="str">
        <f>$Q$2585</f>
        <v>Roof</v>
      </c>
      <c r="AV2637">
        <f>$E$25</f>
        <v>33.171875</v>
      </c>
      <c r="AW2637" cm="1">
        <f t="array" ref="AW2637">IFERROR(IF(AV2637=0,0,(INDEX($C$33:$C$38,MATCH($AZ$2594,$B$33:$B$38,0),0)*(AV2637+$BA$2594)+$AY$2594*$C$31)*$AU$2594),0)</f>
        <v>0</v>
      </c>
      <c r="AX2637">
        <f>IF(AV2637=0,0,-$AY$2594*$C$31*$H$27*$AU$2594)</f>
        <v>0</v>
      </c>
      <c r="AY2637">
        <f>IF(AV2637=0,0,$AY$2594*$H$26*$AU$2594)</f>
        <v>0</v>
      </c>
      <c r="AZ2637">
        <f>(0.6*AW2637+0.7*AX2637)*$AU$2594/2</f>
        <v>0</v>
      </c>
      <c r="BA2637">
        <f>AW2637*$AU$2594/2</f>
        <v>0</v>
      </c>
      <c r="BC2637">
        <f>IF(AV2637=0,0,$BG$2594*$AP$2585)</f>
        <v>0</v>
      </c>
      <c r="BD2637">
        <f>IFERROR(BC2637/$AU$2594,0)</f>
        <v>0</v>
      </c>
      <c r="BE2637">
        <f>BC2637*($F$25+($C$16+$C$17+IF($C$13="single",1.5,3)+3)/12)</f>
        <v>0</v>
      </c>
      <c r="BF2637">
        <f>BE2637-AZ2637</f>
        <v>0</v>
      </c>
      <c r="BG2637" cm="1">
        <f t="array" ref="BG2637">IFERROR(IF(BF2637&lt;0,0,BF2637/($AU$2594-INDEX(hd_off,MATCH(BT2637,hd_mark,0),0)/12)),0)</f>
        <v>0</v>
      </c>
      <c r="BH2637">
        <f>IF(AV2637=0,0,$BG$2594*$AM$2585)</f>
        <v>0</v>
      </c>
      <c r="BI2637">
        <f>IFERROR(BH2637/$AU$2594,0)</f>
        <v>0</v>
      </c>
      <c r="BJ2637">
        <f>BH2637*($F$25+($C$16+$C$17+IF($C$13="single",1.5,3)+3)/12)</f>
        <v>0</v>
      </c>
      <c r="BK2637">
        <f>BJ2637-BA2637</f>
        <v>0</v>
      </c>
      <c r="BL2637" cm="1">
        <f t="array" ref="BL2637">IFERROR(IF(BK2637&lt;0,0,BK2637/($AU$2594-INDEX(hd_off,MATCH(BT2637,hd_mark,0),0)/12)),0)</f>
        <v>0</v>
      </c>
      <c r="BM2637">
        <f>MAX($F$25,$BF$2594)/$Q$2612</f>
        <v>0.29920977011494249</v>
      </c>
      <c r="BN2637">
        <f t="shared" si="1635"/>
        <v>1</v>
      </c>
      <c r="BO2637" cm="1">
        <f t="array" ref="BO2637">IFERROR(INDEX(sheath_ecap_asd,MATCH(BS2637,sheath_mark,0),0)*BN2637,0)</f>
        <v>0</v>
      </c>
      <c r="BP2637" cm="1">
        <f t="array" ref="BP2637">IFERROR(INDEX(sheath_wcap_asd,MATCH(BS2637,sheath_mark,0),0)*BN2637,0)</f>
        <v>0</v>
      </c>
      <c r="BQ2637" cm="1">
        <f t="array" ref="BQ2637">IFERROR(INDEX(hd_cap,MATCH(BT2637,hd_mark,0),0),0)</f>
        <v>0</v>
      </c>
      <c r="BS2637" s="19"/>
      <c r="BT2637" s="19"/>
      <c r="BU2637" s="100"/>
    </row>
    <row r="2638" x14ac:dyDescent="0.25">
      <c r="P2638" s="93"/>
      <c r="AR2638" s="100"/>
      <c r="AS2638" s="93"/>
      <c r="BU2638" s="100"/>
    </row>
    <row r="2639" x14ac:dyDescent="0.25">
      <c r="P2639" s="93"/>
      <c r="Q2639" s="110" t="str">
        <f>$Q$2595</f>
        <v>A.06</v>
      </c>
      <c r="R2639" t="str">
        <f>$Q$2581</f>
        <v>L2</v>
      </c>
      <c r="S2639">
        <f>$E$21</f>
        <v>10.6875</v>
      </c>
      <c r="T2639" cm="1">
        <f t="array" ref="T2639">IFERROR(IF(S2639=0,0,(INDEX($C$33:$C$38,MATCH($W$2595,$B$33:$B$38,0),0)*(S2643+$X$2595)+$T$2595*COUNTIF(S2639:S2642,"&gt;0")*$C$32+$V$2595*$C$31)*$R$2595),0)</f>
        <v>0</v>
      </c>
      <c r="U2639">
        <f>IF(S2639=0,0,-(COUNTIF(S2639:S2642,"&gt;0")*$T$2595*$C$32+$V$2595*$C$31)*$H$27*$R$2595)</f>
        <v>0</v>
      </c>
      <c r="V2639">
        <f>IF(S2639=0,0,$V$2595*$H$26*$R$2595)</f>
        <v>0</v>
      </c>
      <c r="W2639">
        <f>(0.6*T2639+0.7*U2639)*$R$2595/2</f>
        <v>0</v>
      </c>
      <c r="X2639">
        <f>(0.6*T2639+0.6*V2639)*$R$2595/2</f>
        <v>0</v>
      </c>
      <c r="Z2639">
        <f>IF(S2639=0,0,$AD$2595*$AP$2581)</f>
        <v>0</v>
      </c>
      <c r="AA2639">
        <f>IFERROR(Z2639/$R$2595,0)</f>
        <v>0</v>
      </c>
      <c r="AB2639">
        <f>Z2639*($F$21+IF($F$21=0,0,($C$14+$C$15+IF($C$13="single",1.5,3)+3)/12))</f>
        <v>0</v>
      </c>
      <c r="AC2639">
        <f>AB2639-W2639</f>
        <v>0</v>
      </c>
      <c r="AD2639" cm="1">
        <f t="array" ref="AD2639">IFERROR(IF(AC2639&lt;0,0,AC2639/($R$2595-INDEX(hd_off,MATCH(AQ2639,hd_mark,0),0)/12)),0)</f>
        <v>0</v>
      </c>
      <c r="AE2639">
        <f>IF(S2639=0,0,$AD$2595*$AM$2581)</f>
        <v>0</v>
      </c>
      <c r="AF2639">
        <f>IFERROR(AE2639/$R$2595,0)</f>
        <v>0</v>
      </c>
      <c r="AG2639">
        <f>AE2639*($F$21+IF($F$21=0,0,($C$14+$C$15+IF($C$13="single",1.5,3)+3)/12))</f>
        <v>0</v>
      </c>
      <c r="AH2639">
        <f>AG2639-X2639</f>
        <v>0</v>
      </c>
      <c r="AI2639" cm="1">
        <f t="array" ref="AI2639">IFERROR(IF(AH2639&lt;0,0,AH2639/($R$2595-INDEX(hd_off,MATCH(AQ2639,hd_mark,0),0)/12)),0)</f>
        <v>0</v>
      </c>
      <c r="AJ2639">
        <f>MAX($F$21,$Y$2595)/$Q$2612</f>
        <v>0.30172413793103448</v>
      </c>
      <c r="AK2639">
        <f>IF(AJ2639=0,0,IF(AJ2639&gt;2,1.25-0.125*AJ2639,1))</f>
        <v>1</v>
      </c>
      <c r="AL2639" cm="1">
        <f t="array" ref="AL2639">IFERROR(INDEX(sheath_ecap_asd,MATCH(AP2639,sheath_mark,0),0)*AK2639,0)</f>
        <v>0</v>
      </c>
      <c r="AM2639" cm="1">
        <f t="array" ref="AM2639">IFERROR(INDEX(sheath_wcap_asd,MATCH(AP2639,sheath_mark,0),0)*AK2639,0)</f>
        <v>0</v>
      </c>
      <c r="AN2639" cm="1">
        <f t="array" ref="AN2639">IFERROR(INDEX(hd_cap,MATCH(AQ2639,hd_mark,0),0),0)</f>
        <v>0</v>
      </c>
      <c r="AP2639" s="19"/>
      <c r="AQ2639" s="19"/>
      <c r="AR2639" s="100"/>
      <c r="AS2639" s="93"/>
      <c r="AT2639" s="110" t="str">
        <f>$AT$2595</f>
        <v>1.06</v>
      </c>
      <c r="AU2639" t="str">
        <f>$Q$2581</f>
        <v>L2</v>
      </c>
      <c r="AV2639">
        <f>$E$21</f>
        <v>10.6875</v>
      </c>
      <c r="AW2639" cm="1">
        <f t="array" ref="AW2639">IFERROR(IF(AV2639=0,0,(INDEX($C$33:$C$38,MATCH($AZ$2595,$B$33:$B$38,0),0)*(AV2643+$BA$2595)+$AW$2595*COUNTIF(AV2639:AV2642,"&gt;0")*$C$32+$AY$2595*$C$31)*$AU$2595),0)</f>
        <v>0</v>
      </c>
      <c r="AX2639">
        <f>IF(AV2639=0,0,-(COUNTIF(AV2639:AV2642,"&gt;0")*$AW$2595*$C$32+$AY$2595*$C$31)*$H$27*$AU$2595)</f>
        <v>0</v>
      </c>
      <c r="AY2639">
        <f>IF(AV2639=0,0,$AY$2595*$H$26*$AU$2595)</f>
        <v>0</v>
      </c>
      <c r="AZ2639">
        <f>(0.6*AW2639+0.7*AX2639)*$AU$2595/2</f>
        <v>0</v>
      </c>
      <c r="BA2639">
        <f>(0.6*AW2639+0.6*AY2639)*$AU$2595/2</f>
        <v>0</v>
      </c>
      <c r="BC2639">
        <f>IF(AV2639=0,0,$BG$2595*$AP$2581)</f>
        <v>0</v>
      </c>
      <c r="BD2639">
        <f>IFERROR(BC2639/$AU$2595,0)</f>
        <v>0</v>
      </c>
      <c r="BE2639">
        <f>BC2639*($F$21+IF($F$21=0,0,($C$14+$C$15+IF($C$13="single",1.5,3)+3)/12))</f>
        <v>0</v>
      </c>
      <c r="BF2639">
        <f>BE2639-AZ2639</f>
        <v>0</v>
      </c>
      <c r="BG2639" cm="1">
        <f t="array" ref="BG2639">IFERROR(IF(BF2639&lt;0,0,BF2639/($AU$2595-INDEX(hd_off,MATCH(BT2639,hd_mark,0),0)/12)),0)</f>
        <v>0</v>
      </c>
      <c r="BH2639">
        <f>IF(AV2639=0,0,$BG$2595*$AM$2581)</f>
        <v>0</v>
      </c>
      <c r="BI2639">
        <f>IFERROR(BH2639/$AU$2595,0)</f>
        <v>0</v>
      </c>
      <c r="BJ2639">
        <f>BH2639*($F$21+IF($F$21=0,0,($C$14+$C$15+IF($C$13="single",1.5,3)+3)/12))</f>
        <v>0</v>
      </c>
      <c r="BK2639">
        <f>BJ2639-BA2639</f>
        <v>0</v>
      </c>
      <c r="BL2639" cm="1">
        <f t="array" ref="BL2639">IFERROR(IF(BK2639&lt;0,0,BK2639/($AU$2595-INDEX(hd_off,MATCH(BT2639,hd_mark,0),0)/12)),0)</f>
        <v>0</v>
      </c>
      <c r="BM2639">
        <f>MAX($F$21,$BB$2595)/$Q$2612</f>
        <v>0.30172413793103448</v>
      </c>
      <c r="BN2639">
        <f>IF(BM2639=0,0,IF(BM2639&gt;2,1.25-0.125*BM2639,1))</f>
        <v>1</v>
      </c>
      <c r="BO2639" cm="1">
        <f t="array" ref="BO2639">IFERROR(INDEX(sheath_ecap_asd,MATCH(BS2639,sheath_mark,0),0)*BN2639,0)</f>
        <v>0</v>
      </c>
      <c r="BP2639" cm="1">
        <f t="array" ref="BP2639">IFERROR(INDEX(sheath_wcap_asd,MATCH(BS2639,sheath_mark,0),0)*BN2639,0)</f>
        <v>0</v>
      </c>
      <c r="BQ2639" cm="1">
        <f t="array" ref="BQ2639">IFERROR(INDEX(hd_cap,MATCH(BT2639,hd_mark,0),0),0)</f>
        <v>0</v>
      </c>
      <c r="BS2639" s="19"/>
      <c r="BT2639" s="19"/>
      <c r="BU2639" s="100"/>
    </row>
    <row r="2640" x14ac:dyDescent="0.25">
      <c r="P2640" s="93"/>
      <c r="Q2640" s="109"/>
      <c r="R2640" t="str">
        <f>$Q$2582</f>
        <v>L3</v>
      </c>
      <c r="S2640">
        <f>$E$22</f>
        <v>21.375</v>
      </c>
      <c r="T2640" cm="1">
        <f t="array" ref="T2640">IFERROR(IF(S2640=0,0,(INDEX($C$33:$C$38,MATCH($W$2595,$B$33:$B$38,0),0)*(S2643+$X$2595)+$T$2595*COUNTIF(S2640:S2642,"&gt;0")*$C$32+$V$2595*$C$31)*$R$2595),0)</f>
        <v>0</v>
      </c>
      <c r="U2640">
        <f>IF(S2640=0,0,-(COUNTIF(S2640:S2642,"&gt;0")*$T$2595*$C$32+$V$2595*$C$31)*$H$27*$R$2595)</f>
        <v>0</v>
      </c>
      <c r="V2640">
        <f>IF(S2640=0,0,$V$2595*$H$26*$R$2595)</f>
        <v>0</v>
      </c>
      <c r="W2640">
        <f>(0.6*T2640+0.7*U2640)*$R$2595/2</f>
        <v>0</v>
      </c>
      <c r="X2640">
        <f>T2640*$R$2595/2</f>
        <v>0</v>
      </c>
      <c r="Z2640">
        <f>IF(S2640=0,0,$AD$2595*$AP$2582)</f>
        <v>0</v>
      </c>
      <c r="AA2640">
        <f>IFERROR(Z2640/$R$2595,0)</f>
        <v>0</v>
      </c>
      <c r="AB2640">
        <f>Z2640*($F$22+IF($F$22=0,0,($C$14+$C$15+IF($C$13="single",1.5,3)+3)/12))</f>
        <v>0</v>
      </c>
      <c r="AC2640">
        <f>AB2640-W2640</f>
        <v>0</v>
      </c>
      <c r="AD2640" cm="1">
        <f t="array" ref="AD2640">IFERROR(IF(AC2640&lt;0,0,AC2640/($R$2595-INDEX(hd_off,MATCH(AQ2640,hd_mark,0),0)/12)),0)</f>
        <v>0</v>
      </c>
      <c r="AE2640">
        <f>IF(S2640=0,0,$AD$2595*$AM$2582)</f>
        <v>0</v>
      </c>
      <c r="AF2640">
        <f>IFERROR(AE2640/$R$2595,0)</f>
        <v>0</v>
      </c>
      <c r="AG2640">
        <f>AE2640*($F$22+IF($F$22=0,0,($C$14+$C$15+IF($C$13="single",1.5,3)+3)/12))</f>
        <v>0</v>
      </c>
      <c r="AH2640">
        <f>AG2640-X2640</f>
        <v>0</v>
      </c>
      <c r="AI2640" cm="1">
        <f t="array" ref="AI2640">IFERROR(IF(AH2640&lt;0,0,AH2640/($R$2595-INDEX(hd_off,MATCH(AQ2640,hd_mark,0),0)/12)),0)</f>
        <v>0</v>
      </c>
      <c r="AJ2640">
        <f>MAX($F$22,$Z$2595)/$Q$2612</f>
        <v>0.30172413793103448</v>
      </c>
      <c r="AK2640">
        <f t="shared" ref="AK2640:AK2643" si="1636">IF(AJ2640=0,0,IF(AJ2640&gt;2,1.25-0.125*AJ2640,1))</f>
        <v>1</v>
      </c>
      <c r="AL2640" cm="1">
        <f t="array" ref="AL2640">IFERROR(INDEX(sheath_ecap_asd,MATCH(AP2640,sheath_mark,0),0)*AK2640,0)</f>
        <v>0</v>
      </c>
      <c r="AM2640" cm="1">
        <f t="array" ref="AM2640">IFERROR(INDEX(sheath_wcap_asd,MATCH(AP2640,sheath_mark,0),0)*AK2640,0)</f>
        <v>0</v>
      </c>
      <c r="AN2640" cm="1">
        <f t="array" ref="AN2640">IFERROR(INDEX(hd_cap,MATCH(AQ2640,hd_mark,0),0),0)</f>
        <v>0</v>
      </c>
      <c r="AP2640" s="19"/>
      <c r="AQ2640" s="19"/>
      <c r="AR2640" s="100"/>
      <c r="AS2640" s="93"/>
      <c r="AT2640" s="109"/>
      <c r="AU2640" t="str">
        <f>$Q$2582</f>
        <v>L3</v>
      </c>
      <c r="AV2640">
        <f>$E$22</f>
        <v>21.375</v>
      </c>
      <c r="AW2640" cm="1">
        <f t="array" ref="AW2640">IFERROR(IF(AV2640=0,0,(INDEX($C$33:$C$38,MATCH($AZ$2595,$B$33:$B$38,0),0)*(AV2643+$BA$2595)+$AW$2595*COUNTIF(AV2640:AV2642,"&gt;0")*$C$32+$AY$2595*$C$31)*$AU$2595),0)</f>
        <v>0</v>
      </c>
      <c r="AX2640">
        <f>IF(AV2640=0,0,-(COUNTIF(AV2640:AV2642,"&gt;0")*$AW$2595*$C$32+$AY$2595*$C$31)*$H$27*$AU$2595)</f>
        <v>0</v>
      </c>
      <c r="AY2640">
        <f>IF(AV2640=0,0,$AY$2595*$H$26*$AU$2595)</f>
        <v>0</v>
      </c>
      <c r="AZ2640">
        <f>(0.6*AW2640+0.7*AX2640)*$AU$2595/2</f>
        <v>0</v>
      </c>
      <c r="BA2640">
        <f>AW2640*$AU$2595/2</f>
        <v>0</v>
      </c>
      <c r="BC2640">
        <f>IF(AV2640=0,0,$BG$2595*$AP$2582)</f>
        <v>0</v>
      </c>
      <c r="BD2640">
        <f>IFERROR(BC2640/$AU$2595,0)</f>
        <v>0</v>
      </c>
      <c r="BE2640">
        <f>BC2640*($F$22+IF($F$22=0,0,($C$14+$C$15+IF($C$13="single",1.5,3)+3)/12))</f>
        <v>0</v>
      </c>
      <c r="BF2640">
        <f>BE2640-AZ2640</f>
        <v>0</v>
      </c>
      <c r="BG2640" cm="1">
        <f t="array" ref="BG2640">IFERROR(IF(BF2640&lt;0,0,BF2640/($AU$2595-INDEX(hd_off,MATCH(BT2640,hd_mark,0),0)/12)),0)</f>
        <v>0</v>
      </c>
      <c r="BH2640">
        <f>IF(AV2640=0,0,$BG$2595*$AM$2582)</f>
        <v>0</v>
      </c>
      <c r="BI2640">
        <f>IFERROR(BH2640/$AU$2595,0)</f>
        <v>0</v>
      </c>
      <c r="BJ2640">
        <f>BH2640*($F$22+IF($F$22=0,0,($C$14+$C$15+IF($C$13="single",1.5,3)+3)/12))</f>
        <v>0</v>
      </c>
      <c r="BK2640">
        <f>BJ2640-BA2640</f>
        <v>0</v>
      </c>
      <c r="BL2640" cm="1">
        <f t="array" ref="BL2640">IFERROR(IF(BK2640&lt;0,0,BK2640/($AU$2595-INDEX(hd_off,MATCH(BT2640,hd_mark,0),0)/12)),0)</f>
        <v>0</v>
      </c>
      <c r="BM2640">
        <f>MAX($F$22,$BC$2595)/$Q$2612</f>
        <v>0.30172413793103448</v>
      </c>
      <c r="BN2640">
        <f t="shared" ref="BN2640:BN2643" si="1637">IF(BM2640=0,0,IF(BM2640&gt;2,1.25-0.125*BM2640,1))</f>
        <v>1</v>
      </c>
      <c r="BO2640" cm="1">
        <f t="array" ref="BO2640">IFERROR(INDEX(sheath_ecap_asd,MATCH(BS2640,sheath_mark,0),0)*BN2640,0)</f>
        <v>0</v>
      </c>
      <c r="BP2640" cm="1">
        <f t="array" ref="BP2640">IFERROR(INDEX(sheath_wcap_asd,MATCH(BS2640,sheath_mark,0),0)*BN2640,0)</f>
        <v>0</v>
      </c>
      <c r="BQ2640" cm="1">
        <f t="array" ref="BQ2640">IFERROR(INDEX(hd_cap,MATCH(BT2640,hd_mark,0),0),0)</f>
        <v>0</v>
      </c>
      <c r="BS2640" s="19"/>
      <c r="BT2640" s="19"/>
      <c r="BU2640" s="100"/>
    </row>
    <row r="2641" x14ac:dyDescent="0.25">
      <c r="P2641" s="93"/>
      <c r="Q2641" s="109" t="s">
        <v>491</v>
      </c>
      <c r="R2641" t="str">
        <f>$Q$2583</f>
        <v>L4</v>
      </c>
      <c r="S2641">
        <f>$E$23</f>
        <v>0</v>
      </c>
      <c r="T2641" cm="1">
        <f t="array" ref="T2641">IFERROR(IF(S2641=0,0,(INDEX($C$33:$C$38,MATCH($W$2595,$B$33:$B$38,0),0)*(S2643+$X$2595)+$T$2595*COUNTIF(S2641:S2642,"&gt;0")*$C$32+$V$2595*$C$31)*$R$2595),0)</f>
        <v>0</v>
      </c>
      <c r="U2641">
        <f>IF(S2641=0,0,-(COUNTIF(S2641:S2642,"&gt;0")*$T$2595*$C$32+$V$2595*$C$31)*$H$27*$R$2595)</f>
        <v>0</v>
      </c>
      <c r="V2641">
        <f>IF(S2641=0,0,$V$2595*$H$26*$R$2595)</f>
        <v>0</v>
      </c>
      <c r="W2641">
        <f>(0.6*T2641+0.7*U2641)*$R$2595/2</f>
        <v>0</v>
      </c>
      <c r="X2641">
        <f>T2641*$R$2595/2</f>
        <v>0</v>
      </c>
      <c r="Z2641">
        <f>IF(S2641=0,0,$AD$2595*$AP$2583)</f>
        <v>0</v>
      </c>
      <c r="AA2641">
        <f>IFERROR(Z2641/$R$2595,0)</f>
        <v>0</v>
      </c>
      <c r="AB2641">
        <f>Z2641*($F$23+IF($F$23=0,0,($C$14+$C$15+IF($C$13="single",1.5,3)+3)/12))</f>
        <v>0</v>
      </c>
      <c r="AC2641">
        <f>AB2641-W2641</f>
        <v>0</v>
      </c>
      <c r="AD2641" cm="1">
        <f t="array" ref="AD2641">IFERROR(IF(AC2641&lt;0,0,AC2641/($R$2595-INDEX(hd_off,MATCH(AQ2641,hd_mark,0),0)/12)),0)</f>
        <v>0</v>
      </c>
      <c r="AE2641">
        <f>IF(S2641=0,0,$AD$2595*$AM$2583)</f>
        <v>0</v>
      </c>
      <c r="AF2641">
        <f>IFERROR(AE2641/$R$2595,0)</f>
        <v>0</v>
      </c>
      <c r="AG2641">
        <f>AE2641*($F$23+IF($F$23=0,0,($C$14+$C$15+IF($C$13="single",1.5,3)+3)/12))</f>
        <v>0</v>
      </c>
      <c r="AH2641">
        <f>AG2641-X2641</f>
        <v>0</v>
      </c>
      <c r="AI2641" cm="1">
        <f t="array" ref="AI2641">IFERROR(IF(AH2641&lt;0,0,AH2641/($R$2595-INDEX(hd_off,MATCH(AQ2641,hd_mark,0),0)/12)),0)</f>
        <v>0</v>
      </c>
      <c r="AJ2641">
        <f>MAX($F$23,$AA$2595)/$Q$2612</f>
        <v>0</v>
      </c>
      <c r="AK2641">
        <f t="shared" si="1636"/>
        <v>0</v>
      </c>
      <c r="AL2641" cm="1">
        <f t="array" ref="AL2641">IFERROR(INDEX(sheath_ecap_asd,MATCH(AP2641,sheath_mark,0),0)*AK2641,0)</f>
        <v>0</v>
      </c>
      <c r="AM2641" cm="1">
        <f t="array" ref="AM2641">IFERROR(INDEX(sheath_wcap_asd,MATCH(AP2641,sheath_mark,0),0)*AK2641,0)</f>
        <v>0</v>
      </c>
      <c r="AN2641" cm="1">
        <f t="array" ref="AN2641">IFERROR(INDEX(hd_cap,MATCH(AQ2641,hd_mark,0),0),0)</f>
        <v>0</v>
      </c>
      <c r="AP2641" s="19"/>
      <c r="AQ2641" s="19"/>
      <c r="AR2641" s="100"/>
      <c r="AS2641" s="93"/>
      <c r="AT2641" s="109" t="s">
        <v>491</v>
      </c>
      <c r="AU2641" t="str">
        <f>$Q$2583</f>
        <v>L4</v>
      </c>
      <c r="AV2641">
        <f>$E$23</f>
        <v>0</v>
      </c>
      <c r="AW2641" cm="1">
        <f t="array" ref="AW2641">IFERROR(IF(AV2641=0,0,(INDEX($C$33:$C$38,MATCH($AZ$2595,$B$33:$B$38,0),0)*(AV2643+$BA$2595)+$AW$2595*COUNTIF(AV2641:AV2642,"&gt;0")*$C$32+$AY$2595*$C$31)*$AU$2595),0)</f>
        <v>0</v>
      </c>
      <c r="AX2641">
        <f>IF(AV2641=0,0,-(COUNTIF(AV2641:AV2642,"&gt;0")*$AW$2595*$C$32+$AY$2595*$C$31)*$H$27*$AU$2595)</f>
        <v>0</v>
      </c>
      <c r="AY2641">
        <f>IF(AV2641=0,0,$AY$2595*$H$26*$AU$2595)</f>
        <v>0</v>
      </c>
      <c r="AZ2641">
        <f>(0.6*AW2641+0.7*AX2641)*$AU$2595/2</f>
        <v>0</v>
      </c>
      <c r="BA2641">
        <f>AW2641*$AU$2595/2</f>
        <v>0</v>
      </c>
      <c r="BC2641">
        <f>IF(AV2641=0,0,$BG$2595*$AP$2583)</f>
        <v>0</v>
      </c>
      <c r="BD2641">
        <f>IFERROR(BC2641/$AU$2595,0)</f>
        <v>0</v>
      </c>
      <c r="BE2641">
        <f>BC2641*($F$23+IF($F$23=0,0,($C$14+$C$15+IF($C$13="single",1.5,3)+3)/12))</f>
        <v>0</v>
      </c>
      <c r="BF2641">
        <f>BE2641-AZ2641</f>
        <v>0</v>
      </c>
      <c r="BG2641" cm="1">
        <f t="array" ref="BG2641">IFERROR(IF(BF2641&lt;0,0,BF2641/($AU$2595-INDEX(hd_off,MATCH(BT2641,hd_mark,0),0)/12)),0)</f>
        <v>0</v>
      </c>
      <c r="BH2641">
        <f>IF(AV2641=0,0,$BG$2595*$AM$2583)</f>
        <v>0</v>
      </c>
      <c r="BI2641">
        <f>IFERROR(BH2641/$AU$2595,0)</f>
        <v>0</v>
      </c>
      <c r="BJ2641">
        <f>BH2641*($F$23+IF($F$23=0,0,($C$14+$C$15+IF($C$13="single",1.5,3)+3)/12))</f>
        <v>0</v>
      </c>
      <c r="BK2641">
        <f>BJ2641-BA2641</f>
        <v>0</v>
      </c>
      <c r="BL2641" cm="1">
        <f t="array" ref="BL2641">IFERROR(IF(BK2641&lt;0,0,BK2641/($AU$2595-INDEX(hd_off,MATCH(BT2641,hd_mark,0),0)/12)),0)</f>
        <v>0</v>
      </c>
      <c r="BM2641">
        <f>MAX($F$23,$BD$2595)/$Q$2612</f>
        <v>0</v>
      </c>
      <c r="BN2641">
        <f t="shared" si="1637"/>
        <v>0</v>
      </c>
      <c r="BO2641" cm="1">
        <f t="array" ref="BO2641">IFERROR(INDEX(sheath_ecap_asd,MATCH(BS2641,sheath_mark,0),0)*BN2641,0)</f>
        <v>0</v>
      </c>
      <c r="BP2641" cm="1">
        <f t="array" ref="BP2641">IFERROR(INDEX(sheath_wcap_asd,MATCH(BS2641,sheath_mark,0),0)*BN2641,0)</f>
        <v>0</v>
      </c>
      <c r="BQ2641" cm="1">
        <f t="array" ref="BQ2641">IFERROR(INDEX(hd_cap,MATCH(BT2641,hd_mark,0),0),0)</f>
        <v>0</v>
      </c>
      <c r="BS2641" s="19"/>
      <c r="BT2641" s="19"/>
      <c r="BU2641" s="100"/>
    </row>
    <row r="2642" x14ac:dyDescent="0.25">
      <c r="P2642" s="93"/>
      <c r="Q2642" s="111">
        <f>$R$2595</f>
        <v>0</v>
      </c>
      <c r="R2642" t="str">
        <f>$Q$2584</f>
        <v>L5</v>
      </c>
      <c r="S2642">
        <f>$E$24</f>
        <v>0</v>
      </c>
      <c r="T2642" cm="1">
        <f t="array" ref="T2642">IFERROR(IF(S2642=0,0,(INDEX($C$33:$C$38,MATCH($W$2595,$B$33:$B$38,0),0)*(S2643+$X$2595)+$T$2595*COUNTIF(S2642:S2642,"&gt;0")*$C$32+$V$2595*$C$31)*$R$2595),0)</f>
        <v>0</v>
      </c>
      <c r="U2642">
        <f>IF(S2642=0,0,-(COUNTIF(S2642:S2642,"&gt;0")*$T$2595*$C$32+$V$2595*$C$31)*$H$27*$R$2595)</f>
        <v>0</v>
      </c>
      <c r="V2642">
        <f>IF(S2642=0,0,$V$2595*$H$26*$R$2595)</f>
        <v>0</v>
      </c>
      <c r="W2642">
        <f>(0.6*T2642+0.7*U2642)*$R$2595/2</f>
        <v>0</v>
      </c>
      <c r="X2642">
        <f>T2642*$R$2595/2</f>
        <v>0</v>
      </c>
      <c r="Z2642">
        <f>IF(S2642=0,0,$AD$2595*$AP$2584)</f>
        <v>0</v>
      </c>
      <c r="AA2642">
        <f>IFERROR(Z2642/$R$2595,0)</f>
        <v>0</v>
      </c>
      <c r="AB2642">
        <f>Z2642*($F$24+IF($F$24=0,0,($C$14+$C$15+IF($C$13="single",1.5,3)+3)/12))</f>
        <v>0</v>
      </c>
      <c r="AC2642">
        <f>AB2642-W2642</f>
        <v>0</v>
      </c>
      <c r="AD2642" cm="1">
        <f t="array" ref="AD2642">IFERROR(IF(AC2642&lt;0,0,AC2642/($R$2595-INDEX(hd_off,MATCH(AQ2642,hd_mark,0),0)/12)),0)</f>
        <v>0</v>
      </c>
      <c r="AE2642">
        <f>IF(S2642=0,0,$AD$2595*$AM$2584)</f>
        <v>0</v>
      </c>
      <c r="AF2642">
        <f>IFERROR(AE2642/$R$2595,0)</f>
        <v>0</v>
      </c>
      <c r="AG2642">
        <f>AE2642*($F$24+IF($F$24=0,0,($C$14+$C$15+IF($C$13="single",1.5,3)+3)/12))</f>
        <v>0</v>
      </c>
      <c r="AH2642">
        <f>AG2642-X2642</f>
        <v>0</v>
      </c>
      <c r="AI2642" cm="1">
        <f t="array" ref="AI2642">IFERROR(IF(AH2642&lt;0,0,AH2642/($R$2595-INDEX(hd_off,MATCH(AQ2642,hd_mark,0),0)/12)),0)</f>
        <v>0</v>
      </c>
      <c r="AJ2642">
        <f>MAX($F$24,$AB$2595)/$Q$2612</f>
        <v>0</v>
      </c>
      <c r="AK2642">
        <f t="shared" si="1636"/>
        <v>0</v>
      </c>
      <c r="AL2642" cm="1">
        <f t="array" ref="AL2642">IFERROR(INDEX(sheath_ecap_asd,MATCH(AP2642,sheath_mark,0),0)*AK2642,0)</f>
        <v>0</v>
      </c>
      <c r="AM2642" cm="1">
        <f t="array" ref="AM2642">IFERROR(INDEX(sheath_wcap_asd,MATCH(AP2642,sheath_mark,0),0)*AK2642,0)</f>
        <v>0</v>
      </c>
      <c r="AN2642" cm="1">
        <f t="array" ref="AN2642">IFERROR(INDEX(hd_cap,MATCH(AQ2642,hd_mark,0),0),0)</f>
        <v>0</v>
      </c>
      <c r="AP2642" s="19"/>
      <c r="AQ2642" s="19"/>
      <c r="AR2642" s="100"/>
      <c r="AS2642" s="93"/>
      <c r="AT2642" s="111">
        <f>$R$2595</f>
        <v>0</v>
      </c>
      <c r="AU2642" t="str">
        <f>$Q$2584</f>
        <v>L5</v>
      </c>
      <c r="AV2642">
        <f>$E$24</f>
        <v>0</v>
      </c>
      <c r="AW2642" cm="1">
        <f t="array" ref="AW2642">IFERROR(IF(AV2642=0,0,(INDEX($C$33:$C$38,MATCH($AZ$2595,$B$33:$B$38,0),0)*(AV2643+$BA$2595)+$AW$2595*COUNTIF(AV2642:AV2642,"&gt;0")*$C$32+$AY$2595*$C$31)*$AU$2595),0)</f>
        <v>0</v>
      </c>
      <c r="AX2642">
        <f>IF(AV2642=0,0,-(COUNTIF(AV2642:AV2642,"&gt;0")*$AW$2595*$C$32+$AY$2595*$C$31)*$H$27*$AU$2595)</f>
        <v>0</v>
      </c>
      <c r="AY2642">
        <f>IF(AV2642=0,0,$AY$2595*$H$26*$AU$2595)</f>
        <v>0</v>
      </c>
      <c r="AZ2642">
        <f>(0.6*AW2642+0.7*AX2642)*$AU$2595/2</f>
        <v>0</v>
      </c>
      <c r="BA2642">
        <f>AW2642*$AU$2595/2</f>
        <v>0</v>
      </c>
      <c r="BC2642">
        <f>IF(AV2642=0,0,$BG$2595*$AP$2584)</f>
        <v>0</v>
      </c>
      <c r="BD2642">
        <f>IFERROR(BC2642/$AU$2595,0)</f>
        <v>0</v>
      </c>
      <c r="BE2642">
        <f>BC2642*($F$24+IF($F$24=0,0,($C$14+$C$15+IF($C$13="single",1.5,3)+3)/12))</f>
        <v>0</v>
      </c>
      <c r="BF2642">
        <f>BE2642-AZ2642</f>
        <v>0</v>
      </c>
      <c r="BG2642" cm="1">
        <f t="array" ref="BG2642">IFERROR(IF(BF2642&lt;0,0,BF2642/($AU$2595-INDEX(hd_off,MATCH(BT2642,hd_mark,0),0)/12)),0)</f>
        <v>0</v>
      </c>
      <c r="BH2642">
        <f>IF(AV2642=0,0,$BG$2595*$AM$2584)</f>
        <v>0</v>
      </c>
      <c r="BI2642">
        <f>IFERROR(BH2642/$AU$2595,0)</f>
        <v>0</v>
      </c>
      <c r="BJ2642">
        <f>BH2642*($F$24+IF($F$24=0,0,($C$14+$C$15+IF($C$13="single",1.5,3)+3)/12))</f>
        <v>0</v>
      </c>
      <c r="BK2642">
        <f>BJ2642-BA2642</f>
        <v>0</v>
      </c>
      <c r="BL2642" cm="1">
        <f t="array" ref="BL2642">IFERROR(IF(BK2642&lt;0,0,BK2642/($AU$2595-INDEX(hd_off,MATCH(BT2642,hd_mark,0),0)/12)),0)</f>
        <v>0</v>
      </c>
      <c r="BM2642">
        <f>MAX($F$24,$BE$2595)/$Q$2612</f>
        <v>0</v>
      </c>
      <c r="BN2642">
        <f t="shared" si="1637"/>
        <v>0</v>
      </c>
      <c r="BO2642" cm="1">
        <f t="array" ref="BO2642">IFERROR(INDEX(sheath_ecap_asd,MATCH(BS2642,sheath_mark,0),0)*BN2642,0)</f>
        <v>0</v>
      </c>
      <c r="BP2642" cm="1">
        <f t="array" ref="BP2642">IFERROR(INDEX(sheath_wcap_asd,MATCH(BS2642,sheath_mark,0),0)*BN2642,0)</f>
        <v>0</v>
      </c>
      <c r="BQ2642" cm="1">
        <f t="array" ref="BQ2642">IFERROR(INDEX(hd_cap,MATCH(BT2642,hd_mark,0),0),0)</f>
        <v>0</v>
      </c>
      <c r="BS2642" s="19"/>
      <c r="BT2642" s="19"/>
      <c r="BU2642" s="100"/>
    </row>
    <row r="2643" x14ac:dyDescent="0.25">
      <c r="P2643" s="93"/>
      <c r="Q2643" s="109"/>
      <c r="R2643" t="str">
        <f>$Q$2585</f>
        <v>Roof</v>
      </c>
      <c r="S2643">
        <f>$E$25</f>
        <v>33.171875</v>
      </c>
      <c r="T2643" cm="1">
        <f t="array" ref="T2643">IFERROR(IF(S2643=0,0,(INDEX($C$33:$C$38,MATCH($W$2595,$B$33:$B$38,0),0)*(S2643+$X$2595)+$V$2595*$C$31)*$R$2595),0)</f>
        <v>0</v>
      </c>
      <c r="U2643">
        <f>IF(S2643=0,0,-$V$2595*$C$31*$H$27*$R$2595)</f>
        <v>0</v>
      </c>
      <c r="V2643">
        <f>IF(S2643=0,0,$V$2595*$H$26*$R$2595)</f>
        <v>0</v>
      </c>
      <c r="W2643">
        <f>(0.6*T2643+0.7*U2643)*$R$2595/2</f>
        <v>0</v>
      </c>
      <c r="X2643">
        <f>T2643*$R$2595/2</f>
        <v>0</v>
      </c>
      <c r="Z2643">
        <f>IF(S2643=0,0,$AD$2595*$AP$2585)</f>
        <v>0</v>
      </c>
      <c r="AA2643">
        <f>IFERROR(Z2643/$R$2595,0)</f>
        <v>0</v>
      </c>
      <c r="AB2643">
        <f>Z2643*($F$25+($C$16+$C$17+IF($C$13="single",1.5,3)+3)/12)</f>
        <v>0</v>
      </c>
      <c r="AC2643">
        <f>AB2643-W2643</f>
        <v>0</v>
      </c>
      <c r="AD2643" cm="1">
        <f t="array" ref="AD2643">IFERROR(IF(AC2643&lt;0,0,AC2643/($R$2595-INDEX(hd_off,MATCH(AQ2643,hd_mark,0),0)/12)),0)</f>
        <v>0</v>
      </c>
      <c r="AE2643">
        <f>IF(S2643=0,0,$AD$2595*$AM$2585)</f>
        <v>0</v>
      </c>
      <c r="AF2643">
        <f>IFERROR(AE2643/$R$2595,0)</f>
        <v>0</v>
      </c>
      <c r="AG2643">
        <f>AE2643*($F$25+($C$16+$C$17+IF($C$13="single",1.5,3)+3)/12)</f>
        <v>0</v>
      </c>
      <c r="AH2643">
        <f>AG2643-X2643</f>
        <v>0</v>
      </c>
      <c r="AI2643" cm="1">
        <f t="array" ref="AI2643">IFERROR(IF(AH2643&lt;0,0,AH2643/($R$2595-INDEX(hd_off,MATCH(AQ2643,hd_mark,0),0)/12)),0)</f>
        <v>0</v>
      </c>
      <c r="AJ2643">
        <f>MAX($F$25,$AC$2595)/$Q$2612</f>
        <v>0.29920977011494249</v>
      </c>
      <c r="AK2643">
        <f t="shared" si="1636"/>
        <v>1</v>
      </c>
      <c r="AL2643" cm="1">
        <f t="array" ref="AL2643">IFERROR(INDEX(sheath_ecap_asd,MATCH(AP2643,sheath_mark,0),0)*AK2643,0)</f>
        <v>0</v>
      </c>
      <c r="AM2643" cm="1">
        <f t="array" ref="AM2643">IFERROR(INDEX(sheath_wcap_asd,MATCH(AP2643,sheath_mark,0),0)*AK2643,0)</f>
        <v>0</v>
      </c>
      <c r="AN2643" cm="1">
        <f t="array" ref="AN2643">IFERROR(INDEX(hd_cap,MATCH(AQ2643,hd_mark,0),0),0)</f>
        <v>0</v>
      </c>
      <c r="AP2643" s="19"/>
      <c r="AQ2643" s="19"/>
      <c r="AR2643" s="100"/>
      <c r="AS2643" s="93"/>
      <c r="AT2643" s="109"/>
      <c r="AU2643" t="str">
        <f>$Q$2585</f>
        <v>Roof</v>
      </c>
      <c r="AV2643">
        <f>$E$25</f>
        <v>33.171875</v>
      </c>
      <c r="AW2643" cm="1">
        <f t="array" ref="AW2643">IFERROR(IF(AV2643=0,0,(INDEX($C$33:$C$38,MATCH($AZ$2595,$B$33:$B$38,0),0)*(AV2643+$BA$2595)+$AY$2595*$C$31)*$AU$2595),0)</f>
        <v>0</v>
      </c>
      <c r="AX2643">
        <f>IF(AV2643=0,0,-$AY$2595*$C$31*$H$27*$AU$2595)</f>
        <v>0</v>
      </c>
      <c r="AY2643">
        <f>IF(AV2643=0,0,$AY$2595*$H$26*$AU$2595)</f>
        <v>0</v>
      </c>
      <c r="AZ2643">
        <f>(0.6*AW2643+0.7*AX2643)*$AU$2595/2</f>
        <v>0</v>
      </c>
      <c r="BA2643">
        <f>AW2643*$AU$2595/2</f>
        <v>0</v>
      </c>
      <c r="BC2643">
        <f>IF(AV2643=0,0,$BG$2595*$AP$2585)</f>
        <v>0</v>
      </c>
      <c r="BD2643">
        <f>IFERROR(BC2643/$AU$2595,0)</f>
        <v>0</v>
      </c>
      <c r="BE2643">
        <f>BC2643*($F$25+($C$16+$C$17+IF($C$13="single",1.5,3)+3)/12)</f>
        <v>0</v>
      </c>
      <c r="BF2643">
        <f>BE2643-AZ2643</f>
        <v>0</v>
      </c>
      <c r="BG2643" cm="1">
        <f t="array" ref="BG2643">IFERROR(IF(BF2643&lt;0,0,BF2643/($AU$2595-INDEX(hd_off,MATCH(BT2643,hd_mark,0),0)/12)),0)</f>
        <v>0</v>
      </c>
      <c r="BH2643">
        <f>IF(AV2643=0,0,$BG$2595*$AM$2585)</f>
        <v>0</v>
      </c>
      <c r="BI2643">
        <f>IFERROR(BH2643/$AU$2595,0)</f>
        <v>0</v>
      </c>
      <c r="BJ2643">
        <f>BH2643*($F$25+($C$16+$C$17+IF($C$13="single",1.5,3)+3)/12)</f>
        <v>0</v>
      </c>
      <c r="BK2643">
        <f>BJ2643-BA2643</f>
        <v>0</v>
      </c>
      <c r="BL2643" cm="1">
        <f t="array" ref="BL2643">IFERROR(IF(BK2643&lt;0,0,BK2643/($AU$2595-INDEX(hd_off,MATCH(BT2643,hd_mark,0),0)/12)),0)</f>
        <v>0</v>
      </c>
      <c r="BM2643">
        <f>MAX($F$25,$BF$2595)/$Q$2612</f>
        <v>0.29920977011494249</v>
      </c>
      <c r="BN2643">
        <f t="shared" si="1637"/>
        <v>1</v>
      </c>
      <c r="BO2643" cm="1">
        <f t="array" ref="BO2643">IFERROR(INDEX(sheath_ecap_asd,MATCH(BS2643,sheath_mark,0),0)*BN2643,0)</f>
        <v>0</v>
      </c>
      <c r="BP2643" cm="1">
        <f t="array" ref="BP2643">IFERROR(INDEX(sheath_wcap_asd,MATCH(BS2643,sheath_mark,0),0)*BN2643,0)</f>
        <v>0</v>
      </c>
      <c r="BQ2643" cm="1">
        <f t="array" ref="BQ2643">IFERROR(INDEX(hd_cap,MATCH(BT2643,hd_mark,0),0),0)</f>
        <v>0</v>
      </c>
      <c r="BS2643" s="19"/>
      <c r="BT2643" s="19"/>
      <c r="BU2643" s="100"/>
    </row>
    <row r="2644" x14ac:dyDescent="0.25">
      <c r="P2644" s="93"/>
      <c r="AR2644" s="100"/>
      <c r="AS2644" s="93"/>
      <c r="BU2644" s="100"/>
    </row>
    <row r="2645" x14ac:dyDescent="0.25">
      <c r="P2645" s="93"/>
      <c r="Q2645" s="110" t="str">
        <f>$Q$2596</f>
        <v>A.07</v>
      </c>
      <c r="R2645" t="str">
        <f>$Q$2581</f>
        <v>L2</v>
      </c>
      <c r="S2645">
        <f>$E$21</f>
        <v>10.6875</v>
      </c>
      <c r="T2645" cm="1">
        <f t="array" ref="T2645">IFERROR(IF(S2645=0,0,(INDEX($C$33:$C$38,MATCH($W$2596,$B$33:$B$38,0),0)*(S2649+$X$2596)+$T$2596*COUNTIF(S2645:S2648,"&gt;0")*$C$32+$V$2596*$C$31)*$R$2596),0)</f>
        <v>0</v>
      </c>
      <c r="U2645">
        <f>IF(S2645=0,0,-(COUNTIF(S2645:S2648,"&gt;0")*$T$2596*$C$32+$V$2596*$C$31)*$H$27*$R$2596)</f>
        <v>0</v>
      </c>
      <c r="V2645">
        <f>IF(S2645=0,0,$V$2596*$H$26*$R$2596)</f>
        <v>0</v>
      </c>
      <c r="W2645">
        <f>(0.6*T2645+0.7*U2645)*$R$2596/2</f>
        <v>0</v>
      </c>
      <c r="X2645">
        <f>(0.6*T2645+0.6*V2645)*$R$2596/2</f>
        <v>0</v>
      </c>
      <c r="Z2645">
        <f>IF(S2645=0,0,$AD$2596*$AP$2581)</f>
        <v>0</v>
      </c>
      <c r="AA2645">
        <f>IFERROR(Z2645/$R$2596,0)</f>
        <v>0</v>
      </c>
      <c r="AB2645">
        <f>Z2645*($F$21+IF($F$21=0,0,($C$14+$C$15+IF($C$13="single",1.5,3)+3)/12))</f>
        <v>0</v>
      </c>
      <c r="AC2645">
        <f>AB2645-W2645</f>
        <v>0</v>
      </c>
      <c r="AD2645" cm="1">
        <f t="array" ref="AD2645">IFERROR(IF(AC2645&lt;0,0,AC2645/($R$2596-INDEX(hd_off,MATCH(AQ2645,hd_mark,0),0)/12)),0)</f>
        <v>0</v>
      </c>
      <c r="AE2645">
        <f>IF(S2645=0,0,$AD$2596*$AM$2581)</f>
        <v>0</v>
      </c>
      <c r="AF2645">
        <f>IFERROR(AE2645/$R$2596,0)</f>
        <v>0</v>
      </c>
      <c r="AG2645">
        <f>AE2645*($F$21+IF($F$21=0,0,($C$14+$C$15+IF($C$13="single",1.5,3)+3)/12))</f>
        <v>0</v>
      </c>
      <c r="AH2645">
        <f>AG2645-X2645</f>
        <v>0</v>
      </c>
      <c r="AI2645" cm="1">
        <f t="array" ref="AI2645">IFERROR(IF(AH2645&lt;0,0,AH2645/($R$2596-INDEX(hd_off,MATCH(AQ2645,hd_mark,0),0)/12)),0)</f>
        <v>0</v>
      </c>
      <c r="AJ2645">
        <f>MAX($F$21,$Y$2596)/$Q$2612</f>
        <v>0.30172413793103448</v>
      </c>
      <c r="AK2645">
        <f>IF(AJ2645=0,0,IF(AJ2645&gt;2,1.25-0.125*AJ2645,1))</f>
        <v>1</v>
      </c>
      <c r="AL2645" cm="1">
        <f t="array" ref="AL2645">IFERROR(INDEX(sheath_ecap_asd,MATCH(AP2645,sheath_mark,0),0)*AK2645,0)</f>
        <v>0</v>
      </c>
      <c r="AM2645" cm="1">
        <f t="array" ref="AM2645">IFERROR(INDEX(sheath_wcap_asd,MATCH(AP2645,sheath_mark,0),0)*AK2645,0)</f>
        <v>0</v>
      </c>
      <c r="AN2645" cm="1">
        <f t="array" ref="AN2645">IFERROR(INDEX(hd_cap,MATCH(AQ2645,hd_mark,0),0),0)</f>
        <v>0</v>
      </c>
      <c r="AP2645" s="19"/>
      <c r="AQ2645" s="19"/>
      <c r="AR2645" s="100"/>
      <c r="AS2645" s="93"/>
      <c r="AT2645" s="110" t="str">
        <f>$AT$2596</f>
        <v>1.07</v>
      </c>
      <c r="AU2645" t="str">
        <f>$Q$2581</f>
        <v>L2</v>
      </c>
      <c r="AV2645">
        <f>$E$21</f>
        <v>10.6875</v>
      </c>
      <c r="AW2645" cm="1">
        <f t="array" ref="AW2645">IFERROR(IF(AV2645=0,0,(INDEX($C$33:$C$38,MATCH($AZ$2596,$B$33:$B$38,0),0)*(AV2649+$BA$2596)+$AW$2596*COUNTIF(AV2645:AV2648,"&gt;0")*$C$32+$AY$2596*$C$31)*$AU$2596),0)</f>
        <v>0</v>
      </c>
      <c r="AX2645">
        <f>IF(AV2645=0,0,-(COUNTIF(AV2645:AV2648,"&gt;0")*$AW$2596*$C$32+$AY$2596*$C$31)*$H$27*$AU$2596)</f>
        <v>0</v>
      </c>
      <c r="AY2645">
        <f>IF(AV2645=0,0,$AY$2596*$H$26*$AU$2596)</f>
        <v>0</v>
      </c>
      <c r="AZ2645">
        <f>(0.6*AW2645+0.7*AX2645)*$AU$2596/2</f>
        <v>0</v>
      </c>
      <c r="BA2645">
        <f>(0.6*AW2645+0.6*AY2645)*$AU$2596/2</f>
        <v>0</v>
      </c>
      <c r="BC2645">
        <f>IF(AV2645=0,0,$BG$2596*$AP$2581)</f>
        <v>0</v>
      </c>
      <c r="BD2645">
        <f>IFERROR(BC2645/$AU$2596,0)</f>
        <v>0</v>
      </c>
      <c r="BE2645">
        <f>BC2645*($F$21+IF($F$21=0,0,($C$14+$C$15+IF($C$13="single",1.5,3)+3)/12))</f>
        <v>0</v>
      </c>
      <c r="BF2645">
        <f>BE2645-AZ2645</f>
        <v>0</v>
      </c>
      <c r="BG2645" cm="1">
        <f t="array" ref="BG2645">IFERROR(IF(BF2645&lt;0,0,BF2645/($AU$2596-INDEX(hd_off,MATCH(BT2645,hd_mark,0),0)/12)),0)</f>
        <v>0</v>
      </c>
      <c r="BH2645">
        <f>IF(AV2645=0,0,$BG$2596*$AM$2581)</f>
        <v>0</v>
      </c>
      <c r="BI2645">
        <f>IFERROR(BH2645/$AU$2596,0)</f>
        <v>0</v>
      </c>
      <c r="BJ2645">
        <f>BH2645*($F$21+IF($F$21=0,0,($C$14+$C$15+IF($C$13="single",1.5,3)+3)/12))</f>
        <v>0</v>
      </c>
      <c r="BK2645">
        <f>BJ2645-BA2645</f>
        <v>0</v>
      </c>
      <c r="BL2645" cm="1">
        <f t="array" ref="BL2645">IFERROR(IF(BK2645&lt;0,0,BK2645/($AU$2596-INDEX(hd_off,MATCH(BT2645,hd_mark,0),0)/12)),0)</f>
        <v>0</v>
      </c>
      <c r="BM2645">
        <f>MAX($F$21,$BB$2596)/$Q$2612</f>
        <v>0.30172413793103448</v>
      </c>
      <c r="BN2645">
        <f>IF(BM2645=0,0,IF(BM2645&gt;2,1.25-0.125*BM2645,1))</f>
        <v>1</v>
      </c>
      <c r="BO2645" cm="1">
        <f t="array" ref="BO2645">IFERROR(INDEX(sheath_ecap_asd,MATCH(BS2645,sheath_mark,0),0)*BN2645,0)</f>
        <v>0</v>
      </c>
      <c r="BP2645" cm="1">
        <f t="array" ref="BP2645">IFERROR(INDEX(sheath_wcap_asd,MATCH(BS2645,sheath_mark,0),0)*BN2645,0)</f>
        <v>0</v>
      </c>
      <c r="BQ2645" cm="1">
        <f t="array" ref="BQ2645">IFERROR(INDEX(hd_cap,MATCH(BT2645,hd_mark,0),0),0)</f>
        <v>0</v>
      </c>
      <c r="BS2645" s="19"/>
      <c r="BT2645" s="19"/>
      <c r="BU2645" s="100"/>
    </row>
    <row r="2646" x14ac:dyDescent="0.25">
      <c r="P2646" s="93"/>
      <c r="Q2646" s="109"/>
      <c r="R2646" t="str">
        <f>$Q$2582</f>
        <v>L3</v>
      </c>
      <c r="S2646">
        <f>$E$22</f>
        <v>21.375</v>
      </c>
      <c r="T2646" cm="1">
        <f t="array" ref="T2646">IFERROR(IF(S2646=0,0,(INDEX($C$33:$C$38,MATCH($W$2596,$B$33:$B$38,0),0)*(S2649+$X$2596)+$T$2596*COUNTIF(S2646:S2648,"&gt;0")*$C$32+$V$2596*$C$31)*$R$2596),0)</f>
        <v>0</v>
      </c>
      <c r="U2646">
        <f>IF(S2646=0,0,-(COUNTIF(S2646:S2648,"&gt;0")*$T$2596*$C$32+$V$2596*$C$31)*$H$27*$R$2596)</f>
        <v>0</v>
      </c>
      <c r="V2646">
        <f>IF(S2646=0,0,$V$2596*$H$26*$R$2596)</f>
        <v>0</v>
      </c>
      <c r="W2646">
        <f>(0.6*T2646+0.7*U2646)*$R$2596/2</f>
        <v>0</v>
      </c>
      <c r="X2646">
        <f>T2646*$R$2596/2</f>
        <v>0</v>
      </c>
      <c r="Z2646">
        <f>IF(S2646=0,0,$AD$2596*$AP$2582)</f>
        <v>0</v>
      </c>
      <c r="AA2646">
        <f>IFERROR(Z2646/$R$2596,0)</f>
        <v>0</v>
      </c>
      <c r="AB2646">
        <f>Z2646*($F$22+IF($F$22=0,0,($C$14+$C$15+IF($C$13="single",1.5,3)+3)/12))</f>
        <v>0</v>
      </c>
      <c r="AC2646">
        <f>AB2646-W2646</f>
        <v>0</v>
      </c>
      <c r="AD2646" cm="1">
        <f t="array" ref="AD2646">IFERROR(IF(AC2646&lt;0,0,AC2646/($R$2596-INDEX(hd_off,MATCH(AQ2646,hd_mark,0),0)/12)),0)</f>
        <v>0</v>
      </c>
      <c r="AE2646">
        <f>IF(S2646=0,0,$AD$2596*$AM$2582)</f>
        <v>0</v>
      </c>
      <c r="AF2646">
        <f>IFERROR(AE2646/$R$2596,0)</f>
        <v>0</v>
      </c>
      <c r="AG2646">
        <f>AE2646*($F$22+IF($F$22=0,0,($C$14+$C$15+IF($C$13="single",1.5,3)+3)/12))</f>
        <v>0</v>
      </c>
      <c r="AH2646">
        <f>AG2646-X2646</f>
        <v>0</v>
      </c>
      <c r="AI2646" cm="1">
        <f t="array" ref="AI2646">IFERROR(IF(AH2646&lt;0,0,AH2646/($R$2596-INDEX(hd_off,MATCH(AQ2646,hd_mark,0),0)/12)),0)</f>
        <v>0</v>
      </c>
      <c r="AJ2646">
        <f>MAX($F$22,$Z$2596)/$Q$2612</f>
        <v>0.30172413793103448</v>
      </c>
      <c r="AK2646">
        <f t="shared" ref="AK2646:AK2649" si="1638">IF(AJ2646=0,0,IF(AJ2646&gt;2,1.25-0.125*AJ2646,1))</f>
        <v>1</v>
      </c>
      <c r="AL2646" cm="1">
        <f t="array" ref="AL2646">IFERROR(INDEX(sheath_ecap_asd,MATCH(AP2646,sheath_mark,0),0)*AK2646,0)</f>
        <v>0</v>
      </c>
      <c r="AM2646" cm="1">
        <f t="array" ref="AM2646">IFERROR(INDEX(sheath_wcap_asd,MATCH(AP2646,sheath_mark,0),0)*AK2646,0)</f>
        <v>0</v>
      </c>
      <c r="AN2646" cm="1">
        <f t="array" ref="AN2646">IFERROR(INDEX(hd_cap,MATCH(AQ2646,hd_mark,0),0),0)</f>
        <v>0</v>
      </c>
      <c r="AP2646" s="19"/>
      <c r="AQ2646" s="19"/>
      <c r="AR2646" s="100"/>
      <c r="AS2646" s="93"/>
      <c r="AT2646" s="109"/>
      <c r="AU2646" t="str">
        <f>$Q$2582</f>
        <v>L3</v>
      </c>
      <c r="AV2646">
        <f>$E$22</f>
        <v>21.375</v>
      </c>
      <c r="AW2646" cm="1">
        <f t="array" ref="AW2646">IFERROR(IF(AV2646=0,0,(INDEX($C$33:$C$38,MATCH($AZ$2596,$B$33:$B$38,0),0)*(AV2649+$BA$2596)+$AW$2596*COUNTIF(AV2646:AV2648,"&gt;0")*$C$32+$AY$2596*$C$31)*$AU$2596),0)</f>
        <v>0</v>
      </c>
      <c r="AX2646">
        <f>IF(AV2646=0,0,-(COUNTIF(AV2646:AV2648,"&gt;0")*$AW$2596*$C$32+$AY$2596*$C$31)*$H$27*$AU$2596)</f>
        <v>0</v>
      </c>
      <c r="AY2646">
        <f>IF(AV2646=0,0,$AY$2596*$H$26*$AU$2596)</f>
        <v>0</v>
      </c>
      <c r="AZ2646">
        <f>(0.6*AW2646+0.7*AX2646)*$AU$2596/2</f>
        <v>0</v>
      </c>
      <c r="BA2646">
        <f>AW2646*$AU$2596/2</f>
        <v>0</v>
      </c>
      <c r="BC2646">
        <f>IF(AV2646=0,0,$BG$2596*$AP$2582)</f>
        <v>0</v>
      </c>
      <c r="BD2646">
        <f>IFERROR(BC2646/$AU$2596,0)</f>
        <v>0</v>
      </c>
      <c r="BE2646">
        <f>BC2646*($F$22+IF($F$22=0,0,($C$14+$C$15+IF($C$13="single",1.5,3)+3)/12))</f>
        <v>0</v>
      </c>
      <c r="BF2646">
        <f>BE2646-AZ2646</f>
        <v>0</v>
      </c>
      <c r="BG2646" cm="1">
        <f t="array" ref="BG2646">IFERROR(IF(BF2646&lt;0,0,BF2646/($AU$2596-INDEX(hd_off,MATCH(BT2646,hd_mark,0),0)/12)),0)</f>
        <v>0</v>
      </c>
      <c r="BH2646">
        <f>IF(AV2646=0,0,$BG$2596*$AM$2582)</f>
        <v>0</v>
      </c>
      <c r="BI2646">
        <f>IFERROR(BH2646/$AU$2596,0)</f>
        <v>0</v>
      </c>
      <c r="BJ2646">
        <f>BH2646*($F$22+IF($F$22=0,0,($C$14+$C$15+IF($C$13="single",1.5,3)+3)/12))</f>
        <v>0</v>
      </c>
      <c r="BK2646">
        <f>BJ2646-BA2646</f>
        <v>0</v>
      </c>
      <c r="BL2646" cm="1">
        <f t="array" ref="BL2646">IFERROR(IF(BK2646&lt;0,0,BK2646/($AU$2596-INDEX(hd_off,MATCH(BT2646,hd_mark,0),0)/12)),0)</f>
        <v>0</v>
      </c>
      <c r="BM2646">
        <f>MAX($F$22,$BC$2596)/$Q$2612</f>
        <v>0.30172413793103448</v>
      </c>
      <c r="BN2646">
        <f t="shared" ref="BN2646:BN2649" si="1639">IF(BM2646=0,0,IF(BM2646&gt;2,1.25-0.125*BM2646,1))</f>
        <v>1</v>
      </c>
      <c r="BO2646" cm="1">
        <f t="array" ref="BO2646">IFERROR(INDEX(sheath_ecap_asd,MATCH(BS2646,sheath_mark,0),0)*BN2646,0)</f>
        <v>0</v>
      </c>
      <c r="BP2646" cm="1">
        <f t="array" ref="BP2646">IFERROR(INDEX(sheath_wcap_asd,MATCH(BS2646,sheath_mark,0),0)*BN2646,0)</f>
        <v>0</v>
      </c>
      <c r="BQ2646" cm="1">
        <f t="array" ref="BQ2646">IFERROR(INDEX(hd_cap,MATCH(BT2646,hd_mark,0),0),0)</f>
        <v>0</v>
      </c>
      <c r="BS2646" s="19"/>
      <c r="BT2646" s="19"/>
      <c r="BU2646" s="100"/>
    </row>
    <row r="2647" x14ac:dyDescent="0.25">
      <c r="P2647" s="93"/>
      <c r="Q2647" s="109" t="s">
        <v>491</v>
      </c>
      <c r="R2647" t="str">
        <f>$Q$2583</f>
        <v>L4</v>
      </c>
      <c r="S2647">
        <f>$E$23</f>
        <v>0</v>
      </c>
      <c r="T2647" cm="1">
        <f t="array" ref="T2647">IFERROR(IF(S2647=0,0,(INDEX($C$33:$C$38,MATCH($W$2596,$B$33:$B$38,0),0)*(S2649+$X$2596)+$T$2596*COUNTIF(S2647:S2648,"&gt;0")*$C$32+$V$2596*$C$31)*$R$2596),0)</f>
        <v>0</v>
      </c>
      <c r="U2647">
        <f>IF(S2647=0,0,-(COUNTIF(S2647:S2648,"&gt;0")*$T$2596*$C$32+$V$2596*$C$31)*$H$27*$R$2596)</f>
        <v>0</v>
      </c>
      <c r="V2647">
        <f>IF(S2647=0,0,$V$2596*$H$26*$R$2596)</f>
        <v>0</v>
      </c>
      <c r="W2647">
        <f>(0.6*T2647+0.7*U2647)*$R$2596/2</f>
        <v>0</v>
      </c>
      <c r="X2647">
        <f>T2647*$R$2596/2</f>
        <v>0</v>
      </c>
      <c r="Z2647">
        <f>IF(S2647=0,0,$AD$2596*$AP$2583)</f>
        <v>0</v>
      </c>
      <c r="AA2647">
        <f>IFERROR(Z2647/$R$2596,0)</f>
        <v>0</v>
      </c>
      <c r="AB2647">
        <f>Z2647*($F$23+IF($F$23=0,0,($C$14+$C$15+IF($C$13="single",1.5,3)+3)/12))</f>
        <v>0</v>
      </c>
      <c r="AC2647">
        <f>AB2647-W2647</f>
        <v>0</v>
      </c>
      <c r="AD2647" cm="1">
        <f t="array" ref="AD2647">IFERROR(IF(AC2647&lt;0,0,AC2647/($R$2596-INDEX(hd_off,MATCH(AQ2647,hd_mark,0),0)/12)),0)</f>
        <v>0</v>
      </c>
      <c r="AE2647">
        <f>IF(S2647=0,0,$AD$2596*$AM$2583)</f>
        <v>0</v>
      </c>
      <c r="AF2647">
        <f>IFERROR(AE2647/$R$2596,0)</f>
        <v>0</v>
      </c>
      <c r="AG2647">
        <f>AE2647*($F$23+IF($F$23=0,0,($C$14+$C$15+IF($C$13="single",1.5,3)+3)/12))</f>
        <v>0</v>
      </c>
      <c r="AH2647">
        <f>AG2647-X2647</f>
        <v>0</v>
      </c>
      <c r="AI2647" cm="1">
        <f t="array" ref="AI2647">IFERROR(IF(AH2647&lt;0,0,AH2647/($R$2596-INDEX(hd_off,MATCH(AQ2647,hd_mark,0),0)/12)),0)</f>
        <v>0</v>
      </c>
      <c r="AJ2647">
        <f>MAX($F$23,$AA$2596)/$Q$2612</f>
        <v>0</v>
      </c>
      <c r="AK2647">
        <f t="shared" si="1638"/>
        <v>0</v>
      </c>
      <c r="AL2647" cm="1">
        <f t="array" ref="AL2647">IFERROR(INDEX(sheath_ecap_asd,MATCH(AP2647,sheath_mark,0),0)*AK2647,0)</f>
        <v>0</v>
      </c>
      <c r="AM2647" cm="1">
        <f t="array" ref="AM2647">IFERROR(INDEX(sheath_wcap_asd,MATCH(AP2647,sheath_mark,0),0)*AK2647,0)</f>
        <v>0</v>
      </c>
      <c r="AN2647" cm="1">
        <f t="array" ref="AN2647">IFERROR(INDEX(hd_cap,MATCH(AQ2647,hd_mark,0),0),0)</f>
        <v>0</v>
      </c>
      <c r="AP2647" s="19"/>
      <c r="AQ2647" s="19"/>
      <c r="AR2647" s="100"/>
      <c r="AS2647" s="93"/>
      <c r="AT2647" s="109" t="s">
        <v>491</v>
      </c>
      <c r="AU2647" t="str">
        <f>$Q$2583</f>
        <v>L4</v>
      </c>
      <c r="AV2647">
        <f>$E$23</f>
        <v>0</v>
      </c>
      <c r="AW2647" cm="1">
        <f t="array" ref="AW2647">IFERROR(IF(AV2647=0,0,(INDEX($C$33:$C$38,MATCH($AZ$2596,$B$33:$B$38,0),0)*(AV2649+$BA$2596)+$AW$2596*COUNTIF(AV2647:AV2648,"&gt;0")*$C$32+$AY$2596*$C$31)*$AU$2596),0)</f>
        <v>0</v>
      </c>
      <c r="AX2647">
        <f>IF(AV2647=0,0,-(COUNTIF(AV2647:AV2648,"&gt;0")*$AW$2596*$C$32+$AY$2596*$C$31)*$H$27*$AU$2596)</f>
        <v>0</v>
      </c>
      <c r="AY2647">
        <f>IF(AV2647=0,0,$AY$2596*$H$26*$AU$2596)</f>
        <v>0</v>
      </c>
      <c r="AZ2647">
        <f>(0.6*AW2647+0.7*AX2647)*$AU$2596/2</f>
        <v>0</v>
      </c>
      <c r="BA2647">
        <f>AW2647*$AU$2596/2</f>
        <v>0</v>
      </c>
      <c r="BC2647">
        <f>IF(AV2647=0,0,$BG$2596*$AP$2583)</f>
        <v>0</v>
      </c>
      <c r="BD2647">
        <f>IFERROR(BC2647/$AU$2596,0)</f>
        <v>0</v>
      </c>
      <c r="BE2647">
        <f>BC2647*($F$23+IF($F$23=0,0,($C$14+$C$15+IF($C$13="single",1.5,3)+3)/12))</f>
        <v>0</v>
      </c>
      <c r="BF2647">
        <f>BE2647-AZ2647</f>
        <v>0</v>
      </c>
      <c r="BG2647" cm="1">
        <f t="array" ref="BG2647">IFERROR(IF(BF2647&lt;0,0,BF2647/($AU$2596-INDEX(hd_off,MATCH(BT2647,hd_mark,0),0)/12)),0)</f>
        <v>0</v>
      </c>
      <c r="BH2647">
        <f>IF(AV2647=0,0,$BG$2596*$AM$2583)</f>
        <v>0</v>
      </c>
      <c r="BI2647">
        <f>IFERROR(BH2647/$AU$2596,0)</f>
        <v>0</v>
      </c>
      <c r="BJ2647">
        <f>BH2647*($F$23+IF($F$23=0,0,($C$14+$C$15+IF($C$13="single",1.5,3)+3)/12))</f>
        <v>0</v>
      </c>
      <c r="BK2647">
        <f>BJ2647-BA2647</f>
        <v>0</v>
      </c>
      <c r="BL2647" cm="1">
        <f t="array" ref="BL2647">IFERROR(IF(BK2647&lt;0,0,BK2647/($AU$2596-INDEX(hd_off,MATCH(BT2647,hd_mark,0),0)/12)),0)</f>
        <v>0</v>
      </c>
      <c r="BM2647">
        <f>MAX($F$23,$BD$2596)/$Q$2612</f>
        <v>0</v>
      </c>
      <c r="BN2647">
        <f t="shared" si="1639"/>
        <v>0</v>
      </c>
      <c r="BO2647" cm="1">
        <f t="array" ref="BO2647">IFERROR(INDEX(sheath_ecap_asd,MATCH(BS2647,sheath_mark,0),0)*BN2647,0)</f>
        <v>0</v>
      </c>
      <c r="BP2647" cm="1">
        <f t="array" ref="BP2647">IFERROR(INDEX(sheath_wcap_asd,MATCH(BS2647,sheath_mark,0),0)*BN2647,0)</f>
        <v>0</v>
      </c>
      <c r="BQ2647" cm="1">
        <f t="array" ref="BQ2647">IFERROR(INDEX(hd_cap,MATCH(BT2647,hd_mark,0),0),0)</f>
        <v>0</v>
      </c>
      <c r="BS2647" s="19"/>
      <c r="BT2647" s="19"/>
      <c r="BU2647" s="100"/>
    </row>
    <row r="2648" x14ac:dyDescent="0.25">
      <c r="P2648" s="93"/>
      <c r="Q2648" s="111">
        <f>$R$2596</f>
        <v>0</v>
      </c>
      <c r="R2648" t="str">
        <f>$Q$2584</f>
        <v>L5</v>
      </c>
      <c r="S2648">
        <f>$E$24</f>
        <v>0</v>
      </c>
      <c r="T2648" cm="1">
        <f t="array" ref="T2648">IFERROR(IF(S2648=0,0,(INDEX($C$33:$C$38,MATCH($W$2596,$B$33:$B$38,0),0)*(S2649+$X$2596)+$T$2596*COUNTIF(S2648:S2648,"&gt;0")*$C$32+$V$2596*$C$31)*$R$2596),0)</f>
        <v>0</v>
      </c>
      <c r="U2648">
        <f>IF(S2648=0,0,-(COUNTIF(S2648:S2648,"&gt;0")*$T$2596*$C$32+$V$2596*$C$31)*$H$27*$R$2596)</f>
        <v>0</v>
      </c>
      <c r="V2648">
        <f>IF(S2648=0,0,$V$2596*$H$26*$R$2596)</f>
        <v>0</v>
      </c>
      <c r="W2648">
        <f>(0.6*T2648+0.7*U2648)*$R$2596/2</f>
        <v>0</v>
      </c>
      <c r="X2648">
        <f>T2648*$R$2596/2</f>
        <v>0</v>
      </c>
      <c r="Z2648">
        <f>IF(S2648=0,0,$AD$2596*$AP$2584)</f>
        <v>0</v>
      </c>
      <c r="AA2648">
        <f>IFERROR(Z2648/$R$2596,0)</f>
        <v>0</v>
      </c>
      <c r="AB2648">
        <f>Z2648*($F$24+IF($F$24=0,0,($C$14+$C$15+IF($C$13="single",1.5,3)+3)/12))</f>
        <v>0</v>
      </c>
      <c r="AC2648">
        <f>AB2648-W2648</f>
        <v>0</v>
      </c>
      <c r="AD2648" cm="1">
        <f t="array" ref="AD2648">IFERROR(IF(AC2648&lt;0,0,AC2648/($R$2596-INDEX(hd_off,MATCH(AQ2648,hd_mark,0),0)/12)),0)</f>
        <v>0</v>
      </c>
      <c r="AE2648">
        <f>IF(S2648=0,0,$AD$2596*$AM$2584)</f>
        <v>0</v>
      </c>
      <c r="AF2648">
        <f>IFERROR(AE2648/$R$2596,0)</f>
        <v>0</v>
      </c>
      <c r="AG2648">
        <f>AE2648*($F$24+IF($F$24=0,0,($C$14+$C$15+IF($C$13="single",1.5,3)+3)/12))</f>
        <v>0</v>
      </c>
      <c r="AH2648">
        <f>AG2648-X2648</f>
        <v>0</v>
      </c>
      <c r="AI2648" cm="1">
        <f t="array" ref="AI2648">IFERROR(IF(AH2648&lt;0,0,AH2648/($R$2596-INDEX(hd_off,MATCH(AQ2648,hd_mark,0),0)/12)),0)</f>
        <v>0</v>
      </c>
      <c r="AJ2648">
        <f>MAX($F$24,$AB$2596)/$Q$2612</f>
        <v>0</v>
      </c>
      <c r="AK2648">
        <f t="shared" si="1638"/>
        <v>0</v>
      </c>
      <c r="AL2648" cm="1">
        <f t="array" ref="AL2648">IFERROR(INDEX(sheath_ecap_asd,MATCH(AP2648,sheath_mark,0),0)*AK2648,0)</f>
        <v>0</v>
      </c>
      <c r="AM2648" cm="1">
        <f t="array" ref="AM2648">IFERROR(INDEX(sheath_wcap_asd,MATCH(AP2648,sheath_mark,0),0)*AK2648,0)</f>
        <v>0</v>
      </c>
      <c r="AN2648" cm="1">
        <f t="array" ref="AN2648">IFERROR(INDEX(hd_cap,MATCH(AQ2648,hd_mark,0),0),0)</f>
        <v>0</v>
      </c>
      <c r="AP2648" s="19"/>
      <c r="AQ2648" s="19"/>
      <c r="AR2648" s="100"/>
      <c r="AS2648" s="93"/>
      <c r="AT2648" s="111">
        <f>$R$2596</f>
        <v>0</v>
      </c>
      <c r="AU2648" t="str">
        <f>$Q$2584</f>
        <v>L5</v>
      </c>
      <c r="AV2648">
        <f>$E$24</f>
        <v>0</v>
      </c>
      <c r="AW2648" cm="1">
        <f t="array" ref="AW2648">IFERROR(IF(AV2648=0,0,(INDEX($C$33:$C$38,MATCH($AZ$2596,$B$33:$B$38,0),0)*(AV2649+$BA$2596)+$AW$2596*COUNTIF(AV2648:AV2648,"&gt;0")*$C$32+$AY$2596*$C$31)*$AU$2596),0)</f>
        <v>0</v>
      </c>
      <c r="AX2648">
        <f>IF(AV2648=0,0,-(COUNTIF(AV2648:AV2648,"&gt;0")*$AW$2596*$C$32+$AY$2596*$C$31)*$H$27*$AU$2596)</f>
        <v>0</v>
      </c>
      <c r="AY2648">
        <f>IF(AV2648=0,0,$AY$2596*$H$26*$AU$2596)</f>
        <v>0</v>
      </c>
      <c r="AZ2648">
        <f>(0.6*AW2648+0.7*AX2648)*$AU$2596/2</f>
        <v>0</v>
      </c>
      <c r="BA2648">
        <f>AW2648*$AU$2596/2</f>
        <v>0</v>
      </c>
      <c r="BC2648">
        <f>IF(AV2648=0,0,$BG$2596*$AP$2584)</f>
        <v>0</v>
      </c>
      <c r="BD2648">
        <f>IFERROR(BC2648/$AU$2596,0)</f>
        <v>0</v>
      </c>
      <c r="BE2648">
        <f>BC2648*($F$24+IF($F$24=0,0,($C$14+$C$15+IF($C$13="single",1.5,3)+3)/12))</f>
        <v>0</v>
      </c>
      <c r="BF2648">
        <f>BE2648-AZ2648</f>
        <v>0</v>
      </c>
      <c r="BG2648" cm="1">
        <f t="array" ref="BG2648">IFERROR(IF(BF2648&lt;0,0,BF2648/($AU$2596-INDEX(hd_off,MATCH(BT2648,hd_mark,0),0)/12)),0)</f>
        <v>0</v>
      </c>
      <c r="BH2648">
        <f>IF(AV2648=0,0,$BG$2596*$AM$2584)</f>
        <v>0</v>
      </c>
      <c r="BI2648">
        <f>IFERROR(BH2648/$AU$2596,0)</f>
        <v>0</v>
      </c>
      <c r="BJ2648">
        <f>BH2648*($F$24+IF($F$24=0,0,($C$14+$C$15+IF($C$13="single",1.5,3)+3)/12))</f>
        <v>0</v>
      </c>
      <c r="BK2648">
        <f>BJ2648-BA2648</f>
        <v>0</v>
      </c>
      <c r="BL2648" cm="1">
        <f t="array" ref="BL2648">IFERROR(IF(BK2648&lt;0,0,BK2648/($AU$2596-INDEX(hd_off,MATCH(BT2648,hd_mark,0),0)/12)),0)</f>
        <v>0</v>
      </c>
      <c r="BM2648">
        <f>MAX($F$24,$BE$2596)/$Q$2612</f>
        <v>0</v>
      </c>
      <c r="BN2648">
        <f t="shared" si="1639"/>
        <v>0</v>
      </c>
      <c r="BO2648" cm="1">
        <f t="array" ref="BO2648">IFERROR(INDEX(sheath_ecap_asd,MATCH(BS2648,sheath_mark,0),0)*BN2648,0)</f>
        <v>0</v>
      </c>
      <c r="BP2648" cm="1">
        <f t="array" ref="BP2648">IFERROR(INDEX(sheath_wcap_asd,MATCH(BS2648,sheath_mark,0),0)*BN2648,0)</f>
        <v>0</v>
      </c>
      <c r="BQ2648" cm="1">
        <f t="array" ref="BQ2648">IFERROR(INDEX(hd_cap,MATCH(BT2648,hd_mark,0),0),0)</f>
        <v>0</v>
      </c>
      <c r="BS2648" s="19"/>
      <c r="BT2648" s="19"/>
      <c r="BU2648" s="100"/>
    </row>
    <row r="2649" x14ac:dyDescent="0.25">
      <c r="P2649" s="93"/>
      <c r="Q2649" s="109"/>
      <c r="R2649" t="str">
        <f>$Q$2585</f>
        <v>Roof</v>
      </c>
      <c r="S2649">
        <f>$E$25</f>
        <v>33.171875</v>
      </c>
      <c r="T2649" cm="1">
        <f t="array" ref="T2649">IFERROR(IF(S2649=0,0,(INDEX($C$33:$C$38,MATCH($W$2596,$B$33:$B$38,0),0)*(S2649+$X$2596)+$V$2596*$C$31)*$R$2596),0)</f>
        <v>0</v>
      </c>
      <c r="U2649">
        <f>IF(S2649=0,0,-$V$2596*$C$31*$H$27*$R$2596)</f>
        <v>0</v>
      </c>
      <c r="V2649">
        <f>IF(S2649=0,0,$V$2596*$H$26*$R$2596)</f>
        <v>0</v>
      </c>
      <c r="W2649">
        <f>(0.6*T2649+0.7*U2649)*$R$2596/2</f>
        <v>0</v>
      </c>
      <c r="X2649">
        <f>T2649*$R$2596/2</f>
        <v>0</v>
      </c>
      <c r="Z2649">
        <f>IF(S2649=0,0,$AD$2596*$AP$2585)</f>
        <v>0</v>
      </c>
      <c r="AA2649">
        <f>IFERROR(Z2649/$R$2596,0)</f>
        <v>0</v>
      </c>
      <c r="AB2649">
        <f>Z2649*($F$25+($C$16+$C$17+IF($C$13="single",1.5,3)+3)/12)</f>
        <v>0</v>
      </c>
      <c r="AC2649">
        <f>AB2649-W2649</f>
        <v>0</v>
      </c>
      <c r="AD2649" cm="1">
        <f t="array" ref="AD2649">IFERROR(IF(AC2649&lt;0,0,AC2649/($R$2596-INDEX(hd_off,MATCH(AQ2649,hd_mark,0),0)/12)),0)</f>
        <v>0</v>
      </c>
      <c r="AE2649">
        <f>IF(S2649=0,0,$AD$2596*$AM$2585)</f>
        <v>0</v>
      </c>
      <c r="AF2649">
        <f>IFERROR(AE2649/$R$2596,0)</f>
        <v>0</v>
      </c>
      <c r="AG2649">
        <f>AE2649*($F$25+($C$16+$C$17+IF($C$13="single",1.5,3)+3)/12)</f>
        <v>0</v>
      </c>
      <c r="AH2649">
        <f>AG2649-X2649</f>
        <v>0</v>
      </c>
      <c r="AI2649" cm="1">
        <f t="array" ref="AI2649">IFERROR(IF(AH2649&lt;0,0,AH2649/($R$2596-INDEX(hd_off,MATCH(AQ2649,hd_mark,0),0)/12)),0)</f>
        <v>0</v>
      </c>
      <c r="AJ2649">
        <f>MAX($F$25,$AC$2596)/$Q$2612</f>
        <v>0.29920977011494249</v>
      </c>
      <c r="AK2649">
        <f t="shared" si="1638"/>
        <v>1</v>
      </c>
      <c r="AL2649" cm="1">
        <f t="array" ref="AL2649">IFERROR(INDEX(sheath_ecap_asd,MATCH(AP2649,sheath_mark,0),0)*AK2649,0)</f>
        <v>0</v>
      </c>
      <c r="AM2649" cm="1">
        <f t="array" ref="AM2649">IFERROR(INDEX(sheath_wcap_asd,MATCH(AP2649,sheath_mark,0),0)*AK2649,0)</f>
        <v>0</v>
      </c>
      <c r="AN2649" cm="1">
        <f t="array" ref="AN2649">IFERROR(INDEX(hd_cap,MATCH(AQ2649,hd_mark,0),0),0)</f>
        <v>0</v>
      </c>
      <c r="AP2649" s="19"/>
      <c r="AQ2649" s="19"/>
      <c r="AR2649" s="100"/>
      <c r="AS2649" s="93"/>
      <c r="AT2649" s="109"/>
      <c r="AU2649" t="str">
        <f>$Q$2585</f>
        <v>Roof</v>
      </c>
      <c r="AV2649">
        <f>$E$25</f>
        <v>33.171875</v>
      </c>
      <c r="AW2649" cm="1">
        <f t="array" ref="AW2649">IFERROR(IF(AV2649=0,0,(INDEX($C$33:$C$38,MATCH($AZ$2596,$B$33:$B$38,0),0)*(AV2649+$BA$2596)+$AY$2596*$C$31)*$AU$2596),0)</f>
        <v>0</v>
      </c>
      <c r="AX2649">
        <f>IF(AV2649=0,0,-$AY$2596*$C$31*$H$27*$AU$2596)</f>
        <v>0</v>
      </c>
      <c r="AY2649">
        <f>IF(AV2649=0,0,$AY$2596*$H$26*$AU$2596)</f>
        <v>0</v>
      </c>
      <c r="AZ2649">
        <f>(0.6*AW2649+0.7*AX2649)*$AU$2596/2</f>
        <v>0</v>
      </c>
      <c r="BA2649">
        <f>AW2649*$AU$2596/2</f>
        <v>0</v>
      </c>
      <c r="BC2649">
        <f>IF(AV2649=0,0,$BG$2596*$AP$2585)</f>
        <v>0</v>
      </c>
      <c r="BD2649">
        <f>IFERROR(BC2649/$AU$2596,0)</f>
        <v>0</v>
      </c>
      <c r="BE2649">
        <f>BC2649*($F$25+($C$16+$C$17+IF($C$13="single",1.5,3)+3)/12)</f>
        <v>0</v>
      </c>
      <c r="BF2649">
        <f>BE2649-AZ2649</f>
        <v>0</v>
      </c>
      <c r="BG2649" cm="1">
        <f t="array" ref="BG2649">IFERROR(IF(BF2649&lt;0,0,BF2649/($AU$2596-INDEX(hd_off,MATCH(BT2649,hd_mark,0),0)/12)),0)</f>
        <v>0</v>
      </c>
      <c r="BH2649">
        <f>IF(AV2649=0,0,$BG$2596*$AM$2585)</f>
        <v>0</v>
      </c>
      <c r="BI2649">
        <f>IFERROR(BH2649/$AU$2596,0)</f>
        <v>0</v>
      </c>
      <c r="BJ2649">
        <f>BH2649*($F$25+($C$16+$C$17+IF($C$13="single",1.5,3)+3)/12)</f>
        <v>0</v>
      </c>
      <c r="BK2649">
        <f>BJ2649-BA2649</f>
        <v>0</v>
      </c>
      <c r="BL2649" cm="1">
        <f t="array" ref="BL2649">IFERROR(IF(BK2649&lt;0,0,BK2649/($AU$2596-INDEX(hd_off,MATCH(BT2649,hd_mark,0),0)/12)),0)</f>
        <v>0</v>
      </c>
      <c r="BM2649">
        <f>MAX($F$25,$BF$2596)/$Q$2612</f>
        <v>0.29920977011494249</v>
      </c>
      <c r="BN2649">
        <f t="shared" si="1639"/>
        <v>1</v>
      </c>
      <c r="BO2649" cm="1">
        <f t="array" ref="BO2649">IFERROR(INDEX(sheath_ecap_asd,MATCH(BS2649,sheath_mark,0),0)*BN2649,0)</f>
        <v>0</v>
      </c>
      <c r="BP2649" cm="1">
        <f t="array" ref="BP2649">IFERROR(INDEX(sheath_wcap_asd,MATCH(BS2649,sheath_mark,0),0)*BN2649,0)</f>
        <v>0</v>
      </c>
      <c r="BQ2649" cm="1">
        <f t="array" ref="BQ2649">IFERROR(INDEX(hd_cap,MATCH(BT2649,hd_mark,0),0),0)</f>
        <v>0</v>
      </c>
      <c r="BS2649" s="19"/>
      <c r="BT2649" s="19"/>
      <c r="BU2649" s="100"/>
    </row>
    <row r="2650" x14ac:dyDescent="0.25">
      <c r="P2650" s="93"/>
      <c r="AR2650" s="100"/>
      <c r="AS2650" s="93"/>
      <c r="BU2650" s="100"/>
    </row>
    <row r="2651" x14ac:dyDescent="0.25">
      <c r="P2651" s="93"/>
      <c r="Q2651" s="110" t="str">
        <f>$Q$2597</f>
        <v>A.08</v>
      </c>
      <c r="R2651" t="str">
        <f>$Q$2581</f>
        <v>L2</v>
      </c>
      <c r="S2651">
        <f>$E$21</f>
        <v>10.6875</v>
      </c>
      <c r="T2651" cm="1">
        <f t="array" ref="T2651">IFERROR(IF(S2651=0,0,(INDEX($C$33:$C$38,MATCH($W$2597,$B$33:$B$38,0),0)*(S2655+$X$2597)+$T$2597*COUNTIF(S2651:S2654,"&gt;0")*$C$32+$V$2597*$C$31)*$R$2597),0)</f>
        <v>0</v>
      </c>
      <c r="U2651">
        <f>IF(S2651=0,0,-(COUNTIF(S2651:S2654,"&gt;0")*$T$2597*$C$32+$V$2597*$C$31)*$H$27*$R$2597)</f>
        <v>0</v>
      </c>
      <c r="V2651">
        <f>IF(S2651=0,0,$V$2597*$H$26*$R$2597)</f>
        <v>0</v>
      </c>
      <c r="W2651">
        <f>(0.6*T2651+0.7*U2651)*$R$2597/2</f>
        <v>0</v>
      </c>
      <c r="X2651">
        <f>(0.6*T2651+0.6*V2651)*$R$2597/2</f>
        <v>0</v>
      </c>
      <c r="Z2651">
        <f>IF(S2651=0,0,$AD$2597*$AP$2581)</f>
        <v>0</v>
      </c>
      <c r="AA2651">
        <f>IFERROR(Z2651/$R$2597,0)</f>
        <v>0</v>
      </c>
      <c r="AB2651">
        <f>Z2651*($F$21+IF($F$21=0,0,($C$14+$C$15+IF($C$13="single",1.5,3)+3)/12))</f>
        <v>0</v>
      </c>
      <c r="AC2651">
        <f>AB2651-W2651</f>
        <v>0</v>
      </c>
      <c r="AD2651" cm="1">
        <f t="array" ref="AD2651">IFERROR(IF(AC2651&lt;0,0,AC2651/($R$2597-INDEX(hd_off,MATCH(AQ2651,hd_mark,0),0)/12)),0)</f>
        <v>0</v>
      </c>
      <c r="AE2651">
        <f>IF(S2651=0,0,$AD$2597*$AM$2581)</f>
        <v>0</v>
      </c>
      <c r="AF2651">
        <f>IFERROR(AE2651/$R$2597,0)</f>
        <v>0</v>
      </c>
      <c r="AG2651">
        <f>AE2651*($F$21+IF($F$21=0,0,($C$14+$C$15+IF($C$13="single",1.5,3)+3)/12))</f>
        <v>0</v>
      </c>
      <c r="AH2651">
        <f>AG2651-X2651</f>
        <v>0</v>
      </c>
      <c r="AI2651" cm="1">
        <f t="array" ref="AI2651">IFERROR(IF(AH2651&lt;0,0,AH2651/($R$2597-INDEX(hd_off,MATCH(AQ2651,hd_mark,0),0)/12)),0)</f>
        <v>0</v>
      </c>
      <c r="AJ2651">
        <f>MAX($F$21,$Y$2597)/$Q$2612</f>
        <v>0.30172413793103448</v>
      </c>
      <c r="AK2651">
        <f>IF(AJ2651=0,0,IF(AJ2651&gt;2,1.25-0.125*AJ2651,1))</f>
        <v>1</v>
      </c>
      <c r="AL2651" cm="1">
        <f t="array" ref="AL2651">IFERROR(INDEX(sheath_ecap_asd,MATCH(AP2651,sheath_mark,0),0)*AK2651,0)</f>
        <v>0</v>
      </c>
      <c r="AM2651" cm="1">
        <f t="array" ref="AM2651">IFERROR(INDEX(sheath_wcap_asd,MATCH(AP2651,sheath_mark,0),0)*AK2651,0)</f>
        <v>0</v>
      </c>
      <c r="AN2651" cm="1">
        <f t="array" ref="AN2651">IFERROR(INDEX(hd_cap,MATCH(AQ2651,hd_mark,0),0),0)</f>
        <v>0</v>
      </c>
      <c r="AP2651" s="19"/>
      <c r="AQ2651" s="19"/>
      <c r="AR2651" s="100"/>
      <c r="AS2651" s="93"/>
      <c r="AT2651" s="110" t="str">
        <f>$AT$2597</f>
        <v>1.08</v>
      </c>
      <c r="AU2651" t="str">
        <f>$Q$2581</f>
        <v>L2</v>
      </c>
      <c r="AV2651">
        <f>$E$21</f>
        <v>10.6875</v>
      </c>
      <c r="AW2651" cm="1">
        <f t="array" ref="AW2651">IFERROR(IF(AV2651=0,0,(INDEX($C$33:$C$38,MATCH($AZ$2597,$B$33:$B$38,0),0)*(AV2655+$BA$2597)+$AW$2597*COUNTIF(AV2651:AV2654,"&gt;0")*$C$32+$AY$2597*$C$31)*$AU$2597),0)</f>
        <v>0</v>
      </c>
      <c r="AX2651">
        <f>IF(AV2651=0,0,-(COUNTIF(AV2651:AV2654,"&gt;0")*$AW$2597*$C$32+$AY$2597*$C$31)*$H$27*$AU$2597)</f>
        <v>0</v>
      </c>
      <c r="AY2651">
        <f>IF(AV2651=0,0,$AY$2597*$H$26*$AU$2597)</f>
        <v>0</v>
      </c>
      <c r="AZ2651">
        <f>(0.6*AW2651+0.7*AX2651)*$AU$2597/2</f>
        <v>0</v>
      </c>
      <c r="BA2651">
        <f>(0.6*AW2651+0.6*AY2651)*$AU$2597/2</f>
        <v>0</v>
      </c>
      <c r="BC2651">
        <f>IF(AV2651=0,0,$BG$2597*$AP$2581)</f>
        <v>0</v>
      </c>
      <c r="BD2651">
        <f>IFERROR(BC2651/$AU$2597,0)</f>
        <v>0</v>
      </c>
      <c r="BE2651">
        <f>BC2651*($F$21+IF($F$21=0,0,($C$14+$C$15+IF($C$13="single",1.5,3)+3)/12))</f>
        <v>0</v>
      </c>
      <c r="BF2651">
        <f>BE2651-AZ2651</f>
        <v>0</v>
      </c>
      <c r="BG2651" cm="1">
        <f t="array" ref="BG2651">IFERROR(IF(BF2651&lt;0,0,BF2651/($AU$2597-INDEX(hd_off,MATCH(BT2651,hd_mark,0),0)/12)),0)</f>
        <v>0</v>
      </c>
      <c r="BH2651">
        <f>IF(AV2651=0,0,$BG$2597*$AM$2581)</f>
        <v>0</v>
      </c>
      <c r="BI2651">
        <f>IFERROR(BH2651/$AU$2597,0)</f>
        <v>0</v>
      </c>
      <c r="BJ2651">
        <f>BH2651*($F$21+IF($F$21=0,0,($C$14+$C$15+IF($C$13="single",1.5,3)+3)/12))</f>
        <v>0</v>
      </c>
      <c r="BK2651">
        <f>BJ2651-BA2651</f>
        <v>0</v>
      </c>
      <c r="BL2651" cm="1">
        <f t="array" ref="BL2651">IFERROR(IF(BK2651&lt;0,0,BK2651/($AU$2597-INDEX(hd_off,MATCH(BT2651,hd_mark,0),0)/12)),0)</f>
        <v>0</v>
      </c>
      <c r="BM2651">
        <f>MAX($F$21,$BB$2597)/$Q$2612</f>
        <v>0.30172413793103448</v>
      </c>
      <c r="BN2651">
        <f>IF(BM2651=0,0,IF(BM2651&gt;2,1.25-0.125*BM2651,1))</f>
        <v>1</v>
      </c>
      <c r="BO2651" cm="1">
        <f t="array" ref="BO2651">IFERROR(INDEX(sheath_ecap_asd,MATCH(BS2651,sheath_mark,0),0)*BN2651,0)</f>
        <v>0</v>
      </c>
      <c r="BP2651" cm="1">
        <f t="array" ref="BP2651">IFERROR(INDEX(sheath_wcap_asd,MATCH(BS2651,sheath_mark,0),0)*BN2651,0)</f>
        <v>0</v>
      </c>
      <c r="BQ2651" cm="1">
        <f t="array" ref="BQ2651">IFERROR(INDEX(hd_cap,MATCH(BT2651,hd_mark,0),0),0)</f>
        <v>0</v>
      </c>
      <c r="BS2651" s="19"/>
      <c r="BT2651" s="19"/>
      <c r="BU2651" s="100"/>
    </row>
    <row r="2652" x14ac:dyDescent="0.25">
      <c r="P2652" s="93"/>
      <c r="Q2652" s="109"/>
      <c r="R2652" t="str">
        <f>$Q$2582</f>
        <v>L3</v>
      </c>
      <c r="S2652">
        <f>$E$22</f>
        <v>21.375</v>
      </c>
      <c r="T2652" cm="1">
        <f t="array" ref="T2652">IFERROR(IF(S2652=0,0,(INDEX($C$33:$C$38,MATCH($W$2597,$B$33:$B$38,0),0)*(S2655+$X$2597)+$T$2597*COUNTIF(S2652:S2654,"&gt;0")*$C$32+$V$2597*$C$31)*$R$2597),0)</f>
        <v>0</v>
      </c>
      <c r="U2652">
        <f>IF(S2652=0,0,-(COUNTIF(S2652:S2654,"&gt;0")*$T$2597*$C$32+$V$2597*$C$31)*$H$27*$R$2597)</f>
        <v>0</v>
      </c>
      <c r="V2652">
        <f>IF(S2652=0,0,$V$2597*$H$26*$R$2597)</f>
        <v>0</v>
      </c>
      <c r="W2652">
        <f>(0.6*T2652+0.7*U2652)*$R$2597/2</f>
        <v>0</v>
      </c>
      <c r="X2652">
        <f>T2652*$R$2597/2</f>
        <v>0</v>
      </c>
      <c r="Z2652">
        <f>IF(S2652=0,0,$AD$2597*$AP$2582)</f>
        <v>0</v>
      </c>
      <c r="AA2652">
        <f>IFERROR(Z2652/$R$2597,0)</f>
        <v>0</v>
      </c>
      <c r="AB2652">
        <f>Z2652*($F$22+IF($F$22=0,0,($C$14+$C$15+IF($C$13="single",1.5,3)+3)/12))</f>
        <v>0</v>
      </c>
      <c r="AC2652">
        <f>AB2652-W2652</f>
        <v>0</v>
      </c>
      <c r="AD2652" cm="1">
        <f t="array" ref="AD2652">IFERROR(IF(AC2652&lt;0,0,AC2652/($R$2597-INDEX(hd_off,MATCH(AQ2652,hd_mark,0),0)/12)),0)</f>
        <v>0</v>
      </c>
      <c r="AE2652">
        <f>IF(S2652=0,0,$AD$2597*$AM$2582)</f>
        <v>0</v>
      </c>
      <c r="AF2652">
        <f>IFERROR(AE2652/$R$2597,0)</f>
        <v>0</v>
      </c>
      <c r="AG2652">
        <f>AE2652*($F$22+IF($F$22=0,0,($C$14+$C$15+IF($C$13="single",1.5,3)+3)/12))</f>
        <v>0</v>
      </c>
      <c r="AH2652">
        <f>AG2652-X2652</f>
        <v>0</v>
      </c>
      <c r="AI2652" cm="1">
        <f t="array" ref="AI2652">IFERROR(IF(AH2652&lt;0,0,AH2652/($R$2597-INDEX(hd_off,MATCH(AQ2652,hd_mark,0),0)/12)),0)</f>
        <v>0</v>
      </c>
      <c r="AJ2652">
        <f>MAX($F$22,$Z$2597)/$Q$2612</f>
        <v>0.30172413793103448</v>
      </c>
      <c r="AK2652">
        <f t="shared" ref="AK2652:AK2655" si="1640">IF(AJ2652=0,0,IF(AJ2652&gt;2,1.25-0.125*AJ2652,1))</f>
        <v>1</v>
      </c>
      <c r="AL2652" cm="1">
        <f t="array" ref="AL2652">IFERROR(INDEX(sheath_ecap_asd,MATCH(AP2652,sheath_mark,0),0)*AK2652,0)</f>
        <v>0</v>
      </c>
      <c r="AM2652" cm="1">
        <f t="array" ref="AM2652">IFERROR(INDEX(sheath_wcap_asd,MATCH(AP2652,sheath_mark,0),0)*AK2652,0)</f>
        <v>0</v>
      </c>
      <c r="AN2652" cm="1">
        <f t="array" ref="AN2652">IFERROR(INDEX(hd_cap,MATCH(AQ2652,hd_mark,0),0),0)</f>
        <v>0</v>
      </c>
      <c r="AP2652" s="19"/>
      <c r="AQ2652" s="19"/>
      <c r="AR2652" s="100"/>
      <c r="AS2652" s="93"/>
      <c r="AT2652" s="109"/>
      <c r="AU2652" t="str">
        <f>$Q$2582</f>
        <v>L3</v>
      </c>
      <c r="AV2652">
        <f>$E$22</f>
        <v>21.375</v>
      </c>
      <c r="AW2652" cm="1">
        <f t="array" ref="AW2652">IFERROR(IF(AV2652=0,0,(INDEX($C$33:$C$38,MATCH($AZ$2597,$B$33:$B$38,0),0)*(AV2655+$BA$2597)+$AW$2597*COUNTIF(AV2652:AV2654,"&gt;0")*$C$32+$AY$2597*$C$31)*$AU$2597),0)</f>
        <v>0</v>
      </c>
      <c r="AX2652">
        <f>IF(AV2652=0,0,-(COUNTIF(AV2652:AV2654,"&gt;0")*$AW$2597*$C$32+$AY$2597*$C$31)*$H$27*$AU$2597)</f>
        <v>0</v>
      </c>
      <c r="AY2652">
        <f>IF(AV2652=0,0,$AY$2597*$H$26*$AU$2597)</f>
        <v>0</v>
      </c>
      <c r="AZ2652">
        <f>(0.6*AW2652+0.7*AX2652)*$AU$2597/2</f>
        <v>0</v>
      </c>
      <c r="BA2652">
        <f>AW2652*$AU$2597/2</f>
        <v>0</v>
      </c>
      <c r="BC2652">
        <f>IF(AV2652=0,0,$BG$2597*$AP$2582)</f>
        <v>0</v>
      </c>
      <c r="BD2652">
        <f>IFERROR(BC2652/$AU$2597,0)</f>
        <v>0</v>
      </c>
      <c r="BE2652">
        <f>BC2652*($F$22+IF($F$22=0,0,($C$14+$C$15+IF($C$13="single",1.5,3)+3)/12))</f>
        <v>0</v>
      </c>
      <c r="BF2652">
        <f>BE2652-AZ2652</f>
        <v>0</v>
      </c>
      <c r="BG2652" cm="1">
        <f t="array" ref="BG2652">IFERROR(IF(BF2652&lt;0,0,BF2652/($AU$2597-INDEX(hd_off,MATCH(BT2652,hd_mark,0),0)/12)),0)</f>
        <v>0</v>
      </c>
      <c r="BH2652">
        <f>IF(AV2652=0,0,$BG$2597*$AM$2582)</f>
        <v>0</v>
      </c>
      <c r="BI2652">
        <f>IFERROR(BH2652/$AU$2597,0)</f>
        <v>0</v>
      </c>
      <c r="BJ2652">
        <f>BH2652*($F$22+IF($F$22=0,0,($C$14+$C$15+IF($C$13="single",1.5,3)+3)/12))</f>
        <v>0</v>
      </c>
      <c r="BK2652">
        <f>BJ2652-BA2652</f>
        <v>0</v>
      </c>
      <c r="BL2652" cm="1">
        <f t="array" ref="BL2652">IFERROR(IF(BK2652&lt;0,0,BK2652/($AU$2597-INDEX(hd_off,MATCH(BT2652,hd_mark,0),0)/12)),0)</f>
        <v>0</v>
      </c>
      <c r="BM2652">
        <f>MAX($F$22,$BC$2597)/$Q$2612</f>
        <v>0.30172413793103448</v>
      </c>
      <c r="BN2652">
        <f t="shared" ref="BN2652:BN2655" si="1641">IF(BM2652=0,0,IF(BM2652&gt;2,1.25-0.125*BM2652,1))</f>
        <v>1</v>
      </c>
      <c r="BO2652" cm="1">
        <f t="array" ref="BO2652">IFERROR(INDEX(sheath_ecap_asd,MATCH(BS2652,sheath_mark,0),0)*BN2652,0)</f>
        <v>0</v>
      </c>
      <c r="BP2652" cm="1">
        <f t="array" ref="BP2652">IFERROR(INDEX(sheath_wcap_asd,MATCH(BS2652,sheath_mark,0),0)*BN2652,0)</f>
        <v>0</v>
      </c>
      <c r="BQ2652" cm="1">
        <f t="array" ref="BQ2652">IFERROR(INDEX(hd_cap,MATCH(BT2652,hd_mark,0),0),0)</f>
        <v>0</v>
      </c>
      <c r="BS2652" s="19"/>
      <c r="BT2652" s="19"/>
      <c r="BU2652" s="100"/>
    </row>
    <row r="2653" x14ac:dyDescent="0.25">
      <c r="P2653" s="93"/>
      <c r="Q2653" s="109" t="s">
        <v>491</v>
      </c>
      <c r="R2653" t="str">
        <f>$Q$2583</f>
        <v>L4</v>
      </c>
      <c r="S2653">
        <f>$E$23</f>
        <v>0</v>
      </c>
      <c r="T2653" cm="1">
        <f t="array" ref="T2653">IFERROR(IF(S2653=0,0,(INDEX($C$33:$C$38,MATCH($W$2597,$B$33:$B$38,0),0)*(S2655+$X$2597)+$T$2597*COUNTIF(S2653:S2654,"&gt;0")*$C$32+$V$2597*$C$31)*$R$2597),0)</f>
        <v>0</v>
      </c>
      <c r="U2653">
        <f>IF(S2653=0,0,-(COUNTIF(S2653:S2654,"&gt;0")*$T$2597*$C$32+$V$2597*$C$31)*$H$27*$R$2597)</f>
        <v>0</v>
      </c>
      <c r="V2653">
        <f>IF(S2653=0,0,$V$2597*$H$26*$R$2597)</f>
        <v>0</v>
      </c>
      <c r="W2653">
        <f>(0.6*T2653+0.7*U2653)*$R$2597/2</f>
        <v>0</v>
      </c>
      <c r="X2653">
        <f>T2653*$R$2597/2</f>
        <v>0</v>
      </c>
      <c r="Z2653">
        <f>IF(S2653=0,0,$AD$2597*$AP$2583)</f>
        <v>0</v>
      </c>
      <c r="AA2653">
        <f>IFERROR(Z2653/$R$2597,0)</f>
        <v>0</v>
      </c>
      <c r="AB2653">
        <f>Z2653*($F$23+IF($F$23=0,0,($C$14+$C$15+IF($C$13="single",1.5,3)+3)/12))</f>
        <v>0</v>
      </c>
      <c r="AC2653">
        <f>AB2653-W2653</f>
        <v>0</v>
      </c>
      <c r="AD2653" cm="1">
        <f t="array" ref="AD2653">IFERROR(IF(AC2653&lt;0,0,AC2653/($R$2597-INDEX(hd_off,MATCH(AQ2653,hd_mark,0),0)/12)),0)</f>
        <v>0</v>
      </c>
      <c r="AE2653">
        <f>IF(S2653=0,0,$AD$2597*$AM$2583)</f>
        <v>0</v>
      </c>
      <c r="AF2653">
        <f>IFERROR(AE2653/$R$2597,0)</f>
        <v>0</v>
      </c>
      <c r="AG2653">
        <f>AE2653*($F$23+IF($F$23=0,0,($C$14+$C$15+IF($C$13="single",1.5,3)+3)/12))</f>
        <v>0</v>
      </c>
      <c r="AH2653">
        <f>AG2653-X2653</f>
        <v>0</v>
      </c>
      <c r="AI2653" cm="1">
        <f t="array" ref="AI2653">IFERROR(IF(AH2653&lt;0,0,AH2653/($R$2597-INDEX(hd_off,MATCH(AQ2653,hd_mark,0),0)/12)),0)</f>
        <v>0</v>
      </c>
      <c r="AJ2653">
        <f>MAX($F$23,$AA$2597)/$Q$2612</f>
        <v>0</v>
      </c>
      <c r="AK2653">
        <f t="shared" si="1640"/>
        <v>0</v>
      </c>
      <c r="AL2653" cm="1">
        <f t="array" ref="AL2653">IFERROR(INDEX(sheath_ecap_asd,MATCH(AP2653,sheath_mark,0),0)*AK2653,0)</f>
        <v>0</v>
      </c>
      <c r="AM2653" cm="1">
        <f t="array" ref="AM2653">IFERROR(INDEX(sheath_wcap_asd,MATCH(AP2653,sheath_mark,0),0)*AK2653,0)</f>
        <v>0</v>
      </c>
      <c r="AN2653" cm="1">
        <f t="array" ref="AN2653">IFERROR(INDEX(hd_cap,MATCH(AQ2653,hd_mark,0),0),0)</f>
        <v>0</v>
      </c>
      <c r="AP2653" s="19"/>
      <c r="AQ2653" s="19"/>
      <c r="AR2653" s="100"/>
      <c r="AS2653" s="93"/>
      <c r="AT2653" s="109" t="s">
        <v>491</v>
      </c>
      <c r="AU2653" t="str">
        <f>$Q$2583</f>
        <v>L4</v>
      </c>
      <c r="AV2653">
        <f>$E$23</f>
        <v>0</v>
      </c>
      <c r="AW2653" cm="1">
        <f t="array" ref="AW2653">IFERROR(IF(AV2653=0,0,(INDEX($C$33:$C$38,MATCH($AZ$2597,$B$33:$B$38,0),0)*(AV2655+$BA$2597)+$AW$2597*COUNTIF(AV2653:AV2654,"&gt;0")*$C$32+$AY$2597*$C$31)*$AU$2597),0)</f>
        <v>0</v>
      </c>
      <c r="AX2653">
        <f>IF(AV2653=0,0,-(COUNTIF(AV2653:AV2654,"&gt;0")*$AW$2597*$C$32+$AY$2597*$C$31)*$H$27*$AU$2597)</f>
        <v>0</v>
      </c>
      <c r="AY2653">
        <f>IF(AV2653=0,0,$AY$2597*$H$26*$AU$2597)</f>
        <v>0</v>
      </c>
      <c r="AZ2653">
        <f>(0.6*AW2653+0.7*AX2653)*$AU$2597/2</f>
        <v>0</v>
      </c>
      <c r="BA2653">
        <f>AW2653*$AU$2597/2</f>
        <v>0</v>
      </c>
      <c r="BC2653">
        <f>IF(AV2653=0,0,$BG$2597*$AP$2583)</f>
        <v>0</v>
      </c>
      <c r="BD2653">
        <f>IFERROR(BC2653/$AU$2597,0)</f>
        <v>0</v>
      </c>
      <c r="BE2653">
        <f>BC2653*($F$23+IF($F$23=0,0,($C$14+$C$15+IF($C$13="single",1.5,3)+3)/12))</f>
        <v>0</v>
      </c>
      <c r="BF2653">
        <f>BE2653-AZ2653</f>
        <v>0</v>
      </c>
      <c r="BG2653" cm="1">
        <f t="array" ref="BG2653">IFERROR(IF(BF2653&lt;0,0,BF2653/($AU$2597-INDEX(hd_off,MATCH(BT2653,hd_mark,0),0)/12)),0)</f>
        <v>0</v>
      </c>
      <c r="BH2653">
        <f>IF(AV2653=0,0,$BG$2597*$AM$2583)</f>
        <v>0</v>
      </c>
      <c r="BI2653">
        <f>IFERROR(BH2653/$AU$2597,0)</f>
        <v>0</v>
      </c>
      <c r="BJ2653">
        <f>BH2653*($F$23+IF($F$23=0,0,($C$14+$C$15+IF($C$13="single",1.5,3)+3)/12))</f>
        <v>0</v>
      </c>
      <c r="BK2653">
        <f>BJ2653-BA2653</f>
        <v>0</v>
      </c>
      <c r="BL2653" cm="1">
        <f t="array" ref="BL2653">IFERROR(IF(BK2653&lt;0,0,BK2653/($AU$2597-INDEX(hd_off,MATCH(BT2653,hd_mark,0),0)/12)),0)</f>
        <v>0</v>
      </c>
      <c r="BM2653">
        <f>MAX($F$23,$BD$2597)/$Q$2612</f>
        <v>0</v>
      </c>
      <c r="BN2653">
        <f t="shared" si="1641"/>
        <v>0</v>
      </c>
      <c r="BO2653" cm="1">
        <f t="array" ref="BO2653">IFERROR(INDEX(sheath_ecap_asd,MATCH(BS2653,sheath_mark,0),0)*BN2653,0)</f>
        <v>0</v>
      </c>
      <c r="BP2653" cm="1">
        <f t="array" ref="BP2653">IFERROR(INDEX(sheath_wcap_asd,MATCH(BS2653,sheath_mark,0),0)*BN2653,0)</f>
        <v>0</v>
      </c>
      <c r="BQ2653" cm="1">
        <f t="array" ref="BQ2653">IFERROR(INDEX(hd_cap,MATCH(BT2653,hd_mark,0),0),0)</f>
        <v>0</v>
      </c>
      <c r="BS2653" s="19"/>
      <c r="BT2653" s="19"/>
      <c r="BU2653" s="100"/>
    </row>
    <row r="2654" x14ac:dyDescent="0.25">
      <c r="P2654" s="93"/>
      <c r="Q2654" s="111">
        <f>$R$2597</f>
        <v>0</v>
      </c>
      <c r="R2654" t="str">
        <f>$Q$2584</f>
        <v>L5</v>
      </c>
      <c r="S2654">
        <f>$E$24</f>
        <v>0</v>
      </c>
      <c r="T2654" cm="1">
        <f t="array" ref="T2654">IFERROR(IF(S2654=0,0,(INDEX($C$33:$C$38,MATCH($W$2597,$B$33:$B$38,0),0)*(S2655+$X$2597)+$T$2597*COUNTIF(S2654:S2654,"&gt;0")*$C$32+$V$2597*$C$31)*$R$2597),0)</f>
        <v>0</v>
      </c>
      <c r="U2654">
        <f>IF(S2654=0,0,-(COUNTIF(S2654:S2654,"&gt;0")*$T$2597*$C$32+$V$2597*$C$31)*$H$27*$R$2597)</f>
        <v>0</v>
      </c>
      <c r="V2654">
        <f>IF(S2654=0,0,$V$2597*$H$26*$R$2597)</f>
        <v>0</v>
      </c>
      <c r="W2654">
        <f>(0.6*T2654+0.7*U2654)*$R$2597/2</f>
        <v>0</v>
      </c>
      <c r="X2654">
        <f>T2654*$R$2597/2</f>
        <v>0</v>
      </c>
      <c r="Z2654">
        <f>IF(S2654=0,0,$AD$2597*$AP$2584)</f>
        <v>0</v>
      </c>
      <c r="AA2654">
        <f>IFERROR(Z2654/$R$2597,0)</f>
        <v>0</v>
      </c>
      <c r="AB2654">
        <f>Z2654*($F$24+IF($F$24=0,0,($C$14+$C$15+IF($C$13="single",1.5,3)+3)/12))</f>
        <v>0</v>
      </c>
      <c r="AC2654">
        <f>AB2654-W2654</f>
        <v>0</v>
      </c>
      <c r="AD2654" cm="1">
        <f t="array" ref="AD2654">IFERROR(IF(AC2654&lt;0,0,AC2654/($R$2597-INDEX(hd_off,MATCH(AQ2654,hd_mark,0),0)/12)),0)</f>
        <v>0</v>
      </c>
      <c r="AE2654">
        <f>IF(S2654=0,0,$AD$2597*$AM$2584)</f>
        <v>0</v>
      </c>
      <c r="AF2654">
        <f>IFERROR(AE2654/$R$2597,0)</f>
        <v>0</v>
      </c>
      <c r="AG2654">
        <f>AE2654*($F$24+IF($F$24=0,0,($C$14+$C$15+IF($C$13="single",1.5,3)+3)/12))</f>
        <v>0</v>
      </c>
      <c r="AH2654">
        <f>AG2654-X2654</f>
        <v>0</v>
      </c>
      <c r="AI2654" cm="1">
        <f t="array" ref="AI2654">IFERROR(IF(AH2654&lt;0,0,AH2654/($R$2597-INDEX(hd_off,MATCH(AQ2654,hd_mark,0),0)/12)),0)</f>
        <v>0</v>
      </c>
      <c r="AJ2654">
        <f>MAX($F$24,$AB$2597)/$Q$2612</f>
        <v>0</v>
      </c>
      <c r="AK2654">
        <f t="shared" si="1640"/>
        <v>0</v>
      </c>
      <c r="AL2654" cm="1">
        <f t="array" ref="AL2654">IFERROR(INDEX(sheath_ecap_asd,MATCH(AP2654,sheath_mark,0),0)*AK2654,0)</f>
        <v>0</v>
      </c>
      <c r="AM2654" cm="1">
        <f t="array" ref="AM2654">IFERROR(INDEX(sheath_wcap_asd,MATCH(AP2654,sheath_mark,0),0)*AK2654,0)</f>
        <v>0</v>
      </c>
      <c r="AN2654" cm="1">
        <f t="array" ref="AN2654">IFERROR(INDEX(hd_cap,MATCH(AQ2654,hd_mark,0),0),0)</f>
        <v>0</v>
      </c>
      <c r="AP2654" s="19"/>
      <c r="AQ2654" s="19"/>
      <c r="AR2654" s="100"/>
      <c r="AS2654" s="93"/>
      <c r="AT2654" s="111">
        <f>$R$2597</f>
        <v>0</v>
      </c>
      <c r="AU2654" t="str">
        <f>$Q$2584</f>
        <v>L5</v>
      </c>
      <c r="AV2654">
        <f>$E$24</f>
        <v>0</v>
      </c>
      <c r="AW2654" cm="1">
        <f t="array" ref="AW2654">IFERROR(IF(AV2654=0,0,(INDEX($C$33:$C$38,MATCH($AZ$2597,$B$33:$B$38,0),0)*(AV2655+$BA$2597)+$AW$2597*COUNTIF(AV2654:AV2654,"&gt;0")*$C$32+$AY$2597*$C$31)*$AU$2597),0)</f>
        <v>0</v>
      </c>
      <c r="AX2654">
        <f>IF(AV2654=0,0,-(COUNTIF(AV2654:AV2654,"&gt;0")*$AW$2597*$C$32+$AY$2597*$C$31)*$H$27*$AU$2597)</f>
        <v>0</v>
      </c>
      <c r="AY2654">
        <f>IF(AV2654=0,0,$AY$2597*$H$26*$AU$2597)</f>
        <v>0</v>
      </c>
      <c r="AZ2654">
        <f>(0.6*AW2654+0.7*AX2654)*$AU$2597/2</f>
        <v>0</v>
      </c>
      <c r="BA2654">
        <f>AW2654*$AU$2597/2</f>
        <v>0</v>
      </c>
      <c r="BC2654">
        <f>IF(AV2654=0,0,$BG$2597*$AP$2584)</f>
        <v>0</v>
      </c>
      <c r="BD2654">
        <f>IFERROR(BC2654/$AU$2597,0)</f>
        <v>0</v>
      </c>
      <c r="BE2654">
        <f>BC2654*($F$24+IF($F$24=0,0,($C$14+$C$15+IF($C$13="single",1.5,3)+3)/12))</f>
        <v>0</v>
      </c>
      <c r="BF2654">
        <f>BE2654-AZ2654</f>
        <v>0</v>
      </c>
      <c r="BG2654" cm="1">
        <f t="array" ref="BG2654">IFERROR(IF(BF2654&lt;0,0,BF2654/($AU$2597-INDEX(hd_off,MATCH(BT2654,hd_mark,0),0)/12)),0)</f>
        <v>0</v>
      </c>
      <c r="BH2654">
        <f>IF(AV2654=0,0,$BG$2597*$AM$2584)</f>
        <v>0</v>
      </c>
      <c r="BI2654">
        <f>IFERROR(BH2654/$AU$2597,0)</f>
        <v>0</v>
      </c>
      <c r="BJ2654">
        <f>BH2654*($F$24+IF($F$24=0,0,($C$14+$C$15+IF($C$13="single",1.5,3)+3)/12))</f>
        <v>0</v>
      </c>
      <c r="BK2654">
        <f>BJ2654-BA2654</f>
        <v>0</v>
      </c>
      <c r="BL2654" cm="1">
        <f t="array" ref="BL2654">IFERROR(IF(BK2654&lt;0,0,BK2654/($AU$2597-INDEX(hd_off,MATCH(BT2654,hd_mark,0),0)/12)),0)</f>
        <v>0</v>
      </c>
      <c r="BM2654">
        <f>MAX($F$24,$BE$2597)/$Q$2612</f>
        <v>0</v>
      </c>
      <c r="BN2654">
        <f t="shared" si="1641"/>
        <v>0</v>
      </c>
      <c r="BO2654" cm="1">
        <f t="array" ref="BO2654">IFERROR(INDEX(sheath_ecap_asd,MATCH(BS2654,sheath_mark,0),0)*BN2654,0)</f>
        <v>0</v>
      </c>
      <c r="BP2654" cm="1">
        <f t="array" ref="BP2654">IFERROR(INDEX(sheath_wcap_asd,MATCH(BS2654,sheath_mark,0),0)*BN2654,0)</f>
        <v>0</v>
      </c>
      <c r="BQ2654" cm="1">
        <f t="array" ref="BQ2654">IFERROR(INDEX(hd_cap,MATCH(BT2654,hd_mark,0),0),0)</f>
        <v>0</v>
      </c>
      <c r="BS2654" s="19"/>
      <c r="BT2654" s="19"/>
      <c r="BU2654" s="100"/>
    </row>
    <row r="2655" x14ac:dyDescent="0.25">
      <c r="P2655" s="93"/>
      <c r="Q2655" s="109"/>
      <c r="R2655" t="str">
        <f>$Q$2585</f>
        <v>Roof</v>
      </c>
      <c r="S2655">
        <f>$E$25</f>
        <v>33.171875</v>
      </c>
      <c r="T2655" cm="1">
        <f t="array" ref="T2655">IFERROR(IF(S2655=0,0,(INDEX($C$33:$C$38,MATCH($W$2597,$B$33:$B$38,0),0)*(S2655+$X$2597)+$V$2597*$C$31)*$R$2597),0)</f>
        <v>0</v>
      </c>
      <c r="U2655">
        <f>IF(S2655=0,0,-$V$2597*$C$31*$H$27*$R$2597)</f>
        <v>0</v>
      </c>
      <c r="V2655">
        <f>IF(S2655=0,0,$V$2597*$H$26*$R$2597)</f>
        <v>0</v>
      </c>
      <c r="W2655">
        <f>(0.6*T2655+0.7*U2655)*$R$2597/2</f>
        <v>0</v>
      </c>
      <c r="X2655">
        <f>T2655*$R$2597/2</f>
        <v>0</v>
      </c>
      <c r="Z2655">
        <f>IF(S2655=0,0,$AD$2597*$AP$2585)</f>
        <v>0</v>
      </c>
      <c r="AA2655">
        <f>IFERROR(Z2655/$R$2597,0)</f>
        <v>0</v>
      </c>
      <c r="AB2655">
        <f>Z2655*($F$25+($C$16+$C$17+IF($C$13="single",1.5,3)+3)/12)</f>
        <v>0</v>
      </c>
      <c r="AC2655">
        <f>AB2655-W2655</f>
        <v>0</v>
      </c>
      <c r="AD2655" cm="1">
        <f t="array" ref="AD2655">IFERROR(IF(AC2655&lt;0,0,AC2655/($R$2597-INDEX(hd_off,MATCH(AQ2655,hd_mark,0),0)/12)),0)</f>
        <v>0</v>
      </c>
      <c r="AE2655">
        <f>IF(S2655=0,0,$AD$2597*$AM$2585)</f>
        <v>0</v>
      </c>
      <c r="AF2655">
        <f>IFERROR(AE2655/$R$2597,0)</f>
        <v>0</v>
      </c>
      <c r="AG2655">
        <f>AE2655*($F$25+($C$16+$C$17+IF($C$13="single",1.5,3)+3)/12)</f>
        <v>0</v>
      </c>
      <c r="AH2655">
        <f>AG2655-X2655</f>
        <v>0</v>
      </c>
      <c r="AI2655" cm="1">
        <f t="array" ref="AI2655">IFERROR(IF(AH2655&lt;0,0,AH2655/($R$2597-INDEX(hd_off,MATCH(AQ2655,hd_mark,0),0)/12)),0)</f>
        <v>0</v>
      </c>
      <c r="AJ2655">
        <f>MAX($F$25,$AC$2597)/$Q$2612</f>
        <v>0.29920977011494249</v>
      </c>
      <c r="AK2655">
        <f t="shared" si="1640"/>
        <v>1</v>
      </c>
      <c r="AL2655" cm="1">
        <f t="array" ref="AL2655">IFERROR(INDEX(sheath_ecap_asd,MATCH(AP2655,sheath_mark,0),0)*AK2655,0)</f>
        <v>0</v>
      </c>
      <c r="AM2655" cm="1">
        <f t="array" ref="AM2655">IFERROR(INDEX(sheath_wcap_asd,MATCH(AP2655,sheath_mark,0),0)*AK2655,0)</f>
        <v>0</v>
      </c>
      <c r="AN2655" cm="1">
        <f t="array" ref="AN2655">IFERROR(INDEX(hd_cap,MATCH(AQ2655,hd_mark,0),0),0)</f>
        <v>0</v>
      </c>
      <c r="AP2655" s="19"/>
      <c r="AQ2655" s="19"/>
      <c r="AR2655" s="100"/>
      <c r="AS2655" s="93"/>
      <c r="AT2655" s="109"/>
      <c r="AU2655" t="str">
        <f>$Q$2585</f>
        <v>Roof</v>
      </c>
      <c r="AV2655">
        <f>$E$25</f>
        <v>33.171875</v>
      </c>
      <c r="AW2655" cm="1">
        <f t="array" ref="AW2655">IFERROR(IF(AV2655=0,0,(INDEX($C$33:$C$38,MATCH($AZ$2597,$B$33:$B$38,0),0)*(AV2655+$BA$2597)+$AY$2597*$C$31)*$AU$2597),0)</f>
        <v>0</v>
      </c>
      <c r="AX2655">
        <f>IF(AV2655=0,0,-$AY$2597*$C$31*$H$27*$AU$2597)</f>
        <v>0</v>
      </c>
      <c r="AY2655">
        <f>IF(AV2655=0,0,$AY$2597*$H$26*$AU$2597)</f>
        <v>0</v>
      </c>
      <c r="AZ2655">
        <f>(0.6*AW2655+0.7*AX2655)*$AU$2597/2</f>
        <v>0</v>
      </c>
      <c r="BA2655">
        <f>AW2655*$AU$2597/2</f>
        <v>0</v>
      </c>
      <c r="BC2655">
        <f>IF(AV2655=0,0,$BG$2597*$AP$2585)</f>
        <v>0</v>
      </c>
      <c r="BD2655">
        <f>IFERROR(BC2655/$AU$2597,0)</f>
        <v>0</v>
      </c>
      <c r="BE2655">
        <f>BC2655*($F$25+($C$16+$C$17+IF($C$13="single",1.5,3)+3)/12)</f>
        <v>0</v>
      </c>
      <c r="BF2655">
        <f>BE2655-AZ2655</f>
        <v>0</v>
      </c>
      <c r="BG2655" cm="1">
        <f t="array" ref="BG2655">IFERROR(IF(BF2655&lt;0,0,BF2655/($AU$2597-INDEX(hd_off,MATCH(BT2655,hd_mark,0),0)/12)),0)</f>
        <v>0</v>
      </c>
      <c r="BH2655">
        <f>IF(AV2655=0,0,$BG$2597*$AM$2585)</f>
        <v>0</v>
      </c>
      <c r="BI2655">
        <f>IFERROR(BH2655/$AU$2597,0)</f>
        <v>0</v>
      </c>
      <c r="BJ2655">
        <f>BH2655*($F$25+($C$16+$C$17+IF($C$13="single",1.5,3)+3)/12)</f>
        <v>0</v>
      </c>
      <c r="BK2655">
        <f>BJ2655-BA2655</f>
        <v>0</v>
      </c>
      <c r="BL2655" cm="1">
        <f t="array" ref="BL2655">IFERROR(IF(BK2655&lt;0,0,BK2655/($AU$2597-INDEX(hd_off,MATCH(BT2655,hd_mark,0),0)/12)),0)</f>
        <v>0</v>
      </c>
      <c r="BM2655">
        <f>MAX($F$25,$BF$2597)/$Q$2612</f>
        <v>0.29920977011494249</v>
      </c>
      <c r="BN2655">
        <f t="shared" si="1641"/>
        <v>1</v>
      </c>
      <c r="BO2655" cm="1">
        <f t="array" ref="BO2655">IFERROR(INDEX(sheath_ecap_asd,MATCH(BS2655,sheath_mark,0),0)*BN2655,0)</f>
        <v>0</v>
      </c>
      <c r="BP2655" cm="1">
        <f t="array" ref="BP2655">IFERROR(INDEX(sheath_wcap_asd,MATCH(BS2655,sheath_mark,0),0)*BN2655,0)</f>
        <v>0</v>
      </c>
      <c r="BQ2655" cm="1">
        <f t="array" ref="BQ2655">IFERROR(INDEX(hd_cap,MATCH(BT2655,hd_mark,0),0),0)</f>
        <v>0</v>
      </c>
      <c r="BS2655" s="19"/>
      <c r="BT2655" s="19"/>
      <c r="BU2655" s="100"/>
    </row>
    <row r="2656" x14ac:dyDescent="0.25">
      <c r="P2656" s="93"/>
      <c r="AR2656" s="100"/>
      <c r="AS2656" s="93"/>
      <c r="BU2656" s="100"/>
    </row>
    <row r="2657" x14ac:dyDescent="0.25">
      <c r="P2657" s="93"/>
      <c r="Q2657" s="110" t="str">
        <f>$Q$2598</f>
        <v>A.09</v>
      </c>
      <c r="R2657" t="str">
        <f>$Q$2581</f>
        <v>L2</v>
      </c>
      <c r="S2657">
        <f>$E$21</f>
        <v>10.6875</v>
      </c>
      <c r="T2657" cm="1">
        <f t="array" ref="T2657">IFERROR(IF(S2657=0,0,(INDEX($C$33:$C$38,MATCH($W$2598,$B$33:$B$38,0),0)*(S2661+$X$2598)+$T$2598*COUNTIF(S2657:S2660,"&gt;0")*$C$32+$V$2598*$C$31)*$R$2598),0)</f>
        <v>0</v>
      </c>
      <c r="U2657">
        <f>IF(S2657=0,0,-(COUNTIF(S2657:S2660,"&gt;0")*$T$2598*$C$32+$V$2598*$C$31)*$H$27*$R$2598)</f>
        <v>0</v>
      </c>
      <c r="V2657">
        <f>IF(S2657=0,0,$V$2598*$H$26*$R$2598)</f>
        <v>0</v>
      </c>
      <c r="W2657">
        <f>(0.6*T2657+0.7*U2657)*$R$2598/2</f>
        <v>0</v>
      </c>
      <c r="X2657">
        <f>(0.6*T2657+0.6*V2657)*$R$2598/2</f>
        <v>0</v>
      </c>
      <c r="Z2657">
        <f>IF(S2657=0,0,$AD$2598*$AP$2581)</f>
        <v>0</v>
      </c>
      <c r="AA2657">
        <f>IFERROR(Z2657/$R$2598,0)</f>
        <v>0</v>
      </c>
      <c r="AB2657">
        <f>Z2657*($F$21+IF($F$21=0,0,($C$14+$C$15+IF($C$13="single",1.5,3)+3)/12))</f>
        <v>0</v>
      </c>
      <c r="AC2657">
        <f>AB2657-W2657</f>
        <v>0</v>
      </c>
      <c r="AD2657" cm="1">
        <f t="array" ref="AD2657">IFERROR(IF(AC2657&lt;0,0,AC2657/($R$2598-INDEX(hd_off,MATCH(AQ2657,hd_mark,0),0)/12)),0)</f>
        <v>0</v>
      </c>
      <c r="AE2657">
        <f>IF(S2657=0,0,$AD$2598*$AM$2581)</f>
        <v>0</v>
      </c>
      <c r="AF2657">
        <f>IFERROR(AE2657/$R$2598,0)</f>
        <v>0</v>
      </c>
      <c r="AG2657">
        <f>AE2657*($F$21+IF($F$21=0,0,($C$14+$C$15+IF($C$13="single",1.5,3)+3)/12))</f>
        <v>0</v>
      </c>
      <c r="AH2657">
        <f>AG2657-X2657</f>
        <v>0</v>
      </c>
      <c r="AI2657" cm="1">
        <f t="array" ref="AI2657">IFERROR(IF(AH2657&lt;0,0,AH2657/($R$2598-INDEX(hd_off,MATCH(AQ2657,hd_mark,0),0)/12)),0)</f>
        <v>0</v>
      </c>
      <c r="AJ2657">
        <f>MAX($F$21,$Y$2598)/$Q$2612</f>
        <v>0.30172413793103448</v>
      </c>
      <c r="AK2657">
        <f>IF(AJ2657=0,0,IF(AJ2657&gt;2,1.25-0.125*AJ2657,1))</f>
        <v>1</v>
      </c>
      <c r="AL2657" cm="1">
        <f t="array" ref="AL2657">IFERROR(INDEX(sheath_ecap_asd,MATCH(AP2657,sheath_mark,0),0)*AK2657,0)</f>
        <v>0</v>
      </c>
      <c r="AM2657" cm="1">
        <f t="array" ref="AM2657">IFERROR(INDEX(sheath_wcap_asd,MATCH(AP2657,sheath_mark,0),0)*AK2657,0)</f>
        <v>0</v>
      </c>
      <c r="AN2657" cm="1">
        <f t="array" ref="AN2657">IFERROR(INDEX(hd_cap,MATCH(AQ2657,hd_mark,0),0),0)</f>
        <v>0</v>
      </c>
      <c r="AP2657" s="19"/>
      <c r="AQ2657" s="19"/>
      <c r="AR2657" s="100"/>
      <c r="AS2657" s="93"/>
      <c r="AT2657" s="110" t="str">
        <f>$AT$2598</f>
        <v>1.09</v>
      </c>
      <c r="AU2657" t="str">
        <f>$Q$2581</f>
        <v>L2</v>
      </c>
      <c r="AV2657">
        <f>$E$21</f>
        <v>10.6875</v>
      </c>
      <c r="AW2657" cm="1">
        <f t="array" ref="AW2657">IFERROR(IF(AV2657=0,0,(INDEX($C$33:$C$38,MATCH($AZ$2598,$B$33:$B$38,0),0)*(AV2661+$BA$2598)+$AW$2598*COUNTIF(AV2657:AV2660,"&gt;0")*$C$32+$AY$2598*$C$31)*$AU$2598),0)</f>
        <v>0</v>
      </c>
      <c r="AX2657">
        <f>IF(AV2657=0,0,-(COUNTIF(AV2657:AV2660,"&gt;0")*$AW$2598*$C$32+$AY$2598*$C$31)*$H$27*$AU$2598)</f>
        <v>0</v>
      </c>
      <c r="AY2657">
        <f>IF(AV2657=0,0,$AY$2598*$H$26*$AU$2598)</f>
        <v>0</v>
      </c>
      <c r="AZ2657">
        <f>(0.6*AW2657+0.7*AX2657)*$AU$2598/2</f>
        <v>0</v>
      </c>
      <c r="BA2657">
        <f>(0.6*AW2657+0.6*AY2657)*$AU$2598/2</f>
        <v>0</v>
      </c>
      <c r="BC2657">
        <f>IF(AV2657=0,0,$BG$2598*$AP$2581)</f>
        <v>0</v>
      </c>
      <c r="BD2657">
        <f>IFERROR(BC2657/$AU$2598,0)</f>
        <v>0</v>
      </c>
      <c r="BE2657">
        <f>BC2657*($F$21+IF($F$21=0,0,($C$14+$C$15+IF($C$13="single",1.5,3)+3)/12))</f>
        <v>0</v>
      </c>
      <c r="BF2657">
        <f>BE2657-AZ2657</f>
        <v>0</v>
      </c>
      <c r="BG2657" cm="1">
        <f t="array" ref="BG2657">IFERROR(IF(BF2657&lt;0,0,BF2657/($AU$2598-INDEX(hd_off,MATCH(BT2657,hd_mark,0),0)/12)),0)</f>
        <v>0</v>
      </c>
      <c r="BH2657">
        <f>IF(AV2657=0,0,$BG$2598*$AM$2581)</f>
        <v>0</v>
      </c>
      <c r="BI2657">
        <f>IFERROR(BH2657/$AU$2598,0)</f>
        <v>0</v>
      </c>
      <c r="BJ2657">
        <f>BH2657*($F$21+IF($F$21=0,0,($C$14+$C$15+IF($C$13="single",1.5,3)+3)/12))</f>
        <v>0</v>
      </c>
      <c r="BK2657">
        <f>BJ2657-BA2657</f>
        <v>0</v>
      </c>
      <c r="BL2657" cm="1">
        <f t="array" ref="BL2657">IFERROR(IF(BK2657&lt;0,0,BK2657/($AU$2598-INDEX(hd_off,MATCH(BT2657,hd_mark,0),0)/12)),0)</f>
        <v>0</v>
      </c>
      <c r="BM2657">
        <f>MAX($F$21,$BB$2598)/$Q$2612</f>
        <v>0.30172413793103448</v>
      </c>
      <c r="BN2657">
        <f>IF(BM2657=0,0,IF(BM2657&gt;2,1.25-0.125*BM2657,1))</f>
        <v>1</v>
      </c>
      <c r="BO2657" cm="1">
        <f t="array" ref="BO2657">IFERROR(INDEX(sheath_ecap_asd,MATCH(BS2657,sheath_mark,0),0)*BN2657,0)</f>
        <v>0</v>
      </c>
      <c r="BP2657" cm="1">
        <f t="array" ref="BP2657">IFERROR(INDEX(sheath_wcap_asd,MATCH(BS2657,sheath_mark,0),0)*BN2657,0)</f>
        <v>0</v>
      </c>
      <c r="BQ2657" cm="1">
        <f t="array" ref="BQ2657">IFERROR(INDEX(hd_cap,MATCH(BT2657,hd_mark,0),0),0)</f>
        <v>0</v>
      </c>
      <c r="BS2657" s="19"/>
      <c r="BT2657" s="19"/>
      <c r="BU2657" s="100"/>
    </row>
    <row r="2658" x14ac:dyDescent="0.25">
      <c r="P2658" s="93"/>
      <c r="Q2658" s="109"/>
      <c r="R2658" t="str">
        <f>$Q$2582</f>
        <v>L3</v>
      </c>
      <c r="S2658">
        <f>$E$22</f>
        <v>21.375</v>
      </c>
      <c r="T2658" cm="1">
        <f t="array" ref="T2658">IFERROR(IF(S2658=0,0,(INDEX($C$33:$C$38,MATCH($W$2598,$B$33:$B$38,0),0)*(S2661+$X$2598)+$T$2598*COUNTIF(S2658:S2660,"&gt;0")*$C$32+$V$2598*$C$31)*$R$2598),0)</f>
        <v>0</v>
      </c>
      <c r="U2658">
        <f>IF(S2658=0,0,-(COUNTIF(S2658:S2660,"&gt;0")*$T$2598*$C$32+$V$2598*$C$31)*$H$27*$R$2598)</f>
        <v>0</v>
      </c>
      <c r="V2658">
        <f>IF(S2658=0,0,$V$2598*$H$26*$R$2598)</f>
        <v>0</v>
      </c>
      <c r="W2658">
        <f>(0.6*T2658+0.7*U2658)*$R$2598/2</f>
        <v>0</v>
      </c>
      <c r="X2658">
        <f>T2658*$R$2598/2</f>
        <v>0</v>
      </c>
      <c r="Z2658">
        <f>IF(S2658=0,0,$AD$2598*$AP$2582)</f>
        <v>0</v>
      </c>
      <c r="AA2658">
        <f>IFERROR(Z2658/$R$2598,0)</f>
        <v>0</v>
      </c>
      <c r="AB2658">
        <f>Z2658*($F$22+IF($F$22=0,0,($C$14+$C$15+IF($C$13="single",1.5,3)+3)/12))</f>
        <v>0</v>
      </c>
      <c r="AC2658">
        <f>AB2658-W2658</f>
        <v>0</v>
      </c>
      <c r="AD2658" cm="1">
        <f t="array" ref="AD2658">IFERROR(IF(AC2658&lt;0,0,AC2658/($R$2598-INDEX(hd_off,MATCH(AQ2658,hd_mark,0),0)/12)),0)</f>
        <v>0</v>
      </c>
      <c r="AE2658">
        <f>IF(S2658=0,0,$AD$2598*$AM$2582)</f>
        <v>0</v>
      </c>
      <c r="AF2658">
        <f>IFERROR(AE2658/$R$2598,0)</f>
        <v>0</v>
      </c>
      <c r="AG2658">
        <f>AE2658*($F$22+IF($F$22=0,0,($C$14+$C$15+IF($C$13="single",1.5,3)+3)/12))</f>
        <v>0</v>
      </c>
      <c r="AH2658">
        <f>AG2658-X2658</f>
        <v>0</v>
      </c>
      <c r="AI2658" cm="1">
        <f t="array" ref="AI2658">IFERROR(IF(AH2658&lt;0,0,AH2658/($R$2598-INDEX(hd_off,MATCH(AQ2658,hd_mark,0),0)/12)),0)</f>
        <v>0</v>
      </c>
      <c r="AJ2658">
        <f>MAX($F$22,$Z$2598)/$Q$2612</f>
        <v>0.30172413793103448</v>
      </c>
      <c r="AK2658">
        <f t="shared" ref="AK2658:AK2661" si="1642">IF(AJ2658=0,0,IF(AJ2658&gt;2,1.25-0.125*AJ2658,1))</f>
        <v>1</v>
      </c>
      <c r="AL2658" cm="1">
        <f t="array" ref="AL2658">IFERROR(INDEX(sheath_ecap_asd,MATCH(AP2658,sheath_mark,0),0)*AK2658,0)</f>
        <v>0</v>
      </c>
      <c r="AM2658" cm="1">
        <f t="array" ref="AM2658">IFERROR(INDEX(sheath_wcap_asd,MATCH(AP2658,sheath_mark,0),0)*AK2658,0)</f>
        <v>0</v>
      </c>
      <c r="AN2658" cm="1">
        <f t="array" ref="AN2658">IFERROR(INDEX(hd_cap,MATCH(AQ2658,hd_mark,0),0),0)</f>
        <v>0</v>
      </c>
      <c r="AP2658" s="19"/>
      <c r="AQ2658" s="19"/>
      <c r="AR2658" s="100"/>
      <c r="AS2658" s="93"/>
      <c r="AT2658" s="109"/>
      <c r="AU2658" t="str">
        <f>$Q$2582</f>
        <v>L3</v>
      </c>
      <c r="AV2658">
        <f>$E$22</f>
        <v>21.375</v>
      </c>
      <c r="AW2658" cm="1">
        <f t="array" ref="AW2658">IFERROR(IF(AV2658=0,0,(INDEX($C$33:$C$38,MATCH($AZ$2598,$B$33:$B$38,0),0)*(AV2661+$BA$2598)+$AW$2598*COUNTIF(AV2658:AV2660,"&gt;0")*$C$32+$AY$2598*$C$31)*$AU$2598),0)</f>
        <v>0</v>
      </c>
      <c r="AX2658">
        <f>IF(AV2658=0,0,-(COUNTIF(AV2658:AV2660,"&gt;0")*$AW$2598*$C$32+$AY$2598*$C$31)*$H$27*$AU$2598)</f>
        <v>0</v>
      </c>
      <c r="AY2658">
        <f>IF(AV2658=0,0,$AY$2598*$H$26*$AU$2598)</f>
        <v>0</v>
      </c>
      <c r="AZ2658">
        <f>(0.6*AW2658+0.7*AX2658)*$AU$2598/2</f>
        <v>0</v>
      </c>
      <c r="BA2658">
        <f>AW2658*$AU$2598/2</f>
        <v>0</v>
      </c>
      <c r="BC2658">
        <f>IF(AV2658=0,0,$BG$2598*$AP$2582)</f>
        <v>0</v>
      </c>
      <c r="BD2658">
        <f>IFERROR(BC2658/$AU$2598,0)</f>
        <v>0</v>
      </c>
      <c r="BE2658">
        <f>BC2658*($F$22+IF($F$22=0,0,($C$14+$C$15+IF($C$13="single",1.5,3)+3)/12))</f>
        <v>0</v>
      </c>
      <c r="BF2658">
        <f>BE2658-AZ2658</f>
        <v>0</v>
      </c>
      <c r="BG2658" cm="1">
        <f t="array" ref="BG2658">IFERROR(IF(BF2658&lt;0,0,BF2658/($AU$2598-INDEX(hd_off,MATCH(BT2658,hd_mark,0),0)/12)),0)</f>
        <v>0</v>
      </c>
      <c r="BH2658">
        <f>IF(AV2658=0,0,$BG$2598*$AM$2582)</f>
        <v>0</v>
      </c>
      <c r="BI2658">
        <f>IFERROR(BH2658/$AU$2598,0)</f>
        <v>0</v>
      </c>
      <c r="BJ2658">
        <f>BH2658*($F$22+IF($F$22=0,0,($C$14+$C$15+IF($C$13="single",1.5,3)+3)/12))</f>
        <v>0</v>
      </c>
      <c r="BK2658">
        <f>BJ2658-BA2658</f>
        <v>0</v>
      </c>
      <c r="BL2658" cm="1">
        <f t="array" ref="BL2658">IFERROR(IF(BK2658&lt;0,0,BK2658/($AU$2598-INDEX(hd_off,MATCH(BT2658,hd_mark,0),0)/12)),0)</f>
        <v>0</v>
      </c>
      <c r="BM2658">
        <f>MAX($F$22,$BC$2598)/$Q$2612</f>
        <v>0.30172413793103448</v>
      </c>
      <c r="BN2658">
        <f t="shared" ref="BN2658:BN2661" si="1643">IF(BM2658=0,0,IF(BM2658&gt;2,1.25-0.125*BM2658,1))</f>
        <v>1</v>
      </c>
      <c r="BO2658" cm="1">
        <f t="array" ref="BO2658">IFERROR(INDEX(sheath_ecap_asd,MATCH(BS2658,sheath_mark,0),0)*BN2658,0)</f>
        <v>0</v>
      </c>
      <c r="BP2658" cm="1">
        <f t="array" ref="BP2658">IFERROR(INDEX(sheath_wcap_asd,MATCH(BS2658,sheath_mark,0),0)*BN2658,0)</f>
        <v>0</v>
      </c>
      <c r="BQ2658" cm="1">
        <f t="array" ref="BQ2658">IFERROR(INDEX(hd_cap,MATCH(BT2658,hd_mark,0),0),0)</f>
        <v>0</v>
      </c>
      <c r="BS2658" s="19"/>
      <c r="BT2658" s="19"/>
      <c r="BU2658" s="100"/>
    </row>
    <row r="2659" x14ac:dyDescent="0.25">
      <c r="P2659" s="93"/>
      <c r="Q2659" s="109" t="s">
        <v>491</v>
      </c>
      <c r="R2659" t="str">
        <f>$Q$2583</f>
        <v>L4</v>
      </c>
      <c r="S2659">
        <f>$E$23</f>
        <v>0</v>
      </c>
      <c r="T2659" cm="1">
        <f t="array" ref="T2659">IFERROR(IF(S2659=0,0,(INDEX($C$33:$C$38,MATCH($W$2598,$B$33:$B$38,0),0)*(S2661+$X$2598)+$T$2598*COUNTIF(S2659:S2660,"&gt;0")*$C$32+$V$2598*$C$31)*$R$2598),0)</f>
        <v>0</v>
      </c>
      <c r="U2659">
        <f>IF(S2659=0,0,-(COUNTIF(S2659:S2660,"&gt;0")*$T$2598*$C$32+$V$2598*$C$31)*$H$27*$R$2598)</f>
        <v>0</v>
      </c>
      <c r="V2659">
        <f>IF(S2659=0,0,$V$2598*$H$26*$R$2598)</f>
        <v>0</v>
      </c>
      <c r="W2659">
        <f>(0.6*T2659+0.7*U2659)*$R$2598/2</f>
        <v>0</v>
      </c>
      <c r="X2659">
        <f>T2659*$R$2598/2</f>
        <v>0</v>
      </c>
      <c r="Z2659">
        <f>IF(S2659=0,0,$AD$2598*$AP$2583)</f>
        <v>0</v>
      </c>
      <c r="AA2659">
        <f>IFERROR(Z2659/$R$2598,0)</f>
        <v>0</v>
      </c>
      <c r="AB2659">
        <f>Z2659*($F$23+IF($F$23=0,0,($C$14+$C$15+IF($C$13="single",1.5,3)+3)/12))</f>
        <v>0</v>
      </c>
      <c r="AC2659">
        <f>AB2659-W2659</f>
        <v>0</v>
      </c>
      <c r="AD2659" cm="1">
        <f t="array" ref="AD2659">IFERROR(IF(AC2659&lt;0,0,AC2659/($R$2598-INDEX(hd_off,MATCH(AQ2659,hd_mark,0),0)/12)),0)</f>
        <v>0</v>
      </c>
      <c r="AE2659">
        <f>IF(S2659=0,0,$AD$2598*$AM$2583)</f>
        <v>0</v>
      </c>
      <c r="AF2659">
        <f>IFERROR(AE2659/$R$2598,0)</f>
        <v>0</v>
      </c>
      <c r="AG2659">
        <f>AE2659*($F$23+IF($F$23=0,0,($C$14+$C$15+IF($C$13="single",1.5,3)+3)/12))</f>
        <v>0</v>
      </c>
      <c r="AH2659">
        <f>AG2659-X2659</f>
        <v>0</v>
      </c>
      <c r="AI2659" cm="1">
        <f t="array" ref="AI2659">IFERROR(IF(AH2659&lt;0,0,AH2659/($R$2598-INDEX(hd_off,MATCH(AQ2659,hd_mark,0),0)/12)),0)</f>
        <v>0</v>
      </c>
      <c r="AJ2659">
        <f>MAX($F$23,$AA$2598)/$Q$2612</f>
        <v>0</v>
      </c>
      <c r="AK2659">
        <f t="shared" si="1642"/>
        <v>0</v>
      </c>
      <c r="AL2659" cm="1">
        <f t="array" ref="AL2659">IFERROR(INDEX(sheath_ecap_asd,MATCH(AP2659,sheath_mark,0),0)*AK2659,0)</f>
        <v>0</v>
      </c>
      <c r="AM2659" cm="1">
        <f t="array" ref="AM2659">IFERROR(INDEX(sheath_wcap_asd,MATCH(AP2659,sheath_mark,0),0)*AK2659,0)</f>
        <v>0</v>
      </c>
      <c r="AN2659" cm="1">
        <f t="array" ref="AN2659">IFERROR(INDEX(hd_cap,MATCH(AQ2659,hd_mark,0),0),0)</f>
        <v>0</v>
      </c>
      <c r="AP2659" s="19"/>
      <c r="AQ2659" s="19"/>
      <c r="AR2659" s="100"/>
      <c r="AS2659" s="93"/>
      <c r="AT2659" s="109" t="s">
        <v>491</v>
      </c>
      <c r="AU2659" t="str">
        <f>$Q$2583</f>
        <v>L4</v>
      </c>
      <c r="AV2659">
        <f>$E$23</f>
        <v>0</v>
      </c>
      <c r="AW2659" cm="1">
        <f t="array" ref="AW2659">IFERROR(IF(AV2659=0,0,(INDEX($C$33:$C$38,MATCH($AZ$2598,$B$33:$B$38,0),0)*(AV2661+$BA$2598)+$AW$2598*COUNTIF(AV2659:AV2660,"&gt;0")*$C$32+$AY$2598*$C$31)*$AU$2598),0)</f>
        <v>0</v>
      </c>
      <c r="AX2659">
        <f>IF(AV2659=0,0,-(COUNTIF(AV2659:AV2660,"&gt;0")*$AW$2598*$C$32+$AY$2598*$C$31)*$H$27*$AU$2598)</f>
        <v>0</v>
      </c>
      <c r="AY2659">
        <f>IF(AV2659=0,0,$AY$2598*$H$26*$AU$2598)</f>
        <v>0</v>
      </c>
      <c r="AZ2659">
        <f>(0.6*AW2659+0.7*AX2659)*$AU$2598/2</f>
        <v>0</v>
      </c>
      <c r="BA2659">
        <f>AW2659*$AU$2598/2</f>
        <v>0</v>
      </c>
      <c r="BC2659">
        <f>IF(AV2659=0,0,$BG$2598*$AP$2583)</f>
        <v>0</v>
      </c>
      <c r="BD2659">
        <f>IFERROR(BC2659/$AU$2598,0)</f>
        <v>0</v>
      </c>
      <c r="BE2659">
        <f>BC2659*($F$23+IF($F$23=0,0,($C$14+$C$15+IF($C$13="single",1.5,3)+3)/12))</f>
        <v>0</v>
      </c>
      <c r="BF2659">
        <f>BE2659-AZ2659</f>
        <v>0</v>
      </c>
      <c r="BG2659" cm="1">
        <f t="array" ref="BG2659">IFERROR(IF(BF2659&lt;0,0,BF2659/($AU$2598-INDEX(hd_off,MATCH(BT2659,hd_mark,0),0)/12)),0)</f>
        <v>0</v>
      </c>
      <c r="BH2659">
        <f>IF(AV2659=0,0,$BG$2598*$AM$2583)</f>
        <v>0</v>
      </c>
      <c r="BI2659">
        <f>IFERROR(BH2659/$AU$2598,0)</f>
        <v>0</v>
      </c>
      <c r="BJ2659">
        <f>BH2659*($F$23+IF($F$23=0,0,($C$14+$C$15+IF($C$13="single",1.5,3)+3)/12))</f>
        <v>0</v>
      </c>
      <c r="BK2659">
        <f>BJ2659-BA2659</f>
        <v>0</v>
      </c>
      <c r="BL2659" cm="1">
        <f t="array" ref="BL2659">IFERROR(IF(BK2659&lt;0,0,BK2659/($AU$2598-INDEX(hd_off,MATCH(BT2659,hd_mark,0),0)/12)),0)</f>
        <v>0</v>
      </c>
      <c r="BM2659">
        <f>MAX($F$23,$BD$2598)/$Q$2612</f>
        <v>0</v>
      </c>
      <c r="BN2659">
        <f t="shared" si="1643"/>
        <v>0</v>
      </c>
      <c r="BO2659" cm="1">
        <f t="array" ref="BO2659">IFERROR(INDEX(sheath_ecap_asd,MATCH(BS2659,sheath_mark,0),0)*BN2659,0)</f>
        <v>0</v>
      </c>
      <c r="BP2659" cm="1">
        <f t="array" ref="BP2659">IFERROR(INDEX(sheath_wcap_asd,MATCH(BS2659,sheath_mark,0),0)*BN2659,0)</f>
        <v>0</v>
      </c>
      <c r="BQ2659" cm="1">
        <f t="array" ref="BQ2659">IFERROR(INDEX(hd_cap,MATCH(BT2659,hd_mark,0),0),0)</f>
        <v>0</v>
      </c>
      <c r="BS2659" s="19"/>
      <c r="BT2659" s="19"/>
      <c r="BU2659" s="100"/>
    </row>
    <row r="2660" x14ac:dyDescent="0.25">
      <c r="P2660" s="93"/>
      <c r="Q2660" s="111">
        <f>$R$2598</f>
        <v>0</v>
      </c>
      <c r="R2660" t="str">
        <f>$Q$2584</f>
        <v>L5</v>
      </c>
      <c r="S2660">
        <f>$E$24</f>
        <v>0</v>
      </c>
      <c r="T2660" cm="1">
        <f t="array" ref="T2660">IFERROR(IF(S2660=0,0,(INDEX($C$33:$C$38,MATCH($W$2598,$B$33:$B$38,0),0)*(S2661+$X$2598)+$T$2598*COUNTIF(S2660:S2660,"&gt;0")*$C$32+$V$2598*$C$31)*$R$2598),0)</f>
        <v>0</v>
      </c>
      <c r="U2660">
        <f>IF(S2660=0,0,-(COUNTIF(S2660:S2660,"&gt;0")*$T$2598*$C$32+$V$2598*$C$31)*$H$27*$R$2598)</f>
        <v>0</v>
      </c>
      <c r="V2660">
        <f>IF(S2660=0,0,$V$2598*$H$26*$R$2598)</f>
        <v>0</v>
      </c>
      <c r="W2660">
        <f>(0.6*T2660+0.7*U2660)*$R$2598/2</f>
        <v>0</v>
      </c>
      <c r="X2660">
        <f>T2660*$R$2598/2</f>
        <v>0</v>
      </c>
      <c r="Z2660">
        <f>IF(S2660=0,0,$AD$2598*$AP$2584)</f>
        <v>0</v>
      </c>
      <c r="AA2660">
        <f>IFERROR(Z2660/$R$2598,0)</f>
        <v>0</v>
      </c>
      <c r="AB2660">
        <f>Z2660*($F$24+IF($F$24=0,0,($C$14+$C$15+IF($C$13="single",1.5,3)+3)/12))</f>
        <v>0</v>
      </c>
      <c r="AC2660">
        <f>AB2660-W2660</f>
        <v>0</v>
      </c>
      <c r="AD2660" cm="1">
        <f t="array" ref="AD2660">IFERROR(IF(AC2660&lt;0,0,AC2660/($R$2598-INDEX(hd_off,MATCH(AQ2660,hd_mark,0),0)/12)),0)</f>
        <v>0</v>
      </c>
      <c r="AE2660">
        <f>IF(S2660=0,0,$AD$2598*$AM$2584)</f>
        <v>0</v>
      </c>
      <c r="AF2660">
        <f>IFERROR(AE2660/$R$2598,0)</f>
        <v>0</v>
      </c>
      <c r="AG2660">
        <f>AE2660*($F$24+IF($F$24=0,0,($C$14+$C$15+IF($C$13="single",1.5,3)+3)/12))</f>
        <v>0</v>
      </c>
      <c r="AH2660">
        <f>AG2660-X2660</f>
        <v>0</v>
      </c>
      <c r="AI2660" cm="1">
        <f t="array" ref="AI2660">IFERROR(IF(AH2660&lt;0,0,AH2660/($R$2598-INDEX(hd_off,MATCH(AQ2660,hd_mark,0),0)/12)),0)</f>
        <v>0</v>
      </c>
      <c r="AJ2660">
        <f>MAX($F$24,$AB$2598)/$Q$2612</f>
        <v>0</v>
      </c>
      <c r="AK2660">
        <f t="shared" si="1642"/>
        <v>0</v>
      </c>
      <c r="AL2660" cm="1">
        <f t="array" ref="AL2660">IFERROR(INDEX(sheath_ecap_asd,MATCH(AP2660,sheath_mark,0),0)*AK2660,0)</f>
        <v>0</v>
      </c>
      <c r="AM2660" cm="1">
        <f t="array" ref="AM2660">IFERROR(INDEX(sheath_wcap_asd,MATCH(AP2660,sheath_mark,0),0)*AK2660,0)</f>
        <v>0</v>
      </c>
      <c r="AN2660" cm="1">
        <f t="array" ref="AN2660">IFERROR(INDEX(hd_cap,MATCH(AQ2660,hd_mark,0),0),0)</f>
        <v>0</v>
      </c>
      <c r="AP2660" s="19"/>
      <c r="AQ2660" s="19"/>
      <c r="AR2660" s="100"/>
      <c r="AS2660" s="93"/>
      <c r="AT2660" s="111">
        <f>$R$2598</f>
        <v>0</v>
      </c>
      <c r="AU2660" t="str">
        <f>$Q$2584</f>
        <v>L5</v>
      </c>
      <c r="AV2660">
        <f>$E$24</f>
        <v>0</v>
      </c>
      <c r="AW2660" cm="1">
        <f t="array" ref="AW2660">IFERROR(IF(AV2660=0,0,(INDEX($C$33:$C$38,MATCH($AZ$2598,$B$33:$B$38,0),0)*(AV2661+$BA$2598)+$AW$2598*COUNTIF(AV2660:AV2660,"&gt;0")*$C$32+$AY$2598*$C$31)*$AU$2598),0)</f>
        <v>0</v>
      </c>
      <c r="AX2660">
        <f>IF(AV2660=0,0,-(COUNTIF(AV2660:AV2660,"&gt;0")*$AW$2598*$C$32+$AY$2598*$C$31)*$H$27*$AU$2598)</f>
        <v>0</v>
      </c>
      <c r="AY2660">
        <f>IF(AV2660=0,0,$AY$2598*$H$26*$AU$2598)</f>
        <v>0</v>
      </c>
      <c r="AZ2660">
        <f>(0.6*AW2660+0.7*AX2660)*$AU$2598/2</f>
        <v>0</v>
      </c>
      <c r="BA2660">
        <f>AW2660*$AU$2598/2</f>
        <v>0</v>
      </c>
      <c r="BC2660">
        <f>IF(AV2660=0,0,$BG$2598*$AP$2584)</f>
        <v>0</v>
      </c>
      <c r="BD2660">
        <f>IFERROR(BC2660/$AU$2598,0)</f>
        <v>0</v>
      </c>
      <c r="BE2660">
        <f>BC2660*($F$24+IF($F$24=0,0,($C$14+$C$15+IF($C$13="single",1.5,3)+3)/12))</f>
        <v>0</v>
      </c>
      <c r="BF2660">
        <f>BE2660-AZ2660</f>
        <v>0</v>
      </c>
      <c r="BG2660" cm="1">
        <f t="array" ref="BG2660">IFERROR(IF(BF2660&lt;0,0,BF2660/($AU$2598-INDEX(hd_off,MATCH(BT2660,hd_mark,0),0)/12)),0)</f>
        <v>0</v>
      </c>
      <c r="BH2660">
        <f>IF(AV2660=0,0,$BG$2598*$AM$2584)</f>
        <v>0</v>
      </c>
      <c r="BI2660">
        <f>IFERROR(BH2660/$AU$2598,0)</f>
        <v>0</v>
      </c>
      <c r="BJ2660">
        <f>BH2660*($F$24+IF($F$24=0,0,($C$14+$C$15+IF($C$13="single",1.5,3)+3)/12))</f>
        <v>0</v>
      </c>
      <c r="BK2660">
        <f>BJ2660-BA2660</f>
        <v>0</v>
      </c>
      <c r="BL2660" cm="1">
        <f t="array" ref="BL2660">IFERROR(IF(BK2660&lt;0,0,BK2660/($AU$2598-INDEX(hd_off,MATCH(BT2660,hd_mark,0),0)/12)),0)</f>
        <v>0</v>
      </c>
      <c r="BM2660">
        <f>MAX($F$24,$BE$2598)/$Q$2612</f>
        <v>0</v>
      </c>
      <c r="BN2660">
        <f t="shared" si="1643"/>
        <v>0</v>
      </c>
      <c r="BO2660" cm="1">
        <f t="array" ref="BO2660">IFERROR(INDEX(sheath_ecap_asd,MATCH(BS2660,sheath_mark,0),0)*BN2660,0)</f>
        <v>0</v>
      </c>
      <c r="BP2660" cm="1">
        <f t="array" ref="BP2660">IFERROR(INDEX(sheath_wcap_asd,MATCH(BS2660,sheath_mark,0),0)*BN2660,0)</f>
        <v>0</v>
      </c>
      <c r="BQ2660" cm="1">
        <f t="array" ref="BQ2660">IFERROR(INDEX(hd_cap,MATCH(BT2660,hd_mark,0),0),0)</f>
        <v>0</v>
      </c>
      <c r="BS2660" s="19"/>
      <c r="BT2660" s="19"/>
      <c r="BU2660" s="100"/>
    </row>
    <row r="2661" x14ac:dyDescent="0.25">
      <c r="P2661" s="93"/>
      <c r="Q2661" s="109"/>
      <c r="R2661" t="str">
        <f>$Q$2585</f>
        <v>Roof</v>
      </c>
      <c r="S2661">
        <f>$E$25</f>
        <v>33.171875</v>
      </c>
      <c r="T2661" cm="1">
        <f t="array" ref="T2661">IFERROR(IF(S2661=0,0,(INDEX($C$33:$C$38,MATCH($W$2598,$B$33:$B$38,0),0)*(S2661+$X$2598)+$V$2598*$C$31)*$R$2598),0)</f>
        <v>0</v>
      </c>
      <c r="U2661">
        <f>IF(S2661=0,0,-$V$2598*$C$31*$H$27*$R$2598)</f>
        <v>0</v>
      </c>
      <c r="V2661">
        <f>IF(S2661=0,0,$V$2598*$H$26*$R$2598)</f>
        <v>0</v>
      </c>
      <c r="W2661">
        <f>(0.6*T2661+0.7*U2661)*$R$2598/2</f>
        <v>0</v>
      </c>
      <c r="X2661">
        <f>T2661*$R$2598/2</f>
        <v>0</v>
      </c>
      <c r="Z2661">
        <f>IF(S2661=0,0,$AD$2598*$AP$2585)</f>
        <v>0</v>
      </c>
      <c r="AA2661">
        <f>IFERROR(Z2661/$R$2598,0)</f>
        <v>0</v>
      </c>
      <c r="AB2661">
        <f>Z2661*($F$25+($C$16+$C$17+IF($C$13="single",1.5,3)+3)/12)</f>
        <v>0</v>
      </c>
      <c r="AC2661">
        <f>AB2661-W2661</f>
        <v>0</v>
      </c>
      <c r="AD2661" cm="1">
        <f t="array" ref="AD2661">IFERROR(IF(AC2661&lt;0,0,AC2661/($R$2598-INDEX(hd_off,MATCH(AQ2661,hd_mark,0),0)/12)),0)</f>
        <v>0</v>
      </c>
      <c r="AE2661">
        <f>IF(S2661=0,0,$AD$2598*$AM$2585)</f>
        <v>0</v>
      </c>
      <c r="AF2661">
        <f>IFERROR(AE2661/$R$2598,0)</f>
        <v>0</v>
      </c>
      <c r="AG2661">
        <f>AE2661*($F$25+($C$16+$C$17+IF($C$13="single",1.5,3)+3)/12)</f>
        <v>0</v>
      </c>
      <c r="AH2661">
        <f>AG2661-X2661</f>
        <v>0</v>
      </c>
      <c r="AI2661" cm="1">
        <f t="array" ref="AI2661">IFERROR(IF(AH2661&lt;0,0,AH2661/($R$2598-INDEX(hd_off,MATCH(AQ2661,hd_mark,0),0)/12)),0)</f>
        <v>0</v>
      </c>
      <c r="AJ2661">
        <f>MAX($F$25,$AC$2598)/$Q$2612</f>
        <v>0.29920977011494249</v>
      </c>
      <c r="AK2661">
        <f t="shared" si="1642"/>
        <v>1</v>
      </c>
      <c r="AL2661" cm="1">
        <f t="array" ref="AL2661">IFERROR(INDEX(sheath_ecap_asd,MATCH(AP2661,sheath_mark,0),0)*AK2661,0)</f>
        <v>0</v>
      </c>
      <c r="AM2661" cm="1">
        <f t="array" ref="AM2661">IFERROR(INDEX(sheath_wcap_asd,MATCH(AP2661,sheath_mark,0),0)*AK2661,0)</f>
        <v>0</v>
      </c>
      <c r="AN2661" cm="1">
        <f t="array" ref="AN2661">IFERROR(INDEX(hd_cap,MATCH(AQ2661,hd_mark,0),0),0)</f>
        <v>0</v>
      </c>
      <c r="AP2661" s="19"/>
      <c r="AQ2661" s="19"/>
      <c r="AR2661" s="100"/>
      <c r="AS2661" s="93"/>
      <c r="AT2661" s="109"/>
      <c r="AU2661" t="str">
        <f>$Q$2585</f>
        <v>Roof</v>
      </c>
      <c r="AV2661">
        <f>$E$25</f>
        <v>33.171875</v>
      </c>
      <c r="AW2661" cm="1">
        <f t="array" ref="AW2661">IFERROR(IF(AV2661=0,0,(INDEX($C$33:$C$38,MATCH($AZ$2598,$B$33:$B$38,0),0)*(AV2661+$BA$2598)+$AY$2598*$C$31)*$AU$2598),0)</f>
        <v>0</v>
      </c>
      <c r="AX2661">
        <f>IF(AV2661=0,0,-$AY$2598*$C$31*$H$27*$AU$2598)</f>
        <v>0</v>
      </c>
      <c r="AY2661">
        <f>IF(AV2661=0,0,$AY$2598*$H$26*$AU$2598)</f>
        <v>0</v>
      </c>
      <c r="AZ2661">
        <f>(0.6*AW2661+0.7*AX2661)*$AU$2598/2</f>
        <v>0</v>
      </c>
      <c r="BA2661">
        <f>AW2661*$AU$2598/2</f>
        <v>0</v>
      </c>
      <c r="BC2661">
        <f>IF(AV2661=0,0,$BG$2598*$AP$2585)</f>
        <v>0</v>
      </c>
      <c r="BD2661">
        <f>IFERROR(BC2661/$AU$2598,0)</f>
        <v>0</v>
      </c>
      <c r="BE2661">
        <f>BC2661*($F$25+($C$16+$C$17+IF($C$13="single",1.5,3)+3)/12)</f>
        <v>0</v>
      </c>
      <c r="BF2661">
        <f>BE2661-AZ2661</f>
        <v>0</v>
      </c>
      <c r="BG2661" cm="1">
        <f t="array" ref="BG2661">IFERROR(IF(BF2661&lt;0,0,BF2661/($AU$2598-INDEX(hd_off,MATCH(BT2661,hd_mark,0),0)/12)),0)</f>
        <v>0</v>
      </c>
      <c r="BH2661">
        <f>IF(AV2661=0,0,$BG$2598*$AM$2585)</f>
        <v>0</v>
      </c>
      <c r="BI2661">
        <f>IFERROR(BH2661/$AU$2598,0)</f>
        <v>0</v>
      </c>
      <c r="BJ2661">
        <f>BH2661*($F$25+($C$16+$C$17+IF($C$13="single",1.5,3)+3)/12)</f>
        <v>0</v>
      </c>
      <c r="BK2661">
        <f>BJ2661-BA2661</f>
        <v>0</v>
      </c>
      <c r="BL2661" cm="1">
        <f t="array" ref="BL2661">IFERROR(IF(BK2661&lt;0,0,BK2661/($AU$2598-INDEX(hd_off,MATCH(BT2661,hd_mark,0),0)/12)),0)</f>
        <v>0</v>
      </c>
      <c r="BM2661">
        <f>MAX($F$25,$BF$2598)/$Q$2612</f>
        <v>0.29920977011494249</v>
      </c>
      <c r="BN2661">
        <f t="shared" si="1643"/>
        <v>1</v>
      </c>
      <c r="BO2661" cm="1">
        <f t="array" ref="BO2661">IFERROR(INDEX(sheath_ecap_asd,MATCH(BS2661,sheath_mark,0),0)*BN2661,0)</f>
        <v>0</v>
      </c>
      <c r="BP2661" cm="1">
        <f t="array" ref="BP2661">IFERROR(INDEX(sheath_wcap_asd,MATCH(BS2661,sheath_mark,0),0)*BN2661,0)</f>
        <v>0</v>
      </c>
      <c r="BQ2661" cm="1">
        <f t="array" ref="BQ2661">IFERROR(INDEX(hd_cap,MATCH(BT2661,hd_mark,0),0),0)</f>
        <v>0</v>
      </c>
      <c r="BS2661" s="19"/>
      <c r="BT2661" s="19"/>
      <c r="BU2661" s="100"/>
    </row>
    <row r="2662" x14ac:dyDescent="0.25">
      <c r="P2662" s="93"/>
      <c r="AR2662" s="100"/>
      <c r="AS2662" s="93"/>
      <c r="BU2662" s="100"/>
    </row>
    <row r="2663" x14ac:dyDescent="0.25">
      <c r="P2663" s="93"/>
      <c r="Q2663" s="110" t="str">
        <f>$Q$2599</f>
        <v>A.10</v>
      </c>
      <c r="R2663" t="str">
        <f>$Q$2581</f>
        <v>L2</v>
      </c>
      <c r="S2663">
        <f>$E$21</f>
        <v>10.6875</v>
      </c>
      <c r="T2663" cm="1">
        <f t="array" ref="T2663">IFERROR(IF(S2663=0,0,(INDEX($C$33:$C$38,MATCH($W$2599,$B$33:$B$38,0),0)*(S2667+$X$2599)+$T$2599*COUNTIF(S2663:S2666,"&gt;0")*$C$32+$V$2599*$C$31)*$R$2599),0)</f>
        <v>0</v>
      </c>
      <c r="U2663">
        <f>IF(S2663=0,0,-(COUNTIF(S2663:S2666,"&gt;0")*$T$2599*$C$32+$V$2599*$C$31)*$H$27*$R$2599)</f>
        <v>0</v>
      </c>
      <c r="V2663">
        <f>IF(S2663=0,0,$V$2599*$H$26*$R$2599)</f>
        <v>0</v>
      </c>
      <c r="W2663">
        <f>(0.6*T2663+0.7*U2663)*$R$2599/2</f>
        <v>0</v>
      </c>
      <c r="X2663">
        <f>(0.6*T2663+0.6*V2663)*$R$2599/2</f>
        <v>0</v>
      </c>
      <c r="Z2663">
        <f>IF(S2663=0,0,$AD$2599*$AP$2581)</f>
        <v>0</v>
      </c>
      <c r="AA2663">
        <f>IFERROR(Z2663/$R$2599,0)</f>
        <v>0</v>
      </c>
      <c r="AB2663">
        <f>Z2663*($F$21+IF($F$21=0,0,($C$14+$C$15+IF($C$13="single",1.5,3)+3)/12))</f>
        <v>0</v>
      </c>
      <c r="AC2663">
        <f>AB2663-W2663</f>
        <v>0</v>
      </c>
      <c r="AD2663" cm="1">
        <f t="array" ref="AD2663">IFERROR(IF(AC2663&lt;0,0,AC2663/($R$2599-INDEX(hd_off,MATCH(AQ2663,hd_mark,0),0)/12)),0)</f>
        <v>0</v>
      </c>
      <c r="AE2663">
        <f>IF(S2663=0,0,$AD$2599*$AM$2581)</f>
        <v>0</v>
      </c>
      <c r="AF2663">
        <f>IFERROR(AE2663/$R$2599,0)</f>
        <v>0</v>
      </c>
      <c r="AG2663">
        <f>AE2663*($F$21+IF($F$21=0,0,($C$14+$C$15+IF($C$13="single",1.5,3)+3)/12))</f>
        <v>0</v>
      </c>
      <c r="AH2663">
        <f>AG2663-X2663</f>
        <v>0</v>
      </c>
      <c r="AI2663" cm="1">
        <f t="array" ref="AI2663">IFERROR(IF(AH2663&lt;0,0,AH2663/($R$2599-INDEX(hd_off,MATCH(AQ2663,hd_mark,0),0)/12)),0)</f>
        <v>0</v>
      </c>
      <c r="AJ2663">
        <f>MAX($F$21,$Y$2599)/$Q$2612</f>
        <v>0.30172413793103448</v>
      </c>
      <c r="AK2663">
        <f>IF(AJ2663=0,0,IF(AJ2663&gt;2,1.25-0.125*AJ2663,1))</f>
        <v>1</v>
      </c>
      <c r="AL2663" cm="1">
        <f t="array" ref="AL2663">IFERROR(INDEX(sheath_ecap_asd,MATCH(AP2663,sheath_mark,0),0)*AK2663,0)</f>
        <v>0</v>
      </c>
      <c r="AM2663" cm="1">
        <f t="array" ref="AM2663">IFERROR(INDEX(sheath_wcap_asd,MATCH(AP2663,sheath_mark,0),0)*AK2663,0)</f>
        <v>0</v>
      </c>
      <c r="AN2663" cm="1">
        <f t="array" ref="AN2663">IFERROR(INDEX(hd_cap,MATCH(AQ2663,hd_mark,0),0),0)</f>
        <v>0</v>
      </c>
      <c r="AP2663" s="19"/>
      <c r="AQ2663" s="19"/>
      <c r="AR2663" s="100"/>
      <c r="AS2663" s="93"/>
      <c r="AT2663" s="110" t="str">
        <f>$AT$2599</f>
        <v>1.10</v>
      </c>
      <c r="AU2663" t="str">
        <f>$Q$2581</f>
        <v>L2</v>
      </c>
      <c r="AV2663">
        <f>$E$21</f>
        <v>10.6875</v>
      </c>
      <c r="AW2663" cm="1">
        <f t="array" ref="AW2663">IFERROR(IF(AV2663=0,0,(INDEX($C$33:$C$38,MATCH($AZ$2599,$B$33:$B$38,0),0)*(AV2667+$BA$2599)+$AW$2599*COUNTIF(AV2663:AV2666,"&gt;0")*$C$32+$AY$2599*$C$31)*$AU$2599),0)</f>
        <v>0</v>
      </c>
      <c r="AX2663">
        <f>IF(AV2663=0,0,-(COUNTIF(AV2663:AV2666,"&gt;0")*$AW$2599*$C$32+$AY$2599*$C$31)*$H$27*$AU$2599)</f>
        <v>0</v>
      </c>
      <c r="AY2663">
        <f>IF(AV2663=0,0,$AY$2599*$H$26*$AU$2599)</f>
        <v>0</v>
      </c>
      <c r="AZ2663">
        <f>(0.6*AW2663+0.7*AX2663)*$AU$2599/2</f>
        <v>0</v>
      </c>
      <c r="BA2663">
        <f>(0.6*AW2663+0.6*AY2663)*$AU$2599/2</f>
        <v>0</v>
      </c>
      <c r="BC2663">
        <f>IF(AV2663=0,0,$BG$2599*$AP$2581)</f>
        <v>0</v>
      </c>
      <c r="BD2663">
        <f>IFERROR(BC2663/$AU$2599,0)</f>
        <v>0</v>
      </c>
      <c r="BE2663">
        <f>BC2663*($F$21+IF($F$21=0,0,($C$14+$C$15+IF($C$13="single",1.5,3)+3)/12))</f>
        <v>0</v>
      </c>
      <c r="BF2663">
        <f>BE2663-AZ2663</f>
        <v>0</v>
      </c>
      <c r="BG2663" cm="1">
        <f t="array" ref="BG2663">IFERROR(IF(BF2663&lt;0,0,BF2663/($AU$2599-INDEX(hd_off,MATCH(BT2663,hd_mark,0),0)/12)),0)</f>
        <v>0</v>
      </c>
      <c r="BH2663">
        <f>IF(AV2663=0,0,$BG$2599*$AM$2581)</f>
        <v>0</v>
      </c>
      <c r="BI2663">
        <f>IFERROR(BH2663/$AU$2599,0)</f>
        <v>0</v>
      </c>
      <c r="BJ2663">
        <f>BH2663*($F$21+IF($F$21=0,0,($C$14+$C$15+IF($C$13="single",1.5,3)+3)/12))</f>
        <v>0</v>
      </c>
      <c r="BK2663">
        <f>BJ2663-BA2663</f>
        <v>0</v>
      </c>
      <c r="BL2663" cm="1">
        <f t="array" ref="BL2663">IFERROR(IF(BK2663&lt;0,0,BK2663/($AU$2599-INDEX(hd_off,MATCH(BT2663,hd_mark,0),0)/12)),0)</f>
        <v>0</v>
      </c>
      <c r="BM2663">
        <f>MAX($F$21,$BB$2599)/$Q$2612</f>
        <v>0.30172413793103448</v>
      </c>
      <c r="BN2663">
        <f>IF(BM2663=0,0,IF(BM2663&gt;2,1.25-0.125*BM2663,1))</f>
        <v>1</v>
      </c>
      <c r="BO2663" cm="1">
        <f t="array" ref="BO2663">IFERROR(INDEX(sheath_ecap_asd,MATCH(BS2663,sheath_mark,0),0)*BN2663,0)</f>
        <v>0</v>
      </c>
      <c r="BP2663" cm="1">
        <f t="array" ref="BP2663">IFERROR(INDEX(sheath_wcap_asd,MATCH(BS2663,sheath_mark,0),0)*BN2663,0)</f>
        <v>0</v>
      </c>
      <c r="BQ2663" cm="1">
        <f t="array" ref="BQ2663">IFERROR(INDEX(hd_cap,MATCH(BT2663,hd_mark,0),0),0)</f>
        <v>0</v>
      </c>
      <c r="BS2663" s="19"/>
      <c r="BT2663" s="19"/>
      <c r="BU2663" s="100"/>
    </row>
    <row r="2664" x14ac:dyDescent="0.25">
      <c r="P2664" s="93"/>
      <c r="Q2664" s="109"/>
      <c r="R2664" t="str">
        <f>$Q$2582</f>
        <v>L3</v>
      </c>
      <c r="S2664">
        <f>$E$22</f>
        <v>21.375</v>
      </c>
      <c r="T2664" cm="1">
        <f t="array" ref="T2664">IFERROR(IF(S2664=0,0,(INDEX($C$33:$C$38,MATCH($W$2599,$B$33:$B$38,0),0)*(S2667+$X$2599)+$T$2599*COUNTIF(S2664:S2666,"&gt;0")*$C$32+$V$2599*$C$31)*$R$2599),0)</f>
        <v>0</v>
      </c>
      <c r="U2664">
        <f>IF(S2664=0,0,-(COUNTIF(S2664:S2666,"&gt;0")*$T$2599*$C$32+$V$2599*$C$31)*$H$27*$R$2599)</f>
        <v>0</v>
      </c>
      <c r="V2664">
        <f>IF(S2664=0,0,$V$2599*$H$26*$R$2599)</f>
        <v>0</v>
      </c>
      <c r="W2664">
        <f>(0.6*T2664+0.7*U2664)*$R$2599/2</f>
        <v>0</v>
      </c>
      <c r="X2664">
        <f>T2664*$R$2599/2</f>
        <v>0</v>
      </c>
      <c r="Z2664">
        <f>IF(S2664=0,0,$AD$2599*$AP$2582)</f>
        <v>0</v>
      </c>
      <c r="AA2664">
        <f>IFERROR(Z2664/$R$2599,0)</f>
        <v>0</v>
      </c>
      <c r="AB2664">
        <f>Z2664*($F$22+IF($F$22=0,0,($C$14+$C$15+IF($C$13="single",1.5,3)+3)/12))</f>
        <v>0</v>
      </c>
      <c r="AC2664">
        <f>AB2664-W2664</f>
        <v>0</v>
      </c>
      <c r="AD2664" cm="1">
        <f t="array" ref="AD2664">IFERROR(IF(AC2664&lt;0,0,AC2664/($R$2599-INDEX(hd_off,MATCH(AQ2664,hd_mark,0),0)/12)),0)</f>
        <v>0</v>
      </c>
      <c r="AE2664">
        <f>IF(S2664=0,0,$AD$2599*$AM$2582)</f>
        <v>0</v>
      </c>
      <c r="AF2664">
        <f>IFERROR(AE2664/$R$2599,0)</f>
        <v>0</v>
      </c>
      <c r="AG2664">
        <f>AE2664*($F$22+IF($F$22=0,0,($C$14+$C$15+IF($C$13="single",1.5,3)+3)/12))</f>
        <v>0</v>
      </c>
      <c r="AH2664">
        <f>AG2664-X2664</f>
        <v>0</v>
      </c>
      <c r="AI2664" cm="1">
        <f t="array" ref="AI2664">IFERROR(IF(AH2664&lt;0,0,AH2664/($R$2599-INDEX(hd_off,MATCH(AQ2664,hd_mark,0),0)/12)),0)</f>
        <v>0</v>
      </c>
      <c r="AJ2664">
        <f>MAX($F$22,$Z$2599)/$Q$2612</f>
        <v>0.30172413793103448</v>
      </c>
      <c r="AK2664">
        <f t="shared" ref="AK2664:AK2667" si="1644">IF(AJ2664=0,0,IF(AJ2664&gt;2,1.25-0.125*AJ2664,1))</f>
        <v>1</v>
      </c>
      <c r="AL2664" cm="1">
        <f t="array" ref="AL2664">IFERROR(INDEX(sheath_ecap_asd,MATCH(AP2664,sheath_mark,0),0)*AK2664,0)</f>
        <v>0</v>
      </c>
      <c r="AM2664" cm="1">
        <f t="array" ref="AM2664">IFERROR(INDEX(sheath_wcap_asd,MATCH(AP2664,sheath_mark,0),0)*AK2664,0)</f>
        <v>0</v>
      </c>
      <c r="AN2664" cm="1">
        <f t="array" ref="AN2664">IFERROR(INDEX(hd_cap,MATCH(AQ2664,hd_mark,0),0),0)</f>
        <v>0</v>
      </c>
      <c r="AP2664" s="19"/>
      <c r="AQ2664" s="19"/>
      <c r="AR2664" s="100"/>
      <c r="AS2664" s="93"/>
      <c r="AT2664" s="109"/>
      <c r="AU2664" t="str">
        <f>$Q$2582</f>
        <v>L3</v>
      </c>
      <c r="AV2664">
        <f>$E$22</f>
        <v>21.375</v>
      </c>
      <c r="AW2664" cm="1">
        <f t="array" ref="AW2664">IFERROR(IF(AV2664=0,0,(INDEX($C$33:$C$38,MATCH($AZ$2599,$B$33:$B$38,0),0)*(AV2667+$BA$2599)+$AW$2599*COUNTIF(AV2664:AV2666,"&gt;0")*$C$32+$AY$2599*$C$31)*$AU$2599),0)</f>
        <v>0</v>
      </c>
      <c r="AX2664">
        <f>IF(AV2664=0,0,-(COUNTIF(AV2664:AV2666,"&gt;0")*$AW$2599*$C$32+$AY$2599*$C$31)*$H$27*$AU$2599)</f>
        <v>0</v>
      </c>
      <c r="AY2664">
        <f>IF(AV2664=0,0,$AY$2599*$H$26*$AU$2599)</f>
        <v>0</v>
      </c>
      <c r="AZ2664">
        <f>(0.6*AW2664+0.7*AX2664)*$AU$2599/2</f>
        <v>0</v>
      </c>
      <c r="BA2664">
        <f>AW2664*$AU$2599/2</f>
        <v>0</v>
      </c>
      <c r="BC2664">
        <f>IF(AV2664=0,0,$BG$2599*$AP$2582)</f>
        <v>0</v>
      </c>
      <c r="BD2664">
        <f>IFERROR(BC2664/$AU$2599,0)</f>
        <v>0</v>
      </c>
      <c r="BE2664">
        <f>BC2664*($F$22+IF($F$22=0,0,($C$14+$C$15+IF($C$13="single",1.5,3)+3)/12))</f>
        <v>0</v>
      </c>
      <c r="BF2664">
        <f>BE2664-AZ2664</f>
        <v>0</v>
      </c>
      <c r="BG2664" cm="1">
        <f t="array" ref="BG2664">IFERROR(IF(BF2664&lt;0,0,BF2664/($AU$2599-INDEX(hd_off,MATCH(BT2664,hd_mark,0),0)/12)),0)</f>
        <v>0</v>
      </c>
      <c r="BH2664">
        <f>IF(AV2664=0,0,$BG$2599*$AM$2582)</f>
        <v>0</v>
      </c>
      <c r="BI2664">
        <f>IFERROR(BH2664/$AU$2599,0)</f>
        <v>0</v>
      </c>
      <c r="BJ2664">
        <f>BH2664*($F$22+IF($F$22=0,0,($C$14+$C$15+IF($C$13="single",1.5,3)+3)/12))</f>
        <v>0</v>
      </c>
      <c r="BK2664">
        <f>BJ2664-BA2664</f>
        <v>0</v>
      </c>
      <c r="BL2664" cm="1">
        <f t="array" ref="BL2664">IFERROR(IF(BK2664&lt;0,0,BK2664/($AU$2599-INDEX(hd_off,MATCH(BT2664,hd_mark,0),0)/12)),0)</f>
        <v>0</v>
      </c>
      <c r="BM2664">
        <f>MAX($F$22,$BC$2599)/$Q$2612</f>
        <v>0.30172413793103448</v>
      </c>
      <c r="BN2664">
        <f t="shared" ref="BN2664:BN2667" si="1645">IF(BM2664=0,0,IF(BM2664&gt;2,1.25-0.125*BM2664,1))</f>
        <v>1</v>
      </c>
      <c r="BO2664" cm="1">
        <f t="array" ref="BO2664">IFERROR(INDEX(sheath_ecap_asd,MATCH(BS2664,sheath_mark,0),0)*BN2664,0)</f>
        <v>0</v>
      </c>
      <c r="BP2664" cm="1">
        <f t="array" ref="BP2664">IFERROR(INDEX(sheath_wcap_asd,MATCH(BS2664,sheath_mark,0),0)*BN2664,0)</f>
        <v>0</v>
      </c>
      <c r="BQ2664" cm="1">
        <f t="array" ref="BQ2664">IFERROR(INDEX(hd_cap,MATCH(BT2664,hd_mark,0),0),0)</f>
        <v>0</v>
      </c>
      <c r="BS2664" s="19"/>
      <c r="BT2664" s="19"/>
      <c r="BU2664" s="100"/>
    </row>
    <row r="2665" x14ac:dyDescent="0.25">
      <c r="P2665" s="93"/>
      <c r="Q2665" s="109" t="s">
        <v>491</v>
      </c>
      <c r="R2665" t="str">
        <f>$Q$2583</f>
        <v>L4</v>
      </c>
      <c r="S2665">
        <f>$E$23</f>
        <v>0</v>
      </c>
      <c r="T2665" cm="1">
        <f t="array" ref="T2665">IFERROR(IF(S2665=0,0,(INDEX($C$33:$C$38,MATCH($W$2599,$B$33:$B$38,0),0)*(S2667+$X$2599)+$T$2599*COUNTIF(S2665:S2666,"&gt;0")*$C$32+$V$2599*$C$31)*$R$2599),0)</f>
        <v>0</v>
      </c>
      <c r="U2665">
        <f>IF(S2665=0,0,-(COUNTIF(S2665:S2666,"&gt;0")*$T$2599*$C$32+$V$2599*$C$31)*$H$27*$R$2599)</f>
        <v>0</v>
      </c>
      <c r="V2665">
        <f>IF(S2665=0,0,$V$2599*$H$26*$R$2599)</f>
        <v>0</v>
      </c>
      <c r="W2665">
        <f>(0.6*T2665+0.7*U2665)*$R$2599/2</f>
        <v>0</v>
      </c>
      <c r="X2665">
        <f>T2665*$R$2599/2</f>
        <v>0</v>
      </c>
      <c r="Z2665">
        <f>IF(S2665=0,0,$AD$2599*$AP$2583)</f>
        <v>0</v>
      </c>
      <c r="AA2665">
        <f>IFERROR(Z2665/$R$2599,0)</f>
        <v>0</v>
      </c>
      <c r="AB2665">
        <f>Z2665*($F$23+IF($F$23=0,0,($C$14+$C$15+IF($C$13="single",1.5,3)+3)/12))</f>
        <v>0</v>
      </c>
      <c r="AC2665">
        <f>AB2665-W2665</f>
        <v>0</v>
      </c>
      <c r="AD2665" cm="1">
        <f t="array" ref="AD2665">IFERROR(IF(AC2665&lt;0,0,AC2665/($R$2599-INDEX(hd_off,MATCH(AQ2665,hd_mark,0),0)/12)),0)</f>
        <v>0</v>
      </c>
      <c r="AE2665">
        <f>IF(S2665=0,0,$AD$2599*$AM$2583)</f>
        <v>0</v>
      </c>
      <c r="AF2665">
        <f>IFERROR(AE2665/$R$2599,0)</f>
        <v>0</v>
      </c>
      <c r="AG2665">
        <f>AE2665*($F$23+IF($F$23=0,0,($C$14+$C$15+IF($C$13="single",1.5,3)+3)/12))</f>
        <v>0</v>
      </c>
      <c r="AH2665">
        <f>AG2665-X2665</f>
        <v>0</v>
      </c>
      <c r="AI2665" cm="1">
        <f t="array" ref="AI2665">IFERROR(IF(AH2665&lt;0,0,AH2665/($R$2599-INDEX(hd_off,MATCH(AQ2665,hd_mark,0),0)/12)),0)</f>
        <v>0</v>
      </c>
      <c r="AJ2665">
        <f>MAX($F$23,$AA$2599)/$Q$2612</f>
        <v>0</v>
      </c>
      <c r="AK2665">
        <f t="shared" si="1644"/>
        <v>0</v>
      </c>
      <c r="AL2665" cm="1">
        <f t="array" ref="AL2665">IFERROR(INDEX(sheath_ecap_asd,MATCH(AP2665,sheath_mark,0),0)*AK2665,0)</f>
        <v>0</v>
      </c>
      <c r="AM2665" cm="1">
        <f t="array" ref="AM2665">IFERROR(INDEX(sheath_wcap_asd,MATCH(AP2665,sheath_mark,0),0)*AK2665,0)</f>
        <v>0</v>
      </c>
      <c r="AN2665" cm="1">
        <f t="array" ref="AN2665">IFERROR(INDEX(hd_cap,MATCH(AQ2665,hd_mark,0),0),0)</f>
        <v>0</v>
      </c>
      <c r="AP2665" s="19"/>
      <c r="AQ2665" s="19"/>
      <c r="AR2665" s="100"/>
      <c r="AS2665" s="93"/>
      <c r="AT2665" s="109" t="s">
        <v>491</v>
      </c>
      <c r="AU2665" t="str">
        <f>$Q$2583</f>
        <v>L4</v>
      </c>
      <c r="AV2665">
        <f>$E$23</f>
        <v>0</v>
      </c>
      <c r="AW2665" cm="1">
        <f t="array" ref="AW2665">IFERROR(IF(AV2665=0,0,(INDEX($C$33:$C$38,MATCH($AZ$2599,$B$33:$B$38,0),0)*(AV2667+$BA$2599)+$AW$2599*COUNTIF(AV2665:AV2666,"&gt;0")*$C$32+$AY$2599*$C$31)*$AU$2599),0)</f>
        <v>0</v>
      </c>
      <c r="AX2665">
        <f>IF(AV2665=0,0,-(COUNTIF(AV2665:AV2666,"&gt;0")*$AW$2599*$C$32+$AY$2599*$C$31)*$H$27*$AU$2599)</f>
        <v>0</v>
      </c>
      <c r="AY2665">
        <f>IF(AV2665=0,0,$AY$2599*$H$26*$AU$2599)</f>
        <v>0</v>
      </c>
      <c r="AZ2665">
        <f>(0.6*AW2665+0.7*AX2665)*$AU$2599/2</f>
        <v>0</v>
      </c>
      <c r="BA2665">
        <f>AW2665*$AU$2599/2</f>
        <v>0</v>
      </c>
      <c r="BC2665">
        <f>IF(AV2665=0,0,$BG$2599*$AP$2583)</f>
        <v>0</v>
      </c>
      <c r="BD2665">
        <f>IFERROR(BC2665/$AU$2599,0)</f>
        <v>0</v>
      </c>
      <c r="BE2665">
        <f>BC2665*($F$23+IF($F$23=0,0,($C$14+$C$15+IF($C$13="single",1.5,3)+3)/12))</f>
        <v>0</v>
      </c>
      <c r="BF2665">
        <f>BE2665-AZ2665</f>
        <v>0</v>
      </c>
      <c r="BG2665" cm="1">
        <f t="array" ref="BG2665">IFERROR(IF(BF2665&lt;0,0,BF2665/($AU$2599-INDEX(hd_off,MATCH(BT2665,hd_mark,0),0)/12)),0)</f>
        <v>0</v>
      </c>
      <c r="BH2665">
        <f>IF(AV2665=0,0,$BG$2599*$AM$2583)</f>
        <v>0</v>
      </c>
      <c r="BI2665">
        <f>IFERROR(BH2665/$AU$2599,0)</f>
        <v>0</v>
      </c>
      <c r="BJ2665">
        <f>BH2665*($F$23+IF($F$23=0,0,($C$14+$C$15+IF($C$13="single",1.5,3)+3)/12))</f>
        <v>0</v>
      </c>
      <c r="BK2665">
        <f>BJ2665-BA2665</f>
        <v>0</v>
      </c>
      <c r="BL2665" cm="1">
        <f t="array" ref="BL2665">IFERROR(IF(BK2665&lt;0,0,BK2665/($AU$2599-INDEX(hd_off,MATCH(BT2665,hd_mark,0),0)/12)),0)</f>
        <v>0</v>
      </c>
      <c r="BM2665">
        <f>MAX($F$23,$BD$2599)/$Q$2612</f>
        <v>0</v>
      </c>
      <c r="BN2665">
        <f t="shared" si="1645"/>
        <v>0</v>
      </c>
      <c r="BO2665" cm="1">
        <f t="array" ref="BO2665">IFERROR(INDEX(sheath_ecap_asd,MATCH(BS2665,sheath_mark,0),0)*BN2665,0)</f>
        <v>0</v>
      </c>
      <c r="BP2665" cm="1">
        <f t="array" ref="BP2665">IFERROR(INDEX(sheath_wcap_asd,MATCH(BS2665,sheath_mark,0),0)*BN2665,0)</f>
        <v>0</v>
      </c>
      <c r="BQ2665" cm="1">
        <f t="array" ref="BQ2665">IFERROR(INDEX(hd_cap,MATCH(BT2665,hd_mark,0),0),0)</f>
        <v>0</v>
      </c>
      <c r="BS2665" s="19"/>
      <c r="BT2665" s="19"/>
      <c r="BU2665" s="100"/>
    </row>
    <row r="2666" x14ac:dyDescent="0.25">
      <c r="P2666" s="93"/>
      <c r="Q2666" s="111">
        <f>$R$2599</f>
        <v>0</v>
      </c>
      <c r="R2666" t="str">
        <f>$Q$2584</f>
        <v>L5</v>
      </c>
      <c r="S2666">
        <f>$E$24</f>
        <v>0</v>
      </c>
      <c r="T2666" cm="1">
        <f t="array" ref="T2666">IFERROR(IF(S2666=0,0,(INDEX($C$33:$C$38,MATCH($W$2599,$B$33:$B$38,0),0)*(S2667+$X$2599)+$T$2599*COUNTIF(S2666:S2666,"&gt;0")*$C$32+$V$2599*$C$31)*$R$2599),0)</f>
        <v>0</v>
      </c>
      <c r="U2666">
        <f>IF(S2666=0,0,-(COUNTIF(S2666:S2666,"&gt;0")*$T$2599*$C$32+$V$2599*$C$31)*$H$27*$R$2599)</f>
        <v>0</v>
      </c>
      <c r="V2666">
        <f>IF(S2666=0,0,$V$2599*$H$26*$R$2599)</f>
        <v>0</v>
      </c>
      <c r="W2666">
        <f>(0.6*T2666+0.7*U2666)*$R$2599/2</f>
        <v>0</v>
      </c>
      <c r="X2666">
        <f>T2666*$R$2599/2</f>
        <v>0</v>
      </c>
      <c r="Z2666">
        <f>IF(S2666=0,0,$AD$2599*$AP$2584)</f>
        <v>0</v>
      </c>
      <c r="AA2666">
        <f>IFERROR(Z2666/$R$2599,0)</f>
        <v>0</v>
      </c>
      <c r="AB2666">
        <f>Z2666*($F$24+IF($F$24=0,0,($C$14+$C$15+IF($C$13="single",1.5,3)+3)/12))</f>
        <v>0</v>
      </c>
      <c r="AC2666">
        <f>AB2666-W2666</f>
        <v>0</v>
      </c>
      <c r="AD2666" cm="1">
        <f t="array" ref="AD2666">IFERROR(IF(AC2666&lt;0,0,AC2666/($R$2599-INDEX(hd_off,MATCH(AQ2666,hd_mark,0),0)/12)),0)</f>
        <v>0</v>
      </c>
      <c r="AE2666">
        <f>IF(S2666=0,0,$AD$2599*$AM$2584)</f>
        <v>0</v>
      </c>
      <c r="AF2666">
        <f>IFERROR(AE2666/$R$2599,0)</f>
        <v>0</v>
      </c>
      <c r="AG2666">
        <f>AE2666*($F$24+IF($F$24=0,0,($C$14+$C$15+IF($C$13="single",1.5,3)+3)/12))</f>
        <v>0</v>
      </c>
      <c r="AH2666">
        <f>AG2666-X2666</f>
        <v>0</v>
      </c>
      <c r="AI2666" cm="1">
        <f t="array" ref="AI2666">IFERROR(IF(AH2666&lt;0,0,AH2666/($R$2599-INDEX(hd_off,MATCH(AQ2666,hd_mark,0),0)/12)),0)</f>
        <v>0</v>
      </c>
      <c r="AJ2666">
        <f>MAX($F$24,$AB$2599)/$Q$2612</f>
        <v>0</v>
      </c>
      <c r="AK2666">
        <f t="shared" si="1644"/>
        <v>0</v>
      </c>
      <c r="AL2666" cm="1">
        <f t="array" ref="AL2666">IFERROR(INDEX(sheath_ecap_asd,MATCH(AP2666,sheath_mark,0),0)*AK2666,0)</f>
        <v>0</v>
      </c>
      <c r="AM2666" cm="1">
        <f t="array" ref="AM2666">IFERROR(INDEX(sheath_wcap_asd,MATCH(AP2666,sheath_mark,0),0)*AK2666,0)</f>
        <v>0</v>
      </c>
      <c r="AN2666" cm="1">
        <f t="array" ref="AN2666">IFERROR(INDEX(hd_cap,MATCH(AQ2666,hd_mark,0),0),0)</f>
        <v>0</v>
      </c>
      <c r="AP2666" s="19"/>
      <c r="AQ2666" s="19"/>
      <c r="AR2666" s="100"/>
      <c r="AS2666" s="93"/>
      <c r="AT2666" s="111">
        <f>$R$2599</f>
        <v>0</v>
      </c>
      <c r="AU2666" t="str">
        <f>$Q$2584</f>
        <v>L5</v>
      </c>
      <c r="AV2666">
        <f>$E$24</f>
        <v>0</v>
      </c>
      <c r="AW2666" cm="1">
        <f t="array" ref="AW2666">IFERROR(IF(AV2666=0,0,(INDEX($C$33:$C$38,MATCH($AZ$2599,$B$33:$B$38,0),0)*(AV2667+$BA$2599)+$AW$2599*COUNTIF(AV2666:AV2666,"&gt;0")*$C$32+$AY$2599*$C$31)*$AU$2599),0)</f>
        <v>0</v>
      </c>
      <c r="AX2666">
        <f>IF(AV2666=0,0,-(COUNTIF(AV2666:AV2666,"&gt;0")*$AW$2599*$C$32+$AY$2599*$C$31)*$H$27*$AU$2599)</f>
        <v>0</v>
      </c>
      <c r="AY2666">
        <f>IF(AV2666=0,0,$AY$2599*$H$26*$AU$2599)</f>
        <v>0</v>
      </c>
      <c r="AZ2666">
        <f>(0.6*AW2666+0.7*AX2666)*$AU$2599/2</f>
        <v>0</v>
      </c>
      <c r="BA2666">
        <f>AW2666*$AU$2599/2</f>
        <v>0</v>
      </c>
      <c r="BC2666">
        <f>IF(AV2666=0,0,$BG$2599*$AP$2584)</f>
        <v>0</v>
      </c>
      <c r="BD2666">
        <f>IFERROR(BC2666/$AU$2599,0)</f>
        <v>0</v>
      </c>
      <c r="BE2666">
        <f>BC2666*($F$24+IF($F$24=0,0,($C$14+$C$15+IF($C$13="single",1.5,3)+3)/12))</f>
        <v>0</v>
      </c>
      <c r="BF2666">
        <f>BE2666-AZ2666</f>
        <v>0</v>
      </c>
      <c r="BG2666" cm="1">
        <f t="array" ref="BG2666">IFERROR(IF(BF2666&lt;0,0,BF2666/($AU$2599-INDEX(hd_off,MATCH(BT2666,hd_mark,0),0)/12)),0)</f>
        <v>0</v>
      </c>
      <c r="BH2666">
        <f>IF(AV2666=0,0,$BG$2599*$AM$2584)</f>
        <v>0</v>
      </c>
      <c r="BI2666">
        <f>IFERROR(BH2666/$AU$2599,0)</f>
        <v>0</v>
      </c>
      <c r="BJ2666">
        <f>BH2666*($F$24+IF($F$24=0,0,($C$14+$C$15+IF($C$13="single",1.5,3)+3)/12))</f>
        <v>0</v>
      </c>
      <c r="BK2666">
        <f>BJ2666-BA2666</f>
        <v>0</v>
      </c>
      <c r="BL2666" cm="1">
        <f t="array" ref="BL2666">IFERROR(IF(BK2666&lt;0,0,BK2666/($AU$2599-INDEX(hd_off,MATCH(BT2666,hd_mark,0),0)/12)),0)</f>
        <v>0</v>
      </c>
      <c r="BM2666">
        <f>MAX($F$24,$BE$2599)/$Q$2612</f>
        <v>0</v>
      </c>
      <c r="BN2666">
        <f t="shared" si="1645"/>
        <v>0</v>
      </c>
      <c r="BO2666" cm="1">
        <f t="array" ref="BO2666">IFERROR(INDEX(sheath_ecap_asd,MATCH(BS2666,sheath_mark,0),0)*BN2666,0)</f>
        <v>0</v>
      </c>
      <c r="BP2666" cm="1">
        <f t="array" ref="BP2666">IFERROR(INDEX(sheath_wcap_asd,MATCH(BS2666,sheath_mark,0),0)*BN2666,0)</f>
        <v>0</v>
      </c>
      <c r="BQ2666" cm="1">
        <f t="array" ref="BQ2666">IFERROR(INDEX(hd_cap,MATCH(BT2666,hd_mark,0),0),0)</f>
        <v>0</v>
      </c>
      <c r="BS2666" s="19"/>
      <c r="BT2666" s="19"/>
      <c r="BU2666" s="100"/>
    </row>
    <row r="2667" x14ac:dyDescent="0.25">
      <c r="P2667" s="93"/>
      <c r="Q2667" s="109"/>
      <c r="R2667" t="str">
        <f>$Q$2585</f>
        <v>Roof</v>
      </c>
      <c r="S2667">
        <f>$E$25</f>
        <v>33.171875</v>
      </c>
      <c r="T2667" cm="1">
        <f t="array" ref="T2667">IFERROR(IF(S2667=0,0,(INDEX($C$33:$C$38,MATCH($W$2599,$B$33:$B$38,0),0)*(S2667+$X$2599)+$V$2599*$C$31)*$R$2599),0)</f>
        <v>0</v>
      </c>
      <c r="U2667">
        <f>IF(S2667=0,0,-$V$2599*$C$31*$H$27*$R$2599)</f>
        <v>0</v>
      </c>
      <c r="V2667">
        <f>IF(S2667=0,0,$V$2599*$H$26*$R$2599)</f>
        <v>0</v>
      </c>
      <c r="W2667">
        <f>(0.6*T2667+0.7*U2667)*$R$2599/2</f>
        <v>0</v>
      </c>
      <c r="X2667">
        <f>T2667*$R$2599/2</f>
        <v>0</v>
      </c>
      <c r="Z2667">
        <f>IF(S2667=0,0,$AD$2599*$AP$2585)</f>
        <v>0</v>
      </c>
      <c r="AA2667">
        <f>IFERROR(Z2667/$R$2599,0)</f>
        <v>0</v>
      </c>
      <c r="AB2667">
        <f>Z2667*($F$25+($C$16+$C$17+IF($C$13="single",1.5,3)+3)/12)</f>
        <v>0</v>
      </c>
      <c r="AC2667">
        <f>AB2667-W2667</f>
        <v>0</v>
      </c>
      <c r="AD2667" cm="1">
        <f t="array" ref="AD2667">IFERROR(IF(AC2667&lt;0,0,AC2667/($R$2599-INDEX(hd_off,MATCH(AQ2667,hd_mark,0),0)/12)),0)</f>
        <v>0</v>
      </c>
      <c r="AE2667">
        <f>IF(S2667=0,0,$AD$2599*$AM$2585)</f>
        <v>0</v>
      </c>
      <c r="AF2667">
        <f>IFERROR(AE2667/$R$2599,0)</f>
        <v>0</v>
      </c>
      <c r="AG2667">
        <f>AE2667*($F$25+($C$16+$C$17+IF($C$13="single",1.5,3)+3)/12)</f>
        <v>0</v>
      </c>
      <c r="AH2667">
        <f>AG2667-X2667</f>
        <v>0</v>
      </c>
      <c r="AI2667" cm="1">
        <f t="array" ref="AI2667">IFERROR(IF(AH2667&lt;0,0,AH2667/($R$2599-INDEX(hd_off,MATCH(AQ2667,hd_mark,0),0)/12)),0)</f>
        <v>0</v>
      </c>
      <c r="AJ2667">
        <f>MAX($F$25,$AC$2599)/$Q$2612</f>
        <v>0.29920977011494249</v>
      </c>
      <c r="AK2667">
        <f t="shared" si="1644"/>
        <v>1</v>
      </c>
      <c r="AL2667" cm="1">
        <f t="array" ref="AL2667">IFERROR(INDEX(sheath_ecap_asd,MATCH(AP2667,sheath_mark,0),0)*AK2667,0)</f>
        <v>0</v>
      </c>
      <c r="AM2667" cm="1">
        <f t="array" ref="AM2667">IFERROR(INDEX(sheath_wcap_asd,MATCH(AP2667,sheath_mark,0),0)*AK2667,0)</f>
        <v>0</v>
      </c>
      <c r="AN2667" cm="1">
        <f t="array" ref="AN2667">IFERROR(INDEX(hd_cap,MATCH(AQ2667,hd_mark,0),0),0)</f>
        <v>0</v>
      </c>
      <c r="AP2667" s="19"/>
      <c r="AQ2667" s="19"/>
      <c r="AR2667" s="100"/>
      <c r="AS2667" s="93"/>
      <c r="AT2667" s="109"/>
      <c r="AU2667" t="str">
        <f>$Q$2585</f>
        <v>Roof</v>
      </c>
      <c r="AV2667">
        <f>$E$25</f>
        <v>33.171875</v>
      </c>
      <c r="AW2667" cm="1">
        <f t="array" ref="AW2667">IFERROR(IF(AV2667=0,0,(INDEX($C$33:$C$38,MATCH($AZ$2599,$B$33:$B$38,0),0)*(AV2667+$BA$2599)+$AY$2599*$C$31)*$AU$2599),0)</f>
        <v>0</v>
      </c>
      <c r="AX2667">
        <f>IF(AV2667=0,0,-$AY$2599*$C$31*$H$27*$AU$2599)</f>
        <v>0</v>
      </c>
      <c r="AY2667">
        <f>IF(AV2667=0,0,$AY$2599*$H$26*$AU$2599)</f>
        <v>0</v>
      </c>
      <c r="AZ2667">
        <f>(0.6*AW2667+0.7*AX2667)*$AU$2599/2</f>
        <v>0</v>
      </c>
      <c r="BA2667">
        <f>AW2667*$AU$2599/2</f>
        <v>0</v>
      </c>
      <c r="BC2667">
        <f>IF(AV2667=0,0,$BG$2599*$AP$2585)</f>
        <v>0</v>
      </c>
      <c r="BD2667">
        <f>IFERROR(BC2667/$AU$2599,0)</f>
        <v>0</v>
      </c>
      <c r="BE2667">
        <f>BC2667*($F$25+($C$16+$C$17+IF($C$13="single",1.5,3)+3)/12)</f>
        <v>0</v>
      </c>
      <c r="BF2667">
        <f>BE2667-AZ2667</f>
        <v>0</v>
      </c>
      <c r="BG2667" cm="1">
        <f t="array" ref="BG2667">IFERROR(IF(BF2667&lt;0,0,BF2667/($AU$2599-INDEX(hd_off,MATCH(BT2667,hd_mark,0),0)/12)),0)</f>
        <v>0</v>
      </c>
      <c r="BH2667">
        <f>IF(AV2667=0,0,$BG$2599*$AM$2585)</f>
        <v>0</v>
      </c>
      <c r="BI2667">
        <f>IFERROR(BH2667/$AU$2599,0)</f>
        <v>0</v>
      </c>
      <c r="BJ2667">
        <f>BH2667*($F$25+($C$16+$C$17+IF($C$13="single",1.5,3)+3)/12)</f>
        <v>0</v>
      </c>
      <c r="BK2667">
        <f>BJ2667-BA2667</f>
        <v>0</v>
      </c>
      <c r="BL2667" cm="1">
        <f t="array" ref="BL2667">IFERROR(IF(BK2667&lt;0,0,BK2667/($AU$2599-INDEX(hd_off,MATCH(BT2667,hd_mark,0),0)/12)),0)</f>
        <v>0</v>
      </c>
      <c r="BM2667">
        <f>MAX($F$25,$BF$2599)/$Q$2612</f>
        <v>0.29920977011494249</v>
      </c>
      <c r="BN2667">
        <f t="shared" si="1645"/>
        <v>1</v>
      </c>
      <c r="BO2667" cm="1">
        <f t="array" ref="BO2667">IFERROR(INDEX(sheath_ecap_asd,MATCH(BS2667,sheath_mark,0),0)*BN2667,0)</f>
        <v>0</v>
      </c>
      <c r="BP2667" cm="1">
        <f t="array" ref="BP2667">IFERROR(INDEX(sheath_wcap_asd,MATCH(BS2667,sheath_mark,0),0)*BN2667,0)</f>
        <v>0</v>
      </c>
      <c r="BQ2667" cm="1">
        <f t="array" ref="BQ2667">IFERROR(INDEX(hd_cap,MATCH(BT2667,hd_mark,0),0),0)</f>
        <v>0</v>
      </c>
      <c r="BS2667" s="19"/>
      <c r="BT2667" s="19"/>
      <c r="BU2667" s="100"/>
    </row>
    <row r="2668" x14ac:dyDescent="0.25">
      <c r="P2668" s="93"/>
      <c r="AR2668" s="100"/>
      <c r="AS2668" s="93"/>
      <c r="BU2668" s="100"/>
    </row>
    <row r="2669" x14ac:dyDescent="0.25">
      <c r="P2669" s="93"/>
      <c r="Q2669" s="110" t="str">
        <f>$Q$2600</f>
        <v>A.11</v>
      </c>
      <c r="R2669" t="str">
        <f>$Q$2581</f>
        <v>L2</v>
      </c>
      <c r="S2669">
        <f>$E$21</f>
        <v>10.6875</v>
      </c>
      <c r="T2669" cm="1">
        <f t="array" ref="T2669">IFERROR(IF(S2669=0,0,(INDEX($C$33:$C$38,MATCH($W$2600,$B$33:$B$38,0),0)*(S2673+$X$2600)+$T$2600*COUNTIF(S2669:S2672,"&gt;0")*$C$32+$V$2600*$C$31)*$R$2600),0)</f>
        <v>0</v>
      </c>
      <c r="U2669">
        <f>IF(S2669=0,0,-(COUNTIF(S2669:S2672,"&gt;0")*$T$2600*$C$32+$V$2600*$C$31)*$H$27*$R$2600)</f>
        <v>0</v>
      </c>
      <c r="V2669">
        <f>IF(S2669=0,0,$V$2600*$H$26*$R$2600)</f>
        <v>0</v>
      </c>
      <c r="W2669">
        <f>(0.6*T2669+0.7*U2669)*$R$2600/2</f>
        <v>0</v>
      </c>
      <c r="X2669">
        <f>(0.6*T2669+0.6*V2669)*$R$2600/2</f>
        <v>0</v>
      </c>
      <c r="Z2669">
        <f>IF(S2669=0,0,$AD$2600*$AP$2581)</f>
        <v>0</v>
      </c>
      <c r="AA2669">
        <f>IFERROR(Z2669/$R$2600,0)</f>
        <v>0</v>
      </c>
      <c r="AB2669">
        <f>Z2669*($F$21+IF($F$21=0,0,($C$14+$C$15+IF($C$13="single",1.5,3)+3)/12))</f>
        <v>0</v>
      </c>
      <c r="AC2669">
        <f>AB2669-W2669</f>
        <v>0</v>
      </c>
      <c r="AD2669" cm="1">
        <f t="array" ref="AD2669">IFERROR(IF(AC2669&lt;0,0,AC2669/($R$2600-INDEX(hd_off,MATCH(AQ2669,hd_mark,0),0)/12)),0)</f>
        <v>0</v>
      </c>
      <c r="AE2669">
        <f>IF(S2669=0,0,$AD$2600*$AM$2581)</f>
        <v>0</v>
      </c>
      <c r="AF2669">
        <f>IFERROR(AE2669/$R$2600,0)</f>
        <v>0</v>
      </c>
      <c r="AG2669">
        <f>AE2669*($F$21+IF($F$21=0,0,($C$14+$C$15+IF($C$13="single",1.5,3)+3)/12))</f>
        <v>0</v>
      </c>
      <c r="AH2669">
        <f>AG2669-X2669</f>
        <v>0</v>
      </c>
      <c r="AI2669" cm="1">
        <f t="array" ref="AI2669">IFERROR(IF(AH2669&lt;0,0,AH2669/($R$2600-INDEX(hd_off,MATCH(AQ2669,hd_mark,0),0)/12)),0)</f>
        <v>0</v>
      </c>
      <c r="AJ2669">
        <f>MAX($F$21,$Y$2600)/$Q$2612</f>
        <v>0.30172413793103448</v>
      </c>
      <c r="AK2669">
        <f>IF(AJ2669=0,0,IF(AJ2669&gt;2,1.25-0.125*AJ2669,1))</f>
        <v>1</v>
      </c>
      <c r="AL2669" cm="1">
        <f t="array" ref="AL2669">IFERROR(INDEX(sheath_ecap_asd,MATCH(AP2669,sheath_mark,0),0)*AK2669,0)</f>
        <v>0</v>
      </c>
      <c r="AM2669" cm="1">
        <f t="array" ref="AM2669">IFERROR(INDEX(sheath_wcap_asd,MATCH(AP2669,sheath_mark,0),0)*AK2669,0)</f>
        <v>0</v>
      </c>
      <c r="AN2669" cm="1">
        <f t="array" ref="AN2669">IFERROR(INDEX(hd_cap,MATCH(AQ2669,hd_mark,0),0),0)</f>
        <v>0</v>
      </c>
      <c r="AP2669" s="19"/>
      <c r="AQ2669" s="19"/>
      <c r="AR2669" s="100"/>
      <c r="AS2669" s="93"/>
      <c r="AT2669" s="110" t="str">
        <f>$AT$2600</f>
        <v>1.11</v>
      </c>
      <c r="AU2669" t="str">
        <f>$Q$2581</f>
        <v>L2</v>
      </c>
      <c r="AV2669">
        <f>$E$21</f>
        <v>10.6875</v>
      </c>
      <c r="AW2669" cm="1">
        <f t="array" ref="AW2669">IFERROR(IF(AV2669=0,0,(INDEX($C$33:$C$38,MATCH($AZ$2600,$B$33:$B$38,0),0)*(AV2673+$BA$2600)+$AW$2600*COUNTIF(AV2669:AV2672,"&gt;0")*$C$32+$AY$2600*$C$31)*$AU$2600),0)</f>
        <v>0</v>
      </c>
      <c r="AX2669">
        <f>IF(AV2669=0,0,-(COUNTIF(AV2669:AV2672,"&gt;0")*$AW$2600*$C$32+$AY$2600*$C$31)*$H$27*$AU$2600)</f>
        <v>0</v>
      </c>
      <c r="AY2669">
        <f>IF(AV2669=0,0,$AY$2600*$H$26*$AU$2600)</f>
        <v>0</v>
      </c>
      <c r="AZ2669">
        <f>(0.6*AW2669+0.7*AX2669)*$AU$2600/2</f>
        <v>0</v>
      </c>
      <c r="BA2669">
        <f>(0.6*AW2669+0.6*AY2669)*$AU$2600/2</f>
        <v>0</v>
      </c>
      <c r="BC2669">
        <f>IF(AV2669=0,0,$BG$2600*$AP$2581)</f>
        <v>0</v>
      </c>
      <c r="BD2669">
        <f>IFERROR(BC2669/$AU$2600,0)</f>
        <v>0</v>
      </c>
      <c r="BE2669">
        <f>BC2669*($F$21+IF($F$21=0,0,($C$14+$C$15+IF($C$13="single",1.5,3)+3)/12))</f>
        <v>0</v>
      </c>
      <c r="BF2669">
        <f>BE2669-AZ2669</f>
        <v>0</v>
      </c>
      <c r="BG2669" cm="1">
        <f t="array" ref="BG2669">IFERROR(IF(BF2669&lt;0,0,BF2669/($AU$2600-INDEX(hd_off,MATCH(BT2669,hd_mark,0),0)/12)),0)</f>
        <v>0</v>
      </c>
      <c r="BH2669">
        <f>IF(AV2669=0,0,$BG$2600*$AM$2581)</f>
        <v>0</v>
      </c>
      <c r="BI2669">
        <f>IFERROR(BH2669/$AU$2600,0)</f>
        <v>0</v>
      </c>
      <c r="BJ2669">
        <f>BH2669*($F$21+IF($F$21=0,0,($C$14+$C$15+IF($C$13="single",1.5,3)+3)/12))</f>
        <v>0</v>
      </c>
      <c r="BK2669">
        <f>BJ2669-BA2669</f>
        <v>0</v>
      </c>
      <c r="BL2669" cm="1">
        <f t="array" ref="BL2669">IFERROR(IF(BK2669&lt;0,0,BK2669/($AU$2600-INDEX(hd_off,MATCH(BT2669,hd_mark,0),0)/12)),0)</f>
        <v>0</v>
      </c>
      <c r="BM2669">
        <f>MAX($F$21,$BB$2600)/$Q$2612</f>
        <v>0.30172413793103448</v>
      </c>
      <c r="BN2669">
        <f>IF(BM2669=0,0,IF(BM2669&gt;2,1.25-0.125*BM2669,1))</f>
        <v>1</v>
      </c>
      <c r="BO2669" cm="1">
        <f t="array" ref="BO2669">IFERROR(INDEX(sheath_ecap_asd,MATCH(BS2669,sheath_mark,0),0)*BN2669,0)</f>
        <v>0</v>
      </c>
      <c r="BP2669" cm="1">
        <f t="array" ref="BP2669">IFERROR(INDEX(sheath_wcap_asd,MATCH(BS2669,sheath_mark,0),0)*BN2669,0)</f>
        <v>0</v>
      </c>
      <c r="BQ2669" cm="1">
        <f t="array" ref="BQ2669">IFERROR(INDEX(hd_cap,MATCH(BT2669,hd_mark,0),0),0)</f>
        <v>0</v>
      </c>
      <c r="BS2669" s="19"/>
      <c r="BT2669" s="19"/>
      <c r="BU2669" s="100"/>
    </row>
    <row r="2670" x14ac:dyDescent="0.25">
      <c r="P2670" s="93"/>
      <c r="Q2670" s="109"/>
      <c r="R2670" t="str">
        <f>$Q$2582</f>
        <v>L3</v>
      </c>
      <c r="S2670">
        <f>$E$22</f>
        <v>21.375</v>
      </c>
      <c r="T2670" cm="1">
        <f t="array" ref="T2670">IFERROR(IF(S2670=0,0,(INDEX($C$33:$C$38,MATCH($W$2600,$B$33:$B$38,0),0)*(S2673+$X$2600)+$T$2600*COUNTIF(S2670:S2672,"&gt;0")*$C$32+$V$2600*$C$31)*$R$2600),0)</f>
        <v>0</v>
      </c>
      <c r="U2670">
        <f>IF(S2670=0,0,-(COUNTIF(S2670:S2672,"&gt;0")*$T$2600*$C$32+$V$2600*$C$31)*$H$27*$R$2600)</f>
        <v>0</v>
      </c>
      <c r="V2670">
        <f>IF(S2670=0,0,$V$2600*$H$26*$R$2600)</f>
        <v>0</v>
      </c>
      <c r="W2670">
        <f>(0.6*T2670+0.7*U2670)*$R$2600/2</f>
        <v>0</v>
      </c>
      <c r="X2670">
        <f>T2670*$R$2600/2</f>
        <v>0</v>
      </c>
      <c r="Z2670">
        <f>IF(S2670=0,0,$AD$2600*$AP$2582)</f>
        <v>0</v>
      </c>
      <c r="AA2670">
        <f>IFERROR(Z2670/$R$2600,0)</f>
        <v>0</v>
      </c>
      <c r="AB2670">
        <f>Z2670*($F$22+IF($F$22=0,0,($C$14+$C$15+IF($C$13="single",1.5,3)+3)/12))</f>
        <v>0</v>
      </c>
      <c r="AC2670">
        <f>AB2670-W2670</f>
        <v>0</v>
      </c>
      <c r="AD2670" cm="1">
        <f t="array" ref="AD2670">IFERROR(IF(AC2670&lt;0,0,AC2670/($R$2600-INDEX(hd_off,MATCH(AQ2670,hd_mark,0),0)/12)),0)</f>
        <v>0</v>
      </c>
      <c r="AE2670">
        <f>IF(S2670=0,0,$AD$2600*$AM$2582)</f>
        <v>0</v>
      </c>
      <c r="AF2670">
        <f>IFERROR(AE2670/$R$2600,0)</f>
        <v>0</v>
      </c>
      <c r="AG2670">
        <f>AE2670*($F$22+IF($F$22=0,0,($C$14+$C$15+IF($C$13="single",1.5,3)+3)/12))</f>
        <v>0</v>
      </c>
      <c r="AH2670">
        <f>AG2670-X2670</f>
        <v>0</v>
      </c>
      <c r="AI2670" cm="1">
        <f t="array" ref="AI2670">IFERROR(IF(AH2670&lt;0,0,AH2670/($R$2600-INDEX(hd_off,MATCH(AQ2670,hd_mark,0),0)/12)),0)</f>
        <v>0</v>
      </c>
      <c r="AJ2670">
        <f>MAX($F$22,$Z$2600)/$Q$2612</f>
        <v>0.30172413793103448</v>
      </c>
      <c r="AK2670">
        <f t="shared" ref="AK2670:AK2673" si="1646">IF(AJ2670=0,0,IF(AJ2670&gt;2,1.25-0.125*AJ2670,1))</f>
        <v>1</v>
      </c>
      <c r="AL2670" cm="1">
        <f t="array" ref="AL2670">IFERROR(INDEX(sheath_ecap_asd,MATCH(AP2670,sheath_mark,0),0)*AK2670,0)</f>
        <v>0</v>
      </c>
      <c r="AM2670" cm="1">
        <f t="array" ref="AM2670">IFERROR(INDEX(sheath_wcap_asd,MATCH(AP2670,sheath_mark,0),0)*AK2670,0)</f>
        <v>0</v>
      </c>
      <c r="AN2670" cm="1">
        <f t="array" ref="AN2670">IFERROR(INDEX(hd_cap,MATCH(AQ2670,hd_mark,0),0),0)</f>
        <v>0</v>
      </c>
      <c r="AP2670" s="19"/>
      <c r="AQ2670" s="19"/>
      <c r="AR2670" s="100"/>
      <c r="AS2670" s="93"/>
      <c r="AT2670" s="109"/>
      <c r="AU2670" t="str">
        <f>$Q$2582</f>
        <v>L3</v>
      </c>
      <c r="AV2670">
        <f>$E$22</f>
        <v>21.375</v>
      </c>
      <c r="AW2670" cm="1">
        <f t="array" ref="AW2670">IFERROR(IF(AV2670=0,0,(INDEX($C$33:$C$38,MATCH($AZ$2600,$B$33:$B$38,0),0)*(AV2673+$BA$2600)+$AW$2600*COUNTIF(AV2670:AV2672,"&gt;0")*$C$32+$AY$2600*$C$31)*$AU$2600),0)</f>
        <v>0</v>
      </c>
      <c r="AX2670">
        <f>IF(AV2670=0,0,-(COUNTIF(AV2670:AV2672,"&gt;0")*$AW$2600*$C$32+$AY$2600*$C$31)*$H$27*$AU$2600)</f>
        <v>0</v>
      </c>
      <c r="AY2670">
        <f>IF(AV2670=0,0,$AY$2600*$H$26*$AU$2600)</f>
        <v>0</v>
      </c>
      <c r="AZ2670">
        <f>(0.6*AW2670+0.7*AX2670)*$AU$2600/2</f>
        <v>0</v>
      </c>
      <c r="BA2670">
        <f>AW2670*$AU$2600/2</f>
        <v>0</v>
      </c>
      <c r="BC2670">
        <f>IF(AV2670=0,0,$BG$2600*$AP$2582)</f>
        <v>0</v>
      </c>
      <c r="BD2670">
        <f>IFERROR(BC2670/$AU$2600,0)</f>
        <v>0</v>
      </c>
      <c r="BE2670">
        <f>BC2670*($F$22+IF($F$22=0,0,($C$14+$C$15+IF($C$13="single",1.5,3)+3)/12))</f>
        <v>0</v>
      </c>
      <c r="BF2670">
        <f>BE2670-AZ2670</f>
        <v>0</v>
      </c>
      <c r="BG2670" cm="1">
        <f t="array" ref="BG2670">IFERROR(IF(BF2670&lt;0,0,BF2670/($AU$2600-INDEX(hd_off,MATCH(BT2670,hd_mark,0),0)/12)),0)</f>
        <v>0</v>
      </c>
      <c r="BH2670">
        <f>IF(AV2670=0,0,$BG$2600*$AM$2582)</f>
        <v>0</v>
      </c>
      <c r="BI2670">
        <f>IFERROR(BH2670/$AU$2600,0)</f>
        <v>0</v>
      </c>
      <c r="BJ2670">
        <f>BH2670*($F$22+IF($F$22=0,0,($C$14+$C$15+IF($C$13="single",1.5,3)+3)/12))</f>
        <v>0</v>
      </c>
      <c r="BK2670">
        <f>BJ2670-BA2670</f>
        <v>0</v>
      </c>
      <c r="BL2670" cm="1">
        <f t="array" ref="BL2670">IFERROR(IF(BK2670&lt;0,0,BK2670/($AU$2600-INDEX(hd_off,MATCH(BT2670,hd_mark,0),0)/12)),0)</f>
        <v>0</v>
      </c>
      <c r="BM2670">
        <f>MAX($F$22,$BC$2600)/$Q$2612</f>
        <v>0.30172413793103448</v>
      </c>
      <c r="BN2670">
        <f t="shared" ref="BN2670:BN2673" si="1647">IF(BM2670=0,0,IF(BM2670&gt;2,1.25-0.125*BM2670,1))</f>
        <v>1</v>
      </c>
      <c r="BO2670" cm="1">
        <f t="array" ref="BO2670">IFERROR(INDEX(sheath_ecap_asd,MATCH(BS2670,sheath_mark,0),0)*BN2670,0)</f>
        <v>0</v>
      </c>
      <c r="BP2670" cm="1">
        <f t="array" ref="BP2670">IFERROR(INDEX(sheath_wcap_asd,MATCH(BS2670,sheath_mark,0),0)*BN2670,0)</f>
        <v>0</v>
      </c>
      <c r="BQ2670" cm="1">
        <f t="array" ref="BQ2670">IFERROR(INDEX(hd_cap,MATCH(BT2670,hd_mark,0),0),0)</f>
        <v>0</v>
      </c>
      <c r="BS2670" s="19"/>
      <c r="BT2670" s="19"/>
      <c r="BU2670" s="100"/>
    </row>
    <row r="2671" x14ac:dyDescent="0.25">
      <c r="P2671" s="93"/>
      <c r="Q2671" s="109" t="s">
        <v>491</v>
      </c>
      <c r="R2671" t="str">
        <f>$Q$2583</f>
        <v>L4</v>
      </c>
      <c r="S2671">
        <f>$E$23</f>
        <v>0</v>
      </c>
      <c r="T2671" cm="1">
        <f t="array" ref="T2671">IFERROR(IF(S2671=0,0,(INDEX($C$33:$C$38,MATCH($W$2600,$B$33:$B$38,0),0)*(S2673+$X$2600)+$T$2600*COUNTIF(S2671:S2672,"&gt;0")*$C$32+$V$2600*$C$31)*$R$2600),0)</f>
        <v>0</v>
      </c>
      <c r="U2671">
        <f>IF(S2671=0,0,-(COUNTIF(S2671:S2672,"&gt;0")*$T$2600*$C$32+$V$2600*$C$31)*$H$27*$R$2600)</f>
        <v>0</v>
      </c>
      <c r="V2671">
        <f>IF(S2671=0,0,$V$2600*$H$26*$R$2600)</f>
        <v>0</v>
      </c>
      <c r="W2671">
        <f>(0.6*T2671+0.7*U2671)*$R$2600/2</f>
        <v>0</v>
      </c>
      <c r="X2671">
        <f>T2671*$R$2600/2</f>
        <v>0</v>
      </c>
      <c r="Z2671">
        <f>IF(S2671=0,0,$AD$2600*$AP$2583)</f>
        <v>0</v>
      </c>
      <c r="AA2671">
        <f>IFERROR(Z2671/$R$2600,0)</f>
        <v>0</v>
      </c>
      <c r="AB2671">
        <f>Z2671*($F$23+IF($F$23=0,0,($C$14+$C$15+IF($C$13="single",1.5,3)+3)/12))</f>
        <v>0</v>
      </c>
      <c r="AC2671">
        <f>AB2671-W2671</f>
        <v>0</v>
      </c>
      <c r="AD2671" cm="1">
        <f t="array" ref="AD2671">IFERROR(IF(AC2671&lt;0,0,AC2671/($R$2600-INDEX(hd_off,MATCH(AQ2671,hd_mark,0),0)/12)),0)</f>
        <v>0</v>
      </c>
      <c r="AE2671">
        <f>IF(S2671=0,0,$AD$2600*$AM$2583)</f>
        <v>0</v>
      </c>
      <c r="AF2671">
        <f>IFERROR(AE2671/$R$2600,0)</f>
        <v>0</v>
      </c>
      <c r="AG2671">
        <f>AE2671*($F$23+IF($F$23=0,0,($C$14+$C$15+IF($C$13="single",1.5,3)+3)/12))</f>
        <v>0</v>
      </c>
      <c r="AH2671">
        <f>AG2671-X2671</f>
        <v>0</v>
      </c>
      <c r="AI2671" cm="1">
        <f t="array" ref="AI2671">IFERROR(IF(AH2671&lt;0,0,AH2671/($R$2600-INDEX(hd_off,MATCH(AQ2671,hd_mark,0),0)/12)),0)</f>
        <v>0</v>
      </c>
      <c r="AJ2671">
        <f>MAX($F$23,$AA$2600)/$Q$2612</f>
        <v>0</v>
      </c>
      <c r="AK2671">
        <f t="shared" si="1646"/>
        <v>0</v>
      </c>
      <c r="AL2671" cm="1">
        <f t="array" ref="AL2671">IFERROR(INDEX(sheath_ecap_asd,MATCH(AP2671,sheath_mark,0),0)*AK2671,0)</f>
        <v>0</v>
      </c>
      <c r="AM2671" cm="1">
        <f t="array" ref="AM2671">IFERROR(INDEX(sheath_wcap_asd,MATCH(AP2671,sheath_mark,0),0)*AK2671,0)</f>
        <v>0</v>
      </c>
      <c r="AN2671" cm="1">
        <f t="array" ref="AN2671">IFERROR(INDEX(hd_cap,MATCH(AQ2671,hd_mark,0),0),0)</f>
        <v>0</v>
      </c>
      <c r="AP2671" s="19"/>
      <c r="AQ2671" s="19"/>
      <c r="AR2671" s="100"/>
      <c r="AS2671" s="93"/>
      <c r="AT2671" s="109" t="s">
        <v>491</v>
      </c>
      <c r="AU2671" t="str">
        <f>$Q$2583</f>
        <v>L4</v>
      </c>
      <c r="AV2671">
        <f>$E$23</f>
        <v>0</v>
      </c>
      <c r="AW2671" cm="1">
        <f t="array" ref="AW2671">IFERROR(IF(AV2671=0,0,(INDEX($C$33:$C$38,MATCH($AZ$2600,$B$33:$B$38,0),0)*(AV2673+$BA$2600)+$AW$2600*COUNTIF(AV2671:AV2672,"&gt;0")*$C$32+$AY$2600*$C$31)*$AU$2600),0)</f>
        <v>0</v>
      </c>
      <c r="AX2671">
        <f>IF(AV2671=0,0,-(COUNTIF(AV2671:AV2672,"&gt;0")*$AW$2600*$C$32+$AY$2600*$C$31)*$H$27*$AU$2600)</f>
        <v>0</v>
      </c>
      <c r="AY2671">
        <f>IF(AV2671=0,0,$AY$2600*$H$26*$AU$2600)</f>
        <v>0</v>
      </c>
      <c r="AZ2671">
        <f>(0.6*AW2671+0.7*AX2671)*$AU$2600/2</f>
        <v>0</v>
      </c>
      <c r="BA2671">
        <f>AW2671*$AU$2600/2</f>
        <v>0</v>
      </c>
      <c r="BC2671">
        <f>IF(AV2671=0,0,$BG$2600*$AP$2583)</f>
        <v>0</v>
      </c>
      <c r="BD2671">
        <f>IFERROR(BC2671/$AU$2600,0)</f>
        <v>0</v>
      </c>
      <c r="BE2671">
        <f>BC2671*($F$23+IF($F$23=0,0,($C$14+$C$15+IF($C$13="single",1.5,3)+3)/12))</f>
        <v>0</v>
      </c>
      <c r="BF2671">
        <f>BE2671-AZ2671</f>
        <v>0</v>
      </c>
      <c r="BG2671" cm="1">
        <f t="array" ref="BG2671">IFERROR(IF(BF2671&lt;0,0,BF2671/($AU$2600-INDEX(hd_off,MATCH(BT2671,hd_mark,0),0)/12)),0)</f>
        <v>0</v>
      </c>
      <c r="BH2671">
        <f>IF(AV2671=0,0,$BG$2600*$AM$2583)</f>
        <v>0</v>
      </c>
      <c r="BI2671">
        <f>IFERROR(BH2671/$AU$2600,0)</f>
        <v>0</v>
      </c>
      <c r="BJ2671">
        <f>BH2671*($F$23+IF($F$23=0,0,($C$14+$C$15+IF($C$13="single",1.5,3)+3)/12))</f>
        <v>0</v>
      </c>
      <c r="BK2671">
        <f>BJ2671-BA2671</f>
        <v>0</v>
      </c>
      <c r="BL2671" cm="1">
        <f t="array" ref="BL2671">IFERROR(IF(BK2671&lt;0,0,BK2671/($AU$2600-INDEX(hd_off,MATCH(BT2671,hd_mark,0),0)/12)),0)</f>
        <v>0</v>
      </c>
      <c r="BM2671">
        <f>MAX($F$23,$BD$2600)/$Q$2612</f>
        <v>0</v>
      </c>
      <c r="BN2671">
        <f t="shared" si="1647"/>
        <v>0</v>
      </c>
      <c r="BO2671" cm="1">
        <f t="array" ref="BO2671">IFERROR(INDEX(sheath_ecap_asd,MATCH(BS2671,sheath_mark,0),0)*BN2671,0)</f>
        <v>0</v>
      </c>
      <c r="BP2671" cm="1">
        <f t="array" ref="BP2671">IFERROR(INDEX(sheath_wcap_asd,MATCH(BS2671,sheath_mark,0),0)*BN2671,0)</f>
        <v>0</v>
      </c>
      <c r="BQ2671" cm="1">
        <f t="array" ref="BQ2671">IFERROR(INDEX(hd_cap,MATCH(BT2671,hd_mark,0),0),0)</f>
        <v>0</v>
      </c>
      <c r="BS2671" s="19"/>
      <c r="BT2671" s="19"/>
      <c r="BU2671" s="100"/>
    </row>
    <row r="2672" x14ac:dyDescent="0.25">
      <c r="P2672" s="93"/>
      <c r="Q2672" s="111">
        <f>$R$2600</f>
        <v>0</v>
      </c>
      <c r="R2672" t="str">
        <f>$Q$2584</f>
        <v>L5</v>
      </c>
      <c r="S2672">
        <f>$E$24</f>
        <v>0</v>
      </c>
      <c r="T2672" cm="1">
        <f t="array" ref="T2672">IFERROR(IF(S2672=0,0,(INDEX($C$33:$C$38,MATCH($W$2600,$B$33:$B$38,0),0)*(S2673+$X$2600)+$T$2600*COUNTIF(S2672:S2672,"&gt;0")*$C$32+$V$2600*$C$31)*$R$2600),0)</f>
        <v>0</v>
      </c>
      <c r="U2672">
        <f>IF(S2672=0,0,-(COUNTIF(S2672:S2672,"&gt;0")*$T$2600*$C$32+$V$2600*$C$31)*$H$27*$R$2600)</f>
        <v>0</v>
      </c>
      <c r="V2672">
        <f>IF(S2672=0,0,$V$2600*$H$26*$R$2600)</f>
        <v>0</v>
      </c>
      <c r="W2672">
        <f>(0.6*T2672+0.7*U2672)*$R$2600/2</f>
        <v>0</v>
      </c>
      <c r="X2672">
        <f>T2672*$R$2600/2</f>
        <v>0</v>
      </c>
      <c r="Z2672">
        <f>IF(S2672=0,0,$AD$2600*$AP$2584)</f>
        <v>0</v>
      </c>
      <c r="AA2672">
        <f>IFERROR(Z2672/$R$2600,0)</f>
        <v>0</v>
      </c>
      <c r="AB2672">
        <f>Z2672*($F$24+IF($F$24=0,0,($C$14+$C$15+IF($C$13="single",1.5,3)+3)/12))</f>
        <v>0</v>
      </c>
      <c r="AC2672">
        <f>AB2672-W2672</f>
        <v>0</v>
      </c>
      <c r="AD2672" cm="1">
        <f t="array" ref="AD2672">IFERROR(IF(AC2672&lt;0,0,AC2672/($R$2600-INDEX(hd_off,MATCH(AQ2672,hd_mark,0),0)/12)),0)</f>
        <v>0</v>
      </c>
      <c r="AE2672">
        <f>IF(S2672=0,0,$AD$2600*$AM$2584)</f>
        <v>0</v>
      </c>
      <c r="AF2672">
        <f>IFERROR(AE2672/$R$2600,0)</f>
        <v>0</v>
      </c>
      <c r="AG2672">
        <f>AE2672*($F$24+IF($F$24=0,0,($C$14+$C$15+IF($C$13="single",1.5,3)+3)/12))</f>
        <v>0</v>
      </c>
      <c r="AH2672">
        <f>AG2672-X2672</f>
        <v>0</v>
      </c>
      <c r="AI2672" cm="1">
        <f t="array" ref="AI2672">IFERROR(IF(AH2672&lt;0,0,AH2672/($R$2600-INDEX(hd_off,MATCH(AQ2672,hd_mark,0),0)/12)),0)</f>
        <v>0</v>
      </c>
      <c r="AJ2672">
        <f>MAX($F$24,$AB$2600)/$Q$2612</f>
        <v>0</v>
      </c>
      <c r="AK2672">
        <f t="shared" si="1646"/>
        <v>0</v>
      </c>
      <c r="AL2672" cm="1">
        <f t="array" ref="AL2672">IFERROR(INDEX(sheath_ecap_asd,MATCH(AP2672,sheath_mark,0),0)*AK2672,0)</f>
        <v>0</v>
      </c>
      <c r="AM2672" cm="1">
        <f t="array" ref="AM2672">IFERROR(INDEX(sheath_wcap_asd,MATCH(AP2672,sheath_mark,0),0)*AK2672,0)</f>
        <v>0</v>
      </c>
      <c r="AN2672" cm="1">
        <f t="array" ref="AN2672">IFERROR(INDEX(hd_cap,MATCH(AQ2672,hd_mark,0),0),0)</f>
        <v>0</v>
      </c>
      <c r="AP2672" s="19"/>
      <c r="AQ2672" s="19"/>
      <c r="AR2672" s="100"/>
      <c r="AS2672" s="93"/>
      <c r="AT2672" s="111">
        <f>$R$2600</f>
        <v>0</v>
      </c>
      <c r="AU2672" t="str">
        <f>$Q$2584</f>
        <v>L5</v>
      </c>
      <c r="AV2672">
        <f>$E$24</f>
        <v>0</v>
      </c>
      <c r="AW2672" cm="1">
        <f t="array" ref="AW2672">IFERROR(IF(AV2672=0,0,(INDEX($C$33:$C$38,MATCH($AZ$2600,$B$33:$B$38,0),0)*(AV2673+$BA$2600)+$AW$2600*COUNTIF(AV2672:AV2672,"&gt;0")*$C$32+$AY$2600*$C$31)*$AU$2600),0)</f>
        <v>0</v>
      </c>
      <c r="AX2672">
        <f>IF(AV2672=0,0,-(COUNTIF(AV2672:AV2672,"&gt;0")*$AW$2600*$C$32+$AY$2600*$C$31)*$H$27*$AU$2600)</f>
        <v>0</v>
      </c>
      <c r="AY2672">
        <f>IF(AV2672=0,0,$AY$2600*$H$26*$AU$2600)</f>
        <v>0</v>
      </c>
      <c r="AZ2672">
        <f>(0.6*AW2672+0.7*AX2672)*$AU$2600/2</f>
        <v>0</v>
      </c>
      <c r="BA2672">
        <f>AW2672*$AU$2600/2</f>
        <v>0</v>
      </c>
      <c r="BC2672">
        <f>IF(AV2672=0,0,$BG$2600*$AP$2584)</f>
        <v>0</v>
      </c>
      <c r="BD2672">
        <f>IFERROR(BC2672/$AU$2600,0)</f>
        <v>0</v>
      </c>
      <c r="BE2672">
        <f>BC2672*($F$24+IF($F$24=0,0,($C$14+$C$15+IF($C$13="single",1.5,3)+3)/12))</f>
        <v>0</v>
      </c>
      <c r="BF2672">
        <f>BE2672-AZ2672</f>
        <v>0</v>
      </c>
      <c r="BG2672" cm="1">
        <f t="array" ref="BG2672">IFERROR(IF(BF2672&lt;0,0,BF2672/($AU$2600-INDEX(hd_off,MATCH(BT2672,hd_mark,0),0)/12)),0)</f>
        <v>0</v>
      </c>
      <c r="BH2672">
        <f>IF(AV2672=0,0,$BG$2600*$AM$2584)</f>
        <v>0</v>
      </c>
      <c r="BI2672">
        <f>IFERROR(BH2672/$AU$2600,0)</f>
        <v>0</v>
      </c>
      <c r="BJ2672">
        <f>BH2672*($F$24+IF($F$24=0,0,($C$14+$C$15+IF($C$13="single",1.5,3)+3)/12))</f>
        <v>0</v>
      </c>
      <c r="BK2672">
        <f>BJ2672-BA2672</f>
        <v>0</v>
      </c>
      <c r="BL2672" cm="1">
        <f t="array" ref="BL2672">IFERROR(IF(BK2672&lt;0,0,BK2672/($AU$2600-INDEX(hd_off,MATCH(BT2672,hd_mark,0),0)/12)),0)</f>
        <v>0</v>
      </c>
      <c r="BM2672">
        <f>MAX($F$24,$BE$2600)/$Q$2612</f>
        <v>0</v>
      </c>
      <c r="BN2672">
        <f t="shared" si="1647"/>
        <v>0</v>
      </c>
      <c r="BO2672" cm="1">
        <f t="array" ref="BO2672">IFERROR(INDEX(sheath_ecap_asd,MATCH(BS2672,sheath_mark,0),0)*BN2672,0)</f>
        <v>0</v>
      </c>
      <c r="BP2672" cm="1">
        <f t="array" ref="BP2672">IFERROR(INDEX(sheath_wcap_asd,MATCH(BS2672,sheath_mark,0),0)*BN2672,0)</f>
        <v>0</v>
      </c>
      <c r="BQ2672" cm="1">
        <f t="array" ref="BQ2672">IFERROR(INDEX(hd_cap,MATCH(BT2672,hd_mark,0),0),0)</f>
        <v>0</v>
      </c>
      <c r="BS2672" s="19"/>
      <c r="BT2672" s="19"/>
      <c r="BU2672" s="100"/>
    </row>
    <row r="2673" x14ac:dyDescent="0.25">
      <c r="P2673" s="93"/>
      <c r="Q2673" s="109"/>
      <c r="R2673" t="str">
        <f>$Q$2585</f>
        <v>Roof</v>
      </c>
      <c r="S2673">
        <f>$E$25</f>
        <v>33.171875</v>
      </c>
      <c r="T2673" cm="1">
        <f t="array" ref="T2673">IFERROR(IF(S2673=0,0,(INDEX($C$33:$C$38,MATCH($W$2600,$B$33:$B$38,0),0)*(S2673+$X$2600)+$V$2600*$C$31)*$R$2600),0)</f>
        <v>0</v>
      </c>
      <c r="U2673">
        <f>IF(S2673=0,0,-$V$2600*$C$31*$H$27*$R$2600)</f>
        <v>0</v>
      </c>
      <c r="V2673">
        <f>IF(S2673=0,0,$V$2600*$H$26*$R$2600)</f>
        <v>0</v>
      </c>
      <c r="W2673">
        <f>(0.6*T2673+0.7*U2673)*$R$2600/2</f>
        <v>0</v>
      </c>
      <c r="X2673">
        <f>T2673*$R$2600/2</f>
        <v>0</v>
      </c>
      <c r="Z2673">
        <f>IF(S2673=0,0,$AD$2600*$AP$2585)</f>
        <v>0</v>
      </c>
      <c r="AA2673">
        <f>IFERROR(Z2673/$R$2600,0)</f>
        <v>0</v>
      </c>
      <c r="AB2673">
        <f>Z2673*($F$25+($C$16+$C$17+IF($C$13="single",1.5,3)+3)/12)</f>
        <v>0</v>
      </c>
      <c r="AC2673">
        <f>AB2673-W2673</f>
        <v>0</v>
      </c>
      <c r="AD2673" cm="1">
        <f t="array" ref="AD2673">IFERROR(IF(AC2673&lt;0,0,AC2673/($R$2600-INDEX(hd_off,MATCH(AQ2673,hd_mark,0),0)/12)),0)</f>
        <v>0</v>
      </c>
      <c r="AE2673">
        <f>IF(S2673=0,0,$AD$2600*$AM$2585)</f>
        <v>0</v>
      </c>
      <c r="AF2673">
        <f>IFERROR(AE2673/$R$2600,0)</f>
        <v>0</v>
      </c>
      <c r="AG2673">
        <f>AE2673*($F$25+($C$16+$C$17+IF($C$13="single",1.5,3)+3)/12)</f>
        <v>0</v>
      </c>
      <c r="AH2673">
        <f>AG2673-X2673</f>
        <v>0</v>
      </c>
      <c r="AI2673" cm="1">
        <f t="array" ref="AI2673">IFERROR(IF(AH2673&lt;0,0,AH2673/($R$2600-INDEX(hd_off,MATCH(AQ2673,hd_mark,0),0)/12)),0)</f>
        <v>0</v>
      </c>
      <c r="AJ2673">
        <f>MAX($F$25,$AC$2600)/$Q$2612</f>
        <v>0.29920977011494249</v>
      </c>
      <c r="AK2673">
        <f t="shared" si="1646"/>
        <v>1</v>
      </c>
      <c r="AL2673" cm="1">
        <f t="array" ref="AL2673">IFERROR(INDEX(sheath_ecap_asd,MATCH(AP2673,sheath_mark,0),0)*AK2673,0)</f>
        <v>0</v>
      </c>
      <c r="AM2673" cm="1">
        <f t="array" ref="AM2673">IFERROR(INDEX(sheath_wcap_asd,MATCH(AP2673,sheath_mark,0),0)*AK2673,0)</f>
        <v>0</v>
      </c>
      <c r="AN2673" cm="1">
        <f t="array" ref="AN2673">IFERROR(INDEX(hd_cap,MATCH(AQ2673,hd_mark,0),0),0)</f>
        <v>0</v>
      </c>
      <c r="AP2673" s="19"/>
      <c r="AQ2673" s="19"/>
      <c r="AR2673" s="100"/>
      <c r="AS2673" s="93"/>
      <c r="AT2673" s="109"/>
      <c r="AU2673" t="str">
        <f>$Q$2585</f>
        <v>Roof</v>
      </c>
      <c r="AV2673">
        <f>$E$25</f>
        <v>33.171875</v>
      </c>
      <c r="AW2673" cm="1">
        <f t="array" ref="AW2673">IFERROR(IF(AV2673=0,0,(INDEX($C$33:$C$38,MATCH($AZ$2600,$B$33:$B$38,0),0)*(AV2673+$BA$2600)+$AY$2600*$C$31)*$AU$2600),0)</f>
        <v>0</v>
      </c>
      <c r="AX2673">
        <f>IF(AV2673=0,0,-$AY$2600*$C$31*$H$27*$AU$2600)</f>
        <v>0</v>
      </c>
      <c r="AY2673">
        <f>IF(AV2673=0,0,$AY$2600*$H$26*$AU$2600)</f>
        <v>0</v>
      </c>
      <c r="AZ2673">
        <f>(0.6*AW2673+0.7*AX2673)*$AU$2600/2</f>
        <v>0</v>
      </c>
      <c r="BA2673">
        <f>AW2673*$AU$2600/2</f>
        <v>0</v>
      </c>
      <c r="BC2673">
        <f>IF(AV2673=0,0,$BG$2600*$AP$2585)</f>
        <v>0</v>
      </c>
      <c r="BD2673">
        <f>IFERROR(BC2673/$AU$2600,0)</f>
        <v>0</v>
      </c>
      <c r="BE2673">
        <f>BC2673*($F$25+($C$16+$C$17+IF($C$13="single",1.5,3)+3)/12)</f>
        <v>0</v>
      </c>
      <c r="BF2673">
        <f>BE2673-AZ2673</f>
        <v>0</v>
      </c>
      <c r="BG2673" cm="1">
        <f t="array" ref="BG2673">IFERROR(IF(BF2673&lt;0,0,BF2673/($AU$2600-INDEX(hd_off,MATCH(BT2673,hd_mark,0),0)/12)),0)</f>
        <v>0</v>
      </c>
      <c r="BH2673">
        <f>IF(AV2673=0,0,$BG$2600*$AM$2585)</f>
        <v>0</v>
      </c>
      <c r="BI2673">
        <f>IFERROR(BH2673/$AU$2600,0)</f>
        <v>0</v>
      </c>
      <c r="BJ2673">
        <f>BH2673*($F$25+($C$16+$C$17+IF($C$13="single",1.5,3)+3)/12)</f>
        <v>0</v>
      </c>
      <c r="BK2673">
        <f>BJ2673-BA2673</f>
        <v>0</v>
      </c>
      <c r="BL2673" cm="1">
        <f t="array" ref="BL2673">IFERROR(IF(BK2673&lt;0,0,BK2673/($AU$2600-INDEX(hd_off,MATCH(BT2673,hd_mark,0),0)/12)),0)</f>
        <v>0</v>
      </c>
      <c r="BM2673">
        <f>MAX($F$25,$BF$2600)/$Q$2612</f>
        <v>0.29920977011494249</v>
      </c>
      <c r="BN2673">
        <f t="shared" si="1647"/>
        <v>1</v>
      </c>
      <c r="BO2673" cm="1">
        <f t="array" ref="BO2673">IFERROR(INDEX(sheath_ecap_asd,MATCH(BS2673,sheath_mark,0),0)*BN2673,0)</f>
        <v>0</v>
      </c>
      <c r="BP2673" cm="1">
        <f t="array" ref="BP2673">IFERROR(INDEX(sheath_wcap_asd,MATCH(BS2673,sheath_mark,0),0)*BN2673,0)</f>
        <v>0</v>
      </c>
      <c r="BQ2673" cm="1">
        <f t="array" ref="BQ2673">IFERROR(INDEX(hd_cap,MATCH(BT2673,hd_mark,0),0),0)</f>
        <v>0</v>
      </c>
      <c r="BS2673" s="19"/>
      <c r="BT2673" s="19"/>
      <c r="BU2673" s="100"/>
    </row>
    <row r="2674" x14ac:dyDescent="0.25">
      <c r="P2674" s="93"/>
      <c r="AR2674" s="100"/>
      <c r="AS2674" s="93"/>
      <c r="BU2674" s="100"/>
    </row>
    <row r="2675" x14ac:dyDescent="0.25">
      <c r="P2675" s="93"/>
      <c r="Q2675" s="110" t="str">
        <f>$Q$2601</f>
        <v>A.12</v>
      </c>
      <c r="R2675" t="str">
        <f>$Q$2581</f>
        <v>L2</v>
      </c>
      <c r="S2675">
        <f>$E$21</f>
        <v>10.6875</v>
      </c>
      <c r="T2675" cm="1">
        <f t="array" ref="T2675">IFERROR(IF(S2675=0,0,(INDEX($C$33:$C$38,MATCH($W$2601,$B$33:$B$38,0),0)*(S2679+$X$2601)+$T$2601*COUNTIF(S2675:S2678,"&gt;0")*$C$32+$V$2601*$C$31)*$R$2601),0)</f>
        <v>0</v>
      </c>
      <c r="U2675">
        <f>IF(S2675=0,0,-(COUNTIF(S2675:S2678,"&gt;0")*$T$2601*$C$32+$V$2601*$C$31)*$H$27*$R$2601)</f>
        <v>0</v>
      </c>
      <c r="V2675">
        <f>IF(S2675=0,0,$V$2601*$H$26*$R$2601)</f>
        <v>0</v>
      </c>
      <c r="W2675">
        <f>(0.6*T2675+0.7*U2675)*$R$2601/2</f>
        <v>0</v>
      </c>
      <c r="X2675">
        <f>(0.6*T2675+0.6*V2675)*$R$2601/2</f>
        <v>0</v>
      </c>
      <c r="Z2675">
        <f>IF(S2675=0,0,$AD$2601*$AP$2581)</f>
        <v>0</v>
      </c>
      <c r="AA2675">
        <f>IFERROR(Z2675/$R$2601,0)</f>
        <v>0</v>
      </c>
      <c r="AB2675">
        <f>Z2675*($F$21+IF($F$21=0,0,($C$14+$C$15+IF($C$13="single",1.5,3)+3)/12))</f>
        <v>0</v>
      </c>
      <c r="AC2675">
        <f>AB2675-W2675</f>
        <v>0</v>
      </c>
      <c r="AD2675" cm="1">
        <f t="array" ref="AD2675">IFERROR(IF(AC2675&lt;0,0,AC2675/($R$2601-INDEX(hd_off,MATCH(AQ2675,hd_mark,0),0)/12)),0)</f>
        <v>0</v>
      </c>
      <c r="AE2675">
        <f>IF(S2675=0,0,$AD$2601*$AM$2581)</f>
        <v>0</v>
      </c>
      <c r="AF2675">
        <f>IFERROR(AE2675/$R$2601,0)</f>
        <v>0</v>
      </c>
      <c r="AG2675">
        <f>AE2675*($F$21+IF($F$21=0,0,($C$14+$C$15+IF($C$13="single",1.5,3)+3)/12))</f>
        <v>0</v>
      </c>
      <c r="AH2675">
        <f>AG2675-X2675</f>
        <v>0</v>
      </c>
      <c r="AI2675" cm="1">
        <f t="array" ref="AI2675">IFERROR(IF(AH2675&lt;0,0,AH2675/($R$2601-INDEX(hd_off,MATCH(AQ2675,hd_mark,0),0)/12)),0)</f>
        <v>0</v>
      </c>
      <c r="AJ2675">
        <f>MAX($F$21,$Y$2601)/$Q$2612</f>
        <v>0.30172413793103448</v>
      </c>
      <c r="AK2675">
        <f>IF(AJ2675=0,0,IF(AJ2675&gt;2,1.25-0.125*AJ2675,1))</f>
        <v>1</v>
      </c>
      <c r="AL2675" cm="1">
        <f t="array" ref="AL2675">IFERROR(INDEX(sheath_ecap_asd,MATCH(AP2675,sheath_mark,0),0)*AK2675,0)</f>
        <v>0</v>
      </c>
      <c r="AM2675" cm="1">
        <f t="array" ref="AM2675">IFERROR(INDEX(sheath_wcap_asd,MATCH(AP2675,sheath_mark,0),0)*AK2675,0)</f>
        <v>0</v>
      </c>
      <c r="AN2675" cm="1">
        <f t="array" ref="AN2675">IFERROR(INDEX(hd_cap,MATCH(AQ2675,hd_mark,0),0),0)</f>
        <v>0</v>
      </c>
      <c r="AP2675" s="19"/>
      <c r="AQ2675" s="19"/>
      <c r="AR2675" s="100"/>
      <c r="AS2675" s="93"/>
      <c r="AT2675" s="110" t="str">
        <f>$AT$2601</f>
        <v>1.12</v>
      </c>
      <c r="AU2675" t="str">
        <f>$Q$2581</f>
        <v>L2</v>
      </c>
      <c r="AV2675">
        <f>$E$21</f>
        <v>10.6875</v>
      </c>
      <c r="AW2675" cm="1">
        <f t="array" ref="AW2675">IFERROR(IF(AV2675=0,0,(INDEX($C$33:$C$38,MATCH($AZ$2601,$B$33:$B$38,0),0)*(AV2679+$BA$2601)+$AW$2601*COUNTIF(AV2675:AV2678,"&gt;0")*$C$32+$AY$2601*$C$31)*$AU$2601),0)</f>
        <v>0</v>
      </c>
      <c r="AX2675">
        <f>IF(AV2675=0,0,-(COUNTIF(AV2675:AV2678,"&gt;0")*$AW$2601*$C$32+$AY$2601*$C$31)*$H$27*$AU$2601)</f>
        <v>0</v>
      </c>
      <c r="AY2675">
        <f>IF(AV2675=0,0,$AY$2601*$H$26*$AU$2601)</f>
        <v>0</v>
      </c>
      <c r="AZ2675">
        <f>(0.6*AW2675+0.7*AX2675)*$AU$2601/2</f>
        <v>0</v>
      </c>
      <c r="BA2675">
        <f>(0.6*AW2675+0.6*AY2675)*$AU$2601/2</f>
        <v>0</v>
      </c>
      <c r="BC2675">
        <f>IF(AV2675=0,0,$BG$2601*$AP$2581)</f>
        <v>0</v>
      </c>
      <c r="BD2675">
        <f>IFERROR(BC2675/$AU$2601,0)</f>
        <v>0</v>
      </c>
      <c r="BE2675">
        <f>BC2675*($F$21+IF($F$21=0,0,($C$14+$C$15+IF($C$13="single",1.5,3)+3)/12))</f>
        <v>0</v>
      </c>
      <c r="BF2675">
        <f>BE2675-AZ2675</f>
        <v>0</v>
      </c>
      <c r="BG2675" cm="1">
        <f t="array" ref="BG2675">IFERROR(IF(BF2675&lt;0,0,BF2675/($AU$2601-INDEX(hd_off,MATCH(BT2675,hd_mark,0),0)/12)),0)</f>
        <v>0</v>
      </c>
      <c r="BH2675">
        <f>IF(AV2675=0,0,$BG$2601*$AM$2581)</f>
        <v>0</v>
      </c>
      <c r="BI2675">
        <f>IFERROR(BH2675/$AU$2601,0)</f>
        <v>0</v>
      </c>
      <c r="BJ2675">
        <f>BH2675*($F$21+IF($F$21=0,0,($C$14+$C$15+IF($C$13="single",1.5,3)+3)/12))</f>
        <v>0</v>
      </c>
      <c r="BK2675">
        <f>BJ2675-BA2675</f>
        <v>0</v>
      </c>
      <c r="BL2675" cm="1">
        <f t="array" ref="BL2675">IFERROR(IF(BK2675&lt;0,0,BK2675/($AU$2601-INDEX(hd_off,MATCH(BT2675,hd_mark,0),0)/12)),0)</f>
        <v>0</v>
      </c>
      <c r="BM2675">
        <f>MAX($F$21,$BB$2601)/$Q$2612</f>
        <v>0.30172413793103448</v>
      </c>
      <c r="BN2675">
        <f>IF(BM2675=0,0,IF(BM2675&gt;2,1.25-0.125*BM2675,1))</f>
        <v>1</v>
      </c>
      <c r="BO2675" cm="1">
        <f t="array" ref="BO2675">IFERROR(INDEX(sheath_ecap_asd,MATCH(BS2675,sheath_mark,0),0)*BN2675,0)</f>
        <v>0</v>
      </c>
      <c r="BP2675" cm="1">
        <f t="array" ref="BP2675">IFERROR(INDEX(sheath_wcap_asd,MATCH(BS2675,sheath_mark,0),0)*BN2675,0)</f>
        <v>0</v>
      </c>
      <c r="BQ2675" cm="1">
        <f t="array" ref="BQ2675">IFERROR(INDEX(hd_cap,MATCH(BT2675,hd_mark,0),0),0)</f>
        <v>0</v>
      </c>
      <c r="BS2675" s="19"/>
      <c r="BT2675" s="19"/>
      <c r="BU2675" s="100"/>
    </row>
    <row r="2676" x14ac:dyDescent="0.25">
      <c r="P2676" s="93"/>
      <c r="Q2676" s="109"/>
      <c r="R2676" t="str">
        <f>$Q$2582</f>
        <v>L3</v>
      </c>
      <c r="S2676">
        <f>$E$22</f>
        <v>21.375</v>
      </c>
      <c r="T2676" cm="1">
        <f t="array" ref="T2676">IFERROR(IF(S2676=0,0,(INDEX($C$33:$C$38,MATCH($W$2601,$B$33:$B$38,0),0)*(S2679+$X$2601)+$T$2601*COUNTIF(S2676:S2678,"&gt;0")*$C$32+$V$2601*$C$31)*$R$2601),0)</f>
        <v>0</v>
      </c>
      <c r="U2676">
        <f>IF(S2676=0,0,-(COUNTIF(S2676:S2678,"&gt;0")*$T$2601*$C$32+$V$2601*$C$31)*$H$27*$R$2601)</f>
        <v>0</v>
      </c>
      <c r="V2676">
        <f>IF(S2676=0,0,$V$2601*$H$26*$R$2601)</f>
        <v>0</v>
      </c>
      <c r="W2676">
        <f>(0.6*T2676+0.7*U2676)*$R$2601/2</f>
        <v>0</v>
      </c>
      <c r="X2676">
        <f>T2676*$R$2601/2</f>
        <v>0</v>
      </c>
      <c r="Z2676">
        <f>IF(S2676=0,0,$AD$2601*$AP$2582)</f>
        <v>0</v>
      </c>
      <c r="AA2676">
        <f>IFERROR(Z2676/$R$2601,0)</f>
        <v>0</v>
      </c>
      <c r="AB2676">
        <f>Z2676*($F$22+IF($F$22=0,0,($C$14+$C$15+IF($C$13="single",1.5,3)+3)/12))</f>
        <v>0</v>
      </c>
      <c r="AC2676">
        <f>AB2676-W2676</f>
        <v>0</v>
      </c>
      <c r="AD2676" cm="1">
        <f t="array" ref="AD2676">IFERROR(IF(AC2676&lt;0,0,AC2676/($R$2601-INDEX(hd_off,MATCH(AQ2676,hd_mark,0),0)/12)),0)</f>
        <v>0</v>
      </c>
      <c r="AE2676">
        <f>IF(S2676=0,0,$AD$2601*$AM$2582)</f>
        <v>0</v>
      </c>
      <c r="AF2676">
        <f>IFERROR(AE2676/$R$2601,0)</f>
        <v>0</v>
      </c>
      <c r="AG2676">
        <f>AE2676*($F$22+IF($F$22=0,0,($C$14+$C$15+IF($C$13="single",1.5,3)+3)/12))</f>
        <v>0</v>
      </c>
      <c r="AH2676">
        <f>AG2676-X2676</f>
        <v>0</v>
      </c>
      <c r="AI2676" cm="1">
        <f t="array" ref="AI2676">IFERROR(IF(AH2676&lt;0,0,AH2676/($R$2601-INDEX(hd_off,MATCH(AQ2676,hd_mark,0),0)/12)),0)</f>
        <v>0</v>
      </c>
      <c r="AJ2676">
        <f>MAX($F$22,$Z$2601)/$Q$2612</f>
        <v>0.30172413793103448</v>
      </c>
      <c r="AK2676">
        <f t="shared" ref="AK2676:AK2679" si="1648">IF(AJ2676=0,0,IF(AJ2676&gt;2,1.25-0.125*AJ2676,1))</f>
        <v>1</v>
      </c>
      <c r="AL2676" cm="1">
        <f t="array" ref="AL2676">IFERROR(INDEX(sheath_ecap_asd,MATCH(AP2676,sheath_mark,0),0)*AK2676,0)</f>
        <v>0</v>
      </c>
      <c r="AM2676" cm="1">
        <f t="array" ref="AM2676">IFERROR(INDEX(sheath_wcap_asd,MATCH(AP2676,sheath_mark,0),0)*AK2676,0)</f>
        <v>0</v>
      </c>
      <c r="AN2676" cm="1">
        <f t="array" ref="AN2676">IFERROR(INDEX(hd_cap,MATCH(AQ2676,hd_mark,0),0),0)</f>
        <v>0</v>
      </c>
      <c r="AP2676" s="19"/>
      <c r="AQ2676" s="19"/>
      <c r="AR2676" s="100"/>
      <c r="AS2676" s="93"/>
      <c r="AT2676" s="109"/>
      <c r="AU2676" t="str">
        <f>$Q$2582</f>
        <v>L3</v>
      </c>
      <c r="AV2676">
        <f>$E$22</f>
        <v>21.375</v>
      </c>
      <c r="AW2676" cm="1">
        <f t="array" ref="AW2676">IFERROR(IF(AV2676=0,0,(INDEX($C$33:$C$38,MATCH($AZ$2601,$B$33:$B$38,0),0)*(AV2679+$BA$2601)+$AW$2601*COUNTIF(AV2676:AV2678,"&gt;0")*$C$32+$AY$2601*$C$31)*$AU$2601),0)</f>
        <v>0</v>
      </c>
      <c r="AX2676">
        <f>IF(AV2676=0,0,-(COUNTIF(AV2676:AV2678,"&gt;0")*$AW$2601*$C$32+$AY$2601*$C$31)*$H$27*$AU$2601)</f>
        <v>0</v>
      </c>
      <c r="AY2676">
        <f>IF(AV2676=0,0,$AY$2601*$H$26*$AU$2601)</f>
        <v>0</v>
      </c>
      <c r="AZ2676">
        <f>(0.6*AW2676+0.7*AX2676)*$AU$2601/2</f>
        <v>0</v>
      </c>
      <c r="BA2676">
        <f>AW2676*$AU$2601/2</f>
        <v>0</v>
      </c>
      <c r="BC2676">
        <f>IF(AV2676=0,0,$BG$2601*$AP$2582)</f>
        <v>0</v>
      </c>
      <c r="BD2676">
        <f>IFERROR(BC2676/$AU$2601,0)</f>
        <v>0</v>
      </c>
      <c r="BE2676">
        <f>BC2676*($F$22+IF($F$22=0,0,($C$14+$C$15+IF($C$13="single",1.5,3)+3)/12))</f>
        <v>0</v>
      </c>
      <c r="BF2676">
        <f>BE2676-AZ2676</f>
        <v>0</v>
      </c>
      <c r="BG2676" cm="1">
        <f t="array" ref="BG2676">IFERROR(IF(BF2676&lt;0,0,BF2676/($AU$2601-INDEX(hd_off,MATCH(BT2676,hd_mark,0),0)/12)),0)</f>
        <v>0</v>
      </c>
      <c r="BH2676">
        <f>IF(AV2676=0,0,$BG$2601*$AM$2582)</f>
        <v>0</v>
      </c>
      <c r="BI2676">
        <f>IFERROR(BH2676/$AU$2601,0)</f>
        <v>0</v>
      </c>
      <c r="BJ2676">
        <f>BH2676*($F$22+IF($F$22=0,0,($C$14+$C$15+IF($C$13="single",1.5,3)+3)/12))</f>
        <v>0</v>
      </c>
      <c r="BK2676">
        <f>BJ2676-BA2676</f>
        <v>0</v>
      </c>
      <c r="BL2676" cm="1">
        <f t="array" ref="BL2676">IFERROR(IF(BK2676&lt;0,0,BK2676/($AU$2601-INDEX(hd_off,MATCH(BT2676,hd_mark,0),0)/12)),0)</f>
        <v>0</v>
      </c>
      <c r="BM2676">
        <f>MAX($F$22,$BC$2601)/$Q$2612</f>
        <v>0.30172413793103448</v>
      </c>
      <c r="BN2676">
        <f t="shared" ref="BN2676:BN2679" si="1649">IF(BM2676=0,0,IF(BM2676&gt;2,1.25-0.125*BM2676,1))</f>
        <v>1</v>
      </c>
      <c r="BO2676" cm="1">
        <f t="array" ref="BO2676">IFERROR(INDEX(sheath_ecap_asd,MATCH(BS2676,sheath_mark,0),0)*BN2676,0)</f>
        <v>0</v>
      </c>
      <c r="BP2676" cm="1">
        <f t="array" ref="BP2676">IFERROR(INDEX(sheath_wcap_asd,MATCH(BS2676,sheath_mark,0),0)*BN2676,0)</f>
        <v>0</v>
      </c>
      <c r="BQ2676" cm="1">
        <f t="array" ref="BQ2676">IFERROR(INDEX(hd_cap,MATCH(BT2676,hd_mark,0),0),0)</f>
        <v>0</v>
      </c>
      <c r="BS2676" s="19"/>
      <c r="BT2676" s="19"/>
      <c r="BU2676" s="100"/>
    </row>
    <row r="2677" x14ac:dyDescent="0.25">
      <c r="P2677" s="93"/>
      <c r="Q2677" s="109" t="s">
        <v>491</v>
      </c>
      <c r="R2677" t="str">
        <f>$Q$2583</f>
        <v>L4</v>
      </c>
      <c r="S2677">
        <f>$E$23</f>
        <v>0</v>
      </c>
      <c r="T2677" cm="1">
        <f t="array" ref="T2677">IFERROR(IF(S2677=0,0,(INDEX($C$33:$C$38,MATCH($W$2601,$B$33:$B$38,0),0)*(S2679+$X$2601)+$T$2601*COUNTIF(S2677:S2678,"&gt;0")*$C$32+$V$2601*$C$31)*$R$2601),0)</f>
        <v>0</v>
      </c>
      <c r="U2677">
        <f>IF(S2677=0,0,-(COUNTIF(S2677:S2678,"&gt;0")*$T$2601*$C$32+$V$2601*$C$31)*$H$27*$R$2601)</f>
        <v>0</v>
      </c>
      <c r="V2677">
        <f>IF(S2677=0,0,$V$2601*$H$26*$R$2601)</f>
        <v>0</v>
      </c>
      <c r="W2677">
        <f>(0.6*T2677+0.7*U2677)*$R$2601/2</f>
        <v>0</v>
      </c>
      <c r="X2677">
        <f>T2677*$R$2601/2</f>
        <v>0</v>
      </c>
      <c r="Z2677">
        <f>IF(S2677=0,0,$AD$2601*$AP$2583)</f>
        <v>0</v>
      </c>
      <c r="AA2677">
        <f>IFERROR(Z2677/$R$2601,0)</f>
        <v>0</v>
      </c>
      <c r="AB2677">
        <f>Z2677*($F$23+IF($F$23=0,0,($C$14+$C$15+IF($C$13="single",1.5,3)+3)/12))</f>
        <v>0</v>
      </c>
      <c r="AC2677">
        <f>AB2677-W2677</f>
        <v>0</v>
      </c>
      <c r="AD2677" cm="1">
        <f t="array" ref="AD2677">IFERROR(IF(AC2677&lt;0,0,AC2677/($R$2601-INDEX(hd_off,MATCH(AQ2677,hd_mark,0),0)/12)),0)</f>
        <v>0</v>
      </c>
      <c r="AE2677">
        <f>IF(S2677=0,0,$AD$2601*$AM$2583)</f>
        <v>0</v>
      </c>
      <c r="AF2677">
        <f>IFERROR(AE2677/$R$2601,0)</f>
        <v>0</v>
      </c>
      <c r="AG2677">
        <f>AE2677*($F$23+IF($F$23=0,0,($C$14+$C$15+IF($C$13="single",1.5,3)+3)/12))</f>
        <v>0</v>
      </c>
      <c r="AH2677">
        <f>AG2677-X2677</f>
        <v>0</v>
      </c>
      <c r="AI2677" cm="1">
        <f t="array" ref="AI2677">IFERROR(IF(AH2677&lt;0,0,AH2677/($R$2601-INDEX(hd_off,MATCH(AQ2677,hd_mark,0),0)/12)),0)</f>
        <v>0</v>
      </c>
      <c r="AJ2677">
        <f>MAX($F$23,$AA$2601)/$Q$2612</f>
        <v>0</v>
      </c>
      <c r="AK2677">
        <f t="shared" si="1648"/>
        <v>0</v>
      </c>
      <c r="AL2677" cm="1">
        <f t="array" ref="AL2677">IFERROR(INDEX(sheath_ecap_asd,MATCH(AP2677,sheath_mark,0),0)*AK2677,0)</f>
        <v>0</v>
      </c>
      <c r="AM2677" cm="1">
        <f t="array" ref="AM2677">IFERROR(INDEX(sheath_wcap_asd,MATCH(AP2677,sheath_mark,0),0)*AK2677,0)</f>
        <v>0</v>
      </c>
      <c r="AN2677" cm="1">
        <f t="array" ref="AN2677">IFERROR(INDEX(hd_cap,MATCH(AQ2677,hd_mark,0),0),0)</f>
        <v>0</v>
      </c>
      <c r="AP2677" s="19"/>
      <c r="AQ2677" s="19"/>
      <c r="AR2677" s="100"/>
      <c r="AS2677" s="93"/>
      <c r="AT2677" s="109" t="s">
        <v>491</v>
      </c>
      <c r="AU2677" t="str">
        <f>$Q$2583</f>
        <v>L4</v>
      </c>
      <c r="AV2677">
        <f>$E$23</f>
        <v>0</v>
      </c>
      <c r="AW2677" cm="1">
        <f t="array" ref="AW2677">IFERROR(IF(AV2677=0,0,(INDEX($C$33:$C$38,MATCH($AZ$2601,$B$33:$B$38,0),0)*(AV2679+$BA$2601)+$AW$2601*COUNTIF(AV2677:AV2678,"&gt;0")*$C$32+$AY$2601*$C$31)*$AU$2601),0)</f>
        <v>0</v>
      </c>
      <c r="AX2677">
        <f>IF(AV2677=0,0,-(COUNTIF(AV2677:AV2678,"&gt;0")*$AW$2601*$C$32+$AY$2601*$C$31)*$H$27*$AU$2601)</f>
        <v>0</v>
      </c>
      <c r="AY2677">
        <f>IF(AV2677=0,0,$AY$2601*$H$26*$AU$2601)</f>
        <v>0</v>
      </c>
      <c r="AZ2677">
        <f>(0.6*AW2677+0.7*AX2677)*$AU$2601/2</f>
        <v>0</v>
      </c>
      <c r="BA2677">
        <f>AW2677*$AU$2601/2</f>
        <v>0</v>
      </c>
      <c r="BC2677">
        <f>IF(AV2677=0,0,$BG$2601*$AP$2583)</f>
        <v>0</v>
      </c>
      <c r="BD2677">
        <f>IFERROR(BC2677/$AU$2601,0)</f>
        <v>0</v>
      </c>
      <c r="BE2677">
        <f>BC2677*($F$23+IF($F$23=0,0,($C$14+$C$15+IF($C$13="single",1.5,3)+3)/12))</f>
        <v>0</v>
      </c>
      <c r="BF2677">
        <f>BE2677-AZ2677</f>
        <v>0</v>
      </c>
      <c r="BG2677" cm="1">
        <f t="array" ref="BG2677">IFERROR(IF(BF2677&lt;0,0,BF2677/($AU$2601-INDEX(hd_off,MATCH(BT2677,hd_mark,0),0)/12)),0)</f>
        <v>0</v>
      </c>
      <c r="BH2677">
        <f>IF(AV2677=0,0,$BG$2601*$AM$2583)</f>
        <v>0</v>
      </c>
      <c r="BI2677">
        <f>IFERROR(BH2677/$AU$2601,0)</f>
        <v>0</v>
      </c>
      <c r="BJ2677">
        <f>BH2677*($F$23+IF($F$23=0,0,($C$14+$C$15+IF($C$13="single",1.5,3)+3)/12))</f>
        <v>0</v>
      </c>
      <c r="BK2677">
        <f>BJ2677-BA2677</f>
        <v>0</v>
      </c>
      <c r="BL2677" cm="1">
        <f t="array" ref="BL2677">IFERROR(IF(BK2677&lt;0,0,BK2677/($AU$2601-INDEX(hd_off,MATCH(BT2677,hd_mark,0),0)/12)),0)</f>
        <v>0</v>
      </c>
      <c r="BM2677">
        <f>MAX($F$23,$BD$2601)/$Q$2612</f>
        <v>0</v>
      </c>
      <c r="BN2677">
        <f t="shared" si="1649"/>
        <v>0</v>
      </c>
      <c r="BO2677" cm="1">
        <f t="array" ref="BO2677">IFERROR(INDEX(sheath_ecap_asd,MATCH(BS2677,sheath_mark,0),0)*BN2677,0)</f>
        <v>0</v>
      </c>
      <c r="BP2677" cm="1">
        <f t="array" ref="BP2677">IFERROR(INDEX(sheath_wcap_asd,MATCH(BS2677,sheath_mark,0),0)*BN2677,0)</f>
        <v>0</v>
      </c>
      <c r="BQ2677" cm="1">
        <f t="array" ref="BQ2677">IFERROR(INDEX(hd_cap,MATCH(BT2677,hd_mark,0),0),0)</f>
        <v>0</v>
      </c>
      <c r="BS2677" s="19"/>
      <c r="BT2677" s="19"/>
      <c r="BU2677" s="100"/>
    </row>
    <row r="2678" x14ac:dyDescent="0.25">
      <c r="P2678" s="93"/>
      <c r="Q2678" s="111">
        <f>$R$2601</f>
        <v>0</v>
      </c>
      <c r="R2678" t="str">
        <f>$Q$2584</f>
        <v>L5</v>
      </c>
      <c r="S2678">
        <f>$E$24</f>
        <v>0</v>
      </c>
      <c r="T2678" cm="1">
        <f t="array" ref="T2678">IFERROR(IF(S2678=0,0,(INDEX($C$33:$C$38,MATCH($W$2601,$B$33:$B$38,0),0)*(S2679+$X$2601)+$T$2601*COUNTIF(S2678:S2678,"&gt;0")*$C$32+$V$2601*$C$31)*$R$2601),0)</f>
        <v>0</v>
      </c>
      <c r="U2678">
        <f>IF(S2678=0,0,-(COUNTIF(S2678:S2678,"&gt;0")*$T$2601*$C$32+$V$2601*$C$31)*$H$27*$R$2601)</f>
        <v>0</v>
      </c>
      <c r="V2678">
        <f>IF(S2678=0,0,$V$2601*$H$26*$R$2601)</f>
        <v>0</v>
      </c>
      <c r="W2678">
        <f>(0.6*T2678+0.7*U2678)*$R$2601/2</f>
        <v>0</v>
      </c>
      <c r="X2678">
        <f>T2678*$R$2601/2</f>
        <v>0</v>
      </c>
      <c r="Z2678">
        <f>IF(S2678=0,0,$AD$2601*$AP$2584)</f>
        <v>0</v>
      </c>
      <c r="AA2678">
        <f>IFERROR(Z2678/$R$2601,0)</f>
        <v>0</v>
      </c>
      <c r="AB2678">
        <f>Z2678*($F$24+IF($F$24=0,0,($C$14+$C$15+IF($C$13="single",1.5,3)+3)/12))</f>
        <v>0</v>
      </c>
      <c r="AC2678">
        <f>AB2678-W2678</f>
        <v>0</v>
      </c>
      <c r="AD2678" cm="1">
        <f t="array" ref="AD2678">IFERROR(IF(AC2678&lt;0,0,AC2678/($R$2601-INDEX(hd_off,MATCH(AQ2678,hd_mark,0),0)/12)),0)</f>
        <v>0</v>
      </c>
      <c r="AE2678">
        <f>IF(S2678=0,0,$AD$2601*$AM$2584)</f>
        <v>0</v>
      </c>
      <c r="AF2678">
        <f>IFERROR(AE2678/$R$2601,0)</f>
        <v>0</v>
      </c>
      <c r="AG2678">
        <f>AE2678*($F$24+IF($F$24=0,0,($C$14+$C$15+IF($C$13="single",1.5,3)+3)/12))</f>
        <v>0</v>
      </c>
      <c r="AH2678">
        <f>AG2678-X2678</f>
        <v>0</v>
      </c>
      <c r="AI2678" cm="1">
        <f t="array" ref="AI2678">IFERROR(IF(AH2678&lt;0,0,AH2678/($R$2601-INDEX(hd_off,MATCH(AQ2678,hd_mark,0),0)/12)),0)</f>
        <v>0</v>
      </c>
      <c r="AJ2678">
        <f>MAX($F$24,$AB$2601)/$Q$2612</f>
        <v>0</v>
      </c>
      <c r="AK2678">
        <f t="shared" si="1648"/>
        <v>0</v>
      </c>
      <c r="AL2678" cm="1">
        <f t="array" ref="AL2678">IFERROR(INDEX(sheath_ecap_asd,MATCH(AP2678,sheath_mark,0),0)*AK2678,0)</f>
        <v>0</v>
      </c>
      <c r="AM2678" cm="1">
        <f t="array" ref="AM2678">IFERROR(INDEX(sheath_wcap_asd,MATCH(AP2678,sheath_mark,0),0)*AK2678,0)</f>
        <v>0</v>
      </c>
      <c r="AN2678" cm="1">
        <f t="array" ref="AN2678">IFERROR(INDEX(hd_cap,MATCH(AQ2678,hd_mark,0),0),0)</f>
        <v>0</v>
      </c>
      <c r="AP2678" s="19"/>
      <c r="AQ2678" s="19"/>
      <c r="AR2678" s="100"/>
      <c r="AS2678" s="93"/>
      <c r="AT2678" s="111">
        <f>$R$2601</f>
        <v>0</v>
      </c>
      <c r="AU2678" t="str">
        <f>$Q$2584</f>
        <v>L5</v>
      </c>
      <c r="AV2678">
        <f>$E$24</f>
        <v>0</v>
      </c>
      <c r="AW2678" cm="1">
        <f t="array" ref="AW2678">IFERROR(IF(AV2678=0,0,(INDEX($C$33:$C$38,MATCH($AZ$2601,$B$33:$B$38,0),0)*(AV2679+$BA$2601)+$AW$2601*COUNTIF(AV2678:AV2678,"&gt;0")*$C$32+$AY$2601*$C$31)*$AU$2601),0)</f>
        <v>0</v>
      </c>
      <c r="AX2678">
        <f>IF(AV2678=0,0,-(COUNTIF(AV2678:AV2678,"&gt;0")*$AW$2601*$C$32+$AY$2601*$C$31)*$H$27*$AU$2601)</f>
        <v>0</v>
      </c>
      <c r="AY2678">
        <f>IF(AV2678=0,0,$AY$2601*$H$26*$AU$2601)</f>
        <v>0</v>
      </c>
      <c r="AZ2678">
        <f>(0.6*AW2678+0.7*AX2678)*$AU$2601/2</f>
        <v>0</v>
      </c>
      <c r="BA2678">
        <f>AW2678*$AU$2601/2</f>
        <v>0</v>
      </c>
      <c r="BC2678">
        <f>IF(AV2678=0,0,$BG$2601*$AP$2584)</f>
        <v>0</v>
      </c>
      <c r="BD2678">
        <f>IFERROR(BC2678/$AU$2601,0)</f>
        <v>0</v>
      </c>
      <c r="BE2678">
        <f>BC2678*($F$24+IF($F$24=0,0,($C$14+$C$15+IF($C$13="single",1.5,3)+3)/12))</f>
        <v>0</v>
      </c>
      <c r="BF2678">
        <f>BE2678-AZ2678</f>
        <v>0</v>
      </c>
      <c r="BG2678" cm="1">
        <f t="array" ref="BG2678">IFERROR(IF(BF2678&lt;0,0,BF2678/($AU$2601-INDEX(hd_off,MATCH(BT2678,hd_mark,0),0)/12)),0)</f>
        <v>0</v>
      </c>
      <c r="BH2678">
        <f>IF(AV2678=0,0,$BG$2601*$AM$2584)</f>
        <v>0</v>
      </c>
      <c r="BI2678">
        <f>IFERROR(BH2678/$AU$2601,0)</f>
        <v>0</v>
      </c>
      <c r="BJ2678">
        <f>BH2678*($F$24+IF($F$24=0,0,($C$14+$C$15+IF($C$13="single",1.5,3)+3)/12))</f>
        <v>0</v>
      </c>
      <c r="BK2678">
        <f>BJ2678-BA2678</f>
        <v>0</v>
      </c>
      <c r="BL2678" cm="1">
        <f t="array" ref="BL2678">IFERROR(IF(BK2678&lt;0,0,BK2678/($AU$2601-INDEX(hd_off,MATCH(BT2678,hd_mark,0),0)/12)),0)</f>
        <v>0</v>
      </c>
      <c r="BM2678">
        <f>MAX($F$24,$BE$2601)/$Q$2612</f>
        <v>0</v>
      </c>
      <c r="BN2678">
        <f t="shared" si="1649"/>
        <v>0</v>
      </c>
      <c r="BO2678" cm="1">
        <f t="array" ref="BO2678">IFERROR(INDEX(sheath_ecap_asd,MATCH(BS2678,sheath_mark,0),0)*BN2678,0)</f>
        <v>0</v>
      </c>
      <c r="BP2678" cm="1">
        <f t="array" ref="BP2678">IFERROR(INDEX(sheath_wcap_asd,MATCH(BS2678,sheath_mark,0),0)*BN2678,0)</f>
        <v>0</v>
      </c>
      <c r="BQ2678" cm="1">
        <f t="array" ref="BQ2678">IFERROR(INDEX(hd_cap,MATCH(BT2678,hd_mark,0),0),0)</f>
        <v>0</v>
      </c>
      <c r="BS2678" s="19"/>
      <c r="BT2678" s="19"/>
      <c r="BU2678" s="100"/>
    </row>
    <row r="2679" x14ac:dyDescent="0.25">
      <c r="P2679" s="93"/>
      <c r="Q2679" s="109"/>
      <c r="R2679" t="str">
        <f>$Q$2585</f>
        <v>Roof</v>
      </c>
      <c r="S2679">
        <f>$E$25</f>
        <v>33.171875</v>
      </c>
      <c r="T2679" cm="1">
        <f t="array" ref="T2679">IFERROR(IF(S2679=0,0,(INDEX($C$33:$C$38,MATCH($W$2601,$B$33:$B$38,0),0)*(S2679+$X$2601)+$V$2601*$C$31)*$R$2601),0)</f>
        <v>0</v>
      </c>
      <c r="U2679">
        <f>IF(S2679=0,0,-$V$2601*$C$31*$H$27*$R$2601)</f>
        <v>0</v>
      </c>
      <c r="V2679">
        <f>IF(S2679=0,0,$V$2601*$H$26*$R$2601)</f>
        <v>0</v>
      </c>
      <c r="W2679">
        <f>(0.6*T2679+0.7*U2679)*$R$2601/2</f>
        <v>0</v>
      </c>
      <c r="X2679">
        <f>T2679*$R$2601/2</f>
        <v>0</v>
      </c>
      <c r="Z2679">
        <f>IF(S2679=0,0,$AD$2601*$AP$2585)</f>
        <v>0</v>
      </c>
      <c r="AA2679">
        <f>IFERROR(Z2679/$R$2601,0)</f>
        <v>0</v>
      </c>
      <c r="AB2679">
        <f>Z2679*($F$25+($C$16+$C$17+IF($C$13="single",1.5,3)+3)/12)</f>
        <v>0</v>
      </c>
      <c r="AC2679">
        <f>AB2679-W2679</f>
        <v>0</v>
      </c>
      <c r="AD2679" cm="1">
        <f t="array" ref="AD2679">IFERROR(IF(AC2679&lt;0,0,AC2679/($R$2601-INDEX(hd_off,MATCH(AQ2679,hd_mark,0),0)/12)),0)</f>
        <v>0</v>
      </c>
      <c r="AE2679">
        <f>IF(S2679=0,0,$AD$2601*$AM$2585)</f>
        <v>0</v>
      </c>
      <c r="AF2679">
        <f>IFERROR(AE2679/$R$2601,0)</f>
        <v>0</v>
      </c>
      <c r="AG2679">
        <f>AE2679*($F$25+($C$16+$C$17+IF($C$13="single",1.5,3)+3)/12)</f>
        <v>0</v>
      </c>
      <c r="AH2679">
        <f>AG2679-X2679</f>
        <v>0</v>
      </c>
      <c r="AI2679" cm="1">
        <f t="array" ref="AI2679">IFERROR(IF(AH2679&lt;0,0,AH2679/($R$2601-INDEX(hd_off,MATCH(AQ2679,hd_mark,0),0)/12)),0)</f>
        <v>0</v>
      </c>
      <c r="AJ2679">
        <f>MAX($F$25,$AC$2601)/$Q$2612</f>
        <v>0.29920977011494249</v>
      </c>
      <c r="AK2679">
        <f t="shared" si="1648"/>
        <v>1</v>
      </c>
      <c r="AL2679" cm="1">
        <f t="array" ref="AL2679">IFERROR(INDEX(sheath_ecap_asd,MATCH(AP2679,sheath_mark,0),0)*AK2679,0)</f>
        <v>0</v>
      </c>
      <c r="AM2679" cm="1">
        <f t="array" ref="AM2679">IFERROR(INDEX(sheath_wcap_asd,MATCH(AP2679,sheath_mark,0),0)*AK2679,0)</f>
        <v>0</v>
      </c>
      <c r="AN2679" cm="1">
        <f t="array" ref="AN2679">IFERROR(INDEX(hd_cap,MATCH(AQ2679,hd_mark,0),0),0)</f>
        <v>0</v>
      </c>
      <c r="AP2679" s="19"/>
      <c r="AQ2679" s="19"/>
      <c r="AR2679" s="100"/>
      <c r="AS2679" s="93"/>
      <c r="AT2679" s="109"/>
      <c r="AU2679" t="str">
        <f>$Q$2585</f>
        <v>Roof</v>
      </c>
      <c r="AV2679">
        <f>$E$25</f>
        <v>33.171875</v>
      </c>
      <c r="AW2679" cm="1">
        <f t="array" ref="AW2679">IFERROR(IF(AV2679=0,0,(INDEX($C$33:$C$38,MATCH($AZ$2601,$B$33:$B$38,0),0)*(AV2679+$BA$2601)+$AY$2601*$C$31)*$AU$2601),0)</f>
        <v>0</v>
      </c>
      <c r="AX2679">
        <f>IF(AV2679=0,0,-$AY$2601*$C$31*$H$27*$AU$2601)</f>
        <v>0</v>
      </c>
      <c r="AY2679">
        <f>IF(AV2679=0,0,$AY$2601*$H$26*$AU$2601)</f>
        <v>0</v>
      </c>
      <c r="AZ2679">
        <f>(0.6*AW2679+0.7*AX2679)*$AU$2601/2</f>
        <v>0</v>
      </c>
      <c r="BA2679">
        <f>AW2679*$AU$2601/2</f>
        <v>0</v>
      </c>
      <c r="BC2679">
        <f>IF(AV2679=0,0,$BG$2601*$AP$2585)</f>
        <v>0</v>
      </c>
      <c r="BD2679">
        <f>IFERROR(BC2679/$AU$2601,0)</f>
        <v>0</v>
      </c>
      <c r="BE2679">
        <f>BC2679*($F$25+($C$16+$C$17+IF($C$13="single",1.5,3)+3)/12)</f>
        <v>0</v>
      </c>
      <c r="BF2679">
        <f>BE2679-AZ2679</f>
        <v>0</v>
      </c>
      <c r="BG2679" cm="1">
        <f t="array" ref="BG2679">IFERROR(IF(BF2679&lt;0,0,BF2679/($AU$2601-INDEX(hd_off,MATCH(BT2679,hd_mark,0),0)/12)),0)</f>
        <v>0</v>
      </c>
      <c r="BH2679">
        <f>IF(AV2679=0,0,$BG$2601*$AM$2585)</f>
        <v>0</v>
      </c>
      <c r="BI2679">
        <f>IFERROR(BH2679/$AU$2601,0)</f>
        <v>0</v>
      </c>
      <c r="BJ2679">
        <f>BH2679*($F$25+($C$16+$C$17+IF($C$13="single",1.5,3)+3)/12)</f>
        <v>0</v>
      </c>
      <c r="BK2679">
        <f>BJ2679-BA2679</f>
        <v>0</v>
      </c>
      <c r="BL2679" cm="1">
        <f t="array" ref="BL2679">IFERROR(IF(BK2679&lt;0,0,BK2679/($AU$2601-INDEX(hd_off,MATCH(BT2679,hd_mark,0),0)/12)),0)</f>
        <v>0</v>
      </c>
      <c r="BM2679">
        <f>MAX($F$25,$BF$2601)/$Q$2612</f>
        <v>0.29920977011494249</v>
      </c>
      <c r="BN2679">
        <f t="shared" si="1649"/>
        <v>1</v>
      </c>
      <c r="BO2679" cm="1">
        <f t="array" ref="BO2679">IFERROR(INDEX(sheath_ecap_asd,MATCH(BS2679,sheath_mark,0),0)*BN2679,0)</f>
        <v>0</v>
      </c>
      <c r="BP2679" cm="1">
        <f t="array" ref="BP2679">IFERROR(INDEX(sheath_wcap_asd,MATCH(BS2679,sheath_mark,0),0)*BN2679,0)</f>
        <v>0</v>
      </c>
      <c r="BQ2679" cm="1">
        <f t="array" ref="BQ2679">IFERROR(INDEX(hd_cap,MATCH(BT2679,hd_mark,0),0),0)</f>
        <v>0</v>
      </c>
      <c r="BS2679" s="19"/>
      <c r="BT2679" s="19"/>
      <c r="BU2679" s="100"/>
    </row>
    <row r="2680" x14ac:dyDescent="0.25">
      <c r="P2680" s="93"/>
      <c r="AR2680" s="100"/>
      <c r="AS2680" s="93"/>
      <c r="BU2680" s="100"/>
    </row>
    <row r="2681" x14ac:dyDescent="0.25">
      <c r="P2681" s="93"/>
      <c r="Q2681" s="110" t="str">
        <f>$Q$2602</f>
        <v>A.13</v>
      </c>
      <c r="R2681" t="str">
        <f>$Q$2581</f>
        <v>L2</v>
      </c>
      <c r="S2681">
        <f>$E$21</f>
        <v>10.6875</v>
      </c>
      <c r="T2681" cm="1">
        <f t="array" ref="T2681">IFERROR(IF(S2681=0,0,(INDEX($C$33:$C$38,MATCH($W$2602,$B$33:$B$38,0),0)*(S2685+$X$2602)+$T$2602*COUNTIF(S2681:S2684,"&gt;0")*$C$32+$V$2602*$C$31)*$R$2602),0)</f>
        <v>0</v>
      </c>
      <c r="U2681">
        <f>IF(S2681=0,0,-(COUNTIF(S2681:S2684,"&gt;0")*$T$2602*$C$32+$V$2602*$C$31)*$H$27*$R$2602)</f>
        <v>0</v>
      </c>
      <c r="V2681">
        <f>IF(S2681=0,0,$V$2602*$H$26*$R$2602)</f>
        <v>0</v>
      </c>
      <c r="W2681">
        <f>(0.6*T2681+0.7*U2681)*$R$2602/2</f>
        <v>0</v>
      </c>
      <c r="X2681">
        <f>(0.6*T2681+0.6*V2681)*$R$2602/2</f>
        <v>0</v>
      </c>
      <c r="Z2681">
        <f>IF(S2681=0,0,$AD$2602*$AP$2581)</f>
        <v>0</v>
      </c>
      <c r="AA2681">
        <f>IFERROR(Z2681/$R$2602,0)</f>
        <v>0</v>
      </c>
      <c r="AB2681">
        <f>Z2681*($F$21+IF($F$21=0,0,($C$14+$C$15+IF($C$13="single",1.5,3)+3)/12))</f>
        <v>0</v>
      </c>
      <c r="AC2681">
        <f>AB2681-W2681</f>
        <v>0</v>
      </c>
      <c r="AD2681" cm="1">
        <f t="array" ref="AD2681">IFERROR(IF(AC2681&lt;0,0,AC2681/($R$2602-INDEX(hd_off,MATCH(AQ2681,hd_mark,0),0)/12)),0)</f>
        <v>0</v>
      </c>
      <c r="AE2681">
        <f>IF(S2681=0,0,$AD$2602*$AM$2581)</f>
        <v>0</v>
      </c>
      <c r="AF2681">
        <f>IFERROR(AE2681/$R$2602,0)</f>
        <v>0</v>
      </c>
      <c r="AG2681">
        <f>AE2681*($F$21+IF($F$21=0,0,($C$14+$C$15+IF($C$13="single",1.5,3)+3)/12))</f>
        <v>0</v>
      </c>
      <c r="AH2681">
        <f>AG2681-X2681</f>
        <v>0</v>
      </c>
      <c r="AI2681" cm="1">
        <f t="array" ref="AI2681">IFERROR(IF(AH2681&lt;0,0,AH2681/($R$2602-INDEX(hd_off,MATCH(AQ2681,hd_mark,0),0)/12)),0)</f>
        <v>0</v>
      </c>
      <c r="AJ2681">
        <f>MAX($F$21,$Y$2602)/$Q$2612</f>
        <v>0.30172413793103448</v>
      </c>
      <c r="AK2681">
        <f>IF(AJ2681=0,0,IF(AJ2681&gt;2,1.25-0.125*AJ2681,1))</f>
        <v>1</v>
      </c>
      <c r="AL2681" cm="1">
        <f t="array" ref="AL2681">IFERROR(INDEX(sheath_ecap_asd,MATCH(AP2681,sheath_mark,0),0)*AK2681,0)</f>
        <v>0</v>
      </c>
      <c r="AM2681" cm="1">
        <f t="array" ref="AM2681">IFERROR(INDEX(sheath_wcap_asd,MATCH(AP2681,sheath_mark,0),0)*AK2681,0)</f>
        <v>0</v>
      </c>
      <c r="AN2681" cm="1">
        <f t="array" ref="AN2681">IFERROR(INDEX(hd_cap,MATCH(AQ2681,hd_mark,0),0),0)</f>
        <v>0</v>
      </c>
      <c r="AP2681" s="19"/>
      <c r="AQ2681" s="19"/>
      <c r="AR2681" s="100"/>
      <c r="AS2681" s="93"/>
      <c r="AT2681" s="110" t="str">
        <f>$AT$2602</f>
        <v>1.13</v>
      </c>
      <c r="AU2681" t="str">
        <f>$Q$2581</f>
        <v>L2</v>
      </c>
      <c r="AV2681">
        <f>$E$21</f>
        <v>10.6875</v>
      </c>
      <c r="AW2681" cm="1">
        <f t="array" ref="AW2681">IFERROR(IF(AV2681=0,0,(INDEX($C$33:$C$38,MATCH($AZ$2602,$B$33:$B$38,0),0)*(AV2685+$BA$2602)+$AW$2602*COUNTIF(AV2681:AV2684,"&gt;0")*$C$32+$AY$2602*$C$31)*$AU$2602),0)</f>
        <v>0</v>
      </c>
      <c r="AX2681">
        <f>IF(AV2681=0,0,-(COUNTIF(AV2681:AV2684,"&gt;0")*$AW$2602*$C$32+$AY$2602*$C$31)*$H$27*$AU$2602)</f>
        <v>0</v>
      </c>
      <c r="AY2681">
        <f>IF(AV2681=0,0,$AY$2602*$H$26*$AU$2602)</f>
        <v>0</v>
      </c>
      <c r="AZ2681">
        <f>(0.6*AW2681+0.7*AX2681)*$AU$2602/2</f>
        <v>0</v>
      </c>
      <c r="BA2681">
        <f>(0.6*AW2681+0.6*AY2681)*$AU$2602/2</f>
        <v>0</v>
      </c>
      <c r="BC2681">
        <f>IF(AV2681=0,0,$BG$2602*$AP$2581)</f>
        <v>0</v>
      </c>
      <c r="BD2681">
        <f>IFERROR(BC2681/$AU$2602,0)</f>
        <v>0</v>
      </c>
      <c r="BE2681">
        <f>BC2681*($F$21+IF($F$21=0,0,($C$14+$C$15+IF($C$13="single",1.5,3)+3)/12))</f>
        <v>0</v>
      </c>
      <c r="BF2681">
        <f>BE2681-AZ2681</f>
        <v>0</v>
      </c>
      <c r="BG2681" cm="1">
        <f t="array" ref="BG2681">IFERROR(IF(BF2681&lt;0,0,BF2681/($AU$2602-INDEX(hd_off,MATCH(BT2681,hd_mark,0),0)/12)),0)</f>
        <v>0</v>
      </c>
      <c r="BH2681">
        <f>IF(AV2681=0,0,$BG$2602*$AM$2581)</f>
        <v>0</v>
      </c>
      <c r="BI2681">
        <f>IFERROR(BH2681/$AU$2602,0)</f>
        <v>0</v>
      </c>
      <c r="BJ2681">
        <f>BH2681*($F$21+IF($F$21=0,0,($C$14+$C$15+IF($C$13="single",1.5,3)+3)/12))</f>
        <v>0</v>
      </c>
      <c r="BK2681">
        <f>BJ2681-BA2681</f>
        <v>0</v>
      </c>
      <c r="BL2681" cm="1">
        <f t="array" ref="BL2681">IFERROR(IF(BK2681&lt;0,0,BK2681/($AU$2602-INDEX(hd_off,MATCH(BT2681,hd_mark,0),0)/12)),0)</f>
        <v>0</v>
      </c>
      <c r="BM2681">
        <f>MAX($F$21,$BB$2602)/$Q$2612</f>
        <v>0.30172413793103448</v>
      </c>
      <c r="BN2681">
        <f>IF(BM2681=0,0,IF(BM2681&gt;2,1.25-0.125*BM2681,1))</f>
        <v>1</v>
      </c>
      <c r="BO2681" cm="1">
        <f t="array" ref="BO2681">IFERROR(INDEX(sheath_ecap_asd,MATCH(BS2681,sheath_mark,0),0)*BN2681,0)</f>
        <v>0</v>
      </c>
      <c r="BP2681" cm="1">
        <f t="array" ref="BP2681">IFERROR(INDEX(sheath_wcap_asd,MATCH(BS2681,sheath_mark,0),0)*BN2681,0)</f>
        <v>0</v>
      </c>
      <c r="BQ2681" cm="1">
        <f t="array" ref="BQ2681">IFERROR(INDEX(hd_cap,MATCH(BT2681,hd_mark,0),0),0)</f>
        <v>0</v>
      </c>
      <c r="BS2681" s="19"/>
      <c r="BT2681" s="19"/>
      <c r="BU2681" s="100"/>
    </row>
    <row r="2682" x14ac:dyDescent="0.25">
      <c r="P2682" s="93"/>
      <c r="Q2682" s="109"/>
      <c r="R2682" t="str">
        <f>$Q$2582</f>
        <v>L3</v>
      </c>
      <c r="S2682">
        <f>$E$22</f>
        <v>21.375</v>
      </c>
      <c r="T2682" cm="1">
        <f t="array" ref="T2682">IFERROR(IF(S2682=0,0,(INDEX($C$33:$C$38,MATCH($W$2602,$B$33:$B$38,0),0)*(S2685+$X$2602)+$T$2602*COUNTIF(S2682:S2684,"&gt;0")*$C$32+$V$2602*$C$31)*$R$2602),0)</f>
        <v>0</v>
      </c>
      <c r="U2682">
        <f>IF(S2682=0,0,-(COUNTIF(S2682:S2684,"&gt;0")*$T$2602*$C$32+$V$2602*$C$31)*$H$27*$R$2602)</f>
        <v>0</v>
      </c>
      <c r="V2682">
        <f>IF(S2682=0,0,$V$2602*$H$26*$R$2602)</f>
        <v>0</v>
      </c>
      <c r="W2682">
        <f>(0.6*T2682+0.7*U2682)*$R$2602/2</f>
        <v>0</v>
      </c>
      <c r="X2682">
        <f>T2682*$R$2602/2</f>
        <v>0</v>
      </c>
      <c r="Z2682">
        <f>IF(S2682=0,0,$AD$2602*$AP$2582)</f>
        <v>0</v>
      </c>
      <c r="AA2682">
        <f>IFERROR(Z2682/$R$2602,0)</f>
        <v>0</v>
      </c>
      <c r="AB2682">
        <f>Z2682*($F$22+IF($F$22=0,0,($C$14+$C$15+IF($C$13="single",1.5,3)+3)/12))</f>
        <v>0</v>
      </c>
      <c r="AC2682">
        <f>AB2682-W2682</f>
        <v>0</v>
      </c>
      <c r="AD2682" cm="1">
        <f t="array" ref="AD2682">IFERROR(IF(AC2682&lt;0,0,AC2682/($R$2602-INDEX(hd_off,MATCH(AQ2682,hd_mark,0),0)/12)),0)</f>
        <v>0</v>
      </c>
      <c r="AE2682">
        <f>IF(S2682=0,0,$AD$2602*$AM$2582)</f>
        <v>0</v>
      </c>
      <c r="AF2682">
        <f>IFERROR(AE2682/$R$2602,0)</f>
        <v>0</v>
      </c>
      <c r="AG2682">
        <f>AE2682*($F$22+IF($F$22=0,0,($C$14+$C$15+IF($C$13="single",1.5,3)+3)/12))</f>
        <v>0</v>
      </c>
      <c r="AH2682">
        <f>AG2682-X2682</f>
        <v>0</v>
      </c>
      <c r="AI2682" cm="1">
        <f t="array" ref="AI2682">IFERROR(IF(AH2682&lt;0,0,AH2682/($R$2602-INDEX(hd_off,MATCH(AQ2682,hd_mark,0),0)/12)),0)</f>
        <v>0</v>
      </c>
      <c r="AJ2682">
        <f>MAX($F$22,$Z$2602)/$Q$2612</f>
        <v>0.30172413793103448</v>
      </c>
      <c r="AK2682">
        <f t="shared" ref="AK2682:AK2685" si="1650">IF(AJ2682=0,0,IF(AJ2682&gt;2,1.25-0.125*AJ2682,1))</f>
        <v>1</v>
      </c>
      <c r="AL2682" cm="1">
        <f t="array" ref="AL2682">IFERROR(INDEX(sheath_ecap_asd,MATCH(AP2682,sheath_mark,0),0)*AK2682,0)</f>
        <v>0</v>
      </c>
      <c r="AM2682" cm="1">
        <f t="array" ref="AM2682">IFERROR(INDEX(sheath_wcap_asd,MATCH(AP2682,sheath_mark,0),0)*AK2682,0)</f>
        <v>0</v>
      </c>
      <c r="AN2682" cm="1">
        <f t="array" ref="AN2682">IFERROR(INDEX(hd_cap,MATCH(AQ2682,hd_mark,0),0),0)</f>
        <v>0</v>
      </c>
      <c r="AP2682" s="19"/>
      <c r="AQ2682" s="19"/>
      <c r="AR2682" s="100"/>
      <c r="AS2682" s="93"/>
      <c r="AT2682" s="109"/>
      <c r="AU2682" t="str">
        <f>$Q$2582</f>
        <v>L3</v>
      </c>
      <c r="AV2682">
        <f>$E$22</f>
        <v>21.375</v>
      </c>
      <c r="AW2682" cm="1">
        <f t="array" ref="AW2682">IFERROR(IF(AV2682=0,0,(INDEX($C$33:$C$38,MATCH($AZ$2602,$B$33:$B$38,0),0)*(AV2685+$BA$2602)+$AW$2602*COUNTIF(AV2682:AV2684,"&gt;0")*$C$32+$AY$2602*$C$31)*$AU$2602),0)</f>
        <v>0</v>
      </c>
      <c r="AX2682">
        <f>IF(AV2682=0,0,-(COUNTIF(AV2682:AV2684,"&gt;0")*$AW$2602*$C$32+$AY$2602*$C$31)*$H$27*$AU$2602)</f>
        <v>0</v>
      </c>
      <c r="AY2682">
        <f>IF(AV2682=0,0,$AY$2602*$H$26*$AU$2602)</f>
        <v>0</v>
      </c>
      <c r="AZ2682">
        <f>(0.6*AW2682+0.7*AX2682)*$AU$2602/2</f>
        <v>0</v>
      </c>
      <c r="BA2682">
        <f>AW2682*$AU$2602/2</f>
        <v>0</v>
      </c>
      <c r="BC2682">
        <f>IF(AV2682=0,0,$BG$2602*$AP$2582)</f>
        <v>0</v>
      </c>
      <c r="BD2682">
        <f>IFERROR(BC2682/$AU$2602,0)</f>
        <v>0</v>
      </c>
      <c r="BE2682">
        <f>BC2682*($F$22+IF($F$22=0,0,($C$14+$C$15+IF($C$13="single",1.5,3)+3)/12))</f>
        <v>0</v>
      </c>
      <c r="BF2682">
        <f>BE2682-AZ2682</f>
        <v>0</v>
      </c>
      <c r="BG2682" cm="1">
        <f t="array" ref="BG2682">IFERROR(IF(BF2682&lt;0,0,BF2682/($AU$2602-INDEX(hd_off,MATCH(BT2682,hd_mark,0),0)/12)),0)</f>
        <v>0</v>
      </c>
      <c r="BH2682">
        <f>IF(AV2682=0,0,$BG$2602*$AM$2582)</f>
        <v>0</v>
      </c>
      <c r="BI2682">
        <f>IFERROR(BH2682/$AU$2602,0)</f>
        <v>0</v>
      </c>
      <c r="BJ2682">
        <f>BH2682*($F$22+IF($F$22=0,0,($C$14+$C$15+IF($C$13="single",1.5,3)+3)/12))</f>
        <v>0</v>
      </c>
      <c r="BK2682">
        <f>BJ2682-BA2682</f>
        <v>0</v>
      </c>
      <c r="BL2682" cm="1">
        <f t="array" ref="BL2682">IFERROR(IF(BK2682&lt;0,0,BK2682/($AU$2602-INDEX(hd_off,MATCH(BT2682,hd_mark,0),0)/12)),0)</f>
        <v>0</v>
      </c>
      <c r="BM2682">
        <f>MAX($F$22,$BC$2602)/$Q$2612</f>
        <v>0.30172413793103448</v>
      </c>
      <c r="BN2682">
        <f t="shared" ref="BN2682:BN2685" si="1651">IF(BM2682=0,0,IF(BM2682&gt;2,1.25-0.125*BM2682,1))</f>
        <v>1</v>
      </c>
      <c r="BO2682" cm="1">
        <f t="array" ref="BO2682">IFERROR(INDEX(sheath_ecap_asd,MATCH(BS2682,sheath_mark,0),0)*BN2682,0)</f>
        <v>0</v>
      </c>
      <c r="BP2682" cm="1">
        <f t="array" ref="BP2682">IFERROR(INDEX(sheath_wcap_asd,MATCH(BS2682,sheath_mark,0),0)*BN2682,0)</f>
        <v>0</v>
      </c>
      <c r="BQ2682" cm="1">
        <f t="array" ref="BQ2682">IFERROR(INDEX(hd_cap,MATCH(BT2682,hd_mark,0),0),0)</f>
        <v>0</v>
      </c>
      <c r="BS2682" s="19"/>
      <c r="BT2682" s="19"/>
      <c r="BU2682" s="100"/>
    </row>
    <row r="2683" x14ac:dyDescent="0.25">
      <c r="P2683" s="93"/>
      <c r="Q2683" s="109" t="s">
        <v>491</v>
      </c>
      <c r="R2683" t="str">
        <f>$Q$2583</f>
        <v>L4</v>
      </c>
      <c r="S2683">
        <f>$E$23</f>
        <v>0</v>
      </c>
      <c r="T2683" cm="1">
        <f t="array" ref="T2683">IFERROR(IF(S2683=0,0,(INDEX($C$33:$C$38,MATCH($W$2602,$B$33:$B$38,0),0)*(S2685+$X$2602)+$T$2602*COUNTIF(S2683:S2684,"&gt;0")*$C$32+$V$2602*$C$31)*$R$2602),0)</f>
        <v>0</v>
      </c>
      <c r="U2683">
        <f>IF(S2683=0,0,-(COUNTIF(S2683:S2684,"&gt;0")*$T$2602*$C$32+$V$2602*$C$31)*$H$27*$R$2602)</f>
        <v>0</v>
      </c>
      <c r="V2683">
        <f>IF(S2683=0,0,$V$2602*$H$26*$R$2602)</f>
        <v>0</v>
      </c>
      <c r="W2683">
        <f>(0.6*T2683+0.7*U2683)*$R$2602/2</f>
        <v>0</v>
      </c>
      <c r="X2683">
        <f>T2683*$R$2602/2</f>
        <v>0</v>
      </c>
      <c r="Z2683">
        <f>IF(S2683=0,0,$AD$2602*$AP$2583)</f>
        <v>0</v>
      </c>
      <c r="AA2683">
        <f>IFERROR(Z2683/$R$2602,0)</f>
        <v>0</v>
      </c>
      <c r="AB2683">
        <f>Z2683*($F$23+IF($F$23=0,0,($C$14+$C$15+IF($C$13="single",1.5,3)+3)/12))</f>
        <v>0</v>
      </c>
      <c r="AC2683">
        <f>AB2683-W2683</f>
        <v>0</v>
      </c>
      <c r="AD2683" cm="1">
        <f t="array" ref="AD2683">IFERROR(IF(AC2683&lt;0,0,AC2683/($R$2602-INDEX(hd_off,MATCH(AQ2683,hd_mark,0),0)/12)),0)</f>
        <v>0</v>
      </c>
      <c r="AE2683">
        <f>IF(S2683=0,0,$AD$2602*$AM$2583)</f>
        <v>0</v>
      </c>
      <c r="AF2683">
        <f>IFERROR(AE2683/$R$2602,0)</f>
        <v>0</v>
      </c>
      <c r="AG2683">
        <f>AE2683*($F$23+IF($F$23=0,0,($C$14+$C$15+IF($C$13="single",1.5,3)+3)/12))</f>
        <v>0</v>
      </c>
      <c r="AH2683">
        <f>AG2683-X2683</f>
        <v>0</v>
      </c>
      <c r="AI2683" cm="1">
        <f t="array" ref="AI2683">IFERROR(IF(AH2683&lt;0,0,AH2683/($R$2602-INDEX(hd_off,MATCH(AQ2683,hd_mark,0),0)/12)),0)</f>
        <v>0</v>
      </c>
      <c r="AJ2683">
        <f>MAX($F$23,$AA$2602)/$Q$2612</f>
        <v>0</v>
      </c>
      <c r="AK2683">
        <f t="shared" si="1650"/>
        <v>0</v>
      </c>
      <c r="AL2683" cm="1">
        <f t="array" ref="AL2683">IFERROR(INDEX(sheath_ecap_asd,MATCH(AP2683,sheath_mark,0),0)*AK2683,0)</f>
        <v>0</v>
      </c>
      <c r="AM2683" cm="1">
        <f t="array" ref="AM2683">IFERROR(INDEX(sheath_wcap_asd,MATCH(AP2683,sheath_mark,0),0)*AK2683,0)</f>
        <v>0</v>
      </c>
      <c r="AN2683" cm="1">
        <f t="array" ref="AN2683">IFERROR(INDEX(hd_cap,MATCH(AQ2683,hd_mark,0),0),0)</f>
        <v>0</v>
      </c>
      <c r="AP2683" s="19"/>
      <c r="AQ2683" s="19"/>
      <c r="AR2683" s="100"/>
      <c r="AS2683" s="93"/>
      <c r="AT2683" s="109" t="s">
        <v>491</v>
      </c>
      <c r="AU2683" t="str">
        <f>$Q$2583</f>
        <v>L4</v>
      </c>
      <c r="AV2683">
        <f>$E$23</f>
        <v>0</v>
      </c>
      <c r="AW2683" cm="1">
        <f t="array" ref="AW2683">IFERROR(IF(AV2683=0,0,(INDEX($C$33:$C$38,MATCH($AZ$2602,$B$33:$B$38,0),0)*(AV2685+$BA$2602)+$AW$2602*COUNTIF(AV2683:AV2684,"&gt;0")*$C$32+$AY$2602*$C$31)*$AU$2602),0)</f>
        <v>0</v>
      </c>
      <c r="AX2683">
        <f>IF(AV2683=0,0,-(COUNTIF(AV2683:AV2684,"&gt;0")*$AW$2602*$C$32+$AY$2602*$C$31)*$H$27*$AU$2602)</f>
        <v>0</v>
      </c>
      <c r="AY2683">
        <f>IF(AV2683=0,0,$AY$2602*$H$26*$AU$2602)</f>
        <v>0</v>
      </c>
      <c r="AZ2683">
        <f>(0.6*AW2683+0.7*AX2683)*$AU$2602/2</f>
        <v>0</v>
      </c>
      <c r="BA2683">
        <f>AW2683*$AU$2602/2</f>
        <v>0</v>
      </c>
      <c r="BC2683">
        <f>IF(AV2683=0,0,$BG$2602*$AP$2583)</f>
        <v>0</v>
      </c>
      <c r="BD2683">
        <f>IFERROR(BC2683/$AU$2602,0)</f>
        <v>0</v>
      </c>
      <c r="BE2683">
        <f>BC2683*($F$23+IF($F$23=0,0,($C$14+$C$15+IF($C$13="single",1.5,3)+3)/12))</f>
        <v>0</v>
      </c>
      <c r="BF2683">
        <f>BE2683-AZ2683</f>
        <v>0</v>
      </c>
      <c r="BG2683" cm="1">
        <f t="array" ref="BG2683">IFERROR(IF(BF2683&lt;0,0,BF2683/($AU$2602-INDEX(hd_off,MATCH(BT2683,hd_mark,0),0)/12)),0)</f>
        <v>0</v>
      </c>
      <c r="BH2683">
        <f>IF(AV2683=0,0,$BG$2602*$AM$2583)</f>
        <v>0</v>
      </c>
      <c r="BI2683">
        <f>IFERROR(BH2683/$AU$2602,0)</f>
        <v>0</v>
      </c>
      <c r="BJ2683">
        <f>BH2683*($F$23+IF($F$23=0,0,($C$14+$C$15+IF($C$13="single",1.5,3)+3)/12))</f>
        <v>0</v>
      </c>
      <c r="BK2683">
        <f>BJ2683-BA2683</f>
        <v>0</v>
      </c>
      <c r="BL2683" cm="1">
        <f t="array" ref="BL2683">IFERROR(IF(BK2683&lt;0,0,BK2683/($AU$2602-INDEX(hd_off,MATCH(BT2683,hd_mark,0),0)/12)),0)</f>
        <v>0</v>
      </c>
      <c r="BM2683">
        <f>MAX($F$23,$BD$2602)/$Q$2612</f>
        <v>0</v>
      </c>
      <c r="BN2683">
        <f t="shared" si="1651"/>
        <v>0</v>
      </c>
      <c r="BO2683" cm="1">
        <f t="array" ref="BO2683">IFERROR(INDEX(sheath_ecap_asd,MATCH(BS2683,sheath_mark,0),0)*BN2683,0)</f>
        <v>0</v>
      </c>
      <c r="BP2683" cm="1">
        <f t="array" ref="BP2683">IFERROR(INDEX(sheath_wcap_asd,MATCH(BS2683,sheath_mark,0),0)*BN2683,0)</f>
        <v>0</v>
      </c>
      <c r="BQ2683" cm="1">
        <f t="array" ref="BQ2683">IFERROR(INDEX(hd_cap,MATCH(BT2683,hd_mark,0),0),0)</f>
        <v>0</v>
      </c>
      <c r="BS2683" s="19"/>
      <c r="BT2683" s="19"/>
      <c r="BU2683" s="100"/>
    </row>
    <row r="2684" x14ac:dyDescent="0.25">
      <c r="P2684" s="93"/>
      <c r="Q2684" s="111">
        <f>$R$2602</f>
        <v>0</v>
      </c>
      <c r="R2684" t="str">
        <f>$Q$2584</f>
        <v>L5</v>
      </c>
      <c r="S2684">
        <f>$E$24</f>
        <v>0</v>
      </c>
      <c r="T2684" cm="1">
        <f t="array" ref="T2684">IFERROR(IF(S2684=0,0,(INDEX($C$33:$C$38,MATCH($W$2602,$B$33:$B$38,0),0)*(S2685+$X$2602)+$T$2602*COUNTIF(S2684:S2684,"&gt;0")*$C$32+$V$2602*$C$31)*$R$2602),0)</f>
        <v>0</v>
      </c>
      <c r="U2684">
        <f>IF(S2684=0,0,-(COUNTIF(S2684:S2684,"&gt;0")*$T$2602*$C$32+$V$2602*$C$31)*$H$27*$R$2602)</f>
        <v>0</v>
      </c>
      <c r="V2684">
        <f>IF(S2684=0,0,$V$2602*$H$26*$R$2602)</f>
        <v>0</v>
      </c>
      <c r="W2684">
        <f>(0.6*T2684+0.7*U2684)*$R$2602/2</f>
        <v>0</v>
      </c>
      <c r="X2684">
        <f>T2684*$R$2602/2</f>
        <v>0</v>
      </c>
      <c r="Z2684">
        <f>IF(S2684=0,0,$AD$2602*$AP$2584)</f>
        <v>0</v>
      </c>
      <c r="AA2684">
        <f>IFERROR(Z2684/$R$2602,0)</f>
        <v>0</v>
      </c>
      <c r="AB2684">
        <f>Z2684*($F$24+IF($F$24=0,0,($C$14+$C$15+IF($C$13="single",1.5,3)+3)/12))</f>
        <v>0</v>
      </c>
      <c r="AC2684">
        <f>AB2684-W2684</f>
        <v>0</v>
      </c>
      <c r="AD2684" cm="1">
        <f t="array" ref="AD2684">IFERROR(IF(AC2684&lt;0,0,AC2684/($R$2602-INDEX(hd_off,MATCH(AQ2684,hd_mark,0),0)/12)),0)</f>
        <v>0</v>
      </c>
      <c r="AE2684">
        <f>IF(S2684=0,0,$AD$2602*$AM$2584)</f>
        <v>0</v>
      </c>
      <c r="AF2684">
        <f>IFERROR(AE2684/$R$2602,0)</f>
        <v>0</v>
      </c>
      <c r="AG2684">
        <f>AE2684*($F$24+IF($F$24=0,0,($C$14+$C$15+IF($C$13="single",1.5,3)+3)/12))</f>
        <v>0</v>
      </c>
      <c r="AH2684">
        <f>AG2684-X2684</f>
        <v>0</v>
      </c>
      <c r="AI2684" cm="1">
        <f t="array" ref="AI2684">IFERROR(IF(AH2684&lt;0,0,AH2684/($R$2602-INDEX(hd_off,MATCH(AQ2684,hd_mark,0),0)/12)),0)</f>
        <v>0</v>
      </c>
      <c r="AJ2684">
        <f>MAX($F$24,$AB$2602)/$Q$2612</f>
        <v>0</v>
      </c>
      <c r="AK2684">
        <f t="shared" si="1650"/>
        <v>0</v>
      </c>
      <c r="AL2684" cm="1">
        <f t="array" ref="AL2684">IFERROR(INDEX(sheath_ecap_asd,MATCH(AP2684,sheath_mark,0),0)*AK2684,0)</f>
        <v>0</v>
      </c>
      <c r="AM2684" cm="1">
        <f t="array" ref="AM2684">IFERROR(INDEX(sheath_wcap_asd,MATCH(AP2684,sheath_mark,0),0)*AK2684,0)</f>
        <v>0</v>
      </c>
      <c r="AN2684" cm="1">
        <f t="array" ref="AN2684">IFERROR(INDEX(hd_cap,MATCH(AQ2684,hd_mark,0),0),0)</f>
        <v>0</v>
      </c>
      <c r="AP2684" s="19"/>
      <c r="AQ2684" s="19"/>
      <c r="AR2684" s="100"/>
      <c r="AS2684" s="93"/>
      <c r="AT2684" s="111">
        <f>$R$2602</f>
        <v>0</v>
      </c>
      <c r="AU2684" t="str">
        <f>$Q$2584</f>
        <v>L5</v>
      </c>
      <c r="AV2684">
        <f>$E$24</f>
        <v>0</v>
      </c>
      <c r="AW2684" cm="1">
        <f t="array" ref="AW2684">IFERROR(IF(AV2684=0,0,(INDEX($C$33:$C$38,MATCH($AZ$2602,$B$33:$B$38,0),0)*(AV2685+$BA$2602)+$AW$2602*COUNTIF(AV2684:AV2684,"&gt;0")*$C$32+$AY$2602*$C$31)*$AU$2602),0)</f>
        <v>0</v>
      </c>
      <c r="AX2684">
        <f>IF(AV2684=0,0,-(COUNTIF(AV2684:AV2684,"&gt;0")*$AW$2602*$C$32+$AY$2602*$C$31)*$H$27*$AU$2602)</f>
        <v>0</v>
      </c>
      <c r="AY2684">
        <f>IF(AV2684=0,0,$AY$2602*$H$26*$AU$2602)</f>
        <v>0</v>
      </c>
      <c r="AZ2684">
        <f>(0.6*AW2684+0.7*AX2684)*$AU$2602/2</f>
        <v>0</v>
      </c>
      <c r="BA2684">
        <f>AW2684*$AU$2602/2</f>
        <v>0</v>
      </c>
      <c r="BC2684">
        <f>IF(AV2684=0,0,$BG$2602*$AP$2584)</f>
        <v>0</v>
      </c>
      <c r="BD2684">
        <f>IFERROR(BC2684/$AU$2602,0)</f>
        <v>0</v>
      </c>
      <c r="BE2684">
        <f>BC2684*($F$24+IF($F$24=0,0,($C$14+$C$15+IF($C$13="single",1.5,3)+3)/12))</f>
        <v>0</v>
      </c>
      <c r="BF2684">
        <f>BE2684-AZ2684</f>
        <v>0</v>
      </c>
      <c r="BG2684" cm="1">
        <f t="array" ref="BG2684">IFERROR(IF(BF2684&lt;0,0,BF2684/($AU$2602-INDEX(hd_off,MATCH(BT2684,hd_mark,0),0)/12)),0)</f>
        <v>0</v>
      </c>
      <c r="BH2684">
        <f>IF(AV2684=0,0,$BG$2602*$AM$2584)</f>
        <v>0</v>
      </c>
      <c r="BI2684">
        <f>IFERROR(BH2684/$AU$2602,0)</f>
        <v>0</v>
      </c>
      <c r="BJ2684">
        <f>BH2684*($F$24+IF($F$24=0,0,($C$14+$C$15+IF($C$13="single",1.5,3)+3)/12))</f>
        <v>0</v>
      </c>
      <c r="BK2684">
        <f>BJ2684-BA2684</f>
        <v>0</v>
      </c>
      <c r="BL2684" cm="1">
        <f t="array" ref="BL2684">IFERROR(IF(BK2684&lt;0,0,BK2684/($AU$2602-INDEX(hd_off,MATCH(BT2684,hd_mark,0),0)/12)),0)</f>
        <v>0</v>
      </c>
      <c r="BM2684">
        <f>MAX($F$24,$BE$2602)/$Q$2612</f>
        <v>0</v>
      </c>
      <c r="BN2684">
        <f t="shared" si="1651"/>
        <v>0</v>
      </c>
      <c r="BO2684" cm="1">
        <f t="array" ref="BO2684">IFERROR(INDEX(sheath_ecap_asd,MATCH(BS2684,sheath_mark,0),0)*BN2684,0)</f>
        <v>0</v>
      </c>
      <c r="BP2684" cm="1">
        <f t="array" ref="BP2684">IFERROR(INDEX(sheath_wcap_asd,MATCH(BS2684,sheath_mark,0),0)*BN2684,0)</f>
        <v>0</v>
      </c>
      <c r="BQ2684" cm="1">
        <f t="array" ref="BQ2684">IFERROR(INDEX(hd_cap,MATCH(BT2684,hd_mark,0),0),0)</f>
        <v>0</v>
      </c>
      <c r="BS2684" s="19"/>
      <c r="BT2684" s="19"/>
      <c r="BU2684" s="100"/>
    </row>
    <row r="2685" x14ac:dyDescent="0.25">
      <c r="P2685" s="93"/>
      <c r="Q2685" s="109"/>
      <c r="R2685" t="str">
        <f>$Q$2585</f>
        <v>Roof</v>
      </c>
      <c r="S2685">
        <f>$E$25</f>
        <v>33.171875</v>
      </c>
      <c r="T2685" cm="1">
        <f t="array" ref="T2685">IFERROR(IF(S2685=0,0,(INDEX($C$33:$C$38,MATCH($W$2602,$B$33:$B$38,0),0)*(S2685+$X$2602)+$V$2602*$C$31)*$R$2602),0)</f>
        <v>0</v>
      </c>
      <c r="U2685">
        <f>IF(S2685=0,0,-$V$2602*$C$31*$H$27*$R$2602)</f>
        <v>0</v>
      </c>
      <c r="V2685">
        <f>IF(S2685=0,0,$V$2602*$H$26*$R$2602)</f>
        <v>0</v>
      </c>
      <c r="W2685">
        <f>(0.6*T2685+0.7*U2685)*$R$2602/2</f>
        <v>0</v>
      </c>
      <c r="X2685">
        <f>T2685*$R$2602/2</f>
        <v>0</v>
      </c>
      <c r="Z2685">
        <f>IF(S2685=0,0,$AD$2602*$AP$2585)</f>
        <v>0</v>
      </c>
      <c r="AA2685">
        <f>IFERROR(Z2685/$R$2602,0)</f>
        <v>0</v>
      </c>
      <c r="AB2685">
        <f>Z2685*($F$25+($C$16+$C$17+IF($C$13="single",1.5,3)+3)/12)</f>
        <v>0</v>
      </c>
      <c r="AC2685">
        <f>AB2685-W2685</f>
        <v>0</v>
      </c>
      <c r="AD2685" cm="1">
        <f t="array" ref="AD2685">IFERROR(IF(AC2685&lt;0,0,AC2685/($R$2602-INDEX(hd_off,MATCH(AQ2685,hd_mark,0),0)/12)),0)</f>
        <v>0</v>
      </c>
      <c r="AE2685">
        <f>IF(S2685=0,0,$AD$2602*$AM$2585)</f>
        <v>0</v>
      </c>
      <c r="AF2685">
        <f>IFERROR(AE2685/$R$2602,0)</f>
        <v>0</v>
      </c>
      <c r="AG2685">
        <f>AE2685*($F$25+($C$16+$C$17+IF($C$13="single",1.5,3)+3)/12)</f>
        <v>0</v>
      </c>
      <c r="AH2685">
        <f>AG2685-X2685</f>
        <v>0</v>
      </c>
      <c r="AI2685" cm="1">
        <f t="array" ref="AI2685">IFERROR(IF(AH2685&lt;0,0,AH2685/($R$2602-INDEX(hd_off,MATCH(AQ2685,hd_mark,0),0)/12)),0)</f>
        <v>0</v>
      </c>
      <c r="AJ2685">
        <f>MAX($F$25,$AC$2602)/$Q$2612</f>
        <v>0.29920977011494249</v>
      </c>
      <c r="AK2685">
        <f t="shared" si="1650"/>
        <v>1</v>
      </c>
      <c r="AL2685" cm="1">
        <f t="array" ref="AL2685">IFERROR(INDEX(sheath_ecap_asd,MATCH(AP2685,sheath_mark,0),0)*AK2685,0)</f>
        <v>0</v>
      </c>
      <c r="AM2685" cm="1">
        <f t="array" ref="AM2685">IFERROR(INDEX(sheath_wcap_asd,MATCH(AP2685,sheath_mark,0),0)*AK2685,0)</f>
        <v>0</v>
      </c>
      <c r="AN2685" cm="1">
        <f t="array" ref="AN2685">IFERROR(INDEX(hd_cap,MATCH(AQ2685,hd_mark,0),0),0)</f>
        <v>0</v>
      </c>
      <c r="AP2685" s="19"/>
      <c r="AQ2685" s="19"/>
      <c r="AR2685" s="100"/>
      <c r="AS2685" s="93"/>
      <c r="AT2685" s="109"/>
      <c r="AU2685" t="str">
        <f>$Q$2585</f>
        <v>Roof</v>
      </c>
      <c r="AV2685">
        <f>$E$25</f>
        <v>33.171875</v>
      </c>
      <c r="AW2685" cm="1">
        <f t="array" ref="AW2685">IFERROR(IF(AV2685=0,0,(INDEX($C$33:$C$38,MATCH($AZ$2602,$B$33:$B$38,0),0)*(AV2685+$BA$2602)+$AY$2602*$C$31)*$AU$2602),0)</f>
        <v>0</v>
      </c>
      <c r="AX2685">
        <f>IF(AV2685=0,0,-$AY$2602*$C$31*$H$27*$AU$2602)</f>
        <v>0</v>
      </c>
      <c r="AY2685">
        <f>IF(AV2685=0,0,$AY$2602*$H$26*$AU$2602)</f>
        <v>0</v>
      </c>
      <c r="AZ2685">
        <f>(0.6*AW2685+0.7*AX2685)*$AU$2602/2</f>
        <v>0</v>
      </c>
      <c r="BA2685">
        <f>AW2685*$AU$2602/2</f>
        <v>0</v>
      </c>
      <c r="BC2685">
        <f>IF(AV2685=0,0,$BG$2602*$AP$2585)</f>
        <v>0</v>
      </c>
      <c r="BD2685">
        <f>IFERROR(BC2685/$AU$2602,0)</f>
        <v>0</v>
      </c>
      <c r="BE2685">
        <f>BC2685*($F$25+($C$16+$C$17+IF($C$13="single",1.5,3)+3)/12)</f>
        <v>0</v>
      </c>
      <c r="BF2685">
        <f>BE2685-AZ2685</f>
        <v>0</v>
      </c>
      <c r="BG2685" cm="1">
        <f t="array" ref="BG2685">IFERROR(IF(BF2685&lt;0,0,BF2685/($AU$2602-INDEX(hd_off,MATCH(BT2685,hd_mark,0),0)/12)),0)</f>
        <v>0</v>
      </c>
      <c r="BH2685">
        <f>IF(AV2685=0,0,$BG$2602*$AM$2585)</f>
        <v>0</v>
      </c>
      <c r="BI2685">
        <f>IFERROR(BH2685/$AU$2602,0)</f>
        <v>0</v>
      </c>
      <c r="BJ2685">
        <f>BH2685*($F$25+($C$16+$C$17+IF($C$13="single",1.5,3)+3)/12)</f>
        <v>0</v>
      </c>
      <c r="BK2685">
        <f>BJ2685-BA2685</f>
        <v>0</v>
      </c>
      <c r="BL2685" cm="1">
        <f t="array" ref="BL2685">IFERROR(IF(BK2685&lt;0,0,BK2685/($AU$2602-INDEX(hd_off,MATCH(BT2685,hd_mark,0),0)/12)),0)</f>
        <v>0</v>
      </c>
      <c r="BM2685">
        <f>MAX($F$25,$BF$2602)/$Q$2612</f>
        <v>0.29920977011494249</v>
      </c>
      <c r="BN2685">
        <f t="shared" si="1651"/>
        <v>1</v>
      </c>
      <c r="BO2685" cm="1">
        <f t="array" ref="BO2685">IFERROR(INDEX(sheath_ecap_asd,MATCH(BS2685,sheath_mark,0),0)*BN2685,0)</f>
        <v>0</v>
      </c>
      <c r="BP2685" cm="1">
        <f t="array" ref="BP2685">IFERROR(INDEX(sheath_wcap_asd,MATCH(BS2685,sheath_mark,0),0)*BN2685,0)</f>
        <v>0</v>
      </c>
      <c r="BQ2685" cm="1">
        <f t="array" ref="BQ2685">IFERROR(INDEX(hd_cap,MATCH(BT2685,hd_mark,0),0),0)</f>
        <v>0</v>
      </c>
      <c r="BS2685" s="19"/>
      <c r="BT2685" s="19"/>
      <c r="BU2685" s="100"/>
    </row>
    <row r="2686" x14ac:dyDescent="0.25">
      <c r="P2686" s="93"/>
      <c r="AR2686" s="100"/>
      <c r="AS2686" s="93"/>
      <c r="BU2686" s="100"/>
    </row>
    <row r="2687" x14ac:dyDescent="0.25">
      <c r="P2687" s="93"/>
      <c r="Q2687" s="110" t="str">
        <f>$Q$2603</f>
        <v>A.14</v>
      </c>
      <c r="R2687" t="str">
        <f>$Q$2581</f>
        <v>L2</v>
      </c>
      <c r="S2687">
        <f>$E$21</f>
        <v>10.6875</v>
      </c>
      <c r="T2687" cm="1">
        <f t="array" ref="T2687">IFERROR(IF(S2687=0,0,(INDEX($C$33:$C$38,MATCH($W$2603,$B$33:$B$38,0),0)*(S2691+$X$2603)+$T$2603*COUNTIF(S2687:S2703,"&gt;0")*$C$32+$V$2603*$C$31)*$R$2603),0)</f>
        <v>0</v>
      </c>
      <c r="U2687">
        <f>IF(S2687=0,0,-(COUNTIF(S2687:S2703,"&gt;0")*$T$2603*$C$32+$V$2603*$C$31)*$H$27*$R$2603)</f>
        <v>0</v>
      </c>
      <c r="V2687">
        <f>IF(S2687=0,0,$V$2603*$H$26*$R$2603)</f>
        <v>0</v>
      </c>
      <c r="W2687">
        <f>(0.6*T2687+0.7*U2687)*$R$2603/2</f>
        <v>0</v>
      </c>
      <c r="X2687">
        <f>(0.6*T2687+0.6*V2687)*$R$2603/2</f>
        <v>0</v>
      </c>
      <c r="Z2687">
        <f>IF(S2687=0,0,$AD$2603*$AP$2581)</f>
        <v>0</v>
      </c>
      <c r="AA2687">
        <f>IFERROR(Z2687/$R$2603,0)</f>
        <v>0</v>
      </c>
      <c r="AB2687">
        <f>Z2687*($F$21+IF($F$21=0,0,($C$14+$C$15+IF($C$13="single",1.5,3)+3)/12))</f>
        <v>0</v>
      </c>
      <c r="AC2687">
        <f>AB2687-W2687</f>
        <v>0</v>
      </c>
      <c r="AD2687" cm="1">
        <f t="array" ref="AD2687">IFERROR(IF(AC2687&lt;0,0,AC2687/($R$2603-INDEX(hd_off,MATCH(AQ2687,hd_mark,0),0)/12)),0)</f>
        <v>0</v>
      </c>
      <c r="AE2687">
        <f>IF(S2687=0,0,$AD$2603*$AM$2581)</f>
        <v>0</v>
      </c>
      <c r="AF2687">
        <f>IFERROR(AE2687/$R$2603,0)</f>
        <v>0</v>
      </c>
      <c r="AG2687">
        <f>AE2687*($F$21+IF($F$21=0,0,($C$14+$C$15+IF($C$13="single",1.5,3)+3)/12))</f>
        <v>0</v>
      </c>
      <c r="AH2687">
        <f>AG2687-X2687</f>
        <v>0</v>
      </c>
      <c r="AI2687" cm="1">
        <f t="array" ref="AI2687">IFERROR(IF(AH2687&lt;0,0,AH2687/($R$2603-INDEX(hd_off,MATCH(AQ2687,hd_mark,0),0)/12)),0)</f>
        <v>0</v>
      </c>
      <c r="AJ2687">
        <f>MAX($F$21,$Y$2603)/$Q$2612</f>
        <v>0.30172413793103448</v>
      </c>
      <c r="AK2687">
        <f>IF(AJ2687=0,0,IF(AJ2687&gt;2,1.25-0.125*AJ2687,1))</f>
        <v>1</v>
      </c>
      <c r="AL2687" cm="1">
        <f t="array" ref="AL2687">IFERROR(INDEX(sheath_ecap_asd,MATCH(AP2687,sheath_mark,0),0)*AK2687,0)</f>
        <v>0</v>
      </c>
      <c r="AM2687" cm="1">
        <f t="array" ref="AM2687">IFERROR(INDEX(sheath_wcap_asd,MATCH(AP2687,sheath_mark,0),0)*AK2687,0)</f>
        <v>0</v>
      </c>
      <c r="AN2687" cm="1">
        <f t="array" ref="AN2687">IFERROR(INDEX(hd_cap,MATCH(AQ2687,hd_mark,0),0),0)</f>
        <v>0</v>
      </c>
      <c r="AP2687" s="19"/>
      <c r="AQ2687" s="19"/>
      <c r="AR2687" s="100"/>
      <c r="AS2687" s="93"/>
      <c r="AT2687" s="110" t="str">
        <f>$AT$2603</f>
        <v>1.14</v>
      </c>
      <c r="AU2687" t="str">
        <f>$Q$2581</f>
        <v>L2</v>
      </c>
      <c r="AV2687">
        <f>$E$21</f>
        <v>10.6875</v>
      </c>
      <c r="AW2687" cm="1">
        <f t="array" ref="AW2687">IFERROR(IF(AV2687=0,0,(INDEX($C$33:$C$38,MATCH($AZ$2603,$B$33:$B$38,0),0)*(AV2691+$BA$2603)+$AW$2603*COUNTIF(AV2687:AV2703,"&gt;0")*$C$32+$AY$2603*$C$31)*$AU$2603),0)</f>
        <v>0</v>
      </c>
      <c r="AX2687">
        <f>IF(AV2687=0,0,-(COUNTIF(AV2687:AV2703,"&gt;0")*$AW$2603*$C$32+$AY$2603*$C$31)*$H$27*$AU$2603)</f>
        <v>0</v>
      </c>
      <c r="AY2687">
        <f>IF(AV2687=0,0,$AY$2603*$H$26*$AU$2603)</f>
        <v>0</v>
      </c>
      <c r="AZ2687">
        <f>(0.6*AW2687+0.7*AX2687)*$AU$2603/2</f>
        <v>0</v>
      </c>
      <c r="BA2687">
        <f>(0.6*AW2687+0.6*AY2687)*$AU$2603/2</f>
        <v>0</v>
      </c>
      <c r="BC2687">
        <f>IF(AV2687=0,0,$BG$2603*$AP$2581)</f>
        <v>0</v>
      </c>
      <c r="BD2687">
        <f>IFERROR(BC2687/$AU$2603,0)</f>
        <v>0</v>
      </c>
      <c r="BE2687">
        <f>BC2687*($F$21+IF($F$21=0,0,($C$14+$C$15+IF($C$13="single",1.5,3)+3)/12))</f>
        <v>0</v>
      </c>
      <c r="BF2687">
        <f>BE2687-AZ2687</f>
        <v>0</v>
      </c>
      <c r="BG2687" cm="1">
        <f t="array" ref="BG2687">IFERROR(IF(BF2687&lt;0,0,BF2687/($AU$2603-INDEX(hd_off,MATCH(BT2687,hd_mark,0),0)/12)),0)</f>
        <v>0</v>
      </c>
      <c r="BH2687">
        <f>IF(AV2687=0,0,$BG$2603*$AM$2581)</f>
        <v>0</v>
      </c>
      <c r="BI2687">
        <f>IFERROR(BH2687/$AU$2603,0)</f>
        <v>0</v>
      </c>
      <c r="BJ2687">
        <f>BH2687*($F$21+IF($F$21=0,0,($C$14+$C$15+IF($C$13="single",1.5,3)+3)/12))</f>
        <v>0</v>
      </c>
      <c r="BK2687">
        <f>BJ2687-BA2687</f>
        <v>0</v>
      </c>
      <c r="BL2687" cm="1">
        <f t="array" ref="BL2687">IFERROR(IF(BK2687&lt;0,0,BK2687/($AU$2603-INDEX(hd_off,MATCH(BT2687,hd_mark,0),0)/12)),0)</f>
        <v>0</v>
      </c>
      <c r="BM2687">
        <f>MAX($F$21,$BB$2603)/$Q$2612</f>
        <v>0.30172413793103448</v>
      </c>
      <c r="BN2687">
        <f>IF(BM2687=0,0,IF(BM2687&gt;2,1.25-0.125*BM2687,1))</f>
        <v>1</v>
      </c>
      <c r="BO2687" cm="1">
        <f t="array" ref="BO2687">IFERROR(INDEX(sheath_ecap_asd,MATCH(BS2687,sheath_mark,0),0)*BN2687,0)</f>
        <v>0</v>
      </c>
      <c r="BP2687" cm="1">
        <f t="array" ref="BP2687">IFERROR(INDEX(sheath_wcap_asd,MATCH(BS2687,sheath_mark,0),0)*BN2687,0)</f>
        <v>0</v>
      </c>
      <c r="BQ2687" cm="1">
        <f t="array" ref="BQ2687">IFERROR(INDEX(hd_cap,MATCH(BT2687,hd_mark,0),0),0)</f>
        <v>0</v>
      </c>
      <c r="BS2687" s="19"/>
      <c r="BT2687" s="19"/>
      <c r="BU2687" s="100"/>
    </row>
    <row r="2688" x14ac:dyDescent="0.25">
      <c r="P2688" s="93"/>
      <c r="Q2688" s="109"/>
      <c r="R2688" t="str">
        <f>$Q$2582</f>
        <v>L3</v>
      </c>
      <c r="S2688">
        <f>$E$22</f>
        <v>21.375</v>
      </c>
      <c r="T2688" cm="1">
        <f t="array" ref="T2688">IFERROR(IF(S2688=0,0,(INDEX($C$33:$C$38,MATCH($W$2603,$B$33:$B$38,0),0)*(S2691+$X$2603)+$T$2603*COUNTIF(S2688:S2703,"&gt;0")*$C$32+$V$2603*$C$31)*$R$2603),0)</f>
        <v>0</v>
      </c>
      <c r="U2688">
        <f>IF(S2688=0,0,-(COUNTIF(S2688:S2703,"&gt;0")*$T$2603*$C$32+$V$2603*$C$31)*$H$27*$R$2603)</f>
        <v>0</v>
      </c>
      <c r="V2688">
        <f>IF(S2688=0,0,$V$2603*$H$26*$R$2603)</f>
        <v>0</v>
      </c>
      <c r="W2688">
        <f>(0.6*T2688+0.7*U2688)*$R$2603/2</f>
        <v>0</v>
      </c>
      <c r="X2688">
        <f>T2688*$R$2603/2</f>
        <v>0</v>
      </c>
      <c r="Z2688">
        <f>IF(S2688=0,0,$AD$2603*$AP$2582)</f>
        <v>0</v>
      </c>
      <c r="AA2688">
        <f>IFERROR(Z2688/$R$2603,0)</f>
        <v>0</v>
      </c>
      <c r="AB2688">
        <f>Z2688*($F$22+IF($F$22=0,0,($C$14+$C$15+IF($C$13="single",1.5,3)+3)/12))</f>
        <v>0</v>
      </c>
      <c r="AC2688">
        <f>AB2688-W2688</f>
        <v>0</v>
      </c>
      <c r="AD2688" cm="1">
        <f t="array" ref="AD2688">IFERROR(IF(AC2688&lt;0,0,AC2688/($R$2603-INDEX(hd_off,MATCH(AQ2688,hd_mark,0),0)/12)),0)</f>
        <v>0</v>
      </c>
      <c r="AE2688">
        <f>IF(S2688=0,0,$AD$2603*$AM$2582)</f>
        <v>0</v>
      </c>
      <c r="AF2688">
        <f>IFERROR(AE2688/$R$2603,0)</f>
        <v>0</v>
      </c>
      <c r="AG2688">
        <f>AE2688*($F$22+IF($F$22=0,0,($C$14+$C$15+IF($C$13="single",1.5,3)+3)/12))</f>
        <v>0</v>
      </c>
      <c r="AH2688">
        <f>AG2688-X2688</f>
        <v>0</v>
      </c>
      <c r="AI2688" cm="1">
        <f t="array" ref="AI2688">IFERROR(IF(AH2688&lt;0,0,AH2688/($R$2603-INDEX(hd_off,MATCH(AQ2688,hd_mark,0),0)/12)),0)</f>
        <v>0</v>
      </c>
      <c r="AJ2688">
        <f>MAX($F$22,$Z$2603)/$Q$2612</f>
        <v>0.30172413793103448</v>
      </c>
      <c r="AK2688">
        <f t="shared" ref="AK2688:AK2691" si="1652">IF(AJ2688=0,0,IF(AJ2688&gt;2,1.25-0.125*AJ2688,1))</f>
        <v>1</v>
      </c>
      <c r="AL2688" cm="1">
        <f t="array" ref="AL2688">IFERROR(INDEX(sheath_ecap_asd,MATCH(AP2688,sheath_mark,0),0)*AK2688,0)</f>
        <v>0</v>
      </c>
      <c r="AM2688" cm="1">
        <f t="array" ref="AM2688">IFERROR(INDEX(sheath_wcap_asd,MATCH(AP2688,sheath_mark,0),0)*AK2688,0)</f>
        <v>0</v>
      </c>
      <c r="AN2688" cm="1">
        <f t="array" ref="AN2688">IFERROR(INDEX(hd_cap,MATCH(AQ2688,hd_mark,0),0),0)</f>
        <v>0</v>
      </c>
      <c r="AP2688" s="19"/>
      <c r="AQ2688" s="19"/>
      <c r="AR2688" s="100"/>
      <c r="AS2688" s="93"/>
      <c r="AT2688" s="109"/>
      <c r="AU2688" t="str">
        <f>$Q$2582</f>
        <v>L3</v>
      </c>
      <c r="AV2688">
        <f>$E$22</f>
        <v>21.375</v>
      </c>
      <c r="AW2688" cm="1">
        <f t="array" ref="AW2688">IFERROR(IF(AV2688=0,0,(INDEX($C$33:$C$38,MATCH($AZ$2603,$B$33:$B$38,0),0)*(AV2691+$BA$2603)+$AW$2603*COUNTIF(AV2688:AV2703,"&gt;0")*$C$32+$AY$2603*$C$31)*$AU$2603),0)</f>
        <v>0</v>
      </c>
      <c r="AX2688">
        <f>IF(AV2688=0,0,-(COUNTIF(AV2688:AV2703,"&gt;0")*$AW$2603*$C$32+$AY$2603*$C$31)*$H$27*$AU$2603)</f>
        <v>0</v>
      </c>
      <c r="AY2688">
        <f>IF(AV2688=0,0,$AY$2603*$H$26*$AU$2603)</f>
        <v>0</v>
      </c>
      <c r="AZ2688">
        <f>(0.6*AW2688+0.7*AX2688)*$AU$2603/2</f>
        <v>0</v>
      </c>
      <c r="BA2688">
        <f>AW2688*$AU$2603/2</f>
        <v>0</v>
      </c>
      <c r="BC2688">
        <f>IF(AV2688=0,0,$BG$2603*$AP$2582)</f>
        <v>0</v>
      </c>
      <c r="BD2688">
        <f>IFERROR(BC2688/$AU$2603,0)</f>
        <v>0</v>
      </c>
      <c r="BE2688">
        <f>BC2688*($F$22+IF($F$22=0,0,($C$14+$C$15+IF($C$13="single",1.5,3)+3)/12))</f>
        <v>0</v>
      </c>
      <c r="BF2688">
        <f>BE2688-AZ2688</f>
        <v>0</v>
      </c>
      <c r="BG2688" cm="1">
        <f t="array" ref="BG2688">IFERROR(IF(BF2688&lt;0,0,BF2688/($AU$2603-INDEX(hd_off,MATCH(BT2688,hd_mark,0),0)/12)),0)</f>
        <v>0</v>
      </c>
      <c r="BH2688">
        <f>IF(AV2688=0,0,$BG$2603*$AM$2582)</f>
        <v>0</v>
      </c>
      <c r="BI2688">
        <f>IFERROR(BH2688/$AU$2603,0)</f>
        <v>0</v>
      </c>
      <c r="BJ2688">
        <f>BH2688*($F$22+IF($F$22=0,0,($C$14+$C$15+IF($C$13="single",1.5,3)+3)/12))</f>
        <v>0</v>
      </c>
      <c r="BK2688">
        <f>BJ2688-BA2688</f>
        <v>0</v>
      </c>
      <c r="BL2688" cm="1">
        <f t="array" ref="BL2688">IFERROR(IF(BK2688&lt;0,0,BK2688/($AU$2603-INDEX(hd_off,MATCH(BT2688,hd_mark,0),0)/12)),0)</f>
        <v>0</v>
      </c>
      <c r="BM2688">
        <f>MAX($F$22,$BC$2603)/$Q$2612</f>
        <v>0.30172413793103448</v>
      </c>
      <c r="BN2688">
        <f t="shared" ref="BN2688:BN2689" si="1653">IF(BM2688=0,0,IF(BM2688&gt;2,1.25-0.125*BM2688,1))</f>
        <v>1</v>
      </c>
      <c r="BO2688" cm="1">
        <f t="array" ref="BO2688">IFERROR(INDEX(sheath_ecap_asd,MATCH(BS2688,sheath_mark,0),0)*BN2688,0)</f>
        <v>0</v>
      </c>
      <c r="BP2688" cm="1">
        <f t="array" ref="BP2688">IFERROR(INDEX(sheath_wcap_asd,MATCH(BS2688,sheath_mark,0),0)*BN2688,0)</f>
        <v>0</v>
      </c>
      <c r="BQ2688" cm="1">
        <f t="array" ref="BQ2688">IFERROR(INDEX(hd_cap,MATCH(BT2688,hd_mark,0),0),0)</f>
        <v>0</v>
      </c>
      <c r="BS2688" s="19"/>
      <c r="BT2688" s="19"/>
      <c r="BU2688" s="100"/>
    </row>
    <row r="2689" x14ac:dyDescent="0.25">
      <c r="P2689" s="93"/>
      <c r="Q2689" s="109" t="s">
        <v>491</v>
      </c>
      <c r="R2689" t="str">
        <f>$Q$2583</f>
        <v>L4</v>
      </c>
      <c r="S2689">
        <f>$E$23</f>
        <v>0</v>
      </c>
      <c r="T2689" cm="1">
        <f t="array" ref="T2689">IFERROR(IF(S2689=0,0,(INDEX($C$33:$C$38,MATCH($W$2603,$B$33:$B$38,0),0)*(S2691+$X$2603)+$T$2603*COUNTIF(S2689:S2703,"&gt;0")*$C$32+$V$2603*$C$31)*$R$2603),0)</f>
        <v>0</v>
      </c>
      <c r="U2689">
        <f>IF(S2689=0,0,-(COUNTIF(S2689:S2703,"&gt;0")*$T$2603*$C$32+$V$2603*$C$31)*$H$27*$R$2603)</f>
        <v>0</v>
      </c>
      <c r="V2689">
        <f>IF(S2689=0,0,$V$2603*$H$26*$R$2603)</f>
        <v>0</v>
      </c>
      <c r="W2689">
        <f>(0.6*T2689+0.7*U2689)*$R$2603/2</f>
        <v>0</v>
      </c>
      <c r="X2689">
        <f>T2689*$R$2603/2</f>
        <v>0</v>
      </c>
      <c r="Z2689">
        <f>IF(S2689=0,0,$AD$2603*$AP$2583)</f>
        <v>0</v>
      </c>
      <c r="AA2689">
        <f>IFERROR(Z2689/$R$2603,0)</f>
        <v>0</v>
      </c>
      <c r="AB2689">
        <f>Z2689*($F$23+IF($F$23=0,0,($C$14+$C$15+IF($C$13="single",1.5,3)+3)/12))</f>
        <v>0</v>
      </c>
      <c r="AC2689">
        <f>AB2689-W2689</f>
        <v>0</v>
      </c>
      <c r="AD2689" cm="1">
        <f t="array" ref="AD2689">IFERROR(IF(AC2689&lt;0,0,AC2689/($R$2603-INDEX(hd_off,MATCH(AQ2689,hd_mark,0),0)/12)),0)</f>
        <v>0</v>
      </c>
      <c r="AE2689">
        <f>IF(S2689=0,0,$AD$2603*$AM$2583)</f>
        <v>0</v>
      </c>
      <c r="AF2689">
        <f>IFERROR(AE2689/$R$2603,0)</f>
        <v>0</v>
      </c>
      <c r="AG2689">
        <f>AE2689*($F$23+IF($F$23=0,0,($C$14+$C$15+IF($C$13="single",1.5,3)+3)/12))</f>
        <v>0</v>
      </c>
      <c r="AH2689">
        <f>AG2689-X2689</f>
        <v>0</v>
      </c>
      <c r="AI2689" cm="1">
        <f t="array" ref="AI2689">IFERROR(IF(AH2689&lt;0,0,AH2689/($R$2603-INDEX(hd_off,MATCH(AQ2689,hd_mark,0),0)/12)),0)</f>
        <v>0</v>
      </c>
      <c r="AJ2689">
        <f>MAX($F$23,$AA$2603)/$Q$2612</f>
        <v>0</v>
      </c>
      <c r="AK2689">
        <f t="shared" si="1652"/>
        <v>0</v>
      </c>
      <c r="AL2689" cm="1">
        <f t="array" ref="AL2689">IFERROR(INDEX(sheath_ecap_asd,MATCH(AP2689,sheath_mark,0),0)*AK2689,0)</f>
        <v>0</v>
      </c>
      <c r="AM2689" cm="1">
        <f t="array" ref="AM2689">IFERROR(INDEX(sheath_wcap_asd,MATCH(AP2689,sheath_mark,0),0)*AK2689,0)</f>
        <v>0</v>
      </c>
      <c r="AN2689" cm="1">
        <f t="array" ref="AN2689">IFERROR(INDEX(hd_cap,MATCH(AQ2689,hd_mark,0),0),0)</f>
        <v>0</v>
      </c>
      <c r="AP2689" s="19"/>
      <c r="AQ2689" s="19"/>
      <c r="AR2689" s="100"/>
      <c r="AS2689" s="93"/>
      <c r="AT2689" s="109" t="s">
        <v>491</v>
      </c>
      <c r="AU2689" t="str">
        <f>$Q$2583</f>
        <v>L4</v>
      </c>
      <c r="AV2689">
        <f>$E$23</f>
        <v>0</v>
      </c>
      <c r="AW2689" cm="1">
        <f t="array" ref="AW2689">IFERROR(IF(AV2689=0,0,(INDEX($C$33:$C$38,MATCH($AZ$2603,$B$33:$B$38,0),0)*(AV2691+$BA$2603)+$AW$2603*COUNTIF(AV2689:AV2703,"&gt;0")*$C$32+$AY$2603*$C$31)*$AU$2603),0)</f>
        <v>0</v>
      </c>
      <c r="AX2689">
        <f>IF(AV2689=0,0,-(COUNTIF(AV2689:AV2703,"&gt;0")*$AW$2603*$C$32+$AY$2603*$C$31)*$H$27*$AU$2603)</f>
        <v>0</v>
      </c>
      <c r="AY2689">
        <f>IF(AV2689=0,0,$AY$2603*$H$26*$AU$2603)</f>
        <v>0</v>
      </c>
      <c r="AZ2689">
        <f>(0.6*AW2689+0.7*AX2689)*$AU$2603/2</f>
        <v>0</v>
      </c>
      <c r="BA2689">
        <f>AW2689*$AU$2603/2</f>
        <v>0</v>
      </c>
      <c r="BC2689">
        <f>IF(AV2689=0,0,$BG$2603*$AP$2583)</f>
        <v>0</v>
      </c>
      <c r="BD2689">
        <f>IFERROR(BC2689/$AU$2603,0)</f>
        <v>0</v>
      </c>
      <c r="BE2689">
        <f>BC2689*($F$23+IF($F$23=0,0,($C$14+$C$15+IF($C$13="single",1.5,3)+3)/12))</f>
        <v>0</v>
      </c>
      <c r="BF2689">
        <f>BE2689-AZ2689</f>
        <v>0</v>
      </c>
      <c r="BG2689" cm="1">
        <f t="array" ref="BG2689">IFERROR(IF(BF2689&lt;0,0,BF2689/($AU$2603-INDEX(hd_off,MATCH(BT2689,hd_mark,0),0)/12)),0)</f>
        <v>0</v>
      </c>
      <c r="BH2689">
        <f>IF(AV2689=0,0,$BG$2603*$AM$2583)</f>
        <v>0</v>
      </c>
      <c r="BI2689">
        <f>IFERROR(BH2689/$AU$2603,0)</f>
        <v>0</v>
      </c>
      <c r="BJ2689">
        <f>BH2689*($F$23+IF($F$23=0,0,($C$14+$C$15+IF($C$13="single",1.5,3)+3)/12))</f>
        <v>0</v>
      </c>
      <c r="BK2689">
        <f>BJ2689-BA2689</f>
        <v>0</v>
      </c>
      <c r="BL2689" cm="1">
        <f t="array" ref="BL2689">IFERROR(IF(BK2689&lt;0,0,BK2689/($AU$2603-INDEX(hd_off,MATCH(BT2689,hd_mark,0),0)/12)),0)</f>
        <v>0</v>
      </c>
      <c r="BM2689">
        <f>MAX($F$23,$BD$2603)/$Q$2612</f>
        <v>0</v>
      </c>
      <c r="BN2689">
        <f t="shared" si="1653"/>
        <v>0</v>
      </c>
      <c r="BO2689" cm="1">
        <f t="array" ref="BO2689">IFERROR(INDEX(sheath_ecap_asd,MATCH(BS2689,sheath_mark,0),0)*BN2689,0)</f>
        <v>0</v>
      </c>
      <c r="BP2689" cm="1">
        <f t="array" ref="BP2689">IFERROR(INDEX(sheath_wcap_asd,MATCH(BS2689,sheath_mark,0),0)*BN2689,0)</f>
        <v>0</v>
      </c>
      <c r="BQ2689" cm="1">
        <f t="array" ref="BQ2689">IFERROR(INDEX(hd_cap,MATCH(BT2689,hd_mark,0),0),0)</f>
        <v>0</v>
      </c>
      <c r="BS2689" s="19"/>
      <c r="BT2689" s="19"/>
      <c r="BU2689" s="100"/>
    </row>
    <row r="2690" x14ac:dyDescent="0.25">
      <c r="P2690" s="93"/>
      <c r="Q2690" s="111">
        <f>$R$2603</f>
        <v>0</v>
      </c>
      <c r="R2690" t="str">
        <f>$Q$2584</f>
        <v>L5</v>
      </c>
      <c r="S2690">
        <f>$E$24</f>
        <v>0</v>
      </c>
      <c r="T2690" cm="1">
        <f t="array" ref="T2690">IFERROR(IF(S2703=0,0,(INDEX($C$33:$C$38,MATCH($W$2603,$B$33:$B$38,0),0)*(S2691+$X$2603)+$T$2603*COUNTIF(S2703:S2703,"&gt;0")*$C$32+$V$2603*$C$31)*$R$2603),0)</f>
        <v>0</v>
      </c>
      <c r="U2690">
        <f>IF(S2703=0,0,-(COUNTIF(S2703:S2703,"&gt;0")*$T$2603*$C$32+$V$2603*$C$31)*$H$27*$R$2603)</f>
        <v>0</v>
      </c>
      <c r="V2690">
        <f>IF(S2703=0,0,$V$2603*$H$26*$R$2603)</f>
        <v>0</v>
      </c>
      <c r="W2690">
        <f>(0.6*T2703+0.7*U2703)*$R$2603/2</f>
        <v>0</v>
      </c>
      <c r="X2690">
        <f>T2703*$R$2603/2</f>
        <v>0</v>
      </c>
      <c r="Z2690">
        <f>IF(S2703=0,0,$AD$2603*$AP$2584)</f>
        <v>0</v>
      </c>
      <c r="AA2690">
        <f>IFERROR(Z2703/$R$2603,0)</f>
        <v>0</v>
      </c>
      <c r="AB2690">
        <f>Z2703*($F$24+IF($F$24=0,0,($C$14+$C$15+IF($C$13="single",1.5,3)+3)/12))</f>
        <v>0</v>
      </c>
      <c r="AC2690">
        <f>AB2703-W2703</f>
        <v>0</v>
      </c>
      <c r="AD2690" cm="1">
        <f t="array" ref="AD2690">IFERROR(IF(AC2703&lt;0,0,AC2703/($R$2603-INDEX(hd_off,MATCH(AQ2703,hd_mark,0),0)/12)),0)</f>
        <v>0</v>
      </c>
      <c r="AE2690">
        <f>IF(S2703=0,0,$AD$2603*$AM$2584)</f>
        <v>0</v>
      </c>
      <c r="AF2690">
        <f>IFERROR(AE2703/$R$2603,0)</f>
        <v>0</v>
      </c>
      <c r="AG2690">
        <f>AE2703*($F$24+IF($F$24=0,0,($C$14+$C$15+IF($C$13="single",1.5,3)+3)/12))</f>
        <v>0</v>
      </c>
      <c r="AH2690">
        <f>AG2703-X2703</f>
        <v>0</v>
      </c>
      <c r="AI2690" cm="1">
        <f t="array" ref="AI2690">IFERROR(IF(AH2703&lt;0,0,AH2703/($R$2603-INDEX(hd_off,MATCH(AQ2703,hd_mark,0),0)/12)),0)</f>
        <v>0</v>
      </c>
      <c r="AJ2690">
        <f>MAX($F$24,$AB$2603)/$Q$2612</f>
        <v>0</v>
      </c>
      <c r="AK2690">
        <f>IF(AJ2703=0,0,IF(AJ2703&gt;2,1.25-0.125*AJ2703,1))</f>
        <v>1</v>
      </c>
      <c r="AL2690" cm="1">
        <f t="array" ref="AL2690">IFERROR(INDEX(sheath_ecap_asd,MATCH(AP2703,sheath_mark,0),0)*AK2703,0)</f>
        <v>0</v>
      </c>
      <c r="AM2690" cm="1">
        <f t="array" ref="AM2690">IFERROR(INDEX(sheath_wcap_asd,MATCH(AP2703,sheath_mark,0),0)*AK2703,0)</f>
        <v>0</v>
      </c>
      <c r="AN2690" cm="1">
        <f t="array" ref="AN2690">IFERROR(INDEX(hd_cap,MATCH(AQ2703,hd_mark,0),0),0)</f>
        <v>0</v>
      </c>
      <c r="AP2690" s="19"/>
      <c r="AQ2690" s="19"/>
      <c r="AR2690" s="100"/>
      <c r="AS2690" s="93"/>
      <c r="AT2690" s="111">
        <f>$R$2603</f>
        <v>0</v>
      </c>
      <c r="AU2690" t="str">
        <f>$Q$2584</f>
        <v>L5</v>
      </c>
      <c r="AV2690">
        <f>$E$24</f>
        <v>0</v>
      </c>
      <c r="AW2690" cm="1">
        <f t="array" ref="AW2690">IFERROR(IF(AV2703=0,0,(INDEX($C$33:$C$38,MATCH($AZ$2603,$B$33:$B$38,0),0)*(AV2691+$BA$2603)+$AW$2603*COUNTIF(AV2703:AV2703,"&gt;0")*$C$32+$AY$2603*$C$31)*$AU$2603),0)</f>
        <v>0</v>
      </c>
      <c r="AX2690">
        <f>IF(AV2703=0,0,-(COUNTIF(AV2703:AV2703,"&gt;0")*$AW$2603*$C$32+$AY$2603*$C$31)*$H$27*$AU$2603)</f>
        <v>0</v>
      </c>
      <c r="AY2690">
        <f>IF(AV2703=0,0,$AY$2603*$H$26*$AU$2603)</f>
        <v>0</v>
      </c>
      <c r="AZ2690">
        <f>(0.6*AW2703+0.7*AX2703)*$AU$2603/2</f>
        <v>0</v>
      </c>
      <c r="BA2690">
        <f>AW2703*$AU$2603/2</f>
        <v>0</v>
      </c>
      <c r="BC2690">
        <f>IF(AV2703=0,0,$BG$2603*$AP$2584)</f>
        <v>0</v>
      </c>
      <c r="BD2690">
        <f>IFERROR(BC2703/$AU$2603,0)</f>
        <v>0</v>
      </c>
      <c r="BE2690">
        <f>BC2703*($F$24+IF($F$24=0,0,($C$14+$C$15+IF($C$13="single",1.5,3)+3)/12))</f>
        <v>0</v>
      </c>
      <c r="BF2690">
        <f>BE2703-AZ2703</f>
        <v>0</v>
      </c>
      <c r="BG2690" cm="1">
        <f t="array" ref="BG2690">IFERROR(IF(BF2703&lt;0,0,BF2703/($AU$2603-INDEX(hd_off,MATCH(BT2703,hd_mark,0),0)/12)),0)</f>
        <v>0</v>
      </c>
      <c r="BH2690">
        <f>IF(AV2703=0,0,$BG$2603*$AM$2584)</f>
        <v>0</v>
      </c>
      <c r="BI2690">
        <f>IFERROR(BH2703/$AU$2603,0)</f>
        <v>0</v>
      </c>
      <c r="BJ2690">
        <f>BH2703*($F$24+IF($F$24=0,0,($C$14+$C$15+IF($C$13="single",1.5,3)+3)/12))</f>
        <v>0</v>
      </c>
      <c r="BK2690">
        <f>BJ2703-BA2703</f>
        <v>0</v>
      </c>
      <c r="BL2690" cm="1">
        <f t="array" ref="BL2690">IFERROR(IF(BK2703&lt;0,0,BK2703/($AU$2603-INDEX(hd_off,MATCH(BT2703,hd_mark,0),0)/12)),0)</f>
        <v>0</v>
      </c>
      <c r="BM2690">
        <f>MAX($F$24,$BE$2603)/$Q$2612</f>
        <v>0</v>
      </c>
      <c r="BN2690">
        <f>IF(BM2703=0,0,IF(BM2703&gt;2,1.25-0.125*BM2703,1))</f>
        <v>0</v>
      </c>
      <c r="BO2690" cm="1">
        <f t="array" ref="BO2690">IFERROR(INDEX(sheath_ecap_asd,MATCH(BS2703,sheath_mark,0),0)*BN2703,0)</f>
        <v>0</v>
      </c>
      <c r="BP2690" cm="1">
        <f t="array" ref="BP2690">IFERROR(INDEX(sheath_wcap_asd,MATCH(BS2703,sheath_mark,0),0)*BN2703,0)</f>
        <v>0</v>
      </c>
      <c r="BQ2690" cm="1">
        <f t="array" ref="BQ2690">IFERROR(INDEX(hd_cap,MATCH(BT2703,hd_mark,0),0),0)</f>
        <v>0</v>
      </c>
      <c r="BS2690" s="19"/>
      <c r="BT2690" s="19"/>
      <c r="BU2690" s="100"/>
    </row>
    <row r="2691" x14ac:dyDescent="0.25">
      <c r="P2691" s="93"/>
      <c r="Q2691" s="109"/>
      <c r="R2691" t="str">
        <f>$Q$2585</f>
        <v>Roof</v>
      </c>
      <c r="S2691">
        <f>$E$25</f>
        <v>33.171875</v>
      </c>
      <c r="T2691" cm="1">
        <f t="array" ref="T2691">IFERROR(IF(S2691=0,0,(INDEX($C$33:$C$38,MATCH($W$2603,$B$33:$B$38,0),0)*(S2691+$X$2603)+$V$2603*$C$31)*$R$2603),0)</f>
        <v>0</v>
      </c>
      <c r="U2691">
        <f>IF(S2691=0,0,-$V$2603*$C$31*$H$27*$R$2603)</f>
        <v>0</v>
      </c>
      <c r="V2691">
        <f>IF(S2691=0,0,$V$2603*$H$26*$R$2603)</f>
        <v>0</v>
      </c>
      <c r="W2691">
        <f>(0.6*T2691+0.7*U2691)*$R$2603/2</f>
        <v>0</v>
      </c>
      <c r="X2691">
        <f>T2691*$R$2603/2</f>
        <v>0</v>
      </c>
      <c r="Z2691">
        <f>IF(S2691=0,0,$AD$2603*$AP$2585)</f>
        <v>0</v>
      </c>
      <c r="AA2691">
        <f>IFERROR(Z2691/$R$2603,0)</f>
        <v>0</v>
      </c>
      <c r="AB2691">
        <f>Z2691*($F$25+($C$16+$C$17+IF($C$13="single",1.5,3)+3)/12)</f>
        <v>0</v>
      </c>
      <c r="AC2691">
        <f>AB2691-W2691</f>
        <v>0</v>
      </c>
      <c r="AD2691" cm="1">
        <f t="array" ref="AD2691">IFERROR(IF(AC2691&lt;0,0,AC2691/($R$2603-INDEX(hd_off,MATCH(AQ2691,hd_mark,0),0)/12)),0)</f>
        <v>0</v>
      </c>
      <c r="AE2691">
        <f>IF(S2691=0,0,$AD$2603*$AM$2585)</f>
        <v>0</v>
      </c>
      <c r="AF2691">
        <f>IFERROR(AE2691/$R$2603,0)</f>
        <v>0</v>
      </c>
      <c r="AG2691">
        <f>AE2691*($F$25+($C$16+$C$17+IF($C$13="single",1.5,3)+3)/12)</f>
        <v>0</v>
      </c>
      <c r="AH2691">
        <f>AG2691-X2691</f>
        <v>0</v>
      </c>
      <c r="AI2691" cm="1">
        <f t="array" ref="AI2691">IFERROR(IF(AH2691&lt;0,0,AH2691/($R$2603-INDEX(hd_off,MATCH(AQ2691,hd_mark,0),0)/12)),0)</f>
        <v>0</v>
      </c>
      <c r="AJ2691">
        <f>MAX($F$25,$AC$2603)/$Q$2612</f>
        <v>0.29920977011494249</v>
      </c>
      <c r="AK2691">
        <f t="shared" si="1652"/>
        <v>1</v>
      </c>
      <c r="AL2691" cm="1">
        <f t="array" ref="AL2691">IFERROR(INDEX(sheath_ecap_asd,MATCH(AP2691,sheath_mark,0),0)*AK2691,0)</f>
        <v>0</v>
      </c>
      <c r="AM2691" cm="1">
        <f t="array" ref="AM2691">IFERROR(INDEX(sheath_wcap_asd,MATCH(AP2691,sheath_mark,0),0)*AK2691,0)</f>
        <v>0</v>
      </c>
      <c r="AN2691" cm="1">
        <f t="array" ref="AN2691">IFERROR(INDEX(hd_cap,MATCH(AQ2691,hd_mark,0),0),0)</f>
        <v>0</v>
      </c>
      <c r="AP2691" s="19"/>
      <c r="AQ2691" s="19"/>
      <c r="AR2691" s="100"/>
      <c r="AS2691" s="93"/>
      <c r="AT2691" s="109"/>
      <c r="AU2691" t="str">
        <f>$Q$2585</f>
        <v>Roof</v>
      </c>
      <c r="AV2691">
        <f>$E$25</f>
        <v>33.171875</v>
      </c>
      <c r="AW2691" cm="1">
        <f t="array" ref="AW2691">IFERROR(IF(AV2691=0,0,(INDEX($C$33:$C$38,MATCH($AZ$2603,$B$33:$B$38,0),0)*(AV2691+$BA$2603)+$AY$2603*$C$31)*$AU$2603),0)</f>
        <v>0</v>
      </c>
      <c r="AX2691">
        <f>IF(AV2691=0,0,-$AY$2603*$C$31*$H$27*$AU$2603)</f>
        <v>0</v>
      </c>
      <c r="AY2691">
        <f>IF(AV2691=0,0,$AY$2603*$H$26*$AU$2603)</f>
        <v>0</v>
      </c>
      <c r="AZ2691">
        <f>(0.6*AW2691+0.7*AX2691)*$AU$2603/2</f>
        <v>0</v>
      </c>
      <c r="BA2691">
        <f>AW2691*$AU$2603/2</f>
        <v>0</v>
      </c>
      <c r="BC2691">
        <f>IF(AV2691=0,0,$BG$2603*$AP$2585)</f>
        <v>0</v>
      </c>
      <c r="BD2691">
        <f>IFERROR(BC2691/$AU$2603,0)</f>
        <v>0</v>
      </c>
      <c r="BE2691">
        <f>BC2691*($F$25+($C$16+$C$17+IF($C$13="single",1.5,3)+3)/12)</f>
        <v>0</v>
      </c>
      <c r="BF2691">
        <f>BE2691-AZ2691</f>
        <v>0</v>
      </c>
      <c r="BG2691" cm="1">
        <f t="array" ref="BG2691">IFERROR(IF(BF2691&lt;0,0,BF2691/($AU$2603-INDEX(hd_off,MATCH(BT2691,hd_mark,0),0)/12)),0)</f>
        <v>0</v>
      </c>
      <c r="BH2691">
        <f>IF(AV2691=0,0,$BG$2603*$AM$2585)</f>
        <v>0</v>
      </c>
      <c r="BI2691">
        <f>IFERROR(BH2691/$AU$2603,0)</f>
        <v>0</v>
      </c>
      <c r="BJ2691">
        <f>BH2691*($F$25+($C$16+$C$17+IF($C$13="single",1.5,3)+3)/12)</f>
        <v>0</v>
      </c>
      <c r="BK2691">
        <f>BJ2691-BA2691</f>
        <v>0</v>
      </c>
      <c r="BL2691" cm="1">
        <f t="array" ref="BL2691">IFERROR(IF(BK2691&lt;0,0,BK2691/($AU$2603-INDEX(hd_off,MATCH(BT2691,hd_mark,0),0)/12)),0)</f>
        <v>0</v>
      </c>
      <c r="BM2691">
        <f>MAX($F$25,$BF$2603)/$Q$2612</f>
        <v>0.29920977011494249</v>
      </c>
      <c r="BN2691">
        <f t="shared" ref="BN2691" si="1654">IF(BM2691=0,0,IF(BM2691&gt;2,1.25-0.125*BM2691,1))</f>
        <v>1</v>
      </c>
      <c r="BO2691" cm="1">
        <f t="array" ref="BO2691">IFERROR(INDEX(sheath_ecap_asd,MATCH(BS2691,sheath_mark,0),0)*BN2691,0)</f>
        <v>0</v>
      </c>
      <c r="BP2691" cm="1">
        <f t="array" ref="BP2691">IFERROR(INDEX(sheath_wcap_asd,MATCH(BS2691,sheath_mark,0),0)*BN2691,0)</f>
        <v>0</v>
      </c>
      <c r="BQ2691" cm="1">
        <f t="array" ref="BQ2691">IFERROR(INDEX(hd_cap,MATCH(BT2691,hd_mark,0),0),0)</f>
        <v>0</v>
      </c>
      <c r="BS2691" s="19"/>
      <c r="BT2691" s="19"/>
      <c r="BU2691" s="100"/>
    </row>
    <row r="2692" x14ac:dyDescent="0.25">
      <c r="P2692" s="93"/>
      <c r="AR2692" s="100"/>
      <c r="AS2692" s="93"/>
      <c r="BU2692" s="100"/>
    </row>
    <row r="2693" x14ac:dyDescent="0.25">
      <c r="P2693" s="93"/>
      <c r="Q2693" s="110" t="str">
        <f>$Q$2604</f>
        <v>A.15</v>
      </c>
      <c r="R2693" t="str">
        <f>$Q$2581</f>
        <v>L2</v>
      </c>
      <c r="S2693">
        <f>$E$21</f>
        <v>10.6875</v>
      </c>
      <c r="T2693" cm="1">
        <f t="array" ref="T2693">IFERROR(IF(S2693=0,0,(INDEX($C$33:$C$38,MATCH($W$2604,$B$33:$B$38,0),0)*(S2697+$X$2604)+$T$2604*COUNTIF(S2693:S2696,"&gt;0")*$C$32+$V$2604*$C$31)*$R$2604),0)</f>
        <v>0</v>
      </c>
      <c r="U2693">
        <f>IF(S2693=0,0,-(COUNTIF(S2693:S2696,"&gt;0")*$T$2604*$C$32+$V$2604*$C$31)*$H$27*$R$2604)</f>
        <v>0</v>
      </c>
      <c r="V2693">
        <f>IF(S2693=0,0,$V$2604*$H$26*$R$2604)</f>
        <v>0</v>
      </c>
      <c r="W2693">
        <f>(0.6*T2693+0.7*U2693)*$R$2604/2</f>
        <v>0</v>
      </c>
      <c r="X2693">
        <f>(0.6*T2693+0.6*V2693)*$R$2604/2</f>
        <v>0</v>
      </c>
      <c r="Z2693">
        <f>IF(S2693=0,0,$AD$2604*$AP$2581)</f>
        <v>0</v>
      </c>
      <c r="AA2693">
        <f>IFERROR(Z2693/$R$2604,0)</f>
        <v>0</v>
      </c>
      <c r="AB2693">
        <f>Z2693*($F$21+IF($F$21=0,0,($C$14+$C$15+IF($C$13="single",1.5,3)+3)/12))</f>
        <v>0</v>
      </c>
      <c r="AC2693">
        <f>AB2693-W2693</f>
        <v>0</v>
      </c>
      <c r="AD2693" cm="1">
        <f t="array" ref="AD2693">IFERROR(IF(AC2693&lt;0,0,AC2693/($R$2604-INDEX(hd_off,MATCH(AQ2693,hd_mark,0),0)/12)),0)</f>
        <v>0</v>
      </c>
      <c r="AE2693">
        <f>IF(S2693=0,0,$AD$2604*$AM$2581)</f>
        <v>0</v>
      </c>
      <c r="AF2693">
        <f>IFERROR(AE2693/$R$2604,0)</f>
        <v>0</v>
      </c>
      <c r="AG2693">
        <f>AE2693*($F$21+IF($F$21=0,0,($C$14+$C$15+IF($C$13="single",1.5,3)+3)/12))</f>
        <v>0</v>
      </c>
      <c r="AH2693">
        <f>AG2693-X2693</f>
        <v>0</v>
      </c>
      <c r="AI2693" cm="1">
        <f t="array" ref="AI2693">IFERROR(IF(AH2693&lt;0,0,AH2693/($R$2604-INDEX(hd_off,MATCH(AQ2693,hd_mark,0),0)/12)),0)</f>
        <v>0</v>
      </c>
      <c r="AJ2693">
        <f>MAX($F$21,$Y$2604)/$Q$2612</f>
        <v>0.30172413793103448</v>
      </c>
      <c r="AK2693">
        <f>IF(AJ2693=0,0,IF(AJ2693&gt;2,1.25-0.125*AJ2693,1))</f>
        <v>1</v>
      </c>
      <c r="AL2693" cm="1">
        <f t="array" ref="AL2693">IFERROR(INDEX(sheath_ecap_asd,MATCH(AP2693,sheath_mark,0),0)*AK2693,0)</f>
        <v>0</v>
      </c>
      <c r="AM2693" cm="1">
        <f t="array" ref="AM2693">IFERROR(INDEX(sheath_wcap_asd,MATCH(AP2693,sheath_mark,0),0)*AK2693,0)</f>
        <v>0</v>
      </c>
      <c r="AN2693" cm="1">
        <f t="array" ref="AN2693">IFERROR(INDEX(hd_cap,MATCH(AQ2693,hd_mark,0),0),0)</f>
        <v>0</v>
      </c>
      <c r="AP2693" s="19"/>
      <c r="AQ2693" s="19"/>
      <c r="AR2693" s="100"/>
      <c r="AS2693" s="93"/>
      <c r="AT2693" s="110" t="str">
        <f>$AT$2604</f>
        <v>1.15</v>
      </c>
      <c r="AU2693" t="str">
        <f>$Q$2581</f>
        <v>L2</v>
      </c>
      <c r="AV2693">
        <f>$E$21</f>
        <v>10.6875</v>
      </c>
      <c r="AW2693" cm="1">
        <f t="array" ref="AW2693">IFERROR(IF(AV2693=0,0,(INDEX($C$33:$C$38,MATCH($AZ$2604,$B$33:$B$38,0),0)*(AV2697+$BA$2604)+$AW$2604*COUNTIF(AV2693:AV2696,"&gt;0")*$C$32+$AY$2604*$C$31)*$AU$2604),0)</f>
        <v>0</v>
      </c>
      <c r="AX2693">
        <f>IF(AV2693=0,0,-(COUNTIF(AV2693:AV2696,"&gt;0")*$AW$2604*$C$32+$AY$2604*$C$31)*$H$27*$AU$2604)</f>
        <v>0</v>
      </c>
      <c r="AY2693">
        <f>IF(AV2693=0,0,$AY$2604*$H$26*$AU$2604)</f>
        <v>0</v>
      </c>
      <c r="AZ2693">
        <f>(0.6*AW2693+0.7*AX2693)*$AU$2604/2</f>
        <v>0</v>
      </c>
      <c r="BA2693">
        <f>(0.6*AW2693+0.6*AY2693)*$AU$2604/2</f>
        <v>0</v>
      </c>
      <c r="BC2693">
        <f>IF(AV2693=0,0,$BG$2604*$AP$2581)</f>
        <v>0</v>
      </c>
      <c r="BD2693">
        <f>IFERROR(BC2693/$AU$2604,0)</f>
        <v>0</v>
      </c>
      <c r="BE2693">
        <f>BC2693*($F$21+IF($F$21=0,0,($C$14+$C$15+IF($C$13="single",1.5,3)+3)/12))</f>
        <v>0</v>
      </c>
      <c r="BF2693">
        <f>BE2693-AZ2693</f>
        <v>0</v>
      </c>
      <c r="BG2693" cm="1">
        <f t="array" ref="BG2693">IFERROR(IF(BF2693&lt;0,0,BF2693/($AU$2604-INDEX(hd_off,MATCH(BT2693,hd_mark,0),0)/12)),0)</f>
        <v>0</v>
      </c>
      <c r="BH2693">
        <f>IF(AV2693=0,0,$BG$2604*$AM$2581)</f>
        <v>0</v>
      </c>
      <c r="BI2693">
        <f>IFERROR(BH2693/$AU$2604,0)</f>
        <v>0</v>
      </c>
      <c r="BJ2693">
        <f>BH2693*($F$21+IF($F$21=0,0,($C$14+$C$15+IF($C$13="single",1.5,3)+3)/12))</f>
        <v>0</v>
      </c>
      <c r="BK2693">
        <f>BJ2693-BA2693</f>
        <v>0</v>
      </c>
      <c r="BL2693" cm="1">
        <f t="array" ref="BL2693">IFERROR(IF(BK2693&lt;0,0,BK2693/($AU$2604-INDEX(hd_off,MATCH(BT2693,hd_mark,0),0)/12)),0)</f>
        <v>0</v>
      </c>
      <c r="BM2693">
        <f>MAX($F$21,$BB$2604)/$Q$2612</f>
        <v>0.30172413793103448</v>
      </c>
      <c r="BN2693">
        <f>IF(BM2693=0,0,IF(BM2693&gt;2,1.25-0.125*BM2693,1))</f>
        <v>1</v>
      </c>
      <c r="BO2693" cm="1">
        <f t="array" ref="BO2693">IFERROR(INDEX(sheath_ecap_asd,MATCH(BS2693,sheath_mark,0),0)*BN2693,0)</f>
        <v>0</v>
      </c>
      <c r="BP2693" cm="1">
        <f t="array" ref="BP2693">IFERROR(INDEX(sheath_wcap_asd,MATCH(BS2693,sheath_mark,0),0)*BN2693,0)</f>
        <v>0</v>
      </c>
      <c r="BQ2693" cm="1">
        <f t="array" ref="BQ2693">IFERROR(INDEX(hd_cap,MATCH(BT2693,hd_mark,0),0),0)</f>
        <v>0</v>
      </c>
      <c r="BS2693" s="19"/>
      <c r="BT2693" s="19"/>
      <c r="BU2693" s="100"/>
    </row>
    <row r="2694" x14ac:dyDescent="0.25">
      <c r="P2694" s="93"/>
      <c r="Q2694" s="109"/>
      <c r="R2694" t="str">
        <f>$Q$2582</f>
        <v>L3</v>
      </c>
      <c r="S2694">
        <f>$E$22</f>
        <v>21.375</v>
      </c>
      <c r="T2694" cm="1">
        <f t="array" ref="T2694">IFERROR(IF(S2694=0,0,(INDEX($C$33:$C$38,MATCH($W$2604,$B$33:$B$38,0),0)*(S2697+$X$2604)+$T$2604*COUNTIF(S2694:S2696,"&gt;0")*$C$32+$V$2604*$C$31)*$R$2604),0)</f>
        <v>0</v>
      </c>
      <c r="U2694">
        <f>IF(S2694=0,0,-(COUNTIF(S2694:S2696,"&gt;0")*$T$2604*$C$32+$V$2604*$C$31)*$H$27*$R$2604)</f>
        <v>0</v>
      </c>
      <c r="V2694">
        <f>IF(S2694=0,0,$V$2604*$H$26*$R$2604)</f>
        <v>0</v>
      </c>
      <c r="W2694">
        <f>(0.6*T2694+0.7*U2694)*$R$2604/2</f>
        <v>0</v>
      </c>
      <c r="X2694">
        <f>T2694*$R$2604/2</f>
        <v>0</v>
      </c>
      <c r="Z2694">
        <f>IF(S2694=0,0,$AD$2604*$AP$2582)</f>
        <v>0</v>
      </c>
      <c r="AA2694">
        <f>IFERROR(Z2694/$R$2604,0)</f>
        <v>0</v>
      </c>
      <c r="AB2694">
        <f>Z2694*($F$22+IF($F$22=0,0,($C$14+$C$15+IF($C$13="single",1.5,3)+3)/12))</f>
        <v>0</v>
      </c>
      <c r="AC2694">
        <f>AB2694-W2694</f>
        <v>0</v>
      </c>
      <c r="AD2694" cm="1">
        <f t="array" ref="AD2694">IFERROR(IF(AC2694&lt;0,0,AC2694/($R$2604-INDEX(hd_off,MATCH(AQ2694,hd_mark,0),0)/12)),0)</f>
        <v>0</v>
      </c>
      <c r="AE2694">
        <f>IF(S2694=0,0,$AD$2604*$AM$2582)</f>
        <v>0</v>
      </c>
      <c r="AF2694">
        <f>IFERROR(AE2694/$R$2604,0)</f>
        <v>0</v>
      </c>
      <c r="AG2694">
        <f>AE2694*($F$22+IF($F$22=0,0,($C$14+$C$15+IF($C$13="single",1.5,3)+3)/12))</f>
        <v>0</v>
      </c>
      <c r="AH2694">
        <f>AG2694-X2694</f>
        <v>0</v>
      </c>
      <c r="AI2694" cm="1">
        <f t="array" ref="AI2694">IFERROR(IF(AH2694&lt;0,0,AH2694/($R$2604-INDEX(hd_off,MATCH(AQ2694,hd_mark,0),0)/12)),0)</f>
        <v>0</v>
      </c>
      <c r="AJ2694">
        <f>MAX($F$22,$Z$2604)/$Q$2612</f>
        <v>0.30172413793103448</v>
      </c>
      <c r="AK2694">
        <f t="shared" ref="AK2694:AK2697" si="1655">IF(AJ2694=0,0,IF(AJ2694&gt;2,1.25-0.125*AJ2694,1))</f>
        <v>1</v>
      </c>
      <c r="AL2694" cm="1">
        <f t="array" ref="AL2694">IFERROR(INDEX(sheath_ecap_asd,MATCH(AP2694,sheath_mark,0),0)*AK2694,0)</f>
        <v>0</v>
      </c>
      <c r="AM2694" cm="1">
        <f t="array" ref="AM2694">IFERROR(INDEX(sheath_wcap_asd,MATCH(AP2694,sheath_mark,0),0)*AK2694,0)</f>
        <v>0</v>
      </c>
      <c r="AN2694" cm="1">
        <f t="array" ref="AN2694">IFERROR(INDEX(hd_cap,MATCH(AQ2694,hd_mark,0),0),0)</f>
        <v>0</v>
      </c>
      <c r="AP2694" s="19"/>
      <c r="AQ2694" s="19"/>
      <c r="AR2694" s="100"/>
      <c r="AS2694" s="93"/>
      <c r="AT2694" s="109"/>
      <c r="AU2694" t="str">
        <f>$Q$2582</f>
        <v>L3</v>
      </c>
      <c r="AV2694">
        <f>$E$22</f>
        <v>21.375</v>
      </c>
      <c r="AW2694" cm="1">
        <f t="array" ref="AW2694">IFERROR(IF(AV2694=0,0,(INDEX($C$33:$C$38,MATCH($AZ$2604,$B$33:$B$38,0),0)*(AV2697+$BA$2604)+$AW$2604*COUNTIF(AV2694:AV2696,"&gt;0")*$C$32+$AY$2604*$C$31)*$AU$2604),0)</f>
        <v>0</v>
      </c>
      <c r="AX2694">
        <f>IF(AV2694=0,0,-(COUNTIF(AV2694:AV2696,"&gt;0")*$AW$2604*$C$32+$AY$2604*$C$31)*$H$27*$AU$2604)</f>
        <v>0</v>
      </c>
      <c r="AY2694">
        <f>IF(AV2694=0,0,$AY$2604*$H$26*$AU$2604)</f>
        <v>0</v>
      </c>
      <c r="AZ2694">
        <f>(0.6*AW2694+0.7*AX2694)*$AU$2604/2</f>
        <v>0</v>
      </c>
      <c r="BA2694">
        <f>AW2694*$AU$2604/2</f>
        <v>0</v>
      </c>
      <c r="BC2694">
        <f>IF(AV2694=0,0,$BG$2604*$AP$2582)</f>
        <v>0</v>
      </c>
      <c r="BD2694">
        <f>IFERROR(BC2694/$AU$2604,0)</f>
        <v>0</v>
      </c>
      <c r="BE2694">
        <f>BC2694*($F$22+IF($F$22=0,0,($C$14+$C$15+IF($C$13="single",1.5,3)+3)/12))</f>
        <v>0</v>
      </c>
      <c r="BF2694">
        <f>BE2694-AZ2694</f>
        <v>0</v>
      </c>
      <c r="BG2694" cm="1">
        <f t="array" ref="BG2694">IFERROR(IF(BF2694&lt;0,0,BF2694/($AU$2604-INDEX(hd_off,MATCH(BT2694,hd_mark,0),0)/12)),0)</f>
        <v>0</v>
      </c>
      <c r="BH2694">
        <f>IF(AV2694=0,0,$BG$2604*$AM$2582)</f>
        <v>0</v>
      </c>
      <c r="BI2694">
        <f>IFERROR(BH2694/$AU$2604,0)</f>
        <v>0</v>
      </c>
      <c r="BJ2694">
        <f>BH2694*($F$22+IF($F$22=0,0,($C$14+$C$15+IF($C$13="single",1.5,3)+3)/12))</f>
        <v>0</v>
      </c>
      <c r="BK2694">
        <f>BJ2694-BA2694</f>
        <v>0</v>
      </c>
      <c r="BL2694" cm="1">
        <f t="array" ref="BL2694">IFERROR(IF(BK2694&lt;0,0,BK2694/($AU$2604-INDEX(hd_off,MATCH(BT2694,hd_mark,0),0)/12)),0)</f>
        <v>0</v>
      </c>
      <c r="BM2694">
        <f>MAX($F$22,$BC$2604)/$Q$2612</f>
        <v>0.30172413793103448</v>
      </c>
      <c r="BN2694">
        <f t="shared" ref="BN2694:BN2697" si="1656">IF(BM2694=0,0,IF(BM2694&gt;2,1.25-0.125*BM2694,1))</f>
        <v>1</v>
      </c>
      <c r="BO2694" cm="1">
        <f t="array" ref="BO2694">IFERROR(INDEX(sheath_ecap_asd,MATCH(BS2694,sheath_mark,0),0)*BN2694,0)</f>
        <v>0</v>
      </c>
      <c r="BP2694" cm="1">
        <f t="array" ref="BP2694">IFERROR(INDEX(sheath_wcap_asd,MATCH(BS2694,sheath_mark,0),0)*BN2694,0)</f>
        <v>0</v>
      </c>
      <c r="BQ2694" cm="1">
        <f t="array" ref="BQ2694">IFERROR(INDEX(hd_cap,MATCH(BT2694,hd_mark,0),0),0)</f>
        <v>0</v>
      </c>
      <c r="BS2694" s="19"/>
      <c r="BT2694" s="19"/>
      <c r="BU2694" s="100"/>
    </row>
    <row r="2695" x14ac:dyDescent="0.25">
      <c r="P2695" s="93"/>
      <c r="Q2695" s="109" t="s">
        <v>491</v>
      </c>
      <c r="R2695" t="str">
        <f>$Q$2583</f>
        <v>L4</v>
      </c>
      <c r="S2695">
        <f>$E$23</f>
        <v>0</v>
      </c>
      <c r="T2695" cm="1">
        <f t="array" ref="T2695">IFERROR(IF(S2695=0,0,(INDEX($C$33:$C$38,MATCH($W$2604,$B$33:$B$38,0),0)*(S2697+$X$2604)+$T$2604*COUNTIF(S2695:S2696,"&gt;0")*$C$32+$V$2604*$C$31)*$R$2604),0)</f>
        <v>0</v>
      </c>
      <c r="U2695">
        <f>IF(S2695=0,0,-(COUNTIF(S2695:S2696,"&gt;0")*$T$2604*$C$32+$V$2604*$C$31)*$H$27*$R$2604)</f>
        <v>0</v>
      </c>
      <c r="V2695">
        <f>IF(S2695=0,0,$V$2604*$H$26*$R$2604)</f>
        <v>0</v>
      </c>
      <c r="W2695">
        <f>(0.6*T2695+0.7*U2695)*$R$2604/2</f>
        <v>0</v>
      </c>
      <c r="X2695">
        <f>T2695*$R$2604/2</f>
        <v>0</v>
      </c>
      <c r="Z2695">
        <f>IF(S2695=0,0,$AD$2604*$AP$2583)</f>
        <v>0</v>
      </c>
      <c r="AA2695">
        <f>IFERROR(Z2695/$R$2604,0)</f>
        <v>0</v>
      </c>
      <c r="AB2695">
        <f>Z2695*($F$23+IF($F$23=0,0,($C$14+$C$15+IF($C$13="single",1.5,3)+3)/12))</f>
        <v>0</v>
      </c>
      <c r="AC2695">
        <f>AB2695-W2695</f>
        <v>0</v>
      </c>
      <c r="AD2695" cm="1">
        <f t="array" ref="AD2695">IFERROR(IF(AC2695&lt;0,0,AC2695/($R$2604-INDEX(hd_off,MATCH(AQ2695,hd_mark,0),0)/12)),0)</f>
        <v>0</v>
      </c>
      <c r="AE2695">
        <f>IF(S2695=0,0,$AD$2604*$AM$2583)</f>
        <v>0</v>
      </c>
      <c r="AF2695">
        <f>IFERROR(AE2695/$R$2604,0)</f>
        <v>0</v>
      </c>
      <c r="AG2695">
        <f>AE2695*($F$23+IF($F$23=0,0,($C$14+$C$15+IF($C$13="single",1.5,3)+3)/12))</f>
        <v>0</v>
      </c>
      <c r="AH2695">
        <f>AG2695-X2695</f>
        <v>0</v>
      </c>
      <c r="AI2695" cm="1">
        <f t="array" ref="AI2695">IFERROR(IF(AH2695&lt;0,0,AH2695/($R$2604-INDEX(hd_off,MATCH(AQ2695,hd_mark,0),0)/12)),0)</f>
        <v>0</v>
      </c>
      <c r="AJ2695">
        <f>MAX($F$23,$AA$2604)/$Q$2612</f>
        <v>0</v>
      </c>
      <c r="AK2695">
        <f t="shared" si="1655"/>
        <v>0</v>
      </c>
      <c r="AL2695" cm="1">
        <f t="array" ref="AL2695">IFERROR(INDEX(sheath_ecap_asd,MATCH(AP2695,sheath_mark,0),0)*AK2695,0)</f>
        <v>0</v>
      </c>
      <c r="AM2695" cm="1">
        <f t="array" ref="AM2695">IFERROR(INDEX(sheath_wcap_asd,MATCH(AP2695,sheath_mark,0),0)*AK2695,0)</f>
        <v>0</v>
      </c>
      <c r="AN2695" cm="1">
        <f t="array" ref="AN2695">IFERROR(INDEX(hd_cap,MATCH(AQ2695,hd_mark,0),0),0)</f>
        <v>0</v>
      </c>
      <c r="AP2695" s="19"/>
      <c r="AQ2695" s="19"/>
      <c r="AR2695" s="100"/>
      <c r="AS2695" s="93"/>
      <c r="AT2695" s="109" t="s">
        <v>491</v>
      </c>
      <c r="AU2695" t="str">
        <f>$Q$2583</f>
        <v>L4</v>
      </c>
      <c r="AV2695">
        <f>$E$23</f>
        <v>0</v>
      </c>
      <c r="AW2695" cm="1">
        <f t="array" ref="AW2695">IFERROR(IF(AV2695=0,0,(INDEX($C$33:$C$38,MATCH($AZ$2604,$B$33:$B$38,0),0)*(AV2697+$BA$2604)+$AW$2604*COUNTIF(AV2695:AV2696,"&gt;0")*$C$32+$AY$2604*$C$31)*$AU$2604),0)</f>
        <v>0</v>
      </c>
      <c r="AX2695">
        <f>IF(AV2695=0,0,-(COUNTIF(AV2695:AV2696,"&gt;0")*$AW$2604*$C$32+$AY$2604*$C$31)*$H$27*$AU$2604)</f>
        <v>0</v>
      </c>
      <c r="AY2695">
        <f>IF(AV2695=0,0,$AY$2604*$H$26*$AU$2604)</f>
        <v>0</v>
      </c>
      <c r="AZ2695">
        <f>(0.6*AW2695+0.7*AX2695)*$AU$2604/2</f>
        <v>0</v>
      </c>
      <c r="BA2695">
        <f>AW2695*$AU$2604/2</f>
        <v>0</v>
      </c>
      <c r="BC2695">
        <f>IF(AV2695=0,0,$BG$2604*$AP$2583)</f>
        <v>0</v>
      </c>
      <c r="BD2695">
        <f>IFERROR(BC2695/$AU$2604,0)</f>
        <v>0</v>
      </c>
      <c r="BE2695">
        <f>BC2695*($F$23+IF($F$23=0,0,($C$14+$C$15+IF($C$13="single",1.5,3)+3)/12))</f>
        <v>0</v>
      </c>
      <c r="BF2695">
        <f>BE2695-AZ2695</f>
        <v>0</v>
      </c>
      <c r="BG2695" cm="1">
        <f t="array" ref="BG2695">IFERROR(IF(BF2695&lt;0,0,BF2695/($AU$2604-INDEX(hd_off,MATCH(BT2695,hd_mark,0),0)/12)),0)</f>
        <v>0</v>
      </c>
      <c r="BH2695">
        <f>IF(AV2695=0,0,$BG$2604*$AM$2583)</f>
        <v>0</v>
      </c>
      <c r="BI2695">
        <f>IFERROR(BH2695/$AU$2604,0)</f>
        <v>0</v>
      </c>
      <c r="BJ2695">
        <f>BH2695*($F$23+IF($F$23=0,0,($C$14+$C$15+IF($C$13="single",1.5,3)+3)/12))</f>
        <v>0</v>
      </c>
      <c r="BK2695">
        <f>BJ2695-BA2695</f>
        <v>0</v>
      </c>
      <c r="BL2695" cm="1">
        <f t="array" ref="BL2695">IFERROR(IF(BK2695&lt;0,0,BK2695/($AU$2604-INDEX(hd_off,MATCH(BT2695,hd_mark,0),0)/12)),0)</f>
        <v>0</v>
      </c>
      <c r="BM2695">
        <f>MAX($F$23,$BD$2604)/$Q$2612</f>
        <v>0</v>
      </c>
      <c r="BN2695">
        <f t="shared" si="1656"/>
        <v>0</v>
      </c>
      <c r="BO2695" cm="1">
        <f t="array" ref="BO2695">IFERROR(INDEX(sheath_ecap_asd,MATCH(BS2695,sheath_mark,0),0)*BN2695,0)</f>
        <v>0</v>
      </c>
      <c r="BP2695" cm="1">
        <f t="array" ref="BP2695">IFERROR(INDEX(sheath_wcap_asd,MATCH(BS2695,sheath_mark,0),0)*BN2695,0)</f>
        <v>0</v>
      </c>
      <c r="BQ2695" cm="1">
        <f t="array" ref="BQ2695">IFERROR(INDEX(hd_cap,MATCH(BT2695,hd_mark,0),0),0)</f>
        <v>0</v>
      </c>
      <c r="BS2695" s="19"/>
      <c r="BT2695" s="19"/>
      <c r="BU2695" s="100"/>
    </row>
    <row r="2696" x14ac:dyDescent="0.25">
      <c r="P2696" s="93"/>
      <c r="Q2696" s="111">
        <f>$R$2604</f>
        <v>0</v>
      </c>
      <c r="R2696" t="str">
        <f>$Q$2584</f>
        <v>L5</v>
      </c>
      <c r="S2696">
        <f>$E$24</f>
        <v>0</v>
      </c>
      <c r="T2696" cm="1">
        <f t="array" ref="T2696">IFERROR(IF(S2696=0,0,(INDEX($C$33:$C$38,MATCH($W$2604,$B$33:$B$38,0),0)*(S2697+$X$2604)+$T$2604*COUNTIF(S2696:S2696,"&gt;0")*$C$32+$V$2604*$C$31)*$R$2604),0)</f>
        <v>0</v>
      </c>
      <c r="U2696">
        <f>IF(S2696=0,0,-(COUNTIF(S2696:S2696,"&gt;0")*$T$2604*$C$32+$V$2604*$C$31)*$H$27*$R$2604)</f>
        <v>0</v>
      </c>
      <c r="V2696">
        <f>IF(S2696=0,0,$V$2604*$H$26*$R$2604)</f>
        <v>0</v>
      </c>
      <c r="W2696">
        <f>(0.6*T2696+0.7*U2696)*$R$2604/2</f>
        <v>0</v>
      </c>
      <c r="X2696">
        <f>T2696*$R$2604/2</f>
        <v>0</v>
      </c>
      <c r="Z2696">
        <f>IF(S2696=0,0,$AD$2604*$AP$2584)</f>
        <v>0</v>
      </c>
      <c r="AA2696">
        <f>IFERROR(Z2696/$R$2604,0)</f>
        <v>0</v>
      </c>
      <c r="AB2696">
        <f>Z2696*($F$24+IF($F$24=0,0,($C$14+$C$15+IF($C$13="single",1.5,3)+3)/12))</f>
        <v>0</v>
      </c>
      <c r="AC2696">
        <f>AB2696-W2696</f>
        <v>0</v>
      </c>
      <c r="AD2696" cm="1">
        <f t="array" ref="AD2696">IFERROR(IF(AC2696&lt;0,0,AC2696/($R$2604-INDEX(hd_off,MATCH(AQ2696,hd_mark,0),0)/12)),0)</f>
        <v>0</v>
      </c>
      <c r="AE2696">
        <f>IF(S2696=0,0,$AD$2604*$AM$2584)</f>
        <v>0</v>
      </c>
      <c r="AF2696">
        <f>IFERROR(AE2696/$R$2604,0)</f>
        <v>0</v>
      </c>
      <c r="AG2696">
        <f>AE2696*($F$24+IF($F$24=0,0,($C$14+$C$15+IF($C$13="single",1.5,3)+3)/12))</f>
        <v>0</v>
      </c>
      <c r="AH2696">
        <f>AG2696-X2696</f>
        <v>0</v>
      </c>
      <c r="AI2696" cm="1">
        <f t="array" ref="AI2696">IFERROR(IF(AH2696&lt;0,0,AH2696/($R$2604-INDEX(hd_off,MATCH(AQ2696,hd_mark,0),0)/12)),0)</f>
        <v>0</v>
      </c>
      <c r="AJ2696">
        <f>MAX($F$24,$AB$2604)/$Q$2612</f>
        <v>0</v>
      </c>
      <c r="AK2696">
        <f t="shared" si="1655"/>
        <v>0</v>
      </c>
      <c r="AL2696" cm="1">
        <f t="array" ref="AL2696">IFERROR(INDEX(sheath_ecap_asd,MATCH(AP2696,sheath_mark,0),0)*AK2696,0)</f>
        <v>0</v>
      </c>
      <c r="AM2696" cm="1">
        <f t="array" ref="AM2696">IFERROR(INDEX(sheath_wcap_asd,MATCH(AP2696,sheath_mark,0),0)*AK2696,0)</f>
        <v>0</v>
      </c>
      <c r="AN2696" cm="1">
        <f t="array" ref="AN2696">IFERROR(INDEX(hd_cap,MATCH(AQ2696,hd_mark,0),0),0)</f>
        <v>0</v>
      </c>
      <c r="AP2696" s="19"/>
      <c r="AQ2696" s="19"/>
      <c r="AR2696" s="100"/>
      <c r="AS2696" s="93"/>
      <c r="AT2696" s="111">
        <f>$R$2604</f>
        <v>0</v>
      </c>
      <c r="AU2696" t="str">
        <f>$Q$2584</f>
        <v>L5</v>
      </c>
      <c r="AV2696">
        <f>$E$24</f>
        <v>0</v>
      </c>
      <c r="AW2696" cm="1">
        <f t="array" ref="AW2696">IFERROR(IF(AV2696=0,0,(INDEX($C$33:$C$38,MATCH($AZ$2604,$B$33:$B$38,0),0)*(AV2697+$BA$2604)+$AW$2604*COUNTIF(AV2696:AV2696,"&gt;0")*$C$32+$AY$2604*$C$31)*$AU$2604),0)</f>
        <v>0</v>
      </c>
      <c r="AX2696">
        <f>IF(AV2696=0,0,-(COUNTIF(AV2696:AV2696,"&gt;0")*$AW$2604*$C$32+$AY$2604*$C$31)*$H$27*$AU$2604)</f>
        <v>0</v>
      </c>
      <c r="AY2696">
        <f>IF(AV2696=0,0,$AY$2604*$H$26*$AU$2604)</f>
        <v>0</v>
      </c>
      <c r="AZ2696">
        <f>(0.6*AW2696+0.7*AX2696)*$AU$2604/2</f>
        <v>0</v>
      </c>
      <c r="BA2696">
        <f>AW2696*$AU$2604/2</f>
        <v>0</v>
      </c>
      <c r="BC2696">
        <f>IF(AV2696=0,0,$BG$2604*$AP$2584)</f>
        <v>0</v>
      </c>
      <c r="BD2696">
        <f>IFERROR(BC2696/$AU$2604,0)</f>
        <v>0</v>
      </c>
      <c r="BE2696">
        <f>BC2696*($F$24+IF($F$24=0,0,($C$14+$C$15+IF($C$13="single",1.5,3)+3)/12))</f>
        <v>0</v>
      </c>
      <c r="BF2696">
        <f>BE2696-AZ2696</f>
        <v>0</v>
      </c>
      <c r="BG2696" cm="1">
        <f t="array" ref="BG2696">IFERROR(IF(BF2696&lt;0,0,BF2696/($AU$2604-INDEX(hd_off,MATCH(BT2696,hd_mark,0),0)/12)),0)</f>
        <v>0</v>
      </c>
      <c r="BH2696">
        <f>IF(AV2696=0,0,$BG$2604*$AM$2584)</f>
        <v>0</v>
      </c>
      <c r="BI2696">
        <f>IFERROR(BH2696/$AU$2604,0)</f>
        <v>0</v>
      </c>
      <c r="BJ2696">
        <f>BH2696*($F$24+IF($F$24=0,0,($C$14+$C$15+IF($C$13="single",1.5,3)+3)/12))</f>
        <v>0</v>
      </c>
      <c r="BK2696">
        <f>BJ2696-BA2696</f>
        <v>0</v>
      </c>
      <c r="BL2696" cm="1">
        <f t="array" ref="BL2696">IFERROR(IF(BK2696&lt;0,0,BK2696/($AU$2604-INDEX(hd_off,MATCH(BT2696,hd_mark,0),0)/12)),0)</f>
        <v>0</v>
      </c>
      <c r="BM2696">
        <f>MAX($F$24,$BE$2604)/$Q$2612</f>
        <v>0</v>
      </c>
      <c r="BN2696">
        <f t="shared" si="1656"/>
        <v>0</v>
      </c>
      <c r="BO2696" cm="1">
        <f t="array" ref="BO2696">IFERROR(INDEX(sheath_ecap_asd,MATCH(BS2696,sheath_mark,0),0)*BN2696,0)</f>
        <v>0</v>
      </c>
      <c r="BP2696" cm="1">
        <f t="array" ref="BP2696">IFERROR(INDEX(sheath_wcap_asd,MATCH(BS2696,sheath_mark,0),0)*BN2696,0)</f>
        <v>0</v>
      </c>
      <c r="BQ2696" cm="1">
        <f t="array" ref="BQ2696">IFERROR(INDEX(hd_cap,MATCH(BT2696,hd_mark,0),0),0)</f>
        <v>0</v>
      </c>
      <c r="BS2696" s="19"/>
      <c r="BT2696" s="19"/>
      <c r="BU2696" s="100"/>
    </row>
    <row r="2697" x14ac:dyDescent="0.25">
      <c r="P2697" s="93"/>
      <c r="Q2697" s="109"/>
      <c r="R2697" t="str">
        <f>$Q$2585</f>
        <v>Roof</v>
      </c>
      <c r="S2697">
        <f>$E$25</f>
        <v>33.171875</v>
      </c>
      <c r="T2697" cm="1">
        <f t="array" ref="T2697">IFERROR(IF(S2697=0,0,(INDEX($C$33:$C$38,MATCH($W$2604,$B$33:$B$38,0),0)*(S2697+$X$2604)+$V$2604*$C$31)*$R$2604),0)</f>
        <v>0</v>
      </c>
      <c r="U2697">
        <f>IF(S2697=0,0,-$V$2604*$C$31*$H$27*$R$2604)</f>
        <v>0</v>
      </c>
      <c r="V2697">
        <f>IF(S2697=0,0,$V$2604*$H$26*$R$2604)</f>
        <v>0</v>
      </c>
      <c r="W2697">
        <f>(0.6*T2697+0.7*U2697)*$R$2604/2</f>
        <v>0</v>
      </c>
      <c r="X2697">
        <f>T2697*$R$2604/2</f>
        <v>0</v>
      </c>
      <c r="Z2697">
        <f>IF(S2697=0,0,$AD$2604*$AP$2585)</f>
        <v>0</v>
      </c>
      <c r="AA2697">
        <f>IFERROR(Z2697/$R$2604,0)</f>
        <v>0</v>
      </c>
      <c r="AB2697">
        <f>Z2697*($F$25+($C$16+$C$17+IF($C$13="single",1.5,3)+3)/12)</f>
        <v>0</v>
      </c>
      <c r="AC2697">
        <f>AB2697-W2697</f>
        <v>0</v>
      </c>
      <c r="AD2697" cm="1">
        <f t="array" ref="AD2697">IFERROR(IF(AC2697&lt;0,0,AC2697/($R$2604-INDEX(hd_off,MATCH(AQ2697,hd_mark,0),0)/12)),0)</f>
        <v>0</v>
      </c>
      <c r="AE2697">
        <f>IF(S2697=0,0,$AD$2604*$AM$2585)</f>
        <v>0</v>
      </c>
      <c r="AF2697">
        <f>IFERROR(AE2697/$R$2604,0)</f>
        <v>0</v>
      </c>
      <c r="AG2697">
        <f>AE2697*($F$25+($C$16+$C$17+IF($C$13="single",1.5,3)+3)/12)</f>
        <v>0</v>
      </c>
      <c r="AH2697">
        <f>AG2697-X2697</f>
        <v>0</v>
      </c>
      <c r="AI2697" cm="1">
        <f t="array" ref="AI2697">IFERROR(IF(AH2697&lt;0,0,AH2697/($R$2604-INDEX(hd_off,MATCH(AQ2697,hd_mark,0),0)/12)),0)</f>
        <v>0</v>
      </c>
      <c r="AJ2697">
        <f>MAX($F$25,$AC$2604)/$Q$2612</f>
        <v>0.29920977011494249</v>
      </c>
      <c r="AK2697">
        <f t="shared" si="1655"/>
        <v>1</v>
      </c>
      <c r="AL2697" cm="1">
        <f t="array" ref="AL2697">IFERROR(INDEX(sheath_ecap_asd,MATCH(AP2697,sheath_mark,0),0)*AK2697,0)</f>
        <v>0</v>
      </c>
      <c r="AM2697" cm="1">
        <f t="array" ref="AM2697">IFERROR(INDEX(sheath_wcap_asd,MATCH(AP2697,sheath_mark,0),0)*AK2697,0)</f>
        <v>0</v>
      </c>
      <c r="AN2697" cm="1">
        <f t="array" ref="AN2697">IFERROR(INDEX(hd_cap,MATCH(AQ2697,hd_mark,0),0),0)</f>
        <v>0</v>
      </c>
      <c r="AP2697" s="19"/>
      <c r="AQ2697" s="19"/>
      <c r="AR2697" s="100"/>
      <c r="AS2697" s="93"/>
      <c r="AT2697" s="109"/>
      <c r="AU2697" t="str">
        <f>$Q$2585</f>
        <v>Roof</v>
      </c>
      <c r="AV2697">
        <f>$E$25</f>
        <v>33.171875</v>
      </c>
      <c r="AW2697" cm="1">
        <f t="array" ref="AW2697">IFERROR(IF(AV2697=0,0,(INDEX($C$33:$C$38,MATCH($AZ$2604,$B$33:$B$38,0),0)*(AV2697+$BA$2604)+$AY$2604*$C$31)*$AU$2604),0)</f>
        <v>0</v>
      </c>
      <c r="AX2697">
        <f>IF(AV2697=0,0,-$AY$2604*$C$31*$H$27*$AU$2604)</f>
        <v>0</v>
      </c>
      <c r="AY2697">
        <f>IF(AV2697=0,0,$AY$2604*$H$26*$AU$2604)</f>
        <v>0</v>
      </c>
      <c r="AZ2697">
        <f>(0.6*AW2697+0.7*AX2697)*$AU$2604/2</f>
        <v>0</v>
      </c>
      <c r="BA2697">
        <f>AW2697*$AU$2604/2</f>
        <v>0</v>
      </c>
      <c r="BC2697">
        <f>IF(AV2697=0,0,$BG$2604*$AP$2585)</f>
        <v>0</v>
      </c>
      <c r="BD2697">
        <f>IFERROR(BC2697/$AU$2604,0)</f>
        <v>0</v>
      </c>
      <c r="BE2697">
        <f>BC2697*($F$25+($C$16+$C$17+IF($C$13="single",1.5,3)+3)/12)</f>
        <v>0</v>
      </c>
      <c r="BF2697">
        <f>BE2697-AZ2697</f>
        <v>0</v>
      </c>
      <c r="BG2697" cm="1">
        <f t="array" ref="BG2697">IFERROR(IF(BF2697&lt;0,0,BF2697/($AU$2604-INDEX(hd_off,MATCH(BT2697,hd_mark,0),0)/12)),0)</f>
        <v>0</v>
      </c>
      <c r="BH2697">
        <f>IF(AV2697=0,0,$BG$2604*$AM$2585)</f>
        <v>0</v>
      </c>
      <c r="BI2697">
        <f>IFERROR(BH2697/$AU$2604,0)</f>
        <v>0</v>
      </c>
      <c r="BJ2697">
        <f>BH2697*($F$25+($C$16+$C$17+IF($C$13="single",1.5,3)+3)/12)</f>
        <v>0</v>
      </c>
      <c r="BK2697">
        <f>BJ2697-BA2697</f>
        <v>0</v>
      </c>
      <c r="BL2697" cm="1">
        <f t="array" ref="BL2697">IFERROR(IF(BK2697&lt;0,0,BK2697/($AU$2604-INDEX(hd_off,MATCH(BT2697,hd_mark,0),0)/12)),0)</f>
        <v>0</v>
      </c>
      <c r="BM2697">
        <f>MAX($F$25,$BF$2604)/$Q$2612</f>
        <v>0.29920977011494249</v>
      </c>
      <c r="BN2697">
        <f t="shared" si="1656"/>
        <v>1</v>
      </c>
      <c r="BO2697" cm="1">
        <f t="array" ref="BO2697">IFERROR(INDEX(sheath_ecap_asd,MATCH(BS2697,sheath_mark,0),0)*BN2697,0)</f>
        <v>0</v>
      </c>
      <c r="BP2697" cm="1">
        <f t="array" ref="BP2697">IFERROR(INDEX(sheath_wcap_asd,MATCH(BS2697,sheath_mark,0),0)*BN2697,0)</f>
        <v>0</v>
      </c>
      <c r="BQ2697" cm="1">
        <f t="array" ref="BQ2697">IFERROR(INDEX(hd_cap,MATCH(BT2697,hd_mark,0),0),0)</f>
        <v>0</v>
      </c>
      <c r="BS2697" s="19"/>
      <c r="BT2697" s="19"/>
      <c r="BU2697" s="100"/>
    </row>
    <row r="2698" x14ac:dyDescent="0.25">
      <c r="P2698" s="93"/>
      <c r="AR2698" s="100"/>
      <c r="AS2698" s="93"/>
      <c r="BU2698" s="100"/>
    </row>
    <row r="2699" x14ac:dyDescent="0.25">
      <c r="P2699" s="93"/>
      <c r="Q2699" s="110" t="str">
        <f>$Q$2605</f>
        <v>A.16</v>
      </c>
      <c r="R2699" t="str">
        <f>$Q$2581</f>
        <v>L2</v>
      </c>
      <c r="S2699">
        <f>$E$21</f>
        <v>10.6875</v>
      </c>
      <c r="T2699" cm="1">
        <f t="array" ref="T2699">IFERROR(IF(S2699=0,0,(INDEX($C$33:$C$38,MATCH($W$2605,$B$33:$B$38,0),0)*(S2703+$X$2605)+$T$2605*COUNTIF(S2699:S2702,"&gt;0")*$C$32+$V$2605*$C$31)*$R$2605),0)</f>
        <v>0</v>
      </c>
      <c r="U2699">
        <f>IF(S2699=0,0,-(COUNTIF(S2699:S2702,"&gt;0")*$T$2605*$C$32+$V$2605*$C$31)*$H$27*$R$2605)</f>
        <v>0</v>
      </c>
      <c r="V2699">
        <f>IF(S2699=0,0,$V$2605*$H$26*$R$2605)</f>
        <v>0</v>
      </c>
      <c r="W2699">
        <f>(0.6*T2699+0.7*U2699)*$R$2605/2</f>
        <v>0</v>
      </c>
      <c r="X2699">
        <f>(0.6*T2699+0.6*V2699)*$R$2605/2</f>
        <v>0</v>
      </c>
      <c r="Z2699">
        <f>IF(S2699=0,0,$AD$2605*$AP$2581)</f>
        <v>0</v>
      </c>
      <c r="AA2699">
        <f>IFERROR(Z2699/$R$2605,0)</f>
        <v>0</v>
      </c>
      <c r="AB2699">
        <f>Z2699*($F$21+IF($F$21=0,0,($C$14+$C$15+IF($C$13="single",1.5,3)+3)/12))</f>
        <v>0</v>
      </c>
      <c r="AC2699">
        <f>AB2699-W2699</f>
        <v>0</v>
      </c>
      <c r="AD2699" cm="1">
        <f t="array" ref="AD2699">IFERROR(IF(AC2699&lt;0,0,AC2699/($R$2605-INDEX(hd_off,MATCH(AQ2699,hd_mark,0),0)/12)),0)</f>
        <v>0</v>
      </c>
      <c r="AE2699">
        <f>IF(S2699=0,0,$AD$2605*$AM$2581)</f>
        <v>0</v>
      </c>
      <c r="AF2699">
        <f>IFERROR(AE2699/$R$2605,0)</f>
        <v>0</v>
      </c>
      <c r="AG2699">
        <f>AE2699*($F$21+IF($F$21=0,0,($C$14+$C$15+IF($C$13="single",1.5,3)+3)/12))</f>
        <v>0</v>
      </c>
      <c r="AH2699">
        <f>AG2699-X2699</f>
        <v>0</v>
      </c>
      <c r="AI2699" cm="1">
        <f t="array" ref="AI2699">IFERROR(IF(AH2699&lt;0,0,AH2699/($R$2605-INDEX(hd_off,MATCH(AQ2699,hd_mark,0),0)/12)),0)</f>
        <v>0</v>
      </c>
      <c r="AJ2699">
        <f>MAX($F$21,$Y$2605)/$Q$2612</f>
        <v>0.30172413793103448</v>
      </c>
      <c r="AK2699">
        <f>IF(AJ2699=0,0,IF(AJ2699&gt;2,1.25-0.125*AJ2699,1))</f>
        <v>1</v>
      </c>
      <c r="AL2699" cm="1">
        <f t="array" ref="AL2699">IFERROR(INDEX(sheath_ecap_asd,MATCH(AP2699,sheath_mark,0),0)*AK2699,0)</f>
        <v>0</v>
      </c>
      <c r="AM2699" cm="1">
        <f t="array" ref="AM2699">IFERROR(INDEX(sheath_wcap_asd,MATCH(AP2699,sheath_mark,0),0)*AK2699,0)</f>
        <v>0</v>
      </c>
      <c r="AN2699" cm="1">
        <f t="array" ref="AN2699">IFERROR(INDEX(hd_cap,MATCH(AQ2699,hd_mark,0),0),0)</f>
        <v>0</v>
      </c>
      <c r="AP2699" s="19"/>
      <c r="AQ2699" s="19"/>
      <c r="AR2699" s="100"/>
      <c r="AS2699" s="93"/>
      <c r="AT2699" s="110" t="str">
        <f>$AT$2605</f>
        <v>1.16</v>
      </c>
      <c r="AU2699" t="str">
        <f>$Q$2581</f>
        <v>L2</v>
      </c>
      <c r="AV2699">
        <f>$E$21</f>
        <v>10.6875</v>
      </c>
      <c r="AW2699" cm="1">
        <f t="array" ref="AW2699">IFERROR(IF(AV2699=0,0,(INDEX($C$33:$C$38,MATCH($AZ$2605,$B$33:$B$38,0),0)*(AV2703+$BA$2605)+$AW$2605*COUNTIF(AV2699:AV2702,"&gt;0")*$C$32+$AY$2605*$C$31)*$AU$2605),0)</f>
        <v>0</v>
      </c>
      <c r="AX2699">
        <f>IF(AV2699=0,0,-(COUNTIF(AV2699:AV2702,"&gt;0")*$AW$2605*$C$32+$AY$2605*$C$31)*$H$27*$AU$2605)</f>
        <v>0</v>
      </c>
      <c r="AY2699">
        <f>IF(AV2699=0,0,$AY$2605*$H$26*$AU$2605)</f>
        <v>0</v>
      </c>
      <c r="AZ2699">
        <f>(0.6*AW2699+0.7*AX2699)*$AU$2605/2</f>
        <v>0</v>
      </c>
      <c r="BA2699">
        <f>(0.6*AW2699+0.6*AY2699)*$AU$2605/2</f>
        <v>0</v>
      </c>
      <c r="BC2699">
        <f>IF(AV2699=0,0,$BG$2605*$AP$2581)</f>
        <v>0</v>
      </c>
      <c r="BD2699">
        <f>IFERROR(BC2699/$AU$2605,0)</f>
        <v>0</v>
      </c>
      <c r="BE2699">
        <f>BC2699*($F$21+IF($F$21=0,0,($C$14+$C$15+IF($C$13="single",1.5,3)+3)/12))</f>
        <v>0</v>
      </c>
      <c r="BF2699">
        <f>BE2699-AZ2699</f>
        <v>0</v>
      </c>
      <c r="BG2699" cm="1">
        <f t="array" ref="BG2699">IFERROR(IF(BF2699&lt;0,0,BF2699/($AU$2605-INDEX(hd_off,MATCH(BT2699,hd_mark,0),0)/12)),0)</f>
        <v>0</v>
      </c>
      <c r="BH2699">
        <f>IF(AV2699=0,0,$BG$2605*$AM$2581)</f>
        <v>0</v>
      </c>
      <c r="BI2699">
        <f>IFERROR(BH2699/$AU$2605,0)</f>
        <v>0</v>
      </c>
      <c r="BJ2699">
        <f>BH2699*($F$21+IF($F$21=0,0,($C$14+$C$15+IF($C$13="single",1.5,3)+3)/12))</f>
        <v>0</v>
      </c>
      <c r="BK2699">
        <f>BJ2699-BA2699</f>
        <v>0</v>
      </c>
      <c r="BL2699" cm="1">
        <f t="array" ref="BL2699">IFERROR(IF(BK2699&lt;0,0,BK2699/($AU$2605-INDEX(hd_off,MATCH(BT2699,hd_mark,0),0)/12)),0)</f>
        <v>0</v>
      </c>
      <c r="BM2699">
        <f>MAX($F$21,$BB$2605)/$Q$2612</f>
        <v>0.30172413793103448</v>
      </c>
      <c r="BN2699">
        <f>IF(BM2699=0,0,IF(BM2699&gt;2,1.25-0.125*BM2699,1))</f>
        <v>1</v>
      </c>
      <c r="BO2699" cm="1">
        <f t="array" ref="BO2699">IFERROR(INDEX(sheath_ecap_asd,MATCH(BS2699,sheath_mark,0),0)*BN2699,0)</f>
        <v>0</v>
      </c>
      <c r="BP2699" cm="1">
        <f t="array" ref="BP2699">IFERROR(INDEX(sheath_wcap_asd,MATCH(BS2699,sheath_mark,0),0)*BN2699,0)</f>
        <v>0</v>
      </c>
      <c r="BQ2699" cm="1">
        <f t="array" ref="BQ2699">IFERROR(INDEX(hd_cap,MATCH(BT2699,hd_mark,0),0),0)</f>
        <v>0</v>
      </c>
      <c r="BS2699" s="19"/>
      <c r="BT2699" s="19"/>
      <c r="BU2699" s="100"/>
    </row>
    <row r="2700" x14ac:dyDescent="0.25">
      <c r="P2700" s="93"/>
      <c r="Q2700" s="109"/>
      <c r="R2700" t="str">
        <f>$Q$2582</f>
        <v>L3</v>
      </c>
      <c r="S2700">
        <f>$E$22</f>
        <v>21.375</v>
      </c>
      <c r="T2700" cm="1">
        <f t="array" ref="T2700">IFERROR(IF(S2700=0,0,(INDEX($C$33:$C$38,MATCH($W$2605,$B$33:$B$38,0),0)*(S2703+$X$2605)+$T$2605*COUNTIF(S2700:S2702,"&gt;0")*$C$32+$V$2605*$C$31)*$R$2605),0)</f>
        <v>0</v>
      </c>
      <c r="U2700">
        <f>IF(S2700=0,0,-(COUNTIF(S2700:S2702,"&gt;0")*$T$2605*$C$32+$V$2605*$C$31)*$H$27*$R$2605)</f>
        <v>0</v>
      </c>
      <c r="V2700">
        <f>IF(S2700=0,0,$V$2605*$H$26*$R$2605)</f>
        <v>0</v>
      </c>
      <c r="W2700">
        <f>(0.6*T2700+0.7*U2700)*$R$2605/2</f>
        <v>0</v>
      </c>
      <c r="X2700">
        <f>T2700*$R$2605/2</f>
        <v>0</v>
      </c>
      <c r="Z2700">
        <f>IF(S2700=0,0,$AD$2605*$AP$2582)</f>
        <v>0</v>
      </c>
      <c r="AA2700">
        <f>IFERROR(Z2700/$R$2605,0)</f>
        <v>0</v>
      </c>
      <c r="AB2700">
        <f>Z2700*($F$22+IF($F$22=0,0,($C$14+$C$15+IF($C$13="single",1.5,3)+3)/12))</f>
        <v>0</v>
      </c>
      <c r="AC2700">
        <f>AB2700-W2700</f>
        <v>0</v>
      </c>
      <c r="AD2700" cm="1">
        <f t="array" ref="AD2700">IFERROR(IF(AC2700&lt;0,0,AC2700/($R$2605-INDEX(hd_off,MATCH(AQ2700,hd_mark,0),0)/12)),0)</f>
        <v>0</v>
      </c>
      <c r="AE2700">
        <f>IF(S2700=0,0,$AD$2605*$AM$2582)</f>
        <v>0</v>
      </c>
      <c r="AF2700">
        <f>IFERROR(AE2700/$R$2605,0)</f>
        <v>0</v>
      </c>
      <c r="AG2700">
        <f>AE2700*($F$22+IF($F$22=0,0,($C$14+$C$15+IF($C$13="single",1.5,3)+3)/12))</f>
        <v>0</v>
      </c>
      <c r="AH2700">
        <f>AG2700-X2700</f>
        <v>0</v>
      </c>
      <c r="AI2700" cm="1">
        <f t="array" ref="AI2700">IFERROR(IF(AH2700&lt;0,0,AH2700/($R$2605-INDEX(hd_off,MATCH(AQ2700,hd_mark,0),0)/12)),0)</f>
        <v>0</v>
      </c>
      <c r="AJ2700">
        <f>MAX($F$22,$Z$2605)/$Q$2612</f>
        <v>0.30172413793103448</v>
      </c>
      <c r="AK2700">
        <f t="shared" ref="AK2700:AK2703" si="1657">IF(AJ2700=0,0,IF(AJ2700&gt;2,1.25-0.125*AJ2700,1))</f>
        <v>1</v>
      </c>
      <c r="AL2700" cm="1">
        <f t="array" ref="AL2700">IFERROR(INDEX(sheath_ecap_asd,MATCH(AP2700,sheath_mark,0),0)*AK2700,0)</f>
        <v>0</v>
      </c>
      <c r="AM2700" cm="1">
        <f t="array" ref="AM2700">IFERROR(INDEX(sheath_wcap_asd,MATCH(AP2700,sheath_mark,0),0)*AK2700,0)</f>
        <v>0</v>
      </c>
      <c r="AN2700" cm="1">
        <f t="array" ref="AN2700">IFERROR(INDEX(hd_cap,MATCH(AQ2700,hd_mark,0),0),0)</f>
        <v>0</v>
      </c>
      <c r="AP2700" s="19"/>
      <c r="AQ2700" s="19"/>
      <c r="AR2700" s="100"/>
      <c r="AS2700" s="93"/>
      <c r="AT2700" s="109"/>
      <c r="AU2700" t="str">
        <f>$Q$2582</f>
        <v>L3</v>
      </c>
      <c r="AV2700">
        <f>$E$22</f>
        <v>21.375</v>
      </c>
      <c r="AW2700" cm="1">
        <f t="array" ref="AW2700">IFERROR(IF(AV2700=0,0,(INDEX($C$33:$C$38,MATCH($AZ$2605,$B$33:$B$38,0),0)*(AV2703+$BA$2605)+$AW$2605*COUNTIF(AV2700:AV2702,"&gt;0")*$C$32+$AY$2605*$C$31)*$AU$2605),0)</f>
        <v>0</v>
      </c>
      <c r="AX2700">
        <f>IF(AV2700=0,0,-(COUNTIF(AV2700:AV2702,"&gt;0")*$AW$2605*$C$32+$AY$2605*$C$31)*$H$27*$AU$2605)</f>
        <v>0</v>
      </c>
      <c r="AY2700">
        <f>IF(AV2700=0,0,$AY$2605*$H$26*$AU$2605)</f>
        <v>0</v>
      </c>
      <c r="AZ2700">
        <f>(0.6*AW2700+0.7*AX2700)*$AU$2605/2</f>
        <v>0</v>
      </c>
      <c r="BA2700">
        <f>AW2700*$AU$2605/2</f>
        <v>0</v>
      </c>
      <c r="BC2700">
        <f>IF(AV2700=0,0,$BG$2605*$AP$2582)</f>
        <v>0</v>
      </c>
      <c r="BD2700">
        <f>IFERROR(BC2700/$AU$2605,0)</f>
        <v>0</v>
      </c>
      <c r="BE2700">
        <f>BC2700*($F$22+IF($F$22=0,0,($C$14+$C$15+IF($C$13="single",1.5,3)+3)/12))</f>
        <v>0</v>
      </c>
      <c r="BF2700">
        <f>BE2700-AZ2700</f>
        <v>0</v>
      </c>
      <c r="BG2700" cm="1">
        <f t="array" ref="BG2700">IFERROR(IF(BF2700&lt;0,0,BF2700/($AU$2605-INDEX(hd_off,MATCH(BT2700,hd_mark,0),0)/12)),0)</f>
        <v>0</v>
      </c>
      <c r="BH2700">
        <f>IF(AV2700=0,0,$BG$2605*$AM$2582)</f>
        <v>0</v>
      </c>
      <c r="BI2700">
        <f>IFERROR(BH2700/$AU$2605,0)</f>
        <v>0</v>
      </c>
      <c r="BJ2700">
        <f>BH2700*($F$22+IF($F$22=0,0,($C$14+$C$15+IF($C$13="single",1.5,3)+3)/12))</f>
        <v>0</v>
      </c>
      <c r="BK2700">
        <f>BJ2700-BA2700</f>
        <v>0</v>
      </c>
      <c r="BL2700" cm="1">
        <f t="array" ref="BL2700">IFERROR(IF(BK2700&lt;0,0,BK2700/($AU$2605-INDEX(hd_off,MATCH(BT2700,hd_mark,0),0)/12)),0)</f>
        <v>0</v>
      </c>
      <c r="BM2700">
        <f>MAX($F$22,$BC$2605)/$Q$2612</f>
        <v>0.30172413793103448</v>
      </c>
      <c r="BN2700">
        <f t="shared" ref="BN2700:BN2702" si="1658">IF(BM2700=0,0,IF(BM2700&gt;2,1.25-0.125*BM2700,1))</f>
        <v>1</v>
      </c>
      <c r="BO2700" cm="1">
        <f t="array" ref="BO2700">IFERROR(INDEX(sheath_ecap_asd,MATCH(BS2700,sheath_mark,0),0)*BN2700,0)</f>
        <v>0</v>
      </c>
      <c r="BP2700" cm="1">
        <f t="array" ref="BP2700">IFERROR(INDEX(sheath_wcap_asd,MATCH(BS2700,sheath_mark,0),0)*BN2700,0)</f>
        <v>0</v>
      </c>
      <c r="BQ2700" cm="1">
        <f t="array" ref="BQ2700">IFERROR(INDEX(hd_cap,MATCH(BT2700,hd_mark,0),0),0)</f>
        <v>0</v>
      </c>
      <c r="BS2700" s="19"/>
      <c r="BT2700" s="19"/>
      <c r="BU2700" s="100"/>
    </row>
    <row r="2701" x14ac:dyDescent="0.25">
      <c r="P2701" s="93"/>
      <c r="Q2701" s="109" t="s">
        <v>491</v>
      </c>
      <c r="R2701" t="str">
        <f>$Q$2583</f>
        <v>L4</v>
      </c>
      <c r="S2701">
        <f>$E$23</f>
        <v>0</v>
      </c>
      <c r="T2701" cm="1">
        <f t="array" ref="T2701">IFERROR(IF(S2701=0,0,(INDEX($C$33:$C$38,MATCH($W$2605,$B$33:$B$38,0),0)*(S2703+$X$2605)+$T$2605*COUNTIF(S2701:S2702,"&gt;0")*$C$32+$V$2605*$C$31)*$R$2605),0)</f>
        <v>0</v>
      </c>
      <c r="U2701">
        <f>IF(S2701=0,0,-(COUNTIF(S2701:S2702,"&gt;0")*$T$2605*$C$32+$V$2605*$C$31)*$H$27*$R$2605)</f>
        <v>0</v>
      </c>
      <c r="V2701">
        <f>IF(S2701=0,0,$V$2605*$H$26*$R$2605)</f>
        <v>0</v>
      </c>
      <c r="W2701">
        <f>(0.6*T2701+0.7*U2701)*$R$2605/2</f>
        <v>0</v>
      </c>
      <c r="X2701">
        <f>T2701*$R$2605/2</f>
        <v>0</v>
      </c>
      <c r="Z2701">
        <f>IF(S2701=0,0,$AD$2605*$AP$2583)</f>
        <v>0</v>
      </c>
      <c r="AA2701">
        <f>IFERROR(Z2701/$R$2605,0)</f>
        <v>0</v>
      </c>
      <c r="AB2701">
        <f>Z2701*($F$23+IF($F$23=0,0,($C$14+$C$15+IF($C$13="single",1.5,3)+3)/12))</f>
        <v>0</v>
      </c>
      <c r="AC2701">
        <f>AB2701-W2701</f>
        <v>0</v>
      </c>
      <c r="AD2701" cm="1">
        <f t="array" ref="AD2701">IFERROR(IF(AC2701&lt;0,0,AC2701/($R$2605-INDEX(hd_off,MATCH(AQ2701,hd_mark,0),0)/12)),0)</f>
        <v>0</v>
      </c>
      <c r="AE2701">
        <f>IF(S2701=0,0,$AD$2605*$AM$2583)</f>
        <v>0</v>
      </c>
      <c r="AF2701">
        <f>IFERROR(AE2701/$R$2605,0)</f>
        <v>0</v>
      </c>
      <c r="AG2701">
        <f>AE2701*($F$23+IF($F$23=0,0,($C$14+$C$15+IF($C$13="single",1.5,3)+3)/12))</f>
        <v>0</v>
      </c>
      <c r="AH2701">
        <f>AG2701-X2701</f>
        <v>0</v>
      </c>
      <c r="AI2701" cm="1">
        <f t="array" ref="AI2701">IFERROR(IF(AH2701&lt;0,0,AH2701/($R$2605-INDEX(hd_off,MATCH(AQ2701,hd_mark,0),0)/12)),0)</f>
        <v>0</v>
      </c>
      <c r="AJ2701">
        <f>MAX($F$23,$AA$2605)/$Q$2612</f>
        <v>0</v>
      </c>
      <c r="AK2701">
        <f t="shared" si="1657"/>
        <v>0</v>
      </c>
      <c r="AL2701" cm="1">
        <f t="array" ref="AL2701">IFERROR(INDEX(sheath_ecap_asd,MATCH(AP2701,sheath_mark,0),0)*AK2701,0)</f>
        <v>0</v>
      </c>
      <c r="AM2701" cm="1">
        <f t="array" ref="AM2701">IFERROR(INDEX(sheath_wcap_asd,MATCH(AP2701,sheath_mark,0),0)*AK2701,0)</f>
        <v>0</v>
      </c>
      <c r="AN2701" cm="1">
        <f t="array" ref="AN2701">IFERROR(INDEX(hd_cap,MATCH(AQ2701,hd_mark,0),0),0)</f>
        <v>0</v>
      </c>
      <c r="AP2701" s="19"/>
      <c r="AQ2701" s="19"/>
      <c r="AR2701" s="100"/>
      <c r="AS2701" s="93"/>
      <c r="AT2701" s="109" t="s">
        <v>491</v>
      </c>
      <c r="AU2701" t="str">
        <f>$Q$2583</f>
        <v>L4</v>
      </c>
      <c r="AV2701">
        <f>$E$23</f>
        <v>0</v>
      </c>
      <c r="AW2701" cm="1">
        <f t="array" ref="AW2701">IFERROR(IF(AV2701=0,0,(INDEX($C$33:$C$38,MATCH($AZ$2605,$B$33:$B$38,0),0)*(AV2703+$BA$2605)+$AW$2605*COUNTIF(AV2701:AV2702,"&gt;0")*$C$32+$AY$2605*$C$31)*$AU$2605),0)</f>
        <v>0</v>
      </c>
      <c r="AX2701">
        <f>IF(AV2701=0,0,-(COUNTIF(AV2701:AV2702,"&gt;0")*$AW$2605*$C$32+$AY$2605*$C$31)*$H$27*$AU$2605)</f>
        <v>0</v>
      </c>
      <c r="AY2701">
        <f>IF(AV2701=0,0,$AY$2605*$H$26*$AU$2605)</f>
        <v>0</v>
      </c>
      <c r="AZ2701">
        <f>(0.6*AW2701+0.7*AX2701)*$AU$2605/2</f>
        <v>0</v>
      </c>
      <c r="BA2701">
        <f>AW2701*$AU$2605/2</f>
        <v>0</v>
      </c>
      <c r="BC2701">
        <f>IF(AV2701=0,0,$BG$2605*$AP$2583)</f>
        <v>0</v>
      </c>
      <c r="BD2701">
        <f>IFERROR(BC2701/$AU$2605,0)</f>
        <v>0</v>
      </c>
      <c r="BE2701">
        <f>BC2701*($F$23+IF($F$23=0,0,($C$14+$C$15+IF($C$13="single",1.5,3)+3)/12))</f>
        <v>0</v>
      </c>
      <c r="BF2701">
        <f>BE2701-AZ2701</f>
        <v>0</v>
      </c>
      <c r="BG2701" cm="1">
        <f t="array" ref="BG2701">IFERROR(IF(BF2701&lt;0,0,BF2701/($AU$2605-INDEX(hd_off,MATCH(BT2701,hd_mark,0),0)/12)),0)</f>
        <v>0</v>
      </c>
      <c r="BH2701">
        <f>IF(AV2701=0,0,$BG$2605*$AM$2583)</f>
        <v>0</v>
      </c>
      <c r="BI2701">
        <f>IFERROR(BH2701/$AU$2605,0)</f>
        <v>0</v>
      </c>
      <c r="BJ2701">
        <f>BH2701*($F$23+IF($F$23=0,0,($C$14+$C$15+IF($C$13="single",1.5,3)+3)/12))</f>
        <v>0</v>
      </c>
      <c r="BK2701">
        <f>BJ2701-BA2701</f>
        <v>0</v>
      </c>
      <c r="BL2701" cm="1">
        <f t="array" ref="BL2701">IFERROR(IF(BK2701&lt;0,0,BK2701/($AU$2605-INDEX(hd_off,MATCH(BT2701,hd_mark,0),0)/12)),0)</f>
        <v>0</v>
      </c>
      <c r="BM2701">
        <f>MAX($F$23,$BD$2605)/$Q$2612</f>
        <v>0</v>
      </c>
      <c r="BN2701">
        <f t="shared" si="1658"/>
        <v>0</v>
      </c>
      <c r="BO2701" cm="1">
        <f t="array" ref="BO2701">IFERROR(INDEX(sheath_ecap_asd,MATCH(BS2701,sheath_mark,0),0)*BN2701,0)</f>
        <v>0</v>
      </c>
      <c r="BP2701" cm="1">
        <f t="array" ref="BP2701">IFERROR(INDEX(sheath_wcap_asd,MATCH(BS2701,sheath_mark,0),0)*BN2701,0)</f>
        <v>0</v>
      </c>
      <c r="BQ2701" cm="1">
        <f t="array" ref="BQ2701">IFERROR(INDEX(hd_cap,MATCH(BT2701,hd_mark,0),0),0)</f>
        <v>0</v>
      </c>
      <c r="BS2701" s="19"/>
      <c r="BT2701" s="19"/>
      <c r="BU2701" s="100"/>
    </row>
    <row r="2702" x14ac:dyDescent="0.25">
      <c r="P2702" s="93"/>
      <c r="Q2702" s="111">
        <f>$R$2605</f>
        <v>0</v>
      </c>
      <c r="R2702" t="str">
        <f>$Q$2584</f>
        <v>L5</v>
      </c>
      <c r="S2702">
        <f>$E$24</f>
        <v>0</v>
      </c>
      <c r="T2702" cm="1">
        <f t="array" ref="T2702">IFERROR(IF(S2702=0,0,(INDEX($C$33:$C$38,MATCH($W$2605,$B$33:$B$38,0),0)*(S2703+$X$2605)+$T$2605*COUNTIF(S2702:S2702,"&gt;0")*$C$32+$V$2605*$C$31)*$R$2605),0)</f>
        <v>0</v>
      </c>
      <c r="U2702">
        <f>IF(S2702=0,0,-(COUNTIF(S2702:S2702,"&gt;0")*$T$2605*$C$32+$V$2605*$C$31)*$H$27*$R$2605)</f>
        <v>0</v>
      </c>
      <c r="V2702">
        <f>IF(S2702=0,0,$V$2605*$H$26*$R$2605)</f>
        <v>0</v>
      </c>
      <c r="W2702">
        <f>(0.6*T2702+0.7*U2702)*$R$2605/2</f>
        <v>0</v>
      </c>
      <c r="X2702">
        <f>T2702*$R$2605/2</f>
        <v>0</v>
      </c>
      <c r="Z2702">
        <f>IF(S2702=0,0,$AD$2605*$AP$2584)</f>
        <v>0</v>
      </c>
      <c r="AA2702">
        <f>IFERROR(Z2702/$R$2605,0)</f>
        <v>0</v>
      </c>
      <c r="AB2702">
        <f>Z2702*($F$24+IF($F$24=0,0,($C$14+$C$15+IF($C$13="single",1.5,3)+3)/12))</f>
        <v>0</v>
      </c>
      <c r="AC2702">
        <f>AB2702-W2702</f>
        <v>0</v>
      </c>
      <c r="AD2702" cm="1">
        <f t="array" ref="AD2702">IFERROR(IF(AC2702&lt;0,0,AC2702/($R$2605-INDEX(hd_off,MATCH(AQ2702,hd_mark,0),0)/12)),0)</f>
        <v>0</v>
      </c>
      <c r="AE2702">
        <f>IF(S2702=0,0,$AD$2605*$AM$2584)</f>
        <v>0</v>
      </c>
      <c r="AF2702">
        <f>IFERROR(AE2702/$R$2605,0)</f>
        <v>0</v>
      </c>
      <c r="AG2702">
        <f>AE2702*($F$24+IF($F$24=0,0,($C$14+$C$15+IF($C$13="single",1.5,3)+3)/12))</f>
        <v>0</v>
      </c>
      <c r="AH2702">
        <f>AG2702-X2702</f>
        <v>0</v>
      </c>
      <c r="AI2702" cm="1">
        <f t="array" ref="AI2702">IFERROR(IF(AH2702&lt;0,0,AH2702/($R$2605-INDEX(hd_off,MATCH(AQ2702,hd_mark,0),0)/12)),0)</f>
        <v>0</v>
      </c>
      <c r="AJ2702">
        <f>MAX($F$24,$AB$2605)/$Q$2612</f>
        <v>0</v>
      </c>
      <c r="AK2702">
        <f t="shared" si="1657"/>
        <v>0</v>
      </c>
      <c r="AL2702" cm="1">
        <f t="array" ref="AL2702">IFERROR(INDEX(sheath_ecap_asd,MATCH(AP2702,sheath_mark,0),0)*AK2702,0)</f>
        <v>0</v>
      </c>
      <c r="AM2702" cm="1">
        <f t="array" ref="AM2702">IFERROR(INDEX(sheath_wcap_asd,MATCH(AP2702,sheath_mark,0),0)*AK2702,0)</f>
        <v>0</v>
      </c>
      <c r="AN2702" cm="1">
        <f t="array" ref="AN2702">IFERROR(INDEX(hd_cap,MATCH(AQ2702,hd_mark,0),0),0)</f>
        <v>0</v>
      </c>
      <c r="AP2702" s="19"/>
      <c r="AQ2702" s="19"/>
      <c r="AR2702" s="100"/>
      <c r="AS2702" s="93"/>
      <c r="AT2702" s="111">
        <f>$R$2605</f>
        <v>0</v>
      </c>
      <c r="AU2702" t="str">
        <f>$Q$2584</f>
        <v>L5</v>
      </c>
      <c r="AV2702">
        <f>$E$24</f>
        <v>0</v>
      </c>
      <c r="AW2702" cm="1">
        <f t="array" ref="AW2702">IFERROR(IF(AV2702=0,0,(INDEX($C$33:$C$38,MATCH($AZ$2605,$B$33:$B$38,0),0)*(AV2703+$BA$2605)+$AW$2605*COUNTIF(AV2702:AV2702,"&gt;0")*$C$32+$AY$2605*$C$31)*$AU$2605),0)</f>
        <v>0</v>
      </c>
      <c r="AX2702">
        <f>IF(AV2702=0,0,-(COUNTIF(AV2702:AV2702,"&gt;0")*$AW$2605*$C$32+$AY$2605*$C$31)*$H$27*$AU$2605)</f>
        <v>0</v>
      </c>
      <c r="AY2702">
        <f>IF(AV2702=0,0,$AY$2605*$H$26*$AU$2605)</f>
        <v>0</v>
      </c>
      <c r="AZ2702">
        <f>(0.6*AW2702+0.7*AX2702)*$AU$2605/2</f>
        <v>0</v>
      </c>
      <c r="BA2702">
        <f>AW2702*$AU$2605/2</f>
        <v>0</v>
      </c>
      <c r="BC2702">
        <f>IF(AV2702=0,0,$BG$2605*$AP$2584)</f>
        <v>0</v>
      </c>
      <c r="BD2702">
        <f>IFERROR(BC2702/$AU$2605,0)</f>
        <v>0</v>
      </c>
      <c r="BE2702">
        <f>BC2702*($F$24+IF($F$24=0,0,($C$14+$C$15+IF($C$13="single",1.5,3)+3)/12))</f>
        <v>0</v>
      </c>
      <c r="BF2702">
        <f>BE2702-AZ2702</f>
        <v>0</v>
      </c>
      <c r="BG2702" cm="1">
        <f t="array" ref="BG2702">IFERROR(IF(BF2702&lt;0,0,BF2702/($AU$2605-INDEX(hd_off,MATCH(BT2702,hd_mark,0),0)/12)),0)</f>
        <v>0</v>
      </c>
      <c r="BH2702">
        <f>IF(AV2702=0,0,$BG$2605*$AM$2584)</f>
        <v>0</v>
      </c>
      <c r="BI2702">
        <f>IFERROR(BH2702/$AU$2605,0)</f>
        <v>0</v>
      </c>
      <c r="BJ2702">
        <f>BH2702*($F$24+IF($F$24=0,0,($C$14+$C$15+IF($C$13="single",1.5,3)+3)/12))</f>
        <v>0</v>
      </c>
      <c r="BK2702">
        <f>BJ2702-BA2702</f>
        <v>0</v>
      </c>
      <c r="BL2702" cm="1">
        <f t="array" ref="BL2702">IFERROR(IF(BK2702&lt;0,0,BK2702/($AU$2605-INDEX(hd_off,MATCH(BT2702,hd_mark,0),0)/12)),0)</f>
        <v>0</v>
      </c>
      <c r="BM2702">
        <f>MAX($F$24,$BE$2605)/$Q$2612</f>
        <v>0</v>
      </c>
      <c r="BN2702">
        <f t="shared" si="1658"/>
        <v>0</v>
      </c>
      <c r="BO2702" cm="1">
        <f t="array" ref="BO2702">IFERROR(INDEX(sheath_ecap_asd,MATCH(BS2702,sheath_mark,0),0)*BN2702,0)</f>
        <v>0</v>
      </c>
      <c r="BP2702" cm="1">
        <f t="array" ref="BP2702">IFERROR(INDEX(sheath_wcap_asd,MATCH(BS2702,sheath_mark,0),0)*BN2702,0)</f>
        <v>0</v>
      </c>
      <c r="BQ2702" cm="1">
        <f t="array" ref="BQ2702">IFERROR(INDEX(hd_cap,MATCH(BT2702,hd_mark,0),0),0)</f>
        <v>0</v>
      </c>
      <c r="BS2702" s="19"/>
      <c r="BT2702" s="19"/>
      <c r="BU2702" s="100"/>
    </row>
    <row r="2703" x14ac:dyDescent="0.25">
      <c r="P2703" s="93"/>
      <c r="Q2703" s="109"/>
      <c r="R2703" t="str">
        <f>$Q$2585</f>
        <v>Roof</v>
      </c>
      <c r="S2703">
        <f>$E$25</f>
        <v>33.171875</v>
      </c>
      <c r="T2703" cm="1">
        <f t="array" ref="T2703">IFERROR(IF(S2703=0,0,(INDEX($C$33:$C$38,MATCH($W$2605,$B$33:$B$38,0),0)*(S2703+$X$2605)+$V$2605*$C$31)*$R$2605),0)</f>
        <v>0</v>
      </c>
      <c r="U2703">
        <f>IF(S2703=0,0,-$V$2605*$C$31*$H$27*$R$2605)</f>
        <v>0</v>
      </c>
      <c r="V2703">
        <f>IF(S2703=0,0,$V$2605*$H$26*$R$2605)</f>
        <v>0</v>
      </c>
      <c r="W2703">
        <f>(0.6*T2703+0.7*U2703)*$R$2605/2</f>
        <v>0</v>
      </c>
      <c r="X2703">
        <f>T2703*$R$2605/2</f>
        <v>0</v>
      </c>
      <c r="Z2703">
        <f>IF(S2703=0,0,$AD$2605*$AP$2585)</f>
        <v>0</v>
      </c>
      <c r="AA2703">
        <f>IFERROR(Z2703/$R$2605,0)</f>
        <v>0</v>
      </c>
      <c r="AB2703">
        <f>Z2703*($F$25+($C$16+$C$17+IF($C$13="single",1.5,3)+3)/12)</f>
        <v>0</v>
      </c>
      <c r="AC2703">
        <f>AB2703-W2703</f>
        <v>0</v>
      </c>
      <c r="AD2703" cm="1">
        <f t="array" ref="AD2703">IFERROR(IF(AC2703&lt;0,0,AC2703/($R$2605-INDEX(hd_off,MATCH(AQ2703,hd_mark,0),0)/12)),0)</f>
        <v>0</v>
      </c>
      <c r="AE2703">
        <f>IF(S2703=0,0,$AD$2605*$AM$2585)</f>
        <v>0</v>
      </c>
      <c r="AF2703">
        <f>IFERROR(AE2703/$R$2605,0)</f>
        <v>0</v>
      </c>
      <c r="AG2703">
        <f>AE2703*($F$25+($C$16+$C$17+IF($C$13="single",1.5,3)+3)/12)</f>
        <v>0</v>
      </c>
      <c r="AH2703">
        <f>AG2703-X2703</f>
        <v>0</v>
      </c>
      <c r="AI2703" cm="1">
        <f t="array" ref="AI2703">IFERROR(IF(AH2703&lt;0,0,AH2703/($R$2605-INDEX(hd_off,MATCH(AQ2703,hd_mark,0),0)/12)),0)</f>
        <v>0</v>
      </c>
      <c r="AJ2703">
        <f>MAX($F$25,$AC$2605)/$Q$2612</f>
        <v>0.29920977011494249</v>
      </c>
      <c r="AK2703">
        <f t="shared" si="1657"/>
        <v>1</v>
      </c>
      <c r="AL2703" cm="1">
        <f t="array" ref="AL2703">IFERROR(INDEX(sheath_ecap_asd,MATCH(AP2703,sheath_mark,0),0)*AK2703,0)</f>
        <v>0</v>
      </c>
      <c r="AM2703" cm="1">
        <f t="array" ref="AM2703">IFERROR(INDEX(sheath_wcap_asd,MATCH(AP2703,sheath_mark,0),0)*AK2703,0)</f>
        <v>0</v>
      </c>
      <c r="AN2703" cm="1">
        <f t="array" ref="AN2703">IFERROR(INDEX(hd_cap,MATCH(AQ2703,hd_mark,0),0),0)</f>
        <v>0</v>
      </c>
      <c r="AP2703" s="19"/>
      <c r="AQ2703" s="19"/>
      <c r="AR2703" s="100"/>
      <c r="AS2703" s="93"/>
      <c r="BU2703" s="100"/>
    </row>
    <row r="2704" x14ac:dyDescent="0.25">
      <c r="B2704" s="1" t="s">
        <v>569</v>
      </c>
      <c r="C2704">
        <f>E16+H16*12</f>
        <v>32.4375</v>
      </c>
      <c r="E2704" s="19">
        <v>24</v>
      </c>
      <c r="F2704" s="19">
        <f>32+5.625/12</f>
        <v>32.46875</v>
      </c>
      <c r="G2704" s="19">
        <f>33+10.5/12</f>
        <v>33.875</v>
      </c>
      <c r="H2704">
        <f>(G16-F16)/2</f>
        <v>0.703125</v>
      </c>
      <c r="P2704" s="93"/>
      <c r="Q2704" t="s">
        <v>524</v>
      </c>
      <c r="R2704" s="2" t="str">
        <f>$B$63</f>
        <v>A</v>
      </c>
      <c r="AR2704" s="100"/>
      <c r="AS2704" s="93"/>
      <c r="AT2704" t="s">
        <v>524</v>
      </c>
      <c r="AU2704" s="2">
        <f>H63</f>
        <v>1</v>
      </c>
      <c r="BU2704" s="100"/>
    </row>
    <row r="2705" x14ac:dyDescent="0.25">
      <c r="B2705" s="1" t="s">
        <v>500</v>
      </c>
      <c r="C2705" s="19">
        <v>0.5</v>
      </c>
      <c r="P2705" s="93"/>
      <c r="AR2705" s="100"/>
      <c r="AS2705" s="93"/>
      <c r="BU2705" s="100"/>
    </row>
    <row r="2706" x14ac:dyDescent="0.25">
      <c r="P2706" s="93"/>
      <c r="R2706" t="s">
        <v>482</v>
      </c>
      <c r="Z2706" t="s">
        <v>483</v>
      </c>
      <c r="AH2706" t="s">
        <v>502</v>
      </c>
      <c r="AJ2706" t="s">
        <v>454</v>
      </c>
      <c r="AR2706" s="100"/>
      <c r="AS2706" s="93"/>
      <c r="AU2706" t="s">
        <v>482</v>
      </c>
      <c r="BC2706" t="s">
        <v>483</v>
      </c>
      <c r="BK2706" t="s">
        <v>502</v>
      </c>
      <c r="BM2706" t="s">
        <v>454</v>
      </c>
      <c r="BU2706" s="100"/>
    </row>
    <row r="2707" x14ac:dyDescent="0.25">
      <c r="B2707" t="s">
        <v>448</v>
      </c>
      <c r="C2707" t="s">
        <v>272</v>
      </c>
      <c r="D2707" t="s">
        <v>193</v>
      </c>
      <c r="E2707" s="70" t="s">
        <v>454</v>
      </c>
      <c r="F2707" s="71" t="s">
        <v>501</v>
      </c>
      <c r="H2707" t="s">
        <v>475</v>
      </c>
      <c r="J2707" t="s">
        <v>476</v>
      </c>
      <c r="P2707" s="93"/>
      <c r="R2707" t="s">
        <v>480</v>
      </c>
      <c r="S2707" t="s">
        <v>481</v>
      </c>
      <c r="T2707" t="s">
        <v>486</v>
      </c>
      <c r="U2707" t="s">
        <v>487</v>
      </c>
      <c r="V2707" t="s">
        <v>484</v>
      </c>
      <c r="W2707" t="s">
        <v>485</v>
      </c>
      <c r="X2707" t="s">
        <v>488</v>
      </c>
      <c r="Y2707" t="s">
        <v>489</v>
      </c>
      <c r="Z2707" t="s">
        <v>480</v>
      </c>
      <c r="AA2707" t="s">
        <v>481</v>
      </c>
      <c r="AB2707" t="s">
        <v>486</v>
      </c>
      <c r="AC2707" t="s">
        <v>487</v>
      </c>
      <c r="AD2707" t="s">
        <v>484</v>
      </c>
      <c r="AE2707" t="s">
        <v>485</v>
      </c>
      <c r="AF2707" t="s">
        <v>488</v>
      </c>
      <c r="AG2707" t="s">
        <v>489</v>
      </c>
      <c r="AH2707" t="s">
        <v>312</v>
      </c>
      <c r="AI2707" t="s">
        <v>258</v>
      </c>
      <c r="AJ2707" t="s">
        <v>486</v>
      </c>
      <c r="AK2707" t="s">
        <v>490</v>
      </c>
      <c r="AL2707" t="s">
        <v>487</v>
      </c>
      <c r="AM2707" t="s">
        <v>490</v>
      </c>
      <c r="AN2707" t="s">
        <v>488</v>
      </c>
      <c r="AO2707" t="s">
        <v>490</v>
      </c>
      <c r="AP2707" t="s">
        <v>489</v>
      </c>
      <c r="AQ2707" t="s">
        <v>490</v>
      </c>
      <c r="AR2707" s="100"/>
      <c r="AS2707" s="93"/>
      <c r="AU2707" t="s">
        <v>480</v>
      </c>
      <c r="AV2707" t="s">
        <v>481</v>
      </c>
      <c r="AW2707" t="s">
        <v>486</v>
      </c>
      <c r="AX2707" t="s">
        <v>487</v>
      </c>
      <c r="AY2707" t="s">
        <v>484</v>
      </c>
      <c r="AZ2707" t="s">
        <v>485</v>
      </c>
      <c r="BA2707" t="s">
        <v>488</v>
      </c>
      <c r="BB2707" t="s">
        <v>489</v>
      </c>
      <c r="BC2707" t="s">
        <v>480</v>
      </c>
      <c r="BD2707" t="s">
        <v>481</v>
      </c>
      <c r="BE2707" t="s">
        <v>486</v>
      </c>
      <c r="BF2707" t="s">
        <v>487</v>
      </c>
      <c r="BG2707" t="s">
        <v>484</v>
      </c>
      <c r="BH2707" t="s">
        <v>485</v>
      </c>
      <c r="BI2707" t="s">
        <v>488</v>
      </c>
      <c r="BJ2707" t="s">
        <v>489</v>
      </c>
      <c r="BK2707" t="s">
        <v>312</v>
      </c>
      <c r="BL2707" t="s">
        <v>258</v>
      </c>
      <c r="BM2707" t="s">
        <v>486</v>
      </c>
      <c r="BN2707" t="s">
        <v>490</v>
      </c>
      <c r="BO2707" t="s">
        <v>487</v>
      </c>
      <c r="BP2707" t="s">
        <v>490</v>
      </c>
      <c r="BQ2707" t="s">
        <v>488</v>
      </c>
      <c r="BR2707" t="s">
        <v>490</v>
      </c>
      <c r="BS2707" t="s">
        <v>489</v>
      </c>
      <c r="BT2707" t="s">
        <v>490</v>
      </c>
      <c r="BU2707" s="100"/>
    </row>
    <row r="2708" x14ac:dyDescent="0.25">
      <c r="B2708" t="s">
        <v>449</v>
      </c>
      <c r="C2708" s="19">
        <v>0</v>
      </c>
      <c r="D2708" s="19">
        <v>0</v>
      </c>
      <c r="E2708" s="66">
        <f>C20+D20/12</f>
        <v>0</v>
      </c>
      <c r="F2708" s="67">
        <v>0</v>
      </c>
      <c r="H2708" s="19">
        <v>0</v>
      </c>
      <c r="I2708" s="64" t="s">
        <v>196</v>
      </c>
      <c r="J2708" s="19">
        <v>0</v>
      </c>
      <c r="K2708" s="19">
        <v>0</v>
      </c>
      <c r="L2708" s="19">
        <v>0</v>
      </c>
      <c r="M2708" s="19">
        <v>0</v>
      </c>
      <c r="P2708" s="93"/>
      <c r="Q2708" t="s">
        <v>449</v>
      </c>
      <c r="R2708" s="19">
        <f>$H$20</f>
        <v>0</v>
      </c>
      <c r="S2708">
        <f>R2708*0.6</f>
        <v>0</v>
      </c>
      <c r="T2708">
        <f>$C$63/2*R2708</f>
        <v>0</v>
      </c>
      <c r="U2708">
        <f>T2708*0.6</f>
        <v>0</v>
      </c>
      <c r="V2708" s="19">
        <v>0</v>
      </c>
      <c r="W2708">
        <f>V2708*0.7</f>
        <v>0</v>
      </c>
      <c r="X2708">
        <f>$C$63/2*V2708</f>
        <v>0</v>
      </c>
      <c r="Y2708">
        <f>X2708*0.7</f>
        <v>0</v>
      </c>
      <c r="Z2708" s="19">
        <f>$H$20</f>
        <v>0</v>
      </c>
      <c r="AA2708">
        <f>Z2708*0.6</f>
        <v>0</v>
      </c>
      <c r="AB2708">
        <f>$D$63/2*Z2708</f>
        <v>0</v>
      </c>
      <c r="AC2708">
        <f t="shared" ref="AC2708:AC2714" si="1659">0.6*AB2708</f>
        <v>0</v>
      </c>
      <c r="AD2708" s="19">
        <v>0</v>
      </c>
      <c r="AE2708">
        <f>AD2708*0.7</f>
        <v>0</v>
      </c>
      <c r="AF2708">
        <f>$D$63/2*AD2708</f>
        <v>0</v>
      </c>
      <c r="AG2708">
        <f>AF2708*0.7</f>
        <v>0</v>
      </c>
      <c r="AH2708" s="19">
        <v>0</v>
      </c>
      <c r="AI2708" s="19">
        <v>0</v>
      </c>
      <c r="AJ2708" s="17">
        <f>T2708+AB2708+AH2708</f>
        <v>0</v>
      </c>
      <c r="AK2708" s="17">
        <f>AK2709+AJ2708</f>
        <v>13166</v>
      </c>
      <c r="AL2708" s="17">
        <f>AJ2708*0.6</f>
        <v>0</v>
      </c>
      <c r="AM2708" s="17">
        <f>AM2709+AL2708</f>
        <v>7899.5999999999995</v>
      </c>
      <c r="AN2708" s="17">
        <f>X2708+AF2708+AI2708</f>
        <v>0</v>
      </c>
      <c r="AO2708" s="17">
        <f t="shared" ref="AO2708:AQ2711" si="1660">AN2708+AO2709</f>
        <v>1302.0999999999999</v>
      </c>
      <c r="AP2708" s="17">
        <f>AN2708*0.7</f>
        <v>0</v>
      </c>
      <c r="AQ2708" s="17">
        <f>AP2708+AQ2709</f>
        <v>911.46999999999991</v>
      </c>
      <c r="AR2708" s="100"/>
      <c r="AS2708" s="93"/>
      <c r="AT2708" t="s">
        <v>449</v>
      </c>
      <c r="AU2708" s="19">
        <f>$H$20</f>
        <v>0</v>
      </c>
      <c r="AV2708">
        <f>AU2708*0.6</f>
        <v>0</v>
      </c>
      <c r="AW2708">
        <f t="shared" ref="AW2708:AW2714" si="1661">$I$63/2*AU2708</f>
        <v>0</v>
      </c>
      <c r="AX2708">
        <f>AW2708*0.6</f>
        <v>0</v>
      </c>
      <c r="AY2708" s="19">
        <v>0</v>
      </c>
      <c r="AZ2708">
        <f>AY2708*0.7</f>
        <v>0</v>
      </c>
      <c r="BA2708">
        <f t="shared" ref="BA2708:BA2713" si="1662">$I$63/2*AY2708</f>
        <v>0</v>
      </c>
      <c r="BB2708">
        <f>BA2708*0.7</f>
        <v>0</v>
      </c>
      <c r="BC2708" s="19">
        <f>$H$20</f>
        <v>0</v>
      </c>
      <c r="BD2708">
        <f>BC2708*0.6</f>
        <v>0</v>
      </c>
      <c r="BE2708">
        <f t="shared" ref="BE2708:BE2714" si="1663">$J$63/2*BC2708</f>
        <v>0</v>
      </c>
      <c r="BF2708">
        <f t="shared" ref="BF2708:BF2714" si="1664">0.6*BE2708</f>
        <v>0</v>
      </c>
      <c r="BG2708" s="19">
        <v>0</v>
      </c>
      <c r="BH2708">
        <f>BG2708*0.7</f>
        <v>0</v>
      </c>
      <c r="BI2708">
        <f t="shared" ref="BI2708:BI2713" si="1665">$J$63/2*BG2708</f>
        <v>0</v>
      </c>
      <c r="BJ2708">
        <f>BI2708*0.7</f>
        <v>0</v>
      </c>
      <c r="BK2708" s="19">
        <v>0</v>
      </c>
      <c r="BL2708" s="19">
        <v>0</v>
      </c>
      <c r="BM2708" s="17">
        <f>AW2708+BE2708+BK2708</f>
        <v>0</v>
      </c>
      <c r="BN2708" s="17">
        <f>BN2709+BM2708</f>
        <v>12258</v>
      </c>
      <c r="BO2708" s="17">
        <f>BM2708*0.6</f>
        <v>0</v>
      </c>
      <c r="BP2708" s="17">
        <f>BP2709+BO2708</f>
        <v>7354.7999999999993</v>
      </c>
      <c r="BQ2708" s="17">
        <f>BA2708+BI2708+BL2708</f>
        <v>0</v>
      </c>
      <c r="BR2708" s="17">
        <f t="shared" ref="BR2708:BR2711" si="1666">BQ2708+BR2709</f>
        <v>1212.3</v>
      </c>
      <c r="BS2708" s="17">
        <f>BQ2708*0.7</f>
        <v>0</v>
      </c>
      <c r="BT2708" s="17">
        <f>BS2708+BT2709</f>
        <v>848.6099999999999</v>
      </c>
      <c r="BU2708" s="100"/>
    </row>
    <row r="2709" x14ac:dyDescent="0.25">
      <c r="B2709" t="s">
        <v>450</v>
      </c>
      <c r="C2709" s="19">
        <v>10</v>
      </c>
      <c r="D2709" s="19">
        <v>8.25</v>
      </c>
      <c r="E2709" s="66">
        <f>C21+D21/12</f>
        <v>10.6875</v>
      </c>
      <c r="F2709" s="67">
        <f>IF(E21&gt;0,E21-(C15+C14+2*1.5+IF(C13="single",1.5,3))/12-_xlfn.XLOOKUP(E21,E20,E20,,-1),0)</f>
        <v>8.75</v>
      </c>
      <c r="H2709" s="19">
        <v>236</v>
      </c>
      <c r="I2709" s="64" t="s">
        <v>196</v>
      </c>
      <c r="J2709" s="19">
        <v>33.799999999999997</v>
      </c>
      <c r="K2709" s="19">
        <v>65.599999999999994</v>
      </c>
      <c r="L2709" s="19">
        <v>19.3</v>
      </c>
      <c r="M2709" s="19">
        <v>119.6</v>
      </c>
      <c r="P2709" s="93"/>
      <c r="Q2709" t="s">
        <v>450</v>
      </c>
      <c r="R2709" s="19">
        <f>$H$21</f>
        <v>236</v>
      </c>
      <c r="S2709">
        <f t="shared" ref="S2709:S2714" si="1667">R2709*0.6</f>
        <v>141.6</v>
      </c>
      <c r="T2709">
        <f t="shared" ref="T2709:T2713" si="1668">$C$63/2*R2709</f>
        <v>0</v>
      </c>
      <c r="U2709">
        <f>T2709*0.6</f>
        <v>0</v>
      </c>
      <c r="V2709" s="19">
        <v>33.799999999999997</v>
      </c>
      <c r="W2709">
        <f t="shared" ref="W2709:W2713" si="1669">V2709*0.7</f>
        <v>23.659999999999997</v>
      </c>
      <c r="X2709">
        <f t="shared" ref="X2709:X2713" si="1670">$C$63/2*V2709</f>
        <v>0</v>
      </c>
      <c r="Y2709">
        <f t="shared" ref="Y2709:Y2713" si="1671">X2709*0.7</f>
        <v>0</v>
      </c>
      <c r="Z2709" s="19">
        <f>$H$21</f>
        <v>236</v>
      </c>
      <c r="AA2709">
        <f t="shared" ref="AA2709:AA2713" si="1672">Z2709*0.6</f>
        <v>141.6</v>
      </c>
      <c r="AB2709">
        <f t="shared" ref="AB2709:AB2713" si="1673">$D$63/2*Z2709</f>
        <v>3422</v>
      </c>
      <c r="AC2709">
        <f t="shared" si="1659"/>
        <v>2053.1999999999998</v>
      </c>
      <c r="AD2709" s="19">
        <v>33.799999999999997</v>
      </c>
      <c r="AE2709">
        <f t="shared" ref="AE2709:AE2713" si="1674">AD2709*0.7</f>
        <v>23.659999999999997</v>
      </c>
      <c r="AF2709">
        <f t="shared" ref="AF2709:AF2713" si="1675">$D$63/2*AD2709</f>
        <v>490.09999999999997</v>
      </c>
      <c r="AG2709">
        <f t="shared" ref="AG2709:AG2713" si="1676">AF2709*0.7</f>
        <v>343.06999999999994</v>
      </c>
      <c r="AH2709" s="19">
        <v>0</v>
      </c>
      <c r="AI2709" s="19">
        <v>0</v>
      </c>
      <c r="AJ2709" s="17">
        <f>T2709+AB2709+AH2709</f>
        <v>3422</v>
      </c>
      <c r="AK2709" s="17">
        <f>AK2710+AJ2709</f>
        <v>13166</v>
      </c>
      <c r="AL2709" s="17">
        <f t="shared" ref="AL2709:AL2713" si="1677">AJ2709*0.6</f>
        <v>2053.1999999999998</v>
      </c>
      <c r="AM2709" s="17">
        <f t="shared" ref="AM2709:AM2711" si="1678">AM2710+AL2709</f>
        <v>7899.5999999999995</v>
      </c>
      <c r="AN2709" s="17">
        <f t="shared" ref="AN2709:AN2712" si="1679">X2709+AF2709+AI2709</f>
        <v>490.09999999999997</v>
      </c>
      <c r="AO2709" s="17">
        <f t="shared" si="1660"/>
        <v>1302.0999999999999</v>
      </c>
      <c r="AP2709" s="17">
        <f t="shared" ref="AP2709:AP2712" si="1680">AN2709*0.7</f>
        <v>343.06999999999994</v>
      </c>
      <c r="AQ2709" s="17">
        <f t="shared" si="1660"/>
        <v>911.46999999999991</v>
      </c>
      <c r="AR2709" s="100"/>
      <c r="AS2709" s="93"/>
      <c r="AT2709" t="s">
        <v>450</v>
      </c>
      <c r="AU2709" s="19">
        <f>$H$21</f>
        <v>236</v>
      </c>
      <c r="AV2709">
        <f t="shared" ref="AV2709:AV2714" si="1681">AU2709*0.6</f>
        <v>141.6</v>
      </c>
      <c r="AW2709">
        <f t="shared" si="1661"/>
        <v>0</v>
      </c>
      <c r="AX2709">
        <f>AW2709*0.6</f>
        <v>0</v>
      </c>
      <c r="AY2709" s="19">
        <v>33.799999999999997</v>
      </c>
      <c r="AZ2709">
        <f t="shared" ref="AZ2709:AZ2713" si="1682">AY2709*0.7</f>
        <v>23.659999999999997</v>
      </c>
      <c r="BA2709">
        <f t="shared" si="1662"/>
        <v>0</v>
      </c>
      <c r="BB2709">
        <f t="shared" ref="BB2709:BB2713" si="1683">BA2709*0.7</f>
        <v>0</v>
      </c>
      <c r="BC2709" s="19">
        <f>$H$21</f>
        <v>236</v>
      </c>
      <c r="BD2709">
        <f t="shared" ref="BD2709:BD2713" si="1684">BC2709*0.6</f>
        <v>141.6</v>
      </c>
      <c r="BE2709">
        <f t="shared" si="1663"/>
        <v>3186</v>
      </c>
      <c r="BF2709">
        <f t="shared" si="1664"/>
        <v>1911.6</v>
      </c>
      <c r="BG2709" s="19">
        <v>33.799999999999997</v>
      </c>
      <c r="BH2709">
        <f t="shared" ref="BH2709:BH2713" si="1685">BG2709*0.7</f>
        <v>23.659999999999997</v>
      </c>
      <c r="BI2709">
        <f t="shared" si="1665"/>
        <v>456.29999999999995</v>
      </c>
      <c r="BJ2709">
        <f t="shared" ref="BJ2709:BJ2713" si="1686">BI2709*0.7</f>
        <v>319.40999999999997</v>
      </c>
      <c r="BK2709" s="19">
        <v>0</v>
      </c>
      <c r="BL2709" s="19">
        <v>0</v>
      </c>
      <c r="BM2709" s="17">
        <f>AW2709+BE2709+BK2709</f>
        <v>3186</v>
      </c>
      <c r="BN2709" s="17">
        <f>BN2710+BM2709</f>
        <v>12258</v>
      </c>
      <c r="BO2709" s="17">
        <f t="shared" ref="BO2709" si="1687">BM2709*0.6</f>
        <v>1911.6</v>
      </c>
      <c r="BP2709" s="17">
        <f t="shared" ref="BP2709:BP2711" si="1688">BP2710+BO2709</f>
        <v>7354.7999999999993</v>
      </c>
      <c r="BQ2709" s="17">
        <f t="shared" ref="BQ2709:BQ2712" si="1689">BA2709+BI2709+BL2709</f>
        <v>456.29999999999995</v>
      </c>
      <c r="BR2709" s="17">
        <f t="shared" si="1666"/>
        <v>1212.3</v>
      </c>
      <c r="BS2709" s="17">
        <f t="shared" ref="BS2709:BS2712" si="1690">BQ2709*0.7</f>
        <v>319.40999999999997</v>
      </c>
      <c r="BT2709" s="17">
        <f t="shared" ref="BT2709:BT2711" si="1691">BS2709+BT2710</f>
        <v>848.6099999999999</v>
      </c>
      <c r="BU2709" s="100"/>
    </row>
    <row r="2710" x14ac:dyDescent="0.25">
      <c r="B2710" t="s">
        <v>451</v>
      </c>
      <c r="C2710" s="19">
        <v>21</v>
      </c>
      <c r="D2710" s="19">
        <v>4.5</v>
      </c>
      <c r="E2710" s="66">
        <f t="shared" ref="E22:E25" si="1692">C22+D22/12</f>
        <v>21.375</v>
      </c>
      <c r="F2710" s="67">
        <f>IF(E22&gt;0,E22-(C15+C14+2*1.5+IF(C13="single",1.5,3))/12-_xlfn.XLOOKUP(E22,E20:E21,E20:E21,,-1),0)</f>
        <v>8.75</v>
      </c>
      <c r="H2710" s="19">
        <v>229</v>
      </c>
      <c r="I2710" s="64" t="s">
        <v>196</v>
      </c>
      <c r="J2710" s="19">
        <v>37.1</v>
      </c>
      <c r="K2710" s="19">
        <v>71.8</v>
      </c>
      <c r="L2710" s="19">
        <v>21.1</v>
      </c>
      <c r="M2710" s="19">
        <v>131.1</v>
      </c>
      <c r="P2710" s="93"/>
      <c r="Q2710" t="s">
        <v>451</v>
      </c>
      <c r="R2710" s="19">
        <f>$H$22</f>
        <v>229</v>
      </c>
      <c r="S2710">
        <f t="shared" si="1667"/>
        <v>137.4</v>
      </c>
      <c r="T2710">
        <f t="shared" si="1668"/>
        <v>0</v>
      </c>
      <c r="U2710">
        <f t="shared" ref="U2710:U2714" si="1693">T2710*0.6</f>
        <v>0</v>
      </c>
      <c r="V2710" s="19">
        <v>37.1</v>
      </c>
      <c r="W2710">
        <f t="shared" si="1669"/>
        <v>25.97</v>
      </c>
      <c r="X2710">
        <f>$C$63/2*V2710</f>
        <v>0</v>
      </c>
      <c r="Y2710">
        <f t="shared" si="1671"/>
        <v>0</v>
      </c>
      <c r="Z2710" s="19">
        <f>$H$22</f>
        <v>229</v>
      </c>
      <c r="AA2710">
        <f t="shared" si="1672"/>
        <v>137.4</v>
      </c>
      <c r="AB2710">
        <f t="shared" si="1673"/>
        <v>3320.5</v>
      </c>
      <c r="AC2710">
        <f t="shared" si="1659"/>
        <v>1992.3</v>
      </c>
      <c r="AD2710" s="19">
        <v>37.1</v>
      </c>
      <c r="AE2710">
        <f t="shared" si="1674"/>
        <v>25.97</v>
      </c>
      <c r="AF2710">
        <f t="shared" si="1675"/>
        <v>537.95000000000005</v>
      </c>
      <c r="AG2710">
        <f t="shared" si="1676"/>
        <v>376.565</v>
      </c>
      <c r="AH2710" s="19">
        <v>0</v>
      </c>
      <c r="AI2710" s="19">
        <v>0</v>
      </c>
      <c r="AJ2710" s="17">
        <f t="shared" ref="AJ2710:AJ2712" si="1694">T2710+AB2710+AH2710</f>
        <v>3320.5</v>
      </c>
      <c r="AK2710" s="17">
        <f>AK2711+AJ2710</f>
        <v>9744</v>
      </c>
      <c r="AL2710" s="17">
        <f>AJ2710*0.6</f>
        <v>1992.3</v>
      </c>
      <c r="AM2710" s="17">
        <f t="shared" si="1678"/>
        <v>5846.4</v>
      </c>
      <c r="AN2710" s="17">
        <f t="shared" si="1679"/>
        <v>537.95000000000005</v>
      </c>
      <c r="AO2710" s="17">
        <f t="shared" si="1660"/>
        <v>812</v>
      </c>
      <c r="AP2710" s="17">
        <f t="shared" si="1680"/>
        <v>376.565</v>
      </c>
      <c r="AQ2710" s="17">
        <f t="shared" si="1660"/>
        <v>568.4</v>
      </c>
      <c r="AR2710" s="100"/>
      <c r="AS2710" s="93"/>
      <c r="AT2710" t="s">
        <v>451</v>
      </c>
      <c r="AU2710" s="19">
        <f>$H$22</f>
        <v>229</v>
      </c>
      <c r="AV2710">
        <f t="shared" si="1681"/>
        <v>137.4</v>
      </c>
      <c r="AW2710">
        <f t="shared" si="1661"/>
        <v>0</v>
      </c>
      <c r="AX2710">
        <f t="shared" ref="AX2710:AX2714" si="1695">AW2710*0.6</f>
        <v>0</v>
      </c>
      <c r="AY2710" s="19">
        <v>37.1</v>
      </c>
      <c r="AZ2710">
        <f t="shared" si="1682"/>
        <v>25.97</v>
      </c>
      <c r="BA2710">
        <f t="shared" si="1662"/>
        <v>0</v>
      </c>
      <c r="BB2710">
        <f t="shared" si="1683"/>
        <v>0</v>
      </c>
      <c r="BC2710" s="19">
        <f>$H$22</f>
        <v>229</v>
      </c>
      <c r="BD2710">
        <f t="shared" si="1684"/>
        <v>137.4</v>
      </c>
      <c r="BE2710">
        <f t="shared" si="1663"/>
        <v>3091.5</v>
      </c>
      <c r="BF2710">
        <f t="shared" si="1664"/>
        <v>1854.8999999999999</v>
      </c>
      <c r="BG2710" s="19">
        <v>37.1</v>
      </c>
      <c r="BH2710">
        <f t="shared" si="1685"/>
        <v>25.97</v>
      </c>
      <c r="BI2710">
        <f t="shared" si="1665"/>
        <v>500.85</v>
      </c>
      <c r="BJ2710">
        <f t="shared" si="1686"/>
        <v>350.59499999999997</v>
      </c>
      <c r="BK2710" s="19">
        <v>0</v>
      </c>
      <c r="BL2710" s="19">
        <v>0</v>
      </c>
      <c r="BM2710" s="17">
        <f t="shared" ref="BM2710:BM2712" si="1696">AW2710+BE2710+BK2710</f>
        <v>3091.5</v>
      </c>
      <c r="BN2710" s="17">
        <f>BN2711+BM2710</f>
        <v>9072</v>
      </c>
      <c r="BO2710" s="17">
        <f>BM2710*0.6</f>
        <v>1854.8999999999999</v>
      </c>
      <c r="BP2710" s="17">
        <f t="shared" si="1688"/>
        <v>5443.2</v>
      </c>
      <c r="BQ2710" s="17">
        <f t="shared" si="1689"/>
        <v>500.85</v>
      </c>
      <c r="BR2710" s="17">
        <f t="shared" si="1666"/>
        <v>756</v>
      </c>
      <c r="BS2710" s="17">
        <f t="shared" si="1690"/>
        <v>350.59499999999997</v>
      </c>
      <c r="BT2710" s="17">
        <f t="shared" si="1691"/>
        <v>529.19999999999993</v>
      </c>
      <c r="BU2710" s="100"/>
    </row>
    <row r="2711" x14ac:dyDescent="0.25">
      <c r="B2711" t="s">
        <v>452</v>
      </c>
      <c r="C2711" s="19">
        <v>0</v>
      </c>
      <c r="D2711" s="19">
        <v>0</v>
      </c>
      <c r="E2711" s="66">
        <f t="shared" si="1692"/>
        <v>0</v>
      </c>
      <c r="F2711" s="67">
        <f>IF(E23&gt;0,E23-(C15+C14+2*1.5+IF(C13="single",1.5,3))/12-_xlfn.XLOOKUP(E23,E20:E22,E20:E22,,-1),0)</f>
        <v>0</v>
      </c>
      <c r="H2711" s="19">
        <v>0</v>
      </c>
      <c r="I2711" s="64" t="s">
        <v>196</v>
      </c>
      <c r="J2711" s="19">
        <v>0</v>
      </c>
      <c r="K2711" s="19">
        <v>0</v>
      </c>
      <c r="L2711" s="19">
        <v>0</v>
      </c>
      <c r="M2711" s="19">
        <v>0</v>
      </c>
      <c r="P2711" s="93"/>
      <c r="Q2711" t="s">
        <v>452</v>
      </c>
      <c r="R2711" s="19">
        <f>$H$23</f>
        <v>0</v>
      </c>
      <c r="S2711">
        <f t="shared" si="1667"/>
        <v>0</v>
      </c>
      <c r="T2711">
        <f t="shared" si="1668"/>
        <v>0</v>
      </c>
      <c r="U2711">
        <f t="shared" si="1693"/>
        <v>0</v>
      </c>
      <c r="V2711" s="19">
        <v>0</v>
      </c>
      <c r="W2711">
        <f t="shared" si="1669"/>
        <v>0</v>
      </c>
      <c r="X2711">
        <f t="shared" si="1670"/>
        <v>0</v>
      </c>
      <c r="Y2711">
        <f t="shared" si="1671"/>
        <v>0</v>
      </c>
      <c r="Z2711" s="19">
        <f>$H$23</f>
        <v>0</v>
      </c>
      <c r="AA2711">
        <f t="shared" si="1672"/>
        <v>0</v>
      </c>
      <c r="AB2711">
        <f t="shared" si="1673"/>
        <v>0</v>
      </c>
      <c r="AC2711">
        <f t="shared" si="1659"/>
        <v>0</v>
      </c>
      <c r="AD2711" s="19">
        <v>0</v>
      </c>
      <c r="AE2711">
        <f t="shared" si="1674"/>
        <v>0</v>
      </c>
      <c r="AF2711">
        <f t="shared" si="1675"/>
        <v>0</v>
      </c>
      <c r="AG2711">
        <f t="shared" si="1676"/>
        <v>0</v>
      </c>
      <c r="AH2711" s="19">
        <v>0</v>
      </c>
      <c r="AI2711" s="19">
        <v>0</v>
      </c>
      <c r="AJ2711" s="17">
        <f t="shared" si="1694"/>
        <v>0</v>
      </c>
      <c r="AK2711" s="17">
        <f>AK2712+AJ2711</f>
        <v>6423.5</v>
      </c>
      <c r="AL2711" s="17">
        <f>AJ2711*0.6</f>
        <v>0</v>
      </c>
      <c r="AM2711" s="17">
        <f t="shared" si="1678"/>
        <v>3854.1</v>
      </c>
      <c r="AN2711" s="17">
        <f t="shared" si="1679"/>
        <v>0</v>
      </c>
      <c r="AO2711" s="17">
        <f t="shared" si="1660"/>
        <v>274.04999999999995</v>
      </c>
      <c r="AP2711" s="17">
        <f t="shared" si="1680"/>
        <v>0</v>
      </c>
      <c r="AQ2711" s="17">
        <f t="shared" si="1660"/>
        <v>191.83499999999995</v>
      </c>
      <c r="AR2711" s="100"/>
      <c r="AS2711" s="93"/>
      <c r="AT2711" t="s">
        <v>452</v>
      </c>
      <c r="AU2711" s="19">
        <f>$H$23</f>
        <v>0</v>
      </c>
      <c r="AV2711">
        <f t="shared" si="1681"/>
        <v>0</v>
      </c>
      <c r="AW2711">
        <f t="shared" si="1661"/>
        <v>0</v>
      </c>
      <c r="AX2711">
        <f t="shared" si="1695"/>
        <v>0</v>
      </c>
      <c r="AY2711" s="19">
        <v>0</v>
      </c>
      <c r="AZ2711">
        <f t="shared" si="1682"/>
        <v>0</v>
      </c>
      <c r="BA2711">
        <f t="shared" si="1662"/>
        <v>0</v>
      </c>
      <c r="BB2711">
        <f t="shared" si="1683"/>
        <v>0</v>
      </c>
      <c r="BC2711" s="19">
        <f>$H$23</f>
        <v>0</v>
      </c>
      <c r="BD2711">
        <f t="shared" si="1684"/>
        <v>0</v>
      </c>
      <c r="BE2711">
        <f t="shared" si="1663"/>
        <v>0</v>
      </c>
      <c r="BF2711">
        <f t="shared" si="1664"/>
        <v>0</v>
      </c>
      <c r="BG2711" s="19">
        <v>0</v>
      </c>
      <c r="BH2711">
        <f t="shared" si="1685"/>
        <v>0</v>
      </c>
      <c r="BI2711">
        <f t="shared" si="1665"/>
        <v>0</v>
      </c>
      <c r="BJ2711">
        <f t="shared" si="1686"/>
        <v>0</v>
      </c>
      <c r="BK2711" s="19">
        <v>0</v>
      </c>
      <c r="BL2711" s="19">
        <v>0</v>
      </c>
      <c r="BM2711" s="17">
        <f t="shared" si="1696"/>
        <v>0</v>
      </c>
      <c r="BN2711" s="17">
        <f>BN2712+BM2711</f>
        <v>5980.5</v>
      </c>
      <c r="BO2711" s="17">
        <f>BM2711*0.6</f>
        <v>0</v>
      </c>
      <c r="BP2711" s="17">
        <f t="shared" si="1688"/>
        <v>3588.2999999999997</v>
      </c>
      <c r="BQ2711" s="17">
        <f t="shared" si="1689"/>
        <v>0</v>
      </c>
      <c r="BR2711" s="17">
        <f t="shared" si="1666"/>
        <v>255.14999999999998</v>
      </c>
      <c r="BS2711" s="17">
        <f t="shared" si="1690"/>
        <v>0</v>
      </c>
      <c r="BT2711" s="17">
        <f t="shared" si="1691"/>
        <v>178.60499999999996</v>
      </c>
      <c r="BU2711" s="100"/>
    </row>
    <row r="2712" x14ac:dyDescent="0.25">
      <c r="B2712" t="s">
        <v>453</v>
      </c>
      <c r="C2712" s="19">
        <v>0</v>
      </c>
      <c r="D2712" s="19">
        <v>0</v>
      </c>
      <c r="E2712" s="66">
        <f t="shared" si="1692"/>
        <v>0</v>
      </c>
      <c r="F2712" s="67">
        <f>IF(E24&gt;0,E24-(C15+C14+2*1.5+IF(C13="single",1.5,3))/12-_xlfn.XLOOKUP(E24,E20:E23,E20:E23,,-1),0)</f>
        <v>0</v>
      </c>
      <c r="H2712" s="19">
        <v>0</v>
      </c>
      <c r="I2712" s="64" t="s">
        <v>196</v>
      </c>
      <c r="J2712" s="19">
        <v>0</v>
      </c>
      <c r="K2712" s="19">
        <v>0</v>
      </c>
      <c r="L2712" s="19">
        <v>0</v>
      </c>
      <c r="M2712" s="19">
        <v>0</v>
      </c>
      <c r="P2712" s="93"/>
      <c r="Q2712" t="s">
        <v>453</v>
      </c>
      <c r="R2712" s="19">
        <f>$H$24</f>
        <v>0</v>
      </c>
      <c r="S2712">
        <f t="shared" si="1667"/>
        <v>0</v>
      </c>
      <c r="T2712">
        <f t="shared" si="1668"/>
        <v>0</v>
      </c>
      <c r="U2712">
        <f t="shared" si="1693"/>
        <v>0</v>
      </c>
      <c r="V2712" s="19">
        <v>0</v>
      </c>
      <c r="W2712">
        <f t="shared" si="1669"/>
        <v>0</v>
      </c>
      <c r="X2712">
        <f t="shared" si="1670"/>
        <v>0</v>
      </c>
      <c r="Y2712">
        <f t="shared" si="1671"/>
        <v>0</v>
      </c>
      <c r="Z2712" s="19">
        <f>$H$24</f>
        <v>0</v>
      </c>
      <c r="AA2712">
        <f t="shared" si="1672"/>
        <v>0</v>
      </c>
      <c r="AB2712">
        <f t="shared" si="1673"/>
        <v>0</v>
      </c>
      <c r="AC2712">
        <f t="shared" si="1659"/>
        <v>0</v>
      </c>
      <c r="AD2712" s="19">
        <v>0</v>
      </c>
      <c r="AE2712">
        <f t="shared" si="1674"/>
        <v>0</v>
      </c>
      <c r="AF2712">
        <f t="shared" si="1675"/>
        <v>0</v>
      </c>
      <c r="AG2712">
        <f t="shared" si="1676"/>
        <v>0</v>
      </c>
      <c r="AH2712" s="19">
        <v>0</v>
      </c>
      <c r="AI2712" s="19">
        <v>0</v>
      </c>
      <c r="AJ2712" s="17">
        <f t="shared" si="1694"/>
        <v>0</v>
      </c>
      <c r="AK2712" s="17">
        <f>AK2713+IF(AJ2712=0,0,AJ2712)</f>
        <v>6423.5</v>
      </c>
      <c r="AL2712" s="17">
        <f t="shared" si="1677"/>
        <v>0</v>
      </c>
      <c r="AM2712" s="17">
        <f>AM2713+AL2712</f>
        <v>3854.1</v>
      </c>
      <c r="AN2712" s="17">
        <f t="shared" si="1679"/>
        <v>0</v>
      </c>
      <c r="AO2712" s="17">
        <f>AN2712+AO2713</f>
        <v>274.04999999999995</v>
      </c>
      <c r="AP2712" s="17">
        <f t="shared" si="1680"/>
        <v>0</v>
      </c>
      <c r="AQ2712" s="17">
        <f>AP2712+AQ2713</f>
        <v>191.83499999999995</v>
      </c>
      <c r="AR2712" s="100"/>
      <c r="AS2712" s="93"/>
      <c r="AT2712" t="s">
        <v>453</v>
      </c>
      <c r="AU2712" s="19">
        <f>$H$24</f>
        <v>0</v>
      </c>
      <c r="AV2712">
        <f t="shared" si="1681"/>
        <v>0</v>
      </c>
      <c r="AW2712">
        <f t="shared" si="1661"/>
        <v>0</v>
      </c>
      <c r="AX2712">
        <f t="shared" si="1695"/>
        <v>0</v>
      </c>
      <c r="AY2712" s="19">
        <v>0</v>
      </c>
      <c r="AZ2712">
        <f t="shared" si="1682"/>
        <v>0</v>
      </c>
      <c r="BA2712">
        <f t="shared" si="1662"/>
        <v>0</v>
      </c>
      <c r="BB2712">
        <f t="shared" si="1683"/>
        <v>0</v>
      </c>
      <c r="BC2712" s="19">
        <f>$H$24</f>
        <v>0</v>
      </c>
      <c r="BD2712">
        <f t="shared" si="1684"/>
        <v>0</v>
      </c>
      <c r="BE2712">
        <f t="shared" si="1663"/>
        <v>0</v>
      </c>
      <c r="BF2712">
        <f t="shared" si="1664"/>
        <v>0</v>
      </c>
      <c r="BG2712" s="19">
        <v>0</v>
      </c>
      <c r="BH2712">
        <f t="shared" si="1685"/>
        <v>0</v>
      </c>
      <c r="BI2712">
        <f t="shared" si="1665"/>
        <v>0</v>
      </c>
      <c r="BJ2712">
        <f t="shared" si="1686"/>
        <v>0</v>
      </c>
      <c r="BK2712" s="19">
        <v>0</v>
      </c>
      <c r="BL2712" s="19">
        <v>0</v>
      </c>
      <c r="BM2712" s="17">
        <f t="shared" si="1696"/>
        <v>0</v>
      </c>
      <c r="BN2712" s="17">
        <f>BN2713+IF(BM2712=0,0,BM2712)</f>
        <v>5980.5</v>
      </c>
      <c r="BO2712" s="17">
        <f t="shared" ref="BO2712:BO2713" si="1697">BM2712*0.6</f>
        <v>0</v>
      </c>
      <c r="BP2712" s="17">
        <f>BP2713+BO2712</f>
        <v>3588.2999999999997</v>
      </c>
      <c r="BQ2712" s="17">
        <f t="shared" si="1689"/>
        <v>0</v>
      </c>
      <c r="BR2712" s="17">
        <f>BQ2712+BR2713</f>
        <v>255.14999999999998</v>
      </c>
      <c r="BS2712" s="17">
        <f t="shared" si="1690"/>
        <v>0</v>
      </c>
      <c r="BT2712" s="17">
        <f>BS2712+BT2713</f>
        <v>178.60499999999996</v>
      </c>
      <c r="BU2712" s="100"/>
    </row>
    <row r="2713" x14ac:dyDescent="0.25">
      <c r="B2713" t="s">
        <v>275</v>
      </c>
      <c r="C2713" s="19">
        <f>(33+32)/2</f>
        <v>32.5</v>
      </c>
      <c r="D2713" s="19">
        <f>(10.5+5.625)/2</f>
        <v>8.0625</v>
      </c>
      <c r="E2713" s="68">
        <f t="shared" si="1692"/>
        <v>33.171875</v>
      </c>
      <c r="F2713" s="69">
        <f>E25-(C17+C16+2*1.5+IF(C13="single",1.5,3))/12-_xlfn.XLOOKUP(E25,E20:E24,E20:E24,,-1)</f>
        <v>8.6770833333333321</v>
      </c>
      <c r="H2713" s="19">
        <v>443</v>
      </c>
      <c r="I2713" s="64" t="s">
        <v>196</v>
      </c>
      <c r="J2713" s="19">
        <v>18.899999999999999</v>
      </c>
      <c r="K2713" s="19">
        <v>36.6</v>
      </c>
      <c r="L2713" s="19">
        <v>10.8</v>
      </c>
      <c r="M2713" s="19">
        <v>66.7</v>
      </c>
      <c r="P2713" s="93"/>
      <c r="Q2713" t="s">
        <v>275</v>
      </c>
      <c r="R2713" s="19">
        <f>$H$25</f>
        <v>443</v>
      </c>
      <c r="S2713">
        <f t="shared" si="1667"/>
        <v>265.8</v>
      </c>
      <c r="T2713">
        <f t="shared" si="1668"/>
        <v>0</v>
      </c>
      <c r="U2713">
        <f t="shared" si="1693"/>
        <v>0</v>
      </c>
      <c r="V2713" s="19">
        <v>18.899999999999999</v>
      </c>
      <c r="W2713">
        <f t="shared" si="1669"/>
        <v>13.229999999999999</v>
      </c>
      <c r="X2713">
        <f t="shared" si="1670"/>
        <v>0</v>
      </c>
      <c r="Y2713">
        <f t="shared" si="1671"/>
        <v>0</v>
      </c>
      <c r="Z2713" s="19">
        <f>$H$25</f>
        <v>443</v>
      </c>
      <c r="AA2713">
        <f t="shared" si="1672"/>
        <v>265.8</v>
      </c>
      <c r="AB2713">
        <f t="shared" si="1673"/>
        <v>6423.5</v>
      </c>
      <c r="AC2713">
        <f t="shared" si="1659"/>
        <v>3854.1</v>
      </c>
      <c r="AD2713" s="19">
        <v>18.899999999999999</v>
      </c>
      <c r="AE2713">
        <f t="shared" si="1674"/>
        <v>13.229999999999999</v>
      </c>
      <c r="AF2713">
        <f t="shared" si="1675"/>
        <v>274.04999999999995</v>
      </c>
      <c r="AG2713">
        <f t="shared" si="1676"/>
        <v>191.83499999999995</v>
      </c>
      <c r="AH2713" s="19">
        <v>0</v>
      </c>
      <c r="AI2713" s="19">
        <v>0</v>
      </c>
      <c r="AJ2713" s="17">
        <f>T2713+AB2713+AH2713</f>
        <v>6423.5</v>
      </c>
      <c r="AK2713" s="17">
        <f>AJ2713</f>
        <v>6423.5</v>
      </c>
      <c r="AL2713" s="17">
        <f t="shared" si="1677"/>
        <v>3854.1</v>
      </c>
      <c r="AM2713" s="17">
        <f>AL2713</f>
        <v>3854.1</v>
      </c>
      <c r="AN2713" s="17">
        <f>X2713+AF2713+AI2713</f>
        <v>274.04999999999995</v>
      </c>
      <c r="AO2713" s="17">
        <f>AN2713</f>
        <v>274.04999999999995</v>
      </c>
      <c r="AP2713" s="17">
        <f>AN2713*0.7</f>
        <v>191.83499999999995</v>
      </c>
      <c r="AQ2713" s="17">
        <f>AP2713</f>
        <v>191.83499999999995</v>
      </c>
      <c r="AR2713" s="100"/>
      <c r="AS2713" s="93"/>
      <c r="AT2713" t="s">
        <v>275</v>
      </c>
      <c r="AU2713" s="19">
        <f>$H$25</f>
        <v>443</v>
      </c>
      <c r="AV2713">
        <f t="shared" si="1681"/>
        <v>265.8</v>
      </c>
      <c r="AW2713">
        <f t="shared" si="1661"/>
        <v>0</v>
      </c>
      <c r="AX2713">
        <f t="shared" si="1695"/>
        <v>0</v>
      </c>
      <c r="AY2713" s="19">
        <v>18.899999999999999</v>
      </c>
      <c r="AZ2713">
        <f t="shared" si="1682"/>
        <v>13.229999999999999</v>
      </c>
      <c r="BA2713">
        <f t="shared" si="1662"/>
        <v>0</v>
      </c>
      <c r="BB2713">
        <f t="shared" si="1683"/>
        <v>0</v>
      </c>
      <c r="BC2713" s="19">
        <f>$H$25</f>
        <v>443</v>
      </c>
      <c r="BD2713">
        <f t="shared" si="1684"/>
        <v>265.8</v>
      </c>
      <c r="BE2713">
        <f t="shared" si="1663"/>
        <v>5980.5</v>
      </c>
      <c r="BF2713">
        <f t="shared" si="1664"/>
        <v>3588.2999999999997</v>
      </c>
      <c r="BG2713" s="19">
        <v>18.899999999999999</v>
      </c>
      <c r="BH2713">
        <f t="shared" si="1685"/>
        <v>13.229999999999999</v>
      </c>
      <c r="BI2713">
        <f t="shared" si="1665"/>
        <v>255.14999999999998</v>
      </c>
      <c r="BJ2713">
        <f t="shared" si="1686"/>
        <v>178.60499999999996</v>
      </c>
      <c r="BK2713" s="19">
        <v>0</v>
      </c>
      <c r="BL2713" s="19">
        <v>0</v>
      </c>
      <c r="BM2713" s="17">
        <f>AW2713+BE2713+BK2713</f>
        <v>5980.5</v>
      </c>
      <c r="BN2713" s="17">
        <f>BM2713</f>
        <v>5980.5</v>
      </c>
      <c r="BO2713" s="17">
        <f t="shared" si="1697"/>
        <v>3588.2999999999997</v>
      </c>
      <c r="BP2713" s="17">
        <f>BO2713</f>
        <v>3588.2999999999997</v>
      </c>
      <c r="BQ2713" s="17">
        <f>BA2713+BI2713+BL2713</f>
        <v>255.14999999999998</v>
      </c>
      <c r="BR2713" s="17">
        <f>BQ2713</f>
        <v>255.14999999999998</v>
      </c>
      <c r="BS2713" s="17">
        <f>BQ2713*0.7</f>
        <v>178.60499999999996</v>
      </c>
      <c r="BT2713" s="17">
        <f>BS2713</f>
        <v>178.60499999999996</v>
      </c>
      <c r="BU2713" s="100"/>
    </row>
    <row r="2714" x14ac:dyDescent="0.25">
      <c r="B2714" t="s">
        <v>530</v>
      </c>
      <c r="E2714" s="73"/>
      <c r="F2714" s="73"/>
      <c r="H2714" s="19">
        <v>-22.9</v>
      </c>
      <c r="I2714" s="64" t="s">
        <v>270</v>
      </c>
      <c r="P2714" s="93"/>
      <c r="R2714" s="19">
        <f>$H$26</f>
        <v>-22.9</v>
      </c>
      <c r="S2714">
        <f t="shared" si="1667"/>
        <v>-13.739999999999998</v>
      </c>
      <c r="T2714">
        <f>$I$63/2*R2714</f>
        <v>0</v>
      </c>
      <c r="U2714">
        <f t="shared" si="1693"/>
        <v>0</v>
      </c>
      <c r="Z2714" s="19">
        <f>$H$26</f>
        <v>-22.9</v>
      </c>
      <c r="AA2714">
        <f>Z2714*0.6</f>
        <v>-13.739999999999998</v>
      </c>
      <c r="AB2714">
        <f>$J$63/2*Z2714</f>
        <v>-309.14999999999998</v>
      </c>
      <c r="AC2714">
        <f t="shared" si="1659"/>
        <v>-185.48999999999998</v>
      </c>
      <c r="AR2714" s="100"/>
      <c r="AS2714" s="93"/>
      <c r="AU2714" s="19">
        <f>$H$26</f>
        <v>-22.9</v>
      </c>
      <c r="AV2714">
        <f t="shared" si="1681"/>
        <v>-13.739999999999998</v>
      </c>
      <c r="AW2714">
        <f t="shared" si="1661"/>
        <v>0</v>
      </c>
      <c r="AX2714">
        <f t="shared" si="1695"/>
        <v>0</v>
      </c>
      <c r="BC2714" s="19">
        <f>$H$26</f>
        <v>-22.9</v>
      </c>
      <c r="BD2714">
        <f>BC2714*0.6</f>
        <v>-13.739999999999998</v>
      </c>
      <c r="BE2714">
        <f t="shared" si="1663"/>
        <v>-309.14999999999998</v>
      </c>
      <c r="BF2714">
        <f t="shared" si="1664"/>
        <v>-185.48999999999998</v>
      </c>
      <c r="BU2714" s="100"/>
    </row>
    <row r="2715" x14ac:dyDescent="0.25">
      <c r="B2715" t="s">
        <v>531</v>
      </c>
      <c r="C2715" s="1" t="s">
        <v>533</v>
      </c>
      <c r="D2715" s="19">
        <v>0.18</v>
      </c>
      <c r="E2715" s="73"/>
      <c r="F2715" s="73"/>
      <c r="H2715">
        <f>0.2*D27</f>
        <v>3.5999999999999997E-2</v>
      </c>
      <c r="I2715" s="64" t="s">
        <v>534</v>
      </c>
      <c r="P2715" s="93"/>
      <c r="Q2715" s="1"/>
      <c r="AR2715" s="100"/>
      <c r="AS2715" s="93"/>
      <c r="AT2715" s="1"/>
      <c r="BU2715" s="100"/>
    </row>
    <row r="2716" x14ac:dyDescent="0.25">
      <c r="P2716" s="93"/>
      <c r="Y2716" s="112" t="s">
        <v>752</v>
      </c>
      <c r="Z2716" s="112"/>
      <c r="AA2716" s="112"/>
      <c r="AB2716" s="112"/>
      <c r="AC2716" s="112"/>
      <c r="AR2716" s="100"/>
      <c r="AS2716" s="93"/>
      <c r="BB2716" s="112" t="s">
        <v>752</v>
      </c>
      <c r="BC2716" s="112"/>
      <c r="BD2716" s="112"/>
      <c r="BE2716" s="112"/>
      <c r="BF2716" s="112"/>
      <c r="BU2716" s="100"/>
    </row>
    <row r="2717" x14ac:dyDescent="0.25">
      <c r="B2717" t="s">
        <v>513</v>
      </c>
      <c r="P2717" s="93"/>
      <c r="Q2717" t="s">
        <v>479</v>
      </c>
      <c r="R2717" t="s">
        <v>491</v>
      </c>
      <c r="S2717" t="s">
        <v>508</v>
      </c>
      <c r="T2717" t="s">
        <v>507</v>
      </c>
      <c r="U2717" t="s">
        <v>535</v>
      </c>
      <c r="V2717" t="s">
        <v>536</v>
      </c>
      <c r="W2717" t="s">
        <v>479</v>
      </c>
      <c r="X2717" t="s">
        <v>537</v>
      </c>
      <c r="Y2717" t="s">
        <v>450</v>
      </c>
      <c r="Z2717" t="s">
        <v>451</v>
      </c>
      <c r="AA2717" t="s">
        <v>452</v>
      </c>
      <c r="AB2717" t="s">
        <v>453</v>
      </c>
      <c r="AC2717" t="s">
        <v>753</v>
      </c>
      <c r="AD2717" t="s">
        <v>519</v>
      </c>
      <c r="AR2717" s="100"/>
      <c r="AS2717" s="93"/>
      <c r="AT2717" t="s">
        <v>479</v>
      </c>
      <c r="AU2717" t="s">
        <v>491</v>
      </c>
      <c r="AV2717" t="s">
        <v>508</v>
      </c>
      <c r="AW2717" t="s">
        <v>507</v>
      </c>
      <c r="AX2717" t="s">
        <v>535</v>
      </c>
      <c r="AY2717" t="s">
        <v>536</v>
      </c>
      <c r="AZ2717" t="s">
        <v>479</v>
      </c>
      <c r="BA2717" t="s">
        <v>537</v>
      </c>
      <c r="BB2717" t="s">
        <v>450</v>
      </c>
      <c r="BC2717" t="s">
        <v>451</v>
      </c>
      <c r="BD2717" t="s">
        <v>452</v>
      </c>
      <c r="BE2717" t="s">
        <v>453</v>
      </c>
      <c r="BF2717" t="s">
        <v>753</v>
      </c>
      <c r="BG2717" t="s">
        <v>519</v>
      </c>
      <c r="BU2717" s="100"/>
    </row>
    <row r="2718" x14ac:dyDescent="0.25">
      <c r="B2718" s="1" t="s">
        <v>275</v>
      </c>
      <c r="C2718" s="19">
        <v>20</v>
      </c>
      <c r="D2718" t="s">
        <v>567</v>
      </c>
      <c r="P2718" s="93"/>
      <c r="Q2718" s="109" t="str">
        <f>R2704&amp;".01"</f>
        <v>A.01</v>
      </c>
      <c r="R2718" s="19">
        <v>29</v>
      </c>
      <c r="S2718" s="19">
        <v>12</v>
      </c>
      <c r="T2718">
        <f>S2718/2</f>
        <v>6</v>
      </c>
      <c r="U2718" s="19">
        <v>4</v>
      </c>
      <c r="V2718">
        <f>U2718/2</f>
        <v>2</v>
      </c>
      <c r="W2718" s="19" t="s">
        <v>515</v>
      </c>
      <c r="X2718" s="19">
        <v>6</v>
      </c>
      <c r="Y2718" s="19"/>
      <c r="Z2718" s="19"/>
      <c r="AA2718" s="19"/>
      <c r="AB2718" s="19"/>
      <c r="AC2718" s="19"/>
      <c r="AD2718" s="108">
        <f>R2718/R2734</f>
        <v>1</v>
      </c>
      <c r="AR2718" s="100"/>
      <c r="AS2718" s="93"/>
      <c r="AT2718" s="109" t="str">
        <f>AU$2704&amp;".01"</f>
        <v>1.01</v>
      </c>
      <c r="AU2718" s="19">
        <v>29</v>
      </c>
      <c r="AV2718" s="19">
        <v>12</v>
      </c>
      <c r="AW2718">
        <f>AV2718/2</f>
        <v>6</v>
      </c>
      <c r="AX2718" s="19">
        <v>4</v>
      </c>
      <c r="AY2718">
        <f>AX2718/2</f>
        <v>2</v>
      </c>
      <c r="AZ2718" s="19" t="s">
        <v>515</v>
      </c>
      <c r="BA2718" s="19">
        <v>6</v>
      </c>
      <c r="BB2718" s="19"/>
      <c r="BC2718" s="19"/>
      <c r="BD2718" s="19"/>
      <c r="BE2718" s="19"/>
      <c r="BF2718" s="19"/>
      <c r="BG2718" s="108">
        <f>AU2718/AU2734</f>
        <v>1</v>
      </c>
      <c r="BU2718" s="100"/>
    </row>
    <row r="2719" x14ac:dyDescent="0.25">
      <c r="B2719" s="1"/>
      <c r="C2719">
        <f>0.9*C30</f>
        <v>18</v>
      </c>
      <c r="D2719" t="s">
        <v>532</v>
      </c>
      <c r="P2719" s="93"/>
      <c r="Q2719" s="109" t="str">
        <f>R2704&amp;".02"</f>
        <v>A.02</v>
      </c>
      <c r="R2719" s="19"/>
      <c r="S2719" s="19"/>
      <c r="T2719">
        <f t="shared" ref="T2719:T2733" si="1698">S2719/2</f>
        <v>0</v>
      </c>
      <c r="U2719" s="19"/>
      <c r="V2719">
        <f t="shared" ref="V2719:V2733" si="1699">U2719/2</f>
        <v>0</v>
      </c>
      <c r="W2719" s="19"/>
      <c r="X2719" s="19"/>
      <c r="Y2719" s="19"/>
      <c r="Z2719" s="19"/>
      <c r="AA2719" s="19"/>
      <c r="AB2719" s="19"/>
      <c r="AC2719" s="19"/>
      <c r="AR2719" s="100"/>
      <c r="AS2719" s="93"/>
      <c r="AT2719" s="109" t="str">
        <f>AU$2704&amp;".02"</f>
        <v>1.02</v>
      </c>
      <c r="AU2719" s="19"/>
      <c r="AV2719" s="19"/>
      <c r="AW2719">
        <f t="shared" ref="AW2719:AW2733" si="1700">AV2719/2</f>
        <v>0</v>
      </c>
      <c r="AX2719" s="19"/>
      <c r="AY2719">
        <f t="shared" ref="AY2719:AY2733" si="1701">AX2719/2</f>
        <v>0</v>
      </c>
      <c r="AZ2719" s="19"/>
      <c r="BA2719" s="19"/>
      <c r="BB2719" s="19"/>
      <c r="BC2719" s="19"/>
      <c r="BD2719" s="19"/>
      <c r="BE2719" s="19"/>
      <c r="BF2719" s="19"/>
      <c r="BU2719" s="100"/>
    </row>
    <row r="2720" x14ac:dyDescent="0.25">
      <c r="B2720" s="1" t="s">
        <v>514</v>
      </c>
      <c r="C2720" s="19">
        <v>26</v>
      </c>
      <c r="D2720" t="s">
        <v>512</v>
      </c>
      <c r="P2720" s="93"/>
      <c r="Q2720" s="109" t="str">
        <f>R2704&amp;".03"</f>
        <v>A.03</v>
      </c>
      <c r="R2720" s="19"/>
      <c r="S2720" s="19"/>
      <c r="T2720">
        <f t="shared" si="1698"/>
        <v>0</v>
      </c>
      <c r="U2720" s="19"/>
      <c r="V2720">
        <f t="shared" si="1699"/>
        <v>0</v>
      </c>
      <c r="W2720" s="19"/>
      <c r="X2720" s="19"/>
      <c r="Y2720" s="19"/>
      <c r="Z2720" s="19"/>
      <c r="AA2720" s="19"/>
      <c r="AB2720" s="19"/>
      <c r="AC2720" s="19"/>
      <c r="AR2720" s="100"/>
      <c r="AS2720" s="93"/>
      <c r="AT2720" s="109" t="str">
        <f>AU$2704&amp;".03"</f>
        <v>1.03</v>
      </c>
      <c r="AU2720" s="19"/>
      <c r="AV2720" s="19"/>
      <c r="AW2720">
        <f t="shared" si="1700"/>
        <v>0</v>
      </c>
      <c r="AX2720" s="19"/>
      <c r="AY2720">
        <f t="shared" si="1701"/>
        <v>0</v>
      </c>
      <c r="AZ2720" s="19"/>
      <c r="BA2720" s="19"/>
      <c r="BB2720" s="19"/>
      <c r="BC2720" s="19"/>
      <c r="BD2720" s="19"/>
      <c r="BE2720" s="19"/>
      <c r="BF2720" s="19"/>
      <c r="BU2720" s="100"/>
    </row>
    <row r="2721" x14ac:dyDescent="0.25">
      <c r="B2721" s="1" t="s">
        <v>477</v>
      </c>
      <c r="C2721" s="19">
        <v>11</v>
      </c>
      <c r="D2721" t="s">
        <v>509</v>
      </c>
      <c r="P2721" s="93"/>
      <c r="Q2721" s="109" t="str">
        <f>R2704&amp;".04"</f>
        <v>A.04</v>
      </c>
      <c r="R2721" s="19"/>
      <c r="S2721" s="19"/>
      <c r="T2721">
        <f t="shared" si="1698"/>
        <v>0</v>
      </c>
      <c r="U2721" s="19"/>
      <c r="V2721">
        <f t="shared" si="1699"/>
        <v>0</v>
      </c>
      <c r="W2721" s="19"/>
      <c r="X2721" s="19"/>
      <c r="Y2721" s="19"/>
      <c r="Z2721" s="19"/>
      <c r="AA2721" s="19"/>
      <c r="AB2721" s="19"/>
      <c r="AC2721" s="19"/>
      <c r="AR2721" s="100"/>
      <c r="AS2721" s="93"/>
      <c r="AT2721" s="109" t="str">
        <f>AU$2704&amp;".04"</f>
        <v>1.04</v>
      </c>
      <c r="AU2721" s="19"/>
      <c r="AV2721" s="19"/>
      <c r="AW2721">
        <f t="shared" si="1700"/>
        <v>0</v>
      </c>
      <c r="AX2721" s="19"/>
      <c r="AY2721">
        <f t="shared" si="1701"/>
        <v>0</v>
      </c>
      <c r="AZ2721" s="19"/>
      <c r="BA2721" s="19"/>
      <c r="BB2721" s="19"/>
      <c r="BC2721" s="19"/>
      <c r="BD2721" s="19"/>
      <c r="BE2721" s="19"/>
      <c r="BF2721" s="19"/>
      <c r="BU2721" s="100"/>
    </row>
    <row r="2722" x14ac:dyDescent="0.25">
      <c r="B2722" s="1" t="s">
        <v>478</v>
      </c>
      <c r="C2722" s="19">
        <v>13</v>
      </c>
      <c r="D2722" t="s">
        <v>510</v>
      </c>
      <c r="P2722" s="93"/>
      <c r="Q2722" s="109" t="str">
        <f>R2704&amp;".05"</f>
        <v>A.05</v>
      </c>
      <c r="R2722" s="19"/>
      <c r="S2722" s="19"/>
      <c r="T2722">
        <f t="shared" si="1698"/>
        <v>0</v>
      </c>
      <c r="U2722" s="19"/>
      <c r="V2722">
        <f t="shared" si="1699"/>
        <v>0</v>
      </c>
      <c r="W2722" s="19"/>
      <c r="X2722" s="19"/>
      <c r="Y2722" s="19"/>
      <c r="Z2722" s="19"/>
      <c r="AA2722" s="19"/>
      <c r="AB2722" s="19"/>
      <c r="AC2722" s="19"/>
      <c r="AR2722" s="100"/>
      <c r="AS2722" s="93"/>
      <c r="AT2722" s="109" t="str">
        <f>AU$2704&amp;".05"</f>
        <v>1.05</v>
      </c>
      <c r="AU2722" s="19"/>
      <c r="AV2722" s="19"/>
      <c r="AW2722">
        <f t="shared" si="1700"/>
        <v>0</v>
      </c>
      <c r="AX2722" s="19"/>
      <c r="AY2722">
        <f t="shared" si="1701"/>
        <v>0</v>
      </c>
      <c r="AZ2722" s="19"/>
      <c r="BA2722" s="19"/>
      <c r="BB2722" s="19"/>
      <c r="BC2722" s="19"/>
      <c r="BD2722" s="19"/>
      <c r="BE2722" s="19"/>
      <c r="BF2722" s="19"/>
      <c r="BU2722" s="100"/>
    </row>
    <row r="2723" x14ac:dyDescent="0.25">
      <c r="B2723" s="1" t="s">
        <v>515</v>
      </c>
      <c r="C2723" s="19">
        <v>18</v>
      </c>
      <c r="D2723" t="s">
        <v>511</v>
      </c>
      <c r="P2723" s="93"/>
      <c r="Q2723" s="109" t="str">
        <f>R2704&amp;".06"</f>
        <v>A.06</v>
      </c>
      <c r="R2723" s="19"/>
      <c r="S2723" s="19"/>
      <c r="T2723">
        <f t="shared" si="1698"/>
        <v>0</v>
      </c>
      <c r="U2723" s="19"/>
      <c r="V2723">
        <f t="shared" si="1699"/>
        <v>0</v>
      </c>
      <c r="W2723" s="19"/>
      <c r="X2723" s="19"/>
      <c r="Y2723" s="19"/>
      <c r="Z2723" s="19"/>
      <c r="AA2723" s="19"/>
      <c r="AB2723" s="19"/>
      <c r="AC2723" s="19"/>
      <c r="AR2723" s="100"/>
      <c r="AS2723" s="93"/>
      <c r="AT2723" s="109" t="str">
        <f>AU$2704&amp;".06"</f>
        <v>1.06</v>
      </c>
      <c r="AU2723" s="19"/>
      <c r="AV2723" s="19"/>
      <c r="AW2723">
        <f t="shared" si="1700"/>
        <v>0</v>
      </c>
      <c r="AX2723" s="19"/>
      <c r="AY2723">
        <f t="shared" si="1701"/>
        <v>0</v>
      </c>
      <c r="AZ2723" s="19"/>
      <c r="BA2723" s="19"/>
      <c r="BB2723" s="19"/>
      <c r="BC2723" s="19"/>
      <c r="BD2723" s="19"/>
      <c r="BE2723" s="19"/>
      <c r="BF2723" s="19"/>
      <c r="BU2723" s="100"/>
    </row>
    <row r="2724" x14ac:dyDescent="0.25">
      <c r="B2724" s="1" t="s">
        <v>516</v>
      </c>
      <c r="P2724" s="93"/>
      <c r="Q2724" s="109" t="str">
        <f>R2704&amp;".07"</f>
        <v>A.07</v>
      </c>
      <c r="R2724" s="19"/>
      <c r="S2724" s="19"/>
      <c r="T2724">
        <f t="shared" si="1698"/>
        <v>0</v>
      </c>
      <c r="U2724" s="19"/>
      <c r="V2724">
        <f t="shared" si="1699"/>
        <v>0</v>
      </c>
      <c r="W2724" s="19"/>
      <c r="X2724" s="19"/>
      <c r="Y2724" s="19"/>
      <c r="Z2724" s="19"/>
      <c r="AA2724" s="19"/>
      <c r="AB2724" s="19"/>
      <c r="AC2724" s="19"/>
      <c r="AF2724" s="109"/>
      <c r="AR2724" s="100"/>
      <c r="AS2724" s="93"/>
      <c r="AT2724" s="109" t="str">
        <f>AU$2704&amp;".07"</f>
        <v>1.07</v>
      </c>
      <c r="AU2724" s="19"/>
      <c r="AV2724" s="19"/>
      <c r="AW2724">
        <f t="shared" si="1700"/>
        <v>0</v>
      </c>
      <c r="AX2724" s="19"/>
      <c r="AY2724">
        <f t="shared" si="1701"/>
        <v>0</v>
      </c>
      <c r="AZ2724" s="19"/>
      <c r="BA2724" s="19"/>
      <c r="BB2724" s="19"/>
      <c r="BC2724" s="19"/>
      <c r="BD2724" s="19"/>
      <c r="BE2724" s="19"/>
      <c r="BF2724" s="19"/>
      <c r="BI2724" s="109"/>
      <c r="BU2724" s="100"/>
    </row>
    <row r="2725" x14ac:dyDescent="0.25">
      <c r="B2725" s="1" t="s">
        <v>517</v>
      </c>
      <c r="P2725" s="93"/>
      <c r="Q2725" s="109" t="str">
        <f>R2704&amp;".08"</f>
        <v>A.08</v>
      </c>
      <c r="R2725" s="19"/>
      <c r="S2725" s="19"/>
      <c r="T2725">
        <f t="shared" si="1698"/>
        <v>0</v>
      </c>
      <c r="U2725" s="19"/>
      <c r="V2725">
        <f t="shared" si="1699"/>
        <v>0</v>
      </c>
      <c r="W2725" s="19"/>
      <c r="X2725" s="19"/>
      <c r="Y2725" s="19"/>
      <c r="Z2725" s="19"/>
      <c r="AA2725" s="19"/>
      <c r="AB2725" s="19"/>
      <c r="AC2725" s="19"/>
      <c r="AF2725" s="109"/>
      <c r="AR2725" s="100"/>
      <c r="AS2725" s="93"/>
      <c r="AT2725" s="109" t="str">
        <f>AU$2704&amp;".08"</f>
        <v>1.08</v>
      </c>
      <c r="AU2725" s="19"/>
      <c r="AV2725" s="19"/>
      <c r="AW2725">
        <f t="shared" si="1700"/>
        <v>0</v>
      </c>
      <c r="AX2725" s="19"/>
      <c r="AY2725">
        <f t="shared" si="1701"/>
        <v>0</v>
      </c>
      <c r="AZ2725" s="19"/>
      <c r="BA2725" s="19"/>
      <c r="BB2725" s="19"/>
      <c r="BC2725" s="19"/>
      <c r="BD2725" s="19"/>
      <c r="BE2725" s="19"/>
      <c r="BF2725" s="19"/>
      <c r="BI2725" s="109"/>
      <c r="BU2725" s="100"/>
    </row>
    <row r="2726" x14ac:dyDescent="0.25">
      <c r="B2726" s="1" t="s">
        <v>518</v>
      </c>
      <c r="P2726" s="93"/>
      <c r="Q2726" s="109" t="str">
        <f>R2704&amp;".09"</f>
        <v>A.09</v>
      </c>
      <c r="R2726" s="19"/>
      <c r="S2726" s="19"/>
      <c r="T2726">
        <f t="shared" si="1698"/>
        <v>0</v>
      </c>
      <c r="U2726" s="19"/>
      <c r="V2726">
        <f t="shared" si="1699"/>
        <v>0</v>
      </c>
      <c r="W2726" s="19"/>
      <c r="X2726" s="19"/>
      <c r="Y2726" s="19"/>
      <c r="Z2726" s="19"/>
      <c r="AA2726" s="19"/>
      <c r="AB2726" s="19"/>
      <c r="AC2726" s="19"/>
      <c r="AF2726" s="109"/>
      <c r="AR2726" s="100"/>
      <c r="AS2726" s="93"/>
      <c r="AT2726" s="109" t="str">
        <f>AU$2704&amp;".09"</f>
        <v>1.09</v>
      </c>
      <c r="AU2726" s="19"/>
      <c r="AV2726" s="19"/>
      <c r="AW2726">
        <f t="shared" si="1700"/>
        <v>0</v>
      </c>
      <c r="AX2726" s="19"/>
      <c r="AY2726">
        <f t="shared" si="1701"/>
        <v>0</v>
      </c>
      <c r="AZ2726" s="19"/>
      <c r="BA2726" s="19"/>
      <c r="BB2726" s="19"/>
      <c r="BC2726" s="19"/>
      <c r="BD2726" s="19"/>
      <c r="BE2726" s="19"/>
      <c r="BF2726" s="19"/>
      <c r="BI2726" s="109"/>
      <c r="BU2726" s="100"/>
    </row>
    <row r="2727" x14ac:dyDescent="0.25">
      <c r="P2727" s="93"/>
      <c r="Q2727" s="109" t="str">
        <f>R2704&amp;".10"</f>
        <v>A.10</v>
      </c>
      <c r="R2727" s="19"/>
      <c r="S2727" s="19"/>
      <c r="T2727">
        <f t="shared" si="1698"/>
        <v>0</v>
      </c>
      <c r="U2727" s="19"/>
      <c r="V2727">
        <f t="shared" si="1699"/>
        <v>0</v>
      </c>
      <c r="W2727" s="19"/>
      <c r="X2727" s="19"/>
      <c r="Y2727" s="19"/>
      <c r="Z2727" s="19"/>
      <c r="AA2727" s="19"/>
      <c r="AB2727" s="19"/>
      <c r="AC2727" s="19"/>
      <c r="AF2727" s="109"/>
      <c r="AR2727" s="100"/>
      <c r="AS2727" s="93"/>
      <c r="AT2727" s="109" t="str">
        <f>AU$2704&amp;".10"</f>
        <v>1.10</v>
      </c>
      <c r="AU2727" s="19"/>
      <c r="AV2727" s="19"/>
      <c r="AW2727">
        <f t="shared" si="1700"/>
        <v>0</v>
      </c>
      <c r="AX2727" s="19"/>
      <c r="AY2727">
        <f t="shared" si="1701"/>
        <v>0</v>
      </c>
      <c r="AZ2727" s="19"/>
      <c r="BA2727" s="19"/>
      <c r="BB2727" s="19"/>
      <c r="BC2727" s="19"/>
      <c r="BD2727" s="19"/>
      <c r="BE2727" s="19"/>
      <c r="BF2727" s="19"/>
      <c r="BI2727" s="109"/>
      <c r="BU2727" s="100"/>
    </row>
    <row r="2728" x14ac:dyDescent="0.25">
      <c r="C2728" s="112" t="s">
        <v>495</v>
      </c>
      <c r="D2728" s="112"/>
      <c r="E2728" s="112"/>
      <c r="I2728" s="112" t="s">
        <v>495</v>
      </c>
      <c r="J2728" s="112"/>
      <c r="K2728" s="112"/>
      <c r="P2728" s="93"/>
      <c r="Q2728" s="109" t="str">
        <f>R2704&amp;".11"</f>
        <v>A.11</v>
      </c>
      <c r="R2728" s="19"/>
      <c r="S2728" s="19"/>
      <c r="T2728">
        <f t="shared" si="1698"/>
        <v>0</v>
      </c>
      <c r="U2728" s="19"/>
      <c r="V2728">
        <f t="shared" si="1699"/>
        <v>0</v>
      </c>
      <c r="W2728" s="19"/>
      <c r="X2728" s="19"/>
      <c r="Y2728" s="19"/>
      <c r="Z2728" s="19"/>
      <c r="AA2728" s="19"/>
      <c r="AB2728" s="19"/>
      <c r="AC2728" s="19"/>
      <c r="AF2728" s="109"/>
      <c r="AR2728" s="100"/>
      <c r="AS2728" s="93"/>
      <c r="AT2728" s="109" t="str">
        <f>AU$2704&amp;".11"</f>
        <v>1.11</v>
      </c>
      <c r="AU2728" s="19"/>
      <c r="AV2728" s="19"/>
      <c r="AW2728">
        <f t="shared" si="1700"/>
        <v>0</v>
      </c>
      <c r="AX2728" s="19"/>
      <c r="AY2728">
        <f t="shared" si="1701"/>
        <v>0</v>
      </c>
      <c r="AZ2728" s="19"/>
      <c r="BA2728" s="19"/>
      <c r="BB2728" s="19"/>
      <c r="BC2728" s="19"/>
      <c r="BD2728" s="19"/>
      <c r="BE2728" s="19"/>
      <c r="BF2728" s="19"/>
      <c r="BI2728" s="109"/>
      <c r="BU2728" s="100"/>
    </row>
    <row r="2729" x14ac:dyDescent="0.25">
      <c r="B2729" t="s">
        <v>474</v>
      </c>
      <c r="C2729" t="s">
        <v>492</v>
      </c>
      <c r="D2729" t="s">
        <v>493</v>
      </c>
      <c r="E2729" t="s">
        <v>494</v>
      </c>
      <c r="H2729" t="s">
        <v>455</v>
      </c>
      <c r="I2729" t="s">
        <v>492</v>
      </c>
      <c r="J2729" t="s">
        <v>493</v>
      </c>
      <c r="K2729" t="s">
        <v>494</v>
      </c>
      <c r="P2729" s="93"/>
      <c r="Q2729" s="109" t="str">
        <f>R2704&amp;".12"</f>
        <v>A.12</v>
      </c>
      <c r="R2729" s="19"/>
      <c r="S2729" s="19"/>
      <c r="T2729">
        <f t="shared" si="1698"/>
        <v>0</v>
      </c>
      <c r="U2729" s="19"/>
      <c r="V2729">
        <f t="shared" si="1699"/>
        <v>0</v>
      </c>
      <c r="W2729" s="19"/>
      <c r="X2729" s="19"/>
      <c r="Y2729" s="19"/>
      <c r="Z2729" s="19"/>
      <c r="AA2729" s="19"/>
      <c r="AB2729" s="19"/>
      <c r="AC2729" s="19"/>
      <c r="AF2729" s="109"/>
      <c r="AR2729" s="100"/>
      <c r="AS2729" s="93"/>
      <c r="AT2729" s="109" t="str">
        <f>AU$2704&amp;".12"</f>
        <v>1.12</v>
      </c>
      <c r="AU2729" s="19"/>
      <c r="AV2729" s="19"/>
      <c r="AW2729">
        <f t="shared" si="1700"/>
        <v>0</v>
      </c>
      <c r="AX2729" s="19"/>
      <c r="AY2729">
        <f t="shared" si="1701"/>
        <v>0</v>
      </c>
      <c r="AZ2729" s="19"/>
      <c r="BA2729" s="19"/>
      <c r="BB2729" s="19"/>
      <c r="BC2729" s="19"/>
      <c r="BD2729" s="19"/>
      <c r="BE2729" s="19"/>
      <c r="BF2729" s="19"/>
      <c r="BI2729" s="109"/>
      <c r="BU2729" s="100"/>
    </row>
    <row r="2730" x14ac:dyDescent="0.25">
      <c r="B2730" t="s">
        <v>274</v>
      </c>
      <c r="C2730" s="19">
        <v>0</v>
      </c>
      <c r="D2730" s="19">
        <v>29</v>
      </c>
      <c r="E2730">
        <f>C63+D63</f>
        <v>29</v>
      </c>
      <c r="H2730">
        <v>1</v>
      </c>
      <c r="I2730" s="19">
        <v>0</v>
      </c>
      <c r="J2730" s="19">
        <v>27</v>
      </c>
      <c r="K2730">
        <f>I63+J63</f>
        <v>27</v>
      </c>
      <c r="P2730" s="93"/>
      <c r="Q2730" s="109" t="str">
        <f>R2704&amp;".13"</f>
        <v>A.13</v>
      </c>
      <c r="R2730" s="19"/>
      <c r="S2730" s="19"/>
      <c r="T2730">
        <f t="shared" si="1698"/>
        <v>0</v>
      </c>
      <c r="U2730" s="19"/>
      <c r="V2730">
        <f t="shared" si="1699"/>
        <v>0</v>
      </c>
      <c r="W2730" s="19"/>
      <c r="X2730" s="19"/>
      <c r="Y2730" s="19"/>
      <c r="Z2730" s="19"/>
      <c r="AA2730" s="19"/>
      <c r="AB2730" s="19"/>
      <c r="AC2730" s="19"/>
      <c r="AF2730" s="109"/>
      <c r="AR2730" s="100"/>
      <c r="AS2730" s="93"/>
      <c r="AT2730" s="109" t="str">
        <f>AU$2704&amp;".13"</f>
        <v>1.13</v>
      </c>
      <c r="AU2730" s="19"/>
      <c r="AV2730" s="19"/>
      <c r="AW2730">
        <f t="shared" si="1700"/>
        <v>0</v>
      </c>
      <c r="AX2730" s="19"/>
      <c r="AY2730">
        <f t="shared" si="1701"/>
        <v>0</v>
      </c>
      <c r="AZ2730" s="19"/>
      <c r="BA2730" s="19"/>
      <c r="BB2730" s="19"/>
      <c r="BC2730" s="19"/>
      <c r="BD2730" s="19"/>
      <c r="BE2730" s="19"/>
      <c r="BF2730" s="19"/>
      <c r="BI2730" s="109"/>
      <c r="BU2730" s="100"/>
    </row>
    <row r="2731" x14ac:dyDescent="0.25">
      <c r="B2731" t="s">
        <v>279</v>
      </c>
      <c r="C2731" s="19">
        <v>29</v>
      </c>
      <c r="D2731" s="19">
        <v>6</v>
      </c>
      <c r="E2731">
        <f t="shared" ref="E43:E67" si="1702">C43+D43</f>
        <v>35</v>
      </c>
      <c r="H2731">
        <v>2</v>
      </c>
      <c r="I2731" s="19">
        <v>27</v>
      </c>
      <c r="J2731" s="19">
        <v>14</v>
      </c>
      <c r="K2731">
        <f t="shared" ref="K43:K67" si="1703">I43+J43</f>
        <v>41</v>
      </c>
      <c r="P2731" s="93"/>
      <c r="Q2731" s="109" t="str">
        <f>R2704&amp;".14"</f>
        <v>A.14</v>
      </c>
      <c r="R2731" s="19"/>
      <c r="S2731" s="19"/>
      <c r="T2731">
        <f t="shared" si="1698"/>
        <v>0</v>
      </c>
      <c r="U2731" s="19"/>
      <c r="V2731">
        <f t="shared" si="1699"/>
        <v>0</v>
      </c>
      <c r="W2731" s="19"/>
      <c r="X2731" s="19"/>
      <c r="Y2731" s="19"/>
      <c r="Z2731" s="19"/>
      <c r="AA2731" s="19"/>
      <c r="AB2731" s="19"/>
      <c r="AC2731" s="19"/>
      <c r="AF2731" s="109"/>
      <c r="AR2731" s="100"/>
      <c r="AS2731" s="93"/>
      <c r="AT2731" s="109" t="str">
        <f>AU$2704&amp;".14"</f>
        <v>1.14</v>
      </c>
      <c r="AU2731" s="19"/>
      <c r="AV2731" s="19"/>
      <c r="AW2731">
        <f t="shared" si="1700"/>
        <v>0</v>
      </c>
      <c r="AX2731" s="19"/>
      <c r="AY2731">
        <f t="shared" si="1701"/>
        <v>0</v>
      </c>
      <c r="AZ2731" s="19"/>
      <c r="BA2731" s="19"/>
      <c r="BB2731" s="19"/>
      <c r="BC2731" s="19"/>
      <c r="BD2731" s="19"/>
      <c r="BE2731" s="19"/>
      <c r="BF2731" s="19"/>
      <c r="BI2731" s="109"/>
      <c r="BU2731" s="100"/>
    </row>
    <row r="2732" x14ac:dyDescent="0.25">
      <c r="B2732" t="s">
        <v>283</v>
      </c>
      <c r="C2732" s="19">
        <v>6</v>
      </c>
      <c r="D2732" s="19">
        <v>29</v>
      </c>
      <c r="E2732">
        <f t="shared" si="1702"/>
        <v>35</v>
      </c>
      <c r="H2732">
        <v>3</v>
      </c>
      <c r="I2732" s="19">
        <v>14</v>
      </c>
      <c r="J2732" s="19">
        <v>13</v>
      </c>
      <c r="K2732">
        <f t="shared" si="1703"/>
        <v>27</v>
      </c>
      <c r="P2732" s="93"/>
      <c r="Q2732" s="109" t="str">
        <f>R2704&amp;".15"</f>
        <v>A.15</v>
      </c>
      <c r="R2732" s="19"/>
      <c r="S2732" s="19"/>
      <c r="T2732">
        <f t="shared" si="1698"/>
        <v>0</v>
      </c>
      <c r="U2732" s="19"/>
      <c r="V2732">
        <f t="shared" si="1699"/>
        <v>0</v>
      </c>
      <c r="W2732" s="19"/>
      <c r="X2732" s="19"/>
      <c r="Y2732" s="19"/>
      <c r="Z2732" s="19"/>
      <c r="AA2732" s="19"/>
      <c r="AB2732" s="19"/>
      <c r="AC2732" s="19"/>
      <c r="AF2732" s="109"/>
      <c r="AR2732" s="100"/>
      <c r="AS2732" s="93"/>
      <c r="AT2732" s="109" t="str">
        <f>AU$2704&amp;".15"</f>
        <v>1.15</v>
      </c>
      <c r="AU2732" s="19"/>
      <c r="AV2732" s="19"/>
      <c r="AW2732">
        <f t="shared" si="1700"/>
        <v>0</v>
      </c>
      <c r="AX2732" s="19"/>
      <c r="AY2732">
        <f t="shared" si="1701"/>
        <v>0</v>
      </c>
      <c r="AZ2732" s="19"/>
      <c r="BA2732" s="19"/>
      <c r="BB2732" s="19"/>
      <c r="BC2732" s="19"/>
      <c r="BD2732" s="19"/>
      <c r="BE2732" s="19"/>
      <c r="BF2732" s="19"/>
      <c r="BI2732" s="109"/>
      <c r="BU2732" s="100"/>
    </row>
    <row r="2733" x14ac:dyDescent="0.25">
      <c r="B2733" t="s">
        <v>287</v>
      </c>
      <c r="C2733" s="19">
        <v>26</v>
      </c>
      <c r="D2733" s="19">
        <v>26</v>
      </c>
      <c r="E2733">
        <f t="shared" si="1702"/>
        <v>52</v>
      </c>
      <c r="F2733" t="s">
        <v>506</v>
      </c>
      <c r="H2733">
        <v>4</v>
      </c>
      <c r="I2733" s="19">
        <v>13</v>
      </c>
      <c r="J2733" s="19">
        <v>27</v>
      </c>
      <c r="K2733">
        <f t="shared" si="1703"/>
        <v>40</v>
      </c>
      <c r="P2733" s="93"/>
      <c r="Q2733" s="109" t="str">
        <f>R2704&amp;".16"</f>
        <v>A.16</v>
      </c>
      <c r="R2733" s="19"/>
      <c r="S2733" s="19"/>
      <c r="T2733">
        <f t="shared" si="1698"/>
        <v>0</v>
      </c>
      <c r="U2733" s="19"/>
      <c r="V2733">
        <f t="shared" si="1699"/>
        <v>0</v>
      </c>
      <c r="W2733" s="19"/>
      <c r="X2733" s="19"/>
      <c r="Y2733" s="19"/>
      <c r="Z2733" s="19"/>
      <c r="AA2733" s="19"/>
      <c r="AB2733" s="19"/>
      <c r="AC2733" s="19"/>
      <c r="AF2733" s="109"/>
      <c r="AR2733" s="100"/>
      <c r="AS2733" s="93"/>
      <c r="AT2733" s="109" t="str">
        <f>AU$2704&amp;".16"</f>
        <v>1.16</v>
      </c>
      <c r="AU2733" s="19"/>
      <c r="AV2733" s="19"/>
      <c r="AW2733">
        <f t="shared" si="1700"/>
        <v>0</v>
      </c>
      <c r="AX2733" s="19"/>
      <c r="AY2733">
        <f t="shared" si="1701"/>
        <v>0</v>
      </c>
      <c r="AZ2733" s="19"/>
      <c r="BA2733" s="19"/>
      <c r="BB2733" s="19"/>
      <c r="BC2733" s="19"/>
      <c r="BD2733" s="19"/>
      <c r="BE2733" s="19"/>
      <c r="BF2733" s="19"/>
      <c r="BI2733" s="109"/>
      <c r="BU2733" s="100"/>
    </row>
    <row r="2734" x14ac:dyDescent="0.25">
      <c r="B2734" t="s">
        <v>288</v>
      </c>
      <c r="C2734" s="19">
        <v>29</v>
      </c>
      <c r="D2734" s="19">
        <v>0</v>
      </c>
      <c r="E2734">
        <f t="shared" si="1702"/>
        <v>29</v>
      </c>
      <c r="H2734">
        <v>5</v>
      </c>
      <c r="I2734" s="19">
        <v>27</v>
      </c>
      <c r="J2734" s="19">
        <v>11</v>
      </c>
      <c r="K2734">
        <f t="shared" si="1703"/>
        <v>38</v>
      </c>
      <c r="P2734" s="93"/>
      <c r="R2734">
        <f>SUM(R2718:R2733)</f>
        <v>29</v>
      </c>
      <c r="AR2734" s="100"/>
      <c r="AS2734" s="93"/>
      <c r="AU2734">
        <f>SUM(AU2718:AU2733)</f>
        <v>29</v>
      </c>
      <c r="BU2734" s="100"/>
    </row>
    <row r="2735" x14ac:dyDescent="0.25">
      <c r="B2735" t="s">
        <v>293</v>
      </c>
      <c r="C2735" s="19">
        <v>17</v>
      </c>
      <c r="D2735" s="19">
        <v>27</v>
      </c>
      <c r="E2735">
        <f t="shared" si="1702"/>
        <v>44</v>
      </c>
      <c r="H2735">
        <v>6</v>
      </c>
      <c r="I2735" s="19">
        <v>11</v>
      </c>
      <c r="J2735" s="19">
        <v>6</v>
      </c>
      <c r="K2735">
        <f t="shared" si="1703"/>
        <v>17</v>
      </c>
      <c r="P2735" s="93"/>
      <c r="AP2735" t="s">
        <v>746</v>
      </c>
      <c r="AR2735" s="100"/>
      <c r="AS2735" s="93"/>
      <c r="BS2735" t="s">
        <v>746</v>
      </c>
      <c r="BU2735" s="100"/>
    </row>
    <row r="2736" x14ac:dyDescent="0.25">
      <c r="B2736" t="s">
        <v>456</v>
      </c>
      <c r="C2736" s="19">
        <v>27</v>
      </c>
      <c r="D2736" s="19">
        <v>27</v>
      </c>
      <c r="E2736">
        <f t="shared" si="1702"/>
        <v>54</v>
      </c>
      <c r="H2736">
        <v>7</v>
      </c>
      <c r="I2736" s="19">
        <v>6</v>
      </c>
      <c r="J2736" s="19">
        <v>11</v>
      </c>
      <c r="K2736">
        <f t="shared" si="1703"/>
        <v>17</v>
      </c>
      <c r="P2736" s="93"/>
      <c r="Q2736" t="s">
        <v>525</v>
      </c>
      <c r="R2736" t="s">
        <v>263</v>
      </c>
      <c r="S2736" t="s">
        <v>526</v>
      </c>
      <c r="T2736" t="s">
        <v>570</v>
      </c>
      <c r="U2736" t="s">
        <v>571</v>
      </c>
      <c r="V2736" t="s">
        <v>572</v>
      </c>
      <c r="W2736" t="s">
        <v>539</v>
      </c>
      <c r="X2736" t="s">
        <v>538</v>
      </c>
      <c r="Z2736" t="s">
        <v>522</v>
      </c>
      <c r="AA2736" t="s">
        <v>523</v>
      </c>
      <c r="AB2736" t="s">
        <v>541</v>
      </c>
      <c r="AC2736" t="s">
        <v>540</v>
      </c>
      <c r="AD2736" t="s">
        <v>542</v>
      </c>
      <c r="AE2736" t="s">
        <v>520</v>
      </c>
      <c r="AF2736" t="s">
        <v>521</v>
      </c>
      <c r="AG2736" t="s">
        <v>527</v>
      </c>
      <c r="AH2736" t="s">
        <v>528</v>
      </c>
      <c r="AI2736" t="s">
        <v>543</v>
      </c>
      <c r="AJ2736" t="s">
        <v>744</v>
      </c>
      <c r="AK2736" t="s">
        <v>745</v>
      </c>
      <c r="AL2736" t="s">
        <v>749</v>
      </c>
      <c r="AM2736" t="s">
        <v>750</v>
      </c>
      <c r="AN2736" t="s">
        <v>751</v>
      </c>
      <c r="AP2736" t="s">
        <v>747</v>
      </c>
      <c r="AQ2736" t="s">
        <v>748</v>
      </c>
      <c r="AR2736" s="100"/>
      <c r="AS2736" s="93"/>
      <c r="AT2736" t="s">
        <v>525</v>
      </c>
      <c r="AU2736" t="s">
        <v>263</v>
      </c>
      <c r="AV2736" t="s">
        <v>526</v>
      </c>
      <c r="AW2736" t="s">
        <v>570</v>
      </c>
      <c r="AX2736" t="s">
        <v>571</v>
      </c>
      <c r="AY2736" t="s">
        <v>572</v>
      </c>
      <c r="AZ2736" t="s">
        <v>539</v>
      </c>
      <c r="BA2736" t="s">
        <v>538</v>
      </c>
      <c r="BC2736" t="s">
        <v>522</v>
      </c>
      <c r="BD2736" t="s">
        <v>523</v>
      </c>
      <c r="BE2736" t="s">
        <v>541</v>
      </c>
      <c r="BF2736" t="s">
        <v>540</v>
      </c>
      <c r="BG2736" t="s">
        <v>542</v>
      </c>
      <c r="BH2736" t="s">
        <v>520</v>
      </c>
      <c r="BI2736" t="s">
        <v>521</v>
      </c>
      <c r="BJ2736" t="s">
        <v>527</v>
      </c>
      <c r="BK2736" t="s">
        <v>528</v>
      </c>
      <c r="BL2736" t="s">
        <v>543</v>
      </c>
      <c r="BM2736" t="s">
        <v>744</v>
      </c>
      <c r="BN2736" t="s">
        <v>745</v>
      </c>
      <c r="BO2736" t="s">
        <v>749</v>
      </c>
      <c r="BP2736" t="s">
        <v>750</v>
      </c>
      <c r="BQ2736" t="s">
        <v>751</v>
      </c>
      <c r="BS2736" t="s">
        <v>747</v>
      </c>
      <c r="BT2736" t="s">
        <v>748</v>
      </c>
      <c r="BU2736" s="100"/>
    </row>
    <row r="2737" x14ac:dyDescent="0.25">
      <c r="B2737" t="s">
        <v>457</v>
      </c>
      <c r="C2737" s="19">
        <v>27</v>
      </c>
      <c r="D2737" s="19">
        <v>27</v>
      </c>
      <c r="E2737">
        <f t="shared" si="1702"/>
        <v>54</v>
      </c>
      <c r="H2737">
        <v>8</v>
      </c>
      <c r="I2737" s="19">
        <v>20</v>
      </c>
      <c r="J2737" s="19">
        <v>0</v>
      </c>
      <c r="K2737">
        <f t="shared" si="1703"/>
        <v>20</v>
      </c>
      <c r="L2737" t="s">
        <v>506</v>
      </c>
      <c r="P2737" s="93"/>
      <c r="Q2737" s="110" t="str">
        <f>$Q$2718</f>
        <v>A.01</v>
      </c>
      <c r="R2737" t="str">
        <f>$Q$2709</f>
        <v>L2</v>
      </c>
      <c r="S2737">
        <f>$E$21</f>
        <v>10.6875</v>
      </c>
      <c r="T2737" cm="1">
        <f t="array" ref="T2737">IFERROR(IF(S2737=0,0,(INDEX($C$33:$C$38,MATCH($W$2718,$B$33:$B$38,0),0)*(S2741+$X$2718)+$T$2718*COUNTIF(S2737:S2740,"&gt;0")*$C$32+$V$2718*$C$31)*$R$2718),0)</f>
        <v>30539.71875</v>
      </c>
      <c r="U2737">
        <f>IF(S2737=0,0,-(COUNTIF(S2737:S2740,"&gt;0")*$T$2718*$C$32+$V$2718*$C$31)*$H$27*$R$2718)</f>
        <v>-363.31199999999995</v>
      </c>
      <c r="V2737">
        <f>IF(S2737=0,0,$V$2718*$H$26*$R$2718)</f>
        <v>-1328.1999999999998</v>
      </c>
      <c r="W2737">
        <f>(0.6*T2737+0.7*U2737)*$R$2718/2</f>
        <v>262007.93632499999</v>
      </c>
      <c r="X2737">
        <f>(0.6*T2737+0.6*V2737)*$R$2718/2</f>
        <v>254140.21312500001</v>
      </c>
      <c r="Z2737">
        <f>IF(S2737=0,0,$AD$2718*$AP$2709)</f>
        <v>343.06999999999994</v>
      </c>
      <c r="AA2737">
        <f>IFERROR(Z2737/$R$2718,0)</f>
        <v>11.829999999999998</v>
      </c>
      <c r="AB2737">
        <f>Z2737*($F$21+IF($F$21=0,0,($C$14+$C$15+IF($C$13="single",1.5,3)+3)/12))</f>
        <v>3666.5606249999992</v>
      </c>
      <c r="AC2737">
        <f>AB2737-W2737</f>
        <v>-258341.37569999998</v>
      </c>
      <c r="AD2737" cm="1">
        <f t="array" ref="AD2737">IFERROR(IF(AC2737&lt;0,0,AC2737/($R$2718-INDEX(hd_off,MATCH(AQ2737,hd_mark,0),0)/12)),0)</f>
        <v>0</v>
      </c>
      <c r="AE2737">
        <f>IF(S2737=0,0,$AD$2718*$AM$2709)</f>
        <v>7899.5999999999995</v>
      </c>
      <c r="AF2737">
        <f>IFERROR(AE2737/$R$2718,0)</f>
        <v>272.39999999999998</v>
      </c>
      <c r="AG2737">
        <f>AE2737*($F$21+IF($F$21=0,0,($C$14+$C$15+IF($C$13="single",1.5,3)+3)/12))</f>
        <v>84426.974999999991</v>
      </c>
      <c r="AH2737">
        <f>AG2737-X2737</f>
        <v>-169713.23812500003</v>
      </c>
      <c r="AI2737" cm="1">
        <f t="array" ref="AI2737">IFERROR(IF(AH2737&lt;0,0,AH2737/($R$2718-INDEX(hd_off,MATCH(AQ2737,hd_mark,0),0)/12)),0)</f>
        <v>0</v>
      </c>
      <c r="AJ2737">
        <f>MAX($F$21,$Y$2718)/$Q$2740</f>
        <v>0.30172413793103448</v>
      </c>
      <c r="AK2737">
        <f>IF(AJ2737=0,0,IF(AJ2737&gt;2,1.25-0.125*AJ2737,1))</f>
        <v>1</v>
      </c>
      <c r="AL2737" cm="1">
        <f t="array" ref="AL2737">IFERROR(INDEX(sheath_ecap_asd,MATCH(AP2737,sheath_mark,0),0)*AK2737,0)</f>
        <v>239.85714285714286</v>
      </c>
      <c r="AM2737" cm="1">
        <f t="array" ref="AM2737">IFERROR(INDEX(sheath_wcap_asd,MATCH(AP2737,sheath_mark,0),0)*AK2737,0)</f>
        <v>335.8</v>
      </c>
      <c r="AN2737" cm="1">
        <f t="array" ref="AN2737">IFERROR(INDEX(hd_cap,MATCH(AQ2737,hd_mark,0),0),0)</f>
        <v>0</v>
      </c>
      <c r="AP2737" s="19">
        <v>21</v>
      </c>
      <c r="AQ2737" s="19"/>
      <c r="AR2737" s="100"/>
      <c r="AS2737" s="93"/>
      <c r="AT2737" s="110" t="str">
        <f>$AT$2718</f>
        <v>1.01</v>
      </c>
      <c r="AU2737" t="str">
        <f>$Q$2709</f>
        <v>L2</v>
      </c>
      <c r="AV2737">
        <f>$E$21</f>
        <v>10.6875</v>
      </c>
      <c r="AW2737" cm="1">
        <f t="array" ref="AW2737">IFERROR(IF(AV2737=0,0,(INDEX($C$33:$C$38,MATCH($AZ$2718,$B$33:$B$38,0),0)*(AV2741+$BA$2718)+$AW$2718*COUNTIF(AV2737:AV2740,"&gt;0")*$C$32+$AY$2718*$C$31)*$AU$2718),0)</f>
        <v>30539.71875</v>
      </c>
      <c r="AX2737">
        <f>IF(AV2737=0,0,-(COUNTIF(AV2737:AV2740,"&gt;0")*$AW$2718*$C$32+$AY$2718*$C$31)*$H$27*$AU$2718)</f>
        <v>-363.31199999999995</v>
      </c>
      <c r="AY2737">
        <f>IF(AV2737=0,0,$AY$2718*$H$26*$AU$2718)</f>
        <v>-1328.1999999999998</v>
      </c>
      <c r="AZ2737">
        <f>(0.6*AW2737+0.7*AX2737)*$AU$2718/2</f>
        <v>262007.93632499999</v>
      </c>
      <c r="BA2737">
        <f>(0.6*AW2737+0.6*AY2737)*$AU$2718/2</f>
        <v>254140.21312500001</v>
      </c>
      <c r="BC2737">
        <f>IF(AV2737=0,0,$BG$2718*$AP$2709)</f>
        <v>343.06999999999994</v>
      </c>
      <c r="BD2737">
        <f>IFERROR(BC2737/$AU$2718,0)</f>
        <v>11.829999999999998</v>
      </c>
      <c r="BE2737">
        <f>BC2737*($F$21+IF($F$21=0,0,($C$14+$C$15+IF($C$13="single",1.5,3)+3)/12))</f>
        <v>3666.5606249999992</v>
      </c>
      <c r="BF2737">
        <f>BE2737-AZ2737</f>
        <v>-258341.37569999998</v>
      </c>
      <c r="BG2737" cm="1">
        <f t="array" ref="BG2737">IFERROR(IF(BF2737&lt;0,0,BF2737/($AU$2718-INDEX(hd_off,MATCH(BT2737,hd_mark,0),0)/12)),0)</f>
        <v>0</v>
      </c>
      <c r="BH2737">
        <f>IF(AV2737=0,0,$BG$2718*$AM$2709)</f>
        <v>7899.5999999999995</v>
      </c>
      <c r="BI2737">
        <f>IFERROR(BH2737/$AU$2718,0)</f>
        <v>272.39999999999998</v>
      </c>
      <c r="BJ2737">
        <f>BH2737*($F$21+IF($F$21=0,0,($C$14+$C$15+IF($C$13="single",1.5,3)+3)/12))</f>
        <v>84426.974999999991</v>
      </c>
      <c r="BK2737">
        <f>BJ2737-BA2737</f>
        <v>-169713.23812500003</v>
      </c>
      <c r="BL2737" cm="1">
        <f t="array" ref="BL2737">IFERROR(IF(BK2737&lt;0,0,BK2737/($AU$2718-INDEX(hd_off,MATCH(BT2737,hd_mark,0),0)/12)),0)</f>
        <v>0</v>
      </c>
      <c r="BM2737">
        <f>MAX($F$21,$BB$2718)/$Q$2740</f>
        <v>0.30172413793103448</v>
      </c>
      <c r="BN2737">
        <f>IF(BM2737=0,0,IF(BM2737&gt;2,1.25-0.125*BM2737,1))</f>
        <v>1</v>
      </c>
      <c r="BO2737" cm="1">
        <f t="array" ref="BO2737">IFERROR(INDEX(sheath_ecap_asd,MATCH(BS2737,sheath_mark,0),0)*BN2737,0)</f>
        <v>239.85714285714286</v>
      </c>
      <c r="BP2737" cm="1">
        <f t="array" ref="BP2737">IFERROR(INDEX(sheath_wcap_asd,MATCH(BS2737,sheath_mark,0),0)*BN2737,0)</f>
        <v>335.8</v>
      </c>
      <c r="BQ2737" cm="1">
        <f t="array" ref="BQ2737">IFERROR(INDEX(hd_cap,MATCH(BT2737,hd_mark,0),0),0)</f>
        <v>0</v>
      </c>
      <c r="BS2737" s="19">
        <v>21</v>
      </c>
      <c r="BT2737" s="19"/>
      <c r="BU2737" s="100"/>
    </row>
    <row r="2738" x14ac:dyDescent="0.25">
      <c r="B2738" t="s">
        <v>458</v>
      </c>
      <c r="C2738" s="19">
        <v>27</v>
      </c>
      <c r="D2738" s="19">
        <v>27</v>
      </c>
      <c r="E2738">
        <f t="shared" si="1702"/>
        <v>54</v>
      </c>
      <c r="H2738">
        <v>9</v>
      </c>
      <c r="I2738" s="19">
        <v>30</v>
      </c>
      <c r="J2738" s="19">
        <v>0</v>
      </c>
      <c r="K2738">
        <f t="shared" si="1703"/>
        <v>30</v>
      </c>
      <c r="P2738" s="93"/>
      <c r="Q2738" s="109"/>
      <c r="R2738" t="str">
        <f>$Q$2710</f>
        <v>L3</v>
      </c>
      <c r="S2738">
        <f>$E$22</f>
        <v>21.375</v>
      </c>
      <c r="T2738" cm="1">
        <f t="array" ref="T2738">IFERROR(IF(S2738=0,0,(INDEX($C$33:$C$38,MATCH($W$2718,$B$33:$B$38,0),0)*(S2741+$X$2718)+$T$2718*COUNTIF(S2738:S2740,"&gt;0")*$C$32+$V$2718*$C$31)*$R$2718),0)</f>
        <v>26015.71875</v>
      </c>
      <c r="U2738">
        <f>IF(S2738=0,0,-(COUNTIF(S2738:S2740,"&gt;0")*$T$2718*$C$32+$V$2718*$C$31)*$H$27*$R$2718)</f>
        <v>-200.44799999999998</v>
      </c>
      <c r="V2738">
        <f>IF(S2738=0,0,$V$2718*$H$26*$R$2718)</f>
        <v>-1328.1999999999998</v>
      </c>
      <c r="W2738">
        <f t="shared" ref="W2738:W2740" si="1704">(0.6*T2738+0.7*U2738)*$R$2718/2</f>
        <v>224302.20592500002</v>
      </c>
      <c r="X2738">
        <f>T2738*$R$2718/2</f>
        <v>377227.921875</v>
      </c>
      <c r="Z2738">
        <f>IF(S2738=0,0,$AD$2718*$AP$2710)</f>
        <v>376.565</v>
      </c>
      <c r="AA2738">
        <f>IFERROR(Z2738/$R$2718,0)</f>
        <v>12.984999999999999</v>
      </c>
      <c r="AB2738">
        <f>Z2738*($F$22+IF($F$22=0,0,($C$14+$C$15+IF($C$13="single",1.5,3)+3)/12))</f>
        <v>4024.5384374999999</v>
      </c>
      <c r="AC2738">
        <f>AB2738-W2738</f>
        <v>-220277.6674875</v>
      </c>
      <c r="AD2738" cm="1">
        <f t="array" ref="AD2738">IFERROR(IF(AC2738&lt;0,0,AC2738/($R$2718-INDEX(hd_off,MATCH(AQ2738,hd_mark,0),0)/12)),0)</f>
        <v>0</v>
      </c>
      <c r="AE2738">
        <f>IF(S2738=0,0,$AD$2718*$AM$2710)</f>
        <v>5846.4</v>
      </c>
      <c r="AF2738">
        <f>IFERROR(AE2738/$R$2718,0)</f>
        <v>201.6</v>
      </c>
      <c r="AG2738">
        <f>AE2738*($F$22+IF($F$22=0,0,($C$14+$C$15+IF($C$13="single",1.5,3)+3)/12))</f>
        <v>62483.399999999994</v>
      </c>
      <c r="AH2738">
        <f>AG2738-X2738</f>
        <v>-314744.52187499998</v>
      </c>
      <c r="AI2738" cm="1">
        <f t="array" ref="AI2738">IFERROR(IF(AH2738&lt;0,0,AH2738/($R$2718-INDEX(hd_off,MATCH(AQ2738,hd_mark,0),0)/12)),0)</f>
        <v>0</v>
      </c>
      <c r="AJ2738">
        <f>MAX($F$22,$Z$2718)/$Q$2740</f>
        <v>0.30172413793103448</v>
      </c>
      <c r="AK2738">
        <f t="shared" ref="AK2738:AK2741" si="1705">IF(AJ2738=0,0,IF(AJ2738&gt;2,1.25-0.125*AJ2738,1))</f>
        <v>1</v>
      </c>
      <c r="AL2738" cm="1">
        <f t="array" ref="AL2738">IFERROR(INDEX(sheath_ecap_asd,MATCH(AP2738,sheath_mark,0),0)*AK2738,0)</f>
        <v>239.85714285714286</v>
      </c>
      <c r="AM2738" cm="1">
        <f t="array" ref="AM2738">IFERROR(INDEX(sheath_wcap_asd,MATCH(AP2738,sheath_mark,0),0)*AK2738,0)</f>
        <v>335.8</v>
      </c>
      <c r="AN2738" cm="1">
        <f t="array" ref="AN2738">IFERROR(INDEX(hd_cap,MATCH(AQ2738,hd_mark,0),0),0)</f>
        <v>0</v>
      </c>
      <c r="AP2738" s="19">
        <v>21</v>
      </c>
      <c r="AQ2738" s="19"/>
      <c r="AR2738" s="100"/>
      <c r="AS2738" s="93"/>
      <c r="AT2738" s="109"/>
      <c r="AU2738" t="str">
        <f>$Q$2710</f>
        <v>L3</v>
      </c>
      <c r="AV2738">
        <f>$E$22</f>
        <v>21.375</v>
      </c>
      <c r="AW2738" cm="1">
        <f t="array" ref="AW2738">IFERROR(IF(AV2738=0,0,(INDEX($C$33:$C$38,MATCH($AZ$2718,$B$33:$B$38,0),0)*(AV2741+$BA$2718)+$AW$2718*COUNTIF(AV2738:AV2740,"&gt;0")*$C$32+$AY$2718*$C$31)*$AU$2718),0)</f>
        <v>26015.71875</v>
      </c>
      <c r="AX2738">
        <f>IF(AV2738=0,0,-(COUNTIF(AV2738:AV2740,"&gt;0")*$AW$2718*$C$32+$AY$2718*$C$31)*$H$27*$AU$2718)</f>
        <v>-200.44799999999998</v>
      </c>
      <c r="AY2738">
        <f>IF(AV2738=0,0,$AY$2718*$H$26*$AU$2718)</f>
        <v>-1328.1999999999998</v>
      </c>
      <c r="AZ2738">
        <f>(0.6*AW2738+0.7*AX2738)*$AU$2718/2</f>
        <v>224302.20592500002</v>
      </c>
      <c r="BA2738">
        <f>AW2738*$AU$2718/2</f>
        <v>377227.921875</v>
      </c>
      <c r="BC2738">
        <f>IF(AV2738=0,0,$BG$2718*$AP$2710)</f>
        <v>376.565</v>
      </c>
      <c r="BD2738">
        <f>IFERROR(BC2738/$AU$2718,0)</f>
        <v>12.984999999999999</v>
      </c>
      <c r="BE2738">
        <f>BC2738*($F$22+IF($F$22=0,0,($C$14+$C$15+IF($C$13="single",1.5,3)+3)/12))</f>
        <v>4024.5384374999999</v>
      </c>
      <c r="BF2738">
        <f>BE2738-AZ2738</f>
        <v>-220277.6674875</v>
      </c>
      <c r="BG2738" cm="1">
        <f t="array" ref="BG2738">IFERROR(IF(BF2738&lt;0,0,BF2738/($AU$2718-INDEX(hd_off,MATCH(BT2738,hd_mark,0),0)/12)),0)</f>
        <v>0</v>
      </c>
      <c r="BH2738">
        <f>IF(AV2738=0,0,$BG$2718*$AM$2710)</f>
        <v>5846.4</v>
      </c>
      <c r="BI2738">
        <f>IFERROR(BH2738/$AU$2718,0)</f>
        <v>201.6</v>
      </c>
      <c r="BJ2738">
        <f>BH2738*($F$22+IF($F$22=0,0,($C$14+$C$15+IF($C$13="single",1.5,3)+3)/12))</f>
        <v>62483.399999999994</v>
      </c>
      <c r="BK2738">
        <f>BJ2738-BA2738</f>
        <v>-314744.52187499998</v>
      </c>
      <c r="BL2738" cm="1">
        <f t="array" ref="BL2738">IFERROR(IF(BK2738&lt;0,0,BK2738/($AU$2718-INDEX(hd_off,MATCH(BT2738,hd_mark,0),0)/12)),0)</f>
        <v>0</v>
      </c>
      <c r="BM2738">
        <f>MAX($F$22,$BC$2718)/$Q$2740</f>
        <v>0.30172413793103448</v>
      </c>
      <c r="BN2738">
        <f t="shared" ref="BN2738:BN2741" si="1706">IF(BM2738=0,0,IF(BM2738&gt;2,1.25-0.125*BM2738,1))</f>
        <v>1</v>
      </c>
      <c r="BO2738" cm="1">
        <f t="array" ref="BO2738">IFERROR(INDEX(sheath_ecap_asd,MATCH(BS2738,sheath_mark,0),0)*BN2738,0)</f>
        <v>239.85714285714286</v>
      </c>
      <c r="BP2738" cm="1">
        <f t="array" ref="BP2738">IFERROR(INDEX(sheath_wcap_asd,MATCH(BS2738,sheath_mark,0),0)*BN2738,0)</f>
        <v>335.8</v>
      </c>
      <c r="BQ2738" cm="1">
        <f t="array" ref="BQ2738">IFERROR(INDEX(hd_cap,MATCH(BT2738,hd_mark,0),0),0)</f>
        <v>0</v>
      </c>
      <c r="BS2738" s="19">
        <v>21</v>
      </c>
      <c r="BT2738" s="19"/>
      <c r="BU2738" s="100"/>
    </row>
    <row r="2739" x14ac:dyDescent="0.25">
      <c r="B2739" t="s">
        <v>459</v>
      </c>
      <c r="C2739" s="19">
        <v>27</v>
      </c>
      <c r="D2739" s="19">
        <v>41</v>
      </c>
      <c r="E2739">
        <f t="shared" si="1702"/>
        <v>68</v>
      </c>
      <c r="F2739" t="s">
        <v>506</v>
      </c>
      <c r="H2739">
        <v>10</v>
      </c>
      <c r="I2739" s="19">
        <v>30</v>
      </c>
      <c r="J2739" s="19">
        <v>0</v>
      </c>
      <c r="K2739">
        <f t="shared" si="1703"/>
        <v>30</v>
      </c>
      <c r="P2739" s="93"/>
      <c r="Q2739" s="109" t="s">
        <v>491</v>
      </c>
      <c r="R2739" t="str">
        <f>$Q$2711</f>
        <v>L4</v>
      </c>
      <c r="S2739">
        <f>$E$23</f>
        <v>0</v>
      </c>
      <c r="T2739" cm="1">
        <f t="array" ref="T2739">IFERROR(IF(S2739=0,0,(INDEX($C$33:$C$38,MATCH($W$2718,$B$33:$B$38,0),0)*(S2741+$X$2718)+$T$2718*COUNTIF(S2739:S2740,"&gt;0")*$C$32+$V$2718*$C$31)*$R$2718),0)</f>
        <v>0</v>
      </c>
      <c r="U2739">
        <f>IF(S2739=0,0,-(COUNTIF(S2739:S2740,"&gt;0")*$T$2718*$C$32+$V$2718*$C$31)*$H$27*$R$2718)</f>
        <v>0</v>
      </c>
      <c r="V2739">
        <f>IF(S2739=0,0,$V$2718*$H$26*$R$2718)</f>
        <v>0</v>
      </c>
      <c r="W2739">
        <f t="shared" si="1704"/>
        <v>0</v>
      </c>
      <c r="X2739">
        <f>T2739*$R$2718/2</f>
        <v>0</v>
      </c>
      <c r="Z2739">
        <f>IF(S2739=0,0,$AD$2718*$AP$2711)</f>
        <v>0</v>
      </c>
      <c r="AA2739">
        <f>IFERROR(Z2739/$R$2718,0)</f>
        <v>0</v>
      </c>
      <c r="AB2739">
        <f>Z2739*($F$23+IF($F$23=0,0,($C$14+$C$15+IF($C$13="single",1.5,3)+3)/12))</f>
        <v>0</v>
      </c>
      <c r="AC2739">
        <f>AB2739-W2739</f>
        <v>0</v>
      </c>
      <c r="AD2739" cm="1">
        <f t="array" ref="AD2739">IFERROR(IF(AC2739&lt;0,0,AC2739/($R$2718-INDEX(hd_off,MATCH(AQ2739,hd_mark,0),0)/12)),0)</f>
        <v>0</v>
      </c>
      <c r="AE2739">
        <f>IF(S2739=0,0,$AD$2718*$AM$2711)</f>
        <v>0</v>
      </c>
      <c r="AF2739">
        <f>IFERROR(AE2739/$R$2718,0)</f>
        <v>0</v>
      </c>
      <c r="AG2739">
        <f>AE2739*($F$23+IF($F$23=0,0,($C$14+$C$15+IF($C$13="single",1.5,3)+3)/12))</f>
        <v>0</v>
      </c>
      <c r="AH2739">
        <f>AG2739-X2739</f>
        <v>0</v>
      </c>
      <c r="AI2739" cm="1">
        <f t="array" ref="AI2739">IFERROR(IF(AH2739&lt;0,0,AH2739/($R$2718-INDEX(hd_off,MATCH(AQ2739,hd_mark,0),0)/12)),0)</f>
        <v>0</v>
      </c>
      <c r="AJ2739">
        <f>MAX($F$23,$AA$2718)/$Q$2740</f>
        <v>0</v>
      </c>
      <c r="AK2739">
        <f t="shared" si="1705"/>
        <v>0</v>
      </c>
      <c r="AL2739" cm="1">
        <f t="array" ref="AL2739">IFERROR(INDEX(sheath_ecap_asd,MATCH(AP2739,sheath_mark,0),0)*AK2739,0)</f>
        <v>0</v>
      </c>
      <c r="AM2739" cm="1">
        <f t="array" ref="AM2739">IFERROR(INDEX(sheath_wcap_asd,MATCH(AP2739,sheath_mark,0),0)*AK2739,0)</f>
        <v>0</v>
      </c>
      <c r="AN2739" cm="1">
        <f t="array" ref="AN2739">IFERROR(INDEX(hd_cap,MATCH(AQ2739,hd_mark,0),0),0)</f>
        <v>0</v>
      </c>
      <c r="AP2739" s="19"/>
      <c r="AQ2739" s="19"/>
      <c r="AR2739" s="100"/>
      <c r="AS2739" s="93"/>
      <c r="AT2739" s="109" t="s">
        <v>491</v>
      </c>
      <c r="AU2739" t="str">
        <f>$Q$2711</f>
        <v>L4</v>
      </c>
      <c r="AV2739">
        <f>$E$23</f>
        <v>0</v>
      </c>
      <c r="AW2739" cm="1">
        <f t="array" ref="AW2739">IFERROR(IF(AV2739=0,0,(INDEX($C$33:$C$38,MATCH($AZ$2718,$B$33:$B$38,0),0)*(AV2741+$BA$2718)+$AW$2718*COUNTIF(AV2739:AV2740,"&gt;0")*$C$32+$AY$2718*$C$31)*$AU$2718),0)</f>
        <v>0</v>
      </c>
      <c r="AX2739">
        <f>IF(AV2739=0,0,-(COUNTIF(AV2739:AV2740,"&gt;0")*$AW$2718*$C$32+$AY$2718*$C$31)*$H$27*$AU$2718)</f>
        <v>0</v>
      </c>
      <c r="AY2739">
        <f>IF(AV2739=0,0,$AY$2718*$H$26*$AU$2718)</f>
        <v>0</v>
      </c>
      <c r="AZ2739">
        <f>(0.6*AW2739+0.7*AX2739)*$AU$2718/2</f>
        <v>0</v>
      </c>
      <c r="BA2739">
        <f>AW2739*$AU$2718/2</f>
        <v>0</v>
      </c>
      <c r="BC2739">
        <f>IF(AV2739=0,0,$BG$2718*$AP$2711)</f>
        <v>0</v>
      </c>
      <c r="BD2739">
        <f>IFERROR(BC2739/$AU$2718,0)</f>
        <v>0</v>
      </c>
      <c r="BE2739">
        <f>BC2739*($F$23+IF($F$23=0,0,($C$14+$C$15+IF($C$13="single",1.5,3)+3)/12))</f>
        <v>0</v>
      </c>
      <c r="BF2739">
        <f>BE2739-AZ2739</f>
        <v>0</v>
      </c>
      <c r="BG2739" cm="1">
        <f t="array" ref="BG2739">IFERROR(IF(BF2739&lt;0,0,BF2739/($AU$2718-INDEX(hd_off,MATCH(BT2739,hd_mark,0),0)/12)),0)</f>
        <v>0</v>
      </c>
      <c r="BH2739">
        <f>IF(AV2739=0,0,$BG$2718*$AM$2711)</f>
        <v>0</v>
      </c>
      <c r="BI2739">
        <f>IFERROR(BH2739/$AU$2718,0)</f>
        <v>0</v>
      </c>
      <c r="BJ2739">
        <f>BH2739*($F$23+IF($F$23=0,0,($C$14+$C$15+IF($C$13="single",1.5,3)+3)/12))</f>
        <v>0</v>
      </c>
      <c r="BK2739">
        <f>BJ2739-BA2739</f>
        <v>0</v>
      </c>
      <c r="BL2739" cm="1">
        <f t="array" ref="BL2739">IFERROR(IF(BK2739&lt;0,0,BK2739/($AU$2718-INDEX(hd_off,MATCH(BT2739,hd_mark,0),0)/12)),0)</f>
        <v>0</v>
      </c>
      <c r="BM2739">
        <f>MAX($F$23,$BD$2718)/$Q$2740</f>
        <v>0</v>
      </c>
      <c r="BN2739">
        <f t="shared" si="1706"/>
        <v>0</v>
      </c>
      <c r="BO2739" cm="1">
        <f t="array" ref="BO2739">IFERROR(INDEX(sheath_ecap_asd,MATCH(BS2739,sheath_mark,0),0)*BN2739,0)</f>
        <v>0</v>
      </c>
      <c r="BP2739" cm="1">
        <f t="array" ref="BP2739">IFERROR(INDEX(sheath_wcap_asd,MATCH(BS2739,sheath_mark,0),0)*BN2739,0)</f>
        <v>0</v>
      </c>
      <c r="BQ2739" cm="1">
        <f t="array" ref="BQ2739">IFERROR(INDEX(hd_cap,MATCH(BT2739,hd_mark,0),0),0)</f>
        <v>0</v>
      </c>
      <c r="BS2739" s="19"/>
      <c r="BT2739" s="19"/>
      <c r="BU2739" s="100"/>
    </row>
    <row r="2740" x14ac:dyDescent="0.25">
      <c r="B2740" t="s">
        <v>171</v>
      </c>
      <c r="C2740" s="19">
        <v>0</v>
      </c>
      <c r="D2740" s="19">
        <v>29</v>
      </c>
      <c r="E2740">
        <f t="shared" si="1702"/>
        <v>29</v>
      </c>
      <c r="H2740">
        <v>11</v>
      </c>
      <c r="I2740" s="19">
        <v>0</v>
      </c>
      <c r="J2740" s="19">
        <v>27</v>
      </c>
      <c r="K2740">
        <f t="shared" si="1703"/>
        <v>27</v>
      </c>
      <c r="P2740" s="93"/>
      <c r="Q2740" s="111">
        <f>$R$2718</f>
        <v>29</v>
      </c>
      <c r="R2740" t="str">
        <f>$Q$2712</f>
        <v>L5</v>
      </c>
      <c r="S2740">
        <f>$E$24</f>
        <v>0</v>
      </c>
      <c r="T2740" cm="1">
        <f t="array" ref="T2740">IFERROR(IF(S2740=0,0,(INDEX($C$33:$C$38,MATCH($W$2718,$B$33:$B$38,0),0)*(S2741+$X$2718)+$T$2718*COUNTIF(S2740:S2740,"&gt;0")*$C$32+$V$2718*$C$31)*$R$2718),0)</f>
        <v>0</v>
      </c>
      <c r="U2740">
        <f>IF(S2740=0,0,-(COUNTIF(S2740:S2740,"&gt;0")*$T$2718*$C$32+$V$2718*$C$31)*$H$27*$R$2718)</f>
        <v>0</v>
      </c>
      <c r="V2740">
        <f>IF(S2740=0,0,$V$2718*$H$26*$R$2718)</f>
        <v>0</v>
      </c>
      <c r="W2740">
        <f t="shared" si="1704"/>
        <v>0</v>
      </c>
      <c r="X2740">
        <f>T2740*$R$2718/2</f>
        <v>0</v>
      </c>
      <c r="Z2740">
        <f>IF(S2740=0,0,$AD$2718*$AP$2712)</f>
        <v>0</v>
      </c>
      <c r="AA2740">
        <f>IFERROR(Z2740/$R$2718,0)</f>
        <v>0</v>
      </c>
      <c r="AB2740">
        <f>Z2740*($F$24+IF($F$24=0,0,($C$14+$C$15+IF($C$13="single",1.5,3)+3)/12))</f>
        <v>0</v>
      </c>
      <c r="AC2740">
        <f>AB2740-W2740</f>
        <v>0</v>
      </c>
      <c r="AD2740" cm="1">
        <f t="array" ref="AD2740">IFERROR(IF(AC2740&lt;0,0,AC2740/($R$2718-INDEX(hd_off,MATCH(AQ2740,hd_mark,0),0)/12)),0)</f>
        <v>0</v>
      </c>
      <c r="AE2740">
        <f>IF(S2740=0,0,$AD$2718*$AM$2712)</f>
        <v>0</v>
      </c>
      <c r="AF2740">
        <f>IFERROR(AE2740/$R$2718,0)</f>
        <v>0</v>
      </c>
      <c r="AG2740">
        <f>AE2740*($F$24+IF($F$24=0,0,($C$14+$C$15+IF($C$13="single",1.5,3)+3)/12))</f>
        <v>0</v>
      </c>
      <c r="AH2740">
        <f>AG2740-X2740</f>
        <v>0</v>
      </c>
      <c r="AI2740" cm="1">
        <f t="array" ref="AI2740">IFERROR(IF(AH2740&lt;0,0,AH2740/($R$2718-INDEX(hd_off,MATCH(AQ2740,hd_mark,0),0)/12)),0)</f>
        <v>0</v>
      </c>
      <c r="AJ2740">
        <f>MAX($F$24,$AB$2718)/$Q$2740</f>
        <v>0</v>
      </c>
      <c r="AK2740">
        <f t="shared" si="1705"/>
        <v>0</v>
      </c>
      <c r="AL2740" cm="1">
        <f t="array" ref="AL2740">IFERROR(INDEX(sheath_ecap_asd,MATCH(AP2740,sheath_mark,0),0)*AK2740,0)</f>
        <v>0</v>
      </c>
      <c r="AM2740" cm="1">
        <f t="array" ref="AM2740">IFERROR(INDEX(sheath_wcap_asd,MATCH(AP2740,sheath_mark,0),0)*AK2740,0)</f>
        <v>0</v>
      </c>
      <c r="AN2740" cm="1">
        <f t="array" ref="AN2740">IFERROR(INDEX(hd_cap,MATCH(AQ2740,hd_mark,0),0),0)</f>
        <v>0</v>
      </c>
      <c r="AP2740" s="19"/>
      <c r="AQ2740" s="19"/>
      <c r="AR2740" s="100"/>
      <c r="AS2740" s="93"/>
      <c r="AT2740" s="111">
        <f>$R$2718</f>
        <v>29</v>
      </c>
      <c r="AU2740" t="str">
        <f>$Q$2712</f>
        <v>L5</v>
      </c>
      <c r="AV2740">
        <f>$E$24</f>
        <v>0</v>
      </c>
      <c r="AW2740" cm="1">
        <f t="array" ref="AW2740">IFERROR(IF(AV2740=0,0,(INDEX($C$33:$C$38,MATCH($AZ$2718,$B$33:$B$38,0),0)*(AV2741+$BA$2718)+$AW$2718*COUNTIF(AV2740:AV2740,"&gt;0")*$C$32+$AY$2718*$C$31)*$AU$2718),0)</f>
        <v>0</v>
      </c>
      <c r="AX2740">
        <f>IF(AV2740=0,0,-(COUNTIF(AV2740:AV2740,"&gt;0")*$AW$2718*$C$32+$AY$2718*$C$31)*$H$27*$AU$2718)</f>
        <v>0</v>
      </c>
      <c r="AY2740">
        <f>IF(AV2740=0,0,$AY$2718*$H$26*$AU$2718)</f>
        <v>0</v>
      </c>
      <c r="AZ2740">
        <f>(0.6*AW2740+0.7*AX2740)*$AU$2718/2</f>
        <v>0</v>
      </c>
      <c r="BA2740">
        <f>AW2740*$AU$2718/2</f>
        <v>0</v>
      </c>
      <c r="BC2740">
        <f>IF(AV2740=0,0,$BG$2718*$AP$2712)</f>
        <v>0</v>
      </c>
      <c r="BD2740">
        <f>IFERROR(BC2740/$AU$2718,0)</f>
        <v>0</v>
      </c>
      <c r="BE2740">
        <f>BC2740*($F$24+IF($F$24=0,0,($C$14+$C$15+IF($C$13="single",1.5,3)+3)/12))</f>
        <v>0</v>
      </c>
      <c r="BF2740">
        <f>BE2740-AZ2740</f>
        <v>0</v>
      </c>
      <c r="BG2740" cm="1">
        <f t="array" ref="BG2740">IFERROR(IF(BF2740&lt;0,0,BF2740/($AU$2718-INDEX(hd_off,MATCH(BT2740,hd_mark,0),0)/12)),0)</f>
        <v>0</v>
      </c>
      <c r="BH2740">
        <f>IF(AV2740=0,0,$BG$2718*$AM$2712)</f>
        <v>0</v>
      </c>
      <c r="BI2740">
        <f>IFERROR(BH2740/$AU$2718,0)</f>
        <v>0</v>
      </c>
      <c r="BJ2740">
        <f>BH2740*($F$24+IF($F$24=0,0,($C$14+$C$15+IF($C$13="single",1.5,3)+3)/12))</f>
        <v>0</v>
      </c>
      <c r="BK2740">
        <f>BJ2740-BA2740</f>
        <v>0</v>
      </c>
      <c r="BL2740" cm="1">
        <f t="array" ref="BL2740">IFERROR(IF(BK2740&lt;0,0,BK2740/($AU$2718-INDEX(hd_off,MATCH(BT2740,hd_mark,0),0)/12)),0)</f>
        <v>0</v>
      </c>
      <c r="BM2740">
        <f>MAX($F$24,$BE$2718)/$Q$2740</f>
        <v>0</v>
      </c>
      <c r="BN2740">
        <f t="shared" si="1706"/>
        <v>0</v>
      </c>
      <c r="BO2740" cm="1">
        <f t="array" ref="BO2740">IFERROR(INDEX(sheath_ecap_asd,MATCH(BS2740,sheath_mark,0),0)*BN2740,0)</f>
        <v>0</v>
      </c>
      <c r="BP2740" cm="1">
        <f t="array" ref="BP2740">IFERROR(INDEX(sheath_wcap_asd,MATCH(BS2740,sheath_mark,0),0)*BN2740,0)</f>
        <v>0</v>
      </c>
      <c r="BQ2740" cm="1">
        <f t="array" ref="BQ2740">IFERROR(INDEX(hd_cap,MATCH(BT2740,hd_mark,0),0),0)</f>
        <v>0</v>
      </c>
      <c r="BS2740" s="19"/>
      <c r="BT2740" s="19"/>
      <c r="BU2740" s="100"/>
    </row>
    <row r="2741" x14ac:dyDescent="0.25">
      <c r="B2741" t="s">
        <v>460</v>
      </c>
      <c r="C2741" s="19">
        <v>29</v>
      </c>
      <c r="D2741" s="19">
        <v>6</v>
      </c>
      <c r="E2741">
        <f t="shared" si="1702"/>
        <v>35</v>
      </c>
      <c r="H2741">
        <v>12</v>
      </c>
      <c r="I2741" s="19">
        <v>27</v>
      </c>
      <c r="J2741" s="19">
        <v>14</v>
      </c>
      <c r="K2741">
        <f t="shared" si="1703"/>
        <v>41</v>
      </c>
      <c r="P2741" s="93"/>
      <c r="Q2741" s="109"/>
      <c r="R2741" t="str">
        <f>$Q$2713</f>
        <v>Roof</v>
      </c>
      <c r="S2741">
        <f>$E$25</f>
        <v>33.171875</v>
      </c>
      <c r="T2741" cm="1">
        <f t="array" ref="T2741">IFERROR(IF(S2741=0,0,(INDEX($C$33:$C$38,MATCH($W$2718,$B$33:$B$38,0),0)*(S2741+$X$2718)+$V$2718*$C$31)*$R$2718),0)</f>
        <v>21491.71875</v>
      </c>
      <c r="U2741">
        <f>IF(S2741=0,0,-$V$2718*$C$31*$H$27*$R$2718)</f>
        <v>-37.583999999999996</v>
      </c>
      <c r="V2741">
        <f>IF(S2741=0,0,$V$2718*$H$26*$R$2718)</f>
        <v>-1328.1999999999998</v>
      </c>
      <c r="W2741">
        <f>(0.6*T2741+0.7*U2741)*$R$2718/2</f>
        <v>186596.47552499999</v>
      </c>
      <c r="X2741">
        <f>T2741*$R$2718/2</f>
        <v>311629.921875</v>
      </c>
      <c r="Z2741">
        <f>IF(S2741=0,0,$AD$2718*$AP$2713)</f>
        <v>191.83499999999995</v>
      </c>
      <c r="AA2741">
        <f>IFERROR(Z2741/$R$2718,0)</f>
        <v>6.6149999999999984</v>
      </c>
      <c r="AB2741">
        <f>Z2741*($F$25+($C$16+$C$17+IF($C$13="single",1.5,3)+3)/12)</f>
        <v>2263.0535156249989</v>
      </c>
      <c r="AC2741">
        <f>AB2741-W2741</f>
        <v>-184333.42200937498</v>
      </c>
      <c r="AD2741" cm="1">
        <f t="array" ref="AD2741">IFERROR(IF(AC2741&lt;0,0,AC2741/($R$2718-INDEX(hd_off,MATCH(AQ2741,hd_mark,0),0)/12)),0)</f>
        <v>0</v>
      </c>
      <c r="AE2741">
        <f>IF(S2741=0,0,$AD$2718*$AM$2713)</f>
        <v>3854.1</v>
      </c>
      <c r="AF2741">
        <f>IFERROR(AE2741/$R$2718,0)</f>
        <v>132.9</v>
      </c>
      <c r="AG2741">
        <f>AE2741*($F$25+($C$16+$C$17+IF($C$13="single",1.5,3)+3)/12)</f>
        <v>45466.335937499993</v>
      </c>
      <c r="AH2741">
        <f>AG2741-X2741</f>
        <v>-266163.5859375</v>
      </c>
      <c r="AI2741" cm="1">
        <f t="array" ref="AI2741">IFERROR(IF(AH2741&lt;0,0,AH2741/($R$2718-INDEX(hd_off,MATCH(AQ2741,hd_mark,0),0)/12)),0)</f>
        <v>0</v>
      </c>
      <c r="AJ2741">
        <f>MAX($F$25,$AC$2718)/$Q$2740</f>
        <v>0.29920977011494249</v>
      </c>
      <c r="AK2741">
        <f t="shared" si="1705"/>
        <v>1</v>
      </c>
      <c r="AL2741" cm="1">
        <f t="array" ref="AL2741">IFERROR(INDEX(sheath_ecap_asd,MATCH(AP2741,sheath_mark,0),0)*AK2741,0)</f>
        <v>95.285714285714306</v>
      </c>
      <c r="AM2741" cm="1">
        <f t="array" ref="AM2741">IFERROR(INDEX(sheath_wcap_asd,MATCH(AP2741,sheath_mark,0),0)*AK2741,0)</f>
        <v>133.4</v>
      </c>
      <c r="AN2741" cm="1">
        <f t="array" ref="AN2741">IFERROR(INDEX(hd_cap,MATCH(AQ2741,hd_mark,0),0),0)</f>
        <v>0</v>
      </c>
      <c r="AP2741" s="19">
        <v>11</v>
      </c>
      <c r="AQ2741" s="19"/>
      <c r="AR2741" s="100"/>
      <c r="AS2741" s="93"/>
      <c r="AT2741" s="109"/>
      <c r="AU2741" t="str">
        <f>$Q$2713</f>
        <v>Roof</v>
      </c>
      <c r="AV2741">
        <f>$E$25</f>
        <v>33.171875</v>
      </c>
      <c r="AW2741" cm="1">
        <f t="array" ref="AW2741">IFERROR(IF(AV2741=0,0,(INDEX($C$33:$C$38,MATCH($AZ$2718,$B$33:$B$38,0),0)*(AV2741+$BA$2718)+$AY$2718*$C$31)*$AU$2718),0)</f>
        <v>21491.71875</v>
      </c>
      <c r="AX2741">
        <f>IF(AV2741=0,0,-$AY$2718*$C$31*$H$27*$AU$2718)</f>
        <v>-37.583999999999996</v>
      </c>
      <c r="AY2741">
        <f>IF(AV2741=0,0,$AY$2718*$H$26*$AU$2718)</f>
        <v>-1328.1999999999998</v>
      </c>
      <c r="AZ2741">
        <f>(0.6*AW2741+0.7*AX2741)*$AU$2718/2</f>
        <v>186596.47552499999</v>
      </c>
      <c r="BA2741">
        <f>AW2741*$AU$2718/2</f>
        <v>311629.921875</v>
      </c>
      <c r="BC2741">
        <f>IF(AV2741=0,0,$BG$2718*$AP$2713)</f>
        <v>191.83499999999995</v>
      </c>
      <c r="BD2741">
        <f>IFERROR(BC2741/$AU$2718,0)</f>
        <v>6.6149999999999984</v>
      </c>
      <c r="BE2741">
        <f>BC2741*($F$25+($C$16+$C$17+IF($C$13="single",1.5,3)+3)/12)</f>
        <v>2263.0535156249989</v>
      </c>
      <c r="BF2741">
        <f>BE2741-AZ2741</f>
        <v>-184333.42200937498</v>
      </c>
      <c r="BG2741" cm="1">
        <f t="array" ref="BG2741">IFERROR(IF(BF2741&lt;0,0,BF2741/($AU$2718-INDEX(hd_off,MATCH(BT2741,hd_mark,0),0)/12)),0)</f>
        <v>0</v>
      </c>
      <c r="BH2741">
        <f>IF(AV2741=0,0,$BG$2718*$AM$2713)</f>
        <v>3854.1</v>
      </c>
      <c r="BI2741">
        <f>IFERROR(BH2741/$AU$2718,0)</f>
        <v>132.9</v>
      </c>
      <c r="BJ2741">
        <f>BH2741*($F$25+($C$16+$C$17+IF($C$13="single",1.5,3)+3)/12)</f>
        <v>45466.335937499993</v>
      </c>
      <c r="BK2741">
        <f>BJ2741-BA2741</f>
        <v>-266163.5859375</v>
      </c>
      <c r="BL2741" cm="1">
        <f t="array" ref="BL2741">IFERROR(IF(BK2741&lt;0,0,BK2741/($AU$2718-INDEX(hd_off,MATCH(BT2741,hd_mark,0),0)/12)),0)</f>
        <v>0</v>
      </c>
      <c r="BM2741">
        <f>MAX($F$25,$BF$2718)/$Q$2740</f>
        <v>0.29920977011494249</v>
      </c>
      <c r="BN2741">
        <f t="shared" si="1706"/>
        <v>1</v>
      </c>
      <c r="BO2741" cm="1">
        <f t="array" ref="BO2741">IFERROR(INDEX(sheath_ecap_asd,MATCH(BS2741,sheath_mark,0),0)*BN2741,0)</f>
        <v>95.285714285714306</v>
      </c>
      <c r="BP2741" cm="1">
        <f t="array" ref="BP2741">IFERROR(INDEX(sheath_wcap_asd,MATCH(BS2741,sheath_mark,0),0)*BN2741,0)</f>
        <v>133.4</v>
      </c>
      <c r="BQ2741" cm="1">
        <f t="array" ref="BQ2741">IFERROR(INDEX(hd_cap,MATCH(BT2741,hd_mark,0),0),0)</f>
        <v>0</v>
      </c>
      <c r="BS2741" s="19">
        <v>11</v>
      </c>
      <c r="BT2741" s="19"/>
      <c r="BU2741" s="100"/>
    </row>
    <row r="2742" x14ac:dyDescent="0.25">
      <c r="B2742" t="s">
        <v>461</v>
      </c>
      <c r="C2742" s="19">
        <v>6</v>
      </c>
      <c r="D2742" s="19">
        <v>29</v>
      </c>
      <c r="E2742">
        <f t="shared" si="1702"/>
        <v>35</v>
      </c>
      <c r="H2742">
        <v>13</v>
      </c>
      <c r="I2742" s="19">
        <v>14</v>
      </c>
      <c r="J2742" s="19">
        <v>12</v>
      </c>
      <c r="K2742">
        <f t="shared" si="1703"/>
        <v>26</v>
      </c>
      <c r="P2742" s="93"/>
      <c r="Q2742" s="109"/>
      <c r="AR2742" s="100"/>
      <c r="AS2742" s="93"/>
      <c r="AT2742" s="109"/>
      <c r="BU2742" s="100"/>
    </row>
    <row r="2743" x14ac:dyDescent="0.25">
      <c r="B2743" t="s">
        <v>462</v>
      </c>
      <c r="C2743" s="19">
        <v>29</v>
      </c>
      <c r="D2743" s="19">
        <v>0</v>
      </c>
      <c r="E2743">
        <f t="shared" si="1702"/>
        <v>29</v>
      </c>
      <c r="H2743">
        <v>14</v>
      </c>
      <c r="I2743" s="19">
        <v>12</v>
      </c>
      <c r="J2743" s="19">
        <v>27</v>
      </c>
      <c r="K2743">
        <f t="shared" si="1703"/>
        <v>39</v>
      </c>
      <c r="P2743" s="93"/>
      <c r="Q2743" s="110" t="str">
        <f>$Q$2719</f>
        <v>A.02</v>
      </c>
      <c r="R2743" t="str">
        <f>$Q$2709</f>
        <v>L2</v>
      </c>
      <c r="S2743">
        <f>$E$21</f>
        <v>10.6875</v>
      </c>
      <c r="T2743" cm="1">
        <f t="array" ref="T2743">IFERROR(IF(S2743=0,0,(INDEX($C$33:$C$38,MATCH($W$2719,$B$33:$B$38,0),0)*(S2747+$X$2719)+$T$2719*COUNTIF(S2743:S2746,"&gt;0")*$C$32+$V$2719*$C$31)*$R$2719),0)</f>
        <v>0</v>
      </c>
      <c r="U2743">
        <f>IF(S2743=0,0,-(COUNTIF(S2743:S2746,"&gt;0")*$T$2719*$C$32+$V$2719*$C$31)*$H$27*$R$2719)</f>
        <v>0</v>
      </c>
      <c r="V2743">
        <f>IF(S2743=0,0,$V$2719*$H$26*$R$2719)</f>
        <v>0</v>
      </c>
      <c r="W2743">
        <f>(0.6*T2743+0.7*U2743)*$R$2719/2</f>
        <v>0</v>
      </c>
      <c r="X2743">
        <f>(0.6*T2743+0.6*V2743)*$R$2719/2</f>
        <v>0</v>
      </c>
      <c r="Z2743">
        <f>IF(S2743=0,0,$AD$2719*$AP$2709)</f>
        <v>0</v>
      </c>
      <c r="AA2743">
        <f>IFERROR(Z2743/$R$2719,0)</f>
        <v>0</v>
      </c>
      <c r="AB2743">
        <f>Z2743*($F$21+IF($F$21=0,0,($C$14+$C$15+IF($C$13="single",1.5,3)+3)/12))</f>
        <v>0</v>
      </c>
      <c r="AC2743">
        <f>AB2743-W2743</f>
        <v>0</v>
      </c>
      <c r="AD2743" cm="1">
        <f t="array" ref="AD2743">IFERROR(IF(AC2743&lt;0,0,AC2743/($R$2719-INDEX(hd_off,MATCH(AQ2743,hd_mark,0),0)/12)),0)</f>
        <v>0</v>
      </c>
      <c r="AE2743">
        <f>IF(S2743=0,0,$AD$2719*$AM$2709)</f>
        <v>0</v>
      </c>
      <c r="AF2743">
        <f>IFERROR(AE2743/$R$2719,0)</f>
        <v>0</v>
      </c>
      <c r="AG2743">
        <f>AE2743*($F$21+IF($F$21=0,0,($C$14+$C$15+IF($C$13="single",1.5,3)+3)/12))</f>
        <v>0</v>
      </c>
      <c r="AH2743">
        <f>AG2743-X2743</f>
        <v>0</v>
      </c>
      <c r="AI2743" cm="1">
        <f t="array" ref="AI2743">IFERROR(IF(AH2743&lt;0,0,AH2743/($R$2719-INDEX(hd_off,MATCH(AQ2743,hd_mark,0),0)/12)),0)</f>
        <v>0</v>
      </c>
      <c r="AJ2743">
        <f>MAX($F$21,$Y$2719)/$Q$2740</f>
        <v>0.30172413793103448</v>
      </c>
      <c r="AK2743">
        <f>IF(AJ2743=0,0,IF(AJ2743&gt;2,1.25-0.125*AJ2743,1))</f>
        <v>1</v>
      </c>
      <c r="AL2743" cm="1">
        <f t="array" ref="AL2743">IFERROR(INDEX(sheath_ecap_asd,MATCH(AP2743,sheath_mark,0),0)*AK2743,0)</f>
        <v>0</v>
      </c>
      <c r="AM2743" cm="1">
        <f t="array" ref="AM2743">IFERROR(INDEX(sheath_wcap_asd,MATCH(AP2743,sheath_mark,0),0)*AK2743,0)</f>
        <v>0</v>
      </c>
      <c r="AN2743" cm="1">
        <f t="array" ref="AN2743">IFERROR(INDEX(hd_cap,MATCH(AQ2743,hd_mark,0),0),0)</f>
        <v>0</v>
      </c>
      <c r="AP2743" s="19"/>
      <c r="AQ2743" s="19"/>
      <c r="AR2743" s="100"/>
      <c r="AS2743" s="93"/>
      <c r="AT2743" s="110" t="str">
        <f>$AT$2719</f>
        <v>1.02</v>
      </c>
      <c r="AU2743" t="str">
        <f>$Q$2709</f>
        <v>L2</v>
      </c>
      <c r="AV2743">
        <f>$E$21</f>
        <v>10.6875</v>
      </c>
      <c r="AW2743" cm="1">
        <f t="array" ref="AW2743">IFERROR(IF(AV2743=0,0,(INDEX($C$33:$C$38,MATCH($AZ$2719,$B$33:$B$38,0),0)*(AV2747+$BA$2719)+$AW$2719*COUNTIF(AV2743:AV2746,"&gt;0")*$C$32+$AY$2719*$C$31)*$AU$2719),0)</f>
        <v>0</v>
      </c>
      <c r="AX2743">
        <f>IF(AV2743=0,0,-(COUNTIF(AV2743:AV2746,"&gt;0")*$AW$2719*$C$32+$AY$2719*$C$31)*$H$27*$AU$2719)</f>
        <v>0</v>
      </c>
      <c r="AY2743">
        <f>IF(AV2743=0,0,$AY$2719*$H$26*$AU$2719)</f>
        <v>0</v>
      </c>
      <c r="AZ2743">
        <f>(0.6*AW2743+0.7*AX2743)*$AU$2719/2</f>
        <v>0</v>
      </c>
      <c r="BA2743">
        <f>(0.6*AW2743+0.6*AY2743)*$AU$2719/2</f>
        <v>0</v>
      </c>
      <c r="BC2743">
        <f>IF(AV2743=0,0,$BG$2719*$AP$2709)</f>
        <v>0</v>
      </c>
      <c r="BD2743">
        <f>IFERROR(BC2743/$AU$2719,0)</f>
        <v>0</v>
      </c>
      <c r="BE2743">
        <f>BC2743*($F$21+IF($F$21=0,0,($C$14+$C$15+IF($C$13="single",1.5,3)+3)/12))</f>
        <v>0</v>
      </c>
      <c r="BF2743">
        <f>BE2743-AZ2743</f>
        <v>0</v>
      </c>
      <c r="BG2743" cm="1">
        <f t="array" ref="BG2743">IFERROR(IF(BF2743&lt;0,0,BF2743/($AU$2719-INDEX(hd_off,MATCH(BT2743,hd_mark,0),0)/12)),0)</f>
        <v>0</v>
      </c>
      <c r="BH2743">
        <f>IF(AV2743=0,0,$BG$2719*$AM$2709)</f>
        <v>0</v>
      </c>
      <c r="BI2743">
        <f>IFERROR(BH2743/$AU$2719,0)</f>
        <v>0</v>
      </c>
      <c r="BJ2743">
        <f>BH2743*($F$21+IF($F$21=0,0,($C$14+$C$15+IF($C$13="single",1.5,3)+3)/12))</f>
        <v>0</v>
      </c>
      <c r="BK2743">
        <f>BJ2743-BA2743</f>
        <v>0</v>
      </c>
      <c r="BL2743" cm="1">
        <f t="array" ref="BL2743">IFERROR(IF(BK2743&lt;0,0,BK2743/($AU$2719-INDEX(hd_off,MATCH(BT2743,hd_mark,0),0)/12)),0)</f>
        <v>0</v>
      </c>
      <c r="BM2743">
        <f>MAX($F$21,$BB$2719)/$Q$2740</f>
        <v>0.30172413793103448</v>
      </c>
      <c r="BN2743">
        <f>IF(BM2743=0,0,IF(BM2743&gt;2,1.25-0.125*BM2743,1))</f>
        <v>1</v>
      </c>
      <c r="BO2743" cm="1">
        <f t="array" ref="BO2743">IFERROR(INDEX(sheath_ecap_asd,MATCH(BS2743,sheath_mark,0),0)*BN2743,0)</f>
        <v>0</v>
      </c>
      <c r="BP2743" cm="1">
        <f t="array" ref="BP2743">IFERROR(INDEX(sheath_wcap_asd,MATCH(BS2743,sheath_mark,0),0)*BN2743,0)</f>
        <v>0</v>
      </c>
      <c r="BQ2743" cm="1">
        <f t="array" ref="BQ2743">IFERROR(INDEX(hd_cap,MATCH(BT2743,hd_mark,0),0),0)</f>
        <v>0</v>
      </c>
      <c r="BS2743" s="19"/>
      <c r="BT2743" s="19"/>
      <c r="BU2743" s="100"/>
    </row>
    <row r="2744" x14ac:dyDescent="0.25">
      <c r="B2744" t="s">
        <v>463</v>
      </c>
      <c r="C2744" s="19"/>
      <c r="D2744" s="19"/>
      <c r="E2744">
        <f t="shared" si="1702"/>
        <v>0</v>
      </c>
      <c r="H2744">
        <v>15</v>
      </c>
      <c r="I2744" s="19">
        <v>27</v>
      </c>
      <c r="J2744" s="19">
        <v>18</v>
      </c>
      <c r="K2744">
        <f t="shared" si="1703"/>
        <v>45</v>
      </c>
      <c r="P2744" s="93"/>
      <c r="Q2744" s="109"/>
      <c r="R2744" t="str">
        <f>$Q$2710</f>
        <v>L3</v>
      </c>
      <c r="S2744">
        <f>$E$22</f>
        <v>21.375</v>
      </c>
      <c r="T2744" cm="1">
        <f t="array" ref="T2744">IFERROR(IF(S2744=0,0,(INDEX($C$33:$C$38,MATCH($W$2719,$B$33:$B$38,0),0)*(S2747+$X$2719)+$T$2719*COUNTIF(S2744:S2746,"&gt;0")*$C$32+$V$2719*$C$31)*$R$2719),0)</f>
        <v>0</v>
      </c>
      <c r="U2744">
        <f>IF(S2744=0,0,-(COUNTIF(S2744:S2746,"&gt;0")*$T$2719*$C$32+$V$2719*$C$31)*$H$27*$R$2719)</f>
        <v>0</v>
      </c>
      <c r="V2744">
        <f>IF(S2744=0,0,$V$2719*$H$26*$R$2719)</f>
        <v>0</v>
      </c>
      <c r="W2744">
        <f>(0.6*T2744+0.7*U2744)*$R$2719/2</f>
        <v>0</v>
      </c>
      <c r="X2744">
        <f>T2744*$R$2719/2</f>
        <v>0</v>
      </c>
      <c r="Z2744">
        <f>IF(S2744=0,0,$AD$2719*$AP$2710)</f>
        <v>0</v>
      </c>
      <c r="AA2744">
        <f>IFERROR(Z2744/$R$2719,0)</f>
        <v>0</v>
      </c>
      <c r="AB2744">
        <f>Z2744*($F$22+IF($F$22=0,0,($C$14+$C$15+IF($C$13="single",1.5,3)+3)/12))</f>
        <v>0</v>
      </c>
      <c r="AC2744">
        <f>AB2744-W2744</f>
        <v>0</v>
      </c>
      <c r="AD2744" cm="1">
        <f t="array" ref="AD2744">IFERROR(IF(AC2744&lt;0,0,AC2744/($R$2719-INDEX(hd_off,MATCH(AQ2744,hd_mark,0),0)/12)),0)</f>
        <v>0</v>
      </c>
      <c r="AE2744">
        <f>IF(S2744=0,0,$AD$2719*$AM$2710)</f>
        <v>0</v>
      </c>
      <c r="AF2744">
        <f>IFERROR(AE2744/$R$2719,0)</f>
        <v>0</v>
      </c>
      <c r="AG2744">
        <f>AE2744*($F$22+IF($F$22=0,0,($C$14+$C$15+IF($C$13="single",1.5,3)+3)/12))</f>
        <v>0</v>
      </c>
      <c r="AH2744">
        <f>AG2744-X2744</f>
        <v>0</v>
      </c>
      <c r="AI2744" cm="1">
        <f t="array" ref="AI2744">IFERROR(IF(AH2744&lt;0,0,AH2744/($R$2719-INDEX(hd_off,MATCH(AQ2744,hd_mark,0),0)/12)),0)</f>
        <v>0</v>
      </c>
      <c r="AJ2744">
        <f>MAX($F$22,$Z$2719)/$Q$2740</f>
        <v>0.30172413793103448</v>
      </c>
      <c r="AK2744">
        <f t="shared" ref="AK2744:AK2747" si="1707">IF(AJ2744=0,0,IF(AJ2744&gt;2,1.25-0.125*AJ2744,1))</f>
        <v>1</v>
      </c>
      <c r="AL2744" cm="1">
        <f t="array" ref="AL2744">IFERROR(INDEX(sheath_ecap_asd,MATCH(AP2744,sheath_mark,0),0)*AK2744,0)</f>
        <v>0</v>
      </c>
      <c r="AM2744" cm="1">
        <f t="array" ref="AM2744">IFERROR(INDEX(sheath_wcap_asd,MATCH(AP2744,sheath_mark,0),0)*AK2744,0)</f>
        <v>0</v>
      </c>
      <c r="AN2744" cm="1">
        <f t="array" ref="AN2744">IFERROR(INDEX(hd_cap,MATCH(AQ2744,hd_mark,0),0),0)</f>
        <v>0</v>
      </c>
      <c r="AP2744" s="19"/>
      <c r="AQ2744" s="19"/>
      <c r="AR2744" s="100"/>
      <c r="AS2744" s="93"/>
      <c r="AT2744" s="109"/>
      <c r="AU2744" t="str">
        <f>$Q$2710</f>
        <v>L3</v>
      </c>
      <c r="AV2744">
        <f>$E$22</f>
        <v>21.375</v>
      </c>
      <c r="AW2744" cm="1">
        <f t="array" ref="AW2744">IFERROR(IF(AV2744=0,0,(INDEX($C$33:$C$38,MATCH($AZ$2719,$B$33:$B$38,0),0)*(AV2747+$BA$2719)+$AW$2719*COUNTIF(AV2744:AV2746,"&gt;0")*$C$32+$AY$2719*$C$31)*$AU$2719),0)</f>
        <v>0</v>
      </c>
      <c r="AX2744">
        <f>IF(AV2744=0,0,-(COUNTIF(AV2744:AV2746,"&gt;0")*$AW$2719*$C$32+$AY$2719*$C$31)*$H$27*$AU$2719)</f>
        <v>0</v>
      </c>
      <c r="AY2744">
        <f>IF(AV2744=0,0,$AY$2719*$H$26*$AU$2719)</f>
        <v>0</v>
      </c>
      <c r="AZ2744">
        <f>(0.6*AW2744+0.7*AX2744)*$AU$2719/2</f>
        <v>0</v>
      </c>
      <c r="BA2744">
        <f>AW2744*$AU$2719/2</f>
        <v>0</v>
      </c>
      <c r="BC2744">
        <f>IF(AV2744=0,0,$BG$2719*$AP$2710)</f>
        <v>0</v>
      </c>
      <c r="BD2744">
        <f>IFERROR(BC2744/$AU$2719,0)</f>
        <v>0</v>
      </c>
      <c r="BE2744">
        <f>BC2744*($F$22+IF($F$22=0,0,($C$14+$C$15+IF($C$13="single",1.5,3)+3)/12))</f>
        <v>0</v>
      </c>
      <c r="BF2744">
        <f>BE2744-AZ2744</f>
        <v>0</v>
      </c>
      <c r="BG2744" cm="1">
        <f t="array" ref="BG2744">IFERROR(IF(BF2744&lt;0,0,BF2744/($AU$2719-INDEX(hd_off,MATCH(BT2744,hd_mark,0),0)/12)),0)</f>
        <v>0</v>
      </c>
      <c r="BH2744">
        <f>IF(AV2744=0,0,$BG$2719*$AM$2710)</f>
        <v>0</v>
      </c>
      <c r="BI2744">
        <f>IFERROR(BH2744/$AU$2719,0)</f>
        <v>0</v>
      </c>
      <c r="BJ2744">
        <f>BH2744*($F$22+IF($F$22=0,0,($C$14+$C$15+IF($C$13="single",1.5,3)+3)/12))</f>
        <v>0</v>
      </c>
      <c r="BK2744">
        <f>BJ2744-BA2744</f>
        <v>0</v>
      </c>
      <c r="BL2744" cm="1">
        <f t="array" ref="BL2744">IFERROR(IF(BK2744&lt;0,0,BK2744/($AU$2719-INDEX(hd_off,MATCH(BT2744,hd_mark,0),0)/12)),0)</f>
        <v>0</v>
      </c>
      <c r="BM2744">
        <f>MAX($F$22,$BC$2719)/$Q$2740</f>
        <v>0.30172413793103448</v>
      </c>
      <c r="BN2744">
        <f t="shared" ref="BN2744:BN2747" si="1708">IF(BM2744=0,0,IF(BM2744&gt;2,1.25-0.125*BM2744,1))</f>
        <v>1</v>
      </c>
      <c r="BO2744" cm="1">
        <f t="array" ref="BO2744">IFERROR(INDEX(sheath_ecap_asd,MATCH(BS2744,sheath_mark,0),0)*BN2744,0)</f>
        <v>0</v>
      </c>
      <c r="BP2744" cm="1">
        <f t="array" ref="BP2744">IFERROR(INDEX(sheath_wcap_asd,MATCH(BS2744,sheath_mark,0),0)*BN2744,0)</f>
        <v>0</v>
      </c>
      <c r="BQ2744" cm="1">
        <f t="array" ref="BQ2744">IFERROR(INDEX(hd_cap,MATCH(BT2744,hd_mark,0),0),0)</f>
        <v>0</v>
      </c>
      <c r="BS2744" s="19"/>
      <c r="BT2744" s="19"/>
      <c r="BU2744" s="100"/>
    </row>
    <row r="2745" x14ac:dyDescent="0.25">
      <c r="B2745" t="s">
        <v>464</v>
      </c>
      <c r="C2745" s="19"/>
      <c r="D2745" s="19"/>
      <c r="E2745">
        <f t="shared" si="1702"/>
        <v>0</v>
      </c>
      <c r="H2745">
        <v>16</v>
      </c>
      <c r="I2745" s="19"/>
      <c r="J2745" s="19"/>
      <c r="K2745">
        <f t="shared" si="1703"/>
        <v>0</v>
      </c>
      <c r="P2745" s="93"/>
      <c r="Q2745" s="109" t="s">
        <v>491</v>
      </c>
      <c r="R2745" t="str">
        <f>$Q$2711</f>
        <v>L4</v>
      </c>
      <c r="S2745">
        <f>$E$23</f>
        <v>0</v>
      </c>
      <c r="T2745" cm="1">
        <f t="array" ref="T2745">IFERROR(IF(S2745=0,0,(INDEX($C$33:$C$38,MATCH($W$2719,$B$33:$B$38,0),0)*(S2747+$X$2719)+$T$2719*COUNTIF(S2745:S2746,"&gt;0")*$C$32+$V$2719*$C$31)*$R$2719),0)</f>
        <v>0</v>
      </c>
      <c r="U2745">
        <f>IF(S2745=0,0,-(COUNTIF(S2745:S2746,"&gt;0")*$T$2719*$C$32+$V$2719*$C$31)*$H$27*$R$2719)</f>
        <v>0</v>
      </c>
      <c r="V2745">
        <f>IF(S2745=0,0,$V$2719*$H$26*$R$2719)</f>
        <v>0</v>
      </c>
      <c r="W2745">
        <f>(0.6*T2745+0.7*U2745)*$R$2719/2</f>
        <v>0</v>
      </c>
      <c r="X2745">
        <f>T2745*$R$2719/2</f>
        <v>0</v>
      </c>
      <c r="Z2745">
        <f>IF(S2745=0,0,$AD$2719*$AP$2711)</f>
        <v>0</v>
      </c>
      <c r="AA2745">
        <f>IFERROR(Z2745/$R$2719,0)</f>
        <v>0</v>
      </c>
      <c r="AB2745">
        <f>Z2745*($F$23+IF($F$23=0,0,($C$14+$C$15+IF($C$13="single",1.5,3)+3)/12))</f>
        <v>0</v>
      </c>
      <c r="AC2745">
        <f>AB2745-W2745</f>
        <v>0</v>
      </c>
      <c r="AD2745" cm="1">
        <f t="array" ref="AD2745">IFERROR(IF(AC2745&lt;0,0,AC2745/($R$2719-INDEX(hd_off,MATCH(AQ2745,hd_mark,0),0)/12)),0)</f>
        <v>0</v>
      </c>
      <c r="AE2745">
        <f>IF(S2745=0,0,$AD$2719*$AM$2711)</f>
        <v>0</v>
      </c>
      <c r="AF2745">
        <f>IFERROR(AE2745/$R$2719,0)</f>
        <v>0</v>
      </c>
      <c r="AG2745">
        <f>AE2745*($F$23+IF($F$23=0,0,($C$14+$C$15+IF($C$13="single",1.5,3)+3)/12))</f>
        <v>0</v>
      </c>
      <c r="AH2745">
        <f>AG2745-X2745</f>
        <v>0</v>
      </c>
      <c r="AI2745" cm="1">
        <f t="array" ref="AI2745">IFERROR(IF(AH2745&lt;0,0,AH2745/($R$2719-INDEX(hd_off,MATCH(AQ2745,hd_mark,0),0)/12)),0)</f>
        <v>0</v>
      </c>
      <c r="AJ2745">
        <f>MAX($F$23,$AA$2719)/$Q$2740</f>
        <v>0</v>
      </c>
      <c r="AK2745">
        <f t="shared" si="1707"/>
        <v>0</v>
      </c>
      <c r="AL2745" cm="1">
        <f t="array" ref="AL2745">IFERROR(INDEX(sheath_ecap_asd,MATCH(AP2745,sheath_mark,0),0)*AK2745,0)</f>
        <v>0</v>
      </c>
      <c r="AM2745" cm="1">
        <f t="array" ref="AM2745">IFERROR(INDEX(sheath_wcap_asd,MATCH(AP2745,sheath_mark,0),0)*AK2745,0)</f>
        <v>0</v>
      </c>
      <c r="AN2745" cm="1">
        <f t="array" ref="AN2745">IFERROR(INDEX(hd_cap,MATCH(AQ2745,hd_mark,0),0),0)</f>
        <v>0</v>
      </c>
      <c r="AP2745" s="19"/>
      <c r="AQ2745" s="19"/>
      <c r="AR2745" s="100"/>
      <c r="AS2745" s="93"/>
      <c r="AT2745" s="109" t="s">
        <v>491</v>
      </c>
      <c r="AU2745" t="str">
        <f>$Q$2711</f>
        <v>L4</v>
      </c>
      <c r="AV2745">
        <f>$E$23</f>
        <v>0</v>
      </c>
      <c r="AW2745" cm="1">
        <f t="array" ref="AW2745">IFERROR(IF(AV2745=0,0,(INDEX($C$33:$C$38,MATCH($AZ$2719,$B$33:$B$38,0),0)*(AV2747+$BA$2719)+$AW$2719*COUNTIF(AV2745:AV2746,"&gt;0")*$C$32+$AY$2719*$C$31)*$AU$2719),0)</f>
        <v>0</v>
      </c>
      <c r="AX2745">
        <f>IF(AV2745=0,0,-(COUNTIF(AV2745:AV2746,"&gt;0")*$AW$2719*$C$32+$AY$2719*$C$31)*$H$27*$AU$2719)</f>
        <v>0</v>
      </c>
      <c r="AY2745">
        <f>IF(AV2745=0,0,$AY$2719*$H$26*$AU$2719)</f>
        <v>0</v>
      </c>
      <c r="AZ2745">
        <f>(0.6*AW2745+0.7*AX2745)*$AU$2719/2</f>
        <v>0</v>
      </c>
      <c r="BA2745">
        <f>AW2745*$AU$2719/2</f>
        <v>0</v>
      </c>
      <c r="BC2745">
        <f>IF(AV2745=0,0,$BG$2719*$AP$2711)</f>
        <v>0</v>
      </c>
      <c r="BD2745">
        <f>IFERROR(BC2745/$AU$2719,0)</f>
        <v>0</v>
      </c>
      <c r="BE2745">
        <f>BC2745*($F$23+IF($F$23=0,0,($C$14+$C$15+IF($C$13="single",1.5,3)+3)/12))</f>
        <v>0</v>
      </c>
      <c r="BF2745">
        <f>BE2745-AZ2745</f>
        <v>0</v>
      </c>
      <c r="BG2745" cm="1">
        <f t="array" ref="BG2745">IFERROR(IF(BF2745&lt;0,0,BF2745/($AU$2719-INDEX(hd_off,MATCH(BT2745,hd_mark,0),0)/12)),0)</f>
        <v>0</v>
      </c>
      <c r="BH2745">
        <f>IF(AV2745=0,0,$BG$2719*$AM$2711)</f>
        <v>0</v>
      </c>
      <c r="BI2745">
        <f>IFERROR(BH2745/$AU$2719,0)</f>
        <v>0</v>
      </c>
      <c r="BJ2745">
        <f>BH2745*($F$23+IF($F$23=0,0,($C$14+$C$15+IF($C$13="single",1.5,3)+3)/12))</f>
        <v>0</v>
      </c>
      <c r="BK2745">
        <f>BJ2745-BA2745</f>
        <v>0</v>
      </c>
      <c r="BL2745" cm="1">
        <f t="array" ref="BL2745">IFERROR(IF(BK2745&lt;0,0,BK2745/($AU$2719-INDEX(hd_off,MATCH(BT2745,hd_mark,0),0)/12)),0)</f>
        <v>0</v>
      </c>
      <c r="BM2745">
        <f>MAX($F$23,$BD$2719)/$Q$2740</f>
        <v>0</v>
      </c>
      <c r="BN2745">
        <f t="shared" si="1708"/>
        <v>0</v>
      </c>
      <c r="BO2745" cm="1">
        <f t="array" ref="BO2745">IFERROR(INDEX(sheath_ecap_asd,MATCH(BS2745,sheath_mark,0),0)*BN2745,0)</f>
        <v>0</v>
      </c>
      <c r="BP2745" cm="1">
        <f t="array" ref="BP2745">IFERROR(INDEX(sheath_wcap_asd,MATCH(BS2745,sheath_mark,0),0)*BN2745,0)</f>
        <v>0</v>
      </c>
      <c r="BQ2745" cm="1">
        <f t="array" ref="BQ2745">IFERROR(INDEX(hd_cap,MATCH(BT2745,hd_mark,0),0),0)</f>
        <v>0</v>
      </c>
      <c r="BS2745" s="19"/>
      <c r="BT2745" s="19"/>
      <c r="BU2745" s="100"/>
    </row>
    <row r="2746" x14ac:dyDescent="0.25">
      <c r="B2746" t="s">
        <v>465</v>
      </c>
      <c r="C2746" s="19"/>
      <c r="D2746" s="19"/>
      <c r="E2746">
        <f t="shared" si="1702"/>
        <v>0</v>
      </c>
      <c r="H2746">
        <v>17</v>
      </c>
      <c r="I2746" s="19"/>
      <c r="J2746" s="19"/>
      <c r="K2746">
        <f t="shared" si="1703"/>
        <v>0</v>
      </c>
      <c r="P2746" s="93"/>
      <c r="Q2746" s="111">
        <f>$R$2719</f>
        <v>0</v>
      </c>
      <c r="R2746" t="str">
        <f>$Q$2712</f>
        <v>L5</v>
      </c>
      <c r="S2746">
        <f>$E$24</f>
        <v>0</v>
      </c>
      <c r="T2746" cm="1">
        <f t="array" ref="T2746">IFERROR(IF(S2746=0,0,(INDEX($C$33:$C$38,MATCH($W$2719,$B$33:$B$38,0),0)*(S2747+$X$2719)+$T$2719*COUNTIF(S2746:S2746,"&gt;0")*$C$32+$V$2719*$C$31)*$R$2719),0)</f>
        <v>0</v>
      </c>
      <c r="U2746">
        <f>IF(S2746=0,0,-(COUNTIF(S2746:S2746,"&gt;0")*$T$2719*$C$32+$V$2719*$C$31)*$H$27*$R$2719)</f>
        <v>0</v>
      </c>
      <c r="V2746">
        <f>IF(S2746=0,0,$V$2719*$H$26*$R$2719)</f>
        <v>0</v>
      </c>
      <c r="W2746">
        <f>(0.6*T2746+0.7*U2746)*$R$2719/2</f>
        <v>0</v>
      </c>
      <c r="X2746">
        <f>T2746*$R$2719/2</f>
        <v>0</v>
      </c>
      <c r="Z2746">
        <f>IF(S2746=0,0,$AD$2719*$AP$2712)</f>
        <v>0</v>
      </c>
      <c r="AA2746">
        <f>IFERROR(Z2746/$R$2719,0)</f>
        <v>0</v>
      </c>
      <c r="AB2746">
        <f>Z2746*($F$24+IF($F$24=0,0,($C$14+$C$15+IF($C$13="single",1.5,3)+3)/12))</f>
        <v>0</v>
      </c>
      <c r="AC2746">
        <f>AB2746-W2746</f>
        <v>0</v>
      </c>
      <c r="AD2746" cm="1">
        <f t="array" ref="AD2746">IFERROR(IF(AC2746&lt;0,0,AC2746/($R$2719-INDEX(hd_off,MATCH(AQ2746,hd_mark,0),0)/12)),0)</f>
        <v>0</v>
      </c>
      <c r="AE2746">
        <f>IF(S2746=0,0,$AD$2719*$AM$2712)</f>
        <v>0</v>
      </c>
      <c r="AF2746">
        <f>IFERROR(AE2746/$R$2719,0)</f>
        <v>0</v>
      </c>
      <c r="AG2746">
        <f>AE2746*($F$24+IF($F$24=0,0,($C$14+$C$15+IF($C$13="single",1.5,3)+3)/12))</f>
        <v>0</v>
      </c>
      <c r="AH2746">
        <f>AG2746-X2746</f>
        <v>0</v>
      </c>
      <c r="AI2746" cm="1">
        <f t="array" ref="AI2746">IFERROR(IF(AH2746&lt;0,0,AH2746/($R$2719-INDEX(hd_off,MATCH(AQ2746,hd_mark,0),0)/12)),0)</f>
        <v>0</v>
      </c>
      <c r="AJ2746">
        <f>MAX($F$24,$AB$2719)/$Q$2740</f>
        <v>0</v>
      </c>
      <c r="AK2746">
        <f t="shared" si="1707"/>
        <v>0</v>
      </c>
      <c r="AL2746" cm="1">
        <f t="array" ref="AL2746">IFERROR(INDEX(sheath_ecap_asd,MATCH(AP2746,sheath_mark,0),0)*AK2746,0)</f>
        <v>0</v>
      </c>
      <c r="AM2746" cm="1">
        <f t="array" ref="AM2746">IFERROR(INDEX(sheath_wcap_asd,MATCH(AP2746,sheath_mark,0),0)*AK2746,0)</f>
        <v>0</v>
      </c>
      <c r="AN2746" cm="1">
        <f t="array" ref="AN2746">IFERROR(INDEX(hd_cap,MATCH(AQ2746,hd_mark,0),0),0)</f>
        <v>0</v>
      </c>
      <c r="AP2746" s="19"/>
      <c r="AQ2746" s="19"/>
      <c r="AR2746" s="100"/>
      <c r="AS2746" s="93"/>
      <c r="AT2746" s="111">
        <f>$R$2719</f>
        <v>0</v>
      </c>
      <c r="AU2746" t="str">
        <f>$Q$2712</f>
        <v>L5</v>
      </c>
      <c r="AV2746">
        <f>$E$24</f>
        <v>0</v>
      </c>
      <c r="AW2746" cm="1">
        <f t="array" ref="AW2746">IFERROR(IF(AV2746=0,0,(INDEX($C$33:$C$38,MATCH($AZ$2719,$B$33:$B$38,0),0)*(AV2747+$BA$2719)+$AW$2719*COUNTIF(AV2746:AV2746,"&gt;0")*$C$32+$AY$2719*$C$31)*$AU$2719),0)</f>
        <v>0</v>
      </c>
      <c r="AX2746">
        <f>IF(AV2746=0,0,-(COUNTIF(AV2746:AV2746,"&gt;0")*$AW$2719*$C$32+$AY$2719*$C$31)*$H$27*$AU$2719)</f>
        <v>0</v>
      </c>
      <c r="AY2746">
        <f>IF(AV2746=0,0,$AY$2719*$H$26*$AU$2719)</f>
        <v>0</v>
      </c>
      <c r="AZ2746">
        <f>(0.6*AW2746+0.7*AX2746)*$AU$2719/2</f>
        <v>0</v>
      </c>
      <c r="BA2746">
        <f>AW2746*$AU$2719/2</f>
        <v>0</v>
      </c>
      <c r="BC2746">
        <f>IF(AV2746=0,0,$BG$2719*$AP$2712)</f>
        <v>0</v>
      </c>
      <c r="BD2746">
        <f>IFERROR(BC2746/$AU$2719,0)</f>
        <v>0</v>
      </c>
      <c r="BE2746">
        <f>BC2746*($F$24+IF($F$24=0,0,($C$14+$C$15+IF($C$13="single",1.5,3)+3)/12))</f>
        <v>0</v>
      </c>
      <c r="BF2746">
        <f>BE2746-AZ2746</f>
        <v>0</v>
      </c>
      <c r="BG2746" cm="1">
        <f t="array" ref="BG2746">IFERROR(IF(BF2746&lt;0,0,BF2746/($AU$2719-INDEX(hd_off,MATCH(BT2746,hd_mark,0),0)/12)),0)</f>
        <v>0</v>
      </c>
      <c r="BH2746">
        <f>IF(AV2746=0,0,$BG$2719*$AM$2712)</f>
        <v>0</v>
      </c>
      <c r="BI2746">
        <f>IFERROR(BH2746/$AU$2719,0)</f>
        <v>0</v>
      </c>
      <c r="BJ2746">
        <f>BH2746*($F$24+IF($F$24=0,0,($C$14+$C$15+IF($C$13="single",1.5,3)+3)/12))</f>
        <v>0</v>
      </c>
      <c r="BK2746">
        <f>BJ2746-BA2746</f>
        <v>0</v>
      </c>
      <c r="BL2746" cm="1">
        <f t="array" ref="BL2746">IFERROR(IF(BK2746&lt;0,0,BK2746/($AU$2719-INDEX(hd_off,MATCH(BT2746,hd_mark,0),0)/12)),0)</f>
        <v>0</v>
      </c>
      <c r="BM2746">
        <f>MAX($F$24,$BE$2719)/$Q$2740</f>
        <v>0</v>
      </c>
      <c r="BN2746">
        <f t="shared" si="1708"/>
        <v>0</v>
      </c>
      <c r="BO2746" cm="1">
        <f t="array" ref="BO2746">IFERROR(INDEX(sheath_ecap_asd,MATCH(BS2746,sheath_mark,0),0)*BN2746,0)</f>
        <v>0</v>
      </c>
      <c r="BP2746" cm="1">
        <f t="array" ref="BP2746">IFERROR(INDEX(sheath_wcap_asd,MATCH(BS2746,sheath_mark,0),0)*BN2746,0)</f>
        <v>0</v>
      </c>
      <c r="BQ2746" cm="1">
        <f t="array" ref="BQ2746">IFERROR(INDEX(hd_cap,MATCH(BT2746,hd_mark,0),0),0)</f>
        <v>0</v>
      </c>
      <c r="BS2746" s="19"/>
      <c r="BT2746" s="19"/>
      <c r="BU2746" s="100"/>
    </row>
    <row r="2747" x14ac:dyDescent="0.25">
      <c r="B2747" t="s">
        <v>466</v>
      </c>
      <c r="C2747" s="19"/>
      <c r="D2747" s="19"/>
      <c r="E2747">
        <f t="shared" si="1702"/>
        <v>0</v>
      </c>
      <c r="H2747">
        <v>18</v>
      </c>
      <c r="I2747" s="19"/>
      <c r="J2747" s="19"/>
      <c r="K2747">
        <f t="shared" si="1703"/>
        <v>0</v>
      </c>
      <c r="P2747" s="93"/>
      <c r="Q2747" s="109"/>
      <c r="R2747" t="str">
        <f>$Q$2713</f>
        <v>Roof</v>
      </c>
      <c r="S2747">
        <f>$E$25</f>
        <v>33.171875</v>
      </c>
      <c r="T2747" cm="1">
        <f t="array" ref="T2747">IFERROR(IF(S2747=0,0,(INDEX($C$33:$C$38,MATCH($W$2719,$B$33:$B$38,0),0)*(S2747+$X$2719)+$V$2719*$C$31)*$R$2719),0)</f>
        <v>0</v>
      </c>
      <c r="U2747">
        <f>IF(S2747=0,0,-$V$2719*$C$31*$H$27*$R$2719)</f>
        <v>0</v>
      </c>
      <c r="V2747">
        <f>IF(S2747=0,0,$V$2719*$H$26*$R$2719)</f>
        <v>0</v>
      </c>
      <c r="W2747">
        <f>(0.6*T2747+0.7*U2747)*$R$2719/2</f>
        <v>0</v>
      </c>
      <c r="X2747">
        <f>T2747*$R$2719/2</f>
        <v>0</v>
      </c>
      <c r="Z2747">
        <f>IF(S2747=0,0,$AD$2719*$AP$2713)</f>
        <v>0</v>
      </c>
      <c r="AA2747">
        <f>IFERROR(Z2747/$R$2719,0)</f>
        <v>0</v>
      </c>
      <c r="AB2747">
        <f>Z2747*($F$25+($C$16+$C$17+IF($C$13="single",1.5,3)+3)/12)</f>
        <v>0</v>
      </c>
      <c r="AC2747">
        <f>AB2747-W2747</f>
        <v>0</v>
      </c>
      <c r="AD2747" cm="1">
        <f t="array" ref="AD2747">IFERROR(IF(AC2747&lt;0,0,AC2747/($R$2719-INDEX(hd_off,MATCH(AQ2747,hd_mark,0),0)/12)),0)</f>
        <v>0</v>
      </c>
      <c r="AE2747">
        <f>IF(S2747=0,0,$AD$2719*$AM$2713)</f>
        <v>0</v>
      </c>
      <c r="AF2747">
        <f>IFERROR(AE2747/$R$2719,0)</f>
        <v>0</v>
      </c>
      <c r="AG2747">
        <f>AE2747*($F$25+($C$16+$C$17+IF($C$13="single",1.5,3)+3)/12)</f>
        <v>0</v>
      </c>
      <c r="AH2747">
        <f>AG2747-X2747</f>
        <v>0</v>
      </c>
      <c r="AI2747" cm="1">
        <f t="array" ref="AI2747">IFERROR(IF(AH2747&lt;0,0,AH2747/($R$2719-INDEX(hd_off,MATCH(AQ2747,hd_mark,0),0)/12)),0)</f>
        <v>0</v>
      </c>
      <c r="AJ2747">
        <f>MAX($F$25,$AC$2719)/$Q$2740</f>
        <v>0.29920977011494249</v>
      </c>
      <c r="AK2747">
        <f t="shared" si="1707"/>
        <v>1</v>
      </c>
      <c r="AL2747" cm="1">
        <f t="array" ref="AL2747">IFERROR(INDEX(sheath_ecap_asd,MATCH(AP2747,sheath_mark,0),0)*AK2747,0)</f>
        <v>0</v>
      </c>
      <c r="AM2747" cm="1">
        <f t="array" ref="AM2747">IFERROR(INDEX(sheath_wcap_asd,MATCH(AP2747,sheath_mark,0),0)*AK2747,0)</f>
        <v>0</v>
      </c>
      <c r="AN2747" cm="1">
        <f t="array" ref="AN2747">IFERROR(INDEX(hd_cap,MATCH(AQ2747,hd_mark,0),0),0)</f>
        <v>0</v>
      </c>
      <c r="AP2747" s="19"/>
      <c r="AQ2747" s="19"/>
      <c r="AR2747" s="100"/>
      <c r="AS2747" s="93"/>
      <c r="AT2747" s="109"/>
      <c r="AU2747" t="str">
        <f>$Q$2713</f>
        <v>Roof</v>
      </c>
      <c r="AV2747">
        <f>$E$25</f>
        <v>33.171875</v>
      </c>
      <c r="AW2747" cm="1">
        <f t="array" ref="AW2747">IFERROR(IF(AV2747=0,0,(INDEX($C$33:$C$38,MATCH($AZ$2719,$B$33:$B$38,0),0)*(AV2747+$BA$2719)+$AY$2719*$C$31)*$AU$2719),0)</f>
        <v>0</v>
      </c>
      <c r="AX2747">
        <f>IF(AV2747=0,0,-$AY$2719*$C$31*$H$27*$AU$2719)</f>
        <v>0</v>
      </c>
      <c r="AY2747">
        <f>IF(AV2747=0,0,$AY$2719*$H$26*$AU$2719)</f>
        <v>0</v>
      </c>
      <c r="AZ2747">
        <f>(0.6*AW2747+0.7*AX2747)*$AU$2719/2</f>
        <v>0</v>
      </c>
      <c r="BA2747">
        <f>AW2747*$AU$2719/2</f>
        <v>0</v>
      </c>
      <c r="BC2747">
        <f>IF(AV2747=0,0,$BG$2719*$AP$2713)</f>
        <v>0</v>
      </c>
      <c r="BD2747">
        <f>IFERROR(BC2747/$AU$2719,0)</f>
        <v>0</v>
      </c>
      <c r="BE2747">
        <f>BC2747*($F$25+($C$16+$C$17+IF($C$13="single",1.5,3)+3)/12)</f>
        <v>0</v>
      </c>
      <c r="BF2747">
        <f>BE2747-AZ2747</f>
        <v>0</v>
      </c>
      <c r="BG2747" cm="1">
        <f t="array" ref="BG2747">IFERROR(IF(BF2747&lt;0,0,BF2747/($AU$2719-INDEX(hd_off,MATCH(BT2747,hd_mark,0),0)/12)),0)</f>
        <v>0</v>
      </c>
      <c r="BH2747">
        <f>IF(AV2747=0,0,$BG$2719*$AM$2713)</f>
        <v>0</v>
      </c>
      <c r="BI2747">
        <f>IFERROR(BH2747/$AU$2719,0)</f>
        <v>0</v>
      </c>
      <c r="BJ2747">
        <f>BH2747*($F$25+($C$16+$C$17+IF($C$13="single",1.5,3)+3)/12)</f>
        <v>0</v>
      </c>
      <c r="BK2747">
        <f>BJ2747-BA2747</f>
        <v>0</v>
      </c>
      <c r="BL2747" cm="1">
        <f t="array" ref="BL2747">IFERROR(IF(BK2747&lt;0,0,BK2747/($AU$2719-INDEX(hd_off,MATCH(BT2747,hd_mark,0),0)/12)),0)</f>
        <v>0</v>
      </c>
      <c r="BM2747">
        <f>MAX($F$25,$BF$2719)/$Q$2740</f>
        <v>0.29920977011494249</v>
      </c>
      <c r="BN2747">
        <f t="shared" si="1708"/>
        <v>1</v>
      </c>
      <c r="BO2747" cm="1">
        <f t="array" ref="BO2747">IFERROR(INDEX(sheath_ecap_asd,MATCH(BS2747,sheath_mark,0),0)*BN2747,0)</f>
        <v>0</v>
      </c>
      <c r="BP2747" cm="1">
        <f t="array" ref="BP2747">IFERROR(INDEX(sheath_wcap_asd,MATCH(BS2747,sheath_mark,0),0)*BN2747,0)</f>
        <v>0</v>
      </c>
      <c r="BQ2747" cm="1">
        <f t="array" ref="BQ2747">IFERROR(INDEX(hd_cap,MATCH(BT2747,hd_mark,0),0),0)</f>
        <v>0</v>
      </c>
      <c r="BS2747" s="19"/>
      <c r="BT2747" s="19"/>
      <c r="BU2747" s="100"/>
    </row>
    <row r="2748" x14ac:dyDescent="0.25">
      <c r="B2748" t="s">
        <v>467</v>
      </c>
      <c r="C2748" s="19"/>
      <c r="D2748" s="19"/>
      <c r="E2748">
        <f t="shared" si="1702"/>
        <v>0</v>
      </c>
      <c r="H2748">
        <v>19</v>
      </c>
      <c r="I2748" s="19"/>
      <c r="J2748" s="19"/>
      <c r="K2748">
        <f t="shared" si="1703"/>
        <v>0</v>
      </c>
      <c r="P2748" s="93"/>
      <c r="AR2748" s="100"/>
      <c r="AS2748" s="93"/>
      <c r="BU2748" s="100"/>
    </row>
    <row r="2749" x14ac:dyDescent="0.25">
      <c r="B2749" t="s">
        <v>468</v>
      </c>
      <c r="C2749" s="19"/>
      <c r="D2749" s="19"/>
      <c r="E2749">
        <f t="shared" si="1702"/>
        <v>0</v>
      </c>
      <c r="H2749">
        <v>20</v>
      </c>
      <c r="I2749" s="19"/>
      <c r="J2749" s="19"/>
      <c r="K2749">
        <f t="shared" si="1703"/>
        <v>0</v>
      </c>
      <c r="P2749" s="93"/>
      <c r="Q2749" s="110" t="str">
        <f>$Q$2720</f>
        <v>A.03</v>
      </c>
      <c r="R2749" t="str">
        <f>$Q$2709</f>
        <v>L2</v>
      </c>
      <c r="S2749">
        <f>$E$21</f>
        <v>10.6875</v>
      </c>
      <c r="T2749" cm="1">
        <f t="array" ref="T2749">IFERROR(IF(S2749=0,0,(INDEX($C$33:$C$38,MATCH($W$2720,$B$33:$B$38,0),0)*(S2753+$X$2720)+$T$2720*COUNTIF(S2749:S2752,"&gt;0")*$C$32+$V$2720*$C$31)*$R$2720),0)</f>
        <v>0</v>
      </c>
      <c r="U2749">
        <f>IF(S2749=0,0,-(COUNTIF(S2749:S2752,"&gt;0")*$T$2720*$C$32+$V$2720*$C$31)*$H$27*$R$2720)</f>
        <v>0</v>
      </c>
      <c r="V2749">
        <f>IF(S2749=0,0,$V$2720*$H$26*$R$2720)</f>
        <v>0</v>
      </c>
      <c r="W2749">
        <f>(0.6*T2749+0.7*U2749)*$R$2720/2</f>
        <v>0</v>
      </c>
      <c r="X2749">
        <f>(0.6*T2749+0.6*V2749)*$R$2720/2</f>
        <v>0</v>
      </c>
      <c r="Z2749">
        <f>IF(S2749=0,0,$AD$2720*$AP$2709)</f>
        <v>0</v>
      </c>
      <c r="AA2749">
        <f>IFERROR(Z2749/$R$2720,0)</f>
        <v>0</v>
      </c>
      <c r="AB2749">
        <f>Z2749*($F$21+IF($F$21=0,0,($C$14+$C$15+IF($C$13="single",1.5,3)+3)/12))</f>
        <v>0</v>
      </c>
      <c r="AC2749">
        <f>AB2749-W2749</f>
        <v>0</v>
      </c>
      <c r="AD2749" cm="1">
        <f t="array" ref="AD2749">IFERROR(IF(AC2749&lt;0,0,AC2749/($R$2720-INDEX(hd_off,MATCH(AQ2749,hd_mark,0),0)/12)),0)</f>
        <v>0</v>
      </c>
      <c r="AE2749">
        <f>IF(S2749=0,0,$AD$2720*$AM$2709)</f>
        <v>0</v>
      </c>
      <c r="AF2749">
        <f>IFERROR(AE2749/$R$2720,0)</f>
        <v>0</v>
      </c>
      <c r="AG2749">
        <f>AE2749*($F$21+IF($F$21=0,0,($C$14+$C$15+IF($C$13="single",1.5,3)+3)/12))</f>
        <v>0</v>
      </c>
      <c r="AH2749">
        <f>AG2749-X2749</f>
        <v>0</v>
      </c>
      <c r="AI2749" cm="1">
        <f t="array" ref="AI2749">IFERROR(IF(AH2749&lt;0,0,AH2749/($R$2720-INDEX(hd_off,MATCH(AQ2749,hd_mark,0),0)/12)),0)</f>
        <v>0</v>
      </c>
      <c r="AJ2749">
        <f>MAX($F$21,$Y$2720)/$Q$2740</f>
        <v>0.30172413793103448</v>
      </c>
      <c r="AK2749">
        <f>IF(AJ2749=0,0,IF(AJ2749&gt;2,1.25-0.125*AJ2749,1))</f>
        <v>1</v>
      </c>
      <c r="AL2749" cm="1">
        <f t="array" ref="AL2749">IFERROR(INDEX(sheath_ecap_asd,MATCH(AP2749,sheath_mark,0),0)*AK2749,0)</f>
        <v>0</v>
      </c>
      <c r="AM2749" cm="1">
        <f t="array" ref="AM2749">IFERROR(INDEX(sheath_wcap_asd,MATCH(AP2749,sheath_mark,0),0)*AK2749,0)</f>
        <v>0</v>
      </c>
      <c r="AN2749" cm="1">
        <f t="array" ref="AN2749">IFERROR(INDEX(hd_cap,MATCH(AQ2749,hd_mark,0),0),0)</f>
        <v>0</v>
      </c>
      <c r="AP2749" s="19"/>
      <c r="AQ2749" s="19"/>
      <c r="AR2749" s="100"/>
      <c r="AS2749" s="93"/>
      <c r="AT2749" s="110" t="str">
        <f>$AT$2720</f>
        <v>1.03</v>
      </c>
      <c r="AU2749" t="str">
        <f>$Q$2709</f>
        <v>L2</v>
      </c>
      <c r="AV2749">
        <f>$E$21</f>
        <v>10.6875</v>
      </c>
      <c r="AW2749" cm="1">
        <f t="array" ref="AW2749">IFERROR(IF(AV2749=0,0,(INDEX($C$33:$C$38,MATCH($AZ$2720,$B$33:$B$38,0),0)*(AV2753+$BA$2720)+$AW$2720*COUNTIF(AV2749:AV2752,"&gt;0")*$C$32+$AY$2720*$C$31)*$AU$2720),0)</f>
        <v>0</v>
      </c>
      <c r="AX2749">
        <f>IF(AV2749=0,0,-(COUNTIF(AV2749:AV2752,"&gt;0")*$AW$2720*$C$32+$AY$2720*$C$31)*$H$27*$AU$2720)</f>
        <v>0</v>
      </c>
      <c r="AY2749">
        <f>IF(AV2749=0,0,$AY$2720*$H$26*$AU$2720)</f>
        <v>0</v>
      </c>
      <c r="AZ2749">
        <f>(0.6*AW2749+0.7*AX2749)*$AU$2720/2</f>
        <v>0</v>
      </c>
      <c r="BA2749">
        <f>(0.6*AW2749+0.6*AY2749)*$AU$2720/2</f>
        <v>0</v>
      </c>
      <c r="BC2749">
        <f>IF(AV2749=0,0,$BG$2720*$AP$2709)</f>
        <v>0</v>
      </c>
      <c r="BD2749">
        <f>IFERROR(BC2749/$AU$2720,0)</f>
        <v>0</v>
      </c>
      <c r="BE2749">
        <f>BC2749*($F$21+IF($F$21=0,0,($C$14+$C$15+IF($C$13="single",1.5,3)+3)/12))</f>
        <v>0</v>
      </c>
      <c r="BF2749">
        <f>BE2749-AZ2749</f>
        <v>0</v>
      </c>
      <c r="BG2749" cm="1">
        <f t="array" ref="BG2749">IFERROR(IF(BF2749&lt;0,0,BF2749/($AU$2720-INDEX(hd_off,MATCH(BT2749,hd_mark,0),0)/12)),0)</f>
        <v>0</v>
      </c>
      <c r="BH2749">
        <f>IF(AV2749=0,0,$BG$2720*$AM$2709)</f>
        <v>0</v>
      </c>
      <c r="BI2749">
        <f>IFERROR(BH2749/$AU$2720,0)</f>
        <v>0</v>
      </c>
      <c r="BJ2749">
        <f>BH2749*($F$21+IF($F$21=0,0,($C$14+$C$15+IF($C$13="single",1.5,3)+3)/12))</f>
        <v>0</v>
      </c>
      <c r="BK2749">
        <f>BJ2749-BA2749</f>
        <v>0</v>
      </c>
      <c r="BL2749" cm="1">
        <f t="array" ref="BL2749">IFERROR(IF(BK2749&lt;0,0,BK2749/($AU$2720-INDEX(hd_off,MATCH(BT2749,hd_mark,0),0)/12)),0)</f>
        <v>0</v>
      </c>
      <c r="BM2749">
        <f>MAX($F$21,$BB$2720)/$Q$2740</f>
        <v>0.30172413793103448</v>
      </c>
      <c r="BN2749">
        <f>IF(BM2749=0,0,IF(BM2749&gt;2,1.25-0.125*BM2749,1))</f>
        <v>1</v>
      </c>
      <c r="BO2749" cm="1">
        <f t="array" ref="BO2749">IFERROR(INDEX(sheath_ecap_asd,MATCH(BS2749,sheath_mark,0),0)*BN2749,0)</f>
        <v>0</v>
      </c>
      <c r="BP2749" cm="1">
        <f t="array" ref="BP2749">IFERROR(INDEX(sheath_wcap_asd,MATCH(BS2749,sheath_mark,0),0)*BN2749,0)</f>
        <v>0</v>
      </c>
      <c r="BQ2749" cm="1">
        <f t="array" ref="BQ2749">IFERROR(INDEX(hd_cap,MATCH(BT2749,hd_mark,0),0),0)</f>
        <v>0</v>
      </c>
      <c r="BS2749" s="19"/>
      <c r="BT2749" s="19"/>
      <c r="BU2749" s="100"/>
    </row>
    <row r="2750" x14ac:dyDescent="0.25">
      <c r="B2750" t="s">
        <v>469</v>
      </c>
      <c r="C2750" s="19"/>
      <c r="D2750" s="19"/>
      <c r="E2750">
        <f t="shared" si="1702"/>
        <v>0</v>
      </c>
      <c r="H2750">
        <v>21</v>
      </c>
      <c r="I2750" s="19"/>
      <c r="J2750" s="19"/>
      <c r="K2750">
        <f t="shared" si="1703"/>
        <v>0</v>
      </c>
      <c r="P2750" s="93"/>
      <c r="Q2750" s="109"/>
      <c r="R2750" t="str">
        <f>$Q$2710</f>
        <v>L3</v>
      </c>
      <c r="S2750">
        <f>$E$22</f>
        <v>21.375</v>
      </c>
      <c r="T2750" cm="1">
        <f t="array" ref="T2750">IFERROR(IF(S2750=0,0,(INDEX($C$33:$C$38,MATCH($W$2720,$B$33:$B$38,0),0)*(S2753+$X$2720)+$T$2720*COUNTIF(S2750:S2752,"&gt;0")*$C$32+$V$2720*$C$31)*$R$2720),0)</f>
        <v>0</v>
      </c>
      <c r="U2750">
        <f>IF(S2750=0,0,-(COUNTIF(S2750:S2752,"&gt;0")*$T$2720*$C$32+$V$2720*$C$31)*$H$27*$R$2720)</f>
        <v>0</v>
      </c>
      <c r="V2750">
        <f>IF(S2750=0,0,$V$2720*$H$26*$R$2720)</f>
        <v>0</v>
      </c>
      <c r="W2750">
        <f>(0.6*T2750+0.7*U2750)*$R$2720/2</f>
        <v>0</v>
      </c>
      <c r="X2750">
        <f>T2750*$R$2720/2</f>
        <v>0</v>
      </c>
      <c r="Z2750">
        <f>IF(S2750=0,0,$AD$2720*$AP$2710)</f>
        <v>0</v>
      </c>
      <c r="AA2750">
        <f>IFERROR(Z2750/$R$2720,0)</f>
        <v>0</v>
      </c>
      <c r="AB2750">
        <f>Z2750*($F$22+IF($F$22=0,0,($C$14+$C$15+IF($C$13="single",1.5,3)+3)/12))</f>
        <v>0</v>
      </c>
      <c r="AC2750">
        <f>AB2750-W2750</f>
        <v>0</v>
      </c>
      <c r="AD2750" cm="1">
        <f t="array" ref="AD2750">IFERROR(IF(AC2750&lt;0,0,AC2750/($R$2720-INDEX(hd_off,MATCH(AQ2750,hd_mark,0),0)/12)),0)</f>
        <v>0</v>
      </c>
      <c r="AE2750">
        <f>IF(S2750=0,0,$AD$2720*$AM$2710)</f>
        <v>0</v>
      </c>
      <c r="AF2750">
        <f>IFERROR(AE2750/$R$2720,0)</f>
        <v>0</v>
      </c>
      <c r="AG2750">
        <f>AE2750*($F$22+IF($F$22=0,0,($C$14+$C$15+IF($C$13="single",1.5,3)+3)/12))</f>
        <v>0</v>
      </c>
      <c r="AH2750">
        <f>AG2750-X2750</f>
        <v>0</v>
      </c>
      <c r="AI2750" cm="1">
        <f t="array" ref="AI2750">IFERROR(IF(AH2750&lt;0,0,AH2750/($R$2720-INDEX(hd_off,MATCH(AQ2750,hd_mark,0),0)/12)),0)</f>
        <v>0</v>
      </c>
      <c r="AJ2750">
        <f>MAX($F$22,$Z$2720)/$Q$2740</f>
        <v>0.30172413793103448</v>
      </c>
      <c r="AK2750">
        <f t="shared" ref="AK2750:AK2753" si="1709">IF(AJ2750=0,0,IF(AJ2750&gt;2,1.25-0.125*AJ2750,1))</f>
        <v>1</v>
      </c>
      <c r="AL2750" cm="1">
        <f t="array" ref="AL2750">IFERROR(INDEX(sheath_ecap_asd,MATCH(AP2750,sheath_mark,0),0)*AK2750,0)</f>
        <v>0</v>
      </c>
      <c r="AM2750" cm="1">
        <f t="array" ref="AM2750">IFERROR(INDEX(sheath_wcap_asd,MATCH(AP2750,sheath_mark,0),0)*AK2750,0)</f>
        <v>0</v>
      </c>
      <c r="AN2750" cm="1">
        <f t="array" ref="AN2750">IFERROR(INDEX(hd_cap,MATCH(AQ2750,hd_mark,0),0),0)</f>
        <v>0</v>
      </c>
      <c r="AP2750" s="19"/>
      <c r="AQ2750" s="19"/>
      <c r="AR2750" s="100"/>
      <c r="AS2750" s="93"/>
      <c r="AT2750" s="109"/>
      <c r="AU2750" t="str">
        <f>$Q$2710</f>
        <v>L3</v>
      </c>
      <c r="AV2750">
        <f>$E$22</f>
        <v>21.375</v>
      </c>
      <c r="AW2750" cm="1">
        <f t="array" ref="AW2750">IFERROR(IF(AV2750=0,0,(INDEX($C$33:$C$38,MATCH($AZ$2720,$B$33:$B$38,0),0)*(AV2753+$BA$2720)+$AW$2720*COUNTIF(AV2750:AV2752,"&gt;0")*$C$32+$AY$2720*$C$31)*$AU$2720),0)</f>
        <v>0</v>
      </c>
      <c r="AX2750">
        <f>IF(AV2750=0,0,-(COUNTIF(AV2750:AV2752,"&gt;0")*$AW$2720*$C$32+$AY$2720*$C$31)*$H$27*$AU$2720)</f>
        <v>0</v>
      </c>
      <c r="AY2750">
        <f>IF(AV2750=0,0,$AY$2720*$H$26*$AU$2720)</f>
        <v>0</v>
      </c>
      <c r="AZ2750">
        <f>(0.6*AW2750+0.7*AX2750)*$AU$2720/2</f>
        <v>0</v>
      </c>
      <c r="BA2750">
        <f>AW2750*$AU$2720/2</f>
        <v>0</v>
      </c>
      <c r="BC2750">
        <f>IF(AV2750=0,0,$BG$2720*$AP$2710)</f>
        <v>0</v>
      </c>
      <c r="BD2750">
        <f>IFERROR(BC2750/$AU$2720,0)</f>
        <v>0</v>
      </c>
      <c r="BE2750">
        <f>BC2750*($F$22+IF($F$22=0,0,($C$14+$C$15+IF($C$13="single",1.5,3)+3)/12))</f>
        <v>0</v>
      </c>
      <c r="BF2750">
        <f>BE2750-AZ2750</f>
        <v>0</v>
      </c>
      <c r="BG2750" cm="1">
        <f t="array" ref="BG2750">IFERROR(IF(BF2750&lt;0,0,BF2750/($AU$2720-INDEX(hd_off,MATCH(BT2750,hd_mark,0),0)/12)),0)</f>
        <v>0</v>
      </c>
      <c r="BH2750">
        <f>IF(AV2750=0,0,$BG$2720*$AM$2710)</f>
        <v>0</v>
      </c>
      <c r="BI2750">
        <f>IFERROR(BH2750/$AU$2720,0)</f>
        <v>0</v>
      </c>
      <c r="BJ2750">
        <f>BH2750*($F$22+IF($F$22=0,0,($C$14+$C$15+IF($C$13="single",1.5,3)+3)/12))</f>
        <v>0</v>
      </c>
      <c r="BK2750">
        <f>BJ2750-BA2750</f>
        <v>0</v>
      </c>
      <c r="BL2750" cm="1">
        <f t="array" ref="BL2750">IFERROR(IF(BK2750&lt;0,0,BK2750/($AU$2720-INDEX(hd_off,MATCH(BT2750,hd_mark,0),0)/12)),0)</f>
        <v>0</v>
      </c>
      <c r="BM2750">
        <f>MAX($F$22,$BC$2720)/$Q$2740</f>
        <v>0.30172413793103448</v>
      </c>
      <c r="BN2750">
        <f t="shared" ref="BN2750:BN2753" si="1710">IF(BM2750=0,0,IF(BM2750&gt;2,1.25-0.125*BM2750,1))</f>
        <v>1</v>
      </c>
      <c r="BO2750" cm="1">
        <f t="array" ref="BO2750">IFERROR(INDEX(sheath_ecap_asd,MATCH(BS2750,sheath_mark,0),0)*BN2750,0)</f>
        <v>0</v>
      </c>
      <c r="BP2750" cm="1">
        <f t="array" ref="BP2750">IFERROR(INDEX(sheath_wcap_asd,MATCH(BS2750,sheath_mark,0),0)*BN2750,0)</f>
        <v>0</v>
      </c>
      <c r="BQ2750" cm="1">
        <f t="array" ref="BQ2750">IFERROR(INDEX(hd_cap,MATCH(BT2750,hd_mark,0),0),0)</f>
        <v>0</v>
      </c>
      <c r="BS2750" s="19"/>
      <c r="BT2750" s="19"/>
      <c r="BU2750" s="100"/>
    </row>
    <row r="2751" x14ac:dyDescent="0.25">
      <c r="B2751" t="s">
        <v>285</v>
      </c>
      <c r="C2751" s="19"/>
      <c r="D2751" s="19"/>
      <c r="E2751">
        <f t="shared" si="1702"/>
        <v>0</v>
      </c>
      <c r="H2751">
        <v>22</v>
      </c>
      <c r="I2751" s="19"/>
      <c r="J2751" s="19"/>
      <c r="K2751">
        <f t="shared" si="1703"/>
        <v>0</v>
      </c>
      <c r="P2751" s="93"/>
      <c r="Q2751" s="109" t="s">
        <v>491</v>
      </c>
      <c r="R2751" t="str">
        <f>$Q$2711</f>
        <v>L4</v>
      </c>
      <c r="S2751">
        <f>$E$23</f>
        <v>0</v>
      </c>
      <c r="T2751" cm="1">
        <f t="array" ref="T2751">IFERROR(IF(S2751=0,0,(INDEX($C$33:$C$38,MATCH($W$2720,$B$33:$B$38,0),0)*(S2753+$X$2720)+$T$2720*COUNTIF(S2751:S2752,"&gt;0")*$C$32+$V$2720*$C$31)*$R$2720),0)</f>
        <v>0</v>
      </c>
      <c r="U2751">
        <f>IF(S2751=0,0,-(COUNTIF(S2751:S2752,"&gt;0")*$T$2720*$C$32+$V$2720*$C$31)*$H$27*$R$2720)</f>
        <v>0</v>
      </c>
      <c r="V2751">
        <f>IF(S2751=0,0,$V$2720*$H$26*$R$2720)</f>
        <v>0</v>
      </c>
      <c r="W2751">
        <f>(0.6*T2751+0.7*U2751)*$R$2720/2</f>
        <v>0</v>
      </c>
      <c r="X2751">
        <f>T2751*$R$2720/2</f>
        <v>0</v>
      </c>
      <c r="Z2751">
        <f>IF(S2751=0,0,$AD$2720*$AP$2711)</f>
        <v>0</v>
      </c>
      <c r="AA2751">
        <f>IFERROR(Z2751/$R$2720,0)</f>
        <v>0</v>
      </c>
      <c r="AB2751">
        <f>Z2751*($F$23+IF($F$23=0,0,($C$14+$C$15+IF($C$13="single",1.5,3)+3)/12))</f>
        <v>0</v>
      </c>
      <c r="AC2751">
        <f>AB2751-W2751</f>
        <v>0</v>
      </c>
      <c r="AD2751" cm="1">
        <f t="array" ref="AD2751">IFERROR(IF(AC2751&lt;0,0,AC2751/($R$2720-INDEX(hd_off,MATCH(AQ2751,hd_mark,0),0)/12)),0)</f>
        <v>0</v>
      </c>
      <c r="AE2751">
        <f>IF(S2751=0,0,$AD$2720*$AM$2711)</f>
        <v>0</v>
      </c>
      <c r="AF2751">
        <f>IFERROR(AE2751/$R$2720,0)</f>
        <v>0</v>
      </c>
      <c r="AG2751">
        <f>AE2751*($F$23+IF($F$23=0,0,($C$14+$C$15+IF($C$13="single",1.5,3)+3)/12))</f>
        <v>0</v>
      </c>
      <c r="AH2751">
        <f>AG2751-X2751</f>
        <v>0</v>
      </c>
      <c r="AI2751" cm="1">
        <f t="array" ref="AI2751">IFERROR(IF(AH2751&lt;0,0,AH2751/($R$2720-INDEX(hd_off,MATCH(AQ2751,hd_mark,0),0)/12)),0)</f>
        <v>0</v>
      </c>
      <c r="AJ2751">
        <f>MAX($F$23,$AA$2720)/$Q$2740</f>
        <v>0</v>
      </c>
      <c r="AK2751">
        <f t="shared" si="1709"/>
        <v>0</v>
      </c>
      <c r="AL2751" cm="1">
        <f t="array" ref="AL2751">IFERROR(INDEX(sheath_ecap_asd,MATCH(AP2751,sheath_mark,0),0)*AK2751,0)</f>
        <v>0</v>
      </c>
      <c r="AM2751" cm="1">
        <f t="array" ref="AM2751">IFERROR(INDEX(sheath_wcap_asd,MATCH(AP2751,sheath_mark,0),0)*AK2751,0)</f>
        <v>0</v>
      </c>
      <c r="AN2751" cm="1">
        <f t="array" ref="AN2751">IFERROR(INDEX(hd_cap,MATCH(AQ2751,hd_mark,0),0),0)</f>
        <v>0</v>
      </c>
      <c r="AP2751" s="19"/>
      <c r="AQ2751" s="19"/>
      <c r="AR2751" s="100"/>
      <c r="AS2751" s="93"/>
      <c r="AT2751" s="109" t="s">
        <v>491</v>
      </c>
      <c r="AU2751" t="str">
        <f>$Q$2711</f>
        <v>L4</v>
      </c>
      <c r="AV2751">
        <f>$E$23</f>
        <v>0</v>
      </c>
      <c r="AW2751" cm="1">
        <f t="array" ref="AW2751">IFERROR(IF(AV2751=0,0,(INDEX($C$33:$C$38,MATCH($AZ$2720,$B$33:$B$38,0),0)*(AV2753+$BA$2720)+$AW$2720*COUNTIF(AV2751:AV2752,"&gt;0")*$C$32+$AY$2720*$C$31)*$AU$2720),0)</f>
        <v>0</v>
      </c>
      <c r="AX2751">
        <f>IF(AV2751=0,0,-(COUNTIF(AV2751:AV2752,"&gt;0")*$AW$2720*$C$32+$AY$2720*$C$31)*$H$27*$AU$2720)</f>
        <v>0</v>
      </c>
      <c r="AY2751">
        <f>IF(AV2751=0,0,$AY$2720*$H$26*$AU$2720)</f>
        <v>0</v>
      </c>
      <c r="AZ2751">
        <f>(0.6*AW2751+0.7*AX2751)*$AU$2720/2</f>
        <v>0</v>
      </c>
      <c r="BA2751">
        <f>AW2751*$AU$2720/2</f>
        <v>0</v>
      </c>
      <c r="BC2751">
        <f>IF(AV2751=0,0,$BG$2720*$AP$2711)</f>
        <v>0</v>
      </c>
      <c r="BD2751">
        <f>IFERROR(BC2751/$AU$2720,0)</f>
        <v>0</v>
      </c>
      <c r="BE2751">
        <f>BC2751*($F$23+IF($F$23=0,0,($C$14+$C$15+IF($C$13="single",1.5,3)+3)/12))</f>
        <v>0</v>
      </c>
      <c r="BF2751">
        <f>BE2751-AZ2751</f>
        <v>0</v>
      </c>
      <c r="BG2751" cm="1">
        <f t="array" ref="BG2751">IFERROR(IF(BF2751&lt;0,0,BF2751/($AU$2720-INDEX(hd_off,MATCH(BT2751,hd_mark,0),0)/12)),0)</f>
        <v>0</v>
      </c>
      <c r="BH2751">
        <f>IF(AV2751=0,0,$BG$2720*$AM$2711)</f>
        <v>0</v>
      </c>
      <c r="BI2751">
        <f>IFERROR(BH2751/$AU$2720,0)</f>
        <v>0</v>
      </c>
      <c r="BJ2751">
        <f>BH2751*($F$23+IF($F$23=0,0,($C$14+$C$15+IF($C$13="single",1.5,3)+3)/12))</f>
        <v>0</v>
      </c>
      <c r="BK2751">
        <f>BJ2751-BA2751</f>
        <v>0</v>
      </c>
      <c r="BL2751" cm="1">
        <f t="array" ref="BL2751">IFERROR(IF(BK2751&lt;0,0,BK2751/($AU$2720-INDEX(hd_off,MATCH(BT2751,hd_mark,0),0)/12)),0)</f>
        <v>0</v>
      </c>
      <c r="BM2751">
        <f>MAX($F$23,$BD$2720)/$Q$2740</f>
        <v>0</v>
      </c>
      <c r="BN2751">
        <f t="shared" si="1710"/>
        <v>0</v>
      </c>
      <c r="BO2751" cm="1">
        <f t="array" ref="BO2751">IFERROR(INDEX(sheath_ecap_asd,MATCH(BS2751,sheath_mark,0),0)*BN2751,0)</f>
        <v>0</v>
      </c>
      <c r="BP2751" cm="1">
        <f t="array" ref="BP2751">IFERROR(INDEX(sheath_wcap_asd,MATCH(BS2751,sheath_mark,0),0)*BN2751,0)</f>
        <v>0</v>
      </c>
      <c r="BQ2751" cm="1">
        <f t="array" ref="BQ2751">IFERROR(INDEX(hd_cap,MATCH(BT2751,hd_mark,0),0),0)</f>
        <v>0</v>
      </c>
      <c r="BS2751" s="19"/>
      <c r="BT2751" s="19"/>
      <c r="BU2751" s="100"/>
    </row>
    <row r="2752" x14ac:dyDescent="0.25">
      <c r="B2752" t="s">
        <v>470</v>
      </c>
      <c r="C2752" s="19"/>
      <c r="D2752" s="19"/>
      <c r="E2752">
        <f t="shared" si="1702"/>
        <v>0</v>
      </c>
      <c r="H2752">
        <v>23</v>
      </c>
      <c r="I2752" s="19"/>
      <c r="J2752" s="19"/>
      <c r="K2752">
        <f t="shared" si="1703"/>
        <v>0</v>
      </c>
      <c r="P2752" s="93"/>
      <c r="Q2752" s="111">
        <f>$R$2720</f>
        <v>0</v>
      </c>
      <c r="R2752" t="str">
        <f>$Q$2712</f>
        <v>L5</v>
      </c>
      <c r="S2752">
        <f>$E$24</f>
        <v>0</v>
      </c>
      <c r="T2752" cm="1">
        <f t="array" ref="T2752">IFERROR(IF(S2752=0,0,(INDEX($C$33:$C$38,MATCH($W$2720,$B$33:$B$38,0),0)*(S2753+$X$2720)+$T$2720*COUNTIF(S2752:S2752,"&gt;0")*$C$32+$V$2720*$C$31)*$R$2720),0)</f>
        <v>0</v>
      </c>
      <c r="U2752">
        <f>IF(S2752=0,0,-(COUNTIF(S2752:S2752,"&gt;0")*$T$2720*$C$32+$V$2720*$C$31)*$H$27*$R$2720)</f>
        <v>0</v>
      </c>
      <c r="V2752">
        <f>IF(S2752=0,0,$V$2720*$H$26*$R$2720)</f>
        <v>0</v>
      </c>
      <c r="W2752">
        <f>(0.6*T2752+0.7*U2752)*$R$2720/2</f>
        <v>0</v>
      </c>
      <c r="X2752">
        <f>T2752*$R$2720/2</f>
        <v>0</v>
      </c>
      <c r="Z2752">
        <f>IF(S2752=0,0,$AD$2720*$AP$2712)</f>
        <v>0</v>
      </c>
      <c r="AA2752">
        <f>IFERROR(Z2752/$R$2720,0)</f>
        <v>0</v>
      </c>
      <c r="AB2752">
        <f>Z2752*($F$24+IF($F$24=0,0,($C$14+$C$15+IF($C$13="single",1.5,3)+3)/12))</f>
        <v>0</v>
      </c>
      <c r="AC2752">
        <f>AB2752-W2752</f>
        <v>0</v>
      </c>
      <c r="AD2752" cm="1">
        <f t="array" ref="AD2752">IFERROR(IF(AC2752&lt;0,0,AC2752/($R$2720-INDEX(hd_off,MATCH(AQ2752,hd_mark,0),0)/12)),0)</f>
        <v>0</v>
      </c>
      <c r="AE2752">
        <f>IF(S2752=0,0,$AD$2720*$AM$2712)</f>
        <v>0</v>
      </c>
      <c r="AF2752">
        <f>IFERROR(AE2752/$R$2720,0)</f>
        <v>0</v>
      </c>
      <c r="AG2752">
        <f>AE2752*($F$24+IF($F$24=0,0,($C$14+$C$15+IF($C$13="single",1.5,3)+3)/12))</f>
        <v>0</v>
      </c>
      <c r="AH2752">
        <f>AG2752-X2752</f>
        <v>0</v>
      </c>
      <c r="AI2752" cm="1">
        <f t="array" ref="AI2752">IFERROR(IF(AH2752&lt;0,0,AH2752/($R$2720-INDEX(hd_off,MATCH(AQ2752,hd_mark,0),0)/12)),0)</f>
        <v>0</v>
      </c>
      <c r="AJ2752">
        <f>MAX($F$24,$AB$2720)/$Q$2740</f>
        <v>0</v>
      </c>
      <c r="AK2752">
        <f t="shared" si="1709"/>
        <v>0</v>
      </c>
      <c r="AL2752" cm="1">
        <f t="array" ref="AL2752">IFERROR(INDEX(sheath_ecap_asd,MATCH(AP2752,sheath_mark,0),0)*AK2752,0)</f>
        <v>0</v>
      </c>
      <c r="AM2752" cm="1">
        <f t="array" ref="AM2752">IFERROR(INDEX(sheath_wcap_asd,MATCH(AP2752,sheath_mark,0),0)*AK2752,0)</f>
        <v>0</v>
      </c>
      <c r="AN2752" cm="1">
        <f t="array" ref="AN2752">IFERROR(INDEX(hd_cap,MATCH(AQ2752,hd_mark,0),0),0)</f>
        <v>0</v>
      </c>
      <c r="AP2752" s="19"/>
      <c r="AQ2752" s="19"/>
      <c r="AR2752" s="100"/>
      <c r="AS2752" s="93"/>
      <c r="AT2752" s="111">
        <f>$R$2720</f>
        <v>0</v>
      </c>
      <c r="AU2752" t="str">
        <f>$Q$2712</f>
        <v>L5</v>
      </c>
      <c r="AV2752">
        <f>$E$24</f>
        <v>0</v>
      </c>
      <c r="AW2752" cm="1">
        <f t="array" ref="AW2752">IFERROR(IF(AV2752=0,0,(INDEX($C$33:$C$38,MATCH($AZ$2720,$B$33:$B$38,0),0)*(AV2753+$BA$2720)+$AW$2720*COUNTIF(AV2752:AV2752,"&gt;0")*$C$32+$AY$2720*$C$31)*$AU$2720),0)</f>
        <v>0</v>
      </c>
      <c r="AX2752">
        <f>IF(AV2752=0,0,-(COUNTIF(AV2752:AV2752,"&gt;0")*$AW$2720*$C$32+$AY$2720*$C$31)*$H$27*$AU$2720)</f>
        <v>0</v>
      </c>
      <c r="AY2752">
        <f>IF(AV2752=0,0,$AY$2720*$H$26*$AU$2720)</f>
        <v>0</v>
      </c>
      <c r="AZ2752">
        <f>(0.6*AW2752+0.7*AX2752)*$AU$2720/2</f>
        <v>0</v>
      </c>
      <c r="BA2752">
        <f>AW2752*$AU$2720/2</f>
        <v>0</v>
      </c>
      <c r="BC2752">
        <f>IF(AV2752=0,0,$BG$2720*$AP$2712)</f>
        <v>0</v>
      </c>
      <c r="BD2752">
        <f>IFERROR(BC2752/$AU$2720,0)</f>
        <v>0</v>
      </c>
      <c r="BE2752">
        <f>BC2752*($F$24+IF($F$24=0,0,($C$14+$C$15+IF($C$13="single",1.5,3)+3)/12))</f>
        <v>0</v>
      </c>
      <c r="BF2752">
        <f>BE2752-AZ2752</f>
        <v>0</v>
      </c>
      <c r="BG2752" cm="1">
        <f t="array" ref="BG2752">IFERROR(IF(BF2752&lt;0,0,BF2752/($AU$2720-INDEX(hd_off,MATCH(BT2752,hd_mark,0),0)/12)),0)</f>
        <v>0</v>
      </c>
      <c r="BH2752">
        <f>IF(AV2752=0,0,$BG$2720*$AM$2712)</f>
        <v>0</v>
      </c>
      <c r="BI2752">
        <f>IFERROR(BH2752/$AU$2720,0)</f>
        <v>0</v>
      </c>
      <c r="BJ2752">
        <f>BH2752*($F$24+IF($F$24=0,0,($C$14+$C$15+IF($C$13="single",1.5,3)+3)/12))</f>
        <v>0</v>
      </c>
      <c r="BK2752">
        <f>BJ2752-BA2752</f>
        <v>0</v>
      </c>
      <c r="BL2752" cm="1">
        <f t="array" ref="BL2752">IFERROR(IF(BK2752&lt;0,0,BK2752/($AU$2720-INDEX(hd_off,MATCH(BT2752,hd_mark,0),0)/12)),0)</f>
        <v>0</v>
      </c>
      <c r="BM2752">
        <f>MAX($F$24,$BE$2720)/$Q$2740</f>
        <v>0</v>
      </c>
      <c r="BN2752">
        <f t="shared" si="1710"/>
        <v>0</v>
      </c>
      <c r="BO2752" cm="1">
        <f t="array" ref="BO2752">IFERROR(INDEX(sheath_ecap_asd,MATCH(BS2752,sheath_mark,0),0)*BN2752,0)</f>
        <v>0</v>
      </c>
      <c r="BP2752" cm="1">
        <f t="array" ref="BP2752">IFERROR(INDEX(sheath_wcap_asd,MATCH(BS2752,sheath_mark,0),0)*BN2752,0)</f>
        <v>0</v>
      </c>
      <c r="BQ2752" cm="1">
        <f t="array" ref="BQ2752">IFERROR(INDEX(hd_cap,MATCH(BT2752,hd_mark,0),0),0)</f>
        <v>0</v>
      </c>
      <c r="BS2752" s="19"/>
      <c r="BT2752" s="19"/>
      <c r="BU2752" s="100"/>
    </row>
    <row r="2753" x14ac:dyDescent="0.25">
      <c r="B2753" t="s">
        <v>471</v>
      </c>
      <c r="C2753" s="19"/>
      <c r="D2753" s="19"/>
      <c r="E2753">
        <f t="shared" si="1702"/>
        <v>0</v>
      </c>
      <c r="H2753">
        <v>24</v>
      </c>
      <c r="I2753" s="19"/>
      <c r="J2753" s="19"/>
      <c r="K2753">
        <f t="shared" si="1703"/>
        <v>0</v>
      </c>
      <c r="P2753" s="93"/>
      <c r="Q2753" s="109"/>
      <c r="R2753" t="str">
        <f>$Q$2713</f>
        <v>Roof</v>
      </c>
      <c r="S2753">
        <f>$E$25</f>
        <v>33.171875</v>
      </c>
      <c r="T2753" cm="1">
        <f t="array" ref="T2753">IFERROR(IF(S2753=0,0,(INDEX($C$33:$C$38,MATCH($W$2720,$B$33:$B$38,0),0)*(S2753+$X$2720)+$V$2720*$C$31)*$R$2720),0)</f>
        <v>0</v>
      </c>
      <c r="U2753">
        <f>IF(S2753=0,0,-$V$2720*$C$31*$H$27*$R$2720)</f>
        <v>0</v>
      </c>
      <c r="V2753">
        <f>IF(S2753=0,0,$V$2720*$H$26*$R$2720)</f>
        <v>0</v>
      </c>
      <c r="W2753">
        <f>(0.6*T2753+0.7*U2753)*$R$2720/2</f>
        <v>0</v>
      </c>
      <c r="X2753">
        <f>T2753*$R$2720/2</f>
        <v>0</v>
      </c>
      <c r="Z2753">
        <f>IF(S2753=0,0,$AD$2720*$AP$2713)</f>
        <v>0</v>
      </c>
      <c r="AA2753">
        <f>IFERROR(Z2753/$R$2720,0)</f>
        <v>0</v>
      </c>
      <c r="AB2753">
        <f>Z2753*($F$25+($C$16+$C$17+IF($C$13="single",1.5,3)+3)/12)</f>
        <v>0</v>
      </c>
      <c r="AC2753">
        <f>AB2753-W2753</f>
        <v>0</v>
      </c>
      <c r="AD2753" cm="1">
        <f t="array" ref="AD2753">IFERROR(IF(AC2753&lt;0,0,AC2753/($R$2720-INDEX(hd_off,MATCH(AQ2753,hd_mark,0),0)/12)),0)</f>
        <v>0</v>
      </c>
      <c r="AE2753">
        <f>IF(S2753=0,0,$AD$2720*$AM$2713)</f>
        <v>0</v>
      </c>
      <c r="AF2753">
        <f>IFERROR(AE2753/$R$2720,0)</f>
        <v>0</v>
      </c>
      <c r="AG2753">
        <f>AE2753*($F$25+($C$16+$C$17+IF($C$13="single",1.5,3)+3)/12)</f>
        <v>0</v>
      </c>
      <c r="AH2753">
        <f>AG2753-X2753</f>
        <v>0</v>
      </c>
      <c r="AI2753" cm="1">
        <f t="array" ref="AI2753">IFERROR(IF(AH2753&lt;0,0,AH2753/($R$2720-INDEX(hd_off,MATCH(AQ2753,hd_mark,0),0)/12)),0)</f>
        <v>0</v>
      </c>
      <c r="AJ2753">
        <f>MAX($F$25,$AC$2720)/$Q$2740</f>
        <v>0.29920977011494249</v>
      </c>
      <c r="AK2753">
        <f t="shared" si="1709"/>
        <v>1</v>
      </c>
      <c r="AL2753" cm="1">
        <f t="array" ref="AL2753">IFERROR(INDEX(sheath_ecap_asd,MATCH(AP2753,sheath_mark,0),0)*AK2753,0)</f>
        <v>0</v>
      </c>
      <c r="AM2753" cm="1">
        <f t="array" ref="AM2753">IFERROR(INDEX(sheath_wcap_asd,MATCH(AP2753,sheath_mark,0),0)*AK2753,0)</f>
        <v>0</v>
      </c>
      <c r="AN2753" cm="1">
        <f t="array" ref="AN2753">IFERROR(INDEX(hd_cap,MATCH(AQ2753,hd_mark,0),0),0)</f>
        <v>0</v>
      </c>
      <c r="AP2753" s="19"/>
      <c r="AQ2753" s="19"/>
      <c r="AR2753" s="100"/>
      <c r="AS2753" s="93"/>
      <c r="AT2753" s="109"/>
      <c r="AU2753" t="str">
        <f>$Q$2713</f>
        <v>Roof</v>
      </c>
      <c r="AV2753">
        <f>$E$25</f>
        <v>33.171875</v>
      </c>
      <c r="AW2753" cm="1">
        <f t="array" ref="AW2753">IFERROR(IF(AV2753=0,0,(INDEX($C$33:$C$38,MATCH($AZ$2720,$B$33:$B$38,0),0)*(AV2753+$BA$2720)+$AY$2720*$C$31)*$AU$2720),0)</f>
        <v>0</v>
      </c>
      <c r="AX2753">
        <f>IF(AV2753=0,0,-$AY$2720*$C$31*$H$27*$AU$2720)</f>
        <v>0</v>
      </c>
      <c r="AY2753">
        <f>IF(AV2753=0,0,$AY$2720*$H$26*$AU$2720)</f>
        <v>0</v>
      </c>
      <c r="AZ2753">
        <f>(0.6*AW2753+0.7*AX2753)*$AU$2720/2</f>
        <v>0</v>
      </c>
      <c r="BA2753">
        <f>AW2753*$AU$2720/2</f>
        <v>0</v>
      </c>
      <c r="BC2753">
        <f>IF(AV2753=0,0,$BG$2720*$AP$2713)</f>
        <v>0</v>
      </c>
      <c r="BD2753">
        <f>IFERROR(BC2753/$AU$2720,0)</f>
        <v>0</v>
      </c>
      <c r="BE2753">
        <f>BC2753*($F$25+($C$16+$C$17+IF($C$13="single",1.5,3)+3)/12)</f>
        <v>0</v>
      </c>
      <c r="BF2753">
        <f>BE2753-AZ2753</f>
        <v>0</v>
      </c>
      <c r="BG2753" cm="1">
        <f t="array" ref="BG2753">IFERROR(IF(BF2753&lt;0,0,BF2753/($AU$2720-INDEX(hd_off,MATCH(BT2753,hd_mark,0),0)/12)),0)</f>
        <v>0</v>
      </c>
      <c r="BH2753">
        <f>IF(AV2753=0,0,$BG$2720*$AM$2713)</f>
        <v>0</v>
      </c>
      <c r="BI2753">
        <f>IFERROR(BH2753/$AU$2720,0)</f>
        <v>0</v>
      </c>
      <c r="BJ2753">
        <f>BH2753*($F$25+($C$16+$C$17+IF($C$13="single",1.5,3)+3)/12)</f>
        <v>0</v>
      </c>
      <c r="BK2753">
        <f>BJ2753-BA2753</f>
        <v>0</v>
      </c>
      <c r="BL2753" cm="1">
        <f t="array" ref="BL2753">IFERROR(IF(BK2753&lt;0,0,BK2753/($AU$2720-INDEX(hd_off,MATCH(BT2753,hd_mark,0),0)/12)),0)</f>
        <v>0</v>
      </c>
      <c r="BM2753">
        <f>MAX($F$25,$BF$2720)/$Q$2740</f>
        <v>0.29920977011494249</v>
      </c>
      <c r="BN2753">
        <f t="shared" si="1710"/>
        <v>1</v>
      </c>
      <c r="BO2753" cm="1">
        <f t="array" ref="BO2753">IFERROR(INDEX(sheath_ecap_asd,MATCH(BS2753,sheath_mark,0),0)*BN2753,0)</f>
        <v>0</v>
      </c>
      <c r="BP2753" cm="1">
        <f t="array" ref="BP2753">IFERROR(INDEX(sheath_wcap_asd,MATCH(BS2753,sheath_mark,0),0)*BN2753,0)</f>
        <v>0</v>
      </c>
      <c r="BQ2753" cm="1">
        <f t="array" ref="BQ2753">IFERROR(INDEX(hd_cap,MATCH(BT2753,hd_mark,0),0),0)</f>
        <v>0</v>
      </c>
      <c r="BS2753" s="19"/>
      <c r="BT2753" s="19"/>
      <c r="BU2753" s="100"/>
    </row>
    <row r="2754" x14ac:dyDescent="0.25">
      <c r="B2754" t="s">
        <v>472</v>
      </c>
      <c r="C2754" s="19"/>
      <c r="D2754" s="19"/>
      <c r="E2754">
        <f t="shared" si="1702"/>
        <v>0</v>
      </c>
      <c r="H2754">
        <v>25</v>
      </c>
      <c r="I2754" s="19"/>
      <c r="J2754" s="19"/>
      <c r="K2754">
        <f t="shared" si="1703"/>
        <v>0</v>
      </c>
      <c r="P2754" s="93"/>
      <c r="AR2754" s="100"/>
      <c r="AS2754" s="93"/>
      <c r="BU2754" s="100"/>
    </row>
    <row r="2755" x14ac:dyDescent="0.25">
      <c r="B2755" t="s">
        <v>473</v>
      </c>
      <c r="C2755" s="19"/>
      <c r="D2755" s="19"/>
      <c r="E2755">
        <f t="shared" si="1702"/>
        <v>0</v>
      </c>
      <c r="H2755">
        <v>26</v>
      </c>
      <c r="I2755" s="19"/>
      <c r="J2755" s="19"/>
      <c r="K2755">
        <f t="shared" si="1703"/>
        <v>0</v>
      </c>
      <c r="P2755" s="93"/>
      <c r="Q2755" s="110" t="str">
        <f>$Q$2721</f>
        <v>A.04</v>
      </c>
      <c r="R2755" t="str">
        <f>$Q$2709</f>
        <v>L2</v>
      </c>
      <c r="S2755">
        <f>$E$21</f>
        <v>10.6875</v>
      </c>
      <c r="T2755" cm="1">
        <f t="array" ref="T2755">IFERROR(IF(S2755=0,0,(INDEX($C$33:$C$38,MATCH($W$2721,$B$33:$B$38,0),0)*(S2759+$X$2721)+$T$2721*COUNTIF(S2755:S2758,"&gt;0")*$C$32+$V$2721*$C$31)*$R$2721),0)</f>
        <v>0</v>
      </c>
      <c r="U2755">
        <f>IF(S2755=0,0,-(COUNTIF(S2755:S2758,"&gt;0")*$T$2721*$C$32+$V$2721*$C$31)*$H$27*$R$2721)</f>
        <v>0</v>
      </c>
      <c r="V2755">
        <f>IF(S2755=0,0,$V$2721*$H$26*$R$2721)</f>
        <v>0</v>
      </c>
      <c r="W2755">
        <f>(0.6*T2755+0.7*U2755)*$R$2721/2</f>
        <v>0</v>
      </c>
      <c r="X2755">
        <f>(0.6*T2755+0.6*V2755)*$R$2721/2</f>
        <v>0</v>
      </c>
      <c r="Z2755">
        <f>IF(S2755=0,0,$AD$2721*$AP$2709)</f>
        <v>0</v>
      </c>
      <c r="AA2755">
        <f>IFERROR(Z2755/$R$2721,0)</f>
        <v>0</v>
      </c>
      <c r="AB2755">
        <f>Z2755*($F$21+IF($F$21=0,0,($C$14+$C$15+IF($C$13="single",1.5,3)+3)/12))</f>
        <v>0</v>
      </c>
      <c r="AC2755">
        <f>AB2755-W2755</f>
        <v>0</v>
      </c>
      <c r="AD2755" cm="1">
        <f t="array" ref="AD2755">IFERROR(IF(AC2755&lt;0,0,AC2755/($R$2721-INDEX(hd_off,MATCH(AQ2755,hd_mark,0),0)/12)),0)</f>
        <v>0</v>
      </c>
      <c r="AE2755">
        <f>IF(S2755=0,0,$AD$2721*$AM$2709)</f>
        <v>0</v>
      </c>
      <c r="AF2755">
        <f>IFERROR(AE2755/$R$2721,0)</f>
        <v>0</v>
      </c>
      <c r="AG2755">
        <f>AE2755*($F$21+IF($F$21=0,0,($C$14+$C$15+IF($C$13="single",1.5,3)+3)/12))</f>
        <v>0</v>
      </c>
      <c r="AH2755">
        <f>AG2755-X2755</f>
        <v>0</v>
      </c>
      <c r="AI2755" cm="1">
        <f t="array" ref="AI2755">IFERROR(IF(AH2755&lt;0,0,AH2755/($R$2721-INDEX(hd_off,MATCH(AQ2755,hd_mark,0),0)/12)),0)</f>
        <v>0</v>
      </c>
      <c r="AJ2755">
        <f>MAX($F$21,$Y$2721)/$Q$2740</f>
        <v>0.30172413793103448</v>
      </c>
      <c r="AK2755">
        <f>IF(AJ2755=0,0,IF(AJ2755&gt;2,1.25-0.125*AJ2755,1))</f>
        <v>1</v>
      </c>
      <c r="AL2755" cm="1">
        <f t="array" ref="AL2755">IFERROR(INDEX(sheath_ecap_asd,MATCH(AP2755,sheath_mark,0),0)*AK2755,0)</f>
        <v>0</v>
      </c>
      <c r="AM2755" cm="1">
        <f t="array" ref="AM2755">IFERROR(INDEX(sheath_wcap_asd,MATCH(AP2755,sheath_mark,0),0)*AK2755,0)</f>
        <v>0</v>
      </c>
      <c r="AN2755" cm="1">
        <f t="array" ref="AN2755">IFERROR(INDEX(hd_cap,MATCH(AQ2755,hd_mark,0),0),0)</f>
        <v>0</v>
      </c>
      <c r="AP2755" s="19"/>
      <c r="AQ2755" s="19"/>
      <c r="AR2755" s="100"/>
      <c r="AS2755" s="93"/>
      <c r="AT2755" s="110" t="str">
        <f>$AT$2721</f>
        <v>1.04</v>
      </c>
      <c r="AU2755" t="str">
        <f>$Q$2709</f>
        <v>L2</v>
      </c>
      <c r="AV2755">
        <f>$E$21</f>
        <v>10.6875</v>
      </c>
      <c r="AW2755" cm="1">
        <f t="array" ref="AW2755">IFERROR(IF(AV2755=0,0,(INDEX($C$33:$C$38,MATCH($AZ$2721,$B$33:$B$38,0),0)*(AV2759+$BA$2721)+$AW$2721*COUNTIF(AV2755:AV2758,"&gt;0")*$C$32+$AY$2721*$C$31)*$AU$2721),0)</f>
        <v>0</v>
      </c>
      <c r="AX2755">
        <f>IF(AV2755=0,0,-(COUNTIF(AV2755:AV2758,"&gt;0")*$AW$2721*$C$32+$AY$2721*$C$31)*$H$27*$AU$2721)</f>
        <v>0</v>
      </c>
      <c r="AY2755">
        <f>IF(AV2755=0,0,$AY$2721*$H$26*$AU$2721)</f>
        <v>0</v>
      </c>
      <c r="AZ2755">
        <f>(0.6*AW2755+0.7*AX2755)*$AU$2721/2</f>
        <v>0</v>
      </c>
      <c r="BA2755">
        <f>(0.6*AW2755+0.6*AY2755)*$AU$2721/2</f>
        <v>0</v>
      </c>
      <c r="BC2755">
        <f>IF(AV2755=0,0,$BG$2721*$AP$2709)</f>
        <v>0</v>
      </c>
      <c r="BD2755">
        <f>IFERROR(BC2755/$AU$2721,0)</f>
        <v>0</v>
      </c>
      <c r="BE2755">
        <f>BC2755*($F$21+IF($F$21=0,0,($C$14+$C$15+IF($C$13="single",1.5,3)+3)/12))</f>
        <v>0</v>
      </c>
      <c r="BF2755">
        <f>BE2755-AZ2755</f>
        <v>0</v>
      </c>
      <c r="BG2755" cm="1">
        <f t="array" ref="BG2755">IFERROR(IF(BF2755&lt;0,0,BF2755/($AU$2721-INDEX(hd_off,MATCH(BT2755,hd_mark,0),0)/12)),0)</f>
        <v>0</v>
      </c>
      <c r="BH2755">
        <f>IF(AV2755=0,0,$BG$2721*$AM$2709)</f>
        <v>0</v>
      </c>
      <c r="BI2755">
        <f>IFERROR(BH2755/$AU$2721,0)</f>
        <v>0</v>
      </c>
      <c r="BJ2755">
        <f>BH2755*($F$21+IF($F$21=0,0,($C$14+$C$15+IF($C$13="single",1.5,3)+3)/12))</f>
        <v>0</v>
      </c>
      <c r="BK2755">
        <f>BJ2755-BA2755</f>
        <v>0</v>
      </c>
      <c r="BL2755" cm="1">
        <f t="array" ref="BL2755">IFERROR(IF(BK2755&lt;0,0,BK2755/($AU$2721-INDEX(hd_off,MATCH(BT2755,hd_mark,0),0)/12)),0)</f>
        <v>0</v>
      </c>
      <c r="BM2755">
        <f>MAX($F$21,$BB$2721)/$Q$2740</f>
        <v>0.30172413793103448</v>
      </c>
      <c r="BN2755">
        <f>IF(BM2755=0,0,IF(BM2755&gt;2,1.25-0.125*BM2755,1))</f>
        <v>1</v>
      </c>
      <c r="BO2755" cm="1">
        <f t="array" ref="BO2755">IFERROR(INDEX(sheath_ecap_asd,MATCH(BS2755,sheath_mark,0),0)*BN2755,0)</f>
        <v>0</v>
      </c>
      <c r="BP2755" cm="1">
        <f t="array" ref="BP2755">IFERROR(INDEX(sheath_wcap_asd,MATCH(BS2755,sheath_mark,0),0)*BN2755,0)</f>
        <v>0</v>
      </c>
      <c r="BQ2755" cm="1">
        <f t="array" ref="BQ2755">IFERROR(INDEX(hd_cap,MATCH(BT2755,hd_mark,0),0),0)</f>
        <v>0</v>
      </c>
      <c r="BS2755" s="19"/>
      <c r="BT2755" s="19"/>
      <c r="BU2755" s="100"/>
    </row>
    <row r="2756" x14ac:dyDescent="0.25">
      <c r="P2756" s="93"/>
      <c r="Q2756" s="109"/>
      <c r="R2756" t="str">
        <f>$Q$2710</f>
        <v>L3</v>
      </c>
      <c r="S2756">
        <f>$E$22</f>
        <v>21.375</v>
      </c>
      <c r="T2756" cm="1">
        <f t="array" ref="T2756">IFERROR(IF(S2756=0,0,(INDEX($C$33:$C$38,MATCH($W$2721,$B$33:$B$38,0),0)*(S2759+$X$2721)+$T$2721*COUNTIF(S2756:S2758,"&gt;0")*$C$32+$V$2721*$C$31)*$R$2721),0)</f>
        <v>0</v>
      </c>
      <c r="U2756">
        <f>IF(S2756=0,0,-(COUNTIF(S2756:S2758,"&gt;0")*$T$2721*$C$32+$V$2721*$C$31)*$H$27*$R$2721)</f>
        <v>0</v>
      </c>
      <c r="V2756">
        <f>IF(S2756=0,0,$V$2721*$H$26*$R$2721)</f>
        <v>0</v>
      </c>
      <c r="W2756">
        <f>(0.6*T2756+0.7*U2756)*$R$2721/2</f>
        <v>0</v>
      </c>
      <c r="X2756">
        <f>T2756*$R$2721/2</f>
        <v>0</v>
      </c>
      <c r="Z2756">
        <f>IF(S2756=0,0,$AD$2721*$AP$2710)</f>
        <v>0</v>
      </c>
      <c r="AA2756">
        <f>IFERROR(Z2756/$R$2721,0)</f>
        <v>0</v>
      </c>
      <c r="AB2756">
        <f>Z2756*($F$22+IF($F$22=0,0,($C$14+$C$15+IF($C$13="single",1.5,3)+3)/12))</f>
        <v>0</v>
      </c>
      <c r="AC2756">
        <f>AB2756-W2756</f>
        <v>0</v>
      </c>
      <c r="AD2756" cm="1">
        <f t="array" ref="AD2756">IFERROR(IF(AC2756&lt;0,0,AC2756/($R$2721-INDEX(hd_off,MATCH(AQ2756,hd_mark,0),0)/12)),0)</f>
        <v>0</v>
      </c>
      <c r="AE2756">
        <f>IF(S2756=0,0,$AD$2721*$AM$2710)</f>
        <v>0</v>
      </c>
      <c r="AF2756">
        <f>IFERROR(AE2756/$R$2721,0)</f>
        <v>0</v>
      </c>
      <c r="AG2756">
        <f>AE2756*($F$22+IF($F$22=0,0,($C$14+$C$15+IF($C$13="single",1.5,3)+3)/12))</f>
        <v>0</v>
      </c>
      <c r="AH2756">
        <f>AG2756-X2756</f>
        <v>0</v>
      </c>
      <c r="AI2756" cm="1">
        <f t="array" ref="AI2756">IFERROR(IF(AH2756&lt;0,0,AH2756/($R$2721-INDEX(hd_off,MATCH(AQ2756,hd_mark,0),0)/12)),0)</f>
        <v>0</v>
      </c>
      <c r="AJ2756">
        <f>MAX($F$22,$Z$2721)/$Q$2740</f>
        <v>0.30172413793103448</v>
      </c>
      <c r="AK2756">
        <f t="shared" ref="AK2756:AK2759" si="1711">IF(AJ2756=0,0,IF(AJ2756&gt;2,1.25-0.125*AJ2756,1))</f>
        <v>1</v>
      </c>
      <c r="AL2756" cm="1">
        <f t="array" ref="AL2756">IFERROR(INDEX(sheath_ecap_asd,MATCH(AP2756,sheath_mark,0),0)*AK2756,0)</f>
        <v>0</v>
      </c>
      <c r="AM2756" cm="1">
        <f t="array" ref="AM2756">IFERROR(INDEX(sheath_wcap_asd,MATCH(AP2756,sheath_mark,0),0)*AK2756,0)</f>
        <v>0</v>
      </c>
      <c r="AN2756" cm="1">
        <f t="array" ref="AN2756">IFERROR(INDEX(hd_cap,MATCH(AQ2756,hd_mark,0),0),0)</f>
        <v>0</v>
      </c>
      <c r="AP2756" s="19"/>
      <c r="AQ2756" s="19"/>
      <c r="AR2756" s="100"/>
      <c r="AS2756" s="93"/>
      <c r="AT2756" s="109"/>
      <c r="AU2756" t="str">
        <f>$Q$2710</f>
        <v>L3</v>
      </c>
      <c r="AV2756">
        <f>$E$22</f>
        <v>21.375</v>
      </c>
      <c r="AW2756" cm="1">
        <f t="array" ref="AW2756">IFERROR(IF(AV2756=0,0,(INDEX($C$33:$C$38,MATCH($AZ$2721,$B$33:$B$38,0),0)*(AV2759+$BA$2721)+$AW$2721*COUNTIF(AV2756:AV2758,"&gt;0")*$C$32+$AY$2721*$C$31)*$AU$2721),0)</f>
        <v>0</v>
      </c>
      <c r="AX2756">
        <f>IF(AV2756=0,0,-(COUNTIF(AV2756:AV2758,"&gt;0")*$AW$2721*$C$32+$AY$2721*$C$31)*$H$27*$AU$2721)</f>
        <v>0</v>
      </c>
      <c r="AY2756">
        <f>IF(AV2756=0,0,$AY$2721*$H$26*$AU$2721)</f>
        <v>0</v>
      </c>
      <c r="AZ2756">
        <f>(0.6*AW2756+0.7*AX2756)*$AU$2721/2</f>
        <v>0</v>
      </c>
      <c r="BA2756">
        <f>AW2756*$AU$2721/2</f>
        <v>0</v>
      </c>
      <c r="BC2756">
        <f>IF(AV2756=0,0,$BG$2721*$AP$2710)</f>
        <v>0</v>
      </c>
      <c r="BD2756">
        <f>IFERROR(BC2756/$AU$2721,0)</f>
        <v>0</v>
      </c>
      <c r="BE2756">
        <f>BC2756*($F$22+IF($F$22=0,0,($C$14+$C$15+IF($C$13="single",1.5,3)+3)/12))</f>
        <v>0</v>
      </c>
      <c r="BF2756">
        <f>BE2756-AZ2756</f>
        <v>0</v>
      </c>
      <c r="BG2756" cm="1">
        <f t="array" ref="BG2756">IFERROR(IF(BF2756&lt;0,0,BF2756/($AU$2721-INDEX(hd_off,MATCH(BT2756,hd_mark,0),0)/12)),0)</f>
        <v>0</v>
      </c>
      <c r="BH2756">
        <f>IF(AV2756=0,0,$BG$2721*$AM$2710)</f>
        <v>0</v>
      </c>
      <c r="BI2756">
        <f>IFERROR(BH2756/$AU$2721,0)</f>
        <v>0</v>
      </c>
      <c r="BJ2756">
        <f>BH2756*($F$22+IF($F$22=0,0,($C$14+$C$15+IF($C$13="single",1.5,3)+3)/12))</f>
        <v>0</v>
      </c>
      <c r="BK2756">
        <f>BJ2756-BA2756</f>
        <v>0</v>
      </c>
      <c r="BL2756" cm="1">
        <f t="array" ref="BL2756">IFERROR(IF(BK2756&lt;0,0,BK2756/($AU$2721-INDEX(hd_off,MATCH(BT2756,hd_mark,0),0)/12)),0)</f>
        <v>0</v>
      </c>
      <c r="BM2756">
        <f>MAX($F$22,$BC$2721)/$Q$2740</f>
        <v>0.30172413793103448</v>
      </c>
      <c r="BN2756">
        <f t="shared" ref="BN2756:BN2759" si="1712">IF(BM2756=0,0,IF(BM2756&gt;2,1.25-0.125*BM2756,1))</f>
        <v>1</v>
      </c>
      <c r="BO2756" cm="1">
        <f t="array" ref="BO2756">IFERROR(INDEX(sheath_ecap_asd,MATCH(BS2756,sheath_mark,0),0)*BN2756,0)</f>
        <v>0</v>
      </c>
      <c r="BP2756" cm="1">
        <f t="array" ref="BP2756">IFERROR(INDEX(sheath_wcap_asd,MATCH(BS2756,sheath_mark,0),0)*BN2756,0)</f>
        <v>0</v>
      </c>
      <c r="BQ2756" cm="1">
        <f t="array" ref="BQ2756">IFERROR(INDEX(hd_cap,MATCH(BT2756,hd_mark,0),0),0)</f>
        <v>0</v>
      </c>
      <c r="BS2756" s="19"/>
      <c r="BT2756" s="19"/>
      <c r="BU2756" s="100"/>
    </row>
    <row r="2757" x14ac:dyDescent="0.25">
      <c r="B2757" s="1"/>
      <c r="P2757" s="93"/>
      <c r="Q2757" s="109" t="s">
        <v>491</v>
      </c>
      <c r="R2757" t="str">
        <f>$Q$2711</f>
        <v>L4</v>
      </c>
      <c r="S2757">
        <f>$E$23</f>
        <v>0</v>
      </c>
      <c r="T2757" cm="1">
        <f t="array" ref="T2757">IFERROR(IF(S2757=0,0,(INDEX($C$33:$C$38,MATCH($W$2721,$B$33:$B$38,0),0)*(S2759+$X$2721)+$T$2721*COUNTIF(S2757:S2758,"&gt;0")*$C$32+$V$2721*$C$31)*$R$2721),0)</f>
        <v>0</v>
      </c>
      <c r="U2757">
        <f>IF(S2757=0,0,-(COUNTIF(S2757:S2758,"&gt;0")*$T$2721*$C$32+$V$2721*$C$31)*$H$27*$R$2721)</f>
        <v>0</v>
      </c>
      <c r="V2757">
        <f>IF(S2757=0,0,$V$2721*$H$26*$R$2721)</f>
        <v>0</v>
      </c>
      <c r="W2757">
        <f>(0.6*T2757+0.7*U2757)*$R$2721/2</f>
        <v>0</v>
      </c>
      <c r="X2757">
        <f>T2757*$R$2721/2</f>
        <v>0</v>
      </c>
      <c r="Z2757">
        <f>IF(S2757=0,0,$AD$2721*$AP$2711)</f>
        <v>0</v>
      </c>
      <c r="AA2757">
        <f>IFERROR(Z2757/$R$2721,0)</f>
        <v>0</v>
      </c>
      <c r="AB2757">
        <f>Z2757*($F$23+IF($F$23=0,0,($C$14+$C$15+IF($C$13="single",1.5,3)+3)/12))</f>
        <v>0</v>
      </c>
      <c r="AC2757">
        <f>AB2757-W2757</f>
        <v>0</v>
      </c>
      <c r="AD2757" cm="1">
        <f t="array" ref="AD2757">IFERROR(IF(AC2757&lt;0,0,AC2757/($R$2721-INDEX(hd_off,MATCH(AQ2757,hd_mark,0),0)/12)),0)</f>
        <v>0</v>
      </c>
      <c r="AE2757">
        <f>IF(S2757=0,0,$AD$2721*$AM$2711)</f>
        <v>0</v>
      </c>
      <c r="AF2757">
        <f>IFERROR(AE2757/$R$2721,0)</f>
        <v>0</v>
      </c>
      <c r="AG2757">
        <f>AE2757*($F$23+IF($F$23=0,0,($C$14+$C$15+IF($C$13="single",1.5,3)+3)/12))</f>
        <v>0</v>
      </c>
      <c r="AH2757">
        <f>AG2757-X2757</f>
        <v>0</v>
      </c>
      <c r="AI2757" cm="1">
        <f t="array" ref="AI2757">IFERROR(IF(AH2757&lt;0,0,AH2757/($R$2721-INDEX(hd_off,MATCH(AQ2757,hd_mark,0),0)/12)),0)</f>
        <v>0</v>
      </c>
      <c r="AJ2757">
        <f>MAX($F$23,$AA$2721)/$Q$2740</f>
        <v>0</v>
      </c>
      <c r="AK2757">
        <f t="shared" si="1711"/>
        <v>0</v>
      </c>
      <c r="AL2757" cm="1">
        <f t="array" ref="AL2757">IFERROR(INDEX(sheath_ecap_asd,MATCH(AP2757,sheath_mark,0),0)*AK2757,0)</f>
        <v>0</v>
      </c>
      <c r="AM2757" cm="1">
        <f t="array" ref="AM2757">IFERROR(INDEX(sheath_wcap_asd,MATCH(AP2757,sheath_mark,0),0)*AK2757,0)</f>
        <v>0</v>
      </c>
      <c r="AN2757" cm="1">
        <f t="array" ref="AN2757">IFERROR(INDEX(hd_cap,MATCH(AQ2757,hd_mark,0),0),0)</f>
        <v>0</v>
      </c>
      <c r="AP2757" s="19"/>
      <c r="AQ2757" s="19"/>
      <c r="AR2757" s="100"/>
      <c r="AS2757" s="93"/>
      <c r="AT2757" s="109" t="s">
        <v>491</v>
      </c>
      <c r="AU2757" t="str">
        <f>$Q$2711</f>
        <v>L4</v>
      </c>
      <c r="AV2757">
        <f>$E$23</f>
        <v>0</v>
      </c>
      <c r="AW2757" cm="1">
        <f t="array" ref="AW2757">IFERROR(IF(AV2757=0,0,(INDEX($C$33:$C$38,MATCH($AZ$2721,$B$33:$B$38,0),0)*(AV2759+$BA$2721)+$AW$2721*COUNTIF(AV2757:AV2758,"&gt;0")*$C$32+$AY$2721*$C$31)*$AU$2721),0)</f>
        <v>0</v>
      </c>
      <c r="AX2757">
        <f>IF(AV2757=0,0,-(COUNTIF(AV2757:AV2758,"&gt;0")*$AW$2721*$C$32+$AY$2721*$C$31)*$H$27*$AU$2721)</f>
        <v>0</v>
      </c>
      <c r="AY2757">
        <f>IF(AV2757=0,0,$AY$2721*$H$26*$AU$2721)</f>
        <v>0</v>
      </c>
      <c r="AZ2757">
        <f>(0.6*AW2757+0.7*AX2757)*$AU$2721/2</f>
        <v>0</v>
      </c>
      <c r="BA2757">
        <f>AW2757*$AU$2721/2</f>
        <v>0</v>
      </c>
      <c r="BC2757">
        <f>IF(AV2757=0,0,$BG$2721*$AP$2711)</f>
        <v>0</v>
      </c>
      <c r="BD2757">
        <f>IFERROR(BC2757/$AU$2721,0)</f>
        <v>0</v>
      </c>
      <c r="BE2757">
        <f>BC2757*($F$23+IF($F$23=0,0,($C$14+$C$15+IF($C$13="single",1.5,3)+3)/12))</f>
        <v>0</v>
      </c>
      <c r="BF2757">
        <f>BE2757-AZ2757</f>
        <v>0</v>
      </c>
      <c r="BG2757" cm="1">
        <f t="array" ref="BG2757">IFERROR(IF(BF2757&lt;0,0,BF2757/($AU$2721-INDEX(hd_off,MATCH(BT2757,hd_mark,0),0)/12)),0)</f>
        <v>0</v>
      </c>
      <c r="BH2757">
        <f>IF(AV2757=0,0,$BG$2721*$AM$2711)</f>
        <v>0</v>
      </c>
      <c r="BI2757">
        <f>IFERROR(BH2757/$AU$2721,0)</f>
        <v>0</v>
      </c>
      <c r="BJ2757">
        <f>BH2757*($F$23+IF($F$23=0,0,($C$14+$C$15+IF($C$13="single",1.5,3)+3)/12))</f>
        <v>0</v>
      </c>
      <c r="BK2757">
        <f>BJ2757-BA2757</f>
        <v>0</v>
      </c>
      <c r="BL2757" cm="1">
        <f t="array" ref="BL2757">IFERROR(IF(BK2757&lt;0,0,BK2757/($AU$2721-INDEX(hd_off,MATCH(BT2757,hd_mark,0),0)/12)),0)</f>
        <v>0</v>
      </c>
      <c r="BM2757">
        <f>MAX($F$23,$BD$2721)/$Q$2740</f>
        <v>0</v>
      </c>
      <c r="BN2757">
        <f t="shared" si="1712"/>
        <v>0</v>
      </c>
      <c r="BO2757" cm="1">
        <f t="array" ref="BO2757">IFERROR(INDEX(sheath_ecap_asd,MATCH(BS2757,sheath_mark,0),0)*BN2757,0)</f>
        <v>0</v>
      </c>
      <c r="BP2757" cm="1">
        <f t="array" ref="BP2757">IFERROR(INDEX(sheath_wcap_asd,MATCH(BS2757,sheath_mark,0),0)*BN2757,0)</f>
        <v>0</v>
      </c>
      <c r="BQ2757" cm="1">
        <f t="array" ref="BQ2757">IFERROR(INDEX(hd_cap,MATCH(BT2757,hd_mark,0),0),0)</f>
        <v>0</v>
      </c>
      <c r="BS2757" s="19"/>
      <c r="BT2757" s="19"/>
      <c r="BU2757" s="100"/>
    </row>
    <row r="2758" x14ac:dyDescent="0.25">
      <c r="P2758" s="93"/>
      <c r="Q2758" s="111">
        <f>$R$2721</f>
        <v>0</v>
      </c>
      <c r="R2758" t="str">
        <f>$Q$2712</f>
        <v>L5</v>
      </c>
      <c r="S2758">
        <f>$E$24</f>
        <v>0</v>
      </c>
      <c r="T2758" cm="1">
        <f t="array" ref="T2758">IFERROR(IF(S2758=0,0,(INDEX($C$33:$C$38,MATCH($W$2721,$B$33:$B$38,0),0)*(S2759+$X$2721)+$T$2721*COUNTIF(S2758:S2758,"&gt;0")*$C$32+$V$2721*$C$31)*$R$2721),0)</f>
        <v>0</v>
      </c>
      <c r="U2758">
        <f>IF(S2758=0,0,-(COUNTIF(S2758:S2758,"&gt;0")*$T$2721*$C$32+$V$2721*$C$31)*$H$27*$R$2721)</f>
        <v>0</v>
      </c>
      <c r="V2758">
        <f>IF(S2758=0,0,$V$2721*$H$26*$R$2721)</f>
        <v>0</v>
      </c>
      <c r="W2758">
        <f>(0.6*T2758+0.7*U2758)*$R$2721/2</f>
        <v>0</v>
      </c>
      <c r="X2758">
        <f>T2758*$R$2721/2</f>
        <v>0</v>
      </c>
      <c r="Z2758">
        <f>IF(S2758=0,0,$AD$2721*$AP$2712)</f>
        <v>0</v>
      </c>
      <c r="AA2758">
        <f>IFERROR(Z2758/$R$2721,0)</f>
        <v>0</v>
      </c>
      <c r="AB2758">
        <f>Z2758*($F$24+IF($F$24=0,0,($C$14+$C$15+IF($C$13="single",1.5,3)+3)/12))</f>
        <v>0</v>
      </c>
      <c r="AC2758">
        <f>AB2758-W2758</f>
        <v>0</v>
      </c>
      <c r="AD2758" cm="1">
        <f t="array" ref="AD2758">IFERROR(IF(AC2758&lt;0,0,AC2758/($R$2721-INDEX(hd_off,MATCH(AQ2758,hd_mark,0),0)/12)),0)</f>
        <v>0</v>
      </c>
      <c r="AE2758">
        <f>IF(S2758=0,0,$AD$2721*$AM$2712)</f>
        <v>0</v>
      </c>
      <c r="AF2758">
        <f>IFERROR(AE2758/$R$2721,0)</f>
        <v>0</v>
      </c>
      <c r="AG2758">
        <f>AE2758*($F$24+IF($F$24=0,0,($C$14+$C$15+IF($C$13="single",1.5,3)+3)/12))</f>
        <v>0</v>
      </c>
      <c r="AH2758">
        <f>AG2758-X2758</f>
        <v>0</v>
      </c>
      <c r="AI2758" cm="1">
        <f t="array" ref="AI2758">IFERROR(IF(AH2758&lt;0,0,AH2758/($R$2721-INDEX(hd_off,MATCH(AQ2758,hd_mark,0),0)/12)),0)</f>
        <v>0</v>
      </c>
      <c r="AJ2758">
        <f>MAX($F$24,$AB$2721)/$Q$2740</f>
        <v>0</v>
      </c>
      <c r="AK2758">
        <f t="shared" si="1711"/>
        <v>0</v>
      </c>
      <c r="AL2758" cm="1">
        <f t="array" ref="AL2758">IFERROR(INDEX(sheath_ecap_asd,MATCH(AP2758,sheath_mark,0),0)*AK2758,0)</f>
        <v>0</v>
      </c>
      <c r="AM2758" cm="1">
        <f t="array" ref="AM2758">IFERROR(INDEX(sheath_wcap_asd,MATCH(AP2758,sheath_mark,0),0)*AK2758,0)</f>
        <v>0</v>
      </c>
      <c r="AN2758" cm="1">
        <f t="array" ref="AN2758">IFERROR(INDEX(hd_cap,MATCH(AQ2758,hd_mark,0),0),0)</f>
        <v>0</v>
      </c>
      <c r="AP2758" s="19"/>
      <c r="AQ2758" s="19"/>
      <c r="AR2758" s="100"/>
      <c r="AS2758" s="93"/>
      <c r="AT2758" s="111">
        <f>$R$2721</f>
        <v>0</v>
      </c>
      <c r="AU2758" t="str">
        <f>$Q$2712</f>
        <v>L5</v>
      </c>
      <c r="AV2758">
        <f>$E$24</f>
        <v>0</v>
      </c>
      <c r="AW2758" cm="1">
        <f t="array" ref="AW2758">IFERROR(IF(AV2758=0,0,(INDEX($C$33:$C$38,MATCH($AZ$2721,$B$33:$B$38,0),0)*(AV2759+$BA$2721)+$AW$2721*COUNTIF(AV2758:AV2758,"&gt;0")*$C$32+$AY$2721*$C$31)*$AU$2721),0)</f>
        <v>0</v>
      </c>
      <c r="AX2758">
        <f>IF(AV2758=0,0,-(COUNTIF(AV2758:AV2758,"&gt;0")*$AW$2721*$C$32+$AY$2721*$C$31)*$H$27*$AU$2721)</f>
        <v>0</v>
      </c>
      <c r="AY2758">
        <f>IF(AV2758=0,0,$AY$2721*$H$26*$AU$2721)</f>
        <v>0</v>
      </c>
      <c r="AZ2758">
        <f>(0.6*AW2758+0.7*AX2758)*$AU$2721/2</f>
        <v>0</v>
      </c>
      <c r="BA2758">
        <f>AW2758*$AU$2721/2</f>
        <v>0</v>
      </c>
      <c r="BC2758">
        <f>IF(AV2758=0,0,$BG$2721*$AP$2712)</f>
        <v>0</v>
      </c>
      <c r="BD2758">
        <f>IFERROR(BC2758/$AU$2721,0)</f>
        <v>0</v>
      </c>
      <c r="BE2758">
        <f>BC2758*($F$24+IF($F$24=0,0,($C$14+$C$15+IF($C$13="single",1.5,3)+3)/12))</f>
        <v>0</v>
      </c>
      <c r="BF2758">
        <f>BE2758-AZ2758</f>
        <v>0</v>
      </c>
      <c r="BG2758" cm="1">
        <f t="array" ref="BG2758">IFERROR(IF(BF2758&lt;0,0,BF2758/($AU$2721-INDEX(hd_off,MATCH(BT2758,hd_mark,0),0)/12)),0)</f>
        <v>0</v>
      </c>
      <c r="BH2758">
        <f>IF(AV2758=0,0,$BG$2721*$AM$2712)</f>
        <v>0</v>
      </c>
      <c r="BI2758">
        <f>IFERROR(BH2758/$AU$2721,0)</f>
        <v>0</v>
      </c>
      <c r="BJ2758">
        <f>BH2758*($F$24+IF($F$24=0,0,($C$14+$C$15+IF($C$13="single",1.5,3)+3)/12))</f>
        <v>0</v>
      </c>
      <c r="BK2758">
        <f>BJ2758-BA2758</f>
        <v>0</v>
      </c>
      <c r="BL2758" cm="1">
        <f t="array" ref="BL2758">IFERROR(IF(BK2758&lt;0,0,BK2758/($AU$2721-INDEX(hd_off,MATCH(BT2758,hd_mark,0),0)/12)),0)</f>
        <v>0</v>
      </c>
      <c r="BM2758">
        <f>MAX($F$24,$BE$2721)/$Q$2740</f>
        <v>0</v>
      </c>
      <c r="BN2758">
        <f t="shared" si="1712"/>
        <v>0</v>
      </c>
      <c r="BO2758" cm="1">
        <f t="array" ref="BO2758">IFERROR(INDEX(sheath_ecap_asd,MATCH(BS2758,sheath_mark,0),0)*BN2758,0)</f>
        <v>0</v>
      </c>
      <c r="BP2758" cm="1">
        <f t="array" ref="BP2758">IFERROR(INDEX(sheath_wcap_asd,MATCH(BS2758,sheath_mark,0),0)*BN2758,0)</f>
        <v>0</v>
      </c>
      <c r="BQ2758" cm="1">
        <f t="array" ref="BQ2758">IFERROR(INDEX(hd_cap,MATCH(BT2758,hd_mark,0),0),0)</f>
        <v>0</v>
      </c>
      <c r="BS2758" s="19"/>
      <c r="BT2758" s="19"/>
      <c r="BU2758" s="100"/>
    </row>
    <row r="2759" x14ac:dyDescent="0.25">
      <c r="P2759" s="93"/>
      <c r="Q2759" s="109"/>
      <c r="R2759" t="str">
        <f>$Q$2713</f>
        <v>Roof</v>
      </c>
      <c r="S2759">
        <f>$E$25</f>
        <v>33.171875</v>
      </c>
      <c r="T2759" cm="1">
        <f t="array" ref="T2759">IFERROR(IF(S2759=0,0,(INDEX($C$33:$C$38,MATCH($W$2721,$B$33:$B$38,0),0)*(S2759+$X$2721)+$V$2721*$C$31)*$R$2721),0)</f>
        <v>0</v>
      </c>
      <c r="U2759">
        <f>IF(S2759=0,0,-$V$2721*$C$31*$H$27*$R$2721)</f>
        <v>0</v>
      </c>
      <c r="V2759">
        <f>IF(S2759=0,0,$V$2721*$H$26*$R$2721)</f>
        <v>0</v>
      </c>
      <c r="W2759">
        <f>(0.6*T2759+0.7*U2759)*$R$2721/2</f>
        <v>0</v>
      </c>
      <c r="X2759">
        <f>T2759*$R$2721/2</f>
        <v>0</v>
      </c>
      <c r="Z2759">
        <f>IF(S2759=0,0,$AD$2721*$AP$2713)</f>
        <v>0</v>
      </c>
      <c r="AA2759">
        <f>IFERROR(Z2759/$R$2721,0)</f>
        <v>0</v>
      </c>
      <c r="AB2759">
        <f>Z2759*($F$25+($C$16+$C$17+IF($C$13="single",1.5,3)+3)/12)</f>
        <v>0</v>
      </c>
      <c r="AC2759">
        <f>AB2759-W2759</f>
        <v>0</v>
      </c>
      <c r="AD2759" cm="1">
        <f t="array" ref="AD2759">IFERROR(IF(AC2759&lt;0,0,AC2759/($R$2721-INDEX(hd_off,MATCH(AQ2759,hd_mark,0),0)/12)),0)</f>
        <v>0</v>
      </c>
      <c r="AE2759">
        <f>IF(S2759=0,0,$AD$2721*$AM$2713)</f>
        <v>0</v>
      </c>
      <c r="AF2759">
        <f>IFERROR(AE2759/$R$2721,0)</f>
        <v>0</v>
      </c>
      <c r="AG2759">
        <f>AE2759*($F$25+($C$16+$C$17+IF($C$13="single",1.5,3)+3)/12)</f>
        <v>0</v>
      </c>
      <c r="AH2759">
        <f>AG2759-X2759</f>
        <v>0</v>
      </c>
      <c r="AI2759" cm="1">
        <f t="array" ref="AI2759">IFERROR(IF(AH2759&lt;0,0,AH2759/($R$2721-INDEX(hd_off,MATCH(AQ2759,hd_mark,0),0)/12)),0)</f>
        <v>0</v>
      </c>
      <c r="AJ2759">
        <f>MAX($F$25,$AC$2721)/$Q$2740</f>
        <v>0.29920977011494249</v>
      </c>
      <c r="AK2759">
        <f t="shared" si="1711"/>
        <v>1</v>
      </c>
      <c r="AL2759" cm="1">
        <f t="array" ref="AL2759">IFERROR(INDEX(sheath_ecap_asd,MATCH(AP2759,sheath_mark,0),0)*AK2759,0)</f>
        <v>0</v>
      </c>
      <c r="AM2759" cm="1">
        <f t="array" ref="AM2759">IFERROR(INDEX(sheath_wcap_asd,MATCH(AP2759,sheath_mark,0),0)*AK2759,0)</f>
        <v>0</v>
      </c>
      <c r="AN2759" cm="1">
        <f t="array" ref="AN2759">IFERROR(INDEX(hd_cap,MATCH(AQ2759,hd_mark,0),0),0)</f>
        <v>0</v>
      </c>
      <c r="AP2759" s="19"/>
      <c r="AQ2759" s="19"/>
      <c r="AR2759" s="100"/>
      <c r="AS2759" s="93"/>
      <c r="AT2759" s="109"/>
      <c r="AU2759" t="str">
        <f>$Q$2713</f>
        <v>Roof</v>
      </c>
      <c r="AV2759">
        <f>$E$25</f>
        <v>33.171875</v>
      </c>
      <c r="AW2759" cm="1">
        <f t="array" ref="AW2759">IFERROR(IF(AV2759=0,0,(INDEX($C$33:$C$38,MATCH($AZ$2721,$B$33:$B$38,0),0)*(AV2759+$BA$2721)+$AY$2721*$C$31)*$AU$2721),0)</f>
        <v>0</v>
      </c>
      <c r="AX2759">
        <f>IF(AV2759=0,0,-$AY$2721*$C$31*$H$27*$AU$2721)</f>
        <v>0</v>
      </c>
      <c r="AY2759">
        <f>IF(AV2759=0,0,$AY$2721*$H$26*$AU$2721)</f>
        <v>0</v>
      </c>
      <c r="AZ2759">
        <f>(0.6*AW2759+0.7*AX2759)*$AU$2721/2</f>
        <v>0</v>
      </c>
      <c r="BA2759">
        <f>AW2759*$AU$2721/2</f>
        <v>0</v>
      </c>
      <c r="BC2759">
        <f>IF(AV2759=0,0,$BG$2721*$AP$2713)</f>
        <v>0</v>
      </c>
      <c r="BD2759">
        <f>IFERROR(BC2759/$AU$2721,0)</f>
        <v>0</v>
      </c>
      <c r="BE2759">
        <f>BC2759*($F$25+($C$16+$C$17+IF($C$13="single",1.5,3)+3)/12)</f>
        <v>0</v>
      </c>
      <c r="BF2759">
        <f>BE2759-AZ2759</f>
        <v>0</v>
      </c>
      <c r="BG2759" cm="1">
        <f t="array" ref="BG2759">IFERROR(IF(BF2759&lt;0,0,BF2759/($AU$2721-INDEX(hd_off,MATCH(BT2759,hd_mark,0),0)/12)),0)</f>
        <v>0</v>
      </c>
      <c r="BH2759">
        <f>IF(AV2759=0,0,$BG$2721*$AM$2713)</f>
        <v>0</v>
      </c>
      <c r="BI2759">
        <f>IFERROR(BH2759/$AU$2721,0)</f>
        <v>0</v>
      </c>
      <c r="BJ2759">
        <f>BH2759*($F$25+($C$16+$C$17+IF($C$13="single",1.5,3)+3)/12)</f>
        <v>0</v>
      </c>
      <c r="BK2759">
        <f>BJ2759-BA2759</f>
        <v>0</v>
      </c>
      <c r="BL2759" cm="1">
        <f t="array" ref="BL2759">IFERROR(IF(BK2759&lt;0,0,BK2759/($AU$2721-INDEX(hd_off,MATCH(BT2759,hd_mark,0),0)/12)),0)</f>
        <v>0</v>
      </c>
      <c r="BM2759">
        <f>MAX($F$25,$BF$2721)/$Q$2740</f>
        <v>0.29920977011494249</v>
      </c>
      <c r="BN2759">
        <f t="shared" si="1712"/>
        <v>1</v>
      </c>
      <c r="BO2759" cm="1">
        <f t="array" ref="BO2759">IFERROR(INDEX(sheath_ecap_asd,MATCH(BS2759,sheath_mark,0),0)*BN2759,0)</f>
        <v>0</v>
      </c>
      <c r="BP2759" cm="1">
        <f t="array" ref="BP2759">IFERROR(INDEX(sheath_wcap_asd,MATCH(BS2759,sheath_mark,0),0)*BN2759,0)</f>
        <v>0</v>
      </c>
      <c r="BQ2759" cm="1">
        <f t="array" ref="BQ2759">IFERROR(INDEX(hd_cap,MATCH(BT2759,hd_mark,0),0),0)</f>
        <v>0</v>
      </c>
      <c r="BS2759" s="19"/>
      <c r="BT2759" s="19"/>
      <c r="BU2759" s="100"/>
    </row>
    <row r="2760" x14ac:dyDescent="0.25">
      <c r="P2760" s="93"/>
      <c r="AR2760" s="100"/>
      <c r="AS2760" s="93"/>
      <c r="BU2760" s="100"/>
    </row>
    <row r="2761" x14ac:dyDescent="0.25">
      <c r="P2761" s="93"/>
      <c r="Q2761" s="110" t="str">
        <f>$Q$2722</f>
        <v>A.05</v>
      </c>
      <c r="R2761" t="str">
        <f>$Q$2709</f>
        <v>L2</v>
      </c>
      <c r="S2761">
        <f>$E$21</f>
        <v>10.6875</v>
      </c>
      <c r="T2761" cm="1">
        <f t="array" ref="T2761">IFERROR(IF(S2761=0,0,(INDEX($C$33:$C$38,MATCH($W$2722,$B$33:$B$38,0),0)*(S2765+$X$2722)+$T$2722*COUNTIF(S2761:S2764,"&gt;0")*$C$32+$V$2722*$C$31)*$R$2722),0)</f>
        <v>0</v>
      </c>
      <c r="U2761">
        <f>IF(S2761=0,0,-(COUNTIF(S2761:S2764,"&gt;0")*$T$2722*$C$32+$V$2722*$C$31)*$H$27*$R$2722)</f>
        <v>0</v>
      </c>
      <c r="V2761">
        <f>IF(S2761=0,0,$V$2722*$H$26*$R$2722)</f>
        <v>0</v>
      </c>
      <c r="W2761">
        <f>(0.6*T2761+0.7*U2761)*$R$2722/2</f>
        <v>0</v>
      </c>
      <c r="X2761">
        <f>(0.6*T2761+0.6*V2761)*$R$2722/2</f>
        <v>0</v>
      </c>
      <c r="Z2761">
        <f>IF(S2761=0,0,$AD$2722*$AP$2709)</f>
        <v>0</v>
      </c>
      <c r="AA2761">
        <f>IFERROR(Z2761/$R$2722,0)</f>
        <v>0</v>
      </c>
      <c r="AB2761">
        <f>Z2761*($F$21+IF($F$21=0,0,($C$14+$C$15+IF($C$13="single",1.5,3)+3)/12))</f>
        <v>0</v>
      </c>
      <c r="AC2761">
        <f>AB2761-W2761</f>
        <v>0</v>
      </c>
      <c r="AD2761" cm="1">
        <f t="array" ref="AD2761">IFERROR(IF(AC2761&lt;0,0,AC2761/($R$2722-INDEX(hd_off,MATCH(AQ2761,hd_mark,0),0)/12)),0)</f>
        <v>0</v>
      </c>
      <c r="AE2761">
        <f>IF(S2761=0,0,$AD$2722*$AM$2709)</f>
        <v>0</v>
      </c>
      <c r="AF2761">
        <f>IFERROR(AE2761/$R$2722,0)</f>
        <v>0</v>
      </c>
      <c r="AG2761">
        <f>AE2761*($F$21+IF($F$21=0,0,($C$14+$C$15+IF($C$13="single",1.5,3)+3)/12))</f>
        <v>0</v>
      </c>
      <c r="AH2761">
        <f>AG2761-X2761</f>
        <v>0</v>
      </c>
      <c r="AI2761" cm="1">
        <f t="array" ref="AI2761">IFERROR(IF(AH2761&lt;0,0,AH2761/($R$2722-INDEX(hd_off,MATCH(AQ2761,hd_mark,0),0)/12)),0)</f>
        <v>0</v>
      </c>
      <c r="AJ2761">
        <f>MAX($F$21,$Y$2722)/$Q$2740</f>
        <v>0.30172413793103448</v>
      </c>
      <c r="AK2761">
        <f>IF(AJ2761=0,0,IF(AJ2761&gt;2,1.25-0.125*AJ2761,1))</f>
        <v>1</v>
      </c>
      <c r="AL2761" cm="1">
        <f t="array" ref="AL2761">IFERROR(INDEX(sheath_ecap_asd,MATCH(AP2761,sheath_mark,0),0)*AK2761,0)</f>
        <v>0</v>
      </c>
      <c r="AM2761" cm="1">
        <f t="array" ref="AM2761">IFERROR(INDEX(sheath_wcap_asd,MATCH(AP2761,sheath_mark,0),0)*AK2761,0)</f>
        <v>0</v>
      </c>
      <c r="AN2761" cm="1">
        <f t="array" ref="AN2761">IFERROR(INDEX(hd_cap,MATCH(AQ2761,hd_mark,0),0),0)</f>
        <v>0</v>
      </c>
      <c r="AP2761" s="19"/>
      <c r="AQ2761" s="19"/>
      <c r="AR2761" s="100"/>
      <c r="AS2761" s="93"/>
      <c r="AT2761" s="110" t="str">
        <f>$AT$2722</f>
        <v>1.05</v>
      </c>
      <c r="AU2761" t="str">
        <f>$Q$2709</f>
        <v>L2</v>
      </c>
      <c r="AV2761">
        <f>$E$21</f>
        <v>10.6875</v>
      </c>
      <c r="AW2761" cm="1">
        <f t="array" ref="AW2761">IFERROR(IF(AV2761=0,0,(INDEX($C$33:$C$38,MATCH($AZ$2722,$B$33:$B$38,0),0)*(AV2765+$BA$2722)+$AW$2722*COUNTIF(AV2761:AV2764,"&gt;0")*$C$32+$AY$2722*$C$31)*$AU$2722),0)</f>
        <v>0</v>
      </c>
      <c r="AX2761">
        <f>IF(AV2761=0,0,-(COUNTIF(AV2761:AV2764,"&gt;0")*$AW$2722*$C$32+$AY$2722*$C$31)*$H$27*$AU$2722)</f>
        <v>0</v>
      </c>
      <c r="AY2761">
        <f>IF(AV2761=0,0,$AY$2722*$H$26*$AU$2722)</f>
        <v>0</v>
      </c>
      <c r="AZ2761">
        <f>(0.6*AW2761+0.7*AX2761)*$AU$2722/2</f>
        <v>0</v>
      </c>
      <c r="BA2761">
        <f>(0.6*AW2761+0.6*AY2761)*$AU$2722/2</f>
        <v>0</v>
      </c>
      <c r="BC2761">
        <f>IF(AV2761=0,0,$BG$2722*$AP$2709)</f>
        <v>0</v>
      </c>
      <c r="BD2761">
        <f>IFERROR(BC2761/$AU$2722,0)</f>
        <v>0</v>
      </c>
      <c r="BE2761">
        <f>BC2761*($F$21+IF($F$21=0,0,($C$14+$C$15+IF($C$13="single",1.5,3)+3)/12))</f>
        <v>0</v>
      </c>
      <c r="BF2761">
        <f>BE2761-AZ2761</f>
        <v>0</v>
      </c>
      <c r="BG2761" cm="1">
        <f t="array" ref="BG2761">IFERROR(IF(BF2761&lt;0,0,BF2761/($AU$2722-INDEX(hd_off,MATCH(BT2761,hd_mark,0),0)/12)),0)</f>
        <v>0</v>
      </c>
      <c r="BH2761">
        <f>IF(AV2761=0,0,$BG$2722*$AM$2709)</f>
        <v>0</v>
      </c>
      <c r="BI2761">
        <f>IFERROR(BH2761/$AU$2722,0)</f>
        <v>0</v>
      </c>
      <c r="BJ2761">
        <f>BH2761*($F$21+IF($F$21=0,0,($C$14+$C$15+IF($C$13="single",1.5,3)+3)/12))</f>
        <v>0</v>
      </c>
      <c r="BK2761">
        <f>BJ2761-BA2761</f>
        <v>0</v>
      </c>
      <c r="BL2761" cm="1">
        <f t="array" ref="BL2761">IFERROR(IF(BK2761&lt;0,0,BK2761/($AU$2722-INDEX(hd_off,MATCH(BT2761,hd_mark,0),0)/12)),0)</f>
        <v>0</v>
      </c>
      <c r="BM2761">
        <f>MAX($F$21,$BB$2722)/$Q$2740</f>
        <v>0.30172413793103448</v>
      </c>
      <c r="BN2761">
        <f>IF(BM2761=0,0,IF(BM2761&gt;2,1.25-0.125*BM2761,1))</f>
        <v>1</v>
      </c>
      <c r="BO2761" cm="1">
        <f t="array" ref="BO2761">IFERROR(INDEX(sheath_ecap_asd,MATCH(BS2761,sheath_mark,0),0)*BN2761,0)</f>
        <v>0</v>
      </c>
      <c r="BP2761" cm="1">
        <f t="array" ref="BP2761">IFERROR(INDEX(sheath_wcap_asd,MATCH(BS2761,sheath_mark,0),0)*BN2761,0)</f>
        <v>0</v>
      </c>
      <c r="BQ2761" cm="1">
        <f t="array" ref="BQ2761">IFERROR(INDEX(hd_cap,MATCH(BT2761,hd_mark,0),0),0)</f>
        <v>0</v>
      </c>
      <c r="BS2761" s="19"/>
      <c r="BT2761" s="19"/>
      <c r="BU2761" s="100"/>
    </row>
    <row r="2762" x14ac:dyDescent="0.25">
      <c r="B2762" s="1"/>
      <c r="P2762" s="93"/>
      <c r="Q2762" s="109"/>
      <c r="R2762" t="str">
        <f>$Q$2710</f>
        <v>L3</v>
      </c>
      <c r="S2762">
        <f>$E$22</f>
        <v>21.375</v>
      </c>
      <c r="T2762" cm="1">
        <f t="array" ref="T2762">IFERROR(IF(S2762=0,0,(INDEX($C$33:$C$38,MATCH($W$2722,$B$33:$B$38,0),0)*(S2765+$X$2722)+$T$2722*COUNTIF(S2762:S2764,"&gt;0")*$C$32+$V$2722*$C$31)*$R$2722),0)</f>
        <v>0</v>
      </c>
      <c r="U2762">
        <f>IF(S2762=0,0,-(COUNTIF(S2762:S2764,"&gt;0")*$T$2722*$C$32+$V$2722*$C$31)*$H$27*$R$2722)</f>
        <v>0</v>
      </c>
      <c r="V2762">
        <f>IF(S2762=0,0,$V$2722*$H$26*$R$2722)</f>
        <v>0</v>
      </c>
      <c r="W2762">
        <f>(0.6*T2762+0.7*U2762)*$R$2722/2</f>
        <v>0</v>
      </c>
      <c r="X2762">
        <f>T2762*$R$2722/2</f>
        <v>0</v>
      </c>
      <c r="Z2762">
        <f>IF(S2762=0,0,$AD$2722*$AP$2710)</f>
        <v>0</v>
      </c>
      <c r="AA2762">
        <f>IFERROR(Z2762/$R$2722,0)</f>
        <v>0</v>
      </c>
      <c r="AB2762">
        <f>Z2762*($F$22+IF($F$22=0,0,($C$14+$C$15+IF($C$13="single",1.5,3)+3)/12))</f>
        <v>0</v>
      </c>
      <c r="AC2762">
        <f>AB2762-W2762</f>
        <v>0</v>
      </c>
      <c r="AD2762" cm="1">
        <f t="array" ref="AD2762">IFERROR(IF(AC2762&lt;0,0,AC2762/($R$2722-INDEX(hd_off,MATCH(AQ2762,hd_mark,0),0)/12)),0)</f>
        <v>0</v>
      </c>
      <c r="AE2762">
        <f>IF(S2762=0,0,$AD$2722*$AM$2710)</f>
        <v>0</v>
      </c>
      <c r="AF2762">
        <f>IFERROR(AE2762/$R$2722,0)</f>
        <v>0</v>
      </c>
      <c r="AG2762">
        <f>AE2762*($F$22+IF($F$22=0,0,($C$14+$C$15+IF($C$13="single",1.5,3)+3)/12))</f>
        <v>0</v>
      </c>
      <c r="AH2762">
        <f>AG2762-X2762</f>
        <v>0</v>
      </c>
      <c r="AI2762" cm="1">
        <f t="array" ref="AI2762">IFERROR(IF(AH2762&lt;0,0,AH2762/($R$2722-INDEX(hd_off,MATCH(AQ2762,hd_mark,0),0)/12)),0)</f>
        <v>0</v>
      </c>
      <c r="AJ2762">
        <f>MAX($F$22,$Z$2722)/$Q$2740</f>
        <v>0.30172413793103448</v>
      </c>
      <c r="AK2762">
        <f t="shared" ref="AK2762:AK2765" si="1713">IF(AJ2762=0,0,IF(AJ2762&gt;2,1.25-0.125*AJ2762,1))</f>
        <v>1</v>
      </c>
      <c r="AL2762" cm="1">
        <f t="array" ref="AL2762">IFERROR(INDEX(sheath_ecap_asd,MATCH(AP2762,sheath_mark,0),0)*AK2762,0)</f>
        <v>0</v>
      </c>
      <c r="AM2762" cm="1">
        <f t="array" ref="AM2762">IFERROR(INDEX(sheath_wcap_asd,MATCH(AP2762,sheath_mark,0),0)*AK2762,0)</f>
        <v>0</v>
      </c>
      <c r="AN2762" cm="1">
        <f t="array" ref="AN2762">IFERROR(INDEX(hd_cap,MATCH(AQ2762,hd_mark,0),0),0)</f>
        <v>0</v>
      </c>
      <c r="AP2762" s="19"/>
      <c r="AQ2762" s="19"/>
      <c r="AR2762" s="100"/>
      <c r="AS2762" s="93"/>
      <c r="AT2762" s="109"/>
      <c r="AU2762" t="str">
        <f>$Q$2710</f>
        <v>L3</v>
      </c>
      <c r="AV2762">
        <f>$E$22</f>
        <v>21.375</v>
      </c>
      <c r="AW2762" cm="1">
        <f t="array" ref="AW2762">IFERROR(IF(AV2762=0,0,(INDEX($C$33:$C$38,MATCH($AZ$2722,$B$33:$B$38,0),0)*(AV2765+$BA$2722)+$AW$2722*COUNTIF(AV2762:AV2764,"&gt;0")*$C$32+$AY$2722*$C$31)*$AU$2722),0)</f>
        <v>0</v>
      </c>
      <c r="AX2762">
        <f>IF(AV2762=0,0,-(COUNTIF(AV2762:AV2764,"&gt;0")*$AW$2722*$C$32+$AY$2722*$C$31)*$H$27*$AU$2722)</f>
        <v>0</v>
      </c>
      <c r="AY2762">
        <f>IF(AV2762=0,0,$AY$2722*$H$26*$AU$2722)</f>
        <v>0</v>
      </c>
      <c r="AZ2762">
        <f>(0.6*AW2762+0.7*AX2762)*$AU$2722/2</f>
        <v>0</v>
      </c>
      <c r="BA2762">
        <f>AW2762*$AU$2722/2</f>
        <v>0</v>
      </c>
      <c r="BC2762">
        <f>IF(AV2762=0,0,$BG$2722*$AP$2710)</f>
        <v>0</v>
      </c>
      <c r="BD2762">
        <f>IFERROR(BC2762/$AU$2722,0)</f>
        <v>0</v>
      </c>
      <c r="BE2762">
        <f>BC2762*($F$22+IF($F$22=0,0,($C$14+$C$15+IF($C$13="single",1.5,3)+3)/12))</f>
        <v>0</v>
      </c>
      <c r="BF2762">
        <f>BE2762-AZ2762</f>
        <v>0</v>
      </c>
      <c r="BG2762" cm="1">
        <f t="array" ref="BG2762">IFERROR(IF(BF2762&lt;0,0,BF2762/($AU$2722-INDEX(hd_off,MATCH(BT2762,hd_mark,0),0)/12)),0)</f>
        <v>0</v>
      </c>
      <c r="BH2762">
        <f>IF(AV2762=0,0,$BG$2722*$AM$2710)</f>
        <v>0</v>
      </c>
      <c r="BI2762">
        <f>IFERROR(BH2762/$AU$2722,0)</f>
        <v>0</v>
      </c>
      <c r="BJ2762">
        <f>BH2762*($F$22+IF($F$22=0,0,($C$14+$C$15+IF($C$13="single",1.5,3)+3)/12))</f>
        <v>0</v>
      </c>
      <c r="BK2762">
        <f>BJ2762-BA2762</f>
        <v>0</v>
      </c>
      <c r="BL2762" cm="1">
        <f t="array" ref="BL2762">IFERROR(IF(BK2762&lt;0,0,BK2762/($AU$2722-INDEX(hd_off,MATCH(BT2762,hd_mark,0),0)/12)),0)</f>
        <v>0</v>
      </c>
      <c r="BM2762">
        <f>MAX($F$22,$BC$2722)/$Q$2740</f>
        <v>0.30172413793103448</v>
      </c>
      <c r="BN2762">
        <f t="shared" ref="BN2762:BN2765" si="1714">IF(BM2762=0,0,IF(BM2762&gt;2,1.25-0.125*BM2762,1))</f>
        <v>1</v>
      </c>
      <c r="BO2762" cm="1">
        <f t="array" ref="BO2762">IFERROR(INDEX(sheath_ecap_asd,MATCH(BS2762,sheath_mark,0),0)*BN2762,0)</f>
        <v>0</v>
      </c>
      <c r="BP2762" cm="1">
        <f t="array" ref="BP2762">IFERROR(INDEX(sheath_wcap_asd,MATCH(BS2762,sheath_mark,0),0)*BN2762,0)</f>
        <v>0</v>
      </c>
      <c r="BQ2762" cm="1">
        <f t="array" ref="BQ2762">IFERROR(INDEX(hd_cap,MATCH(BT2762,hd_mark,0),0),0)</f>
        <v>0</v>
      </c>
      <c r="BS2762" s="19"/>
      <c r="BT2762" s="19"/>
      <c r="BU2762" s="100"/>
    </row>
    <row r="2763" x14ac:dyDescent="0.25">
      <c r="P2763" s="93"/>
      <c r="Q2763" s="109" t="s">
        <v>491</v>
      </c>
      <c r="R2763" t="str">
        <f>$Q$2711</f>
        <v>L4</v>
      </c>
      <c r="S2763">
        <f>$E$23</f>
        <v>0</v>
      </c>
      <c r="T2763" cm="1">
        <f t="array" ref="T2763">IFERROR(IF(S2763=0,0,(INDEX($C$33:$C$38,MATCH($W$2722,$B$33:$B$38,0),0)*(S2765+$X$2722)+$T$2722*COUNTIF(S2763:S2764,"&gt;0")*$C$32+$V$2722*$C$31)*$R$2722),0)</f>
        <v>0</v>
      </c>
      <c r="U2763">
        <f>IF(S2763=0,0,-(COUNTIF(S2763:S2764,"&gt;0")*$T$2722*$C$32+$V$2722*$C$31)*$H$27*$R$2722)</f>
        <v>0</v>
      </c>
      <c r="V2763">
        <f>IF(S2763=0,0,$V$2722*$H$26*$R$2722)</f>
        <v>0</v>
      </c>
      <c r="W2763">
        <f>(0.6*T2763+0.7*U2763)*$R$2722/2</f>
        <v>0</v>
      </c>
      <c r="X2763">
        <f>T2763*$R$2722/2</f>
        <v>0</v>
      </c>
      <c r="Z2763">
        <f>IF(S2763=0,0,$AD$2722*$AP$2711)</f>
        <v>0</v>
      </c>
      <c r="AA2763">
        <f>IFERROR(Z2763/$R$2722,0)</f>
        <v>0</v>
      </c>
      <c r="AB2763">
        <f>Z2763*($F$23+IF($F$23=0,0,($C$14+$C$15+IF($C$13="single",1.5,3)+3)/12))</f>
        <v>0</v>
      </c>
      <c r="AC2763">
        <f>AB2763-W2763</f>
        <v>0</v>
      </c>
      <c r="AD2763" cm="1">
        <f t="array" ref="AD2763">IFERROR(IF(AC2763&lt;0,0,AC2763/($R$2722-INDEX(hd_off,MATCH(AQ2763,hd_mark,0),0)/12)),0)</f>
        <v>0</v>
      </c>
      <c r="AE2763">
        <f>IF(S2763=0,0,$AD$2722*$AM$2711)</f>
        <v>0</v>
      </c>
      <c r="AF2763">
        <f>IFERROR(AE2763/$R$2722,0)</f>
        <v>0</v>
      </c>
      <c r="AG2763">
        <f>AE2763*($F$23+IF($F$23=0,0,($C$14+$C$15+IF($C$13="single",1.5,3)+3)/12))</f>
        <v>0</v>
      </c>
      <c r="AH2763">
        <f>AG2763-X2763</f>
        <v>0</v>
      </c>
      <c r="AI2763" cm="1">
        <f t="array" ref="AI2763">IFERROR(IF(AH2763&lt;0,0,AH2763/($R$2722-INDEX(hd_off,MATCH(AQ2763,hd_mark,0),0)/12)),0)</f>
        <v>0</v>
      </c>
      <c r="AJ2763">
        <f>MAX($F$23,$AA$2722)/$Q$2740</f>
        <v>0</v>
      </c>
      <c r="AK2763">
        <f t="shared" si="1713"/>
        <v>0</v>
      </c>
      <c r="AL2763" cm="1">
        <f t="array" ref="AL2763">IFERROR(INDEX(sheath_ecap_asd,MATCH(AP2763,sheath_mark,0),0)*AK2763,0)</f>
        <v>0</v>
      </c>
      <c r="AM2763" cm="1">
        <f t="array" ref="AM2763">IFERROR(INDEX(sheath_wcap_asd,MATCH(AP2763,sheath_mark,0),0)*AK2763,0)</f>
        <v>0</v>
      </c>
      <c r="AN2763" cm="1">
        <f t="array" ref="AN2763">IFERROR(INDEX(hd_cap,MATCH(AQ2763,hd_mark,0),0),0)</f>
        <v>0</v>
      </c>
      <c r="AP2763" s="19"/>
      <c r="AQ2763" s="19"/>
      <c r="AR2763" s="100"/>
      <c r="AS2763" s="93"/>
      <c r="AT2763" s="109" t="s">
        <v>491</v>
      </c>
      <c r="AU2763" t="str">
        <f>$Q$2711</f>
        <v>L4</v>
      </c>
      <c r="AV2763">
        <f>$E$23</f>
        <v>0</v>
      </c>
      <c r="AW2763" cm="1">
        <f t="array" ref="AW2763">IFERROR(IF(AV2763=0,0,(INDEX($C$33:$C$38,MATCH($AZ$2722,$B$33:$B$38,0),0)*(AV2765+$BA$2722)+$AW$2722*COUNTIF(AV2763:AV2764,"&gt;0")*$C$32+$AY$2722*$C$31)*$AU$2722),0)</f>
        <v>0</v>
      </c>
      <c r="AX2763">
        <f>IF(AV2763=0,0,-(COUNTIF(AV2763:AV2764,"&gt;0")*$AW$2722*$C$32+$AY$2722*$C$31)*$H$27*$AU$2722)</f>
        <v>0</v>
      </c>
      <c r="AY2763">
        <f>IF(AV2763=0,0,$AY$2722*$H$26*$AU$2722)</f>
        <v>0</v>
      </c>
      <c r="AZ2763">
        <f>(0.6*AW2763+0.7*AX2763)*$AU$2722/2</f>
        <v>0</v>
      </c>
      <c r="BA2763">
        <f>AW2763*$AU$2722/2</f>
        <v>0</v>
      </c>
      <c r="BC2763">
        <f>IF(AV2763=0,0,$BG$2722*$AP$2711)</f>
        <v>0</v>
      </c>
      <c r="BD2763">
        <f>IFERROR(BC2763/$AU$2722,0)</f>
        <v>0</v>
      </c>
      <c r="BE2763">
        <f>BC2763*($F$23+IF($F$23=0,0,($C$14+$C$15+IF($C$13="single",1.5,3)+3)/12))</f>
        <v>0</v>
      </c>
      <c r="BF2763">
        <f>BE2763-AZ2763</f>
        <v>0</v>
      </c>
      <c r="BG2763" cm="1">
        <f t="array" ref="BG2763">IFERROR(IF(BF2763&lt;0,0,BF2763/($AU$2722-INDEX(hd_off,MATCH(BT2763,hd_mark,0),0)/12)),0)</f>
        <v>0</v>
      </c>
      <c r="BH2763">
        <f>IF(AV2763=0,0,$BG$2722*$AM$2711)</f>
        <v>0</v>
      </c>
      <c r="BI2763">
        <f>IFERROR(BH2763/$AU$2722,0)</f>
        <v>0</v>
      </c>
      <c r="BJ2763">
        <f>BH2763*($F$23+IF($F$23=0,0,($C$14+$C$15+IF($C$13="single",1.5,3)+3)/12))</f>
        <v>0</v>
      </c>
      <c r="BK2763">
        <f>BJ2763-BA2763</f>
        <v>0</v>
      </c>
      <c r="BL2763" cm="1">
        <f t="array" ref="BL2763">IFERROR(IF(BK2763&lt;0,0,BK2763/($AU$2722-INDEX(hd_off,MATCH(BT2763,hd_mark,0),0)/12)),0)</f>
        <v>0</v>
      </c>
      <c r="BM2763">
        <f>MAX($F$23,$BD$2722)/$Q$2740</f>
        <v>0</v>
      </c>
      <c r="BN2763">
        <f t="shared" si="1714"/>
        <v>0</v>
      </c>
      <c r="BO2763" cm="1">
        <f t="array" ref="BO2763">IFERROR(INDEX(sheath_ecap_asd,MATCH(BS2763,sheath_mark,0),0)*BN2763,0)</f>
        <v>0</v>
      </c>
      <c r="BP2763" cm="1">
        <f t="array" ref="BP2763">IFERROR(INDEX(sheath_wcap_asd,MATCH(BS2763,sheath_mark,0),0)*BN2763,0)</f>
        <v>0</v>
      </c>
      <c r="BQ2763" cm="1">
        <f t="array" ref="BQ2763">IFERROR(INDEX(hd_cap,MATCH(BT2763,hd_mark,0),0),0)</f>
        <v>0</v>
      </c>
      <c r="BS2763" s="19"/>
      <c r="BT2763" s="19"/>
      <c r="BU2763" s="100"/>
    </row>
    <row r="2764" x14ac:dyDescent="0.25">
      <c r="P2764" s="93"/>
      <c r="Q2764" s="111">
        <f>$R$2722</f>
        <v>0</v>
      </c>
      <c r="R2764" t="str">
        <f>$Q$2712</f>
        <v>L5</v>
      </c>
      <c r="S2764">
        <f>$E$24</f>
        <v>0</v>
      </c>
      <c r="T2764" cm="1">
        <f t="array" ref="T2764">IFERROR(IF(S2764=0,0,(INDEX($C$33:$C$38,MATCH($W$2722,$B$33:$B$38,0),0)*(S2765+$X$2722)+$T$2722*COUNTIF(S2764:S2764,"&gt;0")*$C$32+$V$2722*$C$31)*$R$2722),0)</f>
        <v>0</v>
      </c>
      <c r="U2764">
        <f>IF(S2764=0,0,-(COUNTIF(S2764:S2764,"&gt;0")*$T$2722*$C$32+$V$2722*$C$31)*$H$27*$R$2722)</f>
        <v>0</v>
      </c>
      <c r="V2764">
        <f>IF(S2764=0,0,$V$2722*$H$26*$R$2722)</f>
        <v>0</v>
      </c>
      <c r="W2764">
        <f>(0.6*T2764+0.7*U2764)*$R$2722/2</f>
        <v>0</v>
      </c>
      <c r="X2764">
        <f>T2764*$R$2722/2</f>
        <v>0</v>
      </c>
      <c r="Z2764">
        <f>IF(S2764=0,0,$AD$2722*$AP$2712)</f>
        <v>0</v>
      </c>
      <c r="AA2764">
        <f>IFERROR(Z2764/$R$2722,0)</f>
        <v>0</v>
      </c>
      <c r="AB2764">
        <f>Z2764*($F$24+IF($F$24=0,0,($C$14+$C$15+IF($C$13="single",1.5,3)+3)/12))</f>
        <v>0</v>
      </c>
      <c r="AC2764">
        <f>AB2764-W2764</f>
        <v>0</v>
      </c>
      <c r="AD2764" cm="1">
        <f t="array" ref="AD2764">IFERROR(IF(AC2764&lt;0,0,AC2764/($R$2722-INDEX(hd_off,MATCH(AQ2764,hd_mark,0),0)/12)),0)</f>
        <v>0</v>
      </c>
      <c r="AE2764">
        <f>IF(S2764=0,0,$AD$2722*$AM$2712)</f>
        <v>0</v>
      </c>
      <c r="AF2764">
        <f>IFERROR(AE2764/$R$2722,0)</f>
        <v>0</v>
      </c>
      <c r="AG2764">
        <f>AE2764*($F$24+IF($F$24=0,0,($C$14+$C$15+IF($C$13="single",1.5,3)+3)/12))</f>
        <v>0</v>
      </c>
      <c r="AH2764">
        <f>AG2764-X2764</f>
        <v>0</v>
      </c>
      <c r="AI2764" cm="1">
        <f t="array" ref="AI2764">IFERROR(IF(AH2764&lt;0,0,AH2764/($R$2722-INDEX(hd_off,MATCH(AQ2764,hd_mark,0),0)/12)),0)</f>
        <v>0</v>
      </c>
      <c r="AJ2764">
        <f>MAX($F$24,$AB$2722)/$Q$2740</f>
        <v>0</v>
      </c>
      <c r="AK2764">
        <f t="shared" si="1713"/>
        <v>0</v>
      </c>
      <c r="AL2764" cm="1">
        <f t="array" ref="AL2764">IFERROR(INDEX(sheath_ecap_asd,MATCH(AP2764,sheath_mark,0),0)*AK2764,0)</f>
        <v>0</v>
      </c>
      <c r="AM2764" cm="1">
        <f t="array" ref="AM2764">IFERROR(INDEX(sheath_wcap_asd,MATCH(AP2764,sheath_mark,0),0)*AK2764,0)</f>
        <v>0</v>
      </c>
      <c r="AN2764" cm="1">
        <f t="array" ref="AN2764">IFERROR(INDEX(hd_cap,MATCH(AQ2764,hd_mark,0),0),0)</f>
        <v>0</v>
      </c>
      <c r="AP2764" s="19"/>
      <c r="AQ2764" s="19"/>
      <c r="AR2764" s="100"/>
      <c r="AS2764" s="93"/>
      <c r="AT2764" s="111">
        <f>$R$2722</f>
        <v>0</v>
      </c>
      <c r="AU2764" t="str">
        <f>$Q$2712</f>
        <v>L5</v>
      </c>
      <c r="AV2764">
        <f>$E$24</f>
        <v>0</v>
      </c>
      <c r="AW2764" cm="1">
        <f t="array" ref="AW2764">IFERROR(IF(AV2764=0,0,(INDEX($C$33:$C$38,MATCH($AZ$2722,$B$33:$B$38,0),0)*(AV2765+$BA$2722)+$AW$2722*COUNTIF(AV2764:AV2764,"&gt;0")*$C$32+$AY$2722*$C$31)*$AU$2722),0)</f>
        <v>0</v>
      </c>
      <c r="AX2764">
        <f>IF(AV2764=0,0,-(COUNTIF(AV2764:AV2764,"&gt;0")*$AW$2722*$C$32+$AY$2722*$C$31)*$H$27*$AU$2722)</f>
        <v>0</v>
      </c>
      <c r="AY2764">
        <f>IF(AV2764=0,0,$AY$2722*$H$26*$AU$2722)</f>
        <v>0</v>
      </c>
      <c r="AZ2764">
        <f>(0.6*AW2764+0.7*AX2764)*$AU$2722/2</f>
        <v>0</v>
      </c>
      <c r="BA2764">
        <f>AW2764*$AU$2722/2</f>
        <v>0</v>
      </c>
      <c r="BC2764">
        <f>IF(AV2764=0,0,$BG$2722*$AP$2712)</f>
        <v>0</v>
      </c>
      <c r="BD2764">
        <f>IFERROR(BC2764/$AU$2722,0)</f>
        <v>0</v>
      </c>
      <c r="BE2764">
        <f>BC2764*($F$24+IF($F$24=0,0,($C$14+$C$15+IF($C$13="single",1.5,3)+3)/12))</f>
        <v>0</v>
      </c>
      <c r="BF2764">
        <f>BE2764-AZ2764</f>
        <v>0</v>
      </c>
      <c r="BG2764" cm="1">
        <f t="array" ref="BG2764">IFERROR(IF(BF2764&lt;0,0,BF2764/($AU$2722-INDEX(hd_off,MATCH(BT2764,hd_mark,0),0)/12)),0)</f>
        <v>0</v>
      </c>
      <c r="BH2764">
        <f>IF(AV2764=0,0,$BG$2722*$AM$2712)</f>
        <v>0</v>
      </c>
      <c r="BI2764">
        <f>IFERROR(BH2764/$AU$2722,0)</f>
        <v>0</v>
      </c>
      <c r="BJ2764">
        <f>BH2764*($F$24+IF($F$24=0,0,($C$14+$C$15+IF($C$13="single",1.5,3)+3)/12))</f>
        <v>0</v>
      </c>
      <c r="BK2764">
        <f>BJ2764-BA2764</f>
        <v>0</v>
      </c>
      <c r="BL2764" cm="1">
        <f t="array" ref="BL2764">IFERROR(IF(BK2764&lt;0,0,BK2764/($AU$2722-INDEX(hd_off,MATCH(BT2764,hd_mark,0),0)/12)),0)</f>
        <v>0</v>
      </c>
      <c r="BM2764">
        <f>MAX($F$24,$BE$2722)/$Q$2740</f>
        <v>0</v>
      </c>
      <c r="BN2764">
        <f t="shared" si="1714"/>
        <v>0</v>
      </c>
      <c r="BO2764" cm="1">
        <f t="array" ref="BO2764">IFERROR(INDEX(sheath_ecap_asd,MATCH(BS2764,sheath_mark,0),0)*BN2764,0)</f>
        <v>0</v>
      </c>
      <c r="BP2764" cm="1">
        <f t="array" ref="BP2764">IFERROR(INDEX(sheath_wcap_asd,MATCH(BS2764,sheath_mark,0),0)*BN2764,0)</f>
        <v>0</v>
      </c>
      <c r="BQ2764" cm="1">
        <f t="array" ref="BQ2764">IFERROR(INDEX(hd_cap,MATCH(BT2764,hd_mark,0),0),0)</f>
        <v>0</v>
      </c>
      <c r="BS2764" s="19"/>
      <c r="BT2764" s="19"/>
      <c r="BU2764" s="100"/>
    </row>
    <row r="2765" x14ac:dyDescent="0.25">
      <c r="P2765" s="93"/>
      <c r="Q2765" s="109"/>
      <c r="R2765" t="str">
        <f>$Q$2713</f>
        <v>Roof</v>
      </c>
      <c r="S2765">
        <f>$E$25</f>
        <v>33.171875</v>
      </c>
      <c r="T2765" cm="1">
        <f t="array" ref="T2765">IFERROR(IF(S2765=0,0,(INDEX($C$33:$C$38,MATCH($W$2722,$B$33:$B$38,0),0)*(S2765+$X$2722)+$V$2722*$C$31)*$R$2722),0)</f>
        <v>0</v>
      </c>
      <c r="U2765">
        <f>IF(S2765=0,0,-$V$2722*$C$31*$H$27*$R$2722)</f>
        <v>0</v>
      </c>
      <c r="V2765">
        <f>IF(S2765=0,0,$V$2722*$H$26*$R$2722)</f>
        <v>0</v>
      </c>
      <c r="W2765">
        <f>(0.6*T2765+0.7*U2765)*$R$2722/2</f>
        <v>0</v>
      </c>
      <c r="X2765">
        <f>T2765*$R$2722/2</f>
        <v>0</v>
      </c>
      <c r="Z2765">
        <f>IF(S2765=0,0,$AD$2722*$AP$2713)</f>
        <v>0</v>
      </c>
      <c r="AA2765">
        <f>IFERROR(Z2765/$R$2722,0)</f>
        <v>0</v>
      </c>
      <c r="AB2765">
        <f>Z2765*($F$25+($C$16+$C$17+IF($C$13="single",1.5,3)+3)/12)</f>
        <v>0</v>
      </c>
      <c r="AC2765">
        <f>AB2765-W2765</f>
        <v>0</v>
      </c>
      <c r="AD2765" cm="1">
        <f t="array" ref="AD2765">IFERROR(IF(AC2765&lt;0,0,AC2765/($R$2722-INDEX(hd_off,MATCH(AQ2765,hd_mark,0),0)/12)),0)</f>
        <v>0</v>
      </c>
      <c r="AE2765">
        <f>IF(S2765=0,0,$AD$2722*$AM$2713)</f>
        <v>0</v>
      </c>
      <c r="AF2765">
        <f>IFERROR(AE2765/$R$2722,0)</f>
        <v>0</v>
      </c>
      <c r="AG2765">
        <f>AE2765*($F$25+($C$16+$C$17+IF($C$13="single",1.5,3)+3)/12)</f>
        <v>0</v>
      </c>
      <c r="AH2765">
        <f>AG2765-X2765</f>
        <v>0</v>
      </c>
      <c r="AI2765" cm="1">
        <f t="array" ref="AI2765">IFERROR(IF(AH2765&lt;0,0,AH2765/($R$2722-INDEX(hd_off,MATCH(AQ2765,hd_mark,0),0)/12)),0)</f>
        <v>0</v>
      </c>
      <c r="AJ2765">
        <f>MAX($F$25,$AC$2722)/$Q$2740</f>
        <v>0.29920977011494249</v>
      </c>
      <c r="AK2765">
        <f t="shared" si="1713"/>
        <v>1</v>
      </c>
      <c r="AL2765" cm="1">
        <f t="array" ref="AL2765">IFERROR(INDEX(sheath_ecap_asd,MATCH(AP2765,sheath_mark,0),0)*AK2765,0)</f>
        <v>0</v>
      </c>
      <c r="AM2765" cm="1">
        <f t="array" ref="AM2765">IFERROR(INDEX(sheath_wcap_asd,MATCH(AP2765,sheath_mark,0),0)*AK2765,0)</f>
        <v>0</v>
      </c>
      <c r="AN2765" cm="1">
        <f t="array" ref="AN2765">IFERROR(INDEX(hd_cap,MATCH(AQ2765,hd_mark,0),0),0)</f>
        <v>0</v>
      </c>
      <c r="AP2765" s="19"/>
      <c r="AQ2765" s="19"/>
      <c r="AR2765" s="100"/>
      <c r="AS2765" s="93"/>
      <c r="AT2765" s="109"/>
      <c r="AU2765" t="str">
        <f>$Q$2713</f>
        <v>Roof</v>
      </c>
      <c r="AV2765">
        <f>$E$25</f>
        <v>33.171875</v>
      </c>
      <c r="AW2765" cm="1">
        <f t="array" ref="AW2765">IFERROR(IF(AV2765=0,0,(INDEX($C$33:$C$38,MATCH($AZ$2722,$B$33:$B$38,0),0)*(AV2765+$BA$2722)+$AY$2722*$C$31)*$AU$2722),0)</f>
        <v>0</v>
      </c>
      <c r="AX2765">
        <f>IF(AV2765=0,0,-$AY$2722*$C$31*$H$27*$AU$2722)</f>
        <v>0</v>
      </c>
      <c r="AY2765">
        <f>IF(AV2765=0,0,$AY$2722*$H$26*$AU$2722)</f>
        <v>0</v>
      </c>
      <c r="AZ2765">
        <f>(0.6*AW2765+0.7*AX2765)*$AU$2722/2</f>
        <v>0</v>
      </c>
      <c r="BA2765">
        <f>AW2765*$AU$2722/2</f>
        <v>0</v>
      </c>
      <c r="BC2765">
        <f>IF(AV2765=0,0,$BG$2722*$AP$2713)</f>
        <v>0</v>
      </c>
      <c r="BD2765">
        <f>IFERROR(BC2765/$AU$2722,0)</f>
        <v>0</v>
      </c>
      <c r="BE2765">
        <f>BC2765*($F$25+($C$16+$C$17+IF($C$13="single",1.5,3)+3)/12)</f>
        <v>0</v>
      </c>
      <c r="BF2765">
        <f>BE2765-AZ2765</f>
        <v>0</v>
      </c>
      <c r="BG2765" cm="1">
        <f t="array" ref="BG2765">IFERROR(IF(BF2765&lt;0,0,BF2765/($AU$2722-INDEX(hd_off,MATCH(BT2765,hd_mark,0),0)/12)),0)</f>
        <v>0</v>
      </c>
      <c r="BH2765">
        <f>IF(AV2765=0,0,$BG$2722*$AM$2713)</f>
        <v>0</v>
      </c>
      <c r="BI2765">
        <f>IFERROR(BH2765/$AU$2722,0)</f>
        <v>0</v>
      </c>
      <c r="BJ2765">
        <f>BH2765*($F$25+($C$16+$C$17+IF($C$13="single",1.5,3)+3)/12)</f>
        <v>0</v>
      </c>
      <c r="BK2765">
        <f>BJ2765-BA2765</f>
        <v>0</v>
      </c>
      <c r="BL2765" cm="1">
        <f t="array" ref="BL2765">IFERROR(IF(BK2765&lt;0,0,BK2765/($AU$2722-INDEX(hd_off,MATCH(BT2765,hd_mark,0),0)/12)),0)</f>
        <v>0</v>
      </c>
      <c r="BM2765">
        <f>MAX($F$25,$BF$2722)/$Q$2740</f>
        <v>0.29920977011494249</v>
      </c>
      <c r="BN2765">
        <f t="shared" si="1714"/>
        <v>1</v>
      </c>
      <c r="BO2765" cm="1">
        <f t="array" ref="BO2765">IFERROR(INDEX(sheath_ecap_asd,MATCH(BS2765,sheath_mark,0),0)*BN2765,0)</f>
        <v>0</v>
      </c>
      <c r="BP2765" cm="1">
        <f t="array" ref="BP2765">IFERROR(INDEX(sheath_wcap_asd,MATCH(BS2765,sheath_mark,0),0)*BN2765,0)</f>
        <v>0</v>
      </c>
      <c r="BQ2765" cm="1">
        <f t="array" ref="BQ2765">IFERROR(INDEX(hd_cap,MATCH(BT2765,hd_mark,0),0),0)</f>
        <v>0</v>
      </c>
      <c r="BS2765" s="19"/>
      <c r="BT2765" s="19"/>
      <c r="BU2765" s="100"/>
    </row>
    <row r="2766" x14ac:dyDescent="0.25">
      <c r="P2766" s="93"/>
      <c r="AR2766" s="100"/>
      <c r="AS2766" s="93"/>
      <c r="BU2766" s="100"/>
    </row>
    <row r="2767" x14ac:dyDescent="0.25">
      <c r="P2767" s="93"/>
      <c r="Q2767" s="110" t="str">
        <f>$Q$2723</f>
        <v>A.06</v>
      </c>
      <c r="R2767" t="str">
        <f>$Q$2709</f>
        <v>L2</v>
      </c>
      <c r="S2767">
        <f>$E$21</f>
        <v>10.6875</v>
      </c>
      <c r="T2767" cm="1">
        <f t="array" ref="T2767">IFERROR(IF(S2767=0,0,(INDEX($C$33:$C$38,MATCH($W$2723,$B$33:$B$38,0),0)*(S2771+$X$2723)+$T$2723*COUNTIF(S2767:S2770,"&gt;0")*$C$32+$V$2723*$C$31)*$R$2723),0)</f>
        <v>0</v>
      </c>
      <c r="U2767">
        <f>IF(S2767=0,0,-(COUNTIF(S2767:S2770,"&gt;0")*$T$2723*$C$32+$V$2723*$C$31)*$H$27*$R$2723)</f>
        <v>0</v>
      </c>
      <c r="V2767">
        <f>IF(S2767=0,0,$V$2723*$H$26*$R$2723)</f>
        <v>0</v>
      </c>
      <c r="W2767">
        <f>(0.6*T2767+0.7*U2767)*$R$2723/2</f>
        <v>0</v>
      </c>
      <c r="X2767">
        <f>(0.6*T2767+0.6*V2767)*$R$2723/2</f>
        <v>0</v>
      </c>
      <c r="Z2767">
        <f>IF(S2767=0,0,$AD$2723*$AP$2709)</f>
        <v>0</v>
      </c>
      <c r="AA2767">
        <f>IFERROR(Z2767/$R$2723,0)</f>
        <v>0</v>
      </c>
      <c r="AB2767">
        <f>Z2767*($F$21+IF($F$21=0,0,($C$14+$C$15+IF($C$13="single",1.5,3)+3)/12))</f>
        <v>0</v>
      </c>
      <c r="AC2767">
        <f>AB2767-W2767</f>
        <v>0</v>
      </c>
      <c r="AD2767" cm="1">
        <f t="array" ref="AD2767">IFERROR(IF(AC2767&lt;0,0,AC2767/($R$2723-INDEX(hd_off,MATCH(AQ2767,hd_mark,0),0)/12)),0)</f>
        <v>0</v>
      </c>
      <c r="AE2767">
        <f>IF(S2767=0,0,$AD$2723*$AM$2709)</f>
        <v>0</v>
      </c>
      <c r="AF2767">
        <f>IFERROR(AE2767/$R$2723,0)</f>
        <v>0</v>
      </c>
      <c r="AG2767">
        <f>AE2767*($F$21+IF($F$21=0,0,($C$14+$C$15+IF($C$13="single",1.5,3)+3)/12))</f>
        <v>0</v>
      </c>
      <c r="AH2767">
        <f>AG2767-X2767</f>
        <v>0</v>
      </c>
      <c r="AI2767" cm="1">
        <f t="array" ref="AI2767">IFERROR(IF(AH2767&lt;0,0,AH2767/($R$2723-INDEX(hd_off,MATCH(AQ2767,hd_mark,0),0)/12)),0)</f>
        <v>0</v>
      </c>
      <c r="AJ2767">
        <f>MAX($F$21,$Y$2723)/$Q$2740</f>
        <v>0.30172413793103448</v>
      </c>
      <c r="AK2767">
        <f>IF(AJ2767=0,0,IF(AJ2767&gt;2,1.25-0.125*AJ2767,1))</f>
        <v>1</v>
      </c>
      <c r="AL2767" cm="1">
        <f t="array" ref="AL2767">IFERROR(INDEX(sheath_ecap_asd,MATCH(AP2767,sheath_mark,0),0)*AK2767,0)</f>
        <v>0</v>
      </c>
      <c r="AM2767" cm="1">
        <f t="array" ref="AM2767">IFERROR(INDEX(sheath_wcap_asd,MATCH(AP2767,sheath_mark,0),0)*AK2767,0)</f>
        <v>0</v>
      </c>
      <c r="AN2767" cm="1">
        <f t="array" ref="AN2767">IFERROR(INDEX(hd_cap,MATCH(AQ2767,hd_mark,0),0),0)</f>
        <v>0</v>
      </c>
      <c r="AP2767" s="19"/>
      <c r="AQ2767" s="19"/>
      <c r="AR2767" s="100"/>
      <c r="AS2767" s="93"/>
      <c r="AT2767" s="110" t="str">
        <f>$AT$2723</f>
        <v>1.06</v>
      </c>
      <c r="AU2767" t="str">
        <f>$Q$2709</f>
        <v>L2</v>
      </c>
      <c r="AV2767">
        <f>$E$21</f>
        <v>10.6875</v>
      </c>
      <c r="AW2767" cm="1">
        <f t="array" ref="AW2767">IFERROR(IF(AV2767=0,0,(INDEX($C$33:$C$38,MATCH($AZ$2723,$B$33:$B$38,0),0)*(AV2771+$BA$2723)+$AW$2723*COUNTIF(AV2767:AV2770,"&gt;0")*$C$32+$AY$2723*$C$31)*$AU$2723),0)</f>
        <v>0</v>
      </c>
      <c r="AX2767">
        <f>IF(AV2767=0,0,-(COUNTIF(AV2767:AV2770,"&gt;0")*$AW$2723*$C$32+$AY$2723*$C$31)*$H$27*$AU$2723)</f>
        <v>0</v>
      </c>
      <c r="AY2767">
        <f>IF(AV2767=0,0,$AY$2723*$H$26*$AU$2723)</f>
        <v>0</v>
      </c>
      <c r="AZ2767">
        <f>(0.6*AW2767+0.7*AX2767)*$AU$2723/2</f>
        <v>0</v>
      </c>
      <c r="BA2767">
        <f>(0.6*AW2767+0.6*AY2767)*$AU$2723/2</f>
        <v>0</v>
      </c>
      <c r="BC2767">
        <f>IF(AV2767=0,0,$BG$2723*$AP$2709)</f>
        <v>0</v>
      </c>
      <c r="BD2767">
        <f>IFERROR(BC2767/$AU$2723,0)</f>
        <v>0</v>
      </c>
      <c r="BE2767">
        <f>BC2767*($F$21+IF($F$21=0,0,($C$14+$C$15+IF($C$13="single",1.5,3)+3)/12))</f>
        <v>0</v>
      </c>
      <c r="BF2767">
        <f>BE2767-AZ2767</f>
        <v>0</v>
      </c>
      <c r="BG2767" cm="1">
        <f t="array" ref="BG2767">IFERROR(IF(BF2767&lt;0,0,BF2767/($AU$2723-INDEX(hd_off,MATCH(BT2767,hd_mark,0),0)/12)),0)</f>
        <v>0</v>
      </c>
      <c r="BH2767">
        <f>IF(AV2767=0,0,$BG$2723*$AM$2709)</f>
        <v>0</v>
      </c>
      <c r="BI2767">
        <f>IFERROR(BH2767/$AU$2723,0)</f>
        <v>0</v>
      </c>
      <c r="BJ2767">
        <f>BH2767*($F$21+IF($F$21=0,0,($C$14+$C$15+IF($C$13="single",1.5,3)+3)/12))</f>
        <v>0</v>
      </c>
      <c r="BK2767">
        <f>BJ2767-BA2767</f>
        <v>0</v>
      </c>
      <c r="BL2767" cm="1">
        <f t="array" ref="BL2767">IFERROR(IF(BK2767&lt;0,0,BK2767/($AU$2723-INDEX(hd_off,MATCH(BT2767,hd_mark,0),0)/12)),0)</f>
        <v>0</v>
      </c>
      <c r="BM2767">
        <f>MAX($F$21,$BB$2723)/$Q$2740</f>
        <v>0.30172413793103448</v>
      </c>
      <c r="BN2767">
        <f>IF(BM2767=0,0,IF(BM2767&gt;2,1.25-0.125*BM2767,1))</f>
        <v>1</v>
      </c>
      <c r="BO2767" cm="1">
        <f t="array" ref="BO2767">IFERROR(INDEX(sheath_ecap_asd,MATCH(BS2767,sheath_mark,0),0)*BN2767,0)</f>
        <v>0</v>
      </c>
      <c r="BP2767" cm="1">
        <f t="array" ref="BP2767">IFERROR(INDEX(sheath_wcap_asd,MATCH(BS2767,sheath_mark,0),0)*BN2767,0)</f>
        <v>0</v>
      </c>
      <c r="BQ2767" cm="1">
        <f t="array" ref="BQ2767">IFERROR(INDEX(hd_cap,MATCH(BT2767,hd_mark,0),0),0)</f>
        <v>0</v>
      </c>
      <c r="BS2767" s="19"/>
      <c r="BT2767" s="19"/>
      <c r="BU2767" s="100"/>
    </row>
    <row r="2768" x14ac:dyDescent="0.25">
      <c r="P2768" s="93"/>
      <c r="Q2768" s="109"/>
      <c r="R2768" t="str">
        <f>$Q$2710</f>
        <v>L3</v>
      </c>
      <c r="S2768">
        <f>$E$22</f>
        <v>21.375</v>
      </c>
      <c r="T2768" cm="1">
        <f t="array" ref="T2768">IFERROR(IF(S2768=0,0,(INDEX($C$33:$C$38,MATCH($W$2723,$B$33:$B$38,0),0)*(S2771+$X$2723)+$T$2723*COUNTIF(S2768:S2770,"&gt;0")*$C$32+$V$2723*$C$31)*$R$2723),0)</f>
        <v>0</v>
      </c>
      <c r="U2768">
        <f>IF(S2768=0,0,-(COUNTIF(S2768:S2770,"&gt;0")*$T$2723*$C$32+$V$2723*$C$31)*$H$27*$R$2723)</f>
        <v>0</v>
      </c>
      <c r="V2768">
        <f>IF(S2768=0,0,$V$2723*$H$26*$R$2723)</f>
        <v>0</v>
      </c>
      <c r="W2768">
        <f>(0.6*T2768+0.7*U2768)*$R$2723/2</f>
        <v>0</v>
      </c>
      <c r="X2768">
        <f>T2768*$R$2723/2</f>
        <v>0</v>
      </c>
      <c r="Z2768">
        <f>IF(S2768=0,0,$AD$2723*$AP$2710)</f>
        <v>0</v>
      </c>
      <c r="AA2768">
        <f>IFERROR(Z2768/$R$2723,0)</f>
        <v>0</v>
      </c>
      <c r="AB2768">
        <f>Z2768*($F$22+IF($F$22=0,0,($C$14+$C$15+IF($C$13="single",1.5,3)+3)/12))</f>
        <v>0</v>
      </c>
      <c r="AC2768">
        <f>AB2768-W2768</f>
        <v>0</v>
      </c>
      <c r="AD2768" cm="1">
        <f t="array" ref="AD2768">IFERROR(IF(AC2768&lt;0,0,AC2768/($R$2723-INDEX(hd_off,MATCH(AQ2768,hd_mark,0),0)/12)),0)</f>
        <v>0</v>
      </c>
      <c r="AE2768">
        <f>IF(S2768=0,0,$AD$2723*$AM$2710)</f>
        <v>0</v>
      </c>
      <c r="AF2768">
        <f>IFERROR(AE2768/$R$2723,0)</f>
        <v>0</v>
      </c>
      <c r="AG2768">
        <f>AE2768*($F$22+IF($F$22=0,0,($C$14+$C$15+IF($C$13="single",1.5,3)+3)/12))</f>
        <v>0</v>
      </c>
      <c r="AH2768">
        <f>AG2768-X2768</f>
        <v>0</v>
      </c>
      <c r="AI2768" cm="1">
        <f t="array" ref="AI2768">IFERROR(IF(AH2768&lt;0,0,AH2768/($R$2723-INDEX(hd_off,MATCH(AQ2768,hd_mark,0),0)/12)),0)</f>
        <v>0</v>
      </c>
      <c r="AJ2768">
        <f>MAX($F$22,$Z$2723)/$Q$2740</f>
        <v>0.30172413793103448</v>
      </c>
      <c r="AK2768">
        <f t="shared" ref="AK2768:AK2771" si="1715">IF(AJ2768=0,0,IF(AJ2768&gt;2,1.25-0.125*AJ2768,1))</f>
        <v>1</v>
      </c>
      <c r="AL2768" cm="1">
        <f t="array" ref="AL2768">IFERROR(INDEX(sheath_ecap_asd,MATCH(AP2768,sheath_mark,0),0)*AK2768,0)</f>
        <v>0</v>
      </c>
      <c r="AM2768" cm="1">
        <f t="array" ref="AM2768">IFERROR(INDEX(sheath_wcap_asd,MATCH(AP2768,sheath_mark,0),0)*AK2768,0)</f>
        <v>0</v>
      </c>
      <c r="AN2768" cm="1">
        <f t="array" ref="AN2768">IFERROR(INDEX(hd_cap,MATCH(AQ2768,hd_mark,0),0),0)</f>
        <v>0</v>
      </c>
      <c r="AP2768" s="19"/>
      <c r="AQ2768" s="19"/>
      <c r="AR2768" s="100"/>
      <c r="AS2768" s="93"/>
      <c r="AT2768" s="109"/>
      <c r="AU2768" t="str">
        <f>$Q$2710</f>
        <v>L3</v>
      </c>
      <c r="AV2768">
        <f>$E$22</f>
        <v>21.375</v>
      </c>
      <c r="AW2768" cm="1">
        <f t="array" ref="AW2768">IFERROR(IF(AV2768=0,0,(INDEX($C$33:$C$38,MATCH($AZ$2723,$B$33:$B$38,0),0)*(AV2771+$BA$2723)+$AW$2723*COUNTIF(AV2768:AV2770,"&gt;0")*$C$32+$AY$2723*$C$31)*$AU$2723),0)</f>
        <v>0</v>
      </c>
      <c r="AX2768">
        <f>IF(AV2768=0,0,-(COUNTIF(AV2768:AV2770,"&gt;0")*$AW$2723*$C$32+$AY$2723*$C$31)*$H$27*$AU$2723)</f>
        <v>0</v>
      </c>
      <c r="AY2768">
        <f>IF(AV2768=0,0,$AY$2723*$H$26*$AU$2723)</f>
        <v>0</v>
      </c>
      <c r="AZ2768">
        <f>(0.6*AW2768+0.7*AX2768)*$AU$2723/2</f>
        <v>0</v>
      </c>
      <c r="BA2768">
        <f>AW2768*$AU$2723/2</f>
        <v>0</v>
      </c>
      <c r="BC2768">
        <f>IF(AV2768=0,0,$BG$2723*$AP$2710)</f>
        <v>0</v>
      </c>
      <c r="BD2768">
        <f>IFERROR(BC2768/$AU$2723,0)</f>
        <v>0</v>
      </c>
      <c r="BE2768">
        <f>BC2768*($F$22+IF($F$22=0,0,($C$14+$C$15+IF($C$13="single",1.5,3)+3)/12))</f>
        <v>0</v>
      </c>
      <c r="BF2768">
        <f>BE2768-AZ2768</f>
        <v>0</v>
      </c>
      <c r="BG2768" cm="1">
        <f t="array" ref="BG2768">IFERROR(IF(BF2768&lt;0,0,BF2768/($AU$2723-INDEX(hd_off,MATCH(BT2768,hd_mark,0),0)/12)),0)</f>
        <v>0</v>
      </c>
      <c r="BH2768">
        <f>IF(AV2768=0,0,$BG$2723*$AM$2710)</f>
        <v>0</v>
      </c>
      <c r="BI2768">
        <f>IFERROR(BH2768/$AU$2723,0)</f>
        <v>0</v>
      </c>
      <c r="BJ2768">
        <f>BH2768*($F$22+IF($F$22=0,0,($C$14+$C$15+IF($C$13="single",1.5,3)+3)/12))</f>
        <v>0</v>
      </c>
      <c r="BK2768">
        <f>BJ2768-BA2768</f>
        <v>0</v>
      </c>
      <c r="BL2768" cm="1">
        <f t="array" ref="BL2768">IFERROR(IF(BK2768&lt;0,0,BK2768/($AU$2723-INDEX(hd_off,MATCH(BT2768,hd_mark,0),0)/12)),0)</f>
        <v>0</v>
      </c>
      <c r="BM2768">
        <f>MAX($F$22,$BC$2723)/$Q$2740</f>
        <v>0.30172413793103448</v>
      </c>
      <c r="BN2768">
        <f t="shared" ref="BN2768:BN2771" si="1716">IF(BM2768=0,0,IF(BM2768&gt;2,1.25-0.125*BM2768,1))</f>
        <v>1</v>
      </c>
      <c r="BO2768" cm="1">
        <f t="array" ref="BO2768">IFERROR(INDEX(sheath_ecap_asd,MATCH(BS2768,sheath_mark,0),0)*BN2768,0)</f>
        <v>0</v>
      </c>
      <c r="BP2768" cm="1">
        <f t="array" ref="BP2768">IFERROR(INDEX(sheath_wcap_asd,MATCH(BS2768,sheath_mark,0),0)*BN2768,0)</f>
        <v>0</v>
      </c>
      <c r="BQ2768" cm="1">
        <f t="array" ref="BQ2768">IFERROR(INDEX(hd_cap,MATCH(BT2768,hd_mark,0),0),0)</f>
        <v>0</v>
      </c>
      <c r="BS2768" s="19"/>
      <c r="BT2768" s="19"/>
      <c r="BU2768" s="100"/>
    </row>
    <row r="2769" x14ac:dyDescent="0.25">
      <c r="P2769" s="93"/>
      <c r="Q2769" s="109" t="s">
        <v>491</v>
      </c>
      <c r="R2769" t="str">
        <f>$Q$2711</f>
        <v>L4</v>
      </c>
      <c r="S2769">
        <f>$E$23</f>
        <v>0</v>
      </c>
      <c r="T2769" cm="1">
        <f t="array" ref="T2769">IFERROR(IF(S2769=0,0,(INDEX($C$33:$C$38,MATCH($W$2723,$B$33:$B$38,0),0)*(S2771+$X$2723)+$T$2723*COUNTIF(S2769:S2770,"&gt;0")*$C$32+$V$2723*$C$31)*$R$2723),0)</f>
        <v>0</v>
      </c>
      <c r="U2769">
        <f>IF(S2769=0,0,-(COUNTIF(S2769:S2770,"&gt;0")*$T$2723*$C$32+$V$2723*$C$31)*$H$27*$R$2723)</f>
        <v>0</v>
      </c>
      <c r="V2769">
        <f>IF(S2769=0,0,$V$2723*$H$26*$R$2723)</f>
        <v>0</v>
      </c>
      <c r="W2769">
        <f>(0.6*T2769+0.7*U2769)*$R$2723/2</f>
        <v>0</v>
      </c>
      <c r="X2769">
        <f>T2769*$R$2723/2</f>
        <v>0</v>
      </c>
      <c r="Z2769">
        <f>IF(S2769=0,0,$AD$2723*$AP$2711)</f>
        <v>0</v>
      </c>
      <c r="AA2769">
        <f>IFERROR(Z2769/$R$2723,0)</f>
        <v>0</v>
      </c>
      <c r="AB2769">
        <f>Z2769*($F$23+IF($F$23=0,0,($C$14+$C$15+IF($C$13="single",1.5,3)+3)/12))</f>
        <v>0</v>
      </c>
      <c r="AC2769">
        <f>AB2769-W2769</f>
        <v>0</v>
      </c>
      <c r="AD2769" cm="1">
        <f t="array" ref="AD2769">IFERROR(IF(AC2769&lt;0,0,AC2769/($R$2723-INDEX(hd_off,MATCH(AQ2769,hd_mark,0),0)/12)),0)</f>
        <v>0</v>
      </c>
      <c r="AE2769">
        <f>IF(S2769=0,0,$AD$2723*$AM$2711)</f>
        <v>0</v>
      </c>
      <c r="AF2769">
        <f>IFERROR(AE2769/$R$2723,0)</f>
        <v>0</v>
      </c>
      <c r="AG2769">
        <f>AE2769*($F$23+IF($F$23=0,0,($C$14+$C$15+IF($C$13="single",1.5,3)+3)/12))</f>
        <v>0</v>
      </c>
      <c r="AH2769">
        <f>AG2769-X2769</f>
        <v>0</v>
      </c>
      <c r="AI2769" cm="1">
        <f t="array" ref="AI2769">IFERROR(IF(AH2769&lt;0,0,AH2769/($R$2723-INDEX(hd_off,MATCH(AQ2769,hd_mark,0),0)/12)),0)</f>
        <v>0</v>
      </c>
      <c r="AJ2769">
        <f>MAX($F$23,$AA$2723)/$Q$2740</f>
        <v>0</v>
      </c>
      <c r="AK2769">
        <f t="shared" si="1715"/>
        <v>0</v>
      </c>
      <c r="AL2769" cm="1">
        <f t="array" ref="AL2769">IFERROR(INDEX(sheath_ecap_asd,MATCH(AP2769,sheath_mark,0),0)*AK2769,0)</f>
        <v>0</v>
      </c>
      <c r="AM2769" cm="1">
        <f t="array" ref="AM2769">IFERROR(INDEX(sheath_wcap_asd,MATCH(AP2769,sheath_mark,0),0)*AK2769,0)</f>
        <v>0</v>
      </c>
      <c r="AN2769" cm="1">
        <f t="array" ref="AN2769">IFERROR(INDEX(hd_cap,MATCH(AQ2769,hd_mark,0),0),0)</f>
        <v>0</v>
      </c>
      <c r="AP2769" s="19"/>
      <c r="AQ2769" s="19"/>
      <c r="AR2769" s="100"/>
      <c r="AS2769" s="93"/>
      <c r="AT2769" s="109" t="s">
        <v>491</v>
      </c>
      <c r="AU2769" t="str">
        <f>$Q$2711</f>
        <v>L4</v>
      </c>
      <c r="AV2769">
        <f>$E$23</f>
        <v>0</v>
      </c>
      <c r="AW2769" cm="1">
        <f t="array" ref="AW2769">IFERROR(IF(AV2769=0,0,(INDEX($C$33:$C$38,MATCH($AZ$2723,$B$33:$B$38,0),0)*(AV2771+$BA$2723)+$AW$2723*COUNTIF(AV2769:AV2770,"&gt;0")*$C$32+$AY$2723*$C$31)*$AU$2723),0)</f>
        <v>0</v>
      </c>
      <c r="AX2769">
        <f>IF(AV2769=0,0,-(COUNTIF(AV2769:AV2770,"&gt;0")*$AW$2723*$C$32+$AY$2723*$C$31)*$H$27*$AU$2723)</f>
        <v>0</v>
      </c>
      <c r="AY2769">
        <f>IF(AV2769=0,0,$AY$2723*$H$26*$AU$2723)</f>
        <v>0</v>
      </c>
      <c r="AZ2769">
        <f>(0.6*AW2769+0.7*AX2769)*$AU$2723/2</f>
        <v>0</v>
      </c>
      <c r="BA2769">
        <f>AW2769*$AU$2723/2</f>
        <v>0</v>
      </c>
      <c r="BC2769">
        <f>IF(AV2769=0,0,$BG$2723*$AP$2711)</f>
        <v>0</v>
      </c>
      <c r="BD2769">
        <f>IFERROR(BC2769/$AU$2723,0)</f>
        <v>0</v>
      </c>
      <c r="BE2769">
        <f>BC2769*($F$23+IF($F$23=0,0,($C$14+$C$15+IF($C$13="single",1.5,3)+3)/12))</f>
        <v>0</v>
      </c>
      <c r="BF2769">
        <f>BE2769-AZ2769</f>
        <v>0</v>
      </c>
      <c r="BG2769" cm="1">
        <f t="array" ref="BG2769">IFERROR(IF(BF2769&lt;0,0,BF2769/($AU$2723-INDEX(hd_off,MATCH(BT2769,hd_mark,0),0)/12)),0)</f>
        <v>0</v>
      </c>
      <c r="BH2769">
        <f>IF(AV2769=0,0,$BG$2723*$AM$2711)</f>
        <v>0</v>
      </c>
      <c r="BI2769">
        <f>IFERROR(BH2769/$AU$2723,0)</f>
        <v>0</v>
      </c>
      <c r="BJ2769">
        <f>BH2769*($F$23+IF($F$23=0,0,($C$14+$C$15+IF($C$13="single",1.5,3)+3)/12))</f>
        <v>0</v>
      </c>
      <c r="BK2769">
        <f>BJ2769-BA2769</f>
        <v>0</v>
      </c>
      <c r="BL2769" cm="1">
        <f t="array" ref="BL2769">IFERROR(IF(BK2769&lt;0,0,BK2769/($AU$2723-INDEX(hd_off,MATCH(BT2769,hd_mark,0),0)/12)),0)</f>
        <v>0</v>
      </c>
      <c r="BM2769">
        <f>MAX($F$23,$BD$2723)/$Q$2740</f>
        <v>0</v>
      </c>
      <c r="BN2769">
        <f t="shared" si="1716"/>
        <v>0</v>
      </c>
      <c r="BO2769" cm="1">
        <f t="array" ref="BO2769">IFERROR(INDEX(sheath_ecap_asd,MATCH(BS2769,sheath_mark,0),0)*BN2769,0)</f>
        <v>0</v>
      </c>
      <c r="BP2769" cm="1">
        <f t="array" ref="BP2769">IFERROR(INDEX(sheath_wcap_asd,MATCH(BS2769,sheath_mark,0),0)*BN2769,0)</f>
        <v>0</v>
      </c>
      <c r="BQ2769" cm="1">
        <f t="array" ref="BQ2769">IFERROR(INDEX(hd_cap,MATCH(BT2769,hd_mark,0),0),0)</f>
        <v>0</v>
      </c>
      <c r="BS2769" s="19"/>
      <c r="BT2769" s="19"/>
      <c r="BU2769" s="100"/>
    </row>
    <row r="2770" x14ac:dyDescent="0.25">
      <c r="P2770" s="93"/>
      <c r="Q2770" s="111">
        <f>$R$2723</f>
        <v>0</v>
      </c>
      <c r="R2770" t="str">
        <f>$Q$2712</f>
        <v>L5</v>
      </c>
      <c r="S2770">
        <f>$E$24</f>
        <v>0</v>
      </c>
      <c r="T2770" cm="1">
        <f t="array" ref="T2770">IFERROR(IF(S2770=0,0,(INDEX($C$33:$C$38,MATCH($W$2723,$B$33:$B$38,0),0)*(S2771+$X$2723)+$T$2723*COUNTIF(S2770:S2770,"&gt;0")*$C$32+$V$2723*$C$31)*$R$2723),0)</f>
        <v>0</v>
      </c>
      <c r="U2770">
        <f>IF(S2770=0,0,-(COUNTIF(S2770:S2770,"&gt;0")*$T$2723*$C$32+$V$2723*$C$31)*$H$27*$R$2723)</f>
        <v>0</v>
      </c>
      <c r="V2770">
        <f>IF(S2770=0,0,$V$2723*$H$26*$R$2723)</f>
        <v>0</v>
      </c>
      <c r="W2770">
        <f>(0.6*T2770+0.7*U2770)*$R$2723/2</f>
        <v>0</v>
      </c>
      <c r="X2770">
        <f>T2770*$R$2723/2</f>
        <v>0</v>
      </c>
      <c r="Z2770">
        <f>IF(S2770=0,0,$AD$2723*$AP$2712)</f>
        <v>0</v>
      </c>
      <c r="AA2770">
        <f>IFERROR(Z2770/$R$2723,0)</f>
        <v>0</v>
      </c>
      <c r="AB2770">
        <f>Z2770*($F$24+IF($F$24=0,0,($C$14+$C$15+IF($C$13="single",1.5,3)+3)/12))</f>
        <v>0</v>
      </c>
      <c r="AC2770">
        <f>AB2770-W2770</f>
        <v>0</v>
      </c>
      <c r="AD2770" cm="1">
        <f t="array" ref="AD2770">IFERROR(IF(AC2770&lt;0,0,AC2770/($R$2723-INDEX(hd_off,MATCH(AQ2770,hd_mark,0),0)/12)),0)</f>
        <v>0</v>
      </c>
      <c r="AE2770">
        <f>IF(S2770=0,0,$AD$2723*$AM$2712)</f>
        <v>0</v>
      </c>
      <c r="AF2770">
        <f>IFERROR(AE2770/$R$2723,0)</f>
        <v>0</v>
      </c>
      <c r="AG2770">
        <f>AE2770*($F$24+IF($F$24=0,0,($C$14+$C$15+IF($C$13="single",1.5,3)+3)/12))</f>
        <v>0</v>
      </c>
      <c r="AH2770">
        <f>AG2770-X2770</f>
        <v>0</v>
      </c>
      <c r="AI2770" cm="1">
        <f t="array" ref="AI2770">IFERROR(IF(AH2770&lt;0,0,AH2770/($R$2723-INDEX(hd_off,MATCH(AQ2770,hd_mark,0),0)/12)),0)</f>
        <v>0</v>
      </c>
      <c r="AJ2770">
        <f>MAX($F$24,$AB$2723)/$Q$2740</f>
        <v>0</v>
      </c>
      <c r="AK2770">
        <f t="shared" si="1715"/>
        <v>0</v>
      </c>
      <c r="AL2770" cm="1">
        <f t="array" ref="AL2770">IFERROR(INDEX(sheath_ecap_asd,MATCH(AP2770,sheath_mark,0),0)*AK2770,0)</f>
        <v>0</v>
      </c>
      <c r="AM2770" cm="1">
        <f t="array" ref="AM2770">IFERROR(INDEX(sheath_wcap_asd,MATCH(AP2770,sheath_mark,0),0)*AK2770,0)</f>
        <v>0</v>
      </c>
      <c r="AN2770" cm="1">
        <f t="array" ref="AN2770">IFERROR(INDEX(hd_cap,MATCH(AQ2770,hd_mark,0),0),0)</f>
        <v>0</v>
      </c>
      <c r="AP2770" s="19"/>
      <c r="AQ2770" s="19"/>
      <c r="AR2770" s="100"/>
      <c r="AS2770" s="93"/>
      <c r="AT2770" s="111">
        <f>$R$2723</f>
        <v>0</v>
      </c>
      <c r="AU2770" t="str">
        <f>$Q$2712</f>
        <v>L5</v>
      </c>
      <c r="AV2770">
        <f>$E$24</f>
        <v>0</v>
      </c>
      <c r="AW2770" cm="1">
        <f t="array" ref="AW2770">IFERROR(IF(AV2770=0,0,(INDEX($C$33:$C$38,MATCH($AZ$2723,$B$33:$B$38,0),0)*(AV2771+$BA$2723)+$AW$2723*COUNTIF(AV2770:AV2770,"&gt;0")*$C$32+$AY$2723*$C$31)*$AU$2723),0)</f>
        <v>0</v>
      </c>
      <c r="AX2770">
        <f>IF(AV2770=0,0,-(COUNTIF(AV2770:AV2770,"&gt;0")*$AW$2723*$C$32+$AY$2723*$C$31)*$H$27*$AU$2723)</f>
        <v>0</v>
      </c>
      <c r="AY2770">
        <f>IF(AV2770=0,0,$AY$2723*$H$26*$AU$2723)</f>
        <v>0</v>
      </c>
      <c r="AZ2770">
        <f>(0.6*AW2770+0.7*AX2770)*$AU$2723/2</f>
        <v>0</v>
      </c>
      <c r="BA2770">
        <f>AW2770*$AU$2723/2</f>
        <v>0</v>
      </c>
      <c r="BC2770">
        <f>IF(AV2770=0,0,$BG$2723*$AP$2712)</f>
        <v>0</v>
      </c>
      <c r="BD2770">
        <f>IFERROR(BC2770/$AU$2723,0)</f>
        <v>0</v>
      </c>
      <c r="BE2770">
        <f>BC2770*($F$24+IF($F$24=0,0,($C$14+$C$15+IF($C$13="single",1.5,3)+3)/12))</f>
        <v>0</v>
      </c>
      <c r="BF2770">
        <f>BE2770-AZ2770</f>
        <v>0</v>
      </c>
      <c r="BG2770" cm="1">
        <f t="array" ref="BG2770">IFERROR(IF(BF2770&lt;0,0,BF2770/($AU$2723-INDEX(hd_off,MATCH(BT2770,hd_mark,0),0)/12)),0)</f>
        <v>0</v>
      </c>
      <c r="BH2770">
        <f>IF(AV2770=0,0,$BG$2723*$AM$2712)</f>
        <v>0</v>
      </c>
      <c r="BI2770">
        <f>IFERROR(BH2770/$AU$2723,0)</f>
        <v>0</v>
      </c>
      <c r="BJ2770">
        <f>BH2770*($F$24+IF($F$24=0,0,($C$14+$C$15+IF($C$13="single",1.5,3)+3)/12))</f>
        <v>0</v>
      </c>
      <c r="BK2770">
        <f>BJ2770-BA2770</f>
        <v>0</v>
      </c>
      <c r="BL2770" cm="1">
        <f t="array" ref="BL2770">IFERROR(IF(BK2770&lt;0,0,BK2770/($AU$2723-INDEX(hd_off,MATCH(BT2770,hd_mark,0),0)/12)),0)</f>
        <v>0</v>
      </c>
      <c r="BM2770">
        <f>MAX($F$24,$BE$2723)/$Q$2740</f>
        <v>0</v>
      </c>
      <c r="BN2770">
        <f t="shared" si="1716"/>
        <v>0</v>
      </c>
      <c r="BO2770" cm="1">
        <f t="array" ref="BO2770">IFERROR(INDEX(sheath_ecap_asd,MATCH(BS2770,sheath_mark,0),0)*BN2770,0)</f>
        <v>0</v>
      </c>
      <c r="BP2770" cm="1">
        <f t="array" ref="BP2770">IFERROR(INDEX(sheath_wcap_asd,MATCH(BS2770,sheath_mark,0),0)*BN2770,0)</f>
        <v>0</v>
      </c>
      <c r="BQ2770" cm="1">
        <f t="array" ref="BQ2770">IFERROR(INDEX(hd_cap,MATCH(BT2770,hd_mark,0),0),0)</f>
        <v>0</v>
      </c>
      <c r="BS2770" s="19"/>
      <c r="BT2770" s="19"/>
      <c r="BU2770" s="100"/>
    </row>
    <row r="2771" x14ac:dyDescent="0.25">
      <c r="P2771" s="93"/>
      <c r="Q2771" s="109"/>
      <c r="R2771" t="str">
        <f>$Q$2713</f>
        <v>Roof</v>
      </c>
      <c r="S2771">
        <f>$E$25</f>
        <v>33.171875</v>
      </c>
      <c r="T2771" cm="1">
        <f t="array" ref="T2771">IFERROR(IF(S2771=0,0,(INDEX($C$33:$C$38,MATCH($W$2723,$B$33:$B$38,0),0)*(S2771+$X$2723)+$V$2723*$C$31)*$R$2723),0)</f>
        <v>0</v>
      </c>
      <c r="U2771">
        <f>IF(S2771=0,0,-$V$2723*$C$31*$H$27*$R$2723)</f>
        <v>0</v>
      </c>
      <c r="V2771">
        <f>IF(S2771=0,0,$V$2723*$H$26*$R$2723)</f>
        <v>0</v>
      </c>
      <c r="W2771">
        <f>(0.6*T2771+0.7*U2771)*$R$2723/2</f>
        <v>0</v>
      </c>
      <c r="X2771">
        <f>T2771*$R$2723/2</f>
        <v>0</v>
      </c>
      <c r="Z2771">
        <f>IF(S2771=0,0,$AD$2723*$AP$2713)</f>
        <v>0</v>
      </c>
      <c r="AA2771">
        <f>IFERROR(Z2771/$R$2723,0)</f>
        <v>0</v>
      </c>
      <c r="AB2771">
        <f>Z2771*($F$25+($C$16+$C$17+IF($C$13="single",1.5,3)+3)/12)</f>
        <v>0</v>
      </c>
      <c r="AC2771">
        <f>AB2771-W2771</f>
        <v>0</v>
      </c>
      <c r="AD2771" cm="1">
        <f t="array" ref="AD2771">IFERROR(IF(AC2771&lt;0,0,AC2771/($R$2723-INDEX(hd_off,MATCH(AQ2771,hd_mark,0),0)/12)),0)</f>
        <v>0</v>
      </c>
      <c r="AE2771">
        <f>IF(S2771=0,0,$AD$2723*$AM$2713)</f>
        <v>0</v>
      </c>
      <c r="AF2771">
        <f>IFERROR(AE2771/$R$2723,0)</f>
        <v>0</v>
      </c>
      <c r="AG2771">
        <f>AE2771*($F$25+($C$16+$C$17+IF($C$13="single",1.5,3)+3)/12)</f>
        <v>0</v>
      </c>
      <c r="AH2771">
        <f>AG2771-X2771</f>
        <v>0</v>
      </c>
      <c r="AI2771" cm="1">
        <f t="array" ref="AI2771">IFERROR(IF(AH2771&lt;0,0,AH2771/($R$2723-INDEX(hd_off,MATCH(AQ2771,hd_mark,0),0)/12)),0)</f>
        <v>0</v>
      </c>
      <c r="AJ2771">
        <f>MAX($F$25,$AC$2723)/$Q$2740</f>
        <v>0.29920977011494249</v>
      </c>
      <c r="AK2771">
        <f t="shared" si="1715"/>
        <v>1</v>
      </c>
      <c r="AL2771" cm="1">
        <f t="array" ref="AL2771">IFERROR(INDEX(sheath_ecap_asd,MATCH(AP2771,sheath_mark,0),0)*AK2771,0)</f>
        <v>0</v>
      </c>
      <c r="AM2771" cm="1">
        <f t="array" ref="AM2771">IFERROR(INDEX(sheath_wcap_asd,MATCH(AP2771,sheath_mark,0),0)*AK2771,0)</f>
        <v>0</v>
      </c>
      <c r="AN2771" cm="1">
        <f t="array" ref="AN2771">IFERROR(INDEX(hd_cap,MATCH(AQ2771,hd_mark,0),0),0)</f>
        <v>0</v>
      </c>
      <c r="AP2771" s="19"/>
      <c r="AQ2771" s="19"/>
      <c r="AR2771" s="100"/>
      <c r="AS2771" s="93"/>
      <c r="AT2771" s="109"/>
      <c r="AU2771" t="str">
        <f>$Q$2713</f>
        <v>Roof</v>
      </c>
      <c r="AV2771">
        <f>$E$25</f>
        <v>33.171875</v>
      </c>
      <c r="AW2771" cm="1">
        <f t="array" ref="AW2771">IFERROR(IF(AV2771=0,0,(INDEX($C$33:$C$38,MATCH($AZ$2723,$B$33:$B$38,0),0)*(AV2771+$BA$2723)+$AY$2723*$C$31)*$AU$2723),0)</f>
        <v>0</v>
      </c>
      <c r="AX2771">
        <f>IF(AV2771=0,0,-$AY$2723*$C$31*$H$27*$AU$2723)</f>
        <v>0</v>
      </c>
      <c r="AY2771">
        <f>IF(AV2771=0,0,$AY$2723*$H$26*$AU$2723)</f>
        <v>0</v>
      </c>
      <c r="AZ2771">
        <f>(0.6*AW2771+0.7*AX2771)*$AU$2723/2</f>
        <v>0</v>
      </c>
      <c r="BA2771">
        <f>AW2771*$AU$2723/2</f>
        <v>0</v>
      </c>
      <c r="BC2771">
        <f>IF(AV2771=0,0,$BG$2723*$AP$2713)</f>
        <v>0</v>
      </c>
      <c r="BD2771">
        <f>IFERROR(BC2771/$AU$2723,0)</f>
        <v>0</v>
      </c>
      <c r="BE2771">
        <f>BC2771*($F$25+($C$16+$C$17+IF($C$13="single",1.5,3)+3)/12)</f>
        <v>0</v>
      </c>
      <c r="BF2771">
        <f>BE2771-AZ2771</f>
        <v>0</v>
      </c>
      <c r="BG2771" cm="1">
        <f t="array" ref="BG2771">IFERROR(IF(BF2771&lt;0,0,BF2771/($AU$2723-INDEX(hd_off,MATCH(BT2771,hd_mark,0),0)/12)),0)</f>
        <v>0</v>
      </c>
      <c r="BH2771">
        <f>IF(AV2771=0,0,$BG$2723*$AM$2713)</f>
        <v>0</v>
      </c>
      <c r="BI2771">
        <f>IFERROR(BH2771/$AU$2723,0)</f>
        <v>0</v>
      </c>
      <c r="BJ2771">
        <f>BH2771*($F$25+($C$16+$C$17+IF($C$13="single",1.5,3)+3)/12)</f>
        <v>0</v>
      </c>
      <c r="BK2771">
        <f>BJ2771-BA2771</f>
        <v>0</v>
      </c>
      <c r="BL2771" cm="1">
        <f t="array" ref="BL2771">IFERROR(IF(BK2771&lt;0,0,BK2771/($AU$2723-INDEX(hd_off,MATCH(BT2771,hd_mark,0),0)/12)),0)</f>
        <v>0</v>
      </c>
      <c r="BM2771">
        <f>MAX($F$25,$BF$2723)/$Q$2740</f>
        <v>0.29920977011494249</v>
      </c>
      <c r="BN2771">
        <f t="shared" si="1716"/>
        <v>1</v>
      </c>
      <c r="BO2771" cm="1">
        <f t="array" ref="BO2771">IFERROR(INDEX(sheath_ecap_asd,MATCH(BS2771,sheath_mark,0),0)*BN2771,0)</f>
        <v>0</v>
      </c>
      <c r="BP2771" cm="1">
        <f t="array" ref="BP2771">IFERROR(INDEX(sheath_wcap_asd,MATCH(BS2771,sheath_mark,0),0)*BN2771,0)</f>
        <v>0</v>
      </c>
      <c r="BQ2771" cm="1">
        <f t="array" ref="BQ2771">IFERROR(INDEX(hd_cap,MATCH(BT2771,hd_mark,0),0),0)</f>
        <v>0</v>
      </c>
      <c r="BS2771" s="19"/>
      <c r="BT2771" s="19"/>
      <c r="BU2771" s="100"/>
    </row>
    <row r="2772" x14ac:dyDescent="0.25">
      <c r="P2772" s="93"/>
      <c r="AR2772" s="100"/>
      <c r="AS2772" s="93"/>
      <c r="BU2772" s="100"/>
    </row>
    <row r="2773" x14ac:dyDescent="0.25">
      <c r="P2773" s="93"/>
      <c r="Q2773" s="110" t="str">
        <f>$Q$2724</f>
        <v>A.07</v>
      </c>
      <c r="R2773" t="str">
        <f>$Q$2709</f>
        <v>L2</v>
      </c>
      <c r="S2773">
        <f>$E$21</f>
        <v>10.6875</v>
      </c>
      <c r="T2773" cm="1">
        <f t="array" ref="T2773">IFERROR(IF(S2773=0,0,(INDEX($C$33:$C$38,MATCH($W$2724,$B$33:$B$38,0),0)*(S2777+$X$2724)+$T$2724*COUNTIF(S2773:S2776,"&gt;0")*$C$32+$V$2724*$C$31)*$R$2724),0)</f>
        <v>0</v>
      </c>
      <c r="U2773">
        <f>IF(S2773=0,0,-(COUNTIF(S2773:S2776,"&gt;0")*$T$2724*$C$32+$V$2724*$C$31)*$H$27*$R$2724)</f>
        <v>0</v>
      </c>
      <c r="V2773">
        <f>IF(S2773=0,0,$V$2724*$H$26*$R$2724)</f>
        <v>0</v>
      </c>
      <c r="W2773">
        <f>(0.6*T2773+0.7*U2773)*$R$2724/2</f>
        <v>0</v>
      </c>
      <c r="X2773">
        <f>(0.6*T2773+0.6*V2773)*$R$2724/2</f>
        <v>0</v>
      </c>
      <c r="Z2773">
        <f>IF(S2773=0,0,$AD$2724*$AP$2709)</f>
        <v>0</v>
      </c>
      <c r="AA2773">
        <f>IFERROR(Z2773/$R$2724,0)</f>
        <v>0</v>
      </c>
      <c r="AB2773">
        <f>Z2773*($F$21+IF($F$21=0,0,($C$14+$C$15+IF($C$13="single",1.5,3)+3)/12))</f>
        <v>0</v>
      </c>
      <c r="AC2773">
        <f>AB2773-W2773</f>
        <v>0</v>
      </c>
      <c r="AD2773" cm="1">
        <f t="array" ref="AD2773">IFERROR(IF(AC2773&lt;0,0,AC2773/($R$2724-INDEX(hd_off,MATCH(AQ2773,hd_mark,0),0)/12)),0)</f>
        <v>0</v>
      </c>
      <c r="AE2773">
        <f>IF(S2773=0,0,$AD$2724*$AM$2709)</f>
        <v>0</v>
      </c>
      <c r="AF2773">
        <f>IFERROR(AE2773/$R$2724,0)</f>
        <v>0</v>
      </c>
      <c r="AG2773">
        <f>AE2773*($F$21+IF($F$21=0,0,($C$14+$C$15+IF($C$13="single",1.5,3)+3)/12))</f>
        <v>0</v>
      </c>
      <c r="AH2773">
        <f>AG2773-X2773</f>
        <v>0</v>
      </c>
      <c r="AI2773" cm="1">
        <f t="array" ref="AI2773">IFERROR(IF(AH2773&lt;0,0,AH2773/($R$2724-INDEX(hd_off,MATCH(AQ2773,hd_mark,0),0)/12)),0)</f>
        <v>0</v>
      </c>
      <c r="AJ2773">
        <f>MAX($F$21,$Y$2724)/$Q$2740</f>
        <v>0.30172413793103448</v>
      </c>
      <c r="AK2773">
        <f>IF(AJ2773=0,0,IF(AJ2773&gt;2,1.25-0.125*AJ2773,1))</f>
        <v>1</v>
      </c>
      <c r="AL2773" cm="1">
        <f t="array" ref="AL2773">IFERROR(INDEX(sheath_ecap_asd,MATCH(AP2773,sheath_mark,0),0)*AK2773,0)</f>
        <v>0</v>
      </c>
      <c r="AM2773" cm="1">
        <f t="array" ref="AM2773">IFERROR(INDEX(sheath_wcap_asd,MATCH(AP2773,sheath_mark,0),0)*AK2773,0)</f>
        <v>0</v>
      </c>
      <c r="AN2773" cm="1">
        <f t="array" ref="AN2773">IFERROR(INDEX(hd_cap,MATCH(AQ2773,hd_mark,0),0),0)</f>
        <v>0</v>
      </c>
      <c r="AP2773" s="19"/>
      <c r="AQ2773" s="19"/>
      <c r="AR2773" s="100"/>
      <c r="AS2773" s="93"/>
      <c r="AT2773" s="110" t="str">
        <f>$AT$2724</f>
        <v>1.07</v>
      </c>
      <c r="AU2773" t="str">
        <f>$Q$2709</f>
        <v>L2</v>
      </c>
      <c r="AV2773">
        <f>$E$21</f>
        <v>10.6875</v>
      </c>
      <c r="AW2773" cm="1">
        <f t="array" ref="AW2773">IFERROR(IF(AV2773=0,0,(INDEX($C$33:$C$38,MATCH($AZ$2724,$B$33:$B$38,0),0)*(AV2777+$BA$2724)+$AW$2724*COUNTIF(AV2773:AV2776,"&gt;0")*$C$32+$AY$2724*$C$31)*$AU$2724),0)</f>
        <v>0</v>
      </c>
      <c r="AX2773">
        <f>IF(AV2773=0,0,-(COUNTIF(AV2773:AV2776,"&gt;0")*$AW$2724*$C$32+$AY$2724*$C$31)*$H$27*$AU$2724)</f>
        <v>0</v>
      </c>
      <c r="AY2773">
        <f>IF(AV2773=0,0,$AY$2724*$H$26*$AU$2724)</f>
        <v>0</v>
      </c>
      <c r="AZ2773">
        <f>(0.6*AW2773+0.7*AX2773)*$AU$2724/2</f>
        <v>0</v>
      </c>
      <c r="BA2773">
        <f>(0.6*AW2773+0.6*AY2773)*$AU$2724/2</f>
        <v>0</v>
      </c>
      <c r="BC2773">
        <f>IF(AV2773=0,0,$BG$2724*$AP$2709)</f>
        <v>0</v>
      </c>
      <c r="BD2773">
        <f>IFERROR(BC2773/$AU$2724,0)</f>
        <v>0</v>
      </c>
      <c r="BE2773">
        <f>BC2773*($F$21+IF($F$21=0,0,($C$14+$C$15+IF($C$13="single",1.5,3)+3)/12))</f>
        <v>0</v>
      </c>
      <c r="BF2773">
        <f>BE2773-AZ2773</f>
        <v>0</v>
      </c>
      <c r="BG2773" cm="1">
        <f t="array" ref="BG2773">IFERROR(IF(BF2773&lt;0,0,BF2773/($AU$2724-INDEX(hd_off,MATCH(BT2773,hd_mark,0),0)/12)),0)</f>
        <v>0</v>
      </c>
      <c r="BH2773">
        <f>IF(AV2773=0,0,$BG$2724*$AM$2709)</f>
        <v>0</v>
      </c>
      <c r="BI2773">
        <f>IFERROR(BH2773/$AU$2724,0)</f>
        <v>0</v>
      </c>
      <c r="BJ2773">
        <f>BH2773*($F$21+IF($F$21=0,0,($C$14+$C$15+IF($C$13="single",1.5,3)+3)/12))</f>
        <v>0</v>
      </c>
      <c r="BK2773">
        <f>BJ2773-BA2773</f>
        <v>0</v>
      </c>
      <c r="BL2773" cm="1">
        <f t="array" ref="BL2773">IFERROR(IF(BK2773&lt;0,0,BK2773/($AU$2724-INDEX(hd_off,MATCH(BT2773,hd_mark,0),0)/12)),0)</f>
        <v>0</v>
      </c>
      <c r="BM2773">
        <f>MAX($F$21,$BB$2724)/$Q$2740</f>
        <v>0.30172413793103448</v>
      </c>
      <c r="BN2773">
        <f>IF(BM2773=0,0,IF(BM2773&gt;2,1.25-0.125*BM2773,1))</f>
        <v>1</v>
      </c>
      <c r="BO2773" cm="1">
        <f t="array" ref="BO2773">IFERROR(INDEX(sheath_ecap_asd,MATCH(BS2773,sheath_mark,0),0)*BN2773,0)</f>
        <v>0</v>
      </c>
      <c r="BP2773" cm="1">
        <f t="array" ref="BP2773">IFERROR(INDEX(sheath_wcap_asd,MATCH(BS2773,sheath_mark,0),0)*BN2773,0)</f>
        <v>0</v>
      </c>
      <c r="BQ2773" cm="1">
        <f t="array" ref="BQ2773">IFERROR(INDEX(hd_cap,MATCH(BT2773,hd_mark,0),0),0)</f>
        <v>0</v>
      </c>
      <c r="BS2773" s="19"/>
      <c r="BT2773" s="19"/>
      <c r="BU2773" s="100"/>
    </row>
    <row r="2774" x14ac:dyDescent="0.25">
      <c r="P2774" s="93"/>
      <c r="Q2774" s="109"/>
      <c r="R2774" t="str">
        <f>$Q$2710</f>
        <v>L3</v>
      </c>
      <c r="S2774">
        <f>$E$22</f>
        <v>21.375</v>
      </c>
      <c r="T2774" cm="1">
        <f t="array" ref="T2774">IFERROR(IF(S2774=0,0,(INDEX($C$33:$C$38,MATCH($W$2724,$B$33:$B$38,0),0)*(S2777+$X$2724)+$T$2724*COUNTIF(S2774:S2776,"&gt;0")*$C$32+$V$2724*$C$31)*$R$2724),0)</f>
        <v>0</v>
      </c>
      <c r="U2774">
        <f>IF(S2774=0,0,-(COUNTIF(S2774:S2776,"&gt;0")*$T$2724*$C$32+$V$2724*$C$31)*$H$27*$R$2724)</f>
        <v>0</v>
      </c>
      <c r="V2774">
        <f>IF(S2774=0,0,$V$2724*$H$26*$R$2724)</f>
        <v>0</v>
      </c>
      <c r="W2774">
        <f>(0.6*T2774+0.7*U2774)*$R$2724/2</f>
        <v>0</v>
      </c>
      <c r="X2774">
        <f>T2774*$R$2724/2</f>
        <v>0</v>
      </c>
      <c r="Z2774">
        <f>IF(S2774=0,0,$AD$2724*$AP$2710)</f>
        <v>0</v>
      </c>
      <c r="AA2774">
        <f>IFERROR(Z2774/$R$2724,0)</f>
        <v>0</v>
      </c>
      <c r="AB2774">
        <f>Z2774*($F$22+IF($F$22=0,0,($C$14+$C$15+IF($C$13="single",1.5,3)+3)/12))</f>
        <v>0</v>
      </c>
      <c r="AC2774">
        <f>AB2774-W2774</f>
        <v>0</v>
      </c>
      <c r="AD2774" cm="1">
        <f t="array" ref="AD2774">IFERROR(IF(AC2774&lt;0,0,AC2774/($R$2724-INDEX(hd_off,MATCH(AQ2774,hd_mark,0),0)/12)),0)</f>
        <v>0</v>
      </c>
      <c r="AE2774">
        <f>IF(S2774=0,0,$AD$2724*$AM$2710)</f>
        <v>0</v>
      </c>
      <c r="AF2774">
        <f>IFERROR(AE2774/$R$2724,0)</f>
        <v>0</v>
      </c>
      <c r="AG2774">
        <f>AE2774*($F$22+IF($F$22=0,0,($C$14+$C$15+IF($C$13="single",1.5,3)+3)/12))</f>
        <v>0</v>
      </c>
      <c r="AH2774">
        <f>AG2774-X2774</f>
        <v>0</v>
      </c>
      <c r="AI2774" cm="1">
        <f t="array" ref="AI2774">IFERROR(IF(AH2774&lt;0,0,AH2774/($R$2724-INDEX(hd_off,MATCH(AQ2774,hd_mark,0),0)/12)),0)</f>
        <v>0</v>
      </c>
      <c r="AJ2774">
        <f>MAX($F$22,$Z$2724)/$Q$2740</f>
        <v>0.30172413793103448</v>
      </c>
      <c r="AK2774">
        <f t="shared" ref="AK2774:AK2777" si="1717">IF(AJ2774=0,0,IF(AJ2774&gt;2,1.25-0.125*AJ2774,1))</f>
        <v>1</v>
      </c>
      <c r="AL2774" cm="1">
        <f t="array" ref="AL2774">IFERROR(INDEX(sheath_ecap_asd,MATCH(AP2774,sheath_mark,0),0)*AK2774,0)</f>
        <v>0</v>
      </c>
      <c r="AM2774" cm="1">
        <f t="array" ref="AM2774">IFERROR(INDEX(sheath_wcap_asd,MATCH(AP2774,sheath_mark,0),0)*AK2774,0)</f>
        <v>0</v>
      </c>
      <c r="AN2774" cm="1">
        <f t="array" ref="AN2774">IFERROR(INDEX(hd_cap,MATCH(AQ2774,hd_mark,0),0),0)</f>
        <v>0</v>
      </c>
      <c r="AP2774" s="19"/>
      <c r="AQ2774" s="19"/>
      <c r="AR2774" s="100"/>
      <c r="AS2774" s="93"/>
      <c r="AT2774" s="109"/>
      <c r="AU2774" t="str">
        <f>$Q$2710</f>
        <v>L3</v>
      </c>
      <c r="AV2774">
        <f>$E$22</f>
        <v>21.375</v>
      </c>
      <c r="AW2774" cm="1">
        <f t="array" ref="AW2774">IFERROR(IF(AV2774=0,0,(INDEX($C$33:$C$38,MATCH($AZ$2724,$B$33:$B$38,0),0)*(AV2777+$BA$2724)+$AW$2724*COUNTIF(AV2774:AV2776,"&gt;0")*$C$32+$AY$2724*$C$31)*$AU$2724),0)</f>
        <v>0</v>
      </c>
      <c r="AX2774">
        <f>IF(AV2774=0,0,-(COUNTIF(AV2774:AV2776,"&gt;0")*$AW$2724*$C$32+$AY$2724*$C$31)*$H$27*$AU$2724)</f>
        <v>0</v>
      </c>
      <c r="AY2774">
        <f>IF(AV2774=0,0,$AY$2724*$H$26*$AU$2724)</f>
        <v>0</v>
      </c>
      <c r="AZ2774">
        <f>(0.6*AW2774+0.7*AX2774)*$AU$2724/2</f>
        <v>0</v>
      </c>
      <c r="BA2774">
        <f>AW2774*$AU$2724/2</f>
        <v>0</v>
      </c>
      <c r="BC2774">
        <f>IF(AV2774=0,0,$BG$2724*$AP$2710)</f>
        <v>0</v>
      </c>
      <c r="BD2774">
        <f>IFERROR(BC2774/$AU$2724,0)</f>
        <v>0</v>
      </c>
      <c r="BE2774">
        <f>BC2774*($F$22+IF($F$22=0,0,($C$14+$C$15+IF($C$13="single",1.5,3)+3)/12))</f>
        <v>0</v>
      </c>
      <c r="BF2774">
        <f>BE2774-AZ2774</f>
        <v>0</v>
      </c>
      <c r="BG2774" cm="1">
        <f t="array" ref="BG2774">IFERROR(IF(BF2774&lt;0,0,BF2774/($AU$2724-INDEX(hd_off,MATCH(BT2774,hd_mark,0),0)/12)),0)</f>
        <v>0</v>
      </c>
      <c r="BH2774">
        <f>IF(AV2774=0,0,$BG$2724*$AM$2710)</f>
        <v>0</v>
      </c>
      <c r="BI2774">
        <f>IFERROR(BH2774/$AU$2724,0)</f>
        <v>0</v>
      </c>
      <c r="BJ2774">
        <f>BH2774*($F$22+IF($F$22=0,0,($C$14+$C$15+IF($C$13="single",1.5,3)+3)/12))</f>
        <v>0</v>
      </c>
      <c r="BK2774">
        <f>BJ2774-BA2774</f>
        <v>0</v>
      </c>
      <c r="BL2774" cm="1">
        <f t="array" ref="BL2774">IFERROR(IF(BK2774&lt;0,0,BK2774/($AU$2724-INDEX(hd_off,MATCH(BT2774,hd_mark,0),0)/12)),0)</f>
        <v>0</v>
      </c>
      <c r="BM2774">
        <f>MAX($F$22,$BC$2724)/$Q$2740</f>
        <v>0.30172413793103448</v>
      </c>
      <c r="BN2774">
        <f t="shared" ref="BN2774:BN2777" si="1718">IF(BM2774=0,0,IF(BM2774&gt;2,1.25-0.125*BM2774,1))</f>
        <v>1</v>
      </c>
      <c r="BO2774" cm="1">
        <f t="array" ref="BO2774">IFERROR(INDEX(sheath_ecap_asd,MATCH(BS2774,sheath_mark,0),0)*BN2774,0)</f>
        <v>0</v>
      </c>
      <c r="BP2774" cm="1">
        <f t="array" ref="BP2774">IFERROR(INDEX(sheath_wcap_asd,MATCH(BS2774,sheath_mark,0),0)*BN2774,0)</f>
        <v>0</v>
      </c>
      <c r="BQ2774" cm="1">
        <f t="array" ref="BQ2774">IFERROR(INDEX(hd_cap,MATCH(BT2774,hd_mark,0),0),0)</f>
        <v>0</v>
      </c>
      <c r="BS2774" s="19"/>
      <c r="BT2774" s="19"/>
      <c r="BU2774" s="100"/>
    </row>
    <row r="2775" x14ac:dyDescent="0.25">
      <c r="P2775" s="93"/>
      <c r="Q2775" s="109" t="s">
        <v>491</v>
      </c>
      <c r="R2775" t="str">
        <f>$Q$2711</f>
        <v>L4</v>
      </c>
      <c r="S2775">
        <f>$E$23</f>
        <v>0</v>
      </c>
      <c r="T2775" cm="1">
        <f t="array" ref="T2775">IFERROR(IF(S2775=0,0,(INDEX($C$33:$C$38,MATCH($W$2724,$B$33:$B$38,0),0)*(S2777+$X$2724)+$T$2724*COUNTIF(S2775:S2776,"&gt;0")*$C$32+$V$2724*$C$31)*$R$2724),0)</f>
        <v>0</v>
      </c>
      <c r="U2775">
        <f>IF(S2775=0,0,-(COUNTIF(S2775:S2776,"&gt;0")*$T$2724*$C$32+$V$2724*$C$31)*$H$27*$R$2724)</f>
        <v>0</v>
      </c>
      <c r="V2775">
        <f>IF(S2775=0,0,$V$2724*$H$26*$R$2724)</f>
        <v>0</v>
      </c>
      <c r="W2775">
        <f>(0.6*T2775+0.7*U2775)*$R$2724/2</f>
        <v>0</v>
      </c>
      <c r="X2775">
        <f>T2775*$R$2724/2</f>
        <v>0</v>
      </c>
      <c r="Z2775">
        <f>IF(S2775=0,0,$AD$2724*$AP$2711)</f>
        <v>0</v>
      </c>
      <c r="AA2775">
        <f>IFERROR(Z2775/$R$2724,0)</f>
        <v>0</v>
      </c>
      <c r="AB2775">
        <f>Z2775*($F$23+IF($F$23=0,0,($C$14+$C$15+IF($C$13="single",1.5,3)+3)/12))</f>
        <v>0</v>
      </c>
      <c r="AC2775">
        <f>AB2775-W2775</f>
        <v>0</v>
      </c>
      <c r="AD2775" cm="1">
        <f t="array" ref="AD2775">IFERROR(IF(AC2775&lt;0,0,AC2775/($R$2724-INDEX(hd_off,MATCH(AQ2775,hd_mark,0),0)/12)),0)</f>
        <v>0</v>
      </c>
      <c r="AE2775">
        <f>IF(S2775=0,0,$AD$2724*$AM$2711)</f>
        <v>0</v>
      </c>
      <c r="AF2775">
        <f>IFERROR(AE2775/$R$2724,0)</f>
        <v>0</v>
      </c>
      <c r="AG2775">
        <f>AE2775*($F$23+IF($F$23=0,0,($C$14+$C$15+IF($C$13="single",1.5,3)+3)/12))</f>
        <v>0</v>
      </c>
      <c r="AH2775">
        <f>AG2775-X2775</f>
        <v>0</v>
      </c>
      <c r="AI2775" cm="1">
        <f t="array" ref="AI2775">IFERROR(IF(AH2775&lt;0,0,AH2775/($R$2724-INDEX(hd_off,MATCH(AQ2775,hd_mark,0),0)/12)),0)</f>
        <v>0</v>
      </c>
      <c r="AJ2775">
        <f>MAX($F$23,$AA$2724)/$Q$2740</f>
        <v>0</v>
      </c>
      <c r="AK2775">
        <f t="shared" si="1717"/>
        <v>0</v>
      </c>
      <c r="AL2775" cm="1">
        <f t="array" ref="AL2775">IFERROR(INDEX(sheath_ecap_asd,MATCH(AP2775,sheath_mark,0),0)*AK2775,0)</f>
        <v>0</v>
      </c>
      <c r="AM2775" cm="1">
        <f t="array" ref="AM2775">IFERROR(INDEX(sheath_wcap_asd,MATCH(AP2775,sheath_mark,0),0)*AK2775,0)</f>
        <v>0</v>
      </c>
      <c r="AN2775" cm="1">
        <f t="array" ref="AN2775">IFERROR(INDEX(hd_cap,MATCH(AQ2775,hd_mark,0),0),0)</f>
        <v>0</v>
      </c>
      <c r="AP2775" s="19"/>
      <c r="AQ2775" s="19"/>
      <c r="AR2775" s="100"/>
      <c r="AS2775" s="93"/>
      <c r="AT2775" s="109" t="s">
        <v>491</v>
      </c>
      <c r="AU2775" t="str">
        <f>$Q$2711</f>
        <v>L4</v>
      </c>
      <c r="AV2775">
        <f>$E$23</f>
        <v>0</v>
      </c>
      <c r="AW2775" cm="1">
        <f t="array" ref="AW2775">IFERROR(IF(AV2775=0,0,(INDEX($C$33:$C$38,MATCH($AZ$2724,$B$33:$B$38,0),0)*(AV2777+$BA$2724)+$AW$2724*COUNTIF(AV2775:AV2776,"&gt;0")*$C$32+$AY$2724*$C$31)*$AU$2724),0)</f>
        <v>0</v>
      </c>
      <c r="AX2775">
        <f>IF(AV2775=0,0,-(COUNTIF(AV2775:AV2776,"&gt;0")*$AW$2724*$C$32+$AY$2724*$C$31)*$H$27*$AU$2724)</f>
        <v>0</v>
      </c>
      <c r="AY2775">
        <f>IF(AV2775=0,0,$AY$2724*$H$26*$AU$2724)</f>
        <v>0</v>
      </c>
      <c r="AZ2775">
        <f>(0.6*AW2775+0.7*AX2775)*$AU$2724/2</f>
        <v>0</v>
      </c>
      <c r="BA2775">
        <f>AW2775*$AU$2724/2</f>
        <v>0</v>
      </c>
      <c r="BC2775">
        <f>IF(AV2775=0,0,$BG$2724*$AP$2711)</f>
        <v>0</v>
      </c>
      <c r="BD2775">
        <f>IFERROR(BC2775/$AU$2724,0)</f>
        <v>0</v>
      </c>
      <c r="BE2775">
        <f>BC2775*($F$23+IF($F$23=0,0,($C$14+$C$15+IF($C$13="single",1.5,3)+3)/12))</f>
        <v>0</v>
      </c>
      <c r="BF2775">
        <f>BE2775-AZ2775</f>
        <v>0</v>
      </c>
      <c r="BG2775" cm="1">
        <f t="array" ref="BG2775">IFERROR(IF(BF2775&lt;0,0,BF2775/($AU$2724-INDEX(hd_off,MATCH(BT2775,hd_mark,0),0)/12)),0)</f>
        <v>0</v>
      </c>
      <c r="BH2775">
        <f>IF(AV2775=0,0,$BG$2724*$AM$2711)</f>
        <v>0</v>
      </c>
      <c r="BI2775">
        <f>IFERROR(BH2775/$AU$2724,0)</f>
        <v>0</v>
      </c>
      <c r="BJ2775">
        <f>BH2775*($F$23+IF($F$23=0,0,($C$14+$C$15+IF($C$13="single",1.5,3)+3)/12))</f>
        <v>0</v>
      </c>
      <c r="BK2775">
        <f>BJ2775-BA2775</f>
        <v>0</v>
      </c>
      <c r="BL2775" cm="1">
        <f t="array" ref="BL2775">IFERROR(IF(BK2775&lt;0,0,BK2775/($AU$2724-INDEX(hd_off,MATCH(BT2775,hd_mark,0),0)/12)),0)</f>
        <v>0</v>
      </c>
      <c r="BM2775">
        <f>MAX($F$23,$BD$2724)/$Q$2740</f>
        <v>0</v>
      </c>
      <c r="BN2775">
        <f t="shared" si="1718"/>
        <v>0</v>
      </c>
      <c r="BO2775" cm="1">
        <f t="array" ref="BO2775">IFERROR(INDEX(sheath_ecap_asd,MATCH(BS2775,sheath_mark,0),0)*BN2775,0)</f>
        <v>0</v>
      </c>
      <c r="BP2775" cm="1">
        <f t="array" ref="BP2775">IFERROR(INDEX(sheath_wcap_asd,MATCH(BS2775,sheath_mark,0),0)*BN2775,0)</f>
        <v>0</v>
      </c>
      <c r="BQ2775" cm="1">
        <f t="array" ref="BQ2775">IFERROR(INDEX(hd_cap,MATCH(BT2775,hd_mark,0),0),0)</f>
        <v>0</v>
      </c>
      <c r="BS2775" s="19"/>
      <c r="BT2775" s="19"/>
      <c r="BU2775" s="100"/>
    </row>
    <row r="2776" x14ac:dyDescent="0.25">
      <c r="P2776" s="93"/>
      <c r="Q2776" s="111">
        <f>$R$2724</f>
        <v>0</v>
      </c>
      <c r="R2776" t="str">
        <f>$Q$2712</f>
        <v>L5</v>
      </c>
      <c r="S2776">
        <f>$E$24</f>
        <v>0</v>
      </c>
      <c r="T2776" cm="1">
        <f t="array" ref="T2776">IFERROR(IF(S2776=0,0,(INDEX($C$33:$C$38,MATCH($W$2724,$B$33:$B$38,0),0)*(S2777+$X$2724)+$T$2724*COUNTIF(S2776:S2776,"&gt;0")*$C$32+$V$2724*$C$31)*$R$2724),0)</f>
        <v>0</v>
      </c>
      <c r="U2776">
        <f>IF(S2776=0,0,-(COUNTIF(S2776:S2776,"&gt;0")*$T$2724*$C$32+$V$2724*$C$31)*$H$27*$R$2724)</f>
        <v>0</v>
      </c>
      <c r="V2776">
        <f>IF(S2776=0,0,$V$2724*$H$26*$R$2724)</f>
        <v>0</v>
      </c>
      <c r="W2776">
        <f>(0.6*T2776+0.7*U2776)*$R$2724/2</f>
        <v>0</v>
      </c>
      <c r="X2776">
        <f>T2776*$R$2724/2</f>
        <v>0</v>
      </c>
      <c r="Z2776">
        <f>IF(S2776=0,0,$AD$2724*$AP$2712)</f>
        <v>0</v>
      </c>
      <c r="AA2776">
        <f>IFERROR(Z2776/$R$2724,0)</f>
        <v>0</v>
      </c>
      <c r="AB2776">
        <f>Z2776*($F$24+IF($F$24=0,0,($C$14+$C$15+IF($C$13="single",1.5,3)+3)/12))</f>
        <v>0</v>
      </c>
      <c r="AC2776">
        <f>AB2776-W2776</f>
        <v>0</v>
      </c>
      <c r="AD2776" cm="1">
        <f t="array" ref="AD2776">IFERROR(IF(AC2776&lt;0,0,AC2776/($R$2724-INDEX(hd_off,MATCH(AQ2776,hd_mark,0),0)/12)),0)</f>
        <v>0</v>
      </c>
      <c r="AE2776">
        <f>IF(S2776=0,0,$AD$2724*$AM$2712)</f>
        <v>0</v>
      </c>
      <c r="AF2776">
        <f>IFERROR(AE2776/$R$2724,0)</f>
        <v>0</v>
      </c>
      <c r="AG2776">
        <f>AE2776*($F$24+IF($F$24=0,0,($C$14+$C$15+IF($C$13="single",1.5,3)+3)/12))</f>
        <v>0</v>
      </c>
      <c r="AH2776">
        <f>AG2776-X2776</f>
        <v>0</v>
      </c>
      <c r="AI2776" cm="1">
        <f t="array" ref="AI2776">IFERROR(IF(AH2776&lt;0,0,AH2776/($R$2724-INDEX(hd_off,MATCH(AQ2776,hd_mark,0),0)/12)),0)</f>
        <v>0</v>
      </c>
      <c r="AJ2776">
        <f>MAX($F$24,$AB$2724)/$Q$2740</f>
        <v>0</v>
      </c>
      <c r="AK2776">
        <f t="shared" si="1717"/>
        <v>0</v>
      </c>
      <c r="AL2776" cm="1">
        <f t="array" ref="AL2776">IFERROR(INDEX(sheath_ecap_asd,MATCH(AP2776,sheath_mark,0),0)*AK2776,0)</f>
        <v>0</v>
      </c>
      <c r="AM2776" cm="1">
        <f t="array" ref="AM2776">IFERROR(INDEX(sheath_wcap_asd,MATCH(AP2776,sheath_mark,0),0)*AK2776,0)</f>
        <v>0</v>
      </c>
      <c r="AN2776" cm="1">
        <f t="array" ref="AN2776">IFERROR(INDEX(hd_cap,MATCH(AQ2776,hd_mark,0),0),0)</f>
        <v>0</v>
      </c>
      <c r="AP2776" s="19"/>
      <c r="AQ2776" s="19"/>
      <c r="AR2776" s="100"/>
      <c r="AS2776" s="93"/>
      <c r="AT2776" s="111">
        <f>$R$2724</f>
        <v>0</v>
      </c>
      <c r="AU2776" t="str">
        <f>$Q$2712</f>
        <v>L5</v>
      </c>
      <c r="AV2776">
        <f>$E$24</f>
        <v>0</v>
      </c>
      <c r="AW2776" cm="1">
        <f t="array" ref="AW2776">IFERROR(IF(AV2776=0,0,(INDEX($C$33:$C$38,MATCH($AZ$2724,$B$33:$B$38,0),0)*(AV2777+$BA$2724)+$AW$2724*COUNTIF(AV2776:AV2776,"&gt;0")*$C$32+$AY$2724*$C$31)*$AU$2724),0)</f>
        <v>0</v>
      </c>
      <c r="AX2776">
        <f>IF(AV2776=0,0,-(COUNTIF(AV2776:AV2776,"&gt;0")*$AW$2724*$C$32+$AY$2724*$C$31)*$H$27*$AU$2724)</f>
        <v>0</v>
      </c>
      <c r="AY2776">
        <f>IF(AV2776=0,0,$AY$2724*$H$26*$AU$2724)</f>
        <v>0</v>
      </c>
      <c r="AZ2776">
        <f>(0.6*AW2776+0.7*AX2776)*$AU$2724/2</f>
        <v>0</v>
      </c>
      <c r="BA2776">
        <f>AW2776*$AU$2724/2</f>
        <v>0</v>
      </c>
      <c r="BC2776">
        <f>IF(AV2776=0,0,$BG$2724*$AP$2712)</f>
        <v>0</v>
      </c>
      <c r="BD2776">
        <f>IFERROR(BC2776/$AU$2724,0)</f>
        <v>0</v>
      </c>
      <c r="BE2776">
        <f>BC2776*($F$24+IF($F$24=0,0,($C$14+$C$15+IF($C$13="single",1.5,3)+3)/12))</f>
        <v>0</v>
      </c>
      <c r="BF2776">
        <f>BE2776-AZ2776</f>
        <v>0</v>
      </c>
      <c r="BG2776" cm="1">
        <f t="array" ref="BG2776">IFERROR(IF(BF2776&lt;0,0,BF2776/($AU$2724-INDEX(hd_off,MATCH(BT2776,hd_mark,0),0)/12)),0)</f>
        <v>0</v>
      </c>
      <c r="BH2776">
        <f>IF(AV2776=0,0,$BG$2724*$AM$2712)</f>
        <v>0</v>
      </c>
      <c r="BI2776">
        <f>IFERROR(BH2776/$AU$2724,0)</f>
        <v>0</v>
      </c>
      <c r="BJ2776">
        <f>BH2776*($F$24+IF($F$24=0,0,($C$14+$C$15+IF($C$13="single",1.5,3)+3)/12))</f>
        <v>0</v>
      </c>
      <c r="BK2776">
        <f>BJ2776-BA2776</f>
        <v>0</v>
      </c>
      <c r="BL2776" cm="1">
        <f t="array" ref="BL2776">IFERROR(IF(BK2776&lt;0,0,BK2776/($AU$2724-INDEX(hd_off,MATCH(BT2776,hd_mark,0),0)/12)),0)</f>
        <v>0</v>
      </c>
      <c r="BM2776">
        <f>MAX($F$24,$BE$2724)/$Q$2740</f>
        <v>0</v>
      </c>
      <c r="BN2776">
        <f t="shared" si="1718"/>
        <v>0</v>
      </c>
      <c r="BO2776" cm="1">
        <f t="array" ref="BO2776">IFERROR(INDEX(sheath_ecap_asd,MATCH(BS2776,sheath_mark,0),0)*BN2776,0)</f>
        <v>0</v>
      </c>
      <c r="BP2776" cm="1">
        <f t="array" ref="BP2776">IFERROR(INDEX(sheath_wcap_asd,MATCH(BS2776,sheath_mark,0),0)*BN2776,0)</f>
        <v>0</v>
      </c>
      <c r="BQ2776" cm="1">
        <f t="array" ref="BQ2776">IFERROR(INDEX(hd_cap,MATCH(BT2776,hd_mark,0),0),0)</f>
        <v>0</v>
      </c>
      <c r="BS2776" s="19"/>
      <c r="BT2776" s="19"/>
      <c r="BU2776" s="100"/>
    </row>
    <row r="2777" x14ac:dyDescent="0.25">
      <c r="P2777" s="93"/>
      <c r="Q2777" s="109"/>
      <c r="R2777" t="str">
        <f>$Q$2713</f>
        <v>Roof</v>
      </c>
      <c r="S2777">
        <f>$E$25</f>
        <v>33.171875</v>
      </c>
      <c r="T2777" cm="1">
        <f t="array" ref="T2777">IFERROR(IF(S2777=0,0,(INDEX($C$33:$C$38,MATCH($W$2724,$B$33:$B$38,0),0)*(S2777+$X$2724)+$V$2724*$C$31)*$R$2724),0)</f>
        <v>0</v>
      </c>
      <c r="U2777">
        <f>IF(S2777=0,0,-$V$2724*$C$31*$H$27*$R$2724)</f>
        <v>0</v>
      </c>
      <c r="V2777">
        <f>IF(S2777=0,0,$V$2724*$H$26*$R$2724)</f>
        <v>0</v>
      </c>
      <c r="W2777">
        <f>(0.6*T2777+0.7*U2777)*$R$2724/2</f>
        <v>0</v>
      </c>
      <c r="X2777">
        <f>T2777*$R$2724/2</f>
        <v>0</v>
      </c>
      <c r="Z2777">
        <f>IF(S2777=0,0,$AD$2724*$AP$2713)</f>
        <v>0</v>
      </c>
      <c r="AA2777">
        <f>IFERROR(Z2777/$R$2724,0)</f>
        <v>0</v>
      </c>
      <c r="AB2777">
        <f>Z2777*($F$25+($C$16+$C$17+IF($C$13="single",1.5,3)+3)/12)</f>
        <v>0</v>
      </c>
      <c r="AC2777">
        <f>AB2777-W2777</f>
        <v>0</v>
      </c>
      <c r="AD2777" cm="1">
        <f t="array" ref="AD2777">IFERROR(IF(AC2777&lt;0,0,AC2777/($R$2724-INDEX(hd_off,MATCH(AQ2777,hd_mark,0),0)/12)),0)</f>
        <v>0</v>
      </c>
      <c r="AE2777">
        <f>IF(S2777=0,0,$AD$2724*$AM$2713)</f>
        <v>0</v>
      </c>
      <c r="AF2777">
        <f>IFERROR(AE2777/$R$2724,0)</f>
        <v>0</v>
      </c>
      <c r="AG2777">
        <f>AE2777*($F$25+($C$16+$C$17+IF($C$13="single",1.5,3)+3)/12)</f>
        <v>0</v>
      </c>
      <c r="AH2777">
        <f>AG2777-X2777</f>
        <v>0</v>
      </c>
      <c r="AI2777" cm="1">
        <f t="array" ref="AI2777">IFERROR(IF(AH2777&lt;0,0,AH2777/($R$2724-INDEX(hd_off,MATCH(AQ2777,hd_mark,0),0)/12)),0)</f>
        <v>0</v>
      </c>
      <c r="AJ2777">
        <f>MAX($F$25,$AC$2724)/$Q$2740</f>
        <v>0.29920977011494249</v>
      </c>
      <c r="AK2777">
        <f t="shared" si="1717"/>
        <v>1</v>
      </c>
      <c r="AL2777" cm="1">
        <f t="array" ref="AL2777">IFERROR(INDEX(sheath_ecap_asd,MATCH(AP2777,sheath_mark,0),0)*AK2777,0)</f>
        <v>0</v>
      </c>
      <c r="AM2777" cm="1">
        <f t="array" ref="AM2777">IFERROR(INDEX(sheath_wcap_asd,MATCH(AP2777,sheath_mark,0),0)*AK2777,0)</f>
        <v>0</v>
      </c>
      <c r="AN2777" cm="1">
        <f t="array" ref="AN2777">IFERROR(INDEX(hd_cap,MATCH(AQ2777,hd_mark,0),0),0)</f>
        <v>0</v>
      </c>
      <c r="AP2777" s="19"/>
      <c r="AQ2777" s="19"/>
      <c r="AR2777" s="100"/>
      <c r="AS2777" s="93"/>
      <c r="AT2777" s="109"/>
      <c r="AU2777" t="str">
        <f>$Q$2713</f>
        <v>Roof</v>
      </c>
      <c r="AV2777">
        <f>$E$25</f>
        <v>33.171875</v>
      </c>
      <c r="AW2777" cm="1">
        <f t="array" ref="AW2777">IFERROR(IF(AV2777=0,0,(INDEX($C$33:$C$38,MATCH($AZ$2724,$B$33:$B$38,0),0)*(AV2777+$BA$2724)+$AY$2724*$C$31)*$AU$2724),0)</f>
        <v>0</v>
      </c>
      <c r="AX2777">
        <f>IF(AV2777=0,0,-$AY$2724*$C$31*$H$27*$AU$2724)</f>
        <v>0</v>
      </c>
      <c r="AY2777">
        <f>IF(AV2777=0,0,$AY$2724*$H$26*$AU$2724)</f>
        <v>0</v>
      </c>
      <c r="AZ2777">
        <f>(0.6*AW2777+0.7*AX2777)*$AU$2724/2</f>
        <v>0</v>
      </c>
      <c r="BA2777">
        <f>AW2777*$AU$2724/2</f>
        <v>0</v>
      </c>
      <c r="BC2777">
        <f>IF(AV2777=0,0,$BG$2724*$AP$2713)</f>
        <v>0</v>
      </c>
      <c r="BD2777">
        <f>IFERROR(BC2777/$AU$2724,0)</f>
        <v>0</v>
      </c>
      <c r="BE2777">
        <f>BC2777*($F$25+($C$16+$C$17+IF($C$13="single",1.5,3)+3)/12)</f>
        <v>0</v>
      </c>
      <c r="BF2777">
        <f>BE2777-AZ2777</f>
        <v>0</v>
      </c>
      <c r="BG2777" cm="1">
        <f t="array" ref="BG2777">IFERROR(IF(BF2777&lt;0,0,BF2777/($AU$2724-INDEX(hd_off,MATCH(BT2777,hd_mark,0),0)/12)),0)</f>
        <v>0</v>
      </c>
      <c r="BH2777">
        <f>IF(AV2777=0,0,$BG$2724*$AM$2713)</f>
        <v>0</v>
      </c>
      <c r="BI2777">
        <f>IFERROR(BH2777/$AU$2724,0)</f>
        <v>0</v>
      </c>
      <c r="BJ2777">
        <f>BH2777*($F$25+($C$16+$C$17+IF($C$13="single",1.5,3)+3)/12)</f>
        <v>0</v>
      </c>
      <c r="BK2777">
        <f>BJ2777-BA2777</f>
        <v>0</v>
      </c>
      <c r="BL2777" cm="1">
        <f t="array" ref="BL2777">IFERROR(IF(BK2777&lt;0,0,BK2777/($AU$2724-INDEX(hd_off,MATCH(BT2777,hd_mark,0),0)/12)),0)</f>
        <v>0</v>
      </c>
      <c r="BM2777">
        <f>MAX($F$25,$BF$2724)/$Q$2740</f>
        <v>0.29920977011494249</v>
      </c>
      <c r="BN2777">
        <f t="shared" si="1718"/>
        <v>1</v>
      </c>
      <c r="BO2777" cm="1">
        <f t="array" ref="BO2777">IFERROR(INDEX(sheath_ecap_asd,MATCH(BS2777,sheath_mark,0),0)*BN2777,0)</f>
        <v>0</v>
      </c>
      <c r="BP2777" cm="1">
        <f t="array" ref="BP2777">IFERROR(INDEX(sheath_wcap_asd,MATCH(BS2777,sheath_mark,0),0)*BN2777,0)</f>
        <v>0</v>
      </c>
      <c r="BQ2777" cm="1">
        <f t="array" ref="BQ2777">IFERROR(INDEX(hd_cap,MATCH(BT2777,hd_mark,0),0),0)</f>
        <v>0</v>
      </c>
      <c r="BS2777" s="19"/>
      <c r="BT2777" s="19"/>
      <c r="BU2777" s="100"/>
    </row>
    <row r="2778" x14ac:dyDescent="0.25">
      <c r="P2778" s="93"/>
      <c r="AR2778" s="100"/>
      <c r="AS2778" s="93"/>
      <c r="BU2778" s="100"/>
    </row>
    <row r="2779" x14ac:dyDescent="0.25">
      <c r="P2779" s="93"/>
      <c r="Q2779" s="110" t="str">
        <f>$Q$2725</f>
        <v>A.08</v>
      </c>
      <c r="R2779" t="str">
        <f>$Q$2709</f>
        <v>L2</v>
      </c>
      <c r="S2779">
        <f>$E$21</f>
        <v>10.6875</v>
      </c>
      <c r="T2779" cm="1">
        <f t="array" ref="T2779">IFERROR(IF(S2779=0,0,(INDEX($C$33:$C$38,MATCH($W$2725,$B$33:$B$38,0),0)*(S2783+$X$2725)+$T$2725*COUNTIF(S2779:S2782,"&gt;0")*$C$32+$V$2725*$C$31)*$R$2725),0)</f>
        <v>0</v>
      </c>
      <c r="U2779">
        <f>IF(S2779=0,0,-(COUNTIF(S2779:S2782,"&gt;0")*$T$2725*$C$32+$V$2725*$C$31)*$H$27*$R$2725)</f>
        <v>0</v>
      </c>
      <c r="V2779">
        <f>IF(S2779=0,0,$V$2725*$H$26*$R$2725)</f>
        <v>0</v>
      </c>
      <c r="W2779">
        <f>(0.6*T2779+0.7*U2779)*$R$2725/2</f>
        <v>0</v>
      </c>
      <c r="X2779">
        <f>(0.6*T2779+0.6*V2779)*$R$2725/2</f>
        <v>0</v>
      </c>
      <c r="Z2779">
        <f>IF(S2779=0,0,$AD$2725*$AP$2709)</f>
        <v>0</v>
      </c>
      <c r="AA2779">
        <f>IFERROR(Z2779/$R$2725,0)</f>
        <v>0</v>
      </c>
      <c r="AB2779">
        <f>Z2779*($F$21+IF($F$21=0,0,($C$14+$C$15+IF($C$13="single",1.5,3)+3)/12))</f>
        <v>0</v>
      </c>
      <c r="AC2779">
        <f>AB2779-W2779</f>
        <v>0</v>
      </c>
      <c r="AD2779" cm="1">
        <f t="array" ref="AD2779">IFERROR(IF(AC2779&lt;0,0,AC2779/($R$2725-INDEX(hd_off,MATCH(AQ2779,hd_mark,0),0)/12)),0)</f>
        <v>0</v>
      </c>
      <c r="AE2779">
        <f>IF(S2779=0,0,$AD$2725*$AM$2709)</f>
        <v>0</v>
      </c>
      <c r="AF2779">
        <f>IFERROR(AE2779/$R$2725,0)</f>
        <v>0</v>
      </c>
      <c r="AG2779">
        <f>AE2779*($F$21+IF($F$21=0,0,($C$14+$C$15+IF($C$13="single",1.5,3)+3)/12))</f>
        <v>0</v>
      </c>
      <c r="AH2779">
        <f>AG2779-X2779</f>
        <v>0</v>
      </c>
      <c r="AI2779" cm="1">
        <f t="array" ref="AI2779">IFERROR(IF(AH2779&lt;0,0,AH2779/($R$2725-INDEX(hd_off,MATCH(AQ2779,hd_mark,0),0)/12)),0)</f>
        <v>0</v>
      </c>
      <c r="AJ2779">
        <f>MAX($F$21,$Y$2725)/$Q$2740</f>
        <v>0.30172413793103448</v>
      </c>
      <c r="AK2779">
        <f>IF(AJ2779=0,0,IF(AJ2779&gt;2,1.25-0.125*AJ2779,1))</f>
        <v>1</v>
      </c>
      <c r="AL2779" cm="1">
        <f t="array" ref="AL2779">IFERROR(INDEX(sheath_ecap_asd,MATCH(AP2779,sheath_mark,0),0)*AK2779,0)</f>
        <v>0</v>
      </c>
      <c r="AM2779" cm="1">
        <f t="array" ref="AM2779">IFERROR(INDEX(sheath_wcap_asd,MATCH(AP2779,sheath_mark,0),0)*AK2779,0)</f>
        <v>0</v>
      </c>
      <c r="AN2779" cm="1">
        <f t="array" ref="AN2779">IFERROR(INDEX(hd_cap,MATCH(AQ2779,hd_mark,0),0),0)</f>
        <v>0</v>
      </c>
      <c r="AP2779" s="19"/>
      <c r="AQ2779" s="19"/>
      <c r="AR2779" s="100"/>
      <c r="AS2779" s="93"/>
      <c r="AT2779" s="110" t="str">
        <f>$AT$2725</f>
        <v>1.08</v>
      </c>
      <c r="AU2779" t="str">
        <f>$Q$2709</f>
        <v>L2</v>
      </c>
      <c r="AV2779">
        <f>$E$21</f>
        <v>10.6875</v>
      </c>
      <c r="AW2779" cm="1">
        <f t="array" ref="AW2779">IFERROR(IF(AV2779=0,0,(INDEX($C$33:$C$38,MATCH($AZ$2725,$B$33:$B$38,0),0)*(AV2783+$BA$2725)+$AW$2725*COUNTIF(AV2779:AV2782,"&gt;0")*$C$32+$AY$2725*$C$31)*$AU$2725),0)</f>
        <v>0</v>
      </c>
      <c r="AX2779">
        <f>IF(AV2779=0,0,-(COUNTIF(AV2779:AV2782,"&gt;0")*$AW$2725*$C$32+$AY$2725*$C$31)*$H$27*$AU$2725)</f>
        <v>0</v>
      </c>
      <c r="AY2779">
        <f>IF(AV2779=0,0,$AY$2725*$H$26*$AU$2725)</f>
        <v>0</v>
      </c>
      <c r="AZ2779">
        <f>(0.6*AW2779+0.7*AX2779)*$AU$2725/2</f>
        <v>0</v>
      </c>
      <c r="BA2779">
        <f>(0.6*AW2779+0.6*AY2779)*$AU$2725/2</f>
        <v>0</v>
      </c>
      <c r="BC2779">
        <f>IF(AV2779=0,0,$BG$2725*$AP$2709)</f>
        <v>0</v>
      </c>
      <c r="BD2779">
        <f>IFERROR(BC2779/$AU$2725,0)</f>
        <v>0</v>
      </c>
      <c r="BE2779">
        <f>BC2779*($F$21+IF($F$21=0,0,($C$14+$C$15+IF($C$13="single",1.5,3)+3)/12))</f>
        <v>0</v>
      </c>
      <c r="BF2779">
        <f>BE2779-AZ2779</f>
        <v>0</v>
      </c>
      <c r="BG2779" cm="1">
        <f t="array" ref="BG2779">IFERROR(IF(BF2779&lt;0,0,BF2779/($AU$2725-INDEX(hd_off,MATCH(BT2779,hd_mark,0),0)/12)),0)</f>
        <v>0</v>
      </c>
      <c r="BH2779">
        <f>IF(AV2779=0,0,$BG$2725*$AM$2709)</f>
        <v>0</v>
      </c>
      <c r="BI2779">
        <f>IFERROR(BH2779/$AU$2725,0)</f>
        <v>0</v>
      </c>
      <c r="BJ2779">
        <f>BH2779*($F$21+IF($F$21=0,0,($C$14+$C$15+IF($C$13="single",1.5,3)+3)/12))</f>
        <v>0</v>
      </c>
      <c r="BK2779">
        <f>BJ2779-BA2779</f>
        <v>0</v>
      </c>
      <c r="BL2779" cm="1">
        <f t="array" ref="BL2779">IFERROR(IF(BK2779&lt;0,0,BK2779/($AU$2725-INDEX(hd_off,MATCH(BT2779,hd_mark,0),0)/12)),0)</f>
        <v>0</v>
      </c>
      <c r="BM2779">
        <f>MAX($F$21,$BB$2725)/$Q$2740</f>
        <v>0.30172413793103448</v>
      </c>
      <c r="BN2779">
        <f>IF(BM2779=0,0,IF(BM2779&gt;2,1.25-0.125*BM2779,1))</f>
        <v>1</v>
      </c>
      <c r="BO2779" cm="1">
        <f t="array" ref="BO2779">IFERROR(INDEX(sheath_ecap_asd,MATCH(BS2779,sheath_mark,0),0)*BN2779,0)</f>
        <v>0</v>
      </c>
      <c r="BP2779" cm="1">
        <f t="array" ref="BP2779">IFERROR(INDEX(sheath_wcap_asd,MATCH(BS2779,sheath_mark,0),0)*BN2779,0)</f>
        <v>0</v>
      </c>
      <c r="BQ2779" cm="1">
        <f t="array" ref="BQ2779">IFERROR(INDEX(hd_cap,MATCH(BT2779,hd_mark,0),0),0)</f>
        <v>0</v>
      </c>
      <c r="BS2779" s="19"/>
      <c r="BT2779" s="19"/>
      <c r="BU2779" s="100"/>
    </row>
    <row r="2780" x14ac:dyDescent="0.25">
      <c r="P2780" s="93"/>
      <c r="Q2780" s="109"/>
      <c r="R2780" t="str">
        <f>$Q$2710</f>
        <v>L3</v>
      </c>
      <c r="S2780">
        <f>$E$22</f>
        <v>21.375</v>
      </c>
      <c r="T2780" cm="1">
        <f t="array" ref="T2780">IFERROR(IF(S2780=0,0,(INDEX($C$33:$C$38,MATCH($W$2725,$B$33:$B$38,0),0)*(S2783+$X$2725)+$T$2725*COUNTIF(S2780:S2782,"&gt;0")*$C$32+$V$2725*$C$31)*$R$2725),0)</f>
        <v>0</v>
      </c>
      <c r="U2780">
        <f>IF(S2780=0,0,-(COUNTIF(S2780:S2782,"&gt;0")*$T$2725*$C$32+$V$2725*$C$31)*$H$27*$R$2725)</f>
        <v>0</v>
      </c>
      <c r="V2780">
        <f>IF(S2780=0,0,$V$2725*$H$26*$R$2725)</f>
        <v>0</v>
      </c>
      <c r="W2780">
        <f>(0.6*T2780+0.7*U2780)*$R$2725/2</f>
        <v>0</v>
      </c>
      <c r="X2780">
        <f>T2780*$R$2725/2</f>
        <v>0</v>
      </c>
      <c r="Z2780">
        <f>IF(S2780=0,0,$AD$2725*$AP$2710)</f>
        <v>0</v>
      </c>
      <c r="AA2780">
        <f>IFERROR(Z2780/$R$2725,0)</f>
        <v>0</v>
      </c>
      <c r="AB2780">
        <f>Z2780*($F$22+IF($F$22=0,0,($C$14+$C$15+IF($C$13="single",1.5,3)+3)/12))</f>
        <v>0</v>
      </c>
      <c r="AC2780">
        <f>AB2780-W2780</f>
        <v>0</v>
      </c>
      <c r="AD2780" cm="1">
        <f t="array" ref="AD2780">IFERROR(IF(AC2780&lt;0,0,AC2780/($R$2725-INDEX(hd_off,MATCH(AQ2780,hd_mark,0),0)/12)),0)</f>
        <v>0</v>
      </c>
      <c r="AE2780">
        <f>IF(S2780=0,0,$AD$2725*$AM$2710)</f>
        <v>0</v>
      </c>
      <c r="AF2780">
        <f>IFERROR(AE2780/$R$2725,0)</f>
        <v>0</v>
      </c>
      <c r="AG2780">
        <f>AE2780*($F$22+IF($F$22=0,0,($C$14+$C$15+IF($C$13="single",1.5,3)+3)/12))</f>
        <v>0</v>
      </c>
      <c r="AH2780">
        <f>AG2780-X2780</f>
        <v>0</v>
      </c>
      <c r="AI2780" cm="1">
        <f t="array" ref="AI2780">IFERROR(IF(AH2780&lt;0,0,AH2780/($R$2725-INDEX(hd_off,MATCH(AQ2780,hd_mark,0),0)/12)),0)</f>
        <v>0</v>
      </c>
      <c r="AJ2780">
        <f>MAX($F$22,$Z$2725)/$Q$2740</f>
        <v>0.30172413793103448</v>
      </c>
      <c r="AK2780">
        <f t="shared" ref="AK2780:AK2783" si="1719">IF(AJ2780=0,0,IF(AJ2780&gt;2,1.25-0.125*AJ2780,1))</f>
        <v>1</v>
      </c>
      <c r="AL2780" cm="1">
        <f t="array" ref="AL2780">IFERROR(INDEX(sheath_ecap_asd,MATCH(AP2780,sheath_mark,0),0)*AK2780,0)</f>
        <v>0</v>
      </c>
      <c r="AM2780" cm="1">
        <f t="array" ref="AM2780">IFERROR(INDEX(sheath_wcap_asd,MATCH(AP2780,sheath_mark,0),0)*AK2780,0)</f>
        <v>0</v>
      </c>
      <c r="AN2780" cm="1">
        <f t="array" ref="AN2780">IFERROR(INDEX(hd_cap,MATCH(AQ2780,hd_mark,0),0),0)</f>
        <v>0</v>
      </c>
      <c r="AP2780" s="19"/>
      <c r="AQ2780" s="19"/>
      <c r="AR2780" s="100"/>
      <c r="AS2780" s="93"/>
      <c r="AT2780" s="109"/>
      <c r="AU2780" t="str">
        <f>$Q$2710</f>
        <v>L3</v>
      </c>
      <c r="AV2780">
        <f>$E$22</f>
        <v>21.375</v>
      </c>
      <c r="AW2780" cm="1">
        <f t="array" ref="AW2780">IFERROR(IF(AV2780=0,0,(INDEX($C$33:$C$38,MATCH($AZ$2725,$B$33:$B$38,0),0)*(AV2783+$BA$2725)+$AW$2725*COUNTIF(AV2780:AV2782,"&gt;0")*$C$32+$AY$2725*$C$31)*$AU$2725),0)</f>
        <v>0</v>
      </c>
      <c r="AX2780">
        <f>IF(AV2780=0,0,-(COUNTIF(AV2780:AV2782,"&gt;0")*$AW$2725*$C$32+$AY$2725*$C$31)*$H$27*$AU$2725)</f>
        <v>0</v>
      </c>
      <c r="AY2780">
        <f>IF(AV2780=0,0,$AY$2725*$H$26*$AU$2725)</f>
        <v>0</v>
      </c>
      <c r="AZ2780">
        <f>(0.6*AW2780+0.7*AX2780)*$AU$2725/2</f>
        <v>0</v>
      </c>
      <c r="BA2780">
        <f>AW2780*$AU$2725/2</f>
        <v>0</v>
      </c>
      <c r="BC2780">
        <f>IF(AV2780=0,0,$BG$2725*$AP$2710)</f>
        <v>0</v>
      </c>
      <c r="BD2780">
        <f>IFERROR(BC2780/$AU$2725,0)</f>
        <v>0</v>
      </c>
      <c r="BE2780">
        <f>BC2780*($F$22+IF($F$22=0,0,($C$14+$C$15+IF($C$13="single",1.5,3)+3)/12))</f>
        <v>0</v>
      </c>
      <c r="BF2780">
        <f>BE2780-AZ2780</f>
        <v>0</v>
      </c>
      <c r="BG2780" cm="1">
        <f t="array" ref="BG2780">IFERROR(IF(BF2780&lt;0,0,BF2780/($AU$2725-INDEX(hd_off,MATCH(BT2780,hd_mark,0),0)/12)),0)</f>
        <v>0</v>
      </c>
      <c r="BH2780">
        <f>IF(AV2780=0,0,$BG$2725*$AM$2710)</f>
        <v>0</v>
      </c>
      <c r="BI2780">
        <f>IFERROR(BH2780/$AU$2725,0)</f>
        <v>0</v>
      </c>
      <c r="BJ2780">
        <f>BH2780*($F$22+IF($F$22=0,0,($C$14+$C$15+IF($C$13="single",1.5,3)+3)/12))</f>
        <v>0</v>
      </c>
      <c r="BK2780">
        <f>BJ2780-BA2780</f>
        <v>0</v>
      </c>
      <c r="BL2780" cm="1">
        <f t="array" ref="BL2780">IFERROR(IF(BK2780&lt;0,0,BK2780/($AU$2725-INDEX(hd_off,MATCH(BT2780,hd_mark,0),0)/12)),0)</f>
        <v>0</v>
      </c>
      <c r="BM2780">
        <f>MAX($F$22,$BC$2725)/$Q$2740</f>
        <v>0.30172413793103448</v>
      </c>
      <c r="BN2780">
        <f t="shared" ref="BN2780:BN2783" si="1720">IF(BM2780=0,0,IF(BM2780&gt;2,1.25-0.125*BM2780,1))</f>
        <v>1</v>
      </c>
      <c r="BO2780" cm="1">
        <f t="array" ref="BO2780">IFERROR(INDEX(sheath_ecap_asd,MATCH(BS2780,sheath_mark,0),0)*BN2780,0)</f>
        <v>0</v>
      </c>
      <c r="BP2780" cm="1">
        <f t="array" ref="BP2780">IFERROR(INDEX(sheath_wcap_asd,MATCH(BS2780,sheath_mark,0),0)*BN2780,0)</f>
        <v>0</v>
      </c>
      <c r="BQ2780" cm="1">
        <f t="array" ref="BQ2780">IFERROR(INDEX(hd_cap,MATCH(BT2780,hd_mark,0),0),0)</f>
        <v>0</v>
      </c>
      <c r="BS2780" s="19"/>
      <c r="BT2780" s="19"/>
      <c r="BU2780" s="100"/>
    </row>
    <row r="2781" x14ac:dyDescent="0.25">
      <c r="P2781" s="93"/>
      <c r="Q2781" s="109" t="s">
        <v>491</v>
      </c>
      <c r="R2781" t="str">
        <f>$Q$2711</f>
        <v>L4</v>
      </c>
      <c r="S2781">
        <f>$E$23</f>
        <v>0</v>
      </c>
      <c r="T2781" cm="1">
        <f t="array" ref="T2781">IFERROR(IF(S2781=0,0,(INDEX($C$33:$C$38,MATCH($W$2725,$B$33:$B$38,0),0)*(S2783+$X$2725)+$T$2725*COUNTIF(S2781:S2782,"&gt;0")*$C$32+$V$2725*$C$31)*$R$2725),0)</f>
        <v>0</v>
      </c>
      <c r="U2781">
        <f>IF(S2781=0,0,-(COUNTIF(S2781:S2782,"&gt;0")*$T$2725*$C$32+$V$2725*$C$31)*$H$27*$R$2725)</f>
        <v>0</v>
      </c>
      <c r="V2781">
        <f>IF(S2781=0,0,$V$2725*$H$26*$R$2725)</f>
        <v>0</v>
      </c>
      <c r="W2781">
        <f>(0.6*T2781+0.7*U2781)*$R$2725/2</f>
        <v>0</v>
      </c>
      <c r="X2781">
        <f>T2781*$R$2725/2</f>
        <v>0</v>
      </c>
      <c r="Z2781">
        <f>IF(S2781=0,0,$AD$2725*$AP$2711)</f>
        <v>0</v>
      </c>
      <c r="AA2781">
        <f>IFERROR(Z2781/$R$2725,0)</f>
        <v>0</v>
      </c>
      <c r="AB2781">
        <f>Z2781*($F$23+IF($F$23=0,0,($C$14+$C$15+IF($C$13="single",1.5,3)+3)/12))</f>
        <v>0</v>
      </c>
      <c r="AC2781">
        <f>AB2781-W2781</f>
        <v>0</v>
      </c>
      <c r="AD2781" cm="1">
        <f t="array" ref="AD2781">IFERROR(IF(AC2781&lt;0,0,AC2781/($R$2725-INDEX(hd_off,MATCH(AQ2781,hd_mark,0),0)/12)),0)</f>
        <v>0</v>
      </c>
      <c r="AE2781">
        <f>IF(S2781=0,0,$AD$2725*$AM$2711)</f>
        <v>0</v>
      </c>
      <c r="AF2781">
        <f>IFERROR(AE2781/$R$2725,0)</f>
        <v>0</v>
      </c>
      <c r="AG2781">
        <f>AE2781*($F$23+IF($F$23=0,0,($C$14+$C$15+IF($C$13="single",1.5,3)+3)/12))</f>
        <v>0</v>
      </c>
      <c r="AH2781">
        <f>AG2781-X2781</f>
        <v>0</v>
      </c>
      <c r="AI2781" cm="1">
        <f t="array" ref="AI2781">IFERROR(IF(AH2781&lt;0,0,AH2781/($R$2725-INDEX(hd_off,MATCH(AQ2781,hd_mark,0),0)/12)),0)</f>
        <v>0</v>
      </c>
      <c r="AJ2781">
        <f>MAX($F$23,$AA$2725)/$Q$2740</f>
        <v>0</v>
      </c>
      <c r="AK2781">
        <f t="shared" si="1719"/>
        <v>0</v>
      </c>
      <c r="AL2781" cm="1">
        <f t="array" ref="AL2781">IFERROR(INDEX(sheath_ecap_asd,MATCH(AP2781,sheath_mark,0),0)*AK2781,0)</f>
        <v>0</v>
      </c>
      <c r="AM2781" cm="1">
        <f t="array" ref="AM2781">IFERROR(INDEX(sheath_wcap_asd,MATCH(AP2781,sheath_mark,0),0)*AK2781,0)</f>
        <v>0</v>
      </c>
      <c r="AN2781" cm="1">
        <f t="array" ref="AN2781">IFERROR(INDEX(hd_cap,MATCH(AQ2781,hd_mark,0),0),0)</f>
        <v>0</v>
      </c>
      <c r="AP2781" s="19"/>
      <c r="AQ2781" s="19"/>
      <c r="AR2781" s="100"/>
      <c r="AS2781" s="93"/>
      <c r="AT2781" s="109" t="s">
        <v>491</v>
      </c>
      <c r="AU2781" t="str">
        <f>$Q$2711</f>
        <v>L4</v>
      </c>
      <c r="AV2781">
        <f>$E$23</f>
        <v>0</v>
      </c>
      <c r="AW2781" cm="1">
        <f t="array" ref="AW2781">IFERROR(IF(AV2781=0,0,(INDEX($C$33:$C$38,MATCH($AZ$2725,$B$33:$B$38,0),0)*(AV2783+$BA$2725)+$AW$2725*COUNTIF(AV2781:AV2782,"&gt;0")*$C$32+$AY$2725*$C$31)*$AU$2725),0)</f>
        <v>0</v>
      </c>
      <c r="AX2781">
        <f>IF(AV2781=0,0,-(COUNTIF(AV2781:AV2782,"&gt;0")*$AW$2725*$C$32+$AY$2725*$C$31)*$H$27*$AU$2725)</f>
        <v>0</v>
      </c>
      <c r="AY2781">
        <f>IF(AV2781=0,0,$AY$2725*$H$26*$AU$2725)</f>
        <v>0</v>
      </c>
      <c r="AZ2781">
        <f>(0.6*AW2781+0.7*AX2781)*$AU$2725/2</f>
        <v>0</v>
      </c>
      <c r="BA2781">
        <f>AW2781*$AU$2725/2</f>
        <v>0</v>
      </c>
      <c r="BC2781">
        <f>IF(AV2781=0,0,$BG$2725*$AP$2711)</f>
        <v>0</v>
      </c>
      <c r="BD2781">
        <f>IFERROR(BC2781/$AU$2725,0)</f>
        <v>0</v>
      </c>
      <c r="BE2781">
        <f>BC2781*($F$23+IF($F$23=0,0,($C$14+$C$15+IF($C$13="single",1.5,3)+3)/12))</f>
        <v>0</v>
      </c>
      <c r="BF2781">
        <f>BE2781-AZ2781</f>
        <v>0</v>
      </c>
      <c r="BG2781" cm="1">
        <f t="array" ref="BG2781">IFERROR(IF(BF2781&lt;0,0,BF2781/($AU$2725-INDEX(hd_off,MATCH(BT2781,hd_mark,0),0)/12)),0)</f>
        <v>0</v>
      </c>
      <c r="BH2781">
        <f>IF(AV2781=0,0,$BG$2725*$AM$2711)</f>
        <v>0</v>
      </c>
      <c r="BI2781">
        <f>IFERROR(BH2781/$AU$2725,0)</f>
        <v>0</v>
      </c>
      <c r="BJ2781">
        <f>BH2781*($F$23+IF($F$23=0,0,($C$14+$C$15+IF($C$13="single",1.5,3)+3)/12))</f>
        <v>0</v>
      </c>
      <c r="BK2781">
        <f>BJ2781-BA2781</f>
        <v>0</v>
      </c>
      <c r="BL2781" cm="1">
        <f t="array" ref="BL2781">IFERROR(IF(BK2781&lt;0,0,BK2781/($AU$2725-INDEX(hd_off,MATCH(BT2781,hd_mark,0),0)/12)),0)</f>
        <v>0</v>
      </c>
      <c r="BM2781">
        <f>MAX($F$23,$BD$2725)/$Q$2740</f>
        <v>0</v>
      </c>
      <c r="BN2781">
        <f t="shared" si="1720"/>
        <v>0</v>
      </c>
      <c r="BO2781" cm="1">
        <f t="array" ref="BO2781">IFERROR(INDEX(sheath_ecap_asd,MATCH(BS2781,sheath_mark,0),0)*BN2781,0)</f>
        <v>0</v>
      </c>
      <c r="BP2781" cm="1">
        <f t="array" ref="BP2781">IFERROR(INDEX(sheath_wcap_asd,MATCH(BS2781,sheath_mark,0),0)*BN2781,0)</f>
        <v>0</v>
      </c>
      <c r="BQ2781" cm="1">
        <f t="array" ref="BQ2781">IFERROR(INDEX(hd_cap,MATCH(BT2781,hd_mark,0),0),0)</f>
        <v>0</v>
      </c>
      <c r="BS2781" s="19"/>
      <c r="BT2781" s="19"/>
      <c r="BU2781" s="100"/>
    </row>
    <row r="2782" x14ac:dyDescent="0.25">
      <c r="P2782" s="93"/>
      <c r="Q2782" s="111">
        <f>$R$2725</f>
        <v>0</v>
      </c>
      <c r="R2782" t="str">
        <f>$Q$2712</f>
        <v>L5</v>
      </c>
      <c r="S2782">
        <f>$E$24</f>
        <v>0</v>
      </c>
      <c r="T2782" cm="1">
        <f t="array" ref="T2782">IFERROR(IF(S2782=0,0,(INDEX($C$33:$C$38,MATCH($W$2725,$B$33:$B$38,0),0)*(S2783+$X$2725)+$T$2725*COUNTIF(S2782:S2782,"&gt;0")*$C$32+$V$2725*$C$31)*$R$2725),0)</f>
        <v>0</v>
      </c>
      <c r="U2782">
        <f>IF(S2782=0,0,-(COUNTIF(S2782:S2782,"&gt;0")*$T$2725*$C$32+$V$2725*$C$31)*$H$27*$R$2725)</f>
        <v>0</v>
      </c>
      <c r="V2782">
        <f>IF(S2782=0,0,$V$2725*$H$26*$R$2725)</f>
        <v>0</v>
      </c>
      <c r="W2782">
        <f>(0.6*T2782+0.7*U2782)*$R$2725/2</f>
        <v>0</v>
      </c>
      <c r="X2782">
        <f>T2782*$R$2725/2</f>
        <v>0</v>
      </c>
      <c r="Z2782">
        <f>IF(S2782=0,0,$AD$2725*$AP$2712)</f>
        <v>0</v>
      </c>
      <c r="AA2782">
        <f>IFERROR(Z2782/$R$2725,0)</f>
        <v>0</v>
      </c>
      <c r="AB2782">
        <f>Z2782*($F$24+IF($F$24=0,0,($C$14+$C$15+IF($C$13="single",1.5,3)+3)/12))</f>
        <v>0</v>
      </c>
      <c r="AC2782">
        <f>AB2782-W2782</f>
        <v>0</v>
      </c>
      <c r="AD2782" cm="1">
        <f t="array" ref="AD2782">IFERROR(IF(AC2782&lt;0,0,AC2782/($R$2725-INDEX(hd_off,MATCH(AQ2782,hd_mark,0),0)/12)),0)</f>
        <v>0</v>
      </c>
      <c r="AE2782">
        <f>IF(S2782=0,0,$AD$2725*$AM$2712)</f>
        <v>0</v>
      </c>
      <c r="AF2782">
        <f>IFERROR(AE2782/$R$2725,0)</f>
        <v>0</v>
      </c>
      <c r="AG2782">
        <f>AE2782*($F$24+IF($F$24=0,0,($C$14+$C$15+IF($C$13="single",1.5,3)+3)/12))</f>
        <v>0</v>
      </c>
      <c r="AH2782">
        <f>AG2782-X2782</f>
        <v>0</v>
      </c>
      <c r="AI2782" cm="1">
        <f t="array" ref="AI2782">IFERROR(IF(AH2782&lt;0,0,AH2782/($R$2725-INDEX(hd_off,MATCH(AQ2782,hd_mark,0),0)/12)),0)</f>
        <v>0</v>
      </c>
      <c r="AJ2782">
        <f>MAX($F$24,$AB$2725)/$Q$2740</f>
        <v>0</v>
      </c>
      <c r="AK2782">
        <f t="shared" si="1719"/>
        <v>0</v>
      </c>
      <c r="AL2782" cm="1">
        <f t="array" ref="AL2782">IFERROR(INDEX(sheath_ecap_asd,MATCH(AP2782,sheath_mark,0),0)*AK2782,0)</f>
        <v>0</v>
      </c>
      <c r="AM2782" cm="1">
        <f t="array" ref="AM2782">IFERROR(INDEX(sheath_wcap_asd,MATCH(AP2782,sheath_mark,0),0)*AK2782,0)</f>
        <v>0</v>
      </c>
      <c r="AN2782" cm="1">
        <f t="array" ref="AN2782">IFERROR(INDEX(hd_cap,MATCH(AQ2782,hd_mark,0),0),0)</f>
        <v>0</v>
      </c>
      <c r="AP2782" s="19"/>
      <c r="AQ2782" s="19"/>
      <c r="AR2782" s="100"/>
      <c r="AS2782" s="93"/>
      <c r="AT2782" s="111">
        <f>$R$2725</f>
        <v>0</v>
      </c>
      <c r="AU2782" t="str">
        <f>$Q$2712</f>
        <v>L5</v>
      </c>
      <c r="AV2782">
        <f>$E$24</f>
        <v>0</v>
      </c>
      <c r="AW2782" cm="1">
        <f t="array" ref="AW2782">IFERROR(IF(AV2782=0,0,(INDEX($C$33:$C$38,MATCH($AZ$2725,$B$33:$B$38,0),0)*(AV2783+$BA$2725)+$AW$2725*COUNTIF(AV2782:AV2782,"&gt;0")*$C$32+$AY$2725*$C$31)*$AU$2725),0)</f>
        <v>0</v>
      </c>
      <c r="AX2782">
        <f>IF(AV2782=0,0,-(COUNTIF(AV2782:AV2782,"&gt;0")*$AW$2725*$C$32+$AY$2725*$C$31)*$H$27*$AU$2725)</f>
        <v>0</v>
      </c>
      <c r="AY2782">
        <f>IF(AV2782=0,0,$AY$2725*$H$26*$AU$2725)</f>
        <v>0</v>
      </c>
      <c r="AZ2782">
        <f>(0.6*AW2782+0.7*AX2782)*$AU$2725/2</f>
        <v>0</v>
      </c>
      <c r="BA2782">
        <f>AW2782*$AU$2725/2</f>
        <v>0</v>
      </c>
      <c r="BC2782">
        <f>IF(AV2782=0,0,$BG$2725*$AP$2712)</f>
        <v>0</v>
      </c>
      <c r="BD2782">
        <f>IFERROR(BC2782/$AU$2725,0)</f>
        <v>0</v>
      </c>
      <c r="BE2782">
        <f>BC2782*($F$24+IF($F$24=0,0,($C$14+$C$15+IF($C$13="single",1.5,3)+3)/12))</f>
        <v>0</v>
      </c>
      <c r="BF2782">
        <f>BE2782-AZ2782</f>
        <v>0</v>
      </c>
      <c r="BG2782" cm="1">
        <f t="array" ref="BG2782">IFERROR(IF(BF2782&lt;0,0,BF2782/($AU$2725-INDEX(hd_off,MATCH(BT2782,hd_mark,0),0)/12)),0)</f>
        <v>0</v>
      </c>
      <c r="BH2782">
        <f>IF(AV2782=0,0,$BG$2725*$AM$2712)</f>
        <v>0</v>
      </c>
      <c r="BI2782">
        <f>IFERROR(BH2782/$AU$2725,0)</f>
        <v>0</v>
      </c>
      <c r="BJ2782">
        <f>BH2782*($F$24+IF($F$24=0,0,($C$14+$C$15+IF($C$13="single",1.5,3)+3)/12))</f>
        <v>0</v>
      </c>
      <c r="BK2782">
        <f>BJ2782-BA2782</f>
        <v>0</v>
      </c>
      <c r="BL2782" cm="1">
        <f t="array" ref="BL2782">IFERROR(IF(BK2782&lt;0,0,BK2782/($AU$2725-INDEX(hd_off,MATCH(BT2782,hd_mark,0),0)/12)),0)</f>
        <v>0</v>
      </c>
      <c r="BM2782">
        <f>MAX($F$24,$BE$2725)/$Q$2740</f>
        <v>0</v>
      </c>
      <c r="BN2782">
        <f t="shared" si="1720"/>
        <v>0</v>
      </c>
      <c r="BO2782" cm="1">
        <f t="array" ref="BO2782">IFERROR(INDEX(sheath_ecap_asd,MATCH(BS2782,sheath_mark,0),0)*BN2782,0)</f>
        <v>0</v>
      </c>
      <c r="BP2782" cm="1">
        <f t="array" ref="BP2782">IFERROR(INDEX(sheath_wcap_asd,MATCH(BS2782,sheath_mark,0),0)*BN2782,0)</f>
        <v>0</v>
      </c>
      <c r="BQ2782" cm="1">
        <f t="array" ref="BQ2782">IFERROR(INDEX(hd_cap,MATCH(BT2782,hd_mark,0),0),0)</f>
        <v>0</v>
      </c>
      <c r="BS2782" s="19"/>
      <c r="BT2782" s="19"/>
      <c r="BU2782" s="100"/>
    </row>
    <row r="2783" x14ac:dyDescent="0.25">
      <c r="P2783" s="93"/>
      <c r="Q2783" s="109"/>
      <c r="R2783" t="str">
        <f>$Q$2713</f>
        <v>Roof</v>
      </c>
      <c r="S2783">
        <f>$E$25</f>
        <v>33.171875</v>
      </c>
      <c r="T2783" cm="1">
        <f t="array" ref="T2783">IFERROR(IF(S2783=0,0,(INDEX($C$33:$C$38,MATCH($W$2725,$B$33:$B$38,0),0)*(S2783+$X$2725)+$V$2725*$C$31)*$R$2725),0)</f>
        <v>0</v>
      </c>
      <c r="U2783">
        <f>IF(S2783=0,0,-$V$2725*$C$31*$H$27*$R$2725)</f>
        <v>0</v>
      </c>
      <c r="V2783">
        <f>IF(S2783=0,0,$V$2725*$H$26*$R$2725)</f>
        <v>0</v>
      </c>
      <c r="W2783">
        <f>(0.6*T2783+0.7*U2783)*$R$2725/2</f>
        <v>0</v>
      </c>
      <c r="X2783">
        <f>T2783*$R$2725/2</f>
        <v>0</v>
      </c>
      <c r="Z2783">
        <f>IF(S2783=0,0,$AD$2725*$AP$2713)</f>
        <v>0</v>
      </c>
      <c r="AA2783">
        <f>IFERROR(Z2783/$R$2725,0)</f>
        <v>0</v>
      </c>
      <c r="AB2783">
        <f>Z2783*($F$25+($C$16+$C$17+IF($C$13="single",1.5,3)+3)/12)</f>
        <v>0</v>
      </c>
      <c r="AC2783">
        <f>AB2783-W2783</f>
        <v>0</v>
      </c>
      <c r="AD2783" cm="1">
        <f t="array" ref="AD2783">IFERROR(IF(AC2783&lt;0,0,AC2783/($R$2725-INDEX(hd_off,MATCH(AQ2783,hd_mark,0),0)/12)),0)</f>
        <v>0</v>
      </c>
      <c r="AE2783">
        <f>IF(S2783=0,0,$AD$2725*$AM$2713)</f>
        <v>0</v>
      </c>
      <c r="AF2783">
        <f>IFERROR(AE2783/$R$2725,0)</f>
        <v>0</v>
      </c>
      <c r="AG2783">
        <f>AE2783*($F$25+($C$16+$C$17+IF($C$13="single",1.5,3)+3)/12)</f>
        <v>0</v>
      </c>
      <c r="AH2783">
        <f>AG2783-X2783</f>
        <v>0</v>
      </c>
      <c r="AI2783" cm="1">
        <f t="array" ref="AI2783">IFERROR(IF(AH2783&lt;0,0,AH2783/($R$2725-INDEX(hd_off,MATCH(AQ2783,hd_mark,0),0)/12)),0)</f>
        <v>0</v>
      </c>
      <c r="AJ2783">
        <f>MAX($F$25,$AC$2725)/$Q$2740</f>
        <v>0.29920977011494249</v>
      </c>
      <c r="AK2783">
        <f t="shared" si="1719"/>
        <v>1</v>
      </c>
      <c r="AL2783" cm="1">
        <f t="array" ref="AL2783">IFERROR(INDEX(sheath_ecap_asd,MATCH(AP2783,sheath_mark,0),0)*AK2783,0)</f>
        <v>0</v>
      </c>
      <c r="AM2783" cm="1">
        <f t="array" ref="AM2783">IFERROR(INDEX(sheath_wcap_asd,MATCH(AP2783,sheath_mark,0),0)*AK2783,0)</f>
        <v>0</v>
      </c>
      <c r="AN2783" cm="1">
        <f t="array" ref="AN2783">IFERROR(INDEX(hd_cap,MATCH(AQ2783,hd_mark,0),0),0)</f>
        <v>0</v>
      </c>
      <c r="AP2783" s="19"/>
      <c r="AQ2783" s="19"/>
      <c r="AR2783" s="100"/>
      <c r="AS2783" s="93"/>
      <c r="AT2783" s="109"/>
      <c r="AU2783" t="str">
        <f>$Q$2713</f>
        <v>Roof</v>
      </c>
      <c r="AV2783">
        <f>$E$25</f>
        <v>33.171875</v>
      </c>
      <c r="AW2783" cm="1">
        <f t="array" ref="AW2783">IFERROR(IF(AV2783=0,0,(INDEX($C$33:$C$38,MATCH($AZ$2725,$B$33:$B$38,0),0)*(AV2783+$BA$2725)+$AY$2725*$C$31)*$AU$2725),0)</f>
        <v>0</v>
      </c>
      <c r="AX2783">
        <f>IF(AV2783=0,0,-$AY$2725*$C$31*$H$27*$AU$2725)</f>
        <v>0</v>
      </c>
      <c r="AY2783">
        <f>IF(AV2783=0,0,$AY$2725*$H$26*$AU$2725)</f>
        <v>0</v>
      </c>
      <c r="AZ2783">
        <f>(0.6*AW2783+0.7*AX2783)*$AU$2725/2</f>
        <v>0</v>
      </c>
      <c r="BA2783">
        <f>AW2783*$AU$2725/2</f>
        <v>0</v>
      </c>
      <c r="BC2783">
        <f>IF(AV2783=0,0,$BG$2725*$AP$2713)</f>
        <v>0</v>
      </c>
      <c r="BD2783">
        <f>IFERROR(BC2783/$AU$2725,0)</f>
        <v>0</v>
      </c>
      <c r="BE2783">
        <f>BC2783*($F$25+($C$16+$C$17+IF($C$13="single",1.5,3)+3)/12)</f>
        <v>0</v>
      </c>
      <c r="BF2783">
        <f>BE2783-AZ2783</f>
        <v>0</v>
      </c>
      <c r="BG2783" cm="1">
        <f t="array" ref="BG2783">IFERROR(IF(BF2783&lt;0,0,BF2783/($AU$2725-INDEX(hd_off,MATCH(BT2783,hd_mark,0),0)/12)),0)</f>
        <v>0</v>
      </c>
      <c r="BH2783">
        <f>IF(AV2783=0,0,$BG$2725*$AM$2713)</f>
        <v>0</v>
      </c>
      <c r="BI2783">
        <f>IFERROR(BH2783/$AU$2725,0)</f>
        <v>0</v>
      </c>
      <c r="BJ2783">
        <f>BH2783*($F$25+($C$16+$C$17+IF($C$13="single",1.5,3)+3)/12)</f>
        <v>0</v>
      </c>
      <c r="BK2783">
        <f>BJ2783-BA2783</f>
        <v>0</v>
      </c>
      <c r="BL2783" cm="1">
        <f t="array" ref="BL2783">IFERROR(IF(BK2783&lt;0,0,BK2783/($AU$2725-INDEX(hd_off,MATCH(BT2783,hd_mark,0),0)/12)),0)</f>
        <v>0</v>
      </c>
      <c r="BM2783">
        <f>MAX($F$25,$BF$2725)/$Q$2740</f>
        <v>0.29920977011494249</v>
      </c>
      <c r="BN2783">
        <f t="shared" si="1720"/>
        <v>1</v>
      </c>
      <c r="BO2783" cm="1">
        <f t="array" ref="BO2783">IFERROR(INDEX(sheath_ecap_asd,MATCH(BS2783,sheath_mark,0),0)*BN2783,0)</f>
        <v>0</v>
      </c>
      <c r="BP2783" cm="1">
        <f t="array" ref="BP2783">IFERROR(INDEX(sheath_wcap_asd,MATCH(BS2783,sheath_mark,0),0)*BN2783,0)</f>
        <v>0</v>
      </c>
      <c r="BQ2783" cm="1">
        <f t="array" ref="BQ2783">IFERROR(INDEX(hd_cap,MATCH(BT2783,hd_mark,0),0),0)</f>
        <v>0</v>
      </c>
      <c r="BS2783" s="19"/>
      <c r="BT2783" s="19"/>
      <c r="BU2783" s="100"/>
    </row>
    <row r="2784" x14ac:dyDescent="0.25">
      <c r="P2784" s="93"/>
      <c r="AR2784" s="100"/>
      <c r="AS2784" s="93"/>
      <c r="BU2784" s="100"/>
    </row>
    <row r="2785" x14ac:dyDescent="0.25">
      <c r="P2785" s="93"/>
      <c r="Q2785" s="110" t="str">
        <f>$Q$2726</f>
        <v>A.09</v>
      </c>
      <c r="R2785" t="str">
        <f>$Q$2709</f>
        <v>L2</v>
      </c>
      <c r="S2785">
        <f>$E$21</f>
        <v>10.6875</v>
      </c>
      <c r="T2785" cm="1">
        <f t="array" ref="T2785">IFERROR(IF(S2785=0,0,(INDEX($C$33:$C$38,MATCH($W$2726,$B$33:$B$38,0),0)*(S2789+$X$2726)+$T$2726*COUNTIF(S2785:S2788,"&gt;0")*$C$32+$V$2726*$C$31)*$R$2726),0)</f>
        <v>0</v>
      </c>
      <c r="U2785">
        <f>IF(S2785=0,0,-(COUNTIF(S2785:S2788,"&gt;0")*$T$2726*$C$32+$V$2726*$C$31)*$H$27*$R$2726)</f>
        <v>0</v>
      </c>
      <c r="V2785">
        <f>IF(S2785=0,0,$V$2726*$H$26*$R$2726)</f>
        <v>0</v>
      </c>
      <c r="W2785">
        <f>(0.6*T2785+0.7*U2785)*$R$2726/2</f>
        <v>0</v>
      </c>
      <c r="X2785">
        <f>(0.6*T2785+0.6*V2785)*$R$2726/2</f>
        <v>0</v>
      </c>
      <c r="Z2785">
        <f>IF(S2785=0,0,$AD$2726*$AP$2709)</f>
        <v>0</v>
      </c>
      <c r="AA2785">
        <f>IFERROR(Z2785/$R$2726,0)</f>
        <v>0</v>
      </c>
      <c r="AB2785">
        <f>Z2785*($F$21+IF($F$21=0,0,($C$14+$C$15+IF($C$13="single",1.5,3)+3)/12))</f>
        <v>0</v>
      </c>
      <c r="AC2785">
        <f>AB2785-W2785</f>
        <v>0</v>
      </c>
      <c r="AD2785" cm="1">
        <f t="array" ref="AD2785">IFERROR(IF(AC2785&lt;0,0,AC2785/($R$2726-INDEX(hd_off,MATCH(AQ2785,hd_mark,0),0)/12)),0)</f>
        <v>0</v>
      </c>
      <c r="AE2785">
        <f>IF(S2785=0,0,$AD$2726*$AM$2709)</f>
        <v>0</v>
      </c>
      <c r="AF2785">
        <f>IFERROR(AE2785/$R$2726,0)</f>
        <v>0</v>
      </c>
      <c r="AG2785">
        <f>AE2785*($F$21+IF($F$21=0,0,($C$14+$C$15+IF($C$13="single",1.5,3)+3)/12))</f>
        <v>0</v>
      </c>
      <c r="AH2785">
        <f>AG2785-X2785</f>
        <v>0</v>
      </c>
      <c r="AI2785" cm="1">
        <f t="array" ref="AI2785">IFERROR(IF(AH2785&lt;0,0,AH2785/($R$2726-INDEX(hd_off,MATCH(AQ2785,hd_mark,0),0)/12)),0)</f>
        <v>0</v>
      </c>
      <c r="AJ2785">
        <f>MAX($F$21,$Y$2726)/$Q$2740</f>
        <v>0.30172413793103448</v>
      </c>
      <c r="AK2785">
        <f>IF(AJ2785=0,0,IF(AJ2785&gt;2,1.25-0.125*AJ2785,1))</f>
        <v>1</v>
      </c>
      <c r="AL2785" cm="1">
        <f t="array" ref="AL2785">IFERROR(INDEX(sheath_ecap_asd,MATCH(AP2785,sheath_mark,0),0)*AK2785,0)</f>
        <v>0</v>
      </c>
      <c r="AM2785" cm="1">
        <f t="array" ref="AM2785">IFERROR(INDEX(sheath_wcap_asd,MATCH(AP2785,sheath_mark,0),0)*AK2785,0)</f>
        <v>0</v>
      </c>
      <c r="AN2785" cm="1">
        <f t="array" ref="AN2785">IFERROR(INDEX(hd_cap,MATCH(AQ2785,hd_mark,0),0),0)</f>
        <v>0</v>
      </c>
      <c r="AP2785" s="19"/>
      <c r="AQ2785" s="19"/>
      <c r="AR2785" s="100"/>
      <c r="AS2785" s="93"/>
      <c r="AT2785" s="110" t="str">
        <f>$AT$2726</f>
        <v>1.09</v>
      </c>
      <c r="AU2785" t="str">
        <f>$Q$2709</f>
        <v>L2</v>
      </c>
      <c r="AV2785">
        <f>$E$21</f>
        <v>10.6875</v>
      </c>
      <c r="AW2785" cm="1">
        <f t="array" ref="AW2785">IFERROR(IF(AV2785=0,0,(INDEX($C$33:$C$38,MATCH($AZ$2726,$B$33:$B$38,0),0)*(AV2789+$BA$2726)+$AW$2726*COUNTIF(AV2785:AV2788,"&gt;0")*$C$32+$AY$2726*$C$31)*$AU$2726),0)</f>
        <v>0</v>
      </c>
      <c r="AX2785">
        <f>IF(AV2785=0,0,-(COUNTIF(AV2785:AV2788,"&gt;0")*$AW$2726*$C$32+$AY$2726*$C$31)*$H$27*$AU$2726)</f>
        <v>0</v>
      </c>
      <c r="AY2785">
        <f>IF(AV2785=0,0,$AY$2726*$H$26*$AU$2726)</f>
        <v>0</v>
      </c>
      <c r="AZ2785">
        <f>(0.6*AW2785+0.7*AX2785)*$AU$2726/2</f>
        <v>0</v>
      </c>
      <c r="BA2785">
        <f>(0.6*AW2785+0.6*AY2785)*$AU$2726/2</f>
        <v>0</v>
      </c>
      <c r="BC2785">
        <f>IF(AV2785=0,0,$BG$2726*$AP$2709)</f>
        <v>0</v>
      </c>
      <c r="BD2785">
        <f>IFERROR(BC2785/$AU$2726,0)</f>
        <v>0</v>
      </c>
      <c r="BE2785">
        <f>BC2785*($F$21+IF($F$21=0,0,($C$14+$C$15+IF($C$13="single",1.5,3)+3)/12))</f>
        <v>0</v>
      </c>
      <c r="BF2785">
        <f>BE2785-AZ2785</f>
        <v>0</v>
      </c>
      <c r="BG2785" cm="1">
        <f t="array" ref="BG2785">IFERROR(IF(BF2785&lt;0,0,BF2785/($AU$2726-INDEX(hd_off,MATCH(BT2785,hd_mark,0),0)/12)),0)</f>
        <v>0</v>
      </c>
      <c r="BH2785">
        <f>IF(AV2785=0,0,$BG$2726*$AM$2709)</f>
        <v>0</v>
      </c>
      <c r="BI2785">
        <f>IFERROR(BH2785/$AU$2726,0)</f>
        <v>0</v>
      </c>
      <c r="BJ2785">
        <f>BH2785*($F$21+IF($F$21=0,0,($C$14+$C$15+IF($C$13="single",1.5,3)+3)/12))</f>
        <v>0</v>
      </c>
      <c r="BK2785">
        <f>BJ2785-BA2785</f>
        <v>0</v>
      </c>
      <c r="BL2785" cm="1">
        <f t="array" ref="BL2785">IFERROR(IF(BK2785&lt;0,0,BK2785/($AU$2726-INDEX(hd_off,MATCH(BT2785,hd_mark,0),0)/12)),0)</f>
        <v>0</v>
      </c>
      <c r="BM2785">
        <f>MAX($F$21,$BB$2726)/$Q$2740</f>
        <v>0.30172413793103448</v>
      </c>
      <c r="BN2785">
        <f>IF(BM2785=0,0,IF(BM2785&gt;2,1.25-0.125*BM2785,1))</f>
        <v>1</v>
      </c>
      <c r="BO2785" cm="1">
        <f t="array" ref="BO2785">IFERROR(INDEX(sheath_ecap_asd,MATCH(BS2785,sheath_mark,0),0)*BN2785,0)</f>
        <v>0</v>
      </c>
      <c r="BP2785" cm="1">
        <f t="array" ref="BP2785">IFERROR(INDEX(sheath_wcap_asd,MATCH(BS2785,sheath_mark,0),0)*BN2785,0)</f>
        <v>0</v>
      </c>
      <c r="BQ2785" cm="1">
        <f t="array" ref="BQ2785">IFERROR(INDEX(hd_cap,MATCH(BT2785,hd_mark,0),0),0)</f>
        <v>0</v>
      </c>
      <c r="BS2785" s="19"/>
      <c r="BT2785" s="19"/>
      <c r="BU2785" s="100"/>
    </row>
    <row r="2786" x14ac:dyDescent="0.25">
      <c r="P2786" s="93"/>
      <c r="Q2786" s="109"/>
      <c r="R2786" t="str">
        <f>$Q$2710</f>
        <v>L3</v>
      </c>
      <c r="S2786">
        <f>$E$22</f>
        <v>21.375</v>
      </c>
      <c r="T2786" cm="1">
        <f t="array" ref="T2786">IFERROR(IF(S2786=0,0,(INDEX($C$33:$C$38,MATCH($W$2726,$B$33:$B$38,0),0)*(S2789+$X$2726)+$T$2726*COUNTIF(S2786:S2788,"&gt;0")*$C$32+$V$2726*$C$31)*$R$2726),0)</f>
        <v>0</v>
      </c>
      <c r="U2786">
        <f>IF(S2786=0,0,-(COUNTIF(S2786:S2788,"&gt;0")*$T$2726*$C$32+$V$2726*$C$31)*$H$27*$R$2726)</f>
        <v>0</v>
      </c>
      <c r="V2786">
        <f>IF(S2786=0,0,$V$2726*$H$26*$R$2726)</f>
        <v>0</v>
      </c>
      <c r="W2786">
        <f>(0.6*T2786+0.7*U2786)*$R$2726/2</f>
        <v>0</v>
      </c>
      <c r="X2786">
        <f>T2786*$R$2726/2</f>
        <v>0</v>
      </c>
      <c r="Z2786">
        <f>IF(S2786=0,0,$AD$2726*$AP$2710)</f>
        <v>0</v>
      </c>
      <c r="AA2786">
        <f>IFERROR(Z2786/$R$2726,0)</f>
        <v>0</v>
      </c>
      <c r="AB2786">
        <f>Z2786*($F$22+IF($F$22=0,0,($C$14+$C$15+IF($C$13="single",1.5,3)+3)/12))</f>
        <v>0</v>
      </c>
      <c r="AC2786">
        <f>AB2786-W2786</f>
        <v>0</v>
      </c>
      <c r="AD2786" cm="1">
        <f t="array" ref="AD2786">IFERROR(IF(AC2786&lt;0,0,AC2786/($R$2726-INDEX(hd_off,MATCH(AQ2786,hd_mark,0),0)/12)),0)</f>
        <v>0</v>
      </c>
      <c r="AE2786">
        <f>IF(S2786=0,0,$AD$2726*$AM$2710)</f>
        <v>0</v>
      </c>
      <c r="AF2786">
        <f>IFERROR(AE2786/$R$2726,0)</f>
        <v>0</v>
      </c>
      <c r="AG2786">
        <f>AE2786*($F$22+IF($F$22=0,0,($C$14+$C$15+IF($C$13="single",1.5,3)+3)/12))</f>
        <v>0</v>
      </c>
      <c r="AH2786">
        <f>AG2786-X2786</f>
        <v>0</v>
      </c>
      <c r="AI2786" cm="1">
        <f t="array" ref="AI2786">IFERROR(IF(AH2786&lt;0,0,AH2786/($R$2726-INDEX(hd_off,MATCH(AQ2786,hd_mark,0),0)/12)),0)</f>
        <v>0</v>
      </c>
      <c r="AJ2786">
        <f>MAX($F$22,$Z$2726)/$Q$2740</f>
        <v>0.30172413793103448</v>
      </c>
      <c r="AK2786">
        <f t="shared" ref="AK2786:AK2789" si="1721">IF(AJ2786=0,0,IF(AJ2786&gt;2,1.25-0.125*AJ2786,1))</f>
        <v>1</v>
      </c>
      <c r="AL2786" cm="1">
        <f t="array" ref="AL2786">IFERROR(INDEX(sheath_ecap_asd,MATCH(AP2786,sheath_mark,0),0)*AK2786,0)</f>
        <v>0</v>
      </c>
      <c r="AM2786" cm="1">
        <f t="array" ref="AM2786">IFERROR(INDEX(sheath_wcap_asd,MATCH(AP2786,sheath_mark,0),0)*AK2786,0)</f>
        <v>0</v>
      </c>
      <c r="AN2786" cm="1">
        <f t="array" ref="AN2786">IFERROR(INDEX(hd_cap,MATCH(AQ2786,hd_mark,0),0),0)</f>
        <v>0</v>
      </c>
      <c r="AP2786" s="19"/>
      <c r="AQ2786" s="19"/>
      <c r="AR2786" s="100"/>
      <c r="AS2786" s="93"/>
      <c r="AT2786" s="109"/>
      <c r="AU2786" t="str">
        <f>$Q$2710</f>
        <v>L3</v>
      </c>
      <c r="AV2786">
        <f>$E$22</f>
        <v>21.375</v>
      </c>
      <c r="AW2786" cm="1">
        <f t="array" ref="AW2786">IFERROR(IF(AV2786=0,0,(INDEX($C$33:$C$38,MATCH($AZ$2726,$B$33:$B$38,0),0)*(AV2789+$BA$2726)+$AW$2726*COUNTIF(AV2786:AV2788,"&gt;0")*$C$32+$AY$2726*$C$31)*$AU$2726),0)</f>
        <v>0</v>
      </c>
      <c r="AX2786">
        <f>IF(AV2786=0,0,-(COUNTIF(AV2786:AV2788,"&gt;0")*$AW$2726*$C$32+$AY$2726*$C$31)*$H$27*$AU$2726)</f>
        <v>0</v>
      </c>
      <c r="AY2786">
        <f>IF(AV2786=0,0,$AY$2726*$H$26*$AU$2726)</f>
        <v>0</v>
      </c>
      <c r="AZ2786">
        <f>(0.6*AW2786+0.7*AX2786)*$AU$2726/2</f>
        <v>0</v>
      </c>
      <c r="BA2786">
        <f>AW2786*$AU$2726/2</f>
        <v>0</v>
      </c>
      <c r="BC2786">
        <f>IF(AV2786=0,0,$BG$2726*$AP$2710)</f>
        <v>0</v>
      </c>
      <c r="BD2786">
        <f>IFERROR(BC2786/$AU$2726,0)</f>
        <v>0</v>
      </c>
      <c r="BE2786">
        <f>BC2786*($F$22+IF($F$22=0,0,($C$14+$C$15+IF($C$13="single",1.5,3)+3)/12))</f>
        <v>0</v>
      </c>
      <c r="BF2786">
        <f>BE2786-AZ2786</f>
        <v>0</v>
      </c>
      <c r="BG2786" cm="1">
        <f t="array" ref="BG2786">IFERROR(IF(BF2786&lt;0,0,BF2786/($AU$2726-INDEX(hd_off,MATCH(BT2786,hd_mark,0),0)/12)),0)</f>
        <v>0</v>
      </c>
      <c r="BH2786">
        <f>IF(AV2786=0,0,$BG$2726*$AM$2710)</f>
        <v>0</v>
      </c>
      <c r="BI2786">
        <f>IFERROR(BH2786/$AU$2726,0)</f>
        <v>0</v>
      </c>
      <c r="BJ2786">
        <f>BH2786*($F$22+IF($F$22=0,0,($C$14+$C$15+IF($C$13="single",1.5,3)+3)/12))</f>
        <v>0</v>
      </c>
      <c r="BK2786">
        <f>BJ2786-BA2786</f>
        <v>0</v>
      </c>
      <c r="BL2786" cm="1">
        <f t="array" ref="BL2786">IFERROR(IF(BK2786&lt;0,0,BK2786/($AU$2726-INDEX(hd_off,MATCH(BT2786,hd_mark,0),0)/12)),0)</f>
        <v>0</v>
      </c>
      <c r="BM2786">
        <f>MAX($F$22,$BC$2726)/$Q$2740</f>
        <v>0.30172413793103448</v>
      </c>
      <c r="BN2786">
        <f t="shared" ref="BN2786:BN2789" si="1722">IF(BM2786=0,0,IF(BM2786&gt;2,1.25-0.125*BM2786,1))</f>
        <v>1</v>
      </c>
      <c r="BO2786" cm="1">
        <f t="array" ref="BO2786">IFERROR(INDEX(sheath_ecap_asd,MATCH(BS2786,sheath_mark,0),0)*BN2786,0)</f>
        <v>0</v>
      </c>
      <c r="BP2786" cm="1">
        <f t="array" ref="BP2786">IFERROR(INDEX(sheath_wcap_asd,MATCH(BS2786,sheath_mark,0),0)*BN2786,0)</f>
        <v>0</v>
      </c>
      <c r="BQ2786" cm="1">
        <f t="array" ref="BQ2786">IFERROR(INDEX(hd_cap,MATCH(BT2786,hd_mark,0),0),0)</f>
        <v>0</v>
      </c>
      <c r="BS2786" s="19"/>
      <c r="BT2786" s="19"/>
      <c r="BU2786" s="100"/>
    </row>
    <row r="2787" x14ac:dyDescent="0.25">
      <c r="P2787" s="93"/>
      <c r="Q2787" s="109" t="s">
        <v>491</v>
      </c>
      <c r="R2787" t="str">
        <f>$Q$2711</f>
        <v>L4</v>
      </c>
      <c r="S2787">
        <f>$E$23</f>
        <v>0</v>
      </c>
      <c r="T2787" cm="1">
        <f t="array" ref="T2787">IFERROR(IF(S2787=0,0,(INDEX($C$33:$C$38,MATCH($W$2726,$B$33:$B$38,0),0)*(S2789+$X$2726)+$T$2726*COUNTIF(S2787:S2788,"&gt;0")*$C$32+$V$2726*$C$31)*$R$2726),0)</f>
        <v>0</v>
      </c>
      <c r="U2787">
        <f>IF(S2787=0,0,-(COUNTIF(S2787:S2788,"&gt;0")*$T$2726*$C$32+$V$2726*$C$31)*$H$27*$R$2726)</f>
        <v>0</v>
      </c>
      <c r="V2787">
        <f>IF(S2787=0,0,$V$2726*$H$26*$R$2726)</f>
        <v>0</v>
      </c>
      <c r="W2787">
        <f>(0.6*T2787+0.7*U2787)*$R$2726/2</f>
        <v>0</v>
      </c>
      <c r="X2787">
        <f>T2787*$R$2726/2</f>
        <v>0</v>
      </c>
      <c r="Z2787">
        <f>IF(S2787=0,0,$AD$2726*$AP$2711)</f>
        <v>0</v>
      </c>
      <c r="AA2787">
        <f>IFERROR(Z2787/$R$2726,0)</f>
        <v>0</v>
      </c>
      <c r="AB2787">
        <f>Z2787*($F$23+IF($F$23=0,0,($C$14+$C$15+IF($C$13="single",1.5,3)+3)/12))</f>
        <v>0</v>
      </c>
      <c r="AC2787">
        <f>AB2787-W2787</f>
        <v>0</v>
      </c>
      <c r="AD2787" cm="1">
        <f t="array" ref="AD2787">IFERROR(IF(AC2787&lt;0,0,AC2787/($R$2726-INDEX(hd_off,MATCH(AQ2787,hd_mark,0),0)/12)),0)</f>
        <v>0</v>
      </c>
      <c r="AE2787">
        <f>IF(S2787=0,0,$AD$2726*$AM$2711)</f>
        <v>0</v>
      </c>
      <c r="AF2787">
        <f>IFERROR(AE2787/$R$2726,0)</f>
        <v>0</v>
      </c>
      <c r="AG2787">
        <f>AE2787*($F$23+IF($F$23=0,0,($C$14+$C$15+IF($C$13="single",1.5,3)+3)/12))</f>
        <v>0</v>
      </c>
      <c r="AH2787">
        <f>AG2787-X2787</f>
        <v>0</v>
      </c>
      <c r="AI2787" cm="1">
        <f t="array" ref="AI2787">IFERROR(IF(AH2787&lt;0,0,AH2787/($R$2726-INDEX(hd_off,MATCH(AQ2787,hd_mark,0),0)/12)),0)</f>
        <v>0</v>
      </c>
      <c r="AJ2787">
        <f>MAX($F$23,$AA$2726)/$Q$2740</f>
        <v>0</v>
      </c>
      <c r="AK2787">
        <f t="shared" si="1721"/>
        <v>0</v>
      </c>
      <c r="AL2787" cm="1">
        <f t="array" ref="AL2787">IFERROR(INDEX(sheath_ecap_asd,MATCH(AP2787,sheath_mark,0),0)*AK2787,0)</f>
        <v>0</v>
      </c>
      <c r="AM2787" cm="1">
        <f t="array" ref="AM2787">IFERROR(INDEX(sheath_wcap_asd,MATCH(AP2787,sheath_mark,0),0)*AK2787,0)</f>
        <v>0</v>
      </c>
      <c r="AN2787" cm="1">
        <f t="array" ref="AN2787">IFERROR(INDEX(hd_cap,MATCH(AQ2787,hd_mark,0),0),0)</f>
        <v>0</v>
      </c>
      <c r="AP2787" s="19"/>
      <c r="AQ2787" s="19"/>
      <c r="AR2787" s="100"/>
      <c r="AS2787" s="93"/>
      <c r="AT2787" s="109" t="s">
        <v>491</v>
      </c>
      <c r="AU2787" t="str">
        <f>$Q$2711</f>
        <v>L4</v>
      </c>
      <c r="AV2787">
        <f>$E$23</f>
        <v>0</v>
      </c>
      <c r="AW2787" cm="1">
        <f t="array" ref="AW2787">IFERROR(IF(AV2787=0,0,(INDEX($C$33:$C$38,MATCH($AZ$2726,$B$33:$B$38,0),0)*(AV2789+$BA$2726)+$AW$2726*COUNTIF(AV2787:AV2788,"&gt;0")*$C$32+$AY$2726*$C$31)*$AU$2726),0)</f>
        <v>0</v>
      </c>
      <c r="AX2787">
        <f>IF(AV2787=0,0,-(COUNTIF(AV2787:AV2788,"&gt;0")*$AW$2726*$C$32+$AY$2726*$C$31)*$H$27*$AU$2726)</f>
        <v>0</v>
      </c>
      <c r="AY2787">
        <f>IF(AV2787=0,0,$AY$2726*$H$26*$AU$2726)</f>
        <v>0</v>
      </c>
      <c r="AZ2787">
        <f>(0.6*AW2787+0.7*AX2787)*$AU$2726/2</f>
        <v>0</v>
      </c>
      <c r="BA2787">
        <f>AW2787*$AU$2726/2</f>
        <v>0</v>
      </c>
      <c r="BC2787">
        <f>IF(AV2787=0,0,$BG$2726*$AP$2711)</f>
        <v>0</v>
      </c>
      <c r="BD2787">
        <f>IFERROR(BC2787/$AU$2726,0)</f>
        <v>0</v>
      </c>
      <c r="BE2787">
        <f>BC2787*($F$23+IF($F$23=0,0,($C$14+$C$15+IF($C$13="single",1.5,3)+3)/12))</f>
        <v>0</v>
      </c>
      <c r="BF2787">
        <f>BE2787-AZ2787</f>
        <v>0</v>
      </c>
      <c r="BG2787" cm="1">
        <f t="array" ref="BG2787">IFERROR(IF(BF2787&lt;0,0,BF2787/($AU$2726-INDEX(hd_off,MATCH(BT2787,hd_mark,0),0)/12)),0)</f>
        <v>0</v>
      </c>
      <c r="BH2787">
        <f>IF(AV2787=0,0,$BG$2726*$AM$2711)</f>
        <v>0</v>
      </c>
      <c r="BI2787">
        <f>IFERROR(BH2787/$AU$2726,0)</f>
        <v>0</v>
      </c>
      <c r="BJ2787">
        <f>BH2787*($F$23+IF($F$23=0,0,($C$14+$C$15+IF($C$13="single",1.5,3)+3)/12))</f>
        <v>0</v>
      </c>
      <c r="BK2787">
        <f>BJ2787-BA2787</f>
        <v>0</v>
      </c>
      <c r="BL2787" cm="1">
        <f t="array" ref="BL2787">IFERROR(IF(BK2787&lt;0,0,BK2787/($AU$2726-INDEX(hd_off,MATCH(BT2787,hd_mark,0),0)/12)),0)</f>
        <v>0</v>
      </c>
      <c r="BM2787">
        <f>MAX($F$23,$BD$2726)/$Q$2740</f>
        <v>0</v>
      </c>
      <c r="BN2787">
        <f t="shared" si="1722"/>
        <v>0</v>
      </c>
      <c r="BO2787" cm="1">
        <f t="array" ref="BO2787">IFERROR(INDEX(sheath_ecap_asd,MATCH(BS2787,sheath_mark,0),0)*BN2787,0)</f>
        <v>0</v>
      </c>
      <c r="BP2787" cm="1">
        <f t="array" ref="BP2787">IFERROR(INDEX(sheath_wcap_asd,MATCH(BS2787,sheath_mark,0),0)*BN2787,0)</f>
        <v>0</v>
      </c>
      <c r="BQ2787" cm="1">
        <f t="array" ref="BQ2787">IFERROR(INDEX(hd_cap,MATCH(BT2787,hd_mark,0),0),0)</f>
        <v>0</v>
      </c>
      <c r="BS2787" s="19"/>
      <c r="BT2787" s="19"/>
      <c r="BU2787" s="100"/>
    </row>
    <row r="2788" x14ac:dyDescent="0.25">
      <c r="P2788" s="93"/>
      <c r="Q2788" s="111">
        <f>$R$2726</f>
        <v>0</v>
      </c>
      <c r="R2788" t="str">
        <f>$Q$2712</f>
        <v>L5</v>
      </c>
      <c r="S2788">
        <f>$E$24</f>
        <v>0</v>
      </c>
      <c r="T2788" cm="1">
        <f t="array" ref="T2788">IFERROR(IF(S2788=0,0,(INDEX($C$33:$C$38,MATCH($W$2726,$B$33:$B$38,0),0)*(S2789+$X$2726)+$T$2726*COUNTIF(S2788:S2788,"&gt;0")*$C$32+$V$2726*$C$31)*$R$2726),0)</f>
        <v>0</v>
      </c>
      <c r="U2788">
        <f>IF(S2788=0,0,-(COUNTIF(S2788:S2788,"&gt;0")*$T$2726*$C$32+$V$2726*$C$31)*$H$27*$R$2726)</f>
        <v>0</v>
      </c>
      <c r="V2788">
        <f>IF(S2788=0,0,$V$2726*$H$26*$R$2726)</f>
        <v>0</v>
      </c>
      <c r="W2788">
        <f>(0.6*T2788+0.7*U2788)*$R$2726/2</f>
        <v>0</v>
      </c>
      <c r="X2788">
        <f>T2788*$R$2726/2</f>
        <v>0</v>
      </c>
      <c r="Z2788">
        <f>IF(S2788=0,0,$AD$2726*$AP$2712)</f>
        <v>0</v>
      </c>
      <c r="AA2788">
        <f>IFERROR(Z2788/$R$2726,0)</f>
        <v>0</v>
      </c>
      <c r="AB2788">
        <f>Z2788*($F$24+IF($F$24=0,0,($C$14+$C$15+IF($C$13="single",1.5,3)+3)/12))</f>
        <v>0</v>
      </c>
      <c r="AC2788">
        <f>AB2788-W2788</f>
        <v>0</v>
      </c>
      <c r="AD2788" cm="1">
        <f t="array" ref="AD2788">IFERROR(IF(AC2788&lt;0,0,AC2788/($R$2726-INDEX(hd_off,MATCH(AQ2788,hd_mark,0),0)/12)),0)</f>
        <v>0</v>
      </c>
      <c r="AE2788">
        <f>IF(S2788=0,0,$AD$2726*$AM$2712)</f>
        <v>0</v>
      </c>
      <c r="AF2788">
        <f>IFERROR(AE2788/$R$2726,0)</f>
        <v>0</v>
      </c>
      <c r="AG2788">
        <f>AE2788*($F$24+IF($F$24=0,0,($C$14+$C$15+IF($C$13="single",1.5,3)+3)/12))</f>
        <v>0</v>
      </c>
      <c r="AH2788">
        <f>AG2788-X2788</f>
        <v>0</v>
      </c>
      <c r="AI2788" cm="1">
        <f t="array" ref="AI2788">IFERROR(IF(AH2788&lt;0,0,AH2788/($R$2726-INDEX(hd_off,MATCH(AQ2788,hd_mark,0),0)/12)),0)</f>
        <v>0</v>
      </c>
      <c r="AJ2788">
        <f>MAX($F$24,$AB$2726)/$Q$2740</f>
        <v>0</v>
      </c>
      <c r="AK2788">
        <f t="shared" si="1721"/>
        <v>0</v>
      </c>
      <c r="AL2788" cm="1">
        <f t="array" ref="AL2788">IFERROR(INDEX(sheath_ecap_asd,MATCH(AP2788,sheath_mark,0),0)*AK2788,0)</f>
        <v>0</v>
      </c>
      <c r="AM2788" cm="1">
        <f t="array" ref="AM2788">IFERROR(INDEX(sheath_wcap_asd,MATCH(AP2788,sheath_mark,0),0)*AK2788,0)</f>
        <v>0</v>
      </c>
      <c r="AN2788" cm="1">
        <f t="array" ref="AN2788">IFERROR(INDEX(hd_cap,MATCH(AQ2788,hd_mark,0),0),0)</f>
        <v>0</v>
      </c>
      <c r="AP2788" s="19"/>
      <c r="AQ2788" s="19"/>
      <c r="AR2788" s="100"/>
      <c r="AS2788" s="93"/>
      <c r="AT2788" s="111">
        <f>$R$2726</f>
        <v>0</v>
      </c>
      <c r="AU2788" t="str">
        <f>$Q$2712</f>
        <v>L5</v>
      </c>
      <c r="AV2788">
        <f>$E$24</f>
        <v>0</v>
      </c>
      <c r="AW2788" cm="1">
        <f t="array" ref="AW2788">IFERROR(IF(AV2788=0,0,(INDEX($C$33:$C$38,MATCH($AZ$2726,$B$33:$B$38,0),0)*(AV2789+$BA$2726)+$AW$2726*COUNTIF(AV2788:AV2788,"&gt;0")*$C$32+$AY$2726*$C$31)*$AU$2726),0)</f>
        <v>0</v>
      </c>
      <c r="AX2788">
        <f>IF(AV2788=0,0,-(COUNTIF(AV2788:AV2788,"&gt;0")*$AW$2726*$C$32+$AY$2726*$C$31)*$H$27*$AU$2726)</f>
        <v>0</v>
      </c>
      <c r="AY2788">
        <f>IF(AV2788=0,0,$AY$2726*$H$26*$AU$2726)</f>
        <v>0</v>
      </c>
      <c r="AZ2788">
        <f>(0.6*AW2788+0.7*AX2788)*$AU$2726/2</f>
        <v>0</v>
      </c>
      <c r="BA2788">
        <f>AW2788*$AU$2726/2</f>
        <v>0</v>
      </c>
      <c r="BC2788">
        <f>IF(AV2788=0,0,$BG$2726*$AP$2712)</f>
        <v>0</v>
      </c>
      <c r="BD2788">
        <f>IFERROR(BC2788/$AU$2726,0)</f>
        <v>0</v>
      </c>
      <c r="BE2788">
        <f>BC2788*($F$24+IF($F$24=0,0,($C$14+$C$15+IF($C$13="single",1.5,3)+3)/12))</f>
        <v>0</v>
      </c>
      <c r="BF2788">
        <f>BE2788-AZ2788</f>
        <v>0</v>
      </c>
      <c r="BG2788" cm="1">
        <f t="array" ref="BG2788">IFERROR(IF(BF2788&lt;0,0,BF2788/($AU$2726-INDEX(hd_off,MATCH(BT2788,hd_mark,0),0)/12)),0)</f>
        <v>0</v>
      </c>
      <c r="BH2788">
        <f>IF(AV2788=0,0,$BG$2726*$AM$2712)</f>
        <v>0</v>
      </c>
      <c r="BI2788">
        <f>IFERROR(BH2788/$AU$2726,0)</f>
        <v>0</v>
      </c>
      <c r="BJ2788">
        <f>BH2788*($F$24+IF($F$24=0,0,($C$14+$C$15+IF($C$13="single",1.5,3)+3)/12))</f>
        <v>0</v>
      </c>
      <c r="BK2788">
        <f>BJ2788-BA2788</f>
        <v>0</v>
      </c>
      <c r="BL2788" cm="1">
        <f t="array" ref="BL2788">IFERROR(IF(BK2788&lt;0,0,BK2788/($AU$2726-INDEX(hd_off,MATCH(BT2788,hd_mark,0),0)/12)),0)</f>
        <v>0</v>
      </c>
      <c r="BM2788">
        <f>MAX($F$24,$BE$2726)/$Q$2740</f>
        <v>0</v>
      </c>
      <c r="BN2788">
        <f t="shared" si="1722"/>
        <v>0</v>
      </c>
      <c r="BO2788" cm="1">
        <f t="array" ref="BO2788">IFERROR(INDEX(sheath_ecap_asd,MATCH(BS2788,sheath_mark,0),0)*BN2788,0)</f>
        <v>0</v>
      </c>
      <c r="BP2788" cm="1">
        <f t="array" ref="BP2788">IFERROR(INDEX(sheath_wcap_asd,MATCH(BS2788,sheath_mark,0),0)*BN2788,0)</f>
        <v>0</v>
      </c>
      <c r="BQ2788" cm="1">
        <f t="array" ref="BQ2788">IFERROR(INDEX(hd_cap,MATCH(BT2788,hd_mark,0),0),0)</f>
        <v>0</v>
      </c>
      <c r="BS2788" s="19"/>
      <c r="BT2788" s="19"/>
      <c r="BU2788" s="100"/>
    </row>
    <row r="2789" x14ac:dyDescent="0.25">
      <c r="P2789" s="93"/>
      <c r="Q2789" s="109"/>
      <c r="R2789" t="str">
        <f>$Q$2713</f>
        <v>Roof</v>
      </c>
      <c r="S2789">
        <f>$E$25</f>
        <v>33.171875</v>
      </c>
      <c r="T2789" cm="1">
        <f t="array" ref="T2789">IFERROR(IF(S2789=0,0,(INDEX($C$33:$C$38,MATCH($W$2726,$B$33:$B$38,0),0)*(S2789+$X$2726)+$V$2726*$C$31)*$R$2726),0)</f>
        <v>0</v>
      </c>
      <c r="U2789">
        <f>IF(S2789=0,0,-$V$2726*$C$31*$H$27*$R$2726)</f>
        <v>0</v>
      </c>
      <c r="V2789">
        <f>IF(S2789=0,0,$V$2726*$H$26*$R$2726)</f>
        <v>0</v>
      </c>
      <c r="W2789">
        <f>(0.6*T2789+0.7*U2789)*$R$2726/2</f>
        <v>0</v>
      </c>
      <c r="X2789">
        <f>T2789*$R$2726/2</f>
        <v>0</v>
      </c>
      <c r="Z2789">
        <f>IF(S2789=0,0,$AD$2726*$AP$2713)</f>
        <v>0</v>
      </c>
      <c r="AA2789">
        <f>IFERROR(Z2789/$R$2726,0)</f>
        <v>0</v>
      </c>
      <c r="AB2789">
        <f>Z2789*($F$25+($C$16+$C$17+IF($C$13="single",1.5,3)+3)/12)</f>
        <v>0</v>
      </c>
      <c r="AC2789">
        <f>AB2789-W2789</f>
        <v>0</v>
      </c>
      <c r="AD2789" cm="1">
        <f t="array" ref="AD2789">IFERROR(IF(AC2789&lt;0,0,AC2789/($R$2726-INDEX(hd_off,MATCH(AQ2789,hd_mark,0),0)/12)),0)</f>
        <v>0</v>
      </c>
      <c r="AE2789">
        <f>IF(S2789=0,0,$AD$2726*$AM$2713)</f>
        <v>0</v>
      </c>
      <c r="AF2789">
        <f>IFERROR(AE2789/$R$2726,0)</f>
        <v>0</v>
      </c>
      <c r="AG2789">
        <f>AE2789*($F$25+($C$16+$C$17+IF($C$13="single",1.5,3)+3)/12)</f>
        <v>0</v>
      </c>
      <c r="AH2789">
        <f>AG2789-X2789</f>
        <v>0</v>
      </c>
      <c r="AI2789" cm="1">
        <f t="array" ref="AI2789">IFERROR(IF(AH2789&lt;0,0,AH2789/($R$2726-INDEX(hd_off,MATCH(AQ2789,hd_mark,0),0)/12)),0)</f>
        <v>0</v>
      </c>
      <c r="AJ2789">
        <f>MAX($F$25,$AC$2726)/$Q$2740</f>
        <v>0.29920977011494249</v>
      </c>
      <c r="AK2789">
        <f t="shared" si="1721"/>
        <v>1</v>
      </c>
      <c r="AL2789" cm="1">
        <f t="array" ref="AL2789">IFERROR(INDEX(sheath_ecap_asd,MATCH(AP2789,sheath_mark,0),0)*AK2789,0)</f>
        <v>0</v>
      </c>
      <c r="AM2789" cm="1">
        <f t="array" ref="AM2789">IFERROR(INDEX(sheath_wcap_asd,MATCH(AP2789,sheath_mark,0),0)*AK2789,0)</f>
        <v>0</v>
      </c>
      <c r="AN2789" cm="1">
        <f t="array" ref="AN2789">IFERROR(INDEX(hd_cap,MATCH(AQ2789,hd_mark,0),0),0)</f>
        <v>0</v>
      </c>
      <c r="AP2789" s="19"/>
      <c r="AQ2789" s="19"/>
      <c r="AR2789" s="100"/>
      <c r="AS2789" s="93"/>
      <c r="AT2789" s="109"/>
      <c r="AU2789" t="str">
        <f>$Q$2713</f>
        <v>Roof</v>
      </c>
      <c r="AV2789">
        <f>$E$25</f>
        <v>33.171875</v>
      </c>
      <c r="AW2789" cm="1">
        <f t="array" ref="AW2789">IFERROR(IF(AV2789=0,0,(INDEX($C$33:$C$38,MATCH($AZ$2726,$B$33:$B$38,0),0)*(AV2789+$BA$2726)+$AY$2726*$C$31)*$AU$2726),0)</f>
        <v>0</v>
      </c>
      <c r="AX2789">
        <f>IF(AV2789=0,0,-$AY$2726*$C$31*$H$27*$AU$2726)</f>
        <v>0</v>
      </c>
      <c r="AY2789">
        <f>IF(AV2789=0,0,$AY$2726*$H$26*$AU$2726)</f>
        <v>0</v>
      </c>
      <c r="AZ2789">
        <f>(0.6*AW2789+0.7*AX2789)*$AU$2726/2</f>
        <v>0</v>
      </c>
      <c r="BA2789">
        <f>AW2789*$AU$2726/2</f>
        <v>0</v>
      </c>
      <c r="BC2789">
        <f>IF(AV2789=0,0,$BG$2726*$AP$2713)</f>
        <v>0</v>
      </c>
      <c r="BD2789">
        <f>IFERROR(BC2789/$AU$2726,0)</f>
        <v>0</v>
      </c>
      <c r="BE2789">
        <f>BC2789*($F$25+($C$16+$C$17+IF($C$13="single",1.5,3)+3)/12)</f>
        <v>0</v>
      </c>
      <c r="BF2789">
        <f>BE2789-AZ2789</f>
        <v>0</v>
      </c>
      <c r="BG2789" cm="1">
        <f t="array" ref="BG2789">IFERROR(IF(BF2789&lt;0,0,BF2789/($AU$2726-INDEX(hd_off,MATCH(BT2789,hd_mark,0),0)/12)),0)</f>
        <v>0</v>
      </c>
      <c r="BH2789">
        <f>IF(AV2789=0,0,$BG$2726*$AM$2713)</f>
        <v>0</v>
      </c>
      <c r="BI2789">
        <f>IFERROR(BH2789/$AU$2726,0)</f>
        <v>0</v>
      </c>
      <c r="BJ2789">
        <f>BH2789*($F$25+($C$16+$C$17+IF($C$13="single",1.5,3)+3)/12)</f>
        <v>0</v>
      </c>
      <c r="BK2789">
        <f>BJ2789-BA2789</f>
        <v>0</v>
      </c>
      <c r="BL2789" cm="1">
        <f t="array" ref="BL2789">IFERROR(IF(BK2789&lt;0,0,BK2789/($AU$2726-INDEX(hd_off,MATCH(BT2789,hd_mark,0),0)/12)),0)</f>
        <v>0</v>
      </c>
      <c r="BM2789">
        <f>MAX($F$25,$BF$2726)/$Q$2740</f>
        <v>0.29920977011494249</v>
      </c>
      <c r="BN2789">
        <f t="shared" si="1722"/>
        <v>1</v>
      </c>
      <c r="BO2789" cm="1">
        <f t="array" ref="BO2789">IFERROR(INDEX(sheath_ecap_asd,MATCH(BS2789,sheath_mark,0),0)*BN2789,0)</f>
        <v>0</v>
      </c>
      <c r="BP2789" cm="1">
        <f t="array" ref="BP2789">IFERROR(INDEX(sheath_wcap_asd,MATCH(BS2789,sheath_mark,0),0)*BN2789,0)</f>
        <v>0</v>
      </c>
      <c r="BQ2789" cm="1">
        <f t="array" ref="BQ2789">IFERROR(INDEX(hd_cap,MATCH(BT2789,hd_mark,0),0),0)</f>
        <v>0</v>
      </c>
      <c r="BS2789" s="19"/>
      <c r="BT2789" s="19"/>
      <c r="BU2789" s="100"/>
    </row>
    <row r="2790" x14ac:dyDescent="0.25">
      <c r="P2790" s="93"/>
      <c r="AR2790" s="100"/>
      <c r="AS2790" s="93"/>
      <c r="BU2790" s="100"/>
    </row>
    <row r="2791" x14ac:dyDescent="0.25">
      <c r="P2791" s="93"/>
      <c r="Q2791" s="110" t="str">
        <f>$Q$2727</f>
        <v>A.10</v>
      </c>
      <c r="R2791" t="str">
        <f>$Q$2709</f>
        <v>L2</v>
      </c>
      <c r="S2791">
        <f>$E$21</f>
        <v>10.6875</v>
      </c>
      <c r="T2791" cm="1">
        <f t="array" ref="T2791">IFERROR(IF(S2791=0,0,(INDEX($C$33:$C$38,MATCH($W$2727,$B$33:$B$38,0),0)*(S2795+$X$2727)+$T$2727*COUNTIF(S2791:S2794,"&gt;0")*$C$32+$V$2727*$C$31)*$R$2727),0)</f>
        <v>0</v>
      </c>
      <c r="U2791">
        <f>IF(S2791=0,0,-(COUNTIF(S2791:S2794,"&gt;0")*$T$2727*$C$32+$V$2727*$C$31)*$H$27*$R$2727)</f>
        <v>0</v>
      </c>
      <c r="V2791">
        <f>IF(S2791=0,0,$V$2727*$H$26*$R$2727)</f>
        <v>0</v>
      </c>
      <c r="W2791">
        <f>(0.6*T2791+0.7*U2791)*$R$2727/2</f>
        <v>0</v>
      </c>
      <c r="X2791">
        <f>(0.6*T2791+0.6*V2791)*$R$2727/2</f>
        <v>0</v>
      </c>
      <c r="Z2791">
        <f>IF(S2791=0,0,$AD$2727*$AP$2709)</f>
        <v>0</v>
      </c>
      <c r="AA2791">
        <f>IFERROR(Z2791/$R$2727,0)</f>
        <v>0</v>
      </c>
      <c r="AB2791">
        <f>Z2791*($F$21+IF($F$21=0,0,($C$14+$C$15+IF($C$13="single",1.5,3)+3)/12))</f>
        <v>0</v>
      </c>
      <c r="AC2791">
        <f>AB2791-W2791</f>
        <v>0</v>
      </c>
      <c r="AD2791" cm="1">
        <f t="array" ref="AD2791">IFERROR(IF(AC2791&lt;0,0,AC2791/($R$2727-INDEX(hd_off,MATCH(AQ2791,hd_mark,0),0)/12)),0)</f>
        <v>0</v>
      </c>
      <c r="AE2791">
        <f>IF(S2791=0,0,$AD$2727*$AM$2709)</f>
        <v>0</v>
      </c>
      <c r="AF2791">
        <f>IFERROR(AE2791/$R$2727,0)</f>
        <v>0</v>
      </c>
      <c r="AG2791">
        <f>AE2791*($F$21+IF($F$21=0,0,($C$14+$C$15+IF($C$13="single",1.5,3)+3)/12))</f>
        <v>0</v>
      </c>
      <c r="AH2791">
        <f>AG2791-X2791</f>
        <v>0</v>
      </c>
      <c r="AI2791" cm="1">
        <f t="array" ref="AI2791">IFERROR(IF(AH2791&lt;0,0,AH2791/($R$2727-INDEX(hd_off,MATCH(AQ2791,hd_mark,0),0)/12)),0)</f>
        <v>0</v>
      </c>
      <c r="AJ2791">
        <f>MAX($F$21,$Y$2727)/$Q$2740</f>
        <v>0.30172413793103448</v>
      </c>
      <c r="AK2791">
        <f>IF(AJ2791=0,0,IF(AJ2791&gt;2,1.25-0.125*AJ2791,1))</f>
        <v>1</v>
      </c>
      <c r="AL2791" cm="1">
        <f t="array" ref="AL2791">IFERROR(INDEX(sheath_ecap_asd,MATCH(AP2791,sheath_mark,0),0)*AK2791,0)</f>
        <v>0</v>
      </c>
      <c r="AM2791" cm="1">
        <f t="array" ref="AM2791">IFERROR(INDEX(sheath_wcap_asd,MATCH(AP2791,sheath_mark,0),0)*AK2791,0)</f>
        <v>0</v>
      </c>
      <c r="AN2791" cm="1">
        <f t="array" ref="AN2791">IFERROR(INDEX(hd_cap,MATCH(AQ2791,hd_mark,0),0),0)</f>
        <v>0</v>
      </c>
      <c r="AP2791" s="19"/>
      <c r="AQ2791" s="19"/>
      <c r="AR2791" s="100"/>
      <c r="AS2791" s="93"/>
      <c r="AT2791" s="110" t="str">
        <f>$AT$2727</f>
        <v>1.10</v>
      </c>
      <c r="AU2791" t="str">
        <f>$Q$2709</f>
        <v>L2</v>
      </c>
      <c r="AV2791">
        <f>$E$21</f>
        <v>10.6875</v>
      </c>
      <c r="AW2791" cm="1">
        <f t="array" ref="AW2791">IFERROR(IF(AV2791=0,0,(INDEX($C$33:$C$38,MATCH($AZ$2727,$B$33:$B$38,0),0)*(AV2795+$BA$2727)+$AW$2727*COUNTIF(AV2791:AV2794,"&gt;0")*$C$32+$AY$2727*$C$31)*$AU$2727),0)</f>
        <v>0</v>
      </c>
      <c r="AX2791">
        <f>IF(AV2791=0,0,-(COUNTIF(AV2791:AV2794,"&gt;0")*$AW$2727*$C$32+$AY$2727*$C$31)*$H$27*$AU$2727)</f>
        <v>0</v>
      </c>
      <c r="AY2791">
        <f>IF(AV2791=0,0,$AY$2727*$H$26*$AU$2727)</f>
        <v>0</v>
      </c>
      <c r="AZ2791">
        <f>(0.6*AW2791+0.7*AX2791)*$AU$2727/2</f>
        <v>0</v>
      </c>
      <c r="BA2791">
        <f>(0.6*AW2791+0.6*AY2791)*$AU$2727/2</f>
        <v>0</v>
      </c>
      <c r="BC2791">
        <f>IF(AV2791=0,0,$BG$2727*$AP$2709)</f>
        <v>0</v>
      </c>
      <c r="BD2791">
        <f>IFERROR(BC2791/$AU$2727,0)</f>
        <v>0</v>
      </c>
      <c r="BE2791">
        <f>BC2791*($F$21+IF($F$21=0,0,($C$14+$C$15+IF($C$13="single",1.5,3)+3)/12))</f>
        <v>0</v>
      </c>
      <c r="BF2791">
        <f>BE2791-AZ2791</f>
        <v>0</v>
      </c>
      <c r="BG2791" cm="1">
        <f t="array" ref="BG2791">IFERROR(IF(BF2791&lt;0,0,BF2791/($AU$2727-INDEX(hd_off,MATCH(BT2791,hd_mark,0),0)/12)),0)</f>
        <v>0</v>
      </c>
      <c r="BH2791">
        <f>IF(AV2791=0,0,$BG$2727*$AM$2709)</f>
        <v>0</v>
      </c>
      <c r="BI2791">
        <f>IFERROR(BH2791/$AU$2727,0)</f>
        <v>0</v>
      </c>
      <c r="BJ2791">
        <f>BH2791*($F$21+IF($F$21=0,0,($C$14+$C$15+IF($C$13="single",1.5,3)+3)/12))</f>
        <v>0</v>
      </c>
      <c r="BK2791">
        <f>BJ2791-BA2791</f>
        <v>0</v>
      </c>
      <c r="BL2791" cm="1">
        <f t="array" ref="BL2791">IFERROR(IF(BK2791&lt;0,0,BK2791/($AU$2727-INDEX(hd_off,MATCH(BT2791,hd_mark,0),0)/12)),0)</f>
        <v>0</v>
      </c>
      <c r="BM2791">
        <f>MAX($F$21,$BB$2727)/$Q$2740</f>
        <v>0.30172413793103448</v>
      </c>
      <c r="BN2791">
        <f>IF(BM2791=0,0,IF(BM2791&gt;2,1.25-0.125*BM2791,1))</f>
        <v>1</v>
      </c>
      <c r="BO2791" cm="1">
        <f t="array" ref="BO2791">IFERROR(INDEX(sheath_ecap_asd,MATCH(BS2791,sheath_mark,0),0)*BN2791,0)</f>
        <v>0</v>
      </c>
      <c r="BP2791" cm="1">
        <f t="array" ref="BP2791">IFERROR(INDEX(sheath_wcap_asd,MATCH(BS2791,sheath_mark,0),0)*BN2791,0)</f>
        <v>0</v>
      </c>
      <c r="BQ2791" cm="1">
        <f t="array" ref="BQ2791">IFERROR(INDEX(hd_cap,MATCH(BT2791,hd_mark,0),0),0)</f>
        <v>0</v>
      </c>
      <c r="BS2791" s="19"/>
      <c r="BT2791" s="19"/>
      <c r="BU2791" s="100"/>
    </row>
    <row r="2792" x14ac:dyDescent="0.25">
      <c r="P2792" s="93"/>
      <c r="Q2792" s="109"/>
      <c r="R2792" t="str">
        <f>$Q$2710</f>
        <v>L3</v>
      </c>
      <c r="S2792">
        <f>$E$22</f>
        <v>21.375</v>
      </c>
      <c r="T2792" cm="1">
        <f t="array" ref="T2792">IFERROR(IF(S2792=0,0,(INDEX($C$33:$C$38,MATCH($W$2727,$B$33:$B$38,0),0)*(S2795+$X$2727)+$T$2727*COUNTIF(S2792:S2794,"&gt;0")*$C$32+$V$2727*$C$31)*$R$2727),0)</f>
        <v>0</v>
      </c>
      <c r="U2792">
        <f>IF(S2792=0,0,-(COUNTIF(S2792:S2794,"&gt;0")*$T$2727*$C$32+$V$2727*$C$31)*$H$27*$R$2727)</f>
        <v>0</v>
      </c>
      <c r="V2792">
        <f>IF(S2792=0,0,$V$2727*$H$26*$R$2727)</f>
        <v>0</v>
      </c>
      <c r="W2792">
        <f>(0.6*T2792+0.7*U2792)*$R$2727/2</f>
        <v>0</v>
      </c>
      <c r="X2792">
        <f>T2792*$R$2727/2</f>
        <v>0</v>
      </c>
      <c r="Z2792">
        <f>IF(S2792=0,0,$AD$2727*$AP$2710)</f>
        <v>0</v>
      </c>
      <c r="AA2792">
        <f>IFERROR(Z2792/$R$2727,0)</f>
        <v>0</v>
      </c>
      <c r="AB2792">
        <f>Z2792*($F$22+IF($F$22=0,0,($C$14+$C$15+IF($C$13="single",1.5,3)+3)/12))</f>
        <v>0</v>
      </c>
      <c r="AC2792">
        <f>AB2792-W2792</f>
        <v>0</v>
      </c>
      <c r="AD2792" cm="1">
        <f t="array" ref="AD2792">IFERROR(IF(AC2792&lt;0,0,AC2792/($R$2727-INDEX(hd_off,MATCH(AQ2792,hd_mark,0),0)/12)),0)</f>
        <v>0</v>
      </c>
      <c r="AE2792">
        <f>IF(S2792=0,0,$AD$2727*$AM$2710)</f>
        <v>0</v>
      </c>
      <c r="AF2792">
        <f>IFERROR(AE2792/$R$2727,0)</f>
        <v>0</v>
      </c>
      <c r="AG2792">
        <f>AE2792*($F$22+IF($F$22=0,0,($C$14+$C$15+IF($C$13="single",1.5,3)+3)/12))</f>
        <v>0</v>
      </c>
      <c r="AH2792">
        <f>AG2792-X2792</f>
        <v>0</v>
      </c>
      <c r="AI2792" cm="1">
        <f t="array" ref="AI2792">IFERROR(IF(AH2792&lt;0,0,AH2792/($R$2727-INDEX(hd_off,MATCH(AQ2792,hd_mark,0),0)/12)),0)</f>
        <v>0</v>
      </c>
      <c r="AJ2792">
        <f>MAX($F$22,$Z$2727)/$Q$2740</f>
        <v>0.30172413793103448</v>
      </c>
      <c r="AK2792">
        <f t="shared" ref="AK2792:AK2795" si="1723">IF(AJ2792=0,0,IF(AJ2792&gt;2,1.25-0.125*AJ2792,1))</f>
        <v>1</v>
      </c>
      <c r="AL2792" cm="1">
        <f t="array" ref="AL2792">IFERROR(INDEX(sheath_ecap_asd,MATCH(AP2792,sheath_mark,0),0)*AK2792,0)</f>
        <v>0</v>
      </c>
      <c r="AM2792" cm="1">
        <f t="array" ref="AM2792">IFERROR(INDEX(sheath_wcap_asd,MATCH(AP2792,sheath_mark,0),0)*AK2792,0)</f>
        <v>0</v>
      </c>
      <c r="AN2792" cm="1">
        <f t="array" ref="AN2792">IFERROR(INDEX(hd_cap,MATCH(AQ2792,hd_mark,0),0),0)</f>
        <v>0</v>
      </c>
      <c r="AP2792" s="19"/>
      <c r="AQ2792" s="19"/>
      <c r="AR2792" s="100"/>
      <c r="AS2792" s="93"/>
      <c r="AT2792" s="109"/>
      <c r="AU2792" t="str">
        <f>$Q$2710</f>
        <v>L3</v>
      </c>
      <c r="AV2792">
        <f>$E$22</f>
        <v>21.375</v>
      </c>
      <c r="AW2792" cm="1">
        <f t="array" ref="AW2792">IFERROR(IF(AV2792=0,0,(INDEX($C$33:$C$38,MATCH($AZ$2727,$B$33:$B$38,0),0)*(AV2795+$BA$2727)+$AW$2727*COUNTIF(AV2792:AV2794,"&gt;0")*$C$32+$AY$2727*$C$31)*$AU$2727),0)</f>
        <v>0</v>
      </c>
      <c r="AX2792">
        <f>IF(AV2792=0,0,-(COUNTIF(AV2792:AV2794,"&gt;0")*$AW$2727*$C$32+$AY$2727*$C$31)*$H$27*$AU$2727)</f>
        <v>0</v>
      </c>
      <c r="AY2792">
        <f>IF(AV2792=0,0,$AY$2727*$H$26*$AU$2727)</f>
        <v>0</v>
      </c>
      <c r="AZ2792">
        <f>(0.6*AW2792+0.7*AX2792)*$AU$2727/2</f>
        <v>0</v>
      </c>
      <c r="BA2792">
        <f>AW2792*$AU$2727/2</f>
        <v>0</v>
      </c>
      <c r="BC2792">
        <f>IF(AV2792=0,0,$BG$2727*$AP$2710)</f>
        <v>0</v>
      </c>
      <c r="BD2792">
        <f>IFERROR(BC2792/$AU$2727,0)</f>
        <v>0</v>
      </c>
      <c r="BE2792">
        <f>BC2792*($F$22+IF($F$22=0,0,($C$14+$C$15+IF($C$13="single",1.5,3)+3)/12))</f>
        <v>0</v>
      </c>
      <c r="BF2792">
        <f>BE2792-AZ2792</f>
        <v>0</v>
      </c>
      <c r="BG2792" cm="1">
        <f t="array" ref="BG2792">IFERROR(IF(BF2792&lt;0,0,BF2792/($AU$2727-INDEX(hd_off,MATCH(BT2792,hd_mark,0),0)/12)),0)</f>
        <v>0</v>
      </c>
      <c r="BH2792">
        <f>IF(AV2792=0,0,$BG$2727*$AM$2710)</f>
        <v>0</v>
      </c>
      <c r="BI2792">
        <f>IFERROR(BH2792/$AU$2727,0)</f>
        <v>0</v>
      </c>
      <c r="BJ2792">
        <f>BH2792*($F$22+IF($F$22=0,0,($C$14+$C$15+IF($C$13="single",1.5,3)+3)/12))</f>
        <v>0</v>
      </c>
      <c r="BK2792">
        <f>BJ2792-BA2792</f>
        <v>0</v>
      </c>
      <c r="BL2792" cm="1">
        <f t="array" ref="BL2792">IFERROR(IF(BK2792&lt;0,0,BK2792/($AU$2727-INDEX(hd_off,MATCH(BT2792,hd_mark,0),0)/12)),0)</f>
        <v>0</v>
      </c>
      <c r="BM2792">
        <f>MAX($F$22,$BC$2727)/$Q$2740</f>
        <v>0.30172413793103448</v>
      </c>
      <c r="BN2792">
        <f t="shared" ref="BN2792:BN2795" si="1724">IF(BM2792=0,0,IF(BM2792&gt;2,1.25-0.125*BM2792,1))</f>
        <v>1</v>
      </c>
      <c r="BO2792" cm="1">
        <f t="array" ref="BO2792">IFERROR(INDEX(sheath_ecap_asd,MATCH(BS2792,sheath_mark,0),0)*BN2792,0)</f>
        <v>0</v>
      </c>
      <c r="BP2792" cm="1">
        <f t="array" ref="BP2792">IFERROR(INDEX(sheath_wcap_asd,MATCH(BS2792,sheath_mark,0),0)*BN2792,0)</f>
        <v>0</v>
      </c>
      <c r="BQ2792" cm="1">
        <f t="array" ref="BQ2792">IFERROR(INDEX(hd_cap,MATCH(BT2792,hd_mark,0),0),0)</f>
        <v>0</v>
      </c>
      <c r="BS2792" s="19"/>
      <c r="BT2792" s="19"/>
      <c r="BU2792" s="100"/>
    </row>
    <row r="2793" x14ac:dyDescent="0.25">
      <c r="P2793" s="93"/>
      <c r="Q2793" s="109" t="s">
        <v>491</v>
      </c>
      <c r="R2793" t="str">
        <f>$Q$2711</f>
        <v>L4</v>
      </c>
      <c r="S2793">
        <f>$E$23</f>
        <v>0</v>
      </c>
      <c r="T2793" cm="1">
        <f t="array" ref="T2793">IFERROR(IF(S2793=0,0,(INDEX($C$33:$C$38,MATCH($W$2727,$B$33:$B$38,0),0)*(S2795+$X$2727)+$T$2727*COUNTIF(S2793:S2794,"&gt;0")*$C$32+$V$2727*$C$31)*$R$2727),0)</f>
        <v>0</v>
      </c>
      <c r="U2793">
        <f>IF(S2793=0,0,-(COUNTIF(S2793:S2794,"&gt;0")*$T$2727*$C$32+$V$2727*$C$31)*$H$27*$R$2727)</f>
        <v>0</v>
      </c>
      <c r="V2793">
        <f>IF(S2793=0,0,$V$2727*$H$26*$R$2727)</f>
        <v>0</v>
      </c>
      <c r="W2793">
        <f>(0.6*T2793+0.7*U2793)*$R$2727/2</f>
        <v>0</v>
      </c>
      <c r="X2793">
        <f>T2793*$R$2727/2</f>
        <v>0</v>
      </c>
      <c r="Z2793">
        <f>IF(S2793=0,0,$AD$2727*$AP$2711)</f>
        <v>0</v>
      </c>
      <c r="AA2793">
        <f>IFERROR(Z2793/$R$2727,0)</f>
        <v>0</v>
      </c>
      <c r="AB2793">
        <f>Z2793*($F$23+IF($F$23=0,0,($C$14+$C$15+IF($C$13="single",1.5,3)+3)/12))</f>
        <v>0</v>
      </c>
      <c r="AC2793">
        <f>AB2793-W2793</f>
        <v>0</v>
      </c>
      <c r="AD2793" cm="1">
        <f t="array" ref="AD2793">IFERROR(IF(AC2793&lt;0,0,AC2793/($R$2727-INDEX(hd_off,MATCH(AQ2793,hd_mark,0),0)/12)),0)</f>
        <v>0</v>
      </c>
      <c r="AE2793">
        <f>IF(S2793=0,0,$AD$2727*$AM$2711)</f>
        <v>0</v>
      </c>
      <c r="AF2793">
        <f>IFERROR(AE2793/$R$2727,0)</f>
        <v>0</v>
      </c>
      <c r="AG2793">
        <f>AE2793*($F$23+IF($F$23=0,0,($C$14+$C$15+IF($C$13="single",1.5,3)+3)/12))</f>
        <v>0</v>
      </c>
      <c r="AH2793">
        <f>AG2793-X2793</f>
        <v>0</v>
      </c>
      <c r="AI2793" cm="1">
        <f t="array" ref="AI2793">IFERROR(IF(AH2793&lt;0,0,AH2793/($R$2727-INDEX(hd_off,MATCH(AQ2793,hd_mark,0),0)/12)),0)</f>
        <v>0</v>
      </c>
      <c r="AJ2793">
        <f>MAX($F$23,$AA$2727)/$Q$2740</f>
        <v>0</v>
      </c>
      <c r="AK2793">
        <f t="shared" si="1723"/>
        <v>0</v>
      </c>
      <c r="AL2793" cm="1">
        <f t="array" ref="AL2793">IFERROR(INDEX(sheath_ecap_asd,MATCH(AP2793,sheath_mark,0),0)*AK2793,0)</f>
        <v>0</v>
      </c>
      <c r="AM2793" cm="1">
        <f t="array" ref="AM2793">IFERROR(INDEX(sheath_wcap_asd,MATCH(AP2793,sheath_mark,0),0)*AK2793,0)</f>
        <v>0</v>
      </c>
      <c r="AN2793" cm="1">
        <f t="array" ref="AN2793">IFERROR(INDEX(hd_cap,MATCH(AQ2793,hd_mark,0),0),0)</f>
        <v>0</v>
      </c>
      <c r="AP2793" s="19"/>
      <c r="AQ2793" s="19"/>
      <c r="AR2793" s="100"/>
      <c r="AS2793" s="93"/>
      <c r="AT2793" s="109" t="s">
        <v>491</v>
      </c>
      <c r="AU2793" t="str">
        <f>$Q$2711</f>
        <v>L4</v>
      </c>
      <c r="AV2793">
        <f>$E$23</f>
        <v>0</v>
      </c>
      <c r="AW2793" cm="1">
        <f t="array" ref="AW2793">IFERROR(IF(AV2793=0,0,(INDEX($C$33:$C$38,MATCH($AZ$2727,$B$33:$B$38,0),0)*(AV2795+$BA$2727)+$AW$2727*COUNTIF(AV2793:AV2794,"&gt;0")*$C$32+$AY$2727*$C$31)*$AU$2727),0)</f>
        <v>0</v>
      </c>
      <c r="AX2793">
        <f>IF(AV2793=0,0,-(COUNTIF(AV2793:AV2794,"&gt;0")*$AW$2727*$C$32+$AY$2727*$C$31)*$H$27*$AU$2727)</f>
        <v>0</v>
      </c>
      <c r="AY2793">
        <f>IF(AV2793=0,0,$AY$2727*$H$26*$AU$2727)</f>
        <v>0</v>
      </c>
      <c r="AZ2793">
        <f>(0.6*AW2793+0.7*AX2793)*$AU$2727/2</f>
        <v>0</v>
      </c>
      <c r="BA2793">
        <f>AW2793*$AU$2727/2</f>
        <v>0</v>
      </c>
      <c r="BC2793">
        <f>IF(AV2793=0,0,$BG$2727*$AP$2711)</f>
        <v>0</v>
      </c>
      <c r="BD2793">
        <f>IFERROR(BC2793/$AU$2727,0)</f>
        <v>0</v>
      </c>
      <c r="BE2793">
        <f>BC2793*($F$23+IF($F$23=0,0,($C$14+$C$15+IF($C$13="single",1.5,3)+3)/12))</f>
        <v>0</v>
      </c>
      <c r="BF2793">
        <f>BE2793-AZ2793</f>
        <v>0</v>
      </c>
      <c r="BG2793" cm="1">
        <f t="array" ref="BG2793">IFERROR(IF(BF2793&lt;0,0,BF2793/($AU$2727-INDEX(hd_off,MATCH(BT2793,hd_mark,0),0)/12)),0)</f>
        <v>0</v>
      </c>
      <c r="BH2793">
        <f>IF(AV2793=0,0,$BG$2727*$AM$2711)</f>
        <v>0</v>
      </c>
      <c r="BI2793">
        <f>IFERROR(BH2793/$AU$2727,0)</f>
        <v>0</v>
      </c>
      <c r="BJ2793">
        <f>BH2793*($F$23+IF($F$23=0,0,($C$14+$C$15+IF($C$13="single",1.5,3)+3)/12))</f>
        <v>0</v>
      </c>
      <c r="BK2793">
        <f>BJ2793-BA2793</f>
        <v>0</v>
      </c>
      <c r="BL2793" cm="1">
        <f t="array" ref="BL2793">IFERROR(IF(BK2793&lt;0,0,BK2793/($AU$2727-INDEX(hd_off,MATCH(BT2793,hd_mark,0),0)/12)),0)</f>
        <v>0</v>
      </c>
      <c r="BM2793">
        <f>MAX($F$23,$BD$2727)/$Q$2740</f>
        <v>0</v>
      </c>
      <c r="BN2793">
        <f t="shared" si="1724"/>
        <v>0</v>
      </c>
      <c r="BO2793" cm="1">
        <f t="array" ref="BO2793">IFERROR(INDEX(sheath_ecap_asd,MATCH(BS2793,sheath_mark,0),0)*BN2793,0)</f>
        <v>0</v>
      </c>
      <c r="BP2793" cm="1">
        <f t="array" ref="BP2793">IFERROR(INDEX(sheath_wcap_asd,MATCH(BS2793,sheath_mark,0),0)*BN2793,0)</f>
        <v>0</v>
      </c>
      <c r="BQ2793" cm="1">
        <f t="array" ref="BQ2793">IFERROR(INDEX(hd_cap,MATCH(BT2793,hd_mark,0),0),0)</f>
        <v>0</v>
      </c>
      <c r="BS2793" s="19"/>
      <c r="BT2793" s="19"/>
      <c r="BU2793" s="100"/>
    </row>
    <row r="2794" x14ac:dyDescent="0.25">
      <c r="P2794" s="93"/>
      <c r="Q2794" s="111">
        <f>$R$2727</f>
        <v>0</v>
      </c>
      <c r="R2794" t="str">
        <f>$Q$2712</f>
        <v>L5</v>
      </c>
      <c r="S2794">
        <f>$E$24</f>
        <v>0</v>
      </c>
      <c r="T2794" cm="1">
        <f t="array" ref="T2794">IFERROR(IF(S2794=0,0,(INDEX($C$33:$C$38,MATCH($W$2727,$B$33:$B$38,0),0)*(S2795+$X$2727)+$T$2727*COUNTIF(S2794:S2794,"&gt;0")*$C$32+$V$2727*$C$31)*$R$2727),0)</f>
        <v>0</v>
      </c>
      <c r="U2794">
        <f>IF(S2794=0,0,-(COUNTIF(S2794:S2794,"&gt;0")*$T$2727*$C$32+$V$2727*$C$31)*$H$27*$R$2727)</f>
        <v>0</v>
      </c>
      <c r="V2794">
        <f>IF(S2794=0,0,$V$2727*$H$26*$R$2727)</f>
        <v>0</v>
      </c>
      <c r="W2794">
        <f>(0.6*T2794+0.7*U2794)*$R$2727/2</f>
        <v>0</v>
      </c>
      <c r="X2794">
        <f>T2794*$R$2727/2</f>
        <v>0</v>
      </c>
      <c r="Z2794">
        <f>IF(S2794=0,0,$AD$2727*$AP$2712)</f>
        <v>0</v>
      </c>
      <c r="AA2794">
        <f>IFERROR(Z2794/$R$2727,0)</f>
        <v>0</v>
      </c>
      <c r="AB2794">
        <f>Z2794*($F$24+IF($F$24=0,0,($C$14+$C$15+IF($C$13="single",1.5,3)+3)/12))</f>
        <v>0</v>
      </c>
      <c r="AC2794">
        <f>AB2794-W2794</f>
        <v>0</v>
      </c>
      <c r="AD2794" cm="1">
        <f t="array" ref="AD2794">IFERROR(IF(AC2794&lt;0,0,AC2794/($R$2727-INDEX(hd_off,MATCH(AQ2794,hd_mark,0),0)/12)),0)</f>
        <v>0</v>
      </c>
      <c r="AE2794">
        <f>IF(S2794=0,0,$AD$2727*$AM$2712)</f>
        <v>0</v>
      </c>
      <c r="AF2794">
        <f>IFERROR(AE2794/$R$2727,0)</f>
        <v>0</v>
      </c>
      <c r="AG2794">
        <f>AE2794*($F$24+IF($F$24=0,0,($C$14+$C$15+IF($C$13="single",1.5,3)+3)/12))</f>
        <v>0</v>
      </c>
      <c r="AH2794">
        <f>AG2794-X2794</f>
        <v>0</v>
      </c>
      <c r="AI2794" cm="1">
        <f t="array" ref="AI2794">IFERROR(IF(AH2794&lt;0,0,AH2794/($R$2727-INDEX(hd_off,MATCH(AQ2794,hd_mark,0),0)/12)),0)</f>
        <v>0</v>
      </c>
      <c r="AJ2794">
        <f>MAX($F$24,$AB$2727)/$Q$2740</f>
        <v>0</v>
      </c>
      <c r="AK2794">
        <f t="shared" si="1723"/>
        <v>0</v>
      </c>
      <c r="AL2794" cm="1">
        <f t="array" ref="AL2794">IFERROR(INDEX(sheath_ecap_asd,MATCH(AP2794,sheath_mark,0),0)*AK2794,0)</f>
        <v>0</v>
      </c>
      <c r="AM2794" cm="1">
        <f t="array" ref="AM2794">IFERROR(INDEX(sheath_wcap_asd,MATCH(AP2794,sheath_mark,0),0)*AK2794,0)</f>
        <v>0</v>
      </c>
      <c r="AN2794" cm="1">
        <f t="array" ref="AN2794">IFERROR(INDEX(hd_cap,MATCH(AQ2794,hd_mark,0),0),0)</f>
        <v>0</v>
      </c>
      <c r="AP2794" s="19"/>
      <c r="AQ2794" s="19"/>
      <c r="AR2794" s="100"/>
      <c r="AS2794" s="93"/>
      <c r="AT2794" s="111">
        <f>$R$2727</f>
        <v>0</v>
      </c>
      <c r="AU2794" t="str">
        <f>$Q$2712</f>
        <v>L5</v>
      </c>
      <c r="AV2794">
        <f>$E$24</f>
        <v>0</v>
      </c>
      <c r="AW2794" cm="1">
        <f t="array" ref="AW2794">IFERROR(IF(AV2794=0,0,(INDEX($C$33:$C$38,MATCH($AZ$2727,$B$33:$B$38,0),0)*(AV2795+$BA$2727)+$AW$2727*COUNTIF(AV2794:AV2794,"&gt;0")*$C$32+$AY$2727*$C$31)*$AU$2727),0)</f>
        <v>0</v>
      </c>
      <c r="AX2794">
        <f>IF(AV2794=0,0,-(COUNTIF(AV2794:AV2794,"&gt;0")*$AW$2727*$C$32+$AY$2727*$C$31)*$H$27*$AU$2727)</f>
        <v>0</v>
      </c>
      <c r="AY2794">
        <f>IF(AV2794=0,0,$AY$2727*$H$26*$AU$2727)</f>
        <v>0</v>
      </c>
      <c r="AZ2794">
        <f>(0.6*AW2794+0.7*AX2794)*$AU$2727/2</f>
        <v>0</v>
      </c>
      <c r="BA2794">
        <f>AW2794*$AU$2727/2</f>
        <v>0</v>
      </c>
      <c r="BC2794">
        <f>IF(AV2794=0,0,$BG$2727*$AP$2712)</f>
        <v>0</v>
      </c>
      <c r="BD2794">
        <f>IFERROR(BC2794/$AU$2727,0)</f>
        <v>0</v>
      </c>
      <c r="BE2794">
        <f>BC2794*($F$24+IF($F$24=0,0,($C$14+$C$15+IF($C$13="single",1.5,3)+3)/12))</f>
        <v>0</v>
      </c>
      <c r="BF2794">
        <f>BE2794-AZ2794</f>
        <v>0</v>
      </c>
      <c r="BG2794" cm="1">
        <f t="array" ref="BG2794">IFERROR(IF(BF2794&lt;0,0,BF2794/($AU$2727-INDEX(hd_off,MATCH(BT2794,hd_mark,0),0)/12)),0)</f>
        <v>0</v>
      </c>
      <c r="BH2794">
        <f>IF(AV2794=0,0,$BG$2727*$AM$2712)</f>
        <v>0</v>
      </c>
      <c r="BI2794">
        <f>IFERROR(BH2794/$AU$2727,0)</f>
        <v>0</v>
      </c>
      <c r="BJ2794">
        <f>BH2794*($F$24+IF($F$24=0,0,($C$14+$C$15+IF($C$13="single",1.5,3)+3)/12))</f>
        <v>0</v>
      </c>
      <c r="BK2794">
        <f>BJ2794-BA2794</f>
        <v>0</v>
      </c>
      <c r="BL2794" cm="1">
        <f t="array" ref="BL2794">IFERROR(IF(BK2794&lt;0,0,BK2794/($AU$2727-INDEX(hd_off,MATCH(BT2794,hd_mark,0),0)/12)),0)</f>
        <v>0</v>
      </c>
      <c r="BM2794">
        <f>MAX($F$24,$BE$2727)/$Q$2740</f>
        <v>0</v>
      </c>
      <c r="BN2794">
        <f t="shared" si="1724"/>
        <v>0</v>
      </c>
      <c r="BO2794" cm="1">
        <f t="array" ref="BO2794">IFERROR(INDEX(sheath_ecap_asd,MATCH(BS2794,sheath_mark,0),0)*BN2794,0)</f>
        <v>0</v>
      </c>
      <c r="BP2794" cm="1">
        <f t="array" ref="BP2794">IFERROR(INDEX(sheath_wcap_asd,MATCH(BS2794,sheath_mark,0),0)*BN2794,0)</f>
        <v>0</v>
      </c>
      <c r="BQ2794" cm="1">
        <f t="array" ref="BQ2794">IFERROR(INDEX(hd_cap,MATCH(BT2794,hd_mark,0),0),0)</f>
        <v>0</v>
      </c>
      <c r="BS2794" s="19"/>
      <c r="BT2794" s="19"/>
      <c r="BU2794" s="100"/>
    </row>
    <row r="2795" x14ac:dyDescent="0.25">
      <c r="P2795" s="93"/>
      <c r="Q2795" s="109"/>
      <c r="R2795" t="str">
        <f>$Q$2713</f>
        <v>Roof</v>
      </c>
      <c r="S2795">
        <f>$E$25</f>
        <v>33.171875</v>
      </c>
      <c r="T2795" cm="1">
        <f t="array" ref="T2795">IFERROR(IF(S2795=0,0,(INDEX($C$33:$C$38,MATCH($W$2727,$B$33:$B$38,0),0)*(S2795+$X$2727)+$V$2727*$C$31)*$R$2727),0)</f>
        <v>0</v>
      </c>
      <c r="U2795">
        <f>IF(S2795=0,0,-$V$2727*$C$31*$H$27*$R$2727)</f>
        <v>0</v>
      </c>
      <c r="V2795">
        <f>IF(S2795=0,0,$V$2727*$H$26*$R$2727)</f>
        <v>0</v>
      </c>
      <c r="W2795">
        <f>(0.6*T2795+0.7*U2795)*$R$2727/2</f>
        <v>0</v>
      </c>
      <c r="X2795">
        <f>T2795*$R$2727/2</f>
        <v>0</v>
      </c>
      <c r="Z2795">
        <f>IF(S2795=0,0,$AD$2727*$AP$2713)</f>
        <v>0</v>
      </c>
      <c r="AA2795">
        <f>IFERROR(Z2795/$R$2727,0)</f>
        <v>0</v>
      </c>
      <c r="AB2795">
        <f>Z2795*($F$25+($C$16+$C$17+IF($C$13="single",1.5,3)+3)/12)</f>
        <v>0</v>
      </c>
      <c r="AC2795">
        <f>AB2795-W2795</f>
        <v>0</v>
      </c>
      <c r="AD2795" cm="1">
        <f t="array" ref="AD2795">IFERROR(IF(AC2795&lt;0,0,AC2795/($R$2727-INDEX(hd_off,MATCH(AQ2795,hd_mark,0),0)/12)),0)</f>
        <v>0</v>
      </c>
      <c r="AE2795">
        <f>IF(S2795=0,0,$AD$2727*$AM$2713)</f>
        <v>0</v>
      </c>
      <c r="AF2795">
        <f>IFERROR(AE2795/$R$2727,0)</f>
        <v>0</v>
      </c>
      <c r="AG2795">
        <f>AE2795*($F$25+($C$16+$C$17+IF($C$13="single",1.5,3)+3)/12)</f>
        <v>0</v>
      </c>
      <c r="AH2795">
        <f>AG2795-X2795</f>
        <v>0</v>
      </c>
      <c r="AI2795" cm="1">
        <f t="array" ref="AI2795">IFERROR(IF(AH2795&lt;0,0,AH2795/($R$2727-INDEX(hd_off,MATCH(AQ2795,hd_mark,0),0)/12)),0)</f>
        <v>0</v>
      </c>
      <c r="AJ2795">
        <f>MAX($F$25,$AC$2727)/$Q$2740</f>
        <v>0.29920977011494249</v>
      </c>
      <c r="AK2795">
        <f t="shared" si="1723"/>
        <v>1</v>
      </c>
      <c r="AL2795" cm="1">
        <f t="array" ref="AL2795">IFERROR(INDEX(sheath_ecap_asd,MATCH(AP2795,sheath_mark,0),0)*AK2795,0)</f>
        <v>0</v>
      </c>
      <c r="AM2795" cm="1">
        <f t="array" ref="AM2795">IFERROR(INDEX(sheath_wcap_asd,MATCH(AP2795,sheath_mark,0),0)*AK2795,0)</f>
        <v>0</v>
      </c>
      <c r="AN2795" cm="1">
        <f t="array" ref="AN2795">IFERROR(INDEX(hd_cap,MATCH(AQ2795,hd_mark,0),0),0)</f>
        <v>0</v>
      </c>
      <c r="AP2795" s="19"/>
      <c r="AQ2795" s="19"/>
      <c r="AR2795" s="100"/>
      <c r="AS2795" s="93"/>
      <c r="AT2795" s="109"/>
      <c r="AU2795" t="str">
        <f>$Q$2713</f>
        <v>Roof</v>
      </c>
      <c r="AV2795">
        <f>$E$25</f>
        <v>33.171875</v>
      </c>
      <c r="AW2795" cm="1">
        <f t="array" ref="AW2795">IFERROR(IF(AV2795=0,0,(INDEX($C$33:$C$38,MATCH($AZ$2727,$B$33:$B$38,0),0)*(AV2795+$BA$2727)+$AY$2727*$C$31)*$AU$2727),0)</f>
        <v>0</v>
      </c>
      <c r="AX2795">
        <f>IF(AV2795=0,0,-$AY$2727*$C$31*$H$27*$AU$2727)</f>
        <v>0</v>
      </c>
      <c r="AY2795">
        <f>IF(AV2795=0,0,$AY$2727*$H$26*$AU$2727)</f>
        <v>0</v>
      </c>
      <c r="AZ2795">
        <f>(0.6*AW2795+0.7*AX2795)*$AU$2727/2</f>
        <v>0</v>
      </c>
      <c r="BA2795">
        <f>AW2795*$AU$2727/2</f>
        <v>0</v>
      </c>
      <c r="BC2795">
        <f>IF(AV2795=0,0,$BG$2727*$AP$2713)</f>
        <v>0</v>
      </c>
      <c r="BD2795">
        <f>IFERROR(BC2795/$AU$2727,0)</f>
        <v>0</v>
      </c>
      <c r="BE2795">
        <f>BC2795*($F$25+($C$16+$C$17+IF($C$13="single",1.5,3)+3)/12)</f>
        <v>0</v>
      </c>
      <c r="BF2795">
        <f>BE2795-AZ2795</f>
        <v>0</v>
      </c>
      <c r="BG2795" cm="1">
        <f t="array" ref="BG2795">IFERROR(IF(BF2795&lt;0,0,BF2795/($AU$2727-INDEX(hd_off,MATCH(BT2795,hd_mark,0),0)/12)),0)</f>
        <v>0</v>
      </c>
      <c r="BH2795">
        <f>IF(AV2795=0,0,$BG$2727*$AM$2713)</f>
        <v>0</v>
      </c>
      <c r="BI2795">
        <f>IFERROR(BH2795/$AU$2727,0)</f>
        <v>0</v>
      </c>
      <c r="BJ2795">
        <f>BH2795*($F$25+($C$16+$C$17+IF($C$13="single",1.5,3)+3)/12)</f>
        <v>0</v>
      </c>
      <c r="BK2795">
        <f>BJ2795-BA2795</f>
        <v>0</v>
      </c>
      <c r="BL2795" cm="1">
        <f t="array" ref="BL2795">IFERROR(IF(BK2795&lt;0,0,BK2795/($AU$2727-INDEX(hd_off,MATCH(BT2795,hd_mark,0),0)/12)),0)</f>
        <v>0</v>
      </c>
      <c r="BM2795">
        <f>MAX($F$25,$BF$2727)/$Q$2740</f>
        <v>0.29920977011494249</v>
      </c>
      <c r="BN2795">
        <f t="shared" si="1724"/>
        <v>1</v>
      </c>
      <c r="BO2795" cm="1">
        <f t="array" ref="BO2795">IFERROR(INDEX(sheath_ecap_asd,MATCH(BS2795,sheath_mark,0),0)*BN2795,0)</f>
        <v>0</v>
      </c>
      <c r="BP2795" cm="1">
        <f t="array" ref="BP2795">IFERROR(INDEX(sheath_wcap_asd,MATCH(BS2795,sheath_mark,0),0)*BN2795,0)</f>
        <v>0</v>
      </c>
      <c r="BQ2795" cm="1">
        <f t="array" ref="BQ2795">IFERROR(INDEX(hd_cap,MATCH(BT2795,hd_mark,0),0),0)</f>
        <v>0</v>
      </c>
      <c r="BS2795" s="19"/>
      <c r="BT2795" s="19"/>
      <c r="BU2795" s="100"/>
    </row>
    <row r="2796" x14ac:dyDescent="0.25">
      <c r="P2796" s="93"/>
      <c r="AR2796" s="100"/>
      <c r="AS2796" s="93"/>
      <c r="BU2796" s="100"/>
    </row>
    <row r="2797" x14ac:dyDescent="0.25">
      <c r="P2797" s="93"/>
      <c r="Q2797" s="110" t="str">
        <f>$Q$2728</f>
        <v>A.11</v>
      </c>
      <c r="R2797" t="str">
        <f>$Q$2709</f>
        <v>L2</v>
      </c>
      <c r="S2797">
        <f>$E$21</f>
        <v>10.6875</v>
      </c>
      <c r="T2797" cm="1">
        <f t="array" ref="T2797">IFERROR(IF(S2797=0,0,(INDEX($C$33:$C$38,MATCH($W$2728,$B$33:$B$38,0),0)*(S2801+$X$2728)+$T$2728*COUNTIF(S2797:S2800,"&gt;0")*$C$32+$V$2728*$C$31)*$R$2728),0)</f>
        <v>0</v>
      </c>
      <c r="U2797">
        <f>IF(S2797=0,0,-(COUNTIF(S2797:S2800,"&gt;0")*$T$2728*$C$32+$V$2728*$C$31)*$H$27*$R$2728)</f>
        <v>0</v>
      </c>
      <c r="V2797">
        <f>IF(S2797=0,0,$V$2728*$H$26*$R$2728)</f>
        <v>0</v>
      </c>
      <c r="W2797">
        <f>(0.6*T2797+0.7*U2797)*$R$2728/2</f>
        <v>0</v>
      </c>
      <c r="X2797">
        <f>(0.6*T2797+0.6*V2797)*$R$2728/2</f>
        <v>0</v>
      </c>
      <c r="Z2797">
        <f>IF(S2797=0,0,$AD$2728*$AP$2709)</f>
        <v>0</v>
      </c>
      <c r="AA2797">
        <f>IFERROR(Z2797/$R$2728,0)</f>
        <v>0</v>
      </c>
      <c r="AB2797">
        <f>Z2797*($F$21+IF($F$21=0,0,($C$14+$C$15+IF($C$13="single",1.5,3)+3)/12))</f>
        <v>0</v>
      </c>
      <c r="AC2797">
        <f>AB2797-W2797</f>
        <v>0</v>
      </c>
      <c r="AD2797" cm="1">
        <f t="array" ref="AD2797">IFERROR(IF(AC2797&lt;0,0,AC2797/($R$2728-INDEX(hd_off,MATCH(AQ2797,hd_mark,0),0)/12)),0)</f>
        <v>0</v>
      </c>
      <c r="AE2797">
        <f>IF(S2797=0,0,$AD$2728*$AM$2709)</f>
        <v>0</v>
      </c>
      <c r="AF2797">
        <f>IFERROR(AE2797/$R$2728,0)</f>
        <v>0</v>
      </c>
      <c r="AG2797">
        <f>AE2797*($F$21+IF($F$21=0,0,($C$14+$C$15+IF($C$13="single",1.5,3)+3)/12))</f>
        <v>0</v>
      </c>
      <c r="AH2797">
        <f>AG2797-X2797</f>
        <v>0</v>
      </c>
      <c r="AI2797" cm="1">
        <f t="array" ref="AI2797">IFERROR(IF(AH2797&lt;0,0,AH2797/($R$2728-INDEX(hd_off,MATCH(AQ2797,hd_mark,0),0)/12)),0)</f>
        <v>0</v>
      </c>
      <c r="AJ2797">
        <f>MAX($F$21,$Y$2728)/$Q$2740</f>
        <v>0.30172413793103448</v>
      </c>
      <c r="AK2797">
        <f>IF(AJ2797=0,0,IF(AJ2797&gt;2,1.25-0.125*AJ2797,1))</f>
        <v>1</v>
      </c>
      <c r="AL2797" cm="1">
        <f t="array" ref="AL2797">IFERROR(INDEX(sheath_ecap_asd,MATCH(AP2797,sheath_mark,0),0)*AK2797,0)</f>
        <v>0</v>
      </c>
      <c r="AM2797" cm="1">
        <f t="array" ref="AM2797">IFERROR(INDEX(sheath_wcap_asd,MATCH(AP2797,sheath_mark,0),0)*AK2797,0)</f>
        <v>0</v>
      </c>
      <c r="AN2797" cm="1">
        <f t="array" ref="AN2797">IFERROR(INDEX(hd_cap,MATCH(AQ2797,hd_mark,0),0),0)</f>
        <v>0</v>
      </c>
      <c r="AP2797" s="19"/>
      <c r="AQ2797" s="19"/>
      <c r="AR2797" s="100"/>
      <c r="AS2797" s="93"/>
      <c r="AT2797" s="110" t="str">
        <f>$AT$2728</f>
        <v>1.11</v>
      </c>
      <c r="AU2797" t="str">
        <f>$Q$2709</f>
        <v>L2</v>
      </c>
      <c r="AV2797">
        <f>$E$21</f>
        <v>10.6875</v>
      </c>
      <c r="AW2797" cm="1">
        <f t="array" ref="AW2797">IFERROR(IF(AV2797=0,0,(INDEX($C$33:$C$38,MATCH($AZ$2728,$B$33:$B$38,0),0)*(AV2801+$BA$2728)+$AW$2728*COUNTIF(AV2797:AV2800,"&gt;0")*$C$32+$AY$2728*$C$31)*$AU$2728),0)</f>
        <v>0</v>
      </c>
      <c r="AX2797">
        <f>IF(AV2797=0,0,-(COUNTIF(AV2797:AV2800,"&gt;0")*$AW$2728*$C$32+$AY$2728*$C$31)*$H$27*$AU$2728)</f>
        <v>0</v>
      </c>
      <c r="AY2797">
        <f>IF(AV2797=0,0,$AY$2728*$H$26*$AU$2728)</f>
        <v>0</v>
      </c>
      <c r="AZ2797">
        <f>(0.6*AW2797+0.7*AX2797)*$AU$2728/2</f>
        <v>0</v>
      </c>
      <c r="BA2797">
        <f>(0.6*AW2797+0.6*AY2797)*$AU$2728/2</f>
        <v>0</v>
      </c>
      <c r="BC2797">
        <f>IF(AV2797=0,0,$BG$2728*$AP$2709)</f>
        <v>0</v>
      </c>
      <c r="BD2797">
        <f>IFERROR(BC2797/$AU$2728,0)</f>
        <v>0</v>
      </c>
      <c r="BE2797">
        <f>BC2797*($F$21+IF($F$21=0,0,($C$14+$C$15+IF($C$13="single",1.5,3)+3)/12))</f>
        <v>0</v>
      </c>
      <c r="BF2797">
        <f>BE2797-AZ2797</f>
        <v>0</v>
      </c>
      <c r="BG2797" cm="1">
        <f t="array" ref="BG2797">IFERROR(IF(BF2797&lt;0,0,BF2797/($AU$2728-INDEX(hd_off,MATCH(BT2797,hd_mark,0),0)/12)),0)</f>
        <v>0</v>
      </c>
      <c r="BH2797">
        <f>IF(AV2797=0,0,$BG$2728*$AM$2709)</f>
        <v>0</v>
      </c>
      <c r="BI2797">
        <f>IFERROR(BH2797/$AU$2728,0)</f>
        <v>0</v>
      </c>
      <c r="BJ2797">
        <f>BH2797*($F$21+IF($F$21=0,0,($C$14+$C$15+IF($C$13="single",1.5,3)+3)/12))</f>
        <v>0</v>
      </c>
      <c r="BK2797">
        <f>BJ2797-BA2797</f>
        <v>0</v>
      </c>
      <c r="BL2797" cm="1">
        <f t="array" ref="BL2797">IFERROR(IF(BK2797&lt;0,0,BK2797/($AU$2728-INDEX(hd_off,MATCH(BT2797,hd_mark,0),0)/12)),0)</f>
        <v>0</v>
      </c>
      <c r="BM2797">
        <f>MAX($F$21,$BB$2728)/$Q$2740</f>
        <v>0.30172413793103448</v>
      </c>
      <c r="BN2797">
        <f>IF(BM2797=0,0,IF(BM2797&gt;2,1.25-0.125*BM2797,1))</f>
        <v>1</v>
      </c>
      <c r="BO2797" cm="1">
        <f t="array" ref="BO2797">IFERROR(INDEX(sheath_ecap_asd,MATCH(BS2797,sheath_mark,0),0)*BN2797,0)</f>
        <v>0</v>
      </c>
      <c r="BP2797" cm="1">
        <f t="array" ref="BP2797">IFERROR(INDEX(sheath_wcap_asd,MATCH(BS2797,sheath_mark,0),0)*BN2797,0)</f>
        <v>0</v>
      </c>
      <c r="BQ2797" cm="1">
        <f t="array" ref="BQ2797">IFERROR(INDEX(hd_cap,MATCH(BT2797,hd_mark,0),0),0)</f>
        <v>0</v>
      </c>
      <c r="BS2797" s="19"/>
      <c r="BT2797" s="19"/>
      <c r="BU2797" s="100"/>
    </row>
    <row r="2798" x14ac:dyDescent="0.25">
      <c r="P2798" s="93"/>
      <c r="Q2798" s="109"/>
      <c r="R2798" t="str">
        <f>$Q$2710</f>
        <v>L3</v>
      </c>
      <c r="S2798">
        <f>$E$22</f>
        <v>21.375</v>
      </c>
      <c r="T2798" cm="1">
        <f t="array" ref="T2798">IFERROR(IF(S2798=0,0,(INDEX($C$33:$C$38,MATCH($W$2728,$B$33:$B$38,0),0)*(S2801+$X$2728)+$T$2728*COUNTIF(S2798:S2800,"&gt;0")*$C$32+$V$2728*$C$31)*$R$2728),0)</f>
        <v>0</v>
      </c>
      <c r="U2798">
        <f>IF(S2798=0,0,-(COUNTIF(S2798:S2800,"&gt;0")*$T$2728*$C$32+$V$2728*$C$31)*$H$27*$R$2728)</f>
        <v>0</v>
      </c>
      <c r="V2798">
        <f>IF(S2798=0,0,$V$2728*$H$26*$R$2728)</f>
        <v>0</v>
      </c>
      <c r="W2798">
        <f>(0.6*T2798+0.7*U2798)*$R$2728/2</f>
        <v>0</v>
      </c>
      <c r="X2798">
        <f>T2798*$R$2728/2</f>
        <v>0</v>
      </c>
      <c r="Z2798">
        <f>IF(S2798=0,0,$AD$2728*$AP$2710)</f>
        <v>0</v>
      </c>
      <c r="AA2798">
        <f>IFERROR(Z2798/$R$2728,0)</f>
        <v>0</v>
      </c>
      <c r="AB2798">
        <f>Z2798*($F$22+IF($F$22=0,0,($C$14+$C$15+IF($C$13="single",1.5,3)+3)/12))</f>
        <v>0</v>
      </c>
      <c r="AC2798">
        <f>AB2798-W2798</f>
        <v>0</v>
      </c>
      <c r="AD2798" cm="1">
        <f t="array" ref="AD2798">IFERROR(IF(AC2798&lt;0,0,AC2798/($R$2728-INDEX(hd_off,MATCH(AQ2798,hd_mark,0),0)/12)),0)</f>
        <v>0</v>
      </c>
      <c r="AE2798">
        <f>IF(S2798=0,0,$AD$2728*$AM$2710)</f>
        <v>0</v>
      </c>
      <c r="AF2798">
        <f>IFERROR(AE2798/$R$2728,0)</f>
        <v>0</v>
      </c>
      <c r="AG2798">
        <f>AE2798*($F$22+IF($F$22=0,0,($C$14+$C$15+IF($C$13="single",1.5,3)+3)/12))</f>
        <v>0</v>
      </c>
      <c r="AH2798">
        <f>AG2798-X2798</f>
        <v>0</v>
      </c>
      <c r="AI2798" cm="1">
        <f t="array" ref="AI2798">IFERROR(IF(AH2798&lt;0,0,AH2798/($R$2728-INDEX(hd_off,MATCH(AQ2798,hd_mark,0),0)/12)),0)</f>
        <v>0</v>
      </c>
      <c r="AJ2798">
        <f>MAX($F$22,$Z$2728)/$Q$2740</f>
        <v>0.30172413793103448</v>
      </c>
      <c r="AK2798">
        <f t="shared" ref="AK2798:AK2801" si="1725">IF(AJ2798=0,0,IF(AJ2798&gt;2,1.25-0.125*AJ2798,1))</f>
        <v>1</v>
      </c>
      <c r="AL2798" cm="1">
        <f t="array" ref="AL2798">IFERROR(INDEX(sheath_ecap_asd,MATCH(AP2798,sheath_mark,0),0)*AK2798,0)</f>
        <v>0</v>
      </c>
      <c r="AM2798" cm="1">
        <f t="array" ref="AM2798">IFERROR(INDEX(sheath_wcap_asd,MATCH(AP2798,sheath_mark,0),0)*AK2798,0)</f>
        <v>0</v>
      </c>
      <c r="AN2798" cm="1">
        <f t="array" ref="AN2798">IFERROR(INDEX(hd_cap,MATCH(AQ2798,hd_mark,0),0),0)</f>
        <v>0</v>
      </c>
      <c r="AP2798" s="19"/>
      <c r="AQ2798" s="19"/>
      <c r="AR2798" s="100"/>
      <c r="AS2798" s="93"/>
      <c r="AT2798" s="109"/>
      <c r="AU2798" t="str">
        <f>$Q$2710</f>
        <v>L3</v>
      </c>
      <c r="AV2798">
        <f>$E$22</f>
        <v>21.375</v>
      </c>
      <c r="AW2798" cm="1">
        <f t="array" ref="AW2798">IFERROR(IF(AV2798=0,0,(INDEX($C$33:$C$38,MATCH($AZ$2728,$B$33:$B$38,0),0)*(AV2801+$BA$2728)+$AW$2728*COUNTIF(AV2798:AV2800,"&gt;0")*$C$32+$AY$2728*$C$31)*$AU$2728),0)</f>
        <v>0</v>
      </c>
      <c r="AX2798">
        <f>IF(AV2798=0,0,-(COUNTIF(AV2798:AV2800,"&gt;0")*$AW$2728*$C$32+$AY$2728*$C$31)*$H$27*$AU$2728)</f>
        <v>0</v>
      </c>
      <c r="AY2798">
        <f>IF(AV2798=0,0,$AY$2728*$H$26*$AU$2728)</f>
        <v>0</v>
      </c>
      <c r="AZ2798">
        <f>(0.6*AW2798+0.7*AX2798)*$AU$2728/2</f>
        <v>0</v>
      </c>
      <c r="BA2798">
        <f>AW2798*$AU$2728/2</f>
        <v>0</v>
      </c>
      <c r="BC2798">
        <f>IF(AV2798=0,0,$BG$2728*$AP$2710)</f>
        <v>0</v>
      </c>
      <c r="BD2798">
        <f>IFERROR(BC2798/$AU$2728,0)</f>
        <v>0</v>
      </c>
      <c r="BE2798">
        <f>BC2798*($F$22+IF($F$22=0,0,($C$14+$C$15+IF($C$13="single",1.5,3)+3)/12))</f>
        <v>0</v>
      </c>
      <c r="BF2798">
        <f>BE2798-AZ2798</f>
        <v>0</v>
      </c>
      <c r="BG2798" cm="1">
        <f t="array" ref="BG2798">IFERROR(IF(BF2798&lt;0,0,BF2798/($AU$2728-INDEX(hd_off,MATCH(BT2798,hd_mark,0),0)/12)),0)</f>
        <v>0</v>
      </c>
      <c r="BH2798">
        <f>IF(AV2798=0,0,$BG$2728*$AM$2710)</f>
        <v>0</v>
      </c>
      <c r="BI2798">
        <f>IFERROR(BH2798/$AU$2728,0)</f>
        <v>0</v>
      </c>
      <c r="BJ2798">
        <f>BH2798*($F$22+IF($F$22=0,0,($C$14+$C$15+IF($C$13="single",1.5,3)+3)/12))</f>
        <v>0</v>
      </c>
      <c r="BK2798">
        <f>BJ2798-BA2798</f>
        <v>0</v>
      </c>
      <c r="BL2798" cm="1">
        <f t="array" ref="BL2798">IFERROR(IF(BK2798&lt;0,0,BK2798/($AU$2728-INDEX(hd_off,MATCH(BT2798,hd_mark,0),0)/12)),0)</f>
        <v>0</v>
      </c>
      <c r="BM2798">
        <f>MAX($F$22,$BC$2728)/$Q$2740</f>
        <v>0.30172413793103448</v>
      </c>
      <c r="BN2798">
        <f t="shared" ref="BN2798:BN2801" si="1726">IF(BM2798=0,0,IF(BM2798&gt;2,1.25-0.125*BM2798,1))</f>
        <v>1</v>
      </c>
      <c r="BO2798" cm="1">
        <f t="array" ref="BO2798">IFERROR(INDEX(sheath_ecap_asd,MATCH(BS2798,sheath_mark,0),0)*BN2798,0)</f>
        <v>0</v>
      </c>
      <c r="BP2798" cm="1">
        <f t="array" ref="BP2798">IFERROR(INDEX(sheath_wcap_asd,MATCH(BS2798,sheath_mark,0),0)*BN2798,0)</f>
        <v>0</v>
      </c>
      <c r="BQ2798" cm="1">
        <f t="array" ref="BQ2798">IFERROR(INDEX(hd_cap,MATCH(BT2798,hd_mark,0),0),0)</f>
        <v>0</v>
      </c>
      <c r="BS2798" s="19"/>
      <c r="BT2798" s="19"/>
      <c r="BU2798" s="100"/>
    </row>
    <row r="2799" x14ac:dyDescent="0.25">
      <c r="P2799" s="93"/>
      <c r="Q2799" s="109" t="s">
        <v>491</v>
      </c>
      <c r="R2799" t="str">
        <f>$Q$2711</f>
        <v>L4</v>
      </c>
      <c r="S2799">
        <f>$E$23</f>
        <v>0</v>
      </c>
      <c r="T2799" cm="1">
        <f t="array" ref="T2799">IFERROR(IF(S2799=0,0,(INDEX($C$33:$C$38,MATCH($W$2728,$B$33:$B$38,0),0)*(S2801+$X$2728)+$T$2728*COUNTIF(S2799:S2800,"&gt;0")*$C$32+$V$2728*$C$31)*$R$2728),0)</f>
        <v>0</v>
      </c>
      <c r="U2799">
        <f>IF(S2799=0,0,-(COUNTIF(S2799:S2800,"&gt;0")*$T$2728*$C$32+$V$2728*$C$31)*$H$27*$R$2728)</f>
        <v>0</v>
      </c>
      <c r="V2799">
        <f>IF(S2799=0,0,$V$2728*$H$26*$R$2728)</f>
        <v>0</v>
      </c>
      <c r="W2799">
        <f>(0.6*T2799+0.7*U2799)*$R$2728/2</f>
        <v>0</v>
      </c>
      <c r="X2799">
        <f>T2799*$R$2728/2</f>
        <v>0</v>
      </c>
      <c r="Z2799">
        <f>IF(S2799=0,0,$AD$2728*$AP$2711)</f>
        <v>0</v>
      </c>
      <c r="AA2799">
        <f>IFERROR(Z2799/$R$2728,0)</f>
        <v>0</v>
      </c>
      <c r="AB2799">
        <f>Z2799*($F$23+IF($F$23=0,0,($C$14+$C$15+IF($C$13="single",1.5,3)+3)/12))</f>
        <v>0</v>
      </c>
      <c r="AC2799">
        <f>AB2799-W2799</f>
        <v>0</v>
      </c>
      <c r="AD2799" cm="1">
        <f t="array" ref="AD2799">IFERROR(IF(AC2799&lt;0,0,AC2799/($R$2728-INDEX(hd_off,MATCH(AQ2799,hd_mark,0),0)/12)),0)</f>
        <v>0</v>
      </c>
      <c r="AE2799">
        <f>IF(S2799=0,0,$AD$2728*$AM$2711)</f>
        <v>0</v>
      </c>
      <c r="AF2799">
        <f>IFERROR(AE2799/$R$2728,0)</f>
        <v>0</v>
      </c>
      <c r="AG2799">
        <f>AE2799*($F$23+IF($F$23=0,0,($C$14+$C$15+IF($C$13="single",1.5,3)+3)/12))</f>
        <v>0</v>
      </c>
      <c r="AH2799">
        <f>AG2799-X2799</f>
        <v>0</v>
      </c>
      <c r="AI2799" cm="1">
        <f t="array" ref="AI2799">IFERROR(IF(AH2799&lt;0,0,AH2799/($R$2728-INDEX(hd_off,MATCH(AQ2799,hd_mark,0),0)/12)),0)</f>
        <v>0</v>
      </c>
      <c r="AJ2799">
        <f>MAX($F$23,$AA$2728)/$Q$2740</f>
        <v>0</v>
      </c>
      <c r="AK2799">
        <f t="shared" si="1725"/>
        <v>0</v>
      </c>
      <c r="AL2799" cm="1">
        <f t="array" ref="AL2799">IFERROR(INDEX(sheath_ecap_asd,MATCH(AP2799,sheath_mark,0),0)*AK2799,0)</f>
        <v>0</v>
      </c>
      <c r="AM2799" cm="1">
        <f t="array" ref="AM2799">IFERROR(INDEX(sheath_wcap_asd,MATCH(AP2799,sheath_mark,0),0)*AK2799,0)</f>
        <v>0</v>
      </c>
      <c r="AN2799" cm="1">
        <f t="array" ref="AN2799">IFERROR(INDEX(hd_cap,MATCH(AQ2799,hd_mark,0),0),0)</f>
        <v>0</v>
      </c>
      <c r="AP2799" s="19"/>
      <c r="AQ2799" s="19"/>
      <c r="AR2799" s="100"/>
      <c r="AS2799" s="93"/>
      <c r="AT2799" s="109" t="s">
        <v>491</v>
      </c>
      <c r="AU2799" t="str">
        <f>$Q$2711</f>
        <v>L4</v>
      </c>
      <c r="AV2799">
        <f>$E$23</f>
        <v>0</v>
      </c>
      <c r="AW2799" cm="1">
        <f t="array" ref="AW2799">IFERROR(IF(AV2799=0,0,(INDEX($C$33:$C$38,MATCH($AZ$2728,$B$33:$B$38,0),0)*(AV2801+$BA$2728)+$AW$2728*COUNTIF(AV2799:AV2800,"&gt;0")*$C$32+$AY$2728*$C$31)*$AU$2728),0)</f>
        <v>0</v>
      </c>
      <c r="AX2799">
        <f>IF(AV2799=0,0,-(COUNTIF(AV2799:AV2800,"&gt;0")*$AW$2728*$C$32+$AY$2728*$C$31)*$H$27*$AU$2728)</f>
        <v>0</v>
      </c>
      <c r="AY2799">
        <f>IF(AV2799=0,0,$AY$2728*$H$26*$AU$2728)</f>
        <v>0</v>
      </c>
      <c r="AZ2799">
        <f>(0.6*AW2799+0.7*AX2799)*$AU$2728/2</f>
        <v>0</v>
      </c>
      <c r="BA2799">
        <f>AW2799*$AU$2728/2</f>
        <v>0</v>
      </c>
      <c r="BC2799">
        <f>IF(AV2799=0,0,$BG$2728*$AP$2711)</f>
        <v>0</v>
      </c>
      <c r="BD2799">
        <f>IFERROR(BC2799/$AU$2728,0)</f>
        <v>0</v>
      </c>
      <c r="BE2799">
        <f>BC2799*($F$23+IF($F$23=0,0,($C$14+$C$15+IF($C$13="single",1.5,3)+3)/12))</f>
        <v>0</v>
      </c>
      <c r="BF2799">
        <f>BE2799-AZ2799</f>
        <v>0</v>
      </c>
      <c r="BG2799" cm="1">
        <f t="array" ref="BG2799">IFERROR(IF(BF2799&lt;0,0,BF2799/($AU$2728-INDEX(hd_off,MATCH(BT2799,hd_mark,0),0)/12)),0)</f>
        <v>0</v>
      </c>
      <c r="BH2799">
        <f>IF(AV2799=0,0,$BG$2728*$AM$2711)</f>
        <v>0</v>
      </c>
      <c r="BI2799">
        <f>IFERROR(BH2799/$AU$2728,0)</f>
        <v>0</v>
      </c>
      <c r="BJ2799">
        <f>BH2799*($F$23+IF($F$23=0,0,($C$14+$C$15+IF($C$13="single",1.5,3)+3)/12))</f>
        <v>0</v>
      </c>
      <c r="BK2799">
        <f>BJ2799-BA2799</f>
        <v>0</v>
      </c>
      <c r="BL2799" cm="1">
        <f t="array" ref="BL2799">IFERROR(IF(BK2799&lt;0,0,BK2799/($AU$2728-INDEX(hd_off,MATCH(BT2799,hd_mark,0),0)/12)),0)</f>
        <v>0</v>
      </c>
      <c r="BM2799">
        <f>MAX($F$23,$BD$2728)/$Q$2740</f>
        <v>0</v>
      </c>
      <c r="BN2799">
        <f t="shared" si="1726"/>
        <v>0</v>
      </c>
      <c r="BO2799" cm="1">
        <f t="array" ref="BO2799">IFERROR(INDEX(sheath_ecap_asd,MATCH(BS2799,sheath_mark,0),0)*BN2799,0)</f>
        <v>0</v>
      </c>
      <c r="BP2799" cm="1">
        <f t="array" ref="BP2799">IFERROR(INDEX(sheath_wcap_asd,MATCH(BS2799,sheath_mark,0),0)*BN2799,0)</f>
        <v>0</v>
      </c>
      <c r="BQ2799" cm="1">
        <f t="array" ref="BQ2799">IFERROR(INDEX(hd_cap,MATCH(BT2799,hd_mark,0),0),0)</f>
        <v>0</v>
      </c>
      <c r="BS2799" s="19"/>
      <c r="BT2799" s="19"/>
      <c r="BU2799" s="100"/>
    </row>
    <row r="2800" x14ac:dyDescent="0.25">
      <c r="P2800" s="93"/>
      <c r="Q2800" s="111">
        <f>$R$2728</f>
        <v>0</v>
      </c>
      <c r="R2800" t="str">
        <f>$Q$2712</f>
        <v>L5</v>
      </c>
      <c r="S2800">
        <f>$E$24</f>
        <v>0</v>
      </c>
      <c r="T2800" cm="1">
        <f t="array" ref="T2800">IFERROR(IF(S2800=0,0,(INDEX($C$33:$C$38,MATCH($W$2728,$B$33:$B$38,0),0)*(S2801+$X$2728)+$T$2728*COUNTIF(S2800:S2800,"&gt;0")*$C$32+$V$2728*$C$31)*$R$2728),0)</f>
        <v>0</v>
      </c>
      <c r="U2800">
        <f>IF(S2800=0,0,-(COUNTIF(S2800:S2800,"&gt;0")*$T$2728*$C$32+$V$2728*$C$31)*$H$27*$R$2728)</f>
        <v>0</v>
      </c>
      <c r="V2800">
        <f>IF(S2800=0,0,$V$2728*$H$26*$R$2728)</f>
        <v>0</v>
      </c>
      <c r="W2800">
        <f>(0.6*T2800+0.7*U2800)*$R$2728/2</f>
        <v>0</v>
      </c>
      <c r="X2800">
        <f>T2800*$R$2728/2</f>
        <v>0</v>
      </c>
      <c r="Z2800">
        <f>IF(S2800=0,0,$AD$2728*$AP$2712)</f>
        <v>0</v>
      </c>
      <c r="AA2800">
        <f>IFERROR(Z2800/$R$2728,0)</f>
        <v>0</v>
      </c>
      <c r="AB2800">
        <f>Z2800*($F$24+IF($F$24=0,0,($C$14+$C$15+IF($C$13="single",1.5,3)+3)/12))</f>
        <v>0</v>
      </c>
      <c r="AC2800">
        <f>AB2800-W2800</f>
        <v>0</v>
      </c>
      <c r="AD2800" cm="1">
        <f t="array" ref="AD2800">IFERROR(IF(AC2800&lt;0,0,AC2800/($R$2728-INDEX(hd_off,MATCH(AQ2800,hd_mark,0),0)/12)),0)</f>
        <v>0</v>
      </c>
      <c r="AE2800">
        <f>IF(S2800=0,0,$AD$2728*$AM$2712)</f>
        <v>0</v>
      </c>
      <c r="AF2800">
        <f>IFERROR(AE2800/$R$2728,0)</f>
        <v>0</v>
      </c>
      <c r="AG2800">
        <f>AE2800*($F$24+IF($F$24=0,0,($C$14+$C$15+IF($C$13="single",1.5,3)+3)/12))</f>
        <v>0</v>
      </c>
      <c r="AH2800">
        <f>AG2800-X2800</f>
        <v>0</v>
      </c>
      <c r="AI2800" cm="1">
        <f t="array" ref="AI2800">IFERROR(IF(AH2800&lt;0,0,AH2800/($R$2728-INDEX(hd_off,MATCH(AQ2800,hd_mark,0),0)/12)),0)</f>
        <v>0</v>
      </c>
      <c r="AJ2800">
        <f>MAX($F$24,$AB$2728)/$Q$2740</f>
        <v>0</v>
      </c>
      <c r="AK2800">
        <f t="shared" si="1725"/>
        <v>0</v>
      </c>
      <c r="AL2800" cm="1">
        <f t="array" ref="AL2800">IFERROR(INDEX(sheath_ecap_asd,MATCH(AP2800,sheath_mark,0),0)*AK2800,0)</f>
        <v>0</v>
      </c>
      <c r="AM2800" cm="1">
        <f t="array" ref="AM2800">IFERROR(INDEX(sheath_wcap_asd,MATCH(AP2800,sheath_mark,0),0)*AK2800,0)</f>
        <v>0</v>
      </c>
      <c r="AN2800" cm="1">
        <f t="array" ref="AN2800">IFERROR(INDEX(hd_cap,MATCH(AQ2800,hd_mark,0),0),0)</f>
        <v>0</v>
      </c>
      <c r="AP2800" s="19"/>
      <c r="AQ2800" s="19"/>
      <c r="AR2800" s="100"/>
      <c r="AS2800" s="93"/>
      <c r="AT2800" s="111">
        <f>$R$2728</f>
        <v>0</v>
      </c>
      <c r="AU2800" t="str">
        <f>$Q$2712</f>
        <v>L5</v>
      </c>
      <c r="AV2800">
        <f>$E$24</f>
        <v>0</v>
      </c>
      <c r="AW2800" cm="1">
        <f t="array" ref="AW2800">IFERROR(IF(AV2800=0,0,(INDEX($C$33:$C$38,MATCH($AZ$2728,$B$33:$B$38,0),0)*(AV2801+$BA$2728)+$AW$2728*COUNTIF(AV2800:AV2800,"&gt;0")*$C$32+$AY$2728*$C$31)*$AU$2728),0)</f>
        <v>0</v>
      </c>
      <c r="AX2800">
        <f>IF(AV2800=0,0,-(COUNTIF(AV2800:AV2800,"&gt;0")*$AW$2728*$C$32+$AY$2728*$C$31)*$H$27*$AU$2728)</f>
        <v>0</v>
      </c>
      <c r="AY2800">
        <f>IF(AV2800=0,0,$AY$2728*$H$26*$AU$2728)</f>
        <v>0</v>
      </c>
      <c r="AZ2800">
        <f>(0.6*AW2800+0.7*AX2800)*$AU$2728/2</f>
        <v>0</v>
      </c>
      <c r="BA2800">
        <f>AW2800*$AU$2728/2</f>
        <v>0</v>
      </c>
      <c r="BC2800">
        <f>IF(AV2800=0,0,$BG$2728*$AP$2712)</f>
        <v>0</v>
      </c>
      <c r="BD2800">
        <f>IFERROR(BC2800/$AU$2728,0)</f>
        <v>0</v>
      </c>
      <c r="BE2800">
        <f>BC2800*($F$24+IF($F$24=0,0,($C$14+$C$15+IF($C$13="single",1.5,3)+3)/12))</f>
        <v>0</v>
      </c>
      <c r="BF2800">
        <f>BE2800-AZ2800</f>
        <v>0</v>
      </c>
      <c r="BG2800" cm="1">
        <f t="array" ref="BG2800">IFERROR(IF(BF2800&lt;0,0,BF2800/($AU$2728-INDEX(hd_off,MATCH(BT2800,hd_mark,0),0)/12)),0)</f>
        <v>0</v>
      </c>
      <c r="BH2800">
        <f>IF(AV2800=0,0,$BG$2728*$AM$2712)</f>
        <v>0</v>
      </c>
      <c r="BI2800">
        <f>IFERROR(BH2800/$AU$2728,0)</f>
        <v>0</v>
      </c>
      <c r="BJ2800">
        <f>BH2800*($F$24+IF($F$24=0,0,($C$14+$C$15+IF($C$13="single",1.5,3)+3)/12))</f>
        <v>0</v>
      </c>
      <c r="BK2800">
        <f>BJ2800-BA2800</f>
        <v>0</v>
      </c>
      <c r="BL2800" cm="1">
        <f t="array" ref="BL2800">IFERROR(IF(BK2800&lt;0,0,BK2800/($AU$2728-INDEX(hd_off,MATCH(BT2800,hd_mark,0),0)/12)),0)</f>
        <v>0</v>
      </c>
      <c r="BM2800">
        <f>MAX($F$24,$BE$2728)/$Q$2740</f>
        <v>0</v>
      </c>
      <c r="BN2800">
        <f t="shared" si="1726"/>
        <v>0</v>
      </c>
      <c r="BO2800" cm="1">
        <f t="array" ref="BO2800">IFERROR(INDEX(sheath_ecap_asd,MATCH(BS2800,sheath_mark,0),0)*BN2800,0)</f>
        <v>0</v>
      </c>
      <c r="BP2800" cm="1">
        <f t="array" ref="BP2800">IFERROR(INDEX(sheath_wcap_asd,MATCH(BS2800,sheath_mark,0),0)*BN2800,0)</f>
        <v>0</v>
      </c>
      <c r="BQ2800" cm="1">
        <f t="array" ref="BQ2800">IFERROR(INDEX(hd_cap,MATCH(BT2800,hd_mark,0),0),0)</f>
        <v>0</v>
      </c>
      <c r="BS2800" s="19"/>
      <c r="BT2800" s="19"/>
      <c r="BU2800" s="100"/>
    </row>
    <row r="2801" x14ac:dyDescent="0.25">
      <c r="P2801" s="93"/>
      <c r="Q2801" s="109"/>
      <c r="R2801" t="str">
        <f>$Q$2713</f>
        <v>Roof</v>
      </c>
      <c r="S2801">
        <f>$E$25</f>
        <v>33.171875</v>
      </c>
      <c r="T2801" cm="1">
        <f t="array" ref="T2801">IFERROR(IF(S2801=0,0,(INDEX($C$33:$C$38,MATCH($W$2728,$B$33:$B$38,0),0)*(S2801+$X$2728)+$V$2728*$C$31)*$R$2728),0)</f>
        <v>0</v>
      </c>
      <c r="U2801">
        <f>IF(S2801=0,0,-$V$2728*$C$31*$H$27*$R$2728)</f>
        <v>0</v>
      </c>
      <c r="V2801">
        <f>IF(S2801=0,0,$V$2728*$H$26*$R$2728)</f>
        <v>0</v>
      </c>
      <c r="W2801">
        <f>(0.6*T2801+0.7*U2801)*$R$2728/2</f>
        <v>0</v>
      </c>
      <c r="X2801">
        <f>T2801*$R$2728/2</f>
        <v>0</v>
      </c>
      <c r="Z2801">
        <f>IF(S2801=0,0,$AD$2728*$AP$2713)</f>
        <v>0</v>
      </c>
      <c r="AA2801">
        <f>IFERROR(Z2801/$R$2728,0)</f>
        <v>0</v>
      </c>
      <c r="AB2801">
        <f>Z2801*($F$25+($C$16+$C$17+IF($C$13="single",1.5,3)+3)/12)</f>
        <v>0</v>
      </c>
      <c r="AC2801">
        <f>AB2801-W2801</f>
        <v>0</v>
      </c>
      <c r="AD2801" cm="1">
        <f t="array" ref="AD2801">IFERROR(IF(AC2801&lt;0,0,AC2801/($R$2728-INDEX(hd_off,MATCH(AQ2801,hd_mark,0),0)/12)),0)</f>
        <v>0</v>
      </c>
      <c r="AE2801">
        <f>IF(S2801=0,0,$AD$2728*$AM$2713)</f>
        <v>0</v>
      </c>
      <c r="AF2801">
        <f>IFERROR(AE2801/$R$2728,0)</f>
        <v>0</v>
      </c>
      <c r="AG2801">
        <f>AE2801*($F$25+($C$16+$C$17+IF($C$13="single",1.5,3)+3)/12)</f>
        <v>0</v>
      </c>
      <c r="AH2801">
        <f>AG2801-X2801</f>
        <v>0</v>
      </c>
      <c r="AI2801" cm="1">
        <f t="array" ref="AI2801">IFERROR(IF(AH2801&lt;0,0,AH2801/($R$2728-INDEX(hd_off,MATCH(AQ2801,hd_mark,0),0)/12)),0)</f>
        <v>0</v>
      </c>
      <c r="AJ2801">
        <f>MAX($F$25,$AC$2728)/$Q$2740</f>
        <v>0.29920977011494249</v>
      </c>
      <c r="AK2801">
        <f t="shared" si="1725"/>
        <v>1</v>
      </c>
      <c r="AL2801" cm="1">
        <f t="array" ref="AL2801">IFERROR(INDEX(sheath_ecap_asd,MATCH(AP2801,sheath_mark,0),0)*AK2801,0)</f>
        <v>0</v>
      </c>
      <c r="AM2801" cm="1">
        <f t="array" ref="AM2801">IFERROR(INDEX(sheath_wcap_asd,MATCH(AP2801,sheath_mark,0),0)*AK2801,0)</f>
        <v>0</v>
      </c>
      <c r="AN2801" cm="1">
        <f t="array" ref="AN2801">IFERROR(INDEX(hd_cap,MATCH(AQ2801,hd_mark,0),0),0)</f>
        <v>0</v>
      </c>
      <c r="AP2801" s="19"/>
      <c r="AQ2801" s="19"/>
      <c r="AR2801" s="100"/>
      <c r="AS2801" s="93"/>
      <c r="AT2801" s="109"/>
      <c r="AU2801" t="str">
        <f>$Q$2713</f>
        <v>Roof</v>
      </c>
      <c r="AV2801">
        <f>$E$25</f>
        <v>33.171875</v>
      </c>
      <c r="AW2801" cm="1">
        <f t="array" ref="AW2801">IFERROR(IF(AV2801=0,0,(INDEX($C$33:$C$38,MATCH($AZ$2728,$B$33:$B$38,0),0)*(AV2801+$BA$2728)+$AY$2728*$C$31)*$AU$2728),0)</f>
        <v>0</v>
      </c>
      <c r="AX2801">
        <f>IF(AV2801=0,0,-$AY$2728*$C$31*$H$27*$AU$2728)</f>
        <v>0</v>
      </c>
      <c r="AY2801">
        <f>IF(AV2801=0,0,$AY$2728*$H$26*$AU$2728)</f>
        <v>0</v>
      </c>
      <c r="AZ2801">
        <f>(0.6*AW2801+0.7*AX2801)*$AU$2728/2</f>
        <v>0</v>
      </c>
      <c r="BA2801">
        <f>AW2801*$AU$2728/2</f>
        <v>0</v>
      </c>
      <c r="BC2801">
        <f>IF(AV2801=0,0,$BG$2728*$AP$2713)</f>
        <v>0</v>
      </c>
      <c r="BD2801">
        <f>IFERROR(BC2801/$AU$2728,0)</f>
        <v>0</v>
      </c>
      <c r="BE2801">
        <f>BC2801*($F$25+($C$16+$C$17+IF($C$13="single",1.5,3)+3)/12)</f>
        <v>0</v>
      </c>
      <c r="BF2801">
        <f>BE2801-AZ2801</f>
        <v>0</v>
      </c>
      <c r="BG2801" cm="1">
        <f t="array" ref="BG2801">IFERROR(IF(BF2801&lt;0,0,BF2801/($AU$2728-INDEX(hd_off,MATCH(BT2801,hd_mark,0),0)/12)),0)</f>
        <v>0</v>
      </c>
      <c r="BH2801">
        <f>IF(AV2801=0,0,$BG$2728*$AM$2713)</f>
        <v>0</v>
      </c>
      <c r="BI2801">
        <f>IFERROR(BH2801/$AU$2728,0)</f>
        <v>0</v>
      </c>
      <c r="BJ2801">
        <f>BH2801*($F$25+($C$16+$C$17+IF($C$13="single",1.5,3)+3)/12)</f>
        <v>0</v>
      </c>
      <c r="BK2801">
        <f>BJ2801-BA2801</f>
        <v>0</v>
      </c>
      <c r="BL2801" cm="1">
        <f t="array" ref="BL2801">IFERROR(IF(BK2801&lt;0,0,BK2801/($AU$2728-INDEX(hd_off,MATCH(BT2801,hd_mark,0),0)/12)),0)</f>
        <v>0</v>
      </c>
      <c r="BM2801">
        <f>MAX($F$25,$BF$2728)/$Q$2740</f>
        <v>0.29920977011494249</v>
      </c>
      <c r="BN2801">
        <f t="shared" si="1726"/>
        <v>1</v>
      </c>
      <c r="BO2801" cm="1">
        <f t="array" ref="BO2801">IFERROR(INDEX(sheath_ecap_asd,MATCH(BS2801,sheath_mark,0),0)*BN2801,0)</f>
        <v>0</v>
      </c>
      <c r="BP2801" cm="1">
        <f t="array" ref="BP2801">IFERROR(INDEX(sheath_wcap_asd,MATCH(BS2801,sheath_mark,0),0)*BN2801,0)</f>
        <v>0</v>
      </c>
      <c r="BQ2801" cm="1">
        <f t="array" ref="BQ2801">IFERROR(INDEX(hd_cap,MATCH(BT2801,hd_mark,0),0),0)</f>
        <v>0</v>
      </c>
      <c r="BS2801" s="19"/>
      <c r="BT2801" s="19"/>
      <c r="BU2801" s="100"/>
    </row>
    <row r="2802" x14ac:dyDescent="0.25">
      <c r="P2802" s="93"/>
      <c r="AR2802" s="100"/>
      <c r="AS2802" s="93"/>
      <c r="BU2802" s="100"/>
    </row>
    <row r="2803" x14ac:dyDescent="0.25">
      <c r="P2803" s="93"/>
      <c r="Q2803" s="110" t="str">
        <f>$Q$2729</f>
        <v>A.12</v>
      </c>
      <c r="R2803" t="str">
        <f>$Q$2709</f>
        <v>L2</v>
      </c>
      <c r="S2803">
        <f>$E$21</f>
        <v>10.6875</v>
      </c>
      <c r="T2803" cm="1">
        <f t="array" ref="T2803">IFERROR(IF(S2803=0,0,(INDEX($C$33:$C$38,MATCH($W$2729,$B$33:$B$38,0),0)*(S2807+$X$2729)+$T$2729*COUNTIF(S2803:S2806,"&gt;0")*$C$32+$V$2729*$C$31)*$R$2729),0)</f>
        <v>0</v>
      </c>
      <c r="U2803">
        <f>IF(S2803=0,0,-(COUNTIF(S2803:S2806,"&gt;0")*$T$2729*$C$32+$V$2729*$C$31)*$H$27*$R$2729)</f>
        <v>0</v>
      </c>
      <c r="V2803">
        <f>IF(S2803=0,0,$V$2729*$H$26*$R$2729)</f>
        <v>0</v>
      </c>
      <c r="W2803">
        <f>(0.6*T2803+0.7*U2803)*$R$2729/2</f>
        <v>0</v>
      </c>
      <c r="X2803">
        <f>(0.6*T2803+0.6*V2803)*$R$2729/2</f>
        <v>0</v>
      </c>
      <c r="Z2803">
        <f>IF(S2803=0,0,$AD$2729*$AP$2709)</f>
        <v>0</v>
      </c>
      <c r="AA2803">
        <f>IFERROR(Z2803/$R$2729,0)</f>
        <v>0</v>
      </c>
      <c r="AB2803">
        <f>Z2803*($F$21+IF($F$21=0,0,($C$14+$C$15+IF($C$13="single",1.5,3)+3)/12))</f>
        <v>0</v>
      </c>
      <c r="AC2803">
        <f>AB2803-W2803</f>
        <v>0</v>
      </c>
      <c r="AD2803" cm="1">
        <f t="array" ref="AD2803">IFERROR(IF(AC2803&lt;0,0,AC2803/($R$2729-INDEX(hd_off,MATCH(AQ2803,hd_mark,0),0)/12)),0)</f>
        <v>0</v>
      </c>
      <c r="AE2803">
        <f>IF(S2803=0,0,$AD$2729*$AM$2709)</f>
        <v>0</v>
      </c>
      <c r="AF2803">
        <f>IFERROR(AE2803/$R$2729,0)</f>
        <v>0</v>
      </c>
      <c r="AG2803">
        <f>AE2803*($F$21+IF($F$21=0,0,($C$14+$C$15+IF($C$13="single",1.5,3)+3)/12))</f>
        <v>0</v>
      </c>
      <c r="AH2803">
        <f>AG2803-X2803</f>
        <v>0</v>
      </c>
      <c r="AI2803" cm="1">
        <f t="array" ref="AI2803">IFERROR(IF(AH2803&lt;0,0,AH2803/($R$2729-INDEX(hd_off,MATCH(AQ2803,hd_mark,0),0)/12)),0)</f>
        <v>0</v>
      </c>
      <c r="AJ2803">
        <f>MAX($F$21,$Y$2729)/$Q$2740</f>
        <v>0.30172413793103448</v>
      </c>
      <c r="AK2803">
        <f>IF(AJ2803=0,0,IF(AJ2803&gt;2,1.25-0.125*AJ2803,1))</f>
        <v>1</v>
      </c>
      <c r="AL2803" cm="1">
        <f t="array" ref="AL2803">IFERROR(INDEX(sheath_ecap_asd,MATCH(AP2803,sheath_mark,0),0)*AK2803,0)</f>
        <v>0</v>
      </c>
      <c r="AM2803" cm="1">
        <f t="array" ref="AM2803">IFERROR(INDEX(sheath_wcap_asd,MATCH(AP2803,sheath_mark,0),0)*AK2803,0)</f>
        <v>0</v>
      </c>
      <c r="AN2803" cm="1">
        <f t="array" ref="AN2803">IFERROR(INDEX(hd_cap,MATCH(AQ2803,hd_mark,0),0),0)</f>
        <v>0</v>
      </c>
      <c r="AP2803" s="19"/>
      <c r="AQ2803" s="19"/>
      <c r="AR2803" s="100"/>
      <c r="AS2803" s="93"/>
      <c r="AT2803" s="110" t="str">
        <f>$AT$2729</f>
        <v>1.12</v>
      </c>
      <c r="AU2803" t="str">
        <f>$Q$2709</f>
        <v>L2</v>
      </c>
      <c r="AV2803">
        <f>$E$21</f>
        <v>10.6875</v>
      </c>
      <c r="AW2803" cm="1">
        <f t="array" ref="AW2803">IFERROR(IF(AV2803=0,0,(INDEX($C$33:$C$38,MATCH($AZ$2729,$B$33:$B$38,0),0)*(AV2807+$BA$2729)+$AW$2729*COUNTIF(AV2803:AV2806,"&gt;0")*$C$32+$AY$2729*$C$31)*$AU$2729),0)</f>
        <v>0</v>
      </c>
      <c r="AX2803">
        <f>IF(AV2803=0,0,-(COUNTIF(AV2803:AV2806,"&gt;0")*$AW$2729*$C$32+$AY$2729*$C$31)*$H$27*$AU$2729)</f>
        <v>0</v>
      </c>
      <c r="AY2803">
        <f>IF(AV2803=0,0,$AY$2729*$H$26*$AU$2729)</f>
        <v>0</v>
      </c>
      <c r="AZ2803">
        <f>(0.6*AW2803+0.7*AX2803)*$AU$2729/2</f>
        <v>0</v>
      </c>
      <c r="BA2803">
        <f>(0.6*AW2803+0.6*AY2803)*$AU$2729/2</f>
        <v>0</v>
      </c>
      <c r="BC2803">
        <f>IF(AV2803=0,0,$BG$2729*$AP$2709)</f>
        <v>0</v>
      </c>
      <c r="BD2803">
        <f>IFERROR(BC2803/$AU$2729,0)</f>
        <v>0</v>
      </c>
      <c r="BE2803">
        <f>BC2803*($F$21+IF($F$21=0,0,($C$14+$C$15+IF($C$13="single",1.5,3)+3)/12))</f>
        <v>0</v>
      </c>
      <c r="BF2803">
        <f>BE2803-AZ2803</f>
        <v>0</v>
      </c>
      <c r="BG2803" cm="1">
        <f t="array" ref="BG2803">IFERROR(IF(BF2803&lt;0,0,BF2803/($AU$2729-INDEX(hd_off,MATCH(BT2803,hd_mark,0),0)/12)),0)</f>
        <v>0</v>
      </c>
      <c r="BH2803">
        <f>IF(AV2803=0,0,$BG$2729*$AM$2709)</f>
        <v>0</v>
      </c>
      <c r="BI2803">
        <f>IFERROR(BH2803/$AU$2729,0)</f>
        <v>0</v>
      </c>
      <c r="BJ2803">
        <f>BH2803*($F$21+IF($F$21=0,0,($C$14+$C$15+IF($C$13="single",1.5,3)+3)/12))</f>
        <v>0</v>
      </c>
      <c r="BK2803">
        <f>BJ2803-BA2803</f>
        <v>0</v>
      </c>
      <c r="BL2803" cm="1">
        <f t="array" ref="BL2803">IFERROR(IF(BK2803&lt;0,0,BK2803/($AU$2729-INDEX(hd_off,MATCH(BT2803,hd_mark,0),0)/12)),0)</f>
        <v>0</v>
      </c>
      <c r="BM2803">
        <f>MAX($F$21,$BB$2729)/$Q$2740</f>
        <v>0.30172413793103448</v>
      </c>
      <c r="BN2803">
        <f>IF(BM2803=0,0,IF(BM2803&gt;2,1.25-0.125*BM2803,1))</f>
        <v>1</v>
      </c>
      <c r="BO2803" cm="1">
        <f t="array" ref="BO2803">IFERROR(INDEX(sheath_ecap_asd,MATCH(BS2803,sheath_mark,0),0)*BN2803,0)</f>
        <v>0</v>
      </c>
      <c r="BP2803" cm="1">
        <f t="array" ref="BP2803">IFERROR(INDEX(sheath_wcap_asd,MATCH(BS2803,sheath_mark,0),0)*BN2803,0)</f>
        <v>0</v>
      </c>
      <c r="BQ2803" cm="1">
        <f t="array" ref="BQ2803">IFERROR(INDEX(hd_cap,MATCH(BT2803,hd_mark,0),0),0)</f>
        <v>0</v>
      </c>
      <c r="BS2803" s="19"/>
      <c r="BT2803" s="19"/>
      <c r="BU2803" s="100"/>
    </row>
    <row r="2804" x14ac:dyDescent="0.25">
      <c r="P2804" s="93"/>
      <c r="Q2804" s="109"/>
      <c r="R2804" t="str">
        <f>$Q$2710</f>
        <v>L3</v>
      </c>
      <c r="S2804">
        <f>$E$22</f>
        <v>21.375</v>
      </c>
      <c r="T2804" cm="1">
        <f t="array" ref="T2804">IFERROR(IF(S2804=0,0,(INDEX($C$33:$C$38,MATCH($W$2729,$B$33:$B$38,0),0)*(S2807+$X$2729)+$T$2729*COUNTIF(S2804:S2806,"&gt;0")*$C$32+$V$2729*$C$31)*$R$2729),0)</f>
        <v>0</v>
      </c>
      <c r="U2804">
        <f>IF(S2804=0,0,-(COUNTIF(S2804:S2806,"&gt;0")*$T$2729*$C$32+$V$2729*$C$31)*$H$27*$R$2729)</f>
        <v>0</v>
      </c>
      <c r="V2804">
        <f>IF(S2804=0,0,$V$2729*$H$26*$R$2729)</f>
        <v>0</v>
      </c>
      <c r="W2804">
        <f>(0.6*T2804+0.7*U2804)*$R$2729/2</f>
        <v>0</v>
      </c>
      <c r="X2804">
        <f>T2804*$R$2729/2</f>
        <v>0</v>
      </c>
      <c r="Z2804">
        <f>IF(S2804=0,0,$AD$2729*$AP$2710)</f>
        <v>0</v>
      </c>
      <c r="AA2804">
        <f>IFERROR(Z2804/$R$2729,0)</f>
        <v>0</v>
      </c>
      <c r="AB2804">
        <f>Z2804*($F$22+IF($F$22=0,0,($C$14+$C$15+IF($C$13="single",1.5,3)+3)/12))</f>
        <v>0</v>
      </c>
      <c r="AC2804">
        <f>AB2804-W2804</f>
        <v>0</v>
      </c>
      <c r="AD2804" cm="1">
        <f t="array" ref="AD2804">IFERROR(IF(AC2804&lt;0,0,AC2804/($R$2729-INDEX(hd_off,MATCH(AQ2804,hd_mark,0),0)/12)),0)</f>
        <v>0</v>
      </c>
      <c r="AE2804">
        <f>IF(S2804=0,0,$AD$2729*$AM$2710)</f>
        <v>0</v>
      </c>
      <c r="AF2804">
        <f>IFERROR(AE2804/$R$2729,0)</f>
        <v>0</v>
      </c>
      <c r="AG2804">
        <f>AE2804*($F$22+IF($F$22=0,0,($C$14+$C$15+IF($C$13="single",1.5,3)+3)/12))</f>
        <v>0</v>
      </c>
      <c r="AH2804">
        <f>AG2804-X2804</f>
        <v>0</v>
      </c>
      <c r="AI2804" cm="1">
        <f t="array" ref="AI2804">IFERROR(IF(AH2804&lt;0,0,AH2804/($R$2729-INDEX(hd_off,MATCH(AQ2804,hd_mark,0),0)/12)),0)</f>
        <v>0</v>
      </c>
      <c r="AJ2804">
        <f>MAX($F$22,$Z$2729)/$Q$2740</f>
        <v>0.30172413793103448</v>
      </c>
      <c r="AK2804">
        <f t="shared" ref="AK2804:AK2807" si="1727">IF(AJ2804=0,0,IF(AJ2804&gt;2,1.25-0.125*AJ2804,1))</f>
        <v>1</v>
      </c>
      <c r="AL2804" cm="1">
        <f t="array" ref="AL2804">IFERROR(INDEX(sheath_ecap_asd,MATCH(AP2804,sheath_mark,0),0)*AK2804,0)</f>
        <v>0</v>
      </c>
      <c r="AM2804" cm="1">
        <f t="array" ref="AM2804">IFERROR(INDEX(sheath_wcap_asd,MATCH(AP2804,sheath_mark,0),0)*AK2804,0)</f>
        <v>0</v>
      </c>
      <c r="AN2804" cm="1">
        <f t="array" ref="AN2804">IFERROR(INDEX(hd_cap,MATCH(AQ2804,hd_mark,0),0),0)</f>
        <v>0</v>
      </c>
      <c r="AP2804" s="19"/>
      <c r="AQ2804" s="19"/>
      <c r="AR2804" s="100"/>
      <c r="AS2804" s="93"/>
      <c r="AT2804" s="109"/>
      <c r="AU2804" t="str">
        <f>$Q$2710</f>
        <v>L3</v>
      </c>
      <c r="AV2804">
        <f>$E$22</f>
        <v>21.375</v>
      </c>
      <c r="AW2804" cm="1">
        <f t="array" ref="AW2804">IFERROR(IF(AV2804=0,0,(INDEX($C$33:$C$38,MATCH($AZ$2729,$B$33:$B$38,0),0)*(AV2807+$BA$2729)+$AW$2729*COUNTIF(AV2804:AV2806,"&gt;0")*$C$32+$AY$2729*$C$31)*$AU$2729),0)</f>
        <v>0</v>
      </c>
      <c r="AX2804">
        <f>IF(AV2804=0,0,-(COUNTIF(AV2804:AV2806,"&gt;0")*$AW$2729*$C$32+$AY$2729*$C$31)*$H$27*$AU$2729)</f>
        <v>0</v>
      </c>
      <c r="AY2804">
        <f>IF(AV2804=0,0,$AY$2729*$H$26*$AU$2729)</f>
        <v>0</v>
      </c>
      <c r="AZ2804">
        <f>(0.6*AW2804+0.7*AX2804)*$AU$2729/2</f>
        <v>0</v>
      </c>
      <c r="BA2804">
        <f>AW2804*$AU$2729/2</f>
        <v>0</v>
      </c>
      <c r="BC2804">
        <f>IF(AV2804=0,0,$BG$2729*$AP$2710)</f>
        <v>0</v>
      </c>
      <c r="BD2804">
        <f>IFERROR(BC2804/$AU$2729,0)</f>
        <v>0</v>
      </c>
      <c r="BE2804">
        <f>BC2804*($F$22+IF($F$22=0,0,($C$14+$C$15+IF($C$13="single",1.5,3)+3)/12))</f>
        <v>0</v>
      </c>
      <c r="BF2804">
        <f>BE2804-AZ2804</f>
        <v>0</v>
      </c>
      <c r="BG2804" cm="1">
        <f t="array" ref="BG2804">IFERROR(IF(BF2804&lt;0,0,BF2804/($AU$2729-INDEX(hd_off,MATCH(BT2804,hd_mark,0),0)/12)),0)</f>
        <v>0</v>
      </c>
      <c r="BH2804">
        <f>IF(AV2804=0,0,$BG$2729*$AM$2710)</f>
        <v>0</v>
      </c>
      <c r="BI2804">
        <f>IFERROR(BH2804/$AU$2729,0)</f>
        <v>0</v>
      </c>
      <c r="BJ2804">
        <f>BH2804*($F$22+IF($F$22=0,0,($C$14+$C$15+IF($C$13="single",1.5,3)+3)/12))</f>
        <v>0</v>
      </c>
      <c r="BK2804">
        <f>BJ2804-BA2804</f>
        <v>0</v>
      </c>
      <c r="BL2804" cm="1">
        <f t="array" ref="BL2804">IFERROR(IF(BK2804&lt;0,0,BK2804/($AU$2729-INDEX(hd_off,MATCH(BT2804,hd_mark,0),0)/12)),0)</f>
        <v>0</v>
      </c>
      <c r="BM2804">
        <f>MAX($F$22,$BC$2729)/$Q$2740</f>
        <v>0.30172413793103448</v>
      </c>
      <c r="BN2804">
        <f t="shared" ref="BN2804:BN2807" si="1728">IF(BM2804=0,0,IF(BM2804&gt;2,1.25-0.125*BM2804,1))</f>
        <v>1</v>
      </c>
      <c r="BO2804" cm="1">
        <f t="array" ref="BO2804">IFERROR(INDEX(sheath_ecap_asd,MATCH(BS2804,sheath_mark,0),0)*BN2804,0)</f>
        <v>0</v>
      </c>
      <c r="BP2804" cm="1">
        <f t="array" ref="BP2804">IFERROR(INDEX(sheath_wcap_asd,MATCH(BS2804,sheath_mark,0),0)*BN2804,0)</f>
        <v>0</v>
      </c>
      <c r="BQ2804" cm="1">
        <f t="array" ref="BQ2804">IFERROR(INDEX(hd_cap,MATCH(BT2804,hd_mark,0),0),0)</f>
        <v>0</v>
      </c>
      <c r="BS2804" s="19"/>
      <c r="BT2804" s="19"/>
      <c r="BU2804" s="100"/>
    </row>
    <row r="2805" x14ac:dyDescent="0.25">
      <c r="P2805" s="93"/>
      <c r="Q2805" s="109" t="s">
        <v>491</v>
      </c>
      <c r="R2805" t="str">
        <f>$Q$2711</f>
        <v>L4</v>
      </c>
      <c r="S2805">
        <f>$E$23</f>
        <v>0</v>
      </c>
      <c r="T2805" cm="1">
        <f t="array" ref="T2805">IFERROR(IF(S2805=0,0,(INDEX($C$33:$C$38,MATCH($W$2729,$B$33:$B$38,0),0)*(S2807+$X$2729)+$T$2729*COUNTIF(S2805:S2806,"&gt;0")*$C$32+$V$2729*$C$31)*$R$2729),0)</f>
        <v>0</v>
      </c>
      <c r="U2805">
        <f>IF(S2805=0,0,-(COUNTIF(S2805:S2806,"&gt;0")*$T$2729*$C$32+$V$2729*$C$31)*$H$27*$R$2729)</f>
        <v>0</v>
      </c>
      <c r="V2805">
        <f>IF(S2805=0,0,$V$2729*$H$26*$R$2729)</f>
        <v>0</v>
      </c>
      <c r="W2805">
        <f>(0.6*T2805+0.7*U2805)*$R$2729/2</f>
        <v>0</v>
      </c>
      <c r="X2805">
        <f>T2805*$R$2729/2</f>
        <v>0</v>
      </c>
      <c r="Z2805">
        <f>IF(S2805=0,0,$AD$2729*$AP$2711)</f>
        <v>0</v>
      </c>
      <c r="AA2805">
        <f>IFERROR(Z2805/$R$2729,0)</f>
        <v>0</v>
      </c>
      <c r="AB2805">
        <f>Z2805*($F$23+IF($F$23=0,0,($C$14+$C$15+IF($C$13="single",1.5,3)+3)/12))</f>
        <v>0</v>
      </c>
      <c r="AC2805">
        <f>AB2805-W2805</f>
        <v>0</v>
      </c>
      <c r="AD2805" cm="1">
        <f t="array" ref="AD2805">IFERROR(IF(AC2805&lt;0,0,AC2805/($R$2729-INDEX(hd_off,MATCH(AQ2805,hd_mark,0),0)/12)),0)</f>
        <v>0</v>
      </c>
      <c r="AE2805">
        <f>IF(S2805=0,0,$AD$2729*$AM$2711)</f>
        <v>0</v>
      </c>
      <c r="AF2805">
        <f>IFERROR(AE2805/$R$2729,0)</f>
        <v>0</v>
      </c>
      <c r="AG2805">
        <f>AE2805*($F$23+IF($F$23=0,0,($C$14+$C$15+IF($C$13="single",1.5,3)+3)/12))</f>
        <v>0</v>
      </c>
      <c r="AH2805">
        <f>AG2805-X2805</f>
        <v>0</v>
      </c>
      <c r="AI2805" cm="1">
        <f t="array" ref="AI2805">IFERROR(IF(AH2805&lt;0,0,AH2805/($R$2729-INDEX(hd_off,MATCH(AQ2805,hd_mark,0),0)/12)),0)</f>
        <v>0</v>
      </c>
      <c r="AJ2805">
        <f>MAX($F$23,$AA$2729)/$Q$2740</f>
        <v>0</v>
      </c>
      <c r="AK2805">
        <f t="shared" si="1727"/>
        <v>0</v>
      </c>
      <c r="AL2805" cm="1">
        <f t="array" ref="AL2805">IFERROR(INDEX(sheath_ecap_asd,MATCH(AP2805,sheath_mark,0),0)*AK2805,0)</f>
        <v>0</v>
      </c>
      <c r="AM2805" cm="1">
        <f t="array" ref="AM2805">IFERROR(INDEX(sheath_wcap_asd,MATCH(AP2805,sheath_mark,0),0)*AK2805,0)</f>
        <v>0</v>
      </c>
      <c r="AN2805" cm="1">
        <f t="array" ref="AN2805">IFERROR(INDEX(hd_cap,MATCH(AQ2805,hd_mark,0),0),0)</f>
        <v>0</v>
      </c>
      <c r="AP2805" s="19"/>
      <c r="AQ2805" s="19"/>
      <c r="AR2805" s="100"/>
      <c r="AS2805" s="93"/>
      <c r="AT2805" s="109" t="s">
        <v>491</v>
      </c>
      <c r="AU2805" t="str">
        <f>$Q$2711</f>
        <v>L4</v>
      </c>
      <c r="AV2805">
        <f>$E$23</f>
        <v>0</v>
      </c>
      <c r="AW2805" cm="1">
        <f t="array" ref="AW2805">IFERROR(IF(AV2805=0,0,(INDEX($C$33:$C$38,MATCH($AZ$2729,$B$33:$B$38,0),0)*(AV2807+$BA$2729)+$AW$2729*COUNTIF(AV2805:AV2806,"&gt;0")*$C$32+$AY$2729*$C$31)*$AU$2729),0)</f>
        <v>0</v>
      </c>
      <c r="AX2805">
        <f>IF(AV2805=0,0,-(COUNTIF(AV2805:AV2806,"&gt;0")*$AW$2729*$C$32+$AY$2729*$C$31)*$H$27*$AU$2729)</f>
        <v>0</v>
      </c>
      <c r="AY2805">
        <f>IF(AV2805=0,0,$AY$2729*$H$26*$AU$2729)</f>
        <v>0</v>
      </c>
      <c r="AZ2805">
        <f>(0.6*AW2805+0.7*AX2805)*$AU$2729/2</f>
        <v>0</v>
      </c>
      <c r="BA2805">
        <f>AW2805*$AU$2729/2</f>
        <v>0</v>
      </c>
      <c r="BC2805">
        <f>IF(AV2805=0,0,$BG$2729*$AP$2711)</f>
        <v>0</v>
      </c>
      <c r="BD2805">
        <f>IFERROR(BC2805/$AU$2729,0)</f>
        <v>0</v>
      </c>
      <c r="BE2805">
        <f>BC2805*($F$23+IF($F$23=0,0,($C$14+$C$15+IF($C$13="single",1.5,3)+3)/12))</f>
        <v>0</v>
      </c>
      <c r="BF2805">
        <f>BE2805-AZ2805</f>
        <v>0</v>
      </c>
      <c r="BG2805" cm="1">
        <f t="array" ref="BG2805">IFERROR(IF(BF2805&lt;0,0,BF2805/($AU$2729-INDEX(hd_off,MATCH(BT2805,hd_mark,0),0)/12)),0)</f>
        <v>0</v>
      </c>
      <c r="BH2805">
        <f>IF(AV2805=0,0,$BG$2729*$AM$2711)</f>
        <v>0</v>
      </c>
      <c r="BI2805">
        <f>IFERROR(BH2805/$AU$2729,0)</f>
        <v>0</v>
      </c>
      <c r="BJ2805">
        <f>BH2805*($F$23+IF($F$23=0,0,($C$14+$C$15+IF($C$13="single",1.5,3)+3)/12))</f>
        <v>0</v>
      </c>
      <c r="BK2805">
        <f>BJ2805-BA2805</f>
        <v>0</v>
      </c>
      <c r="BL2805" cm="1">
        <f t="array" ref="BL2805">IFERROR(IF(BK2805&lt;0,0,BK2805/($AU$2729-INDEX(hd_off,MATCH(BT2805,hd_mark,0),0)/12)),0)</f>
        <v>0</v>
      </c>
      <c r="BM2805">
        <f>MAX($F$23,$BD$2729)/$Q$2740</f>
        <v>0</v>
      </c>
      <c r="BN2805">
        <f t="shared" si="1728"/>
        <v>0</v>
      </c>
      <c r="BO2805" cm="1">
        <f t="array" ref="BO2805">IFERROR(INDEX(sheath_ecap_asd,MATCH(BS2805,sheath_mark,0),0)*BN2805,0)</f>
        <v>0</v>
      </c>
      <c r="BP2805" cm="1">
        <f t="array" ref="BP2805">IFERROR(INDEX(sheath_wcap_asd,MATCH(BS2805,sheath_mark,0),0)*BN2805,0)</f>
        <v>0</v>
      </c>
      <c r="BQ2805" cm="1">
        <f t="array" ref="BQ2805">IFERROR(INDEX(hd_cap,MATCH(BT2805,hd_mark,0),0),0)</f>
        <v>0</v>
      </c>
      <c r="BS2805" s="19"/>
      <c r="BT2805" s="19"/>
      <c r="BU2805" s="100"/>
    </row>
    <row r="2806" x14ac:dyDescent="0.25">
      <c r="P2806" s="93"/>
      <c r="Q2806" s="111">
        <f>$R$2729</f>
        <v>0</v>
      </c>
      <c r="R2806" t="str">
        <f>$Q$2712</f>
        <v>L5</v>
      </c>
      <c r="S2806">
        <f>$E$24</f>
        <v>0</v>
      </c>
      <c r="T2806" cm="1">
        <f t="array" ref="T2806">IFERROR(IF(S2806=0,0,(INDEX($C$33:$C$38,MATCH($W$2729,$B$33:$B$38,0),0)*(S2807+$X$2729)+$T$2729*COUNTIF(S2806:S2806,"&gt;0")*$C$32+$V$2729*$C$31)*$R$2729),0)</f>
        <v>0</v>
      </c>
      <c r="U2806">
        <f>IF(S2806=0,0,-(COUNTIF(S2806:S2806,"&gt;0")*$T$2729*$C$32+$V$2729*$C$31)*$H$27*$R$2729)</f>
        <v>0</v>
      </c>
      <c r="V2806">
        <f>IF(S2806=0,0,$V$2729*$H$26*$R$2729)</f>
        <v>0</v>
      </c>
      <c r="W2806">
        <f>(0.6*T2806+0.7*U2806)*$R$2729/2</f>
        <v>0</v>
      </c>
      <c r="X2806">
        <f>T2806*$R$2729/2</f>
        <v>0</v>
      </c>
      <c r="Z2806">
        <f>IF(S2806=0,0,$AD$2729*$AP$2712)</f>
        <v>0</v>
      </c>
      <c r="AA2806">
        <f>IFERROR(Z2806/$R$2729,0)</f>
        <v>0</v>
      </c>
      <c r="AB2806">
        <f>Z2806*($F$24+IF($F$24=0,0,($C$14+$C$15+IF($C$13="single",1.5,3)+3)/12))</f>
        <v>0</v>
      </c>
      <c r="AC2806">
        <f>AB2806-W2806</f>
        <v>0</v>
      </c>
      <c r="AD2806" cm="1">
        <f t="array" ref="AD2806">IFERROR(IF(AC2806&lt;0,0,AC2806/($R$2729-INDEX(hd_off,MATCH(AQ2806,hd_mark,0),0)/12)),0)</f>
        <v>0</v>
      </c>
      <c r="AE2806">
        <f>IF(S2806=0,0,$AD$2729*$AM$2712)</f>
        <v>0</v>
      </c>
      <c r="AF2806">
        <f>IFERROR(AE2806/$R$2729,0)</f>
        <v>0</v>
      </c>
      <c r="AG2806">
        <f>AE2806*($F$24+IF($F$24=0,0,($C$14+$C$15+IF($C$13="single",1.5,3)+3)/12))</f>
        <v>0</v>
      </c>
      <c r="AH2806">
        <f>AG2806-X2806</f>
        <v>0</v>
      </c>
      <c r="AI2806" cm="1">
        <f t="array" ref="AI2806">IFERROR(IF(AH2806&lt;0,0,AH2806/($R$2729-INDEX(hd_off,MATCH(AQ2806,hd_mark,0),0)/12)),0)</f>
        <v>0</v>
      </c>
      <c r="AJ2806">
        <f>MAX($F$24,$AB$2729)/$Q$2740</f>
        <v>0</v>
      </c>
      <c r="AK2806">
        <f t="shared" si="1727"/>
        <v>0</v>
      </c>
      <c r="AL2806" cm="1">
        <f t="array" ref="AL2806">IFERROR(INDEX(sheath_ecap_asd,MATCH(AP2806,sheath_mark,0),0)*AK2806,0)</f>
        <v>0</v>
      </c>
      <c r="AM2806" cm="1">
        <f t="array" ref="AM2806">IFERROR(INDEX(sheath_wcap_asd,MATCH(AP2806,sheath_mark,0),0)*AK2806,0)</f>
        <v>0</v>
      </c>
      <c r="AN2806" cm="1">
        <f t="array" ref="AN2806">IFERROR(INDEX(hd_cap,MATCH(AQ2806,hd_mark,0),0),0)</f>
        <v>0</v>
      </c>
      <c r="AP2806" s="19"/>
      <c r="AQ2806" s="19"/>
      <c r="AR2806" s="100"/>
      <c r="AS2806" s="93"/>
      <c r="AT2806" s="111">
        <f>$R$2729</f>
        <v>0</v>
      </c>
      <c r="AU2806" t="str">
        <f>$Q$2712</f>
        <v>L5</v>
      </c>
      <c r="AV2806">
        <f>$E$24</f>
        <v>0</v>
      </c>
      <c r="AW2806" cm="1">
        <f t="array" ref="AW2806">IFERROR(IF(AV2806=0,0,(INDEX($C$33:$C$38,MATCH($AZ$2729,$B$33:$B$38,0),0)*(AV2807+$BA$2729)+$AW$2729*COUNTIF(AV2806:AV2806,"&gt;0")*$C$32+$AY$2729*$C$31)*$AU$2729),0)</f>
        <v>0</v>
      </c>
      <c r="AX2806">
        <f>IF(AV2806=0,0,-(COUNTIF(AV2806:AV2806,"&gt;0")*$AW$2729*$C$32+$AY$2729*$C$31)*$H$27*$AU$2729)</f>
        <v>0</v>
      </c>
      <c r="AY2806">
        <f>IF(AV2806=0,0,$AY$2729*$H$26*$AU$2729)</f>
        <v>0</v>
      </c>
      <c r="AZ2806">
        <f>(0.6*AW2806+0.7*AX2806)*$AU$2729/2</f>
        <v>0</v>
      </c>
      <c r="BA2806">
        <f>AW2806*$AU$2729/2</f>
        <v>0</v>
      </c>
      <c r="BC2806">
        <f>IF(AV2806=0,0,$BG$2729*$AP$2712)</f>
        <v>0</v>
      </c>
      <c r="BD2806">
        <f>IFERROR(BC2806/$AU$2729,0)</f>
        <v>0</v>
      </c>
      <c r="BE2806">
        <f>BC2806*($F$24+IF($F$24=0,0,($C$14+$C$15+IF($C$13="single",1.5,3)+3)/12))</f>
        <v>0</v>
      </c>
      <c r="BF2806">
        <f>BE2806-AZ2806</f>
        <v>0</v>
      </c>
      <c r="BG2806" cm="1">
        <f t="array" ref="BG2806">IFERROR(IF(BF2806&lt;0,0,BF2806/($AU$2729-INDEX(hd_off,MATCH(BT2806,hd_mark,0),0)/12)),0)</f>
        <v>0</v>
      </c>
      <c r="BH2806">
        <f>IF(AV2806=0,0,$BG$2729*$AM$2712)</f>
        <v>0</v>
      </c>
      <c r="BI2806">
        <f>IFERROR(BH2806/$AU$2729,0)</f>
        <v>0</v>
      </c>
      <c r="BJ2806">
        <f>BH2806*($F$24+IF($F$24=0,0,($C$14+$C$15+IF($C$13="single",1.5,3)+3)/12))</f>
        <v>0</v>
      </c>
      <c r="BK2806">
        <f>BJ2806-BA2806</f>
        <v>0</v>
      </c>
      <c r="BL2806" cm="1">
        <f t="array" ref="BL2806">IFERROR(IF(BK2806&lt;0,0,BK2806/($AU$2729-INDEX(hd_off,MATCH(BT2806,hd_mark,0),0)/12)),0)</f>
        <v>0</v>
      </c>
      <c r="BM2806">
        <f>MAX($F$24,$BE$2729)/$Q$2740</f>
        <v>0</v>
      </c>
      <c r="BN2806">
        <f t="shared" si="1728"/>
        <v>0</v>
      </c>
      <c r="BO2806" cm="1">
        <f t="array" ref="BO2806">IFERROR(INDEX(sheath_ecap_asd,MATCH(BS2806,sheath_mark,0),0)*BN2806,0)</f>
        <v>0</v>
      </c>
      <c r="BP2806" cm="1">
        <f t="array" ref="BP2806">IFERROR(INDEX(sheath_wcap_asd,MATCH(BS2806,sheath_mark,0),0)*BN2806,0)</f>
        <v>0</v>
      </c>
      <c r="BQ2806" cm="1">
        <f t="array" ref="BQ2806">IFERROR(INDEX(hd_cap,MATCH(BT2806,hd_mark,0),0),0)</f>
        <v>0</v>
      </c>
      <c r="BS2806" s="19"/>
      <c r="BT2806" s="19"/>
      <c r="BU2806" s="100"/>
    </row>
    <row r="2807" x14ac:dyDescent="0.25">
      <c r="P2807" s="93"/>
      <c r="Q2807" s="109"/>
      <c r="R2807" t="str">
        <f>$Q$2713</f>
        <v>Roof</v>
      </c>
      <c r="S2807">
        <f>$E$25</f>
        <v>33.171875</v>
      </c>
      <c r="T2807" cm="1">
        <f t="array" ref="T2807">IFERROR(IF(S2807=0,0,(INDEX($C$33:$C$38,MATCH($W$2729,$B$33:$B$38,0),0)*(S2807+$X$2729)+$V$2729*$C$31)*$R$2729),0)</f>
        <v>0</v>
      </c>
      <c r="U2807">
        <f>IF(S2807=0,0,-$V$2729*$C$31*$H$27*$R$2729)</f>
        <v>0</v>
      </c>
      <c r="V2807">
        <f>IF(S2807=0,0,$V$2729*$H$26*$R$2729)</f>
        <v>0</v>
      </c>
      <c r="W2807">
        <f>(0.6*T2807+0.7*U2807)*$R$2729/2</f>
        <v>0</v>
      </c>
      <c r="X2807">
        <f>T2807*$R$2729/2</f>
        <v>0</v>
      </c>
      <c r="Z2807">
        <f>IF(S2807=0,0,$AD$2729*$AP$2713)</f>
        <v>0</v>
      </c>
      <c r="AA2807">
        <f>IFERROR(Z2807/$R$2729,0)</f>
        <v>0</v>
      </c>
      <c r="AB2807">
        <f>Z2807*($F$25+($C$16+$C$17+IF($C$13="single",1.5,3)+3)/12)</f>
        <v>0</v>
      </c>
      <c r="AC2807">
        <f>AB2807-W2807</f>
        <v>0</v>
      </c>
      <c r="AD2807" cm="1">
        <f t="array" ref="AD2807">IFERROR(IF(AC2807&lt;0,0,AC2807/($R$2729-INDEX(hd_off,MATCH(AQ2807,hd_mark,0),0)/12)),0)</f>
        <v>0</v>
      </c>
      <c r="AE2807">
        <f>IF(S2807=0,0,$AD$2729*$AM$2713)</f>
        <v>0</v>
      </c>
      <c r="AF2807">
        <f>IFERROR(AE2807/$R$2729,0)</f>
        <v>0</v>
      </c>
      <c r="AG2807">
        <f>AE2807*($F$25+($C$16+$C$17+IF($C$13="single",1.5,3)+3)/12)</f>
        <v>0</v>
      </c>
      <c r="AH2807">
        <f>AG2807-X2807</f>
        <v>0</v>
      </c>
      <c r="AI2807" cm="1">
        <f t="array" ref="AI2807">IFERROR(IF(AH2807&lt;0,0,AH2807/($R$2729-INDEX(hd_off,MATCH(AQ2807,hd_mark,0),0)/12)),0)</f>
        <v>0</v>
      </c>
      <c r="AJ2807">
        <f>MAX($F$25,$AC$2729)/$Q$2740</f>
        <v>0.29920977011494249</v>
      </c>
      <c r="AK2807">
        <f t="shared" si="1727"/>
        <v>1</v>
      </c>
      <c r="AL2807" cm="1">
        <f t="array" ref="AL2807">IFERROR(INDEX(sheath_ecap_asd,MATCH(AP2807,sheath_mark,0),0)*AK2807,0)</f>
        <v>0</v>
      </c>
      <c r="AM2807" cm="1">
        <f t="array" ref="AM2807">IFERROR(INDEX(sheath_wcap_asd,MATCH(AP2807,sheath_mark,0),0)*AK2807,0)</f>
        <v>0</v>
      </c>
      <c r="AN2807" cm="1">
        <f t="array" ref="AN2807">IFERROR(INDEX(hd_cap,MATCH(AQ2807,hd_mark,0),0),0)</f>
        <v>0</v>
      </c>
      <c r="AP2807" s="19"/>
      <c r="AQ2807" s="19"/>
      <c r="AR2807" s="100"/>
      <c r="AS2807" s="93"/>
      <c r="AT2807" s="109"/>
      <c r="AU2807" t="str">
        <f>$Q$2713</f>
        <v>Roof</v>
      </c>
      <c r="AV2807">
        <f>$E$25</f>
        <v>33.171875</v>
      </c>
      <c r="AW2807" cm="1">
        <f t="array" ref="AW2807">IFERROR(IF(AV2807=0,0,(INDEX($C$33:$C$38,MATCH($AZ$2729,$B$33:$B$38,0),0)*(AV2807+$BA$2729)+$AY$2729*$C$31)*$AU$2729),0)</f>
        <v>0</v>
      </c>
      <c r="AX2807">
        <f>IF(AV2807=0,0,-$AY$2729*$C$31*$H$27*$AU$2729)</f>
        <v>0</v>
      </c>
      <c r="AY2807">
        <f>IF(AV2807=0,0,$AY$2729*$H$26*$AU$2729)</f>
        <v>0</v>
      </c>
      <c r="AZ2807">
        <f>(0.6*AW2807+0.7*AX2807)*$AU$2729/2</f>
        <v>0</v>
      </c>
      <c r="BA2807">
        <f>AW2807*$AU$2729/2</f>
        <v>0</v>
      </c>
      <c r="BC2807">
        <f>IF(AV2807=0,0,$BG$2729*$AP$2713)</f>
        <v>0</v>
      </c>
      <c r="BD2807">
        <f>IFERROR(BC2807/$AU$2729,0)</f>
        <v>0</v>
      </c>
      <c r="BE2807">
        <f>BC2807*($F$25+($C$16+$C$17+IF($C$13="single",1.5,3)+3)/12)</f>
        <v>0</v>
      </c>
      <c r="BF2807">
        <f>BE2807-AZ2807</f>
        <v>0</v>
      </c>
      <c r="BG2807" cm="1">
        <f t="array" ref="BG2807">IFERROR(IF(BF2807&lt;0,0,BF2807/($AU$2729-INDEX(hd_off,MATCH(BT2807,hd_mark,0),0)/12)),0)</f>
        <v>0</v>
      </c>
      <c r="BH2807">
        <f>IF(AV2807=0,0,$BG$2729*$AM$2713)</f>
        <v>0</v>
      </c>
      <c r="BI2807">
        <f>IFERROR(BH2807/$AU$2729,0)</f>
        <v>0</v>
      </c>
      <c r="BJ2807">
        <f>BH2807*($F$25+($C$16+$C$17+IF($C$13="single",1.5,3)+3)/12)</f>
        <v>0</v>
      </c>
      <c r="BK2807">
        <f>BJ2807-BA2807</f>
        <v>0</v>
      </c>
      <c r="BL2807" cm="1">
        <f t="array" ref="BL2807">IFERROR(IF(BK2807&lt;0,0,BK2807/($AU$2729-INDEX(hd_off,MATCH(BT2807,hd_mark,0),0)/12)),0)</f>
        <v>0</v>
      </c>
      <c r="BM2807">
        <f>MAX($F$25,$BF$2729)/$Q$2740</f>
        <v>0.29920977011494249</v>
      </c>
      <c r="BN2807">
        <f t="shared" si="1728"/>
        <v>1</v>
      </c>
      <c r="BO2807" cm="1">
        <f t="array" ref="BO2807">IFERROR(INDEX(sheath_ecap_asd,MATCH(BS2807,sheath_mark,0),0)*BN2807,0)</f>
        <v>0</v>
      </c>
      <c r="BP2807" cm="1">
        <f t="array" ref="BP2807">IFERROR(INDEX(sheath_wcap_asd,MATCH(BS2807,sheath_mark,0),0)*BN2807,0)</f>
        <v>0</v>
      </c>
      <c r="BQ2807" cm="1">
        <f t="array" ref="BQ2807">IFERROR(INDEX(hd_cap,MATCH(BT2807,hd_mark,0),0),0)</f>
        <v>0</v>
      </c>
      <c r="BS2807" s="19"/>
      <c r="BT2807" s="19"/>
      <c r="BU2807" s="100"/>
    </row>
    <row r="2808" x14ac:dyDescent="0.25">
      <c r="P2808" s="93"/>
      <c r="AR2808" s="100"/>
      <c r="AS2808" s="93"/>
      <c r="BU2808" s="100"/>
    </row>
    <row r="2809" x14ac:dyDescent="0.25">
      <c r="P2809" s="93"/>
      <c r="Q2809" s="110" t="str">
        <f>$Q$2730</f>
        <v>A.13</v>
      </c>
      <c r="R2809" t="str">
        <f>$Q$2709</f>
        <v>L2</v>
      </c>
      <c r="S2809">
        <f>$E$21</f>
        <v>10.6875</v>
      </c>
      <c r="T2809" cm="1">
        <f t="array" ref="T2809">IFERROR(IF(S2809=0,0,(INDEX($C$33:$C$38,MATCH($W$2730,$B$33:$B$38,0),0)*(S2813+$X$2730)+$T$2730*COUNTIF(S2809:S2812,"&gt;0")*$C$32+$V$2730*$C$31)*$R$2730),0)</f>
        <v>0</v>
      </c>
      <c r="U2809">
        <f>IF(S2809=0,0,-(COUNTIF(S2809:S2812,"&gt;0")*$T$2730*$C$32+$V$2730*$C$31)*$H$27*$R$2730)</f>
        <v>0</v>
      </c>
      <c r="V2809">
        <f>IF(S2809=0,0,$V$2730*$H$26*$R$2730)</f>
        <v>0</v>
      </c>
      <c r="W2809">
        <f>(0.6*T2809+0.7*U2809)*$R$2730/2</f>
        <v>0</v>
      </c>
      <c r="X2809">
        <f>(0.6*T2809+0.6*V2809)*$R$2730/2</f>
        <v>0</v>
      </c>
      <c r="Z2809">
        <f>IF(S2809=0,0,$AD$2730*$AP$2709)</f>
        <v>0</v>
      </c>
      <c r="AA2809">
        <f>IFERROR(Z2809/$R$2730,0)</f>
        <v>0</v>
      </c>
      <c r="AB2809">
        <f>Z2809*($F$21+IF($F$21=0,0,($C$14+$C$15+IF($C$13="single",1.5,3)+3)/12))</f>
        <v>0</v>
      </c>
      <c r="AC2809">
        <f>AB2809-W2809</f>
        <v>0</v>
      </c>
      <c r="AD2809" cm="1">
        <f t="array" ref="AD2809">IFERROR(IF(AC2809&lt;0,0,AC2809/($R$2730-INDEX(hd_off,MATCH(AQ2809,hd_mark,0),0)/12)),0)</f>
        <v>0</v>
      </c>
      <c r="AE2809">
        <f>IF(S2809=0,0,$AD$2730*$AM$2709)</f>
        <v>0</v>
      </c>
      <c r="AF2809">
        <f>IFERROR(AE2809/$R$2730,0)</f>
        <v>0</v>
      </c>
      <c r="AG2809">
        <f>AE2809*($F$21+IF($F$21=0,0,($C$14+$C$15+IF($C$13="single",1.5,3)+3)/12))</f>
        <v>0</v>
      </c>
      <c r="AH2809">
        <f>AG2809-X2809</f>
        <v>0</v>
      </c>
      <c r="AI2809" cm="1">
        <f t="array" ref="AI2809">IFERROR(IF(AH2809&lt;0,0,AH2809/($R$2730-INDEX(hd_off,MATCH(AQ2809,hd_mark,0),0)/12)),0)</f>
        <v>0</v>
      </c>
      <c r="AJ2809">
        <f>MAX($F$21,$Y$2730)/$Q$2740</f>
        <v>0.30172413793103448</v>
      </c>
      <c r="AK2809">
        <f>IF(AJ2809=0,0,IF(AJ2809&gt;2,1.25-0.125*AJ2809,1))</f>
        <v>1</v>
      </c>
      <c r="AL2809" cm="1">
        <f t="array" ref="AL2809">IFERROR(INDEX(sheath_ecap_asd,MATCH(AP2809,sheath_mark,0),0)*AK2809,0)</f>
        <v>0</v>
      </c>
      <c r="AM2809" cm="1">
        <f t="array" ref="AM2809">IFERROR(INDEX(sheath_wcap_asd,MATCH(AP2809,sheath_mark,0),0)*AK2809,0)</f>
        <v>0</v>
      </c>
      <c r="AN2809" cm="1">
        <f t="array" ref="AN2809">IFERROR(INDEX(hd_cap,MATCH(AQ2809,hd_mark,0),0),0)</f>
        <v>0</v>
      </c>
      <c r="AP2809" s="19"/>
      <c r="AQ2809" s="19"/>
      <c r="AR2809" s="100"/>
      <c r="AS2809" s="93"/>
      <c r="AT2809" s="110" t="str">
        <f>$AT$2730</f>
        <v>1.13</v>
      </c>
      <c r="AU2809" t="str">
        <f>$Q$2709</f>
        <v>L2</v>
      </c>
      <c r="AV2809">
        <f>$E$21</f>
        <v>10.6875</v>
      </c>
      <c r="AW2809" cm="1">
        <f t="array" ref="AW2809">IFERROR(IF(AV2809=0,0,(INDEX($C$33:$C$38,MATCH($AZ$2730,$B$33:$B$38,0),0)*(AV2813+$BA$2730)+$AW$2730*COUNTIF(AV2809:AV2812,"&gt;0")*$C$32+$AY$2730*$C$31)*$AU$2730),0)</f>
        <v>0</v>
      </c>
      <c r="AX2809">
        <f>IF(AV2809=0,0,-(COUNTIF(AV2809:AV2812,"&gt;0")*$AW$2730*$C$32+$AY$2730*$C$31)*$H$27*$AU$2730)</f>
        <v>0</v>
      </c>
      <c r="AY2809">
        <f>IF(AV2809=0,0,$AY$2730*$H$26*$AU$2730)</f>
        <v>0</v>
      </c>
      <c r="AZ2809">
        <f>(0.6*AW2809+0.7*AX2809)*$AU$2730/2</f>
        <v>0</v>
      </c>
      <c r="BA2809">
        <f>(0.6*AW2809+0.6*AY2809)*$AU$2730/2</f>
        <v>0</v>
      </c>
      <c r="BC2809">
        <f>IF(AV2809=0,0,$BG$2730*$AP$2709)</f>
        <v>0</v>
      </c>
      <c r="BD2809">
        <f>IFERROR(BC2809/$AU$2730,0)</f>
        <v>0</v>
      </c>
      <c r="BE2809">
        <f>BC2809*($F$21+IF($F$21=0,0,($C$14+$C$15+IF($C$13="single",1.5,3)+3)/12))</f>
        <v>0</v>
      </c>
      <c r="BF2809">
        <f>BE2809-AZ2809</f>
        <v>0</v>
      </c>
      <c r="BG2809" cm="1">
        <f t="array" ref="BG2809">IFERROR(IF(BF2809&lt;0,0,BF2809/($AU$2730-INDEX(hd_off,MATCH(BT2809,hd_mark,0),0)/12)),0)</f>
        <v>0</v>
      </c>
      <c r="BH2809">
        <f>IF(AV2809=0,0,$BG$2730*$AM$2709)</f>
        <v>0</v>
      </c>
      <c r="BI2809">
        <f>IFERROR(BH2809/$AU$2730,0)</f>
        <v>0</v>
      </c>
      <c r="BJ2809">
        <f>BH2809*($F$21+IF($F$21=0,0,($C$14+$C$15+IF($C$13="single",1.5,3)+3)/12))</f>
        <v>0</v>
      </c>
      <c r="BK2809">
        <f>BJ2809-BA2809</f>
        <v>0</v>
      </c>
      <c r="BL2809" cm="1">
        <f t="array" ref="BL2809">IFERROR(IF(BK2809&lt;0,0,BK2809/($AU$2730-INDEX(hd_off,MATCH(BT2809,hd_mark,0),0)/12)),0)</f>
        <v>0</v>
      </c>
      <c r="BM2809">
        <f>MAX($F$21,$BB$2730)/$Q$2740</f>
        <v>0.30172413793103448</v>
      </c>
      <c r="BN2809">
        <f>IF(BM2809=0,0,IF(BM2809&gt;2,1.25-0.125*BM2809,1))</f>
        <v>1</v>
      </c>
      <c r="BO2809" cm="1">
        <f t="array" ref="BO2809">IFERROR(INDEX(sheath_ecap_asd,MATCH(BS2809,sheath_mark,0),0)*BN2809,0)</f>
        <v>0</v>
      </c>
      <c r="BP2809" cm="1">
        <f t="array" ref="BP2809">IFERROR(INDEX(sheath_wcap_asd,MATCH(BS2809,sheath_mark,0),0)*BN2809,0)</f>
        <v>0</v>
      </c>
      <c r="BQ2809" cm="1">
        <f t="array" ref="BQ2809">IFERROR(INDEX(hd_cap,MATCH(BT2809,hd_mark,0),0),0)</f>
        <v>0</v>
      </c>
      <c r="BS2809" s="19"/>
      <c r="BT2809" s="19"/>
      <c r="BU2809" s="100"/>
    </row>
    <row r="2810" x14ac:dyDescent="0.25">
      <c r="P2810" s="93"/>
      <c r="Q2810" s="109"/>
      <c r="R2810" t="str">
        <f>$Q$2710</f>
        <v>L3</v>
      </c>
      <c r="S2810">
        <f>$E$22</f>
        <v>21.375</v>
      </c>
      <c r="T2810" cm="1">
        <f t="array" ref="T2810">IFERROR(IF(S2810=0,0,(INDEX($C$33:$C$38,MATCH($W$2730,$B$33:$B$38,0),0)*(S2813+$X$2730)+$T$2730*COUNTIF(S2810:S2812,"&gt;0")*$C$32+$V$2730*$C$31)*$R$2730),0)</f>
        <v>0</v>
      </c>
      <c r="U2810">
        <f>IF(S2810=0,0,-(COUNTIF(S2810:S2812,"&gt;0")*$T$2730*$C$32+$V$2730*$C$31)*$H$27*$R$2730)</f>
        <v>0</v>
      </c>
      <c r="V2810">
        <f>IF(S2810=0,0,$V$2730*$H$26*$R$2730)</f>
        <v>0</v>
      </c>
      <c r="W2810">
        <f>(0.6*T2810+0.7*U2810)*$R$2730/2</f>
        <v>0</v>
      </c>
      <c r="X2810">
        <f>T2810*$R$2730/2</f>
        <v>0</v>
      </c>
      <c r="Z2810">
        <f>IF(S2810=0,0,$AD$2730*$AP$2710)</f>
        <v>0</v>
      </c>
      <c r="AA2810">
        <f>IFERROR(Z2810/$R$2730,0)</f>
        <v>0</v>
      </c>
      <c r="AB2810">
        <f>Z2810*($F$22+IF($F$22=0,0,($C$14+$C$15+IF($C$13="single",1.5,3)+3)/12))</f>
        <v>0</v>
      </c>
      <c r="AC2810">
        <f>AB2810-W2810</f>
        <v>0</v>
      </c>
      <c r="AD2810" cm="1">
        <f t="array" ref="AD2810">IFERROR(IF(AC2810&lt;0,0,AC2810/($R$2730-INDEX(hd_off,MATCH(AQ2810,hd_mark,0),0)/12)),0)</f>
        <v>0</v>
      </c>
      <c r="AE2810">
        <f>IF(S2810=0,0,$AD$2730*$AM$2710)</f>
        <v>0</v>
      </c>
      <c r="AF2810">
        <f>IFERROR(AE2810/$R$2730,0)</f>
        <v>0</v>
      </c>
      <c r="AG2810">
        <f>AE2810*($F$22+IF($F$22=0,0,($C$14+$C$15+IF($C$13="single",1.5,3)+3)/12))</f>
        <v>0</v>
      </c>
      <c r="AH2810">
        <f>AG2810-X2810</f>
        <v>0</v>
      </c>
      <c r="AI2810" cm="1">
        <f t="array" ref="AI2810">IFERROR(IF(AH2810&lt;0,0,AH2810/($R$2730-INDEX(hd_off,MATCH(AQ2810,hd_mark,0),0)/12)),0)</f>
        <v>0</v>
      </c>
      <c r="AJ2810">
        <f>MAX($F$22,$Z$2730)/$Q$2740</f>
        <v>0.30172413793103448</v>
      </c>
      <c r="AK2810">
        <f t="shared" ref="AK2810:AK2813" si="1729">IF(AJ2810=0,0,IF(AJ2810&gt;2,1.25-0.125*AJ2810,1))</f>
        <v>1</v>
      </c>
      <c r="AL2810" cm="1">
        <f t="array" ref="AL2810">IFERROR(INDEX(sheath_ecap_asd,MATCH(AP2810,sheath_mark,0),0)*AK2810,0)</f>
        <v>0</v>
      </c>
      <c r="AM2810" cm="1">
        <f t="array" ref="AM2810">IFERROR(INDEX(sheath_wcap_asd,MATCH(AP2810,sheath_mark,0),0)*AK2810,0)</f>
        <v>0</v>
      </c>
      <c r="AN2810" cm="1">
        <f t="array" ref="AN2810">IFERROR(INDEX(hd_cap,MATCH(AQ2810,hd_mark,0),0),0)</f>
        <v>0</v>
      </c>
      <c r="AP2810" s="19"/>
      <c r="AQ2810" s="19"/>
      <c r="AR2810" s="100"/>
      <c r="AS2810" s="93"/>
      <c r="AT2810" s="109"/>
      <c r="AU2810" t="str">
        <f>$Q$2710</f>
        <v>L3</v>
      </c>
      <c r="AV2810">
        <f>$E$22</f>
        <v>21.375</v>
      </c>
      <c r="AW2810" cm="1">
        <f t="array" ref="AW2810">IFERROR(IF(AV2810=0,0,(INDEX($C$33:$C$38,MATCH($AZ$2730,$B$33:$B$38,0),0)*(AV2813+$BA$2730)+$AW$2730*COUNTIF(AV2810:AV2812,"&gt;0")*$C$32+$AY$2730*$C$31)*$AU$2730),0)</f>
        <v>0</v>
      </c>
      <c r="AX2810">
        <f>IF(AV2810=0,0,-(COUNTIF(AV2810:AV2812,"&gt;0")*$AW$2730*$C$32+$AY$2730*$C$31)*$H$27*$AU$2730)</f>
        <v>0</v>
      </c>
      <c r="AY2810">
        <f>IF(AV2810=0,0,$AY$2730*$H$26*$AU$2730)</f>
        <v>0</v>
      </c>
      <c r="AZ2810">
        <f>(0.6*AW2810+0.7*AX2810)*$AU$2730/2</f>
        <v>0</v>
      </c>
      <c r="BA2810">
        <f>AW2810*$AU$2730/2</f>
        <v>0</v>
      </c>
      <c r="BC2810">
        <f>IF(AV2810=0,0,$BG$2730*$AP$2710)</f>
        <v>0</v>
      </c>
      <c r="BD2810">
        <f>IFERROR(BC2810/$AU$2730,0)</f>
        <v>0</v>
      </c>
      <c r="BE2810">
        <f>BC2810*($F$22+IF($F$22=0,0,($C$14+$C$15+IF($C$13="single",1.5,3)+3)/12))</f>
        <v>0</v>
      </c>
      <c r="BF2810">
        <f>BE2810-AZ2810</f>
        <v>0</v>
      </c>
      <c r="BG2810" cm="1">
        <f t="array" ref="BG2810">IFERROR(IF(BF2810&lt;0,0,BF2810/($AU$2730-INDEX(hd_off,MATCH(BT2810,hd_mark,0),0)/12)),0)</f>
        <v>0</v>
      </c>
      <c r="BH2810">
        <f>IF(AV2810=0,0,$BG$2730*$AM$2710)</f>
        <v>0</v>
      </c>
      <c r="BI2810">
        <f>IFERROR(BH2810/$AU$2730,0)</f>
        <v>0</v>
      </c>
      <c r="BJ2810">
        <f>BH2810*($F$22+IF($F$22=0,0,($C$14+$C$15+IF($C$13="single",1.5,3)+3)/12))</f>
        <v>0</v>
      </c>
      <c r="BK2810">
        <f>BJ2810-BA2810</f>
        <v>0</v>
      </c>
      <c r="BL2810" cm="1">
        <f t="array" ref="BL2810">IFERROR(IF(BK2810&lt;0,0,BK2810/($AU$2730-INDEX(hd_off,MATCH(BT2810,hd_mark,0),0)/12)),0)</f>
        <v>0</v>
      </c>
      <c r="BM2810">
        <f>MAX($F$22,$BC$2730)/$Q$2740</f>
        <v>0.30172413793103448</v>
      </c>
      <c r="BN2810">
        <f t="shared" ref="BN2810:BN2813" si="1730">IF(BM2810=0,0,IF(BM2810&gt;2,1.25-0.125*BM2810,1))</f>
        <v>1</v>
      </c>
      <c r="BO2810" cm="1">
        <f t="array" ref="BO2810">IFERROR(INDEX(sheath_ecap_asd,MATCH(BS2810,sheath_mark,0),0)*BN2810,0)</f>
        <v>0</v>
      </c>
      <c r="BP2810" cm="1">
        <f t="array" ref="BP2810">IFERROR(INDEX(sheath_wcap_asd,MATCH(BS2810,sheath_mark,0),0)*BN2810,0)</f>
        <v>0</v>
      </c>
      <c r="BQ2810" cm="1">
        <f t="array" ref="BQ2810">IFERROR(INDEX(hd_cap,MATCH(BT2810,hd_mark,0),0),0)</f>
        <v>0</v>
      </c>
      <c r="BS2810" s="19"/>
      <c r="BT2810" s="19"/>
      <c r="BU2810" s="100"/>
    </row>
    <row r="2811" x14ac:dyDescent="0.25">
      <c r="P2811" s="93"/>
      <c r="Q2811" s="109" t="s">
        <v>491</v>
      </c>
      <c r="R2811" t="str">
        <f>$Q$2711</f>
        <v>L4</v>
      </c>
      <c r="S2811">
        <f>$E$23</f>
        <v>0</v>
      </c>
      <c r="T2811" cm="1">
        <f t="array" ref="T2811">IFERROR(IF(S2811=0,0,(INDEX($C$33:$C$38,MATCH($W$2730,$B$33:$B$38,0),0)*(S2813+$X$2730)+$T$2730*COUNTIF(S2811:S2812,"&gt;0")*$C$32+$V$2730*$C$31)*$R$2730),0)</f>
        <v>0</v>
      </c>
      <c r="U2811">
        <f>IF(S2811=0,0,-(COUNTIF(S2811:S2812,"&gt;0")*$T$2730*$C$32+$V$2730*$C$31)*$H$27*$R$2730)</f>
        <v>0</v>
      </c>
      <c r="V2811">
        <f>IF(S2811=0,0,$V$2730*$H$26*$R$2730)</f>
        <v>0</v>
      </c>
      <c r="W2811">
        <f>(0.6*T2811+0.7*U2811)*$R$2730/2</f>
        <v>0</v>
      </c>
      <c r="X2811">
        <f>T2811*$R$2730/2</f>
        <v>0</v>
      </c>
      <c r="Z2811">
        <f>IF(S2811=0,0,$AD$2730*$AP$2711)</f>
        <v>0</v>
      </c>
      <c r="AA2811">
        <f>IFERROR(Z2811/$R$2730,0)</f>
        <v>0</v>
      </c>
      <c r="AB2811">
        <f>Z2811*($F$23+IF($F$23=0,0,($C$14+$C$15+IF($C$13="single",1.5,3)+3)/12))</f>
        <v>0</v>
      </c>
      <c r="AC2811">
        <f>AB2811-W2811</f>
        <v>0</v>
      </c>
      <c r="AD2811" cm="1">
        <f t="array" ref="AD2811">IFERROR(IF(AC2811&lt;0,0,AC2811/($R$2730-INDEX(hd_off,MATCH(AQ2811,hd_mark,0),0)/12)),0)</f>
        <v>0</v>
      </c>
      <c r="AE2811">
        <f>IF(S2811=0,0,$AD$2730*$AM$2711)</f>
        <v>0</v>
      </c>
      <c r="AF2811">
        <f>IFERROR(AE2811/$R$2730,0)</f>
        <v>0</v>
      </c>
      <c r="AG2811">
        <f>AE2811*($F$23+IF($F$23=0,0,($C$14+$C$15+IF($C$13="single",1.5,3)+3)/12))</f>
        <v>0</v>
      </c>
      <c r="AH2811">
        <f>AG2811-X2811</f>
        <v>0</v>
      </c>
      <c r="AI2811" cm="1">
        <f t="array" ref="AI2811">IFERROR(IF(AH2811&lt;0,0,AH2811/($R$2730-INDEX(hd_off,MATCH(AQ2811,hd_mark,0),0)/12)),0)</f>
        <v>0</v>
      </c>
      <c r="AJ2811">
        <f>MAX($F$23,$AA$2730)/$Q$2740</f>
        <v>0</v>
      </c>
      <c r="AK2811">
        <f t="shared" si="1729"/>
        <v>0</v>
      </c>
      <c r="AL2811" cm="1">
        <f t="array" ref="AL2811">IFERROR(INDEX(sheath_ecap_asd,MATCH(AP2811,sheath_mark,0),0)*AK2811,0)</f>
        <v>0</v>
      </c>
      <c r="AM2811" cm="1">
        <f t="array" ref="AM2811">IFERROR(INDEX(sheath_wcap_asd,MATCH(AP2811,sheath_mark,0),0)*AK2811,0)</f>
        <v>0</v>
      </c>
      <c r="AN2811" cm="1">
        <f t="array" ref="AN2811">IFERROR(INDEX(hd_cap,MATCH(AQ2811,hd_mark,0),0),0)</f>
        <v>0</v>
      </c>
      <c r="AP2811" s="19"/>
      <c r="AQ2811" s="19"/>
      <c r="AR2811" s="100"/>
      <c r="AS2811" s="93"/>
      <c r="AT2811" s="109" t="s">
        <v>491</v>
      </c>
      <c r="AU2811" t="str">
        <f>$Q$2711</f>
        <v>L4</v>
      </c>
      <c r="AV2811">
        <f>$E$23</f>
        <v>0</v>
      </c>
      <c r="AW2811" cm="1">
        <f t="array" ref="AW2811">IFERROR(IF(AV2811=0,0,(INDEX($C$33:$C$38,MATCH($AZ$2730,$B$33:$B$38,0),0)*(AV2813+$BA$2730)+$AW$2730*COUNTIF(AV2811:AV2812,"&gt;0")*$C$32+$AY$2730*$C$31)*$AU$2730),0)</f>
        <v>0</v>
      </c>
      <c r="AX2811">
        <f>IF(AV2811=0,0,-(COUNTIF(AV2811:AV2812,"&gt;0")*$AW$2730*$C$32+$AY$2730*$C$31)*$H$27*$AU$2730)</f>
        <v>0</v>
      </c>
      <c r="AY2811">
        <f>IF(AV2811=0,0,$AY$2730*$H$26*$AU$2730)</f>
        <v>0</v>
      </c>
      <c r="AZ2811">
        <f>(0.6*AW2811+0.7*AX2811)*$AU$2730/2</f>
        <v>0</v>
      </c>
      <c r="BA2811">
        <f>AW2811*$AU$2730/2</f>
        <v>0</v>
      </c>
      <c r="BC2811">
        <f>IF(AV2811=0,0,$BG$2730*$AP$2711)</f>
        <v>0</v>
      </c>
      <c r="BD2811">
        <f>IFERROR(BC2811/$AU$2730,0)</f>
        <v>0</v>
      </c>
      <c r="BE2811">
        <f>BC2811*($F$23+IF($F$23=0,0,($C$14+$C$15+IF($C$13="single",1.5,3)+3)/12))</f>
        <v>0</v>
      </c>
      <c r="BF2811">
        <f>BE2811-AZ2811</f>
        <v>0</v>
      </c>
      <c r="BG2811" cm="1">
        <f t="array" ref="BG2811">IFERROR(IF(BF2811&lt;0,0,BF2811/($AU$2730-INDEX(hd_off,MATCH(BT2811,hd_mark,0),0)/12)),0)</f>
        <v>0</v>
      </c>
      <c r="BH2811">
        <f>IF(AV2811=0,0,$BG$2730*$AM$2711)</f>
        <v>0</v>
      </c>
      <c r="BI2811">
        <f>IFERROR(BH2811/$AU$2730,0)</f>
        <v>0</v>
      </c>
      <c r="BJ2811">
        <f>BH2811*($F$23+IF($F$23=0,0,($C$14+$C$15+IF($C$13="single",1.5,3)+3)/12))</f>
        <v>0</v>
      </c>
      <c r="BK2811">
        <f>BJ2811-BA2811</f>
        <v>0</v>
      </c>
      <c r="BL2811" cm="1">
        <f t="array" ref="BL2811">IFERROR(IF(BK2811&lt;0,0,BK2811/($AU$2730-INDEX(hd_off,MATCH(BT2811,hd_mark,0),0)/12)),0)</f>
        <v>0</v>
      </c>
      <c r="BM2811">
        <f>MAX($F$23,$BD$2730)/$Q$2740</f>
        <v>0</v>
      </c>
      <c r="BN2811">
        <f t="shared" si="1730"/>
        <v>0</v>
      </c>
      <c r="BO2811" cm="1">
        <f t="array" ref="BO2811">IFERROR(INDEX(sheath_ecap_asd,MATCH(BS2811,sheath_mark,0),0)*BN2811,0)</f>
        <v>0</v>
      </c>
      <c r="BP2811" cm="1">
        <f t="array" ref="BP2811">IFERROR(INDEX(sheath_wcap_asd,MATCH(BS2811,sheath_mark,0),0)*BN2811,0)</f>
        <v>0</v>
      </c>
      <c r="BQ2811" cm="1">
        <f t="array" ref="BQ2811">IFERROR(INDEX(hd_cap,MATCH(BT2811,hd_mark,0),0),0)</f>
        <v>0</v>
      </c>
      <c r="BS2811" s="19"/>
      <c r="BT2811" s="19"/>
      <c r="BU2811" s="100"/>
    </row>
    <row r="2812" x14ac:dyDescent="0.25">
      <c r="P2812" s="93"/>
      <c r="Q2812" s="111">
        <f>$R$2730</f>
        <v>0</v>
      </c>
      <c r="R2812" t="str">
        <f>$Q$2712</f>
        <v>L5</v>
      </c>
      <c r="S2812">
        <f>$E$24</f>
        <v>0</v>
      </c>
      <c r="T2812" cm="1">
        <f t="array" ref="T2812">IFERROR(IF(S2812=0,0,(INDEX($C$33:$C$38,MATCH($W$2730,$B$33:$B$38,0),0)*(S2813+$X$2730)+$T$2730*COUNTIF(S2812:S2812,"&gt;0")*$C$32+$V$2730*$C$31)*$R$2730),0)</f>
        <v>0</v>
      </c>
      <c r="U2812">
        <f>IF(S2812=0,0,-(COUNTIF(S2812:S2812,"&gt;0")*$T$2730*$C$32+$V$2730*$C$31)*$H$27*$R$2730)</f>
        <v>0</v>
      </c>
      <c r="V2812">
        <f>IF(S2812=0,0,$V$2730*$H$26*$R$2730)</f>
        <v>0</v>
      </c>
      <c r="W2812">
        <f>(0.6*T2812+0.7*U2812)*$R$2730/2</f>
        <v>0</v>
      </c>
      <c r="X2812">
        <f>T2812*$R$2730/2</f>
        <v>0</v>
      </c>
      <c r="Z2812">
        <f>IF(S2812=0,0,$AD$2730*$AP$2712)</f>
        <v>0</v>
      </c>
      <c r="AA2812">
        <f>IFERROR(Z2812/$R$2730,0)</f>
        <v>0</v>
      </c>
      <c r="AB2812">
        <f>Z2812*($F$24+IF($F$24=0,0,($C$14+$C$15+IF($C$13="single",1.5,3)+3)/12))</f>
        <v>0</v>
      </c>
      <c r="AC2812">
        <f>AB2812-W2812</f>
        <v>0</v>
      </c>
      <c r="AD2812" cm="1">
        <f t="array" ref="AD2812">IFERROR(IF(AC2812&lt;0,0,AC2812/($R$2730-INDEX(hd_off,MATCH(AQ2812,hd_mark,0),0)/12)),0)</f>
        <v>0</v>
      </c>
      <c r="AE2812">
        <f>IF(S2812=0,0,$AD$2730*$AM$2712)</f>
        <v>0</v>
      </c>
      <c r="AF2812">
        <f>IFERROR(AE2812/$R$2730,0)</f>
        <v>0</v>
      </c>
      <c r="AG2812">
        <f>AE2812*($F$24+IF($F$24=0,0,($C$14+$C$15+IF($C$13="single",1.5,3)+3)/12))</f>
        <v>0</v>
      </c>
      <c r="AH2812">
        <f>AG2812-X2812</f>
        <v>0</v>
      </c>
      <c r="AI2812" cm="1">
        <f t="array" ref="AI2812">IFERROR(IF(AH2812&lt;0,0,AH2812/($R$2730-INDEX(hd_off,MATCH(AQ2812,hd_mark,0),0)/12)),0)</f>
        <v>0</v>
      </c>
      <c r="AJ2812">
        <f>MAX($F$24,$AB$2730)/$Q$2740</f>
        <v>0</v>
      </c>
      <c r="AK2812">
        <f t="shared" si="1729"/>
        <v>0</v>
      </c>
      <c r="AL2812" cm="1">
        <f t="array" ref="AL2812">IFERROR(INDEX(sheath_ecap_asd,MATCH(AP2812,sheath_mark,0),0)*AK2812,0)</f>
        <v>0</v>
      </c>
      <c r="AM2812" cm="1">
        <f t="array" ref="AM2812">IFERROR(INDEX(sheath_wcap_asd,MATCH(AP2812,sheath_mark,0),0)*AK2812,0)</f>
        <v>0</v>
      </c>
      <c r="AN2812" cm="1">
        <f t="array" ref="AN2812">IFERROR(INDEX(hd_cap,MATCH(AQ2812,hd_mark,0),0),0)</f>
        <v>0</v>
      </c>
      <c r="AP2812" s="19"/>
      <c r="AQ2812" s="19"/>
      <c r="AR2812" s="100"/>
      <c r="AS2812" s="93"/>
      <c r="AT2812" s="111">
        <f>$R$2730</f>
        <v>0</v>
      </c>
      <c r="AU2812" t="str">
        <f>$Q$2712</f>
        <v>L5</v>
      </c>
      <c r="AV2812">
        <f>$E$24</f>
        <v>0</v>
      </c>
      <c r="AW2812" cm="1">
        <f t="array" ref="AW2812">IFERROR(IF(AV2812=0,0,(INDEX($C$33:$C$38,MATCH($AZ$2730,$B$33:$B$38,0),0)*(AV2813+$BA$2730)+$AW$2730*COUNTIF(AV2812:AV2812,"&gt;0")*$C$32+$AY$2730*$C$31)*$AU$2730),0)</f>
        <v>0</v>
      </c>
      <c r="AX2812">
        <f>IF(AV2812=0,0,-(COUNTIF(AV2812:AV2812,"&gt;0")*$AW$2730*$C$32+$AY$2730*$C$31)*$H$27*$AU$2730)</f>
        <v>0</v>
      </c>
      <c r="AY2812">
        <f>IF(AV2812=0,0,$AY$2730*$H$26*$AU$2730)</f>
        <v>0</v>
      </c>
      <c r="AZ2812">
        <f>(0.6*AW2812+0.7*AX2812)*$AU$2730/2</f>
        <v>0</v>
      </c>
      <c r="BA2812">
        <f>AW2812*$AU$2730/2</f>
        <v>0</v>
      </c>
      <c r="BC2812">
        <f>IF(AV2812=0,0,$BG$2730*$AP$2712)</f>
        <v>0</v>
      </c>
      <c r="BD2812">
        <f>IFERROR(BC2812/$AU$2730,0)</f>
        <v>0</v>
      </c>
      <c r="BE2812">
        <f>BC2812*($F$24+IF($F$24=0,0,($C$14+$C$15+IF($C$13="single",1.5,3)+3)/12))</f>
        <v>0</v>
      </c>
      <c r="BF2812">
        <f>BE2812-AZ2812</f>
        <v>0</v>
      </c>
      <c r="BG2812" cm="1">
        <f t="array" ref="BG2812">IFERROR(IF(BF2812&lt;0,0,BF2812/($AU$2730-INDEX(hd_off,MATCH(BT2812,hd_mark,0),0)/12)),0)</f>
        <v>0</v>
      </c>
      <c r="BH2812">
        <f>IF(AV2812=0,0,$BG$2730*$AM$2712)</f>
        <v>0</v>
      </c>
      <c r="BI2812">
        <f>IFERROR(BH2812/$AU$2730,0)</f>
        <v>0</v>
      </c>
      <c r="BJ2812">
        <f>BH2812*($F$24+IF($F$24=0,0,($C$14+$C$15+IF($C$13="single",1.5,3)+3)/12))</f>
        <v>0</v>
      </c>
      <c r="BK2812">
        <f>BJ2812-BA2812</f>
        <v>0</v>
      </c>
      <c r="BL2812" cm="1">
        <f t="array" ref="BL2812">IFERROR(IF(BK2812&lt;0,0,BK2812/($AU$2730-INDEX(hd_off,MATCH(BT2812,hd_mark,0),0)/12)),0)</f>
        <v>0</v>
      </c>
      <c r="BM2812">
        <f>MAX($F$24,$BE$2730)/$Q$2740</f>
        <v>0</v>
      </c>
      <c r="BN2812">
        <f t="shared" si="1730"/>
        <v>0</v>
      </c>
      <c r="BO2812" cm="1">
        <f t="array" ref="BO2812">IFERROR(INDEX(sheath_ecap_asd,MATCH(BS2812,sheath_mark,0),0)*BN2812,0)</f>
        <v>0</v>
      </c>
      <c r="BP2812" cm="1">
        <f t="array" ref="BP2812">IFERROR(INDEX(sheath_wcap_asd,MATCH(BS2812,sheath_mark,0),0)*BN2812,0)</f>
        <v>0</v>
      </c>
      <c r="BQ2812" cm="1">
        <f t="array" ref="BQ2812">IFERROR(INDEX(hd_cap,MATCH(BT2812,hd_mark,0),0),0)</f>
        <v>0</v>
      </c>
      <c r="BS2812" s="19"/>
      <c r="BT2812" s="19"/>
      <c r="BU2812" s="100"/>
    </row>
    <row r="2813" x14ac:dyDescent="0.25">
      <c r="P2813" s="93"/>
      <c r="Q2813" s="109"/>
      <c r="R2813" t="str">
        <f>$Q$2713</f>
        <v>Roof</v>
      </c>
      <c r="S2813">
        <f>$E$25</f>
        <v>33.171875</v>
      </c>
      <c r="T2813" cm="1">
        <f t="array" ref="T2813">IFERROR(IF(S2813=0,0,(INDEX($C$33:$C$38,MATCH($W$2730,$B$33:$B$38,0),0)*(S2813+$X$2730)+$V$2730*$C$31)*$R$2730),0)</f>
        <v>0</v>
      </c>
      <c r="U2813">
        <f>IF(S2813=0,0,-$V$2730*$C$31*$H$27*$R$2730)</f>
        <v>0</v>
      </c>
      <c r="V2813">
        <f>IF(S2813=0,0,$V$2730*$H$26*$R$2730)</f>
        <v>0</v>
      </c>
      <c r="W2813">
        <f>(0.6*T2813+0.7*U2813)*$R$2730/2</f>
        <v>0</v>
      </c>
      <c r="X2813">
        <f>T2813*$R$2730/2</f>
        <v>0</v>
      </c>
      <c r="Z2813">
        <f>IF(S2813=0,0,$AD$2730*$AP$2713)</f>
        <v>0</v>
      </c>
      <c r="AA2813">
        <f>IFERROR(Z2813/$R$2730,0)</f>
        <v>0</v>
      </c>
      <c r="AB2813">
        <f>Z2813*($F$25+($C$16+$C$17+IF($C$13="single",1.5,3)+3)/12)</f>
        <v>0</v>
      </c>
      <c r="AC2813">
        <f>AB2813-W2813</f>
        <v>0</v>
      </c>
      <c r="AD2813" cm="1">
        <f t="array" ref="AD2813">IFERROR(IF(AC2813&lt;0,0,AC2813/($R$2730-INDEX(hd_off,MATCH(AQ2813,hd_mark,0),0)/12)),0)</f>
        <v>0</v>
      </c>
      <c r="AE2813">
        <f>IF(S2813=0,0,$AD$2730*$AM$2713)</f>
        <v>0</v>
      </c>
      <c r="AF2813">
        <f>IFERROR(AE2813/$R$2730,0)</f>
        <v>0</v>
      </c>
      <c r="AG2813">
        <f>AE2813*($F$25+($C$16+$C$17+IF($C$13="single",1.5,3)+3)/12)</f>
        <v>0</v>
      </c>
      <c r="AH2813">
        <f>AG2813-X2813</f>
        <v>0</v>
      </c>
      <c r="AI2813" cm="1">
        <f t="array" ref="AI2813">IFERROR(IF(AH2813&lt;0,0,AH2813/($R$2730-INDEX(hd_off,MATCH(AQ2813,hd_mark,0),0)/12)),0)</f>
        <v>0</v>
      </c>
      <c r="AJ2813">
        <f>MAX($F$25,$AC$2730)/$Q$2740</f>
        <v>0.29920977011494249</v>
      </c>
      <c r="AK2813">
        <f t="shared" si="1729"/>
        <v>1</v>
      </c>
      <c r="AL2813" cm="1">
        <f t="array" ref="AL2813">IFERROR(INDEX(sheath_ecap_asd,MATCH(AP2813,sheath_mark,0),0)*AK2813,0)</f>
        <v>0</v>
      </c>
      <c r="AM2813" cm="1">
        <f t="array" ref="AM2813">IFERROR(INDEX(sheath_wcap_asd,MATCH(AP2813,sheath_mark,0),0)*AK2813,0)</f>
        <v>0</v>
      </c>
      <c r="AN2813" cm="1">
        <f t="array" ref="AN2813">IFERROR(INDEX(hd_cap,MATCH(AQ2813,hd_mark,0),0),0)</f>
        <v>0</v>
      </c>
      <c r="AP2813" s="19"/>
      <c r="AQ2813" s="19"/>
      <c r="AR2813" s="100"/>
      <c r="AS2813" s="93"/>
      <c r="AT2813" s="109"/>
      <c r="AU2813" t="str">
        <f>$Q$2713</f>
        <v>Roof</v>
      </c>
      <c r="AV2813">
        <f>$E$25</f>
        <v>33.171875</v>
      </c>
      <c r="AW2813" cm="1">
        <f t="array" ref="AW2813">IFERROR(IF(AV2813=0,0,(INDEX($C$33:$C$38,MATCH($AZ$2730,$B$33:$B$38,0),0)*(AV2813+$BA$2730)+$AY$2730*$C$31)*$AU$2730),0)</f>
        <v>0</v>
      </c>
      <c r="AX2813">
        <f>IF(AV2813=0,0,-$AY$2730*$C$31*$H$27*$AU$2730)</f>
        <v>0</v>
      </c>
      <c r="AY2813">
        <f>IF(AV2813=0,0,$AY$2730*$H$26*$AU$2730)</f>
        <v>0</v>
      </c>
      <c r="AZ2813">
        <f>(0.6*AW2813+0.7*AX2813)*$AU$2730/2</f>
        <v>0</v>
      </c>
      <c r="BA2813">
        <f>AW2813*$AU$2730/2</f>
        <v>0</v>
      </c>
      <c r="BC2813">
        <f>IF(AV2813=0,0,$BG$2730*$AP$2713)</f>
        <v>0</v>
      </c>
      <c r="BD2813">
        <f>IFERROR(BC2813/$AU$2730,0)</f>
        <v>0</v>
      </c>
      <c r="BE2813">
        <f>BC2813*($F$25+($C$16+$C$17+IF($C$13="single",1.5,3)+3)/12)</f>
        <v>0</v>
      </c>
      <c r="BF2813">
        <f>BE2813-AZ2813</f>
        <v>0</v>
      </c>
      <c r="BG2813" cm="1">
        <f t="array" ref="BG2813">IFERROR(IF(BF2813&lt;0,0,BF2813/($AU$2730-INDEX(hd_off,MATCH(BT2813,hd_mark,0),0)/12)),0)</f>
        <v>0</v>
      </c>
      <c r="BH2813">
        <f>IF(AV2813=0,0,$BG$2730*$AM$2713)</f>
        <v>0</v>
      </c>
      <c r="BI2813">
        <f>IFERROR(BH2813/$AU$2730,0)</f>
        <v>0</v>
      </c>
      <c r="BJ2813">
        <f>BH2813*($F$25+($C$16+$C$17+IF($C$13="single",1.5,3)+3)/12)</f>
        <v>0</v>
      </c>
      <c r="BK2813">
        <f>BJ2813-BA2813</f>
        <v>0</v>
      </c>
      <c r="BL2813" cm="1">
        <f t="array" ref="BL2813">IFERROR(IF(BK2813&lt;0,0,BK2813/($AU$2730-INDEX(hd_off,MATCH(BT2813,hd_mark,0),0)/12)),0)</f>
        <v>0</v>
      </c>
      <c r="BM2813">
        <f>MAX($F$25,$BF$2730)/$Q$2740</f>
        <v>0.29920977011494249</v>
      </c>
      <c r="BN2813">
        <f t="shared" si="1730"/>
        <v>1</v>
      </c>
      <c r="BO2813" cm="1">
        <f t="array" ref="BO2813">IFERROR(INDEX(sheath_ecap_asd,MATCH(BS2813,sheath_mark,0),0)*BN2813,0)</f>
        <v>0</v>
      </c>
      <c r="BP2813" cm="1">
        <f t="array" ref="BP2813">IFERROR(INDEX(sheath_wcap_asd,MATCH(BS2813,sheath_mark,0),0)*BN2813,0)</f>
        <v>0</v>
      </c>
      <c r="BQ2813" cm="1">
        <f t="array" ref="BQ2813">IFERROR(INDEX(hd_cap,MATCH(BT2813,hd_mark,0),0),0)</f>
        <v>0</v>
      </c>
      <c r="BS2813" s="19"/>
      <c r="BT2813" s="19"/>
      <c r="BU2813" s="100"/>
    </row>
    <row r="2814" x14ac:dyDescent="0.25">
      <c r="P2814" s="93"/>
      <c r="AR2814" s="100"/>
      <c r="AS2814" s="93"/>
      <c r="BU2814" s="100"/>
    </row>
    <row r="2815" x14ac:dyDescent="0.25">
      <c r="P2815" s="93"/>
      <c r="Q2815" s="110" t="str">
        <f>$Q$2731</f>
        <v>A.14</v>
      </c>
      <c r="R2815" t="str">
        <f>$Q$2709</f>
        <v>L2</v>
      </c>
      <c r="S2815">
        <f>$E$21</f>
        <v>10.6875</v>
      </c>
      <c r="T2815" cm="1">
        <f t="array" ref="T2815">IFERROR(IF(S2815=0,0,(INDEX($C$33:$C$38,MATCH($W$2731,$B$33:$B$38,0),0)*(S2819+$X$2731)+$T$2731*COUNTIF(S2815:S2831,"&gt;0")*$C$32+$V$2731*$C$31)*$R$2731),0)</f>
        <v>0</v>
      </c>
      <c r="U2815">
        <f>IF(S2815=0,0,-(COUNTIF(S2815:S2831,"&gt;0")*$T$2731*$C$32+$V$2731*$C$31)*$H$27*$R$2731)</f>
        <v>0</v>
      </c>
      <c r="V2815">
        <f>IF(S2815=0,0,$V$2731*$H$26*$R$2731)</f>
        <v>0</v>
      </c>
      <c r="W2815">
        <f>(0.6*T2815+0.7*U2815)*$R$2731/2</f>
        <v>0</v>
      </c>
      <c r="X2815">
        <f>(0.6*T2815+0.6*V2815)*$R$2731/2</f>
        <v>0</v>
      </c>
      <c r="Z2815">
        <f>IF(S2815=0,0,$AD$2731*$AP$2709)</f>
        <v>0</v>
      </c>
      <c r="AA2815">
        <f>IFERROR(Z2815/$R$2731,0)</f>
        <v>0</v>
      </c>
      <c r="AB2815">
        <f>Z2815*($F$21+IF($F$21=0,0,($C$14+$C$15+IF($C$13="single",1.5,3)+3)/12))</f>
        <v>0</v>
      </c>
      <c r="AC2815">
        <f>AB2815-W2815</f>
        <v>0</v>
      </c>
      <c r="AD2815" cm="1">
        <f t="array" ref="AD2815">IFERROR(IF(AC2815&lt;0,0,AC2815/($R$2731-INDEX(hd_off,MATCH(AQ2815,hd_mark,0),0)/12)),0)</f>
        <v>0</v>
      </c>
      <c r="AE2815">
        <f>IF(S2815=0,0,$AD$2731*$AM$2709)</f>
        <v>0</v>
      </c>
      <c r="AF2815">
        <f>IFERROR(AE2815/$R$2731,0)</f>
        <v>0</v>
      </c>
      <c r="AG2815">
        <f>AE2815*($F$21+IF($F$21=0,0,($C$14+$C$15+IF($C$13="single",1.5,3)+3)/12))</f>
        <v>0</v>
      </c>
      <c r="AH2815">
        <f>AG2815-X2815</f>
        <v>0</v>
      </c>
      <c r="AI2815" cm="1">
        <f t="array" ref="AI2815">IFERROR(IF(AH2815&lt;0,0,AH2815/($R$2731-INDEX(hd_off,MATCH(AQ2815,hd_mark,0),0)/12)),0)</f>
        <v>0</v>
      </c>
      <c r="AJ2815">
        <f>MAX($F$21,$Y$2731)/$Q$2740</f>
        <v>0.30172413793103448</v>
      </c>
      <c r="AK2815">
        <f>IF(AJ2815=0,0,IF(AJ2815&gt;2,1.25-0.125*AJ2815,1))</f>
        <v>1</v>
      </c>
      <c r="AL2815" cm="1">
        <f t="array" ref="AL2815">IFERROR(INDEX(sheath_ecap_asd,MATCH(AP2815,sheath_mark,0),0)*AK2815,0)</f>
        <v>0</v>
      </c>
      <c r="AM2815" cm="1">
        <f t="array" ref="AM2815">IFERROR(INDEX(sheath_wcap_asd,MATCH(AP2815,sheath_mark,0),0)*AK2815,0)</f>
        <v>0</v>
      </c>
      <c r="AN2815" cm="1">
        <f t="array" ref="AN2815">IFERROR(INDEX(hd_cap,MATCH(AQ2815,hd_mark,0),0),0)</f>
        <v>0</v>
      </c>
      <c r="AP2815" s="19"/>
      <c r="AQ2815" s="19"/>
      <c r="AR2815" s="100"/>
      <c r="AS2815" s="93"/>
      <c r="AT2815" s="110" t="str">
        <f>$AT$2731</f>
        <v>1.14</v>
      </c>
      <c r="AU2815" t="str">
        <f>$Q$2709</f>
        <v>L2</v>
      </c>
      <c r="AV2815">
        <f>$E$21</f>
        <v>10.6875</v>
      </c>
      <c r="AW2815" cm="1">
        <f t="array" ref="AW2815">IFERROR(IF(AV2815=0,0,(INDEX($C$33:$C$38,MATCH($AZ$2731,$B$33:$B$38,0),0)*(AV2819+$BA$2731)+$AW$2731*COUNTIF(AV2815:AV2831,"&gt;0")*$C$32+$AY$2731*$C$31)*$AU$2731),0)</f>
        <v>0</v>
      </c>
      <c r="AX2815">
        <f>IF(AV2815=0,0,-(COUNTIF(AV2815:AV2831,"&gt;0")*$AW$2731*$C$32+$AY$2731*$C$31)*$H$27*$AU$2731)</f>
        <v>0</v>
      </c>
      <c r="AY2815">
        <f>IF(AV2815=0,0,$AY$2731*$H$26*$AU$2731)</f>
        <v>0</v>
      </c>
      <c r="AZ2815">
        <f>(0.6*AW2815+0.7*AX2815)*$AU$2731/2</f>
        <v>0</v>
      </c>
      <c r="BA2815">
        <f>(0.6*AW2815+0.6*AY2815)*$AU$2731/2</f>
        <v>0</v>
      </c>
      <c r="BC2815">
        <f>IF(AV2815=0,0,$BG$2731*$AP$2709)</f>
        <v>0</v>
      </c>
      <c r="BD2815">
        <f>IFERROR(BC2815/$AU$2731,0)</f>
        <v>0</v>
      </c>
      <c r="BE2815">
        <f>BC2815*($F$21+IF($F$21=0,0,($C$14+$C$15+IF($C$13="single",1.5,3)+3)/12))</f>
        <v>0</v>
      </c>
      <c r="BF2815">
        <f>BE2815-AZ2815</f>
        <v>0</v>
      </c>
      <c r="BG2815" cm="1">
        <f t="array" ref="BG2815">IFERROR(IF(BF2815&lt;0,0,BF2815/($AU$2731-INDEX(hd_off,MATCH(BT2815,hd_mark,0),0)/12)),0)</f>
        <v>0</v>
      </c>
      <c r="BH2815">
        <f>IF(AV2815=0,0,$BG$2731*$AM$2709)</f>
        <v>0</v>
      </c>
      <c r="BI2815">
        <f>IFERROR(BH2815/$AU$2731,0)</f>
        <v>0</v>
      </c>
      <c r="BJ2815">
        <f>BH2815*($F$21+IF($F$21=0,0,($C$14+$C$15+IF($C$13="single",1.5,3)+3)/12))</f>
        <v>0</v>
      </c>
      <c r="BK2815">
        <f>BJ2815-BA2815</f>
        <v>0</v>
      </c>
      <c r="BL2815" cm="1">
        <f t="array" ref="BL2815">IFERROR(IF(BK2815&lt;0,0,BK2815/($AU$2731-INDEX(hd_off,MATCH(BT2815,hd_mark,0),0)/12)),0)</f>
        <v>0</v>
      </c>
      <c r="BM2815">
        <f>MAX($F$21,$BB$2731)/$Q$2740</f>
        <v>0.30172413793103448</v>
      </c>
      <c r="BN2815">
        <f>IF(BM2815=0,0,IF(BM2815&gt;2,1.25-0.125*BM2815,1))</f>
        <v>1</v>
      </c>
      <c r="BO2815" cm="1">
        <f t="array" ref="BO2815">IFERROR(INDEX(sheath_ecap_asd,MATCH(BS2815,sheath_mark,0),0)*BN2815,0)</f>
        <v>0</v>
      </c>
      <c r="BP2815" cm="1">
        <f t="array" ref="BP2815">IFERROR(INDEX(sheath_wcap_asd,MATCH(BS2815,sheath_mark,0),0)*BN2815,0)</f>
        <v>0</v>
      </c>
      <c r="BQ2815" cm="1">
        <f t="array" ref="BQ2815">IFERROR(INDEX(hd_cap,MATCH(BT2815,hd_mark,0),0),0)</f>
        <v>0</v>
      </c>
      <c r="BS2815" s="19"/>
      <c r="BT2815" s="19"/>
      <c r="BU2815" s="100"/>
    </row>
    <row r="2816" x14ac:dyDescent="0.25">
      <c r="P2816" s="93"/>
      <c r="Q2816" s="109"/>
      <c r="R2816" t="str">
        <f>$Q$2710</f>
        <v>L3</v>
      </c>
      <c r="S2816">
        <f>$E$22</f>
        <v>21.375</v>
      </c>
      <c r="T2816" cm="1">
        <f t="array" ref="T2816">IFERROR(IF(S2816=0,0,(INDEX($C$33:$C$38,MATCH($W$2731,$B$33:$B$38,0),0)*(S2819+$X$2731)+$T$2731*COUNTIF(S2816:S2831,"&gt;0")*$C$32+$V$2731*$C$31)*$R$2731),0)</f>
        <v>0</v>
      </c>
      <c r="U2816">
        <f>IF(S2816=0,0,-(COUNTIF(S2816:S2831,"&gt;0")*$T$2731*$C$32+$V$2731*$C$31)*$H$27*$R$2731)</f>
        <v>0</v>
      </c>
      <c r="V2816">
        <f>IF(S2816=0,0,$V$2731*$H$26*$R$2731)</f>
        <v>0</v>
      </c>
      <c r="W2816">
        <f>(0.6*T2816+0.7*U2816)*$R$2731/2</f>
        <v>0</v>
      </c>
      <c r="X2816">
        <f>T2816*$R$2731/2</f>
        <v>0</v>
      </c>
      <c r="Z2816">
        <f>IF(S2816=0,0,$AD$2731*$AP$2710)</f>
        <v>0</v>
      </c>
      <c r="AA2816">
        <f>IFERROR(Z2816/$R$2731,0)</f>
        <v>0</v>
      </c>
      <c r="AB2816">
        <f>Z2816*($F$22+IF($F$22=0,0,($C$14+$C$15+IF($C$13="single",1.5,3)+3)/12))</f>
        <v>0</v>
      </c>
      <c r="AC2816">
        <f>AB2816-W2816</f>
        <v>0</v>
      </c>
      <c r="AD2816" cm="1">
        <f t="array" ref="AD2816">IFERROR(IF(AC2816&lt;0,0,AC2816/($R$2731-INDEX(hd_off,MATCH(AQ2816,hd_mark,0),0)/12)),0)</f>
        <v>0</v>
      </c>
      <c r="AE2816">
        <f>IF(S2816=0,0,$AD$2731*$AM$2710)</f>
        <v>0</v>
      </c>
      <c r="AF2816">
        <f>IFERROR(AE2816/$R$2731,0)</f>
        <v>0</v>
      </c>
      <c r="AG2816">
        <f>AE2816*($F$22+IF($F$22=0,0,($C$14+$C$15+IF($C$13="single",1.5,3)+3)/12))</f>
        <v>0</v>
      </c>
      <c r="AH2816">
        <f>AG2816-X2816</f>
        <v>0</v>
      </c>
      <c r="AI2816" cm="1">
        <f t="array" ref="AI2816">IFERROR(IF(AH2816&lt;0,0,AH2816/($R$2731-INDEX(hd_off,MATCH(AQ2816,hd_mark,0),0)/12)),0)</f>
        <v>0</v>
      </c>
      <c r="AJ2816">
        <f>MAX($F$22,$Z$2731)/$Q$2740</f>
        <v>0.30172413793103448</v>
      </c>
      <c r="AK2816">
        <f t="shared" ref="AK2816:AK2819" si="1731">IF(AJ2816=0,0,IF(AJ2816&gt;2,1.25-0.125*AJ2816,1))</f>
        <v>1</v>
      </c>
      <c r="AL2816" cm="1">
        <f t="array" ref="AL2816">IFERROR(INDEX(sheath_ecap_asd,MATCH(AP2816,sheath_mark,0),0)*AK2816,0)</f>
        <v>0</v>
      </c>
      <c r="AM2816" cm="1">
        <f t="array" ref="AM2816">IFERROR(INDEX(sheath_wcap_asd,MATCH(AP2816,sheath_mark,0),0)*AK2816,0)</f>
        <v>0</v>
      </c>
      <c r="AN2816" cm="1">
        <f t="array" ref="AN2816">IFERROR(INDEX(hd_cap,MATCH(AQ2816,hd_mark,0),0),0)</f>
        <v>0</v>
      </c>
      <c r="AP2816" s="19"/>
      <c r="AQ2816" s="19"/>
      <c r="AR2816" s="100"/>
      <c r="AS2816" s="93"/>
      <c r="AT2816" s="109"/>
      <c r="AU2816" t="str">
        <f>$Q$2710</f>
        <v>L3</v>
      </c>
      <c r="AV2816">
        <f>$E$22</f>
        <v>21.375</v>
      </c>
      <c r="AW2816" cm="1">
        <f t="array" ref="AW2816">IFERROR(IF(AV2816=0,0,(INDEX($C$33:$C$38,MATCH($AZ$2731,$B$33:$B$38,0),0)*(AV2819+$BA$2731)+$AW$2731*COUNTIF(AV2816:AV2831,"&gt;0")*$C$32+$AY$2731*$C$31)*$AU$2731),0)</f>
        <v>0</v>
      </c>
      <c r="AX2816">
        <f>IF(AV2816=0,0,-(COUNTIF(AV2816:AV2831,"&gt;0")*$AW$2731*$C$32+$AY$2731*$C$31)*$H$27*$AU$2731)</f>
        <v>0</v>
      </c>
      <c r="AY2816">
        <f>IF(AV2816=0,0,$AY$2731*$H$26*$AU$2731)</f>
        <v>0</v>
      </c>
      <c r="AZ2816">
        <f>(0.6*AW2816+0.7*AX2816)*$AU$2731/2</f>
        <v>0</v>
      </c>
      <c r="BA2816">
        <f>AW2816*$AU$2731/2</f>
        <v>0</v>
      </c>
      <c r="BC2816">
        <f>IF(AV2816=0,0,$BG$2731*$AP$2710)</f>
        <v>0</v>
      </c>
      <c r="BD2816">
        <f>IFERROR(BC2816/$AU$2731,0)</f>
        <v>0</v>
      </c>
      <c r="BE2816">
        <f>BC2816*($F$22+IF($F$22=0,0,($C$14+$C$15+IF($C$13="single",1.5,3)+3)/12))</f>
        <v>0</v>
      </c>
      <c r="BF2816">
        <f>BE2816-AZ2816</f>
        <v>0</v>
      </c>
      <c r="BG2816" cm="1">
        <f t="array" ref="BG2816">IFERROR(IF(BF2816&lt;0,0,BF2816/($AU$2731-INDEX(hd_off,MATCH(BT2816,hd_mark,0),0)/12)),0)</f>
        <v>0</v>
      </c>
      <c r="BH2816">
        <f>IF(AV2816=0,0,$BG$2731*$AM$2710)</f>
        <v>0</v>
      </c>
      <c r="BI2816">
        <f>IFERROR(BH2816/$AU$2731,0)</f>
        <v>0</v>
      </c>
      <c r="BJ2816">
        <f>BH2816*($F$22+IF($F$22=0,0,($C$14+$C$15+IF($C$13="single",1.5,3)+3)/12))</f>
        <v>0</v>
      </c>
      <c r="BK2816">
        <f>BJ2816-BA2816</f>
        <v>0</v>
      </c>
      <c r="BL2816" cm="1">
        <f t="array" ref="BL2816">IFERROR(IF(BK2816&lt;0,0,BK2816/($AU$2731-INDEX(hd_off,MATCH(BT2816,hd_mark,0),0)/12)),0)</f>
        <v>0</v>
      </c>
      <c r="BM2816">
        <f>MAX($F$22,$BC$2731)/$Q$2740</f>
        <v>0.30172413793103448</v>
      </c>
      <c r="BN2816">
        <f t="shared" ref="BN2816:BN2817" si="1732">IF(BM2816=0,0,IF(BM2816&gt;2,1.25-0.125*BM2816,1))</f>
        <v>1</v>
      </c>
      <c r="BO2816" cm="1">
        <f t="array" ref="BO2816">IFERROR(INDEX(sheath_ecap_asd,MATCH(BS2816,sheath_mark,0),0)*BN2816,0)</f>
        <v>0</v>
      </c>
      <c r="BP2816" cm="1">
        <f t="array" ref="BP2816">IFERROR(INDEX(sheath_wcap_asd,MATCH(BS2816,sheath_mark,0),0)*BN2816,0)</f>
        <v>0</v>
      </c>
      <c r="BQ2816" cm="1">
        <f t="array" ref="BQ2816">IFERROR(INDEX(hd_cap,MATCH(BT2816,hd_mark,0),0),0)</f>
        <v>0</v>
      </c>
      <c r="BS2816" s="19"/>
      <c r="BT2816" s="19"/>
      <c r="BU2816" s="100"/>
    </row>
    <row r="2817" x14ac:dyDescent="0.25">
      <c r="P2817" s="93"/>
      <c r="Q2817" s="109" t="s">
        <v>491</v>
      </c>
      <c r="R2817" t="str">
        <f>$Q$2711</f>
        <v>L4</v>
      </c>
      <c r="S2817">
        <f>$E$23</f>
        <v>0</v>
      </c>
      <c r="T2817" cm="1">
        <f t="array" ref="T2817">IFERROR(IF(S2817=0,0,(INDEX($C$33:$C$38,MATCH($W$2731,$B$33:$B$38,0),0)*(S2819+$X$2731)+$T$2731*COUNTIF(S2817:S2831,"&gt;0")*$C$32+$V$2731*$C$31)*$R$2731),0)</f>
        <v>0</v>
      </c>
      <c r="U2817">
        <f>IF(S2817=0,0,-(COUNTIF(S2817:S2831,"&gt;0")*$T$2731*$C$32+$V$2731*$C$31)*$H$27*$R$2731)</f>
        <v>0</v>
      </c>
      <c r="V2817">
        <f>IF(S2817=0,0,$V$2731*$H$26*$R$2731)</f>
        <v>0</v>
      </c>
      <c r="W2817">
        <f>(0.6*T2817+0.7*U2817)*$R$2731/2</f>
        <v>0</v>
      </c>
      <c r="X2817">
        <f>T2817*$R$2731/2</f>
        <v>0</v>
      </c>
      <c r="Z2817">
        <f>IF(S2817=0,0,$AD$2731*$AP$2711)</f>
        <v>0</v>
      </c>
      <c r="AA2817">
        <f>IFERROR(Z2817/$R$2731,0)</f>
        <v>0</v>
      </c>
      <c r="AB2817">
        <f>Z2817*($F$23+IF($F$23=0,0,($C$14+$C$15+IF($C$13="single",1.5,3)+3)/12))</f>
        <v>0</v>
      </c>
      <c r="AC2817">
        <f>AB2817-W2817</f>
        <v>0</v>
      </c>
      <c r="AD2817" cm="1">
        <f t="array" ref="AD2817">IFERROR(IF(AC2817&lt;0,0,AC2817/($R$2731-INDEX(hd_off,MATCH(AQ2817,hd_mark,0),0)/12)),0)</f>
        <v>0</v>
      </c>
      <c r="AE2817">
        <f>IF(S2817=0,0,$AD$2731*$AM$2711)</f>
        <v>0</v>
      </c>
      <c r="AF2817">
        <f>IFERROR(AE2817/$R$2731,0)</f>
        <v>0</v>
      </c>
      <c r="AG2817">
        <f>AE2817*($F$23+IF($F$23=0,0,($C$14+$C$15+IF($C$13="single",1.5,3)+3)/12))</f>
        <v>0</v>
      </c>
      <c r="AH2817">
        <f>AG2817-X2817</f>
        <v>0</v>
      </c>
      <c r="AI2817" cm="1">
        <f t="array" ref="AI2817">IFERROR(IF(AH2817&lt;0,0,AH2817/($R$2731-INDEX(hd_off,MATCH(AQ2817,hd_mark,0),0)/12)),0)</f>
        <v>0</v>
      </c>
      <c r="AJ2817">
        <f>MAX($F$23,$AA$2731)/$Q$2740</f>
        <v>0</v>
      </c>
      <c r="AK2817">
        <f t="shared" si="1731"/>
        <v>0</v>
      </c>
      <c r="AL2817" cm="1">
        <f t="array" ref="AL2817">IFERROR(INDEX(sheath_ecap_asd,MATCH(AP2817,sheath_mark,0),0)*AK2817,0)</f>
        <v>0</v>
      </c>
      <c r="AM2817" cm="1">
        <f t="array" ref="AM2817">IFERROR(INDEX(sheath_wcap_asd,MATCH(AP2817,sheath_mark,0),0)*AK2817,0)</f>
        <v>0</v>
      </c>
      <c r="AN2817" cm="1">
        <f t="array" ref="AN2817">IFERROR(INDEX(hd_cap,MATCH(AQ2817,hd_mark,0),0),0)</f>
        <v>0</v>
      </c>
      <c r="AP2817" s="19"/>
      <c r="AQ2817" s="19"/>
      <c r="AR2817" s="100"/>
      <c r="AS2817" s="93"/>
      <c r="AT2817" s="109" t="s">
        <v>491</v>
      </c>
      <c r="AU2817" t="str">
        <f>$Q$2711</f>
        <v>L4</v>
      </c>
      <c r="AV2817">
        <f>$E$23</f>
        <v>0</v>
      </c>
      <c r="AW2817" cm="1">
        <f t="array" ref="AW2817">IFERROR(IF(AV2817=0,0,(INDEX($C$33:$C$38,MATCH($AZ$2731,$B$33:$B$38,0),0)*(AV2819+$BA$2731)+$AW$2731*COUNTIF(AV2817:AV2831,"&gt;0")*$C$32+$AY$2731*$C$31)*$AU$2731),0)</f>
        <v>0</v>
      </c>
      <c r="AX2817">
        <f>IF(AV2817=0,0,-(COUNTIF(AV2817:AV2831,"&gt;0")*$AW$2731*$C$32+$AY$2731*$C$31)*$H$27*$AU$2731)</f>
        <v>0</v>
      </c>
      <c r="AY2817">
        <f>IF(AV2817=0,0,$AY$2731*$H$26*$AU$2731)</f>
        <v>0</v>
      </c>
      <c r="AZ2817">
        <f>(0.6*AW2817+0.7*AX2817)*$AU$2731/2</f>
        <v>0</v>
      </c>
      <c r="BA2817">
        <f>AW2817*$AU$2731/2</f>
        <v>0</v>
      </c>
      <c r="BC2817">
        <f>IF(AV2817=0,0,$BG$2731*$AP$2711)</f>
        <v>0</v>
      </c>
      <c r="BD2817">
        <f>IFERROR(BC2817/$AU$2731,0)</f>
        <v>0</v>
      </c>
      <c r="BE2817">
        <f>BC2817*($F$23+IF($F$23=0,0,($C$14+$C$15+IF($C$13="single",1.5,3)+3)/12))</f>
        <v>0</v>
      </c>
      <c r="BF2817">
        <f>BE2817-AZ2817</f>
        <v>0</v>
      </c>
      <c r="BG2817" cm="1">
        <f t="array" ref="BG2817">IFERROR(IF(BF2817&lt;0,0,BF2817/($AU$2731-INDEX(hd_off,MATCH(BT2817,hd_mark,0),0)/12)),0)</f>
        <v>0</v>
      </c>
      <c r="BH2817">
        <f>IF(AV2817=0,0,$BG$2731*$AM$2711)</f>
        <v>0</v>
      </c>
      <c r="BI2817">
        <f>IFERROR(BH2817/$AU$2731,0)</f>
        <v>0</v>
      </c>
      <c r="BJ2817">
        <f>BH2817*($F$23+IF($F$23=0,0,($C$14+$C$15+IF($C$13="single",1.5,3)+3)/12))</f>
        <v>0</v>
      </c>
      <c r="BK2817">
        <f>BJ2817-BA2817</f>
        <v>0</v>
      </c>
      <c r="BL2817" cm="1">
        <f t="array" ref="BL2817">IFERROR(IF(BK2817&lt;0,0,BK2817/($AU$2731-INDEX(hd_off,MATCH(BT2817,hd_mark,0),0)/12)),0)</f>
        <v>0</v>
      </c>
      <c r="BM2817">
        <f>MAX($F$23,$BD$2731)/$Q$2740</f>
        <v>0</v>
      </c>
      <c r="BN2817">
        <f t="shared" si="1732"/>
        <v>0</v>
      </c>
      <c r="BO2817" cm="1">
        <f t="array" ref="BO2817">IFERROR(INDEX(sheath_ecap_asd,MATCH(BS2817,sheath_mark,0),0)*BN2817,0)</f>
        <v>0</v>
      </c>
      <c r="BP2817" cm="1">
        <f t="array" ref="BP2817">IFERROR(INDEX(sheath_wcap_asd,MATCH(BS2817,sheath_mark,0),0)*BN2817,0)</f>
        <v>0</v>
      </c>
      <c r="BQ2817" cm="1">
        <f t="array" ref="BQ2817">IFERROR(INDEX(hd_cap,MATCH(BT2817,hd_mark,0),0),0)</f>
        <v>0</v>
      </c>
      <c r="BS2817" s="19"/>
      <c r="BT2817" s="19"/>
      <c r="BU2817" s="100"/>
    </row>
    <row r="2818" x14ac:dyDescent="0.25">
      <c r="P2818" s="93"/>
      <c r="Q2818" s="111">
        <f>$R$2731</f>
        <v>0</v>
      </c>
      <c r="R2818" t="str">
        <f>$Q$2712</f>
        <v>L5</v>
      </c>
      <c r="S2818">
        <f>$E$24</f>
        <v>0</v>
      </c>
      <c r="T2818" cm="1">
        <f t="array" ref="T2818">IFERROR(IF(S2831=0,0,(INDEX($C$33:$C$38,MATCH($W$2731,$B$33:$B$38,0),0)*(S2819+$X$2731)+$T$2731*COUNTIF(S2831:S2831,"&gt;0")*$C$32+$V$2731*$C$31)*$R$2731),0)</f>
        <v>0</v>
      </c>
      <c r="U2818">
        <f>IF(S2831=0,0,-(COUNTIF(S2831:S2831,"&gt;0")*$T$2731*$C$32+$V$2731*$C$31)*$H$27*$R$2731)</f>
        <v>0</v>
      </c>
      <c r="V2818">
        <f>IF(S2831=0,0,$V$2731*$H$26*$R$2731)</f>
        <v>0</v>
      </c>
      <c r="W2818">
        <f>(0.6*T2831+0.7*U2831)*$R$2731/2</f>
        <v>0</v>
      </c>
      <c r="X2818">
        <f>T2831*$R$2731/2</f>
        <v>0</v>
      </c>
      <c r="Z2818">
        <f>IF(S2831=0,0,$AD$2731*$AP$2712)</f>
        <v>0</v>
      </c>
      <c r="AA2818">
        <f>IFERROR(Z2831/$R$2731,0)</f>
        <v>0</v>
      </c>
      <c r="AB2818">
        <f>Z2831*($F$24+IF($F$24=0,0,($C$14+$C$15+IF($C$13="single",1.5,3)+3)/12))</f>
        <v>0</v>
      </c>
      <c r="AC2818">
        <f>AB2831-W2831</f>
        <v>0</v>
      </c>
      <c r="AD2818" cm="1">
        <f t="array" ref="AD2818">IFERROR(IF(AC2831&lt;0,0,AC2831/($R$2731-INDEX(hd_off,MATCH(AQ2831,hd_mark,0),0)/12)),0)</f>
        <v>0</v>
      </c>
      <c r="AE2818">
        <f>IF(S2831=0,0,$AD$2731*$AM$2712)</f>
        <v>0</v>
      </c>
      <c r="AF2818">
        <f>IFERROR(AE2831/$R$2731,0)</f>
        <v>0</v>
      </c>
      <c r="AG2818">
        <f>AE2831*($F$24+IF($F$24=0,0,($C$14+$C$15+IF($C$13="single",1.5,3)+3)/12))</f>
        <v>0</v>
      </c>
      <c r="AH2818">
        <f>AG2831-X2831</f>
        <v>0</v>
      </c>
      <c r="AI2818" cm="1">
        <f t="array" ref="AI2818">IFERROR(IF(AH2831&lt;0,0,AH2831/($R$2731-INDEX(hd_off,MATCH(AQ2831,hd_mark,0),0)/12)),0)</f>
        <v>0</v>
      </c>
      <c r="AJ2818">
        <f>MAX($F$24,$AB$2731)/$Q$2740</f>
        <v>0</v>
      </c>
      <c r="AK2818">
        <f>IF(AJ2831=0,0,IF(AJ2831&gt;2,1.25-0.125*AJ2831,1))</f>
        <v>1</v>
      </c>
      <c r="AL2818" cm="1">
        <f t="array" ref="AL2818">IFERROR(INDEX(sheath_ecap_asd,MATCH(AP2831,sheath_mark,0),0)*AK2831,0)</f>
        <v>0</v>
      </c>
      <c r="AM2818" cm="1">
        <f t="array" ref="AM2818">IFERROR(INDEX(sheath_wcap_asd,MATCH(AP2831,sheath_mark,0),0)*AK2831,0)</f>
        <v>0</v>
      </c>
      <c r="AN2818" cm="1">
        <f t="array" ref="AN2818">IFERROR(INDEX(hd_cap,MATCH(AQ2831,hd_mark,0),0),0)</f>
        <v>0</v>
      </c>
      <c r="AP2818" s="19"/>
      <c r="AQ2818" s="19"/>
      <c r="AR2818" s="100"/>
      <c r="AS2818" s="93"/>
      <c r="AT2818" s="111">
        <f>$R$2731</f>
        <v>0</v>
      </c>
      <c r="AU2818" t="str">
        <f>$Q$2712</f>
        <v>L5</v>
      </c>
      <c r="AV2818">
        <f>$E$24</f>
        <v>0</v>
      </c>
      <c r="AW2818" cm="1">
        <f t="array" ref="AW2818">IFERROR(IF(AV2831=0,0,(INDEX($C$33:$C$38,MATCH($AZ$2731,$B$33:$B$38,0),0)*(AV2819+$BA$2731)+$AW$2731*COUNTIF(AV2831:AV2831,"&gt;0")*$C$32+$AY$2731*$C$31)*$AU$2731),0)</f>
        <v>0</v>
      </c>
      <c r="AX2818">
        <f>IF(AV2831=0,0,-(COUNTIF(AV2831:AV2831,"&gt;0")*$AW$2731*$C$32+$AY$2731*$C$31)*$H$27*$AU$2731)</f>
        <v>0</v>
      </c>
      <c r="AY2818">
        <f>IF(AV2831=0,0,$AY$2731*$H$26*$AU$2731)</f>
        <v>0</v>
      </c>
      <c r="AZ2818">
        <f>(0.6*AW2831+0.7*AX2831)*$AU$2731/2</f>
        <v>0</v>
      </c>
      <c r="BA2818">
        <f>AW2831*$AU$2731/2</f>
        <v>0</v>
      </c>
      <c r="BC2818">
        <f>IF(AV2831=0,0,$BG$2731*$AP$2712)</f>
        <v>0</v>
      </c>
      <c r="BD2818">
        <f>IFERROR(BC2831/$AU$2731,0)</f>
        <v>0</v>
      </c>
      <c r="BE2818">
        <f>BC2831*($F$24+IF($F$24=0,0,($C$14+$C$15+IF($C$13="single",1.5,3)+3)/12))</f>
        <v>0</v>
      </c>
      <c r="BF2818">
        <f>BE2831-AZ2831</f>
        <v>0</v>
      </c>
      <c r="BG2818" cm="1">
        <f t="array" ref="BG2818">IFERROR(IF(BF2831&lt;0,0,BF2831/($AU$2731-INDEX(hd_off,MATCH(BT2831,hd_mark,0),0)/12)),0)</f>
        <v>0</v>
      </c>
      <c r="BH2818">
        <f>IF(AV2831=0,0,$BG$2731*$AM$2712)</f>
        <v>0</v>
      </c>
      <c r="BI2818">
        <f>IFERROR(BH2831/$AU$2731,0)</f>
        <v>0</v>
      </c>
      <c r="BJ2818">
        <f>BH2831*($F$24+IF($F$24=0,0,($C$14+$C$15+IF($C$13="single",1.5,3)+3)/12))</f>
        <v>0</v>
      </c>
      <c r="BK2818">
        <f>BJ2831-BA2831</f>
        <v>0</v>
      </c>
      <c r="BL2818" cm="1">
        <f t="array" ref="BL2818">IFERROR(IF(BK2831&lt;0,0,BK2831/($AU$2731-INDEX(hd_off,MATCH(BT2831,hd_mark,0),0)/12)),0)</f>
        <v>0</v>
      </c>
      <c r="BM2818">
        <f>MAX($F$24,$BE$2731)/$Q$2740</f>
        <v>0</v>
      </c>
      <c r="BN2818">
        <f>IF(BM2831=0,0,IF(BM2831&gt;2,1.25-0.125*BM2831,1))</f>
        <v>0</v>
      </c>
      <c r="BO2818" cm="1">
        <f t="array" ref="BO2818">IFERROR(INDEX(sheath_ecap_asd,MATCH(BS2831,sheath_mark,0),0)*BN2831,0)</f>
        <v>0</v>
      </c>
      <c r="BP2818" cm="1">
        <f t="array" ref="BP2818">IFERROR(INDEX(sheath_wcap_asd,MATCH(BS2831,sheath_mark,0),0)*BN2831,0)</f>
        <v>0</v>
      </c>
      <c r="BQ2818" cm="1">
        <f t="array" ref="BQ2818">IFERROR(INDEX(hd_cap,MATCH(BT2831,hd_mark,0),0),0)</f>
        <v>0</v>
      </c>
      <c r="BS2818" s="19"/>
      <c r="BT2818" s="19"/>
      <c r="BU2818" s="100"/>
    </row>
    <row r="2819" x14ac:dyDescent="0.25">
      <c r="P2819" s="93"/>
      <c r="Q2819" s="109"/>
      <c r="R2819" t="str">
        <f>$Q$2713</f>
        <v>Roof</v>
      </c>
      <c r="S2819">
        <f>$E$25</f>
        <v>33.171875</v>
      </c>
      <c r="T2819" cm="1">
        <f t="array" ref="T2819">IFERROR(IF(S2819=0,0,(INDEX($C$33:$C$38,MATCH($W$2731,$B$33:$B$38,0),0)*(S2819+$X$2731)+$V$2731*$C$31)*$R$2731),0)</f>
        <v>0</v>
      </c>
      <c r="U2819">
        <f>IF(S2819=0,0,-$V$2731*$C$31*$H$27*$R$2731)</f>
        <v>0</v>
      </c>
      <c r="V2819">
        <f>IF(S2819=0,0,$V$2731*$H$26*$R$2731)</f>
        <v>0</v>
      </c>
      <c r="W2819">
        <f>(0.6*T2819+0.7*U2819)*$R$2731/2</f>
        <v>0</v>
      </c>
      <c r="X2819">
        <f>T2819*$R$2731/2</f>
        <v>0</v>
      </c>
      <c r="Z2819">
        <f>IF(S2819=0,0,$AD$2731*$AP$2713)</f>
        <v>0</v>
      </c>
      <c r="AA2819">
        <f>IFERROR(Z2819/$R$2731,0)</f>
        <v>0</v>
      </c>
      <c r="AB2819">
        <f>Z2819*($F$25+($C$16+$C$17+IF($C$13="single",1.5,3)+3)/12)</f>
        <v>0</v>
      </c>
      <c r="AC2819">
        <f>AB2819-W2819</f>
        <v>0</v>
      </c>
      <c r="AD2819" cm="1">
        <f t="array" ref="AD2819">IFERROR(IF(AC2819&lt;0,0,AC2819/($R$2731-INDEX(hd_off,MATCH(AQ2819,hd_mark,0),0)/12)),0)</f>
        <v>0</v>
      </c>
      <c r="AE2819">
        <f>IF(S2819=0,0,$AD$2731*$AM$2713)</f>
        <v>0</v>
      </c>
      <c r="AF2819">
        <f>IFERROR(AE2819/$R$2731,0)</f>
        <v>0</v>
      </c>
      <c r="AG2819">
        <f>AE2819*($F$25+($C$16+$C$17+IF($C$13="single",1.5,3)+3)/12)</f>
        <v>0</v>
      </c>
      <c r="AH2819">
        <f>AG2819-X2819</f>
        <v>0</v>
      </c>
      <c r="AI2819" cm="1">
        <f t="array" ref="AI2819">IFERROR(IF(AH2819&lt;0,0,AH2819/($R$2731-INDEX(hd_off,MATCH(AQ2819,hd_mark,0),0)/12)),0)</f>
        <v>0</v>
      </c>
      <c r="AJ2819">
        <f>MAX($F$25,$AC$2731)/$Q$2740</f>
        <v>0.29920977011494249</v>
      </c>
      <c r="AK2819">
        <f t="shared" si="1731"/>
        <v>1</v>
      </c>
      <c r="AL2819" cm="1">
        <f t="array" ref="AL2819">IFERROR(INDEX(sheath_ecap_asd,MATCH(AP2819,sheath_mark,0),0)*AK2819,0)</f>
        <v>0</v>
      </c>
      <c r="AM2819" cm="1">
        <f t="array" ref="AM2819">IFERROR(INDEX(sheath_wcap_asd,MATCH(AP2819,sheath_mark,0),0)*AK2819,0)</f>
        <v>0</v>
      </c>
      <c r="AN2819" cm="1">
        <f t="array" ref="AN2819">IFERROR(INDEX(hd_cap,MATCH(AQ2819,hd_mark,0),0),0)</f>
        <v>0</v>
      </c>
      <c r="AP2819" s="19"/>
      <c r="AQ2819" s="19"/>
      <c r="AR2819" s="100"/>
      <c r="AS2819" s="93"/>
      <c r="AT2819" s="109"/>
      <c r="AU2819" t="str">
        <f>$Q$2713</f>
        <v>Roof</v>
      </c>
      <c r="AV2819">
        <f>$E$25</f>
        <v>33.171875</v>
      </c>
      <c r="AW2819" cm="1">
        <f t="array" ref="AW2819">IFERROR(IF(AV2819=0,0,(INDEX($C$33:$C$38,MATCH($AZ$2731,$B$33:$B$38,0),0)*(AV2819+$BA$2731)+$AY$2731*$C$31)*$AU$2731),0)</f>
        <v>0</v>
      </c>
      <c r="AX2819">
        <f>IF(AV2819=0,0,-$AY$2731*$C$31*$H$27*$AU$2731)</f>
        <v>0</v>
      </c>
      <c r="AY2819">
        <f>IF(AV2819=0,0,$AY$2731*$H$26*$AU$2731)</f>
        <v>0</v>
      </c>
      <c r="AZ2819">
        <f>(0.6*AW2819+0.7*AX2819)*$AU$2731/2</f>
        <v>0</v>
      </c>
      <c r="BA2819">
        <f>AW2819*$AU$2731/2</f>
        <v>0</v>
      </c>
      <c r="BC2819">
        <f>IF(AV2819=0,0,$BG$2731*$AP$2713)</f>
        <v>0</v>
      </c>
      <c r="BD2819">
        <f>IFERROR(BC2819/$AU$2731,0)</f>
        <v>0</v>
      </c>
      <c r="BE2819">
        <f>BC2819*($F$25+($C$16+$C$17+IF($C$13="single",1.5,3)+3)/12)</f>
        <v>0</v>
      </c>
      <c r="BF2819">
        <f>BE2819-AZ2819</f>
        <v>0</v>
      </c>
      <c r="BG2819" cm="1">
        <f t="array" ref="BG2819">IFERROR(IF(BF2819&lt;0,0,BF2819/($AU$2731-INDEX(hd_off,MATCH(BT2819,hd_mark,0),0)/12)),0)</f>
        <v>0</v>
      </c>
      <c r="BH2819">
        <f>IF(AV2819=0,0,$BG$2731*$AM$2713)</f>
        <v>0</v>
      </c>
      <c r="BI2819">
        <f>IFERROR(BH2819/$AU$2731,0)</f>
        <v>0</v>
      </c>
      <c r="BJ2819">
        <f>BH2819*($F$25+($C$16+$C$17+IF($C$13="single",1.5,3)+3)/12)</f>
        <v>0</v>
      </c>
      <c r="BK2819">
        <f>BJ2819-BA2819</f>
        <v>0</v>
      </c>
      <c r="BL2819" cm="1">
        <f t="array" ref="BL2819">IFERROR(IF(BK2819&lt;0,0,BK2819/($AU$2731-INDEX(hd_off,MATCH(BT2819,hd_mark,0),0)/12)),0)</f>
        <v>0</v>
      </c>
      <c r="BM2819">
        <f>MAX($F$25,$BF$2731)/$Q$2740</f>
        <v>0.29920977011494249</v>
      </c>
      <c r="BN2819">
        <f t="shared" ref="BN2819" si="1733">IF(BM2819=0,0,IF(BM2819&gt;2,1.25-0.125*BM2819,1))</f>
        <v>1</v>
      </c>
      <c r="BO2819" cm="1">
        <f t="array" ref="BO2819">IFERROR(INDEX(sheath_ecap_asd,MATCH(BS2819,sheath_mark,0),0)*BN2819,0)</f>
        <v>0</v>
      </c>
      <c r="BP2819" cm="1">
        <f t="array" ref="BP2819">IFERROR(INDEX(sheath_wcap_asd,MATCH(BS2819,sheath_mark,0),0)*BN2819,0)</f>
        <v>0</v>
      </c>
      <c r="BQ2819" cm="1">
        <f t="array" ref="BQ2819">IFERROR(INDEX(hd_cap,MATCH(BT2819,hd_mark,0),0),0)</f>
        <v>0</v>
      </c>
      <c r="BS2819" s="19"/>
      <c r="BT2819" s="19"/>
      <c r="BU2819" s="100"/>
    </row>
    <row r="2820" x14ac:dyDescent="0.25">
      <c r="P2820" s="93"/>
      <c r="AR2820" s="100"/>
      <c r="AS2820" s="93"/>
      <c r="BU2820" s="100"/>
    </row>
    <row r="2821" x14ac:dyDescent="0.25">
      <c r="P2821" s="93"/>
      <c r="Q2821" s="110" t="str">
        <f>$Q$2732</f>
        <v>A.15</v>
      </c>
      <c r="R2821" t="str">
        <f>$Q$2709</f>
        <v>L2</v>
      </c>
      <c r="S2821">
        <f>$E$21</f>
        <v>10.6875</v>
      </c>
      <c r="T2821" cm="1">
        <f t="array" ref="T2821">IFERROR(IF(S2821=0,0,(INDEX($C$33:$C$38,MATCH($W$2732,$B$33:$B$38,0),0)*(S2825+$X$2732)+$T$2732*COUNTIF(S2821:S2824,"&gt;0")*$C$32+$V$2732*$C$31)*$R$2732),0)</f>
        <v>0</v>
      </c>
      <c r="U2821">
        <f>IF(S2821=0,0,-(COUNTIF(S2821:S2824,"&gt;0")*$T$2732*$C$32+$V$2732*$C$31)*$H$27*$R$2732)</f>
        <v>0</v>
      </c>
      <c r="V2821">
        <f>IF(S2821=0,0,$V$2732*$H$26*$R$2732)</f>
        <v>0</v>
      </c>
      <c r="W2821">
        <f>(0.6*T2821+0.7*U2821)*$R$2732/2</f>
        <v>0</v>
      </c>
      <c r="X2821">
        <f>(0.6*T2821+0.6*V2821)*$R$2732/2</f>
        <v>0</v>
      </c>
      <c r="Z2821">
        <f>IF(S2821=0,0,$AD$2732*$AP$2709)</f>
        <v>0</v>
      </c>
      <c r="AA2821">
        <f>IFERROR(Z2821/$R$2732,0)</f>
        <v>0</v>
      </c>
      <c r="AB2821">
        <f>Z2821*($F$21+IF($F$21=0,0,($C$14+$C$15+IF($C$13="single",1.5,3)+3)/12))</f>
        <v>0</v>
      </c>
      <c r="AC2821">
        <f>AB2821-W2821</f>
        <v>0</v>
      </c>
      <c r="AD2821" cm="1">
        <f t="array" ref="AD2821">IFERROR(IF(AC2821&lt;0,0,AC2821/($R$2732-INDEX(hd_off,MATCH(AQ2821,hd_mark,0),0)/12)),0)</f>
        <v>0</v>
      </c>
      <c r="AE2821">
        <f>IF(S2821=0,0,$AD$2732*$AM$2709)</f>
        <v>0</v>
      </c>
      <c r="AF2821">
        <f>IFERROR(AE2821/$R$2732,0)</f>
        <v>0</v>
      </c>
      <c r="AG2821">
        <f>AE2821*($F$21+IF($F$21=0,0,($C$14+$C$15+IF($C$13="single",1.5,3)+3)/12))</f>
        <v>0</v>
      </c>
      <c r="AH2821">
        <f>AG2821-X2821</f>
        <v>0</v>
      </c>
      <c r="AI2821" cm="1">
        <f t="array" ref="AI2821">IFERROR(IF(AH2821&lt;0,0,AH2821/($R$2732-INDEX(hd_off,MATCH(AQ2821,hd_mark,0),0)/12)),0)</f>
        <v>0</v>
      </c>
      <c r="AJ2821">
        <f>MAX($F$21,$Y$2732)/$Q$2740</f>
        <v>0.30172413793103448</v>
      </c>
      <c r="AK2821">
        <f>IF(AJ2821=0,0,IF(AJ2821&gt;2,1.25-0.125*AJ2821,1))</f>
        <v>1</v>
      </c>
      <c r="AL2821" cm="1">
        <f t="array" ref="AL2821">IFERROR(INDEX(sheath_ecap_asd,MATCH(AP2821,sheath_mark,0),0)*AK2821,0)</f>
        <v>0</v>
      </c>
      <c r="AM2821" cm="1">
        <f t="array" ref="AM2821">IFERROR(INDEX(sheath_wcap_asd,MATCH(AP2821,sheath_mark,0),0)*AK2821,0)</f>
        <v>0</v>
      </c>
      <c r="AN2821" cm="1">
        <f t="array" ref="AN2821">IFERROR(INDEX(hd_cap,MATCH(AQ2821,hd_mark,0),0),0)</f>
        <v>0</v>
      </c>
      <c r="AP2821" s="19"/>
      <c r="AQ2821" s="19"/>
      <c r="AR2821" s="100"/>
      <c r="AS2821" s="93"/>
      <c r="AT2821" s="110" t="str">
        <f>$AT$2732</f>
        <v>1.15</v>
      </c>
      <c r="AU2821" t="str">
        <f>$Q$2709</f>
        <v>L2</v>
      </c>
      <c r="AV2821">
        <f>$E$21</f>
        <v>10.6875</v>
      </c>
      <c r="AW2821" cm="1">
        <f t="array" ref="AW2821">IFERROR(IF(AV2821=0,0,(INDEX($C$33:$C$38,MATCH($AZ$2732,$B$33:$B$38,0),0)*(AV2825+$BA$2732)+$AW$2732*COUNTIF(AV2821:AV2824,"&gt;0")*$C$32+$AY$2732*$C$31)*$AU$2732),0)</f>
        <v>0</v>
      </c>
      <c r="AX2821">
        <f>IF(AV2821=0,0,-(COUNTIF(AV2821:AV2824,"&gt;0")*$AW$2732*$C$32+$AY$2732*$C$31)*$H$27*$AU$2732)</f>
        <v>0</v>
      </c>
      <c r="AY2821">
        <f>IF(AV2821=0,0,$AY$2732*$H$26*$AU$2732)</f>
        <v>0</v>
      </c>
      <c r="AZ2821">
        <f>(0.6*AW2821+0.7*AX2821)*$AU$2732/2</f>
        <v>0</v>
      </c>
      <c r="BA2821">
        <f>(0.6*AW2821+0.6*AY2821)*$AU$2732/2</f>
        <v>0</v>
      </c>
      <c r="BC2821">
        <f>IF(AV2821=0,0,$BG$2732*$AP$2709)</f>
        <v>0</v>
      </c>
      <c r="BD2821">
        <f>IFERROR(BC2821/$AU$2732,0)</f>
        <v>0</v>
      </c>
      <c r="BE2821">
        <f>BC2821*($F$21+IF($F$21=0,0,($C$14+$C$15+IF($C$13="single",1.5,3)+3)/12))</f>
        <v>0</v>
      </c>
      <c r="BF2821">
        <f>BE2821-AZ2821</f>
        <v>0</v>
      </c>
      <c r="BG2821" cm="1">
        <f t="array" ref="BG2821">IFERROR(IF(BF2821&lt;0,0,BF2821/($AU$2732-INDEX(hd_off,MATCH(BT2821,hd_mark,0),0)/12)),0)</f>
        <v>0</v>
      </c>
      <c r="BH2821">
        <f>IF(AV2821=0,0,$BG$2732*$AM$2709)</f>
        <v>0</v>
      </c>
      <c r="BI2821">
        <f>IFERROR(BH2821/$AU$2732,0)</f>
        <v>0</v>
      </c>
      <c r="BJ2821">
        <f>BH2821*($F$21+IF($F$21=0,0,($C$14+$C$15+IF($C$13="single",1.5,3)+3)/12))</f>
        <v>0</v>
      </c>
      <c r="BK2821">
        <f>BJ2821-BA2821</f>
        <v>0</v>
      </c>
      <c r="BL2821" cm="1">
        <f t="array" ref="BL2821">IFERROR(IF(BK2821&lt;0,0,BK2821/($AU$2732-INDEX(hd_off,MATCH(BT2821,hd_mark,0),0)/12)),0)</f>
        <v>0</v>
      </c>
      <c r="BM2821">
        <f>MAX($F$21,$BB$2732)/$Q$2740</f>
        <v>0.30172413793103448</v>
      </c>
      <c r="BN2821">
        <f>IF(BM2821=0,0,IF(BM2821&gt;2,1.25-0.125*BM2821,1))</f>
        <v>1</v>
      </c>
      <c r="BO2821" cm="1">
        <f t="array" ref="BO2821">IFERROR(INDEX(sheath_ecap_asd,MATCH(BS2821,sheath_mark,0),0)*BN2821,0)</f>
        <v>0</v>
      </c>
      <c r="BP2821" cm="1">
        <f t="array" ref="BP2821">IFERROR(INDEX(sheath_wcap_asd,MATCH(BS2821,sheath_mark,0),0)*BN2821,0)</f>
        <v>0</v>
      </c>
      <c r="BQ2821" cm="1">
        <f t="array" ref="BQ2821">IFERROR(INDEX(hd_cap,MATCH(BT2821,hd_mark,0),0),0)</f>
        <v>0</v>
      </c>
      <c r="BS2821" s="19"/>
      <c r="BT2821" s="19"/>
      <c r="BU2821" s="100"/>
    </row>
    <row r="2822" x14ac:dyDescent="0.25">
      <c r="P2822" s="93"/>
      <c r="Q2822" s="109"/>
      <c r="R2822" t="str">
        <f>$Q$2710</f>
        <v>L3</v>
      </c>
      <c r="S2822">
        <f>$E$22</f>
        <v>21.375</v>
      </c>
      <c r="T2822" cm="1">
        <f t="array" ref="T2822">IFERROR(IF(S2822=0,0,(INDEX($C$33:$C$38,MATCH($W$2732,$B$33:$B$38,0),0)*(S2825+$X$2732)+$T$2732*COUNTIF(S2822:S2824,"&gt;0")*$C$32+$V$2732*$C$31)*$R$2732),0)</f>
        <v>0</v>
      </c>
      <c r="U2822">
        <f>IF(S2822=0,0,-(COUNTIF(S2822:S2824,"&gt;0")*$T$2732*$C$32+$V$2732*$C$31)*$H$27*$R$2732)</f>
        <v>0</v>
      </c>
      <c r="V2822">
        <f>IF(S2822=0,0,$V$2732*$H$26*$R$2732)</f>
        <v>0</v>
      </c>
      <c r="W2822">
        <f>(0.6*T2822+0.7*U2822)*$R$2732/2</f>
        <v>0</v>
      </c>
      <c r="X2822">
        <f>T2822*$R$2732/2</f>
        <v>0</v>
      </c>
      <c r="Z2822">
        <f>IF(S2822=0,0,$AD$2732*$AP$2710)</f>
        <v>0</v>
      </c>
      <c r="AA2822">
        <f>IFERROR(Z2822/$R$2732,0)</f>
        <v>0</v>
      </c>
      <c r="AB2822">
        <f>Z2822*($F$22+IF($F$22=0,0,($C$14+$C$15+IF($C$13="single",1.5,3)+3)/12))</f>
        <v>0</v>
      </c>
      <c r="AC2822">
        <f>AB2822-W2822</f>
        <v>0</v>
      </c>
      <c r="AD2822" cm="1">
        <f t="array" ref="AD2822">IFERROR(IF(AC2822&lt;0,0,AC2822/($R$2732-INDEX(hd_off,MATCH(AQ2822,hd_mark,0),0)/12)),0)</f>
        <v>0</v>
      </c>
      <c r="AE2822">
        <f>IF(S2822=0,0,$AD$2732*$AM$2710)</f>
        <v>0</v>
      </c>
      <c r="AF2822">
        <f>IFERROR(AE2822/$R$2732,0)</f>
        <v>0</v>
      </c>
      <c r="AG2822">
        <f>AE2822*($F$22+IF($F$22=0,0,($C$14+$C$15+IF($C$13="single",1.5,3)+3)/12))</f>
        <v>0</v>
      </c>
      <c r="AH2822">
        <f>AG2822-X2822</f>
        <v>0</v>
      </c>
      <c r="AI2822" cm="1">
        <f t="array" ref="AI2822">IFERROR(IF(AH2822&lt;0,0,AH2822/($R$2732-INDEX(hd_off,MATCH(AQ2822,hd_mark,0),0)/12)),0)</f>
        <v>0</v>
      </c>
      <c r="AJ2822">
        <f>MAX($F$22,$Z$2732)/$Q$2740</f>
        <v>0.30172413793103448</v>
      </c>
      <c r="AK2822">
        <f t="shared" ref="AK2822:AK2825" si="1734">IF(AJ2822=0,0,IF(AJ2822&gt;2,1.25-0.125*AJ2822,1))</f>
        <v>1</v>
      </c>
      <c r="AL2822" cm="1">
        <f t="array" ref="AL2822">IFERROR(INDEX(sheath_ecap_asd,MATCH(AP2822,sheath_mark,0),0)*AK2822,0)</f>
        <v>0</v>
      </c>
      <c r="AM2822" cm="1">
        <f t="array" ref="AM2822">IFERROR(INDEX(sheath_wcap_asd,MATCH(AP2822,sheath_mark,0),0)*AK2822,0)</f>
        <v>0</v>
      </c>
      <c r="AN2822" cm="1">
        <f t="array" ref="AN2822">IFERROR(INDEX(hd_cap,MATCH(AQ2822,hd_mark,0),0),0)</f>
        <v>0</v>
      </c>
      <c r="AP2822" s="19"/>
      <c r="AQ2822" s="19"/>
      <c r="AR2822" s="100"/>
      <c r="AS2822" s="93"/>
      <c r="AT2822" s="109"/>
      <c r="AU2822" t="str">
        <f>$Q$2710</f>
        <v>L3</v>
      </c>
      <c r="AV2822">
        <f>$E$22</f>
        <v>21.375</v>
      </c>
      <c r="AW2822" cm="1">
        <f t="array" ref="AW2822">IFERROR(IF(AV2822=0,0,(INDEX($C$33:$C$38,MATCH($AZ$2732,$B$33:$B$38,0),0)*(AV2825+$BA$2732)+$AW$2732*COUNTIF(AV2822:AV2824,"&gt;0")*$C$32+$AY$2732*$C$31)*$AU$2732),0)</f>
        <v>0</v>
      </c>
      <c r="AX2822">
        <f>IF(AV2822=0,0,-(COUNTIF(AV2822:AV2824,"&gt;0")*$AW$2732*$C$32+$AY$2732*$C$31)*$H$27*$AU$2732)</f>
        <v>0</v>
      </c>
      <c r="AY2822">
        <f>IF(AV2822=0,0,$AY$2732*$H$26*$AU$2732)</f>
        <v>0</v>
      </c>
      <c r="AZ2822">
        <f>(0.6*AW2822+0.7*AX2822)*$AU$2732/2</f>
        <v>0</v>
      </c>
      <c r="BA2822">
        <f>AW2822*$AU$2732/2</f>
        <v>0</v>
      </c>
      <c r="BC2822">
        <f>IF(AV2822=0,0,$BG$2732*$AP$2710)</f>
        <v>0</v>
      </c>
      <c r="BD2822">
        <f>IFERROR(BC2822/$AU$2732,0)</f>
        <v>0</v>
      </c>
      <c r="BE2822">
        <f>BC2822*($F$22+IF($F$22=0,0,($C$14+$C$15+IF($C$13="single",1.5,3)+3)/12))</f>
        <v>0</v>
      </c>
      <c r="BF2822">
        <f>BE2822-AZ2822</f>
        <v>0</v>
      </c>
      <c r="BG2822" cm="1">
        <f t="array" ref="BG2822">IFERROR(IF(BF2822&lt;0,0,BF2822/($AU$2732-INDEX(hd_off,MATCH(BT2822,hd_mark,0),0)/12)),0)</f>
        <v>0</v>
      </c>
      <c r="BH2822">
        <f>IF(AV2822=0,0,$BG$2732*$AM$2710)</f>
        <v>0</v>
      </c>
      <c r="BI2822">
        <f>IFERROR(BH2822/$AU$2732,0)</f>
        <v>0</v>
      </c>
      <c r="BJ2822">
        <f>BH2822*($F$22+IF($F$22=0,0,($C$14+$C$15+IF($C$13="single",1.5,3)+3)/12))</f>
        <v>0</v>
      </c>
      <c r="BK2822">
        <f>BJ2822-BA2822</f>
        <v>0</v>
      </c>
      <c r="BL2822" cm="1">
        <f t="array" ref="BL2822">IFERROR(IF(BK2822&lt;0,0,BK2822/($AU$2732-INDEX(hd_off,MATCH(BT2822,hd_mark,0),0)/12)),0)</f>
        <v>0</v>
      </c>
      <c r="BM2822">
        <f>MAX($F$22,$BC$2732)/$Q$2740</f>
        <v>0.30172413793103448</v>
      </c>
      <c r="BN2822">
        <f t="shared" ref="BN2822:BN2825" si="1735">IF(BM2822=0,0,IF(BM2822&gt;2,1.25-0.125*BM2822,1))</f>
        <v>1</v>
      </c>
      <c r="BO2822" cm="1">
        <f t="array" ref="BO2822">IFERROR(INDEX(sheath_ecap_asd,MATCH(BS2822,sheath_mark,0),0)*BN2822,0)</f>
        <v>0</v>
      </c>
      <c r="BP2822" cm="1">
        <f t="array" ref="BP2822">IFERROR(INDEX(sheath_wcap_asd,MATCH(BS2822,sheath_mark,0),0)*BN2822,0)</f>
        <v>0</v>
      </c>
      <c r="BQ2822" cm="1">
        <f t="array" ref="BQ2822">IFERROR(INDEX(hd_cap,MATCH(BT2822,hd_mark,0),0),0)</f>
        <v>0</v>
      </c>
      <c r="BS2822" s="19"/>
      <c r="BT2822" s="19"/>
      <c r="BU2822" s="100"/>
    </row>
    <row r="2823" x14ac:dyDescent="0.25">
      <c r="P2823" s="93"/>
      <c r="Q2823" s="109" t="s">
        <v>491</v>
      </c>
      <c r="R2823" t="str">
        <f>$Q$2711</f>
        <v>L4</v>
      </c>
      <c r="S2823">
        <f>$E$23</f>
        <v>0</v>
      </c>
      <c r="T2823" cm="1">
        <f t="array" ref="T2823">IFERROR(IF(S2823=0,0,(INDEX($C$33:$C$38,MATCH($W$2732,$B$33:$B$38,0),0)*(S2825+$X$2732)+$T$2732*COUNTIF(S2823:S2824,"&gt;0")*$C$32+$V$2732*$C$31)*$R$2732),0)</f>
        <v>0</v>
      </c>
      <c r="U2823">
        <f>IF(S2823=0,0,-(COUNTIF(S2823:S2824,"&gt;0")*$T$2732*$C$32+$V$2732*$C$31)*$H$27*$R$2732)</f>
        <v>0</v>
      </c>
      <c r="V2823">
        <f>IF(S2823=0,0,$V$2732*$H$26*$R$2732)</f>
        <v>0</v>
      </c>
      <c r="W2823">
        <f>(0.6*T2823+0.7*U2823)*$R$2732/2</f>
        <v>0</v>
      </c>
      <c r="X2823">
        <f>T2823*$R$2732/2</f>
        <v>0</v>
      </c>
      <c r="Z2823">
        <f>IF(S2823=0,0,$AD$2732*$AP$2711)</f>
        <v>0</v>
      </c>
      <c r="AA2823">
        <f>IFERROR(Z2823/$R$2732,0)</f>
        <v>0</v>
      </c>
      <c r="AB2823">
        <f>Z2823*($F$23+IF($F$23=0,0,($C$14+$C$15+IF($C$13="single",1.5,3)+3)/12))</f>
        <v>0</v>
      </c>
      <c r="AC2823">
        <f>AB2823-W2823</f>
        <v>0</v>
      </c>
      <c r="AD2823" cm="1">
        <f t="array" ref="AD2823">IFERROR(IF(AC2823&lt;0,0,AC2823/($R$2732-INDEX(hd_off,MATCH(AQ2823,hd_mark,0),0)/12)),0)</f>
        <v>0</v>
      </c>
      <c r="AE2823">
        <f>IF(S2823=0,0,$AD$2732*$AM$2711)</f>
        <v>0</v>
      </c>
      <c r="AF2823">
        <f>IFERROR(AE2823/$R$2732,0)</f>
        <v>0</v>
      </c>
      <c r="AG2823">
        <f>AE2823*($F$23+IF($F$23=0,0,($C$14+$C$15+IF($C$13="single",1.5,3)+3)/12))</f>
        <v>0</v>
      </c>
      <c r="AH2823">
        <f>AG2823-X2823</f>
        <v>0</v>
      </c>
      <c r="AI2823" cm="1">
        <f t="array" ref="AI2823">IFERROR(IF(AH2823&lt;0,0,AH2823/($R$2732-INDEX(hd_off,MATCH(AQ2823,hd_mark,0),0)/12)),0)</f>
        <v>0</v>
      </c>
      <c r="AJ2823">
        <f>MAX($F$23,$AA$2732)/$Q$2740</f>
        <v>0</v>
      </c>
      <c r="AK2823">
        <f t="shared" si="1734"/>
        <v>0</v>
      </c>
      <c r="AL2823" cm="1">
        <f t="array" ref="AL2823">IFERROR(INDEX(sheath_ecap_asd,MATCH(AP2823,sheath_mark,0),0)*AK2823,0)</f>
        <v>0</v>
      </c>
      <c r="AM2823" cm="1">
        <f t="array" ref="AM2823">IFERROR(INDEX(sheath_wcap_asd,MATCH(AP2823,sheath_mark,0),0)*AK2823,0)</f>
        <v>0</v>
      </c>
      <c r="AN2823" cm="1">
        <f t="array" ref="AN2823">IFERROR(INDEX(hd_cap,MATCH(AQ2823,hd_mark,0),0),0)</f>
        <v>0</v>
      </c>
      <c r="AP2823" s="19"/>
      <c r="AQ2823" s="19"/>
      <c r="AR2823" s="100"/>
      <c r="AS2823" s="93"/>
      <c r="AT2823" s="109" t="s">
        <v>491</v>
      </c>
      <c r="AU2823" t="str">
        <f>$Q$2711</f>
        <v>L4</v>
      </c>
      <c r="AV2823">
        <f>$E$23</f>
        <v>0</v>
      </c>
      <c r="AW2823" cm="1">
        <f t="array" ref="AW2823">IFERROR(IF(AV2823=0,0,(INDEX($C$33:$C$38,MATCH($AZ$2732,$B$33:$B$38,0),0)*(AV2825+$BA$2732)+$AW$2732*COUNTIF(AV2823:AV2824,"&gt;0")*$C$32+$AY$2732*$C$31)*$AU$2732),0)</f>
        <v>0</v>
      </c>
      <c r="AX2823">
        <f>IF(AV2823=0,0,-(COUNTIF(AV2823:AV2824,"&gt;0")*$AW$2732*$C$32+$AY$2732*$C$31)*$H$27*$AU$2732)</f>
        <v>0</v>
      </c>
      <c r="AY2823">
        <f>IF(AV2823=0,0,$AY$2732*$H$26*$AU$2732)</f>
        <v>0</v>
      </c>
      <c r="AZ2823">
        <f>(0.6*AW2823+0.7*AX2823)*$AU$2732/2</f>
        <v>0</v>
      </c>
      <c r="BA2823">
        <f>AW2823*$AU$2732/2</f>
        <v>0</v>
      </c>
      <c r="BC2823">
        <f>IF(AV2823=0,0,$BG$2732*$AP$2711)</f>
        <v>0</v>
      </c>
      <c r="BD2823">
        <f>IFERROR(BC2823/$AU$2732,0)</f>
        <v>0</v>
      </c>
      <c r="BE2823">
        <f>BC2823*($F$23+IF($F$23=0,0,($C$14+$C$15+IF($C$13="single",1.5,3)+3)/12))</f>
        <v>0</v>
      </c>
      <c r="BF2823">
        <f>BE2823-AZ2823</f>
        <v>0</v>
      </c>
      <c r="BG2823" cm="1">
        <f t="array" ref="BG2823">IFERROR(IF(BF2823&lt;0,0,BF2823/($AU$2732-INDEX(hd_off,MATCH(BT2823,hd_mark,0),0)/12)),0)</f>
        <v>0</v>
      </c>
      <c r="BH2823">
        <f>IF(AV2823=0,0,$BG$2732*$AM$2711)</f>
        <v>0</v>
      </c>
      <c r="BI2823">
        <f>IFERROR(BH2823/$AU$2732,0)</f>
        <v>0</v>
      </c>
      <c r="BJ2823">
        <f>BH2823*($F$23+IF($F$23=0,0,($C$14+$C$15+IF($C$13="single",1.5,3)+3)/12))</f>
        <v>0</v>
      </c>
      <c r="BK2823">
        <f>BJ2823-BA2823</f>
        <v>0</v>
      </c>
      <c r="BL2823" cm="1">
        <f t="array" ref="BL2823">IFERROR(IF(BK2823&lt;0,0,BK2823/($AU$2732-INDEX(hd_off,MATCH(BT2823,hd_mark,0),0)/12)),0)</f>
        <v>0</v>
      </c>
      <c r="BM2823">
        <f>MAX($F$23,$BD$2732)/$Q$2740</f>
        <v>0</v>
      </c>
      <c r="BN2823">
        <f t="shared" si="1735"/>
        <v>0</v>
      </c>
      <c r="BO2823" cm="1">
        <f t="array" ref="BO2823">IFERROR(INDEX(sheath_ecap_asd,MATCH(BS2823,sheath_mark,0),0)*BN2823,0)</f>
        <v>0</v>
      </c>
      <c r="BP2823" cm="1">
        <f t="array" ref="BP2823">IFERROR(INDEX(sheath_wcap_asd,MATCH(BS2823,sheath_mark,0),0)*BN2823,0)</f>
        <v>0</v>
      </c>
      <c r="BQ2823" cm="1">
        <f t="array" ref="BQ2823">IFERROR(INDEX(hd_cap,MATCH(BT2823,hd_mark,0),0),0)</f>
        <v>0</v>
      </c>
      <c r="BS2823" s="19"/>
      <c r="BT2823" s="19"/>
      <c r="BU2823" s="100"/>
    </row>
    <row r="2824" x14ac:dyDescent="0.25">
      <c r="P2824" s="93"/>
      <c r="Q2824" s="111">
        <f>$R$2732</f>
        <v>0</v>
      </c>
      <c r="R2824" t="str">
        <f>$Q$2712</f>
        <v>L5</v>
      </c>
      <c r="S2824">
        <f>$E$24</f>
        <v>0</v>
      </c>
      <c r="T2824" cm="1">
        <f t="array" ref="T2824">IFERROR(IF(S2824=0,0,(INDEX($C$33:$C$38,MATCH($W$2732,$B$33:$B$38,0),0)*(S2825+$X$2732)+$T$2732*COUNTIF(S2824:S2824,"&gt;0")*$C$32+$V$2732*$C$31)*$R$2732),0)</f>
        <v>0</v>
      </c>
      <c r="U2824">
        <f>IF(S2824=0,0,-(COUNTIF(S2824:S2824,"&gt;0")*$T$2732*$C$32+$V$2732*$C$31)*$H$27*$R$2732)</f>
        <v>0</v>
      </c>
      <c r="V2824">
        <f>IF(S2824=0,0,$V$2732*$H$26*$R$2732)</f>
        <v>0</v>
      </c>
      <c r="W2824">
        <f>(0.6*T2824+0.7*U2824)*$R$2732/2</f>
        <v>0</v>
      </c>
      <c r="X2824">
        <f>T2824*$R$2732/2</f>
        <v>0</v>
      </c>
      <c r="Z2824">
        <f>IF(S2824=0,0,$AD$2732*$AP$2712)</f>
        <v>0</v>
      </c>
      <c r="AA2824">
        <f>IFERROR(Z2824/$R$2732,0)</f>
        <v>0</v>
      </c>
      <c r="AB2824">
        <f>Z2824*($F$24+IF($F$24=0,0,($C$14+$C$15+IF($C$13="single",1.5,3)+3)/12))</f>
        <v>0</v>
      </c>
      <c r="AC2824">
        <f>AB2824-W2824</f>
        <v>0</v>
      </c>
      <c r="AD2824" cm="1">
        <f t="array" ref="AD2824">IFERROR(IF(AC2824&lt;0,0,AC2824/($R$2732-INDEX(hd_off,MATCH(AQ2824,hd_mark,0),0)/12)),0)</f>
        <v>0</v>
      </c>
      <c r="AE2824">
        <f>IF(S2824=0,0,$AD$2732*$AM$2712)</f>
        <v>0</v>
      </c>
      <c r="AF2824">
        <f>IFERROR(AE2824/$R$2732,0)</f>
        <v>0</v>
      </c>
      <c r="AG2824">
        <f>AE2824*($F$24+IF($F$24=0,0,($C$14+$C$15+IF($C$13="single",1.5,3)+3)/12))</f>
        <v>0</v>
      </c>
      <c r="AH2824">
        <f>AG2824-X2824</f>
        <v>0</v>
      </c>
      <c r="AI2824" cm="1">
        <f t="array" ref="AI2824">IFERROR(IF(AH2824&lt;0,0,AH2824/($R$2732-INDEX(hd_off,MATCH(AQ2824,hd_mark,0),0)/12)),0)</f>
        <v>0</v>
      </c>
      <c r="AJ2824">
        <f>MAX($F$24,$AB$2732)/$Q$2740</f>
        <v>0</v>
      </c>
      <c r="AK2824">
        <f t="shared" si="1734"/>
        <v>0</v>
      </c>
      <c r="AL2824" cm="1">
        <f t="array" ref="AL2824">IFERROR(INDEX(sheath_ecap_asd,MATCH(AP2824,sheath_mark,0),0)*AK2824,0)</f>
        <v>0</v>
      </c>
      <c r="AM2824" cm="1">
        <f t="array" ref="AM2824">IFERROR(INDEX(sheath_wcap_asd,MATCH(AP2824,sheath_mark,0),0)*AK2824,0)</f>
        <v>0</v>
      </c>
      <c r="AN2824" cm="1">
        <f t="array" ref="AN2824">IFERROR(INDEX(hd_cap,MATCH(AQ2824,hd_mark,0),0),0)</f>
        <v>0</v>
      </c>
      <c r="AP2824" s="19"/>
      <c r="AQ2824" s="19"/>
      <c r="AR2824" s="100"/>
      <c r="AS2824" s="93"/>
      <c r="AT2824" s="111">
        <f>$R$2732</f>
        <v>0</v>
      </c>
      <c r="AU2824" t="str">
        <f>$Q$2712</f>
        <v>L5</v>
      </c>
      <c r="AV2824">
        <f>$E$24</f>
        <v>0</v>
      </c>
      <c r="AW2824" cm="1">
        <f t="array" ref="AW2824">IFERROR(IF(AV2824=0,0,(INDEX($C$33:$C$38,MATCH($AZ$2732,$B$33:$B$38,0),0)*(AV2825+$BA$2732)+$AW$2732*COUNTIF(AV2824:AV2824,"&gt;0")*$C$32+$AY$2732*$C$31)*$AU$2732),0)</f>
        <v>0</v>
      </c>
      <c r="AX2824">
        <f>IF(AV2824=0,0,-(COUNTIF(AV2824:AV2824,"&gt;0")*$AW$2732*$C$32+$AY$2732*$C$31)*$H$27*$AU$2732)</f>
        <v>0</v>
      </c>
      <c r="AY2824">
        <f>IF(AV2824=0,0,$AY$2732*$H$26*$AU$2732)</f>
        <v>0</v>
      </c>
      <c r="AZ2824">
        <f>(0.6*AW2824+0.7*AX2824)*$AU$2732/2</f>
        <v>0</v>
      </c>
      <c r="BA2824">
        <f>AW2824*$AU$2732/2</f>
        <v>0</v>
      </c>
      <c r="BC2824">
        <f>IF(AV2824=0,0,$BG$2732*$AP$2712)</f>
        <v>0</v>
      </c>
      <c r="BD2824">
        <f>IFERROR(BC2824/$AU$2732,0)</f>
        <v>0</v>
      </c>
      <c r="BE2824">
        <f>BC2824*($F$24+IF($F$24=0,0,($C$14+$C$15+IF($C$13="single",1.5,3)+3)/12))</f>
        <v>0</v>
      </c>
      <c r="BF2824">
        <f>BE2824-AZ2824</f>
        <v>0</v>
      </c>
      <c r="BG2824" cm="1">
        <f t="array" ref="BG2824">IFERROR(IF(BF2824&lt;0,0,BF2824/($AU$2732-INDEX(hd_off,MATCH(BT2824,hd_mark,0),0)/12)),0)</f>
        <v>0</v>
      </c>
      <c r="BH2824">
        <f>IF(AV2824=0,0,$BG$2732*$AM$2712)</f>
        <v>0</v>
      </c>
      <c r="BI2824">
        <f>IFERROR(BH2824/$AU$2732,0)</f>
        <v>0</v>
      </c>
      <c r="BJ2824">
        <f>BH2824*($F$24+IF($F$24=0,0,($C$14+$C$15+IF($C$13="single",1.5,3)+3)/12))</f>
        <v>0</v>
      </c>
      <c r="BK2824">
        <f>BJ2824-BA2824</f>
        <v>0</v>
      </c>
      <c r="BL2824" cm="1">
        <f t="array" ref="BL2824">IFERROR(IF(BK2824&lt;0,0,BK2824/($AU$2732-INDEX(hd_off,MATCH(BT2824,hd_mark,0),0)/12)),0)</f>
        <v>0</v>
      </c>
      <c r="BM2824">
        <f>MAX($F$24,$BE$2732)/$Q$2740</f>
        <v>0</v>
      </c>
      <c r="BN2824">
        <f t="shared" si="1735"/>
        <v>0</v>
      </c>
      <c r="BO2824" cm="1">
        <f t="array" ref="BO2824">IFERROR(INDEX(sheath_ecap_asd,MATCH(BS2824,sheath_mark,0),0)*BN2824,0)</f>
        <v>0</v>
      </c>
      <c r="BP2824" cm="1">
        <f t="array" ref="BP2824">IFERROR(INDEX(sheath_wcap_asd,MATCH(BS2824,sheath_mark,0),0)*BN2824,0)</f>
        <v>0</v>
      </c>
      <c r="BQ2824" cm="1">
        <f t="array" ref="BQ2824">IFERROR(INDEX(hd_cap,MATCH(BT2824,hd_mark,0),0),0)</f>
        <v>0</v>
      </c>
      <c r="BS2824" s="19"/>
      <c r="BT2824" s="19"/>
      <c r="BU2824" s="100"/>
    </row>
    <row r="2825" x14ac:dyDescent="0.25">
      <c r="P2825" s="93"/>
      <c r="Q2825" s="109"/>
      <c r="R2825" t="str">
        <f>$Q$2713</f>
        <v>Roof</v>
      </c>
      <c r="S2825">
        <f>$E$25</f>
        <v>33.171875</v>
      </c>
      <c r="T2825" cm="1">
        <f t="array" ref="T2825">IFERROR(IF(S2825=0,0,(INDEX($C$33:$C$38,MATCH($W$2732,$B$33:$B$38,0),0)*(S2825+$X$2732)+$V$2732*$C$31)*$R$2732),0)</f>
        <v>0</v>
      </c>
      <c r="U2825">
        <f>IF(S2825=0,0,-$V$2732*$C$31*$H$27*$R$2732)</f>
        <v>0</v>
      </c>
      <c r="V2825">
        <f>IF(S2825=0,0,$V$2732*$H$26*$R$2732)</f>
        <v>0</v>
      </c>
      <c r="W2825">
        <f>(0.6*T2825+0.7*U2825)*$R$2732/2</f>
        <v>0</v>
      </c>
      <c r="X2825">
        <f>T2825*$R$2732/2</f>
        <v>0</v>
      </c>
      <c r="Z2825">
        <f>IF(S2825=0,0,$AD$2732*$AP$2713)</f>
        <v>0</v>
      </c>
      <c r="AA2825">
        <f>IFERROR(Z2825/$R$2732,0)</f>
        <v>0</v>
      </c>
      <c r="AB2825">
        <f>Z2825*($F$25+($C$16+$C$17+IF($C$13="single",1.5,3)+3)/12)</f>
        <v>0</v>
      </c>
      <c r="AC2825">
        <f>AB2825-W2825</f>
        <v>0</v>
      </c>
      <c r="AD2825" cm="1">
        <f t="array" ref="AD2825">IFERROR(IF(AC2825&lt;0,0,AC2825/($R$2732-INDEX(hd_off,MATCH(AQ2825,hd_mark,0),0)/12)),0)</f>
        <v>0</v>
      </c>
      <c r="AE2825">
        <f>IF(S2825=0,0,$AD$2732*$AM$2713)</f>
        <v>0</v>
      </c>
      <c r="AF2825">
        <f>IFERROR(AE2825/$R$2732,0)</f>
        <v>0</v>
      </c>
      <c r="AG2825">
        <f>AE2825*($F$25+($C$16+$C$17+IF($C$13="single",1.5,3)+3)/12)</f>
        <v>0</v>
      </c>
      <c r="AH2825">
        <f>AG2825-X2825</f>
        <v>0</v>
      </c>
      <c r="AI2825" cm="1">
        <f t="array" ref="AI2825">IFERROR(IF(AH2825&lt;0,0,AH2825/($R$2732-INDEX(hd_off,MATCH(AQ2825,hd_mark,0),0)/12)),0)</f>
        <v>0</v>
      </c>
      <c r="AJ2825">
        <f>MAX($F$25,$AC$2732)/$Q$2740</f>
        <v>0.29920977011494249</v>
      </c>
      <c r="AK2825">
        <f t="shared" si="1734"/>
        <v>1</v>
      </c>
      <c r="AL2825" cm="1">
        <f t="array" ref="AL2825">IFERROR(INDEX(sheath_ecap_asd,MATCH(AP2825,sheath_mark,0),0)*AK2825,0)</f>
        <v>0</v>
      </c>
      <c r="AM2825" cm="1">
        <f t="array" ref="AM2825">IFERROR(INDEX(sheath_wcap_asd,MATCH(AP2825,sheath_mark,0),0)*AK2825,0)</f>
        <v>0</v>
      </c>
      <c r="AN2825" cm="1">
        <f t="array" ref="AN2825">IFERROR(INDEX(hd_cap,MATCH(AQ2825,hd_mark,0),0),0)</f>
        <v>0</v>
      </c>
      <c r="AP2825" s="19"/>
      <c r="AQ2825" s="19"/>
      <c r="AR2825" s="100"/>
      <c r="AS2825" s="93"/>
      <c r="AT2825" s="109"/>
      <c r="AU2825" t="str">
        <f>$Q$2713</f>
        <v>Roof</v>
      </c>
      <c r="AV2825">
        <f>$E$25</f>
        <v>33.171875</v>
      </c>
      <c r="AW2825" cm="1">
        <f t="array" ref="AW2825">IFERROR(IF(AV2825=0,0,(INDEX($C$33:$C$38,MATCH($AZ$2732,$B$33:$B$38,0),0)*(AV2825+$BA$2732)+$AY$2732*$C$31)*$AU$2732),0)</f>
        <v>0</v>
      </c>
      <c r="AX2825">
        <f>IF(AV2825=0,0,-$AY$2732*$C$31*$H$27*$AU$2732)</f>
        <v>0</v>
      </c>
      <c r="AY2825">
        <f>IF(AV2825=0,0,$AY$2732*$H$26*$AU$2732)</f>
        <v>0</v>
      </c>
      <c r="AZ2825">
        <f>(0.6*AW2825+0.7*AX2825)*$AU$2732/2</f>
        <v>0</v>
      </c>
      <c r="BA2825">
        <f>AW2825*$AU$2732/2</f>
        <v>0</v>
      </c>
      <c r="BC2825">
        <f>IF(AV2825=0,0,$BG$2732*$AP$2713)</f>
        <v>0</v>
      </c>
      <c r="BD2825">
        <f>IFERROR(BC2825/$AU$2732,0)</f>
        <v>0</v>
      </c>
      <c r="BE2825">
        <f>BC2825*($F$25+($C$16+$C$17+IF($C$13="single",1.5,3)+3)/12)</f>
        <v>0</v>
      </c>
      <c r="BF2825">
        <f>BE2825-AZ2825</f>
        <v>0</v>
      </c>
      <c r="BG2825" cm="1">
        <f t="array" ref="BG2825">IFERROR(IF(BF2825&lt;0,0,BF2825/($AU$2732-INDEX(hd_off,MATCH(BT2825,hd_mark,0),0)/12)),0)</f>
        <v>0</v>
      </c>
      <c r="BH2825">
        <f>IF(AV2825=0,0,$BG$2732*$AM$2713)</f>
        <v>0</v>
      </c>
      <c r="BI2825">
        <f>IFERROR(BH2825/$AU$2732,0)</f>
        <v>0</v>
      </c>
      <c r="BJ2825">
        <f>BH2825*($F$25+($C$16+$C$17+IF($C$13="single",1.5,3)+3)/12)</f>
        <v>0</v>
      </c>
      <c r="BK2825">
        <f>BJ2825-BA2825</f>
        <v>0</v>
      </c>
      <c r="BL2825" cm="1">
        <f t="array" ref="BL2825">IFERROR(IF(BK2825&lt;0,0,BK2825/($AU$2732-INDEX(hd_off,MATCH(BT2825,hd_mark,0),0)/12)),0)</f>
        <v>0</v>
      </c>
      <c r="BM2825">
        <f>MAX($F$25,$BF$2732)/$Q$2740</f>
        <v>0.29920977011494249</v>
      </c>
      <c r="BN2825">
        <f t="shared" si="1735"/>
        <v>1</v>
      </c>
      <c r="BO2825" cm="1">
        <f t="array" ref="BO2825">IFERROR(INDEX(sheath_ecap_asd,MATCH(BS2825,sheath_mark,0),0)*BN2825,0)</f>
        <v>0</v>
      </c>
      <c r="BP2825" cm="1">
        <f t="array" ref="BP2825">IFERROR(INDEX(sheath_wcap_asd,MATCH(BS2825,sheath_mark,0),0)*BN2825,0)</f>
        <v>0</v>
      </c>
      <c r="BQ2825" cm="1">
        <f t="array" ref="BQ2825">IFERROR(INDEX(hd_cap,MATCH(BT2825,hd_mark,0),0),0)</f>
        <v>0</v>
      </c>
      <c r="BS2825" s="19"/>
      <c r="BT2825" s="19"/>
      <c r="BU2825" s="100"/>
    </row>
    <row r="2826" x14ac:dyDescent="0.25">
      <c r="P2826" s="93"/>
      <c r="AR2826" s="100"/>
      <c r="AS2826" s="93"/>
      <c r="BU2826" s="100"/>
    </row>
    <row r="2827" x14ac:dyDescent="0.25">
      <c r="P2827" s="93"/>
      <c r="Q2827" s="110" t="str">
        <f>$Q$2733</f>
        <v>A.16</v>
      </c>
      <c r="R2827" t="str">
        <f>$Q$2709</f>
        <v>L2</v>
      </c>
      <c r="S2827">
        <f>$E$21</f>
        <v>10.6875</v>
      </c>
      <c r="T2827" cm="1">
        <f t="array" ref="T2827">IFERROR(IF(S2827=0,0,(INDEX($C$33:$C$38,MATCH($W$2733,$B$33:$B$38,0),0)*(S2831+$X$2733)+$T$2733*COUNTIF(S2827:S2830,"&gt;0")*$C$32+$V$2733*$C$31)*$R$2733),0)</f>
        <v>0</v>
      </c>
      <c r="U2827">
        <f>IF(S2827=0,0,-(COUNTIF(S2827:S2830,"&gt;0")*$T$2733*$C$32+$V$2733*$C$31)*$H$27*$R$2733)</f>
        <v>0</v>
      </c>
      <c r="V2827">
        <f>IF(S2827=0,0,$V$2733*$H$26*$R$2733)</f>
        <v>0</v>
      </c>
      <c r="W2827">
        <f>(0.6*T2827+0.7*U2827)*$R$2733/2</f>
        <v>0</v>
      </c>
      <c r="X2827">
        <f>(0.6*T2827+0.6*V2827)*$R$2733/2</f>
        <v>0</v>
      </c>
      <c r="Z2827">
        <f>IF(S2827=0,0,$AD$2733*$AP$2709)</f>
        <v>0</v>
      </c>
      <c r="AA2827">
        <f>IFERROR(Z2827/$R$2733,0)</f>
        <v>0</v>
      </c>
      <c r="AB2827">
        <f>Z2827*($F$21+IF($F$21=0,0,($C$14+$C$15+IF($C$13="single",1.5,3)+3)/12))</f>
        <v>0</v>
      </c>
      <c r="AC2827">
        <f>AB2827-W2827</f>
        <v>0</v>
      </c>
      <c r="AD2827" cm="1">
        <f t="array" ref="AD2827">IFERROR(IF(AC2827&lt;0,0,AC2827/($R$2733-INDEX(hd_off,MATCH(AQ2827,hd_mark,0),0)/12)),0)</f>
        <v>0</v>
      </c>
      <c r="AE2827">
        <f>IF(S2827=0,0,$AD$2733*$AM$2709)</f>
        <v>0</v>
      </c>
      <c r="AF2827">
        <f>IFERROR(AE2827/$R$2733,0)</f>
        <v>0</v>
      </c>
      <c r="AG2827">
        <f>AE2827*($F$21+IF($F$21=0,0,($C$14+$C$15+IF($C$13="single",1.5,3)+3)/12))</f>
        <v>0</v>
      </c>
      <c r="AH2827">
        <f>AG2827-X2827</f>
        <v>0</v>
      </c>
      <c r="AI2827" cm="1">
        <f t="array" ref="AI2827">IFERROR(IF(AH2827&lt;0,0,AH2827/($R$2733-INDEX(hd_off,MATCH(AQ2827,hd_mark,0),0)/12)),0)</f>
        <v>0</v>
      </c>
      <c r="AJ2827">
        <f>MAX($F$21,$Y$2733)/$Q$2740</f>
        <v>0.30172413793103448</v>
      </c>
      <c r="AK2827">
        <f>IF(AJ2827=0,0,IF(AJ2827&gt;2,1.25-0.125*AJ2827,1))</f>
        <v>1</v>
      </c>
      <c r="AL2827" cm="1">
        <f t="array" ref="AL2827">IFERROR(INDEX(sheath_ecap_asd,MATCH(AP2827,sheath_mark,0),0)*AK2827,0)</f>
        <v>0</v>
      </c>
      <c r="AM2827" cm="1">
        <f t="array" ref="AM2827">IFERROR(INDEX(sheath_wcap_asd,MATCH(AP2827,sheath_mark,0),0)*AK2827,0)</f>
        <v>0</v>
      </c>
      <c r="AN2827" cm="1">
        <f t="array" ref="AN2827">IFERROR(INDEX(hd_cap,MATCH(AQ2827,hd_mark,0),0),0)</f>
        <v>0</v>
      </c>
      <c r="AP2827" s="19"/>
      <c r="AQ2827" s="19"/>
      <c r="AR2827" s="100"/>
      <c r="AS2827" s="93"/>
      <c r="AT2827" s="110" t="str">
        <f>$AT$2733</f>
        <v>1.16</v>
      </c>
      <c r="AU2827" t="str">
        <f>$Q$2709</f>
        <v>L2</v>
      </c>
      <c r="AV2827">
        <f>$E$21</f>
        <v>10.6875</v>
      </c>
      <c r="AW2827" cm="1">
        <f t="array" ref="AW2827">IFERROR(IF(AV2827=0,0,(INDEX($C$33:$C$38,MATCH($AZ$2733,$B$33:$B$38,0),0)*(AV2831+$BA$2733)+$AW$2733*COUNTIF(AV2827:AV2830,"&gt;0")*$C$32+$AY$2733*$C$31)*$AU$2733),0)</f>
        <v>0</v>
      </c>
      <c r="AX2827">
        <f>IF(AV2827=0,0,-(COUNTIF(AV2827:AV2830,"&gt;0")*$AW$2733*$C$32+$AY$2733*$C$31)*$H$27*$AU$2733)</f>
        <v>0</v>
      </c>
      <c r="AY2827">
        <f>IF(AV2827=0,0,$AY$2733*$H$26*$AU$2733)</f>
        <v>0</v>
      </c>
      <c r="AZ2827">
        <f>(0.6*AW2827+0.7*AX2827)*$AU$2733/2</f>
        <v>0</v>
      </c>
      <c r="BA2827">
        <f>(0.6*AW2827+0.6*AY2827)*$AU$2733/2</f>
        <v>0</v>
      </c>
      <c r="BC2827">
        <f>IF(AV2827=0,0,$BG$2733*$AP$2709)</f>
        <v>0</v>
      </c>
      <c r="BD2827">
        <f>IFERROR(BC2827/$AU$2733,0)</f>
        <v>0</v>
      </c>
      <c r="BE2827">
        <f>BC2827*($F$21+IF($F$21=0,0,($C$14+$C$15+IF($C$13="single",1.5,3)+3)/12))</f>
        <v>0</v>
      </c>
      <c r="BF2827">
        <f>BE2827-AZ2827</f>
        <v>0</v>
      </c>
      <c r="BG2827" cm="1">
        <f t="array" ref="BG2827">IFERROR(IF(BF2827&lt;0,0,BF2827/($AU$2733-INDEX(hd_off,MATCH(BT2827,hd_mark,0),0)/12)),0)</f>
        <v>0</v>
      </c>
      <c r="BH2827">
        <f>IF(AV2827=0,0,$BG$2733*$AM$2709)</f>
        <v>0</v>
      </c>
      <c r="BI2827">
        <f>IFERROR(BH2827/$AU$2733,0)</f>
        <v>0</v>
      </c>
      <c r="BJ2827">
        <f>BH2827*($F$21+IF($F$21=0,0,($C$14+$C$15+IF($C$13="single",1.5,3)+3)/12))</f>
        <v>0</v>
      </c>
      <c r="BK2827">
        <f>BJ2827-BA2827</f>
        <v>0</v>
      </c>
      <c r="BL2827" cm="1">
        <f t="array" ref="BL2827">IFERROR(IF(BK2827&lt;0,0,BK2827/($AU$2733-INDEX(hd_off,MATCH(BT2827,hd_mark,0),0)/12)),0)</f>
        <v>0</v>
      </c>
      <c r="BM2827">
        <f>MAX($F$21,$BB$2733)/$Q$2740</f>
        <v>0.30172413793103448</v>
      </c>
      <c r="BN2827">
        <f>IF(BM2827=0,0,IF(BM2827&gt;2,1.25-0.125*BM2827,1))</f>
        <v>1</v>
      </c>
      <c r="BO2827" cm="1">
        <f t="array" ref="BO2827">IFERROR(INDEX(sheath_ecap_asd,MATCH(BS2827,sheath_mark,0),0)*BN2827,0)</f>
        <v>0</v>
      </c>
      <c r="BP2827" cm="1">
        <f t="array" ref="BP2827">IFERROR(INDEX(sheath_wcap_asd,MATCH(BS2827,sheath_mark,0),0)*BN2827,0)</f>
        <v>0</v>
      </c>
      <c r="BQ2827" cm="1">
        <f t="array" ref="BQ2827">IFERROR(INDEX(hd_cap,MATCH(BT2827,hd_mark,0),0),0)</f>
        <v>0</v>
      </c>
      <c r="BS2827" s="19"/>
      <c r="BT2827" s="19"/>
      <c r="BU2827" s="100"/>
    </row>
    <row r="2828" x14ac:dyDescent="0.25">
      <c r="P2828" s="93"/>
      <c r="Q2828" s="109"/>
      <c r="R2828" t="str">
        <f>$Q$2710</f>
        <v>L3</v>
      </c>
      <c r="S2828">
        <f>$E$22</f>
        <v>21.375</v>
      </c>
      <c r="T2828" cm="1">
        <f t="array" ref="T2828">IFERROR(IF(S2828=0,0,(INDEX($C$33:$C$38,MATCH($W$2733,$B$33:$B$38,0),0)*(S2831+$X$2733)+$T$2733*COUNTIF(S2828:S2830,"&gt;0")*$C$32+$V$2733*$C$31)*$R$2733),0)</f>
        <v>0</v>
      </c>
      <c r="U2828">
        <f>IF(S2828=0,0,-(COUNTIF(S2828:S2830,"&gt;0")*$T$2733*$C$32+$V$2733*$C$31)*$H$27*$R$2733)</f>
        <v>0</v>
      </c>
      <c r="V2828">
        <f>IF(S2828=0,0,$V$2733*$H$26*$R$2733)</f>
        <v>0</v>
      </c>
      <c r="W2828">
        <f>(0.6*T2828+0.7*U2828)*$R$2733/2</f>
        <v>0</v>
      </c>
      <c r="X2828">
        <f>T2828*$R$2733/2</f>
        <v>0</v>
      </c>
      <c r="Z2828">
        <f>IF(S2828=0,0,$AD$2733*$AP$2710)</f>
        <v>0</v>
      </c>
      <c r="AA2828">
        <f>IFERROR(Z2828/$R$2733,0)</f>
        <v>0</v>
      </c>
      <c r="AB2828">
        <f>Z2828*($F$22+IF($F$22=0,0,($C$14+$C$15+IF($C$13="single",1.5,3)+3)/12))</f>
        <v>0</v>
      </c>
      <c r="AC2828">
        <f>AB2828-W2828</f>
        <v>0</v>
      </c>
      <c r="AD2828" cm="1">
        <f t="array" ref="AD2828">IFERROR(IF(AC2828&lt;0,0,AC2828/($R$2733-INDEX(hd_off,MATCH(AQ2828,hd_mark,0),0)/12)),0)</f>
        <v>0</v>
      </c>
      <c r="AE2828">
        <f>IF(S2828=0,0,$AD$2733*$AM$2710)</f>
        <v>0</v>
      </c>
      <c r="AF2828">
        <f>IFERROR(AE2828/$R$2733,0)</f>
        <v>0</v>
      </c>
      <c r="AG2828">
        <f>AE2828*($F$22+IF($F$22=0,0,($C$14+$C$15+IF($C$13="single",1.5,3)+3)/12))</f>
        <v>0</v>
      </c>
      <c r="AH2828">
        <f>AG2828-X2828</f>
        <v>0</v>
      </c>
      <c r="AI2828" cm="1">
        <f t="array" ref="AI2828">IFERROR(IF(AH2828&lt;0,0,AH2828/($R$2733-INDEX(hd_off,MATCH(AQ2828,hd_mark,0),0)/12)),0)</f>
        <v>0</v>
      </c>
      <c r="AJ2828">
        <f>MAX($F$22,$Z$2733)/$Q$2740</f>
        <v>0.30172413793103448</v>
      </c>
      <c r="AK2828">
        <f t="shared" ref="AK2828:AK2831" si="1736">IF(AJ2828=0,0,IF(AJ2828&gt;2,1.25-0.125*AJ2828,1))</f>
        <v>1</v>
      </c>
      <c r="AL2828" cm="1">
        <f t="array" ref="AL2828">IFERROR(INDEX(sheath_ecap_asd,MATCH(AP2828,sheath_mark,0),0)*AK2828,0)</f>
        <v>0</v>
      </c>
      <c r="AM2828" cm="1">
        <f t="array" ref="AM2828">IFERROR(INDEX(sheath_wcap_asd,MATCH(AP2828,sheath_mark,0),0)*AK2828,0)</f>
        <v>0</v>
      </c>
      <c r="AN2828" cm="1">
        <f t="array" ref="AN2828">IFERROR(INDEX(hd_cap,MATCH(AQ2828,hd_mark,0),0),0)</f>
        <v>0</v>
      </c>
      <c r="AP2828" s="19"/>
      <c r="AQ2828" s="19"/>
      <c r="AR2828" s="100"/>
      <c r="AS2828" s="93"/>
      <c r="AT2828" s="109"/>
      <c r="AU2828" t="str">
        <f>$Q$2710</f>
        <v>L3</v>
      </c>
      <c r="AV2828">
        <f>$E$22</f>
        <v>21.375</v>
      </c>
      <c r="AW2828" cm="1">
        <f t="array" ref="AW2828">IFERROR(IF(AV2828=0,0,(INDEX($C$33:$C$38,MATCH($AZ$2733,$B$33:$B$38,0),0)*(AV2831+$BA$2733)+$AW$2733*COUNTIF(AV2828:AV2830,"&gt;0")*$C$32+$AY$2733*$C$31)*$AU$2733),0)</f>
        <v>0</v>
      </c>
      <c r="AX2828">
        <f>IF(AV2828=0,0,-(COUNTIF(AV2828:AV2830,"&gt;0")*$AW$2733*$C$32+$AY$2733*$C$31)*$H$27*$AU$2733)</f>
        <v>0</v>
      </c>
      <c r="AY2828">
        <f>IF(AV2828=0,0,$AY$2733*$H$26*$AU$2733)</f>
        <v>0</v>
      </c>
      <c r="AZ2828">
        <f>(0.6*AW2828+0.7*AX2828)*$AU$2733/2</f>
        <v>0</v>
      </c>
      <c r="BA2828">
        <f>AW2828*$AU$2733/2</f>
        <v>0</v>
      </c>
      <c r="BC2828">
        <f>IF(AV2828=0,0,$BG$2733*$AP$2710)</f>
        <v>0</v>
      </c>
      <c r="BD2828">
        <f>IFERROR(BC2828/$AU$2733,0)</f>
        <v>0</v>
      </c>
      <c r="BE2828">
        <f>BC2828*($F$22+IF($F$22=0,0,($C$14+$C$15+IF($C$13="single",1.5,3)+3)/12))</f>
        <v>0</v>
      </c>
      <c r="BF2828">
        <f>BE2828-AZ2828</f>
        <v>0</v>
      </c>
      <c r="BG2828" cm="1">
        <f t="array" ref="BG2828">IFERROR(IF(BF2828&lt;0,0,BF2828/($AU$2733-INDEX(hd_off,MATCH(BT2828,hd_mark,0),0)/12)),0)</f>
        <v>0</v>
      </c>
      <c r="BH2828">
        <f>IF(AV2828=0,0,$BG$2733*$AM$2710)</f>
        <v>0</v>
      </c>
      <c r="BI2828">
        <f>IFERROR(BH2828/$AU$2733,0)</f>
        <v>0</v>
      </c>
      <c r="BJ2828">
        <f>BH2828*($F$22+IF($F$22=0,0,($C$14+$C$15+IF($C$13="single",1.5,3)+3)/12))</f>
        <v>0</v>
      </c>
      <c r="BK2828">
        <f>BJ2828-BA2828</f>
        <v>0</v>
      </c>
      <c r="BL2828" cm="1">
        <f t="array" ref="BL2828">IFERROR(IF(BK2828&lt;0,0,BK2828/($AU$2733-INDEX(hd_off,MATCH(BT2828,hd_mark,0),0)/12)),0)</f>
        <v>0</v>
      </c>
      <c r="BM2828">
        <f>MAX($F$22,$BC$2733)/$Q$2740</f>
        <v>0.30172413793103448</v>
      </c>
      <c r="BN2828">
        <f t="shared" ref="BN2828:BN2830" si="1737">IF(BM2828=0,0,IF(BM2828&gt;2,1.25-0.125*BM2828,1))</f>
        <v>1</v>
      </c>
      <c r="BO2828" cm="1">
        <f t="array" ref="BO2828">IFERROR(INDEX(sheath_ecap_asd,MATCH(BS2828,sheath_mark,0),0)*BN2828,0)</f>
        <v>0</v>
      </c>
      <c r="BP2828" cm="1">
        <f t="array" ref="BP2828">IFERROR(INDEX(sheath_wcap_asd,MATCH(BS2828,sheath_mark,0),0)*BN2828,0)</f>
        <v>0</v>
      </c>
      <c r="BQ2828" cm="1">
        <f t="array" ref="BQ2828">IFERROR(INDEX(hd_cap,MATCH(BT2828,hd_mark,0),0),0)</f>
        <v>0</v>
      </c>
      <c r="BS2828" s="19"/>
      <c r="BT2828" s="19"/>
      <c r="BU2828" s="100"/>
    </row>
    <row r="2829" x14ac:dyDescent="0.25">
      <c r="P2829" s="93"/>
      <c r="Q2829" s="109" t="s">
        <v>491</v>
      </c>
      <c r="R2829" t="str">
        <f>$Q$2711</f>
        <v>L4</v>
      </c>
      <c r="S2829">
        <f>$E$23</f>
        <v>0</v>
      </c>
      <c r="T2829" cm="1">
        <f t="array" ref="T2829">IFERROR(IF(S2829=0,0,(INDEX($C$33:$C$38,MATCH($W$2733,$B$33:$B$38,0),0)*(S2831+$X$2733)+$T$2733*COUNTIF(S2829:S2830,"&gt;0")*$C$32+$V$2733*$C$31)*$R$2733),0)</f>
        <v>0</v>
      </c>
      <c r="U2829">
        <f>IF(S2829=0,0,-(COUNTIF(S2829:S2830,"&gt;0")*$T$2733*$C$32+$V$2733*$C$31)*$H$27*$R$2733)</f>
        <v>0</v>
      </c>
      <c r="V2829">
        <f>IF(S2829=0,0,$V$2733*$H$26*$R$2733)</f>
        <v>0</v>
      </c>
      <c r="W2829">
        <f>(0.6*T2829+0.7*U2829)*$R$2733/2</f>
        <v>0</v>
      </c>
      <c r="X2829">
        <f>T2829*$R$2733/2</f>
        <v>0</v>
      </c>
      <c r="Z2829">
        <f>IF(S2829=0,0,$AD$2733*$AP$2711)</f>
        <v>0</v>
      </c>
      <c r="AA2829">
        <f>IFERROR(Z2829/$R$2733,0)</f>
        <v>0</v>
      </c>
      <c r="AB2829">
        <f>Z2829*($F$23+IF($F$23=0,0,($C$14+$C$15+IF($C$13="single",1.5,3)+3)/12))</f>
        <v>0</v>
      </c>
      <c r="AC2829">
        <f>AB2829-W2829</f>
        <v>0</v>
      </c>
      <c r="AD2829" cm="1">
        <f t="array" ref="AD2829">IFERROR(IF(AC2829&lt;0,0,AC2829/($R$2733-INDEX(hd_off,MATCH(AQ2829,hd_mark,0),0)/12)),0)</f>
        <v>0</v>
      </c>
      <c r="AE2829">
        <f>IF(S2829=0,0,$AD$2733*$AM$2711)</f>
        <v>0</v>
      </c>
      <c r="AF2829">
        <f>IFERROR(AE2829/$R$2733,0)</f>
        <v>0</v>
      </c>
      <c r="AG2829">
        <f>AE2829*($F$23+IF($F$23=0,0,($C$14+$C$15+IF($C$13="single",1.5,3)+3)/12))</f>
        <v>0</v>
      </c>
      <c r="AH2829">
        <f>AG2829-X2829</f>
        <v>0</v>
      </c>
      <c r="AI2829" cm="1">
        <f t="array" ref="AI2829">IFERROR(IF(AH2829&lt;0,0,AH2829/($R$2733-INDEX(hd_off,MATCH(AQ2829,hd_mark,0),0)/12)),0)</f>
        <v>0</v>
      </c>
      <c r="AJ2829">
        <f>MAX($F$23,$AA$2733)/$Q$2740</f>
        <v>0</v>
      </c>
      <c r="AK2829">
        <f t="shared" si="1736"/>
        <v>0</v>
      </c>
      <c r="AL2829" cm="1">
        <f t="array" ref="AL2829">IFERROR(INDEX(sheath_ecap_asd,MATCH(AP2829,sheath_mark,0),0)*AK2829,0)</f>
        <v>0</v>
      </c>
      <c r="AM2829" cm="1">
        <f t="array" ref="AM2829">IFERROR(INDEX(sheath_wcap_asd,MATCH(AP2829,sheath_mark,0),0)*AK2829,0)</f>
        <v>0</v>
      </c>
      <c r="AN2829" cm="1">
        <f t="array" ref="AN2829">IFERROR(INDEX(hd_cap,MATCH(AQ2829,hd_mark,0),0),0)</f>
        <v>0</v>
      </c>
      <c r="AP2829" s="19"/>
      <c r="AQ2829" s="19"/>
      <c r="AR2829" s="100"/>
      <c r="AS2829" s="93"/>
      <c r="AT2829" s="109" t="s">
        <v>491</v>
      </c>
      <c r="AU2829" t="str">
        <f>$Q$2711</f>
        <v>L4</v>
      </c>
      <c r="AV2829">
        <f>$E$23</f>
        <v>0</v>
      </c>
      <c r="AW2829" cm="1">
        <f t="array" ref="AW2829">IFERROR(IF(AV2829=0,0,(INDEX($C$33:$C$38,MATCH($AZ$2733,$B$33:$B$38,0),0)*(AV2831+$BA$2733)+$AW$2733*COUNTIF(AV2829:AV2830,"&gt;0")*$C$32+$AY$2733*$C$31)*$AU$2733),0)</f>
        <v>0</v>
      </c>
      <c r="AX2829">
        <f>IF(AV2829=0,0,-(COUNTIF(AV2829:AV2830,"&gt;0")*$AW$2733*$C$32+$AY$2733*$C$31)*$H$27*$AU$2733)</f>
        <v>0</v>
      </c>
      <c r="AY2829">
        <f>IF(AV2829=0,0,$AY$2733*$H$26*$AU$2733)</f>
        <v>0</v>
      </c>
      <c r="AZ2829">
        <f>(0.6*AW2829+0.7*AX2829)*$AU$2733/2</f>
        <v>0</v>
      </c>
      <c r="BA2829">
        <f>AW2829*$AU$2733/2</f>
        <v>0</v>
      </c>
      <c r="BC2829">
        <f>IF(AV2829=0,0,$BG$2733*$AP$2711)</f>
        <v>0</v>
      </c>
      <c r="BD2829">
        <f>IFERROR(BC2829/$AU$2733,0)</f>
        <v>0</v>
      </c>
      <c r="BE2829">
        <f>BC2829*($F$23+IF($F$23=0,0,($C$14+$C$15+IF($C$13="single",1.5,3)+3)/12))</f>
        <v>0</v>
      </c>
      <c r="BF2829">
        <f>BE2829-AZ2829</f>
        <v>0</v>
      </c>
      <c r="BG2829" cm="1">
        <f t="array" ref="BG2829">IFERROR(IF(BF2829&lt;0,0,BF2829/($AU$2733-INDEX(hd_off,MATCH(BT2829,hd_mark,0),0)/12)),0)</f>
        <v>0</v>
      </c>
      <c r="BH2829">
        <f>IF(AV2829=0,0,$BG$2733*$AM$2711)</f>
        <v>0</v>
      </c>
      <c r="BI2829">
        <f>IFERROR(BH2829/$AU$2733,0)</f>
        <v>0</v>
      </c>
      <c r="BJ2829">
        <f>BH2829*($F$23+IF($F$23=0,0,($C$14+$C$15+IF($C$13="single",1.5,3)+3)/12))</f>
        <v>0</v>
      </c>
      <c r="BK2829">
        <f>BJ2829-BA2829</f>
        <v>0</v>
      </c>
      <c r="BL2829" cm="1">
        <f t="array" ref="BL2829">IFERROR(IF(BK2829&lt;0,0,BK2829/($AU$2733-INDEX(hd_off,MATCH(BT2829,hd_mark,0),0)/12)),0)</f>
        <v>0</v>
      </c>
      <c r="BM2829">
        <f>MAX($F$23,$BD$2733)/$Q$2740</f>
        <v>0</v>
      </c>
      <c r="BN2829">
        <f t="shared" si="1737"/>
        <v>0</v>
      </c>
      <c r="BO2829" cm="1">
        <f t="array" ref="BO2829">IFERROR(INDEX(sheath_ecap_asd,MATCH(BS2829,sheath_mark,0),0)*BN2829,0)</f>
        <v>0</v>
      </c>
      <c r="BP2829" cm="1">
        <f t="array" ref="BP2829">IFERROR(INDEX(sheath_wcap_asd,MATCH(BS2829,sheath_mark,0),0)*BN2829,0)</f>
        <v>0</v>
      </c>
      <c r="BQ2829" cm="1">
        <f t="array" ref="BQ2829">IFERROR(INDEX(hd_cap,MATCH(BT2829,hd_mark,0),0),0)</f>
        <v>0</v>
      </c>
      <c r="BS2829" s="19"/>
      <c r="BT2829" s="19"/>
      <c r="BU2829" s="100"/>
    </row>
    <row r="2830" x14ac:dyDescent="0.25">
      <c r="P2830" s="93"/>
      <c r="Q2830" s="111">
        <f>$R$2733</f>
        <v>0</v>
      </c>
      <c r="R2830" t="str">
        <f>$Q$2712</f>
        <v>L5</v>
      </c>
      <c r="S2830">
        <f>$E$24</f>
        <v>0</v>
      </c>
      <c r="T2830" cm="1">
        <f t="array" ref="T2830">IFERROR(IF(S2830=0,0,(INDEX($C$33:$C$38,MATCH($W$2733,$B$33:$B$38,0),0)*(S2831+$X$2733)+$T$2733*COUNTIF(S2830:S2830,"&gt;0")*$C$32+$V$2733*$C$31)*$R$2733),0)</f>
        <v>0</v>
      </c>
      <c r="U2830">
        <f>IF(S2830=0,0,-(COUNTIF(S2830:S2830,"&gt;0")*$T$2733*$C$32+$V$2733*$C$31)*$H$27*$R$2733)</f>
        <v>0</v>
      </c>
      <c r="V2830">
        <f>IF(S2830=0,0,$V$2733*$H$26*$R$2733)</f>
        <v>0</v>
      </c>
      <c r="W2830">
        <f>(0.6*T2830+0.7*U2830)*$R$2733/2</f>
        <v>0</v>
      </c>
      <c r="X2830">
        <f>T2830*$R$2733/2</f>
        <v>0</v>
      </c>
      <c r="Z2830">
        <f>IF(S2830=0,0,$AD$2733*$AP$2712)</f>
        <v>0</v>
      </c>
      <c r="AA2830">
        <f>IFERROR(Z2830/$R$2733,0)</f>
        <v>0</v>
      </c>
      <c r="AB2830">
        <f>Z2830*($F$24+IF($F$24=0,0,($C$14+$C$15+IF($C$13="single",1.5,3)+3)/12))</f>
        <v>0</v>
      </c>
      <c r="AC2830">
        <f>AB2830-W2830</f>
        <v>0</v>
      </c>
      <c r="AD2830" cm="1">
        <f t="array" ref="AD2830">IFERROR(IF(AC2830&lt;0,0,AC2830/($R$2733-INDEX(hd_off,MATCH(AQ2830,hd_mark,0),0)/12)),0)</f>
        <v>0</v>
      </c>
      <c r="AE2830">
        <f>IF(S2830=0,0,$AD$2733*$AM$2712)</f>
        <v>0</v>
      </c>
      <c r="AF2830">
        <f>IFERROR(AE2830/$R$2733,0)</f>
        <v>0</v>
      </c>
      <c r="AG2830">
        <f>AE2830*($F$24+IF($F$24=0,0,($C$14+$C$15+IF($C$13="single",1.5,3)+3)/12))</f>
        <v>0</v>
      </c>
      <c r="AH2830">
        <f>AG2830-X2830</f>
        <v>0</v>
      </c>
      <c r="AI2830" cm="1">
        <f t="array" ref="AI2830">IFERROR(IF(AH2830&lt;0,0,AH2830/($R$2733-INDEX(hd_off,MATCH(AQ2830,hd_mark,0),0)/12)),0)</f>
        <v>0</v>
      </c>
      <c r="AJ2830">
        <f>MAX($F$24,$AB$2733)/$Q$2740</f>
        <v>0</v>
      </c>
      <c r="AK2830">
        <f t="shared" si="1736"/>
        <v>0</v>
      </c>
      <c r="AL2830" cm="1">
        <f t="array" ref="AL2830">IFERROR(INDEX(sheath_ecap_asd,MATCH(AP2830,sheath_mark,0),0)*AK2830,0)</f>
        <v>0</v>
      </c>
      <c r="AM2830" cm="1">
        <f t="array" ref="AM2830">IFERROR(INDEX(sheath_wcap_asd,MATCH(AP2830,sheath_mark,0),0)*AK2830,0)</f>
        <v>0</v>
      </c>
      <c r="AN2830" cm="1">
        <f t="array" ref="AN2830">IFERROR(INDEX(hd_cap,MATCH(AQ2830,hd_mark,0),0),0)</f>
        <v>0</v>
      </c>
      <c r="AP2830" s="19"/>
      <c r="AQ2830" s="19"/>
      <c r="AR2830" s="100"/>
      <c r="AS2830" s="93"/>
      <c r="AT2830" s="111">
        <f>$R$2733</f>
        <v>0</v>
      </c>
      <c r="AU2830" t="str">
        <f>$Q$2712</f>
        <v>L5</v>
      </c>
      <c r="AV2830">
        <f>$E$24</f>
        <v>0</v>
      </c>
      <c r="AW2830" cm="1">
        <f t="array" ref="AW2830">IFERROR(IF(AV2830=0,0,(INDEX($C$33:$C$38,MATCH($AZ$2733,$B$33:$B$38,0),0)*(AV2831+$BA$2733)+$AW$2733*COUNTIF(AV2830:AV2830,"&gt;0")*$C$32+$AY$2733*$C$31)*$AU$2733),0)</f>
        <v>0</v>
      </c>
      <c r="AX2830">
        <f>IF(AV2830=0,0,-(COUNTIF(AV2830:AV2830,"&gt;0")*$AW$2733*$C$32+$AY$2733*$C$31)*$H$27*$AU$2733)</f>
        <v>0</v>
      </c>
      <c r="AY2830">
        <f>IF(AV2830=0,0,$AY$2733*$H$26*$AU$2733)</f>
        <v>0</v>
      </c>
      <c r="AZ2830">
        <f>(0.6*AW2830+0.7*AX2830)*$AU$2733/2</f>
        <v>0</v>
      </c>
      <c r="BA2830">
        <f>AW2830*$AU$2733/2</f>
        <v>0</v>
      </c>
      <c r="BC2830">
        <f>IF(AV2830=0,0,$BG$2733*$AP$2712)</f>
        <v>0</v>
      </c>
      <c r="BD2830">
        <f>IFERROR(BC2830/$AU$2733,0)</f>
        <v>0</v>
      </c>
      <c r="BE2830">
        <f>BC2830*($F$24+IF($F$24=0,0,($C$14+$C$15+IF($C$13="single",1.5,3)+3)/12))</f>
        <v>0</v>
      </c>
      <c r="BF2830">
        <f>BE2830-AZ2830</f>
        <v>0</v>
      </c>
      <c r="BG2830" cm="1">
        <f t="array" ref="BG2830">IFERROR(IF(BF2830&lt;0,0,BF2830/($AU$2733-INDEX(hd_off,MATCH(BT2830,hd_mark,0),0)/12)),0)</f>
        <v>0</v>
      </c>
      <c r="BH2830">
        <f>IF(AV2830=0,0,$BG$2733*$AM$2712)</f>
        <v>0</v>
      </c>
      <c r="BI2830">
        <f>IFERROR(BH2830/$AU$2733,0)</f>
        <v>0</v>
      </c>
      <c r="BJ2830">
        <f>BH2830*($F$24+IF($F$24=0,0,($C$14+$C$15+IF($C$13="single",1.5,3)+3)/12))</f>
        <v>0</v>
      </c>
      <c r="BK2830">
        <f>BJ2830-BA2830</f>
        <v>0</v>
      </c>
      <c r="BL2830" cm="1">
        <f t="array" ref="BL2830">IFERROR(IF(BK2830&lt;0,0,BK2830/($AU$2733-INDEX(hd_off,MATCH(BT2830,hd_mark,0),0)/12)),0)</f>
        <v>0</v>
      </c>
      <c r="BM2830">
        <f>MAX($F$24,$BE$2733)/$Q$2740</f>
        <v>0</v>
      </c>
      <c r="BN2830">
        <f t="shared" si="1737"/>
        <v>0</v>
      </c>
      <c r="BO2830" cm="1">
        <f t="array" ref="BO2830">IFERROR(INDEX(sheath_ecap_asd,MATCH(BS2830,sheath_mark,0),0)*BN2830,0)</f>
        <v>0</v>
      </c>
      <c r="BP2830" cm="1">
        <f t="array" ref="BP2830">IFERROR(INDEX(sheath_wcap_asd,MATCH(BS2830,sheath_mark,0),0)*BN2830,0)</f>
        <v>0</v>
      </c>
      <c r="BQ2830" cm="1">
        <f t="array" ref="BQ2830">IFERROR(INDEX(hd_cap,MATCH(BT2830,hd_mark,0),0),0)</f>
        <v>0</v>
      </c>
      <c r="BS2830" s="19"/>
      <c r="BT2830" s="19"/>
      <c r="BU2830" s="100"/>
    </row>
    <row r="2831" x14ac:dyDescent="0.25">
      <c r="P2831" s="93"/>
      <c r="Q2831" s="109"/>
      <c r="R2831" t="str">
        <f>$Q$2713</f>
        <v>Roof</v>
      </c>
      <c r="S2831">
        <f>$E$25</f>
        <v>33.171875</v>
      </c>
      <c r="T2831" cm="1">
        <f t="array" ref="T2831">IFERROR(IF(S2831=0,0,(INDEX($C$33:$C$38,MATCH($W$2733,$B$33:$B$38,0),0)*(S2831+$X$2733)+$V$2733*$C$31)*$R$2733),0)</f>
        <v>0</v>
      </c>
      <c r="U2831">
        <f>IF(S2831=0,0,-$V$2733*$C$31*$H$27*$R$2733)</f>
        <v>0</v>
      </c>
      <c r="V2831">
        <f>IF(S2831=0,0,$V$2733*$H$26*$R$2733)</f>
        <v>0</v>
      </c>
      <c r="W2831">
        <f>(0.6*T2831+0.7*U2831)*$R$2733/2</f>
        <v>0</v>
      </c>
      <c r="X2831">
        <f>T2831*$R$2733/2</f>
        <v>0</v>
      </c>
      <c r="Z2831">
        <f>IF(S2831=0,0,$AD$2733*$AP$2713)</f>
        <v>0</v>
      </c>
      <c r="AA2831">
        <f>IFERROR(Z2831/$R$2733,0)</f>
        <v>0</v>
      </c>
      <c r="AB2831">
        <f>Z2831*($F$25+($C$16+$C$17+IF($C$13="single",1.5,3)+3)/12)</f>
        <v>0</v>
      </c>
      <c r="AC2831">
        <f>AB2831-W2831</f>
        <v>0</v>
      </c>
      <c r="AD2831" cm="1">
        <f t="array" ref="AD2831">IFERROR(IF(AC2831&lt;0,0,AC2831/($R$2733-INDEX(hd_off,MATCH(AQ2831,hd_mark,0),0)/12)),0)</f>
        <v>0</v>
      </c>
      <c r="AE2831">
        <f>IF(S2831=0,0,$AD$2733*$AM$2713)</f>
        <v>0</v>
      </c>
      <c r="AF2831">
        <f>IFERROR(AE2831/$R$2733,0)</f>
        <v>0</v>
      </c>
      <c r="AG2831">
        <f>AE2831*($F$25+($C$16+$C$17+IF($C$13="single",1.5,3)+3)/12)</f>
        <v>0</v>
      </c>
      <c r="AH2831">
        <f>AG2831-X2831</f>
        <v>0</v>
      </c>
      <c r="AI2831" cm="1">
        <f t="array" ref="AI2831">IFERROR(IF(AH2831&lt;0,0,AH2831/($R$2733-INDEX(hd_off,MATCH(AQ2831,hd_mark,0),0)/12)),0)</f>
        <v>0</v>
      </c>
      <c r="AJ2831">
        <f>MAX($F$25,$AC$2733)/$Q$2740</f>
        <v>0.29920977011494249</v>
      </c>
      <c r="AK2831">
        <f t="shared" si="1736"/>
        <v>1</v>
      </c>
      <c r="AL2831" cm="1">
        <f t="array" ref="AL2831">IFERROR(INDEX(sheath_ecap_asd,MATCH(AP2831,sheath_mark,0),0)*AK2831,0)</f>
        <v>0</v>
      </c>
      <c r="AM2831" cm="1">
        <f t="array" ref="AM2831">IFERROR(INDEX(sheath_wcap_asd,MATCH(AP2831,sheath_mark,0),0)*AK2831,0)</f>
        <v>0</v>
      </c>
      <c r="AN2831" cm="1">
        <f t="array" ref="AN2831">IFERROR(INDEX(hd_cap,MATCH(AQ2831,hd_mark,0),0),0)</f>
        <v>0</v>
      </c>
      <c r="AP2831" s="19"/>
      <c r="AQ2831" s="19"/>
      <c r="AR2831" s="100"/>
      <c r="AS2831" s="93"/>
      <c r="BU2831" s="100"/>
    </row>
    <row r="2832" x14ac:dyDescent="0.25">
      <c r="B2832" s="1" t="s">
        <v>569</v>
      </c>
      <c r="C2832">
        <f>E16+H16*12</f>
        <v>32.4375</v>
      </c>
      <c r="E2832" s="19">
        <v>24</v>
      </c>
      <c r="F2832" s="19">
        <f>32+5.625/12</f>
        <v>32.46875</v>
      </c>
      <c r="G2832" s="19">
        <f>33+10.5/12</f>
        <v>33.875</v>
      </c>
      <c r="H2832">
        <f>(G16-F16)/2</f>
        <v>0.703125</v>
      </c>
      <c r="P2832" s="93"/>
      <c r="Q2832" t="s">
        <v>524</v>
      </c>
      <c r="R2832" s="2" t="str">
        <f>$B$64</f>
        <v>A</v>
      </c>
      <c r="AR2832" s="100"/>
      <c r="AS2832" s="93"/>
      <c r="AT2832" t="s">
        <v>524</v>
      </c>
      <c r="AU2832" s="2">
        <f>H64</f>
        <v>1</v>
      </c>
      <c r="BU2832" s="100"/>
    </row>
    <row r="2833" x14ac:dyDescent="0.25">
      <c r="B2833" s="1" t="s">
        <v>500</v>
      </c>
      <c r="C2833" s="19">
        <v>0.5</v>
      </c>
      <c r="P2833" s="93"/>
      <c r="AR2833" s="100"/>
      <c r="AS2833" s="93"/>
      <c r="BU2833" s="100"/>
    </row>
    <row r="2834" x14ac:dyDescent="0.25">
      <c r="P2834" s="93"/>
      <c r="R2834" t="s">
        <v>482</v>
      </c>
      <c r="Z2834" t="s">
        <v>483</v>
      </c>
      <c r="AH2834" t="s">
        <v>502</v>
      </c>
      <c r="AJ2834" t="s">
        <v>454</v>
      </c>
      <c r="AR2834" s="100"/>
      <c r="AS2834" s="93"/>
      <c r="AU2834" t="s">
        <v>482</v>
      </c>
      <c r="BC2834" t="s">
        <v>483</v>
      </c>
      <c r="BK2834" t="s">
        <v>502</v>
      </c>
      <c r="BM2834" t="s">
        <v>454</v>
      </c>
      <c r="BU2834" s="100"/>
    </row>
    <row r="2835" x14ac:dyDescent="0.25">
      <c r="B2835" t="s">
        <v>448</v>
      </c>
      <c r="C2835" t="s">
        <v>272</v>
      </c>
      <c r="D2835" t="s">
        <v>193</v>
      </c>
      <c r="E2835" s="70" t="s">
        <v>454</v>
      </c>
      <c r="F2835" s="71" t="s">
        <v>501</v>
      </c>
      <c r="H2835" t="s">
        <v>475</v>
      </c>
      <c r="J2835" t="s">
        <v>476</v>
      </c>
      <c r="P2835" s="93"/>
      <c r="R2835" t="s">
        <v>480</v>
      </c>
      <c r="S2835" t="s">
        <v>481</v>
      </c>
      <c r="T2835" t="s">
        <v>486</v>
      </c>
      <c r="U2835" t="s">
        <v>487</v>
      </c>
      <c r="V2835" t="s">
        <v>484</v>
      </c>
      <c r="W2835" t="s">
        <v>485</v>
      </c>
      <c r="X2835" t="s">
        <v>488</v>
      </c>
      <c r="Y2835" t="s">
        <v>489</v>
      </c>
      <c r="Z2835" t="s">
        <v>480</v>
      </c>
      <c r="AA2835" t="s">
        <v>481</v>
      </c>
      <c r="AB2835" t="s">
        <v>486</v>
      </c>
      <c r="AC2835" t="s">
        <v>487</v>
      </c>
      <c r="AD2835" t="s">
        <v>484</v>
      </c>
      <c r="AE2835" t="s">
        <v>485</v>
      </c>
      <c r="AF2835" t="s">
        <v>488</v>
      </c>
      <c r="AG2835" t="s">
        <v>489</v>
      </c>
      <c r="AH2835" t="s">
        <v>312</v>
      </c>
      <c r="AI2835" t="s">
        <v>258</v>
      </c>
      <c r="AJ2835" t="s">
        <v>486</v>
      </c>
      <c r="AK2835" t="s">
        <v>490</v>
      </c>
      <c r="AL2835" t="s">
        <v>487</v>
      </c>
      <c r="AM2835" t="s">
        <v>490</v>
      </c>
      <c r="AN2835" t="s">
        <v>488</v>
      </c>
      <c r="AO2835" t="s">
        <v>490</v>
      </c>
      <c r="AP2835" t="s">
        <v>489</v>
      </c>
      <c r="AQ2835" t="s">
        <v>490</v>
      </c>
      <c r="AR2835" s="100"/>
      <c r="AS2835" s="93"/>
      <c r="AU2835" t="s">
        <v>480</v>
      </c>
      <c r="AV2835" t="s">
        <v>481</v>
      </c>
      <c r="AW2835" t="s">
        <v>486</v>
      </c>
      <c r="AX2835" t="s">
        <v>487</v>
      </c>
      <c r="AY2835" t="s">
        <v>484</v>
      </c>
      <c r="AZ2835" t="s">
        <v>485</v>
      </c>
      <c r="BA2835" t="s">
        <v>488</v>
      </c>
      <c r="BB2835" t="s">
        <v>489</v>
      </c>
      <c r="BC2835" t="s">
        <v>480</v>
      </c>
      <c r="BD2835" t="s">
        <v>481</v>
      </c>
      <c r="BE2835" t="s">
        <v>486</v>
      </c>
      <c r="BF2835" t="s">
        <v>487</v>
      </c>
      <c r="BG2835" t="s">
        <v>484</v>
      </c>
      <c r="BH2835" t="s">
        <v>485</v>
      </c>
      <c r="BI2835" t="s">
        <v>488</v>
      </c>
      <c r="BJ2835" t="s">
        <v>489</v>
      </c>
      <c r="BK2835" t="s">
        <v>312</v>
      </c>
      <c r="BL2835" t="s">
        <v>258</v>
      </c>
      <c r="BM2835" t="s">
        <v>486</v>
      </c>
      <c r="BN2835" t="s">
        <v>490</v>
      </c>
      <c r="BO2835" t="s">
        <v>487</v>
      </c>
      <c r="BP2835" t="s">
        <v>490</v>
      </c>
      <c r="BQ2835" t="s">
        <v>488</v>
      </c>
      <c r="BR2835" t="s">
        <v>490</v>
      </c>
      <c r="BS2835" t="s">
        <v>489</v>
      </c>
      <c r="BT2835" t="s">
        <v>490</v>
      </c>
      <c r="BU2835" s="100"/>
    </row>
    <row r="2836" x14ac:dyDescent="0.25">
      <c r="B2836" t="s">
        <v>449</v>
      </c>
      <c r="C2836" s="19">
        <v>0</v>
      </c>
      <c r="D2836" s="19">
        <v>0</v>
      </c>
      <c r="E2836" s="66">
        <f>C20+D20/12</f>
        <v>0</v>
      </c>
      <c r="F2836" s="67">
        <v>0</v>
      </c>
      <c r="H2836" s="19">
        <v>0</v>
      </c>
      <c r="I2836" s="64" t="s">
        <v>196</v>
      </c>
      <c r="J2836" s="19">
        <v>0</v>
      </c>
      <c r="K2836" s="19">
        <v>0</v>
      </c>
      <c r="L2836" s="19">
        <v>0</v>
      </c>
      <c r="M2836" s="19">
        <v>0</v>
      </c>
      <c r="P2836" s="93"/>
      <c r="Q2836" t="s">
        <v>449</v>
      </c>
      <c r="R2836" s="19">
        <f>$H$20</f>
        <v>0</v>
      </c>
      <c r="S2836">
        <f>R2836*0.6</f>
        <v>0</v>
      </c>
      <c r="T2836">
        <f>$C$64/2*R2836</f>
        <v>0</v>
      </c>
      <c r="U2836">
        <f>T2836*0.6</f>
        <v>0</v>
      </c>
      <c r="V2836" s="19">
        <v>0</v>
      </c>
      <c r="W2836">
        <f>V2836*0.7</f>
        <v>0</v>
      </c>
      <c r="X2836">
        <f>$C$64/2*V2836</f>
        <v>0</v>
      </c>
      <c r="Y2836">
        <f>X2836*0.7</f>
        <v>0</v>
      </c>
      <c r="Z2836" s="19">
        <f>$H$20</f>
        <v>0</v>
      </c>
      <c r="AA2836">
        <f>Z2836*0.6</f>
        <v>0</v>
      </c>
      <c r="AB2836">
        <f>$D$64/2*Z2836</f>
        <v>0</v>
      </c>
      <c r="AC2836">
        <f t="shared" ref="AC2836:AC2842" si="1738">0.6*AB2836</f>
        <v>0</v>
      </c>
      <c r="AD2836" s="19">
        <v>0</v>
      </c>
      <c r="AE2836">
        <f>AD2836*0.7</f>
        <v>0</v>
      </c>
      <c r="AF2836">
        <f>$D$64/2*AD2836</f>
        <v>0</v>
      </c>
      <c r="AG2836">
        <f>AF2836*0.7</f>
        <v>0</v>
      </c>
      <c r="AH2836" s="19">
        <v>0</v>
      </c>
      <c r="AI2836" s="19">
        <v>0</v>
      </c>
      <c r="AJ2836" s="17">
        <f>T2836+AB2836+AH2836</f>
        <v>0</v>
      </c>
      <c r="AK2836" s="17">
        <f>AK2837+AJ2836</f>
        <v>13166</v>
      </c>
      <c r="AL2836" s="17">
        <f>AJ2836*0.6</f>
        <v>0</v>
      </c>
      <c r="AM2836" s="17">
        <f>AM2837+AL2836</f>
        <v>7899.5999999999995</v>
      </c>
      <c r="AN2836" s="17">
        <f>X2836+AF2836+AI2836</f>
        <v>0</v>
      </c>
      <c r="AO2836" s="17">
        <f t="shared" ref="AO2836:AQ2839" si="1739">AN2836+AO2837</f>
        <v>1302.0999999999999</v>
      </c>
      <c r="AP2836" s="17">
        <f>AN2836*0.7</f>
        <v>0</v>
      </c>
      <c r="AQ2836" s="17">
        <f>AP2836+AQ2837</f>
        <v>911.46999999999991</v>
      </c>
      <c r="AR2836" s="100"/>
      <c r="AS2836" s="93"/>
      <c r="AT2836" t="s">
        <v>449</v>
      </c>
      <c r="AU2836" s="19">
        <f>$H$20</f>
        <v>0</v>
      </c>
      <c r="AV2836">
        <f>AU2836*0.6</f>
        <v>0</v>
      </c>
      <c r="AW2836">
        <f t="shared" ref="AW2836:AW2842" si="1740">$I$64/2*AU2836</f>
        <v>0</v>
      </c>
      <c r="AX2836">
        <f>AW2836*0.6</f>
        <v>0</v>
      </c>
      <c r="AY2836" s="19">
        <v>0</v>
      </c>
      <c r="AZ2836">
        <f>AY2836*0.7</f>
        <v>0</v>
      </c>
      <c r="BA2836">
        <f t="shared" ref="BA2836:BA2841" si="1741">$I$64/2*AY2836</f>
        <v>0</v>
      </c>
      <c r="BB2836">
        <f>BA2836*0.7</f>
        <v>0</v>
      </c>
      <c r="BC2836" s="19">
        <f>$H$20</f>
        <v>0</v>
      </c>
      <c r="BD2836">
        <f>BC2836*0.6</f>
        <v>0</v>
      </c>
      <c r="BE2836">
        <f t="shared" ref="BE2836:BE2842" si="1742">$J$64/2*BC2836</f>
        <v>0</v>
      </c>
      <c r="BF2836">
        <f t="shared" ref="BF2836:BF2842" si="1743">0.6*BE2836</f>
        <v>0</v>
      </c>
      <c r="BG2836" s="19">
        <v>0</v>
      </c>
      <c r="BH2836">
        <f>BG2836*0.7</f>
        <v>0</v>
      </c>
      <c r="BI2836">
        <f t="shared" ref="BI2836:BI2841" si="1744">$J$64/2*BG2836</f>
        <v>0</v>
      </c>
      <c r="BJ2836">
        <f>BI2836*0.7</f>
        <v>0</v>
      </c>
      <c r="BK2836" s="19">
        <v>0</v>
      </c>
      <c r="BL2836" s="19">
        <v>0</v>
      </c>
      <c r="BM2836" s="17">
        <f>AW2836+BE2836+BK2836</f>
        <v>0</v>
      </c>
      <c r="BN2836" s="17">
        <f>BN2837+BM2836</f>
        <v>12258</v>
      </c>
      <c r="BO2836" s="17">
        <f>BM2836*0.6</f>
        <v>0</v>
      </c>
      <c r="BP2836" s="17">
        <f>BP2837+BO2836</f>
        <v>7354.7999999999993</v>
      </c>
      <c r="BQ2836" s="17">
        <f>BA2836+BI2836+BL2836</f>
        <v>0</v>
      </c>
      <c r="BR2836" s="17">
        <f t="shared" ref="BR2836:BR2839" si="1745">BQ2836+BR2837</f>
        <v>1212.3</v>
      </c>
      <c r="BS2836" s="17">
        <f>BQ2836*0.7</f>
        <v>0</v>
      </c>
      <c r="BT2836" s="17">
        <f>BS2836+BT2837</f>
        <v>848.6099999999999</v>
      </c>
      <c r="BU2836" s="100"/>
    </row>
    <row r="2837" x14ac:dyDescent="0.25">
      <c r="B2837" t="s">
        <v>450</v>
      </c>
      <c r="C2837" s="19">
        <v>10</v>
      </c>
      <c r="D2837" s="19">
        <v>8.25</v>
      </c>
      <c r="E2837" s="66">
        <f>C21+D21/12</f>
        <v>10.6875</v>
      </c>
      <c r="F2837" s="67">
        <f>IF(E21&gt;0,E21-(C15+C14+2*1.5+IF(C13="single",1.5,3))/12-_xlfn.XLOOKUP(E21,E20,E20,,-1),0)</f>
        <v>8.75</v>
      </c>
      <c r="H2837" s="19">
        <v>236</v>
      </c>
      <c r="I2837" s="64" t="s">
        <v>196</v>
      </c>
      <c r="J2837" s="19">
        <v>33.799999999999997</v>
      </c>
      <c r="K2837" s="19">
        <v>65.599999999999994</v>
      </c>
      <c r="L2837" s="19">
        <v>19.3</v>
      </c>
      <c r="M2837" s="19">
        <v>119.6</v>
      </c>
      <c r="P2837" s="93"/>
      <c r="Q2837" t="s">
        <v>450</v>
      </c>
      <c r="R2837" s="19">
        <f>$H$21</f>
        <v>236</v>
      </c>
      <c r="S2837">
        <f t="shared" ref="S2837:S2842" si="1746">R2837*0.6</f>
        <v>141.6</v>
      </c>
      <c r="T2837">
        <f t="shared" ref="T2837:T2841" si="1747">$C$64/2*R2837</f>
        <v>0</v>
      </c>
      <c r="U2837">
        <f>T2837*0.6</f>
        <v>0</v>
      </c>
      <c r="V2837" s="19">
        <v>33.799999999999997</v>
      </c>
      <c r="W2837">
        <f t="shared" ref="W2837:W2841" si="1748">V2837*0.7</f>
        <v>23.659999999999997</v>
      </c>
      <c r="X2837">
        <f t="shared" ref="X2837:X2841" si="1749">$C$64/2*V2837</f>
        <v>0</v>
      </c>
      <c r="Y2837">
        <f t="shared" ref="Y2837:Y2841" si="1750">X2837*0.7</f>
        <v>0</v>
      </c>
      <c r="Z2837" s="19">
        <f>$H$21</f>
        <v>236</v>
      </c>
      <c r="AA2837">
        <f t="shared" ref="AA2837:AA2841" si="1751">Z2837*0.6</f>
        <v>141.6</v>
      </c>
      <c r="AB2837">
        <f t="shared" ref="AB2837:AB2841" si="1752">$D$64/2*Z2837</f>
        <v>3422</v>
      </c>
      <c r="AC2837">
        <f t="shared" si="1738"/>
        <v>2053.1999999999998</v>
      </c>
      <c r="AD2837" s="19">
        <v>33.799999999999997</v>
      </c>
      <c r="AE2837">
        <f t="shared" ref="AE2837:AE2841" si="1753">AD2837*0.7</f>
        <v>23.659999999999997</v>
      </c>
      <c r="AF2837">
        <f t="shared" ref="AF2837:AF2841" si="1754">$D$64/2*AD2837</f>
        <v>490.09999999999997</v>
      </c>
      <c r="AG2837">
        <f t="shared" ref="AG2837:AG2841" si="1755">AF2837*0.7</f>
        <v>343.06999999999994</v>
      </c>
      <c r="AH2837" s="19">
        <v>0</v>
      </c>
      <c r="AI2837" s="19">
        <v>0</v>
      </c>
      <c r="AJ2837" s="17">
        <f>T2837+AB2837+AH2837</f>
        <v>3422</v>
      </c>
      <c r="AK2837" s="17">
        <f>AK2838+AJ2837</f>
        <v>13166</v>
      </c>
      <c r="AL2837" s="17">
        <f t="shared" ref="AL2837:AL2841" si="1756">AJ2837*0.6</f>
        <v>2053.1999999999998</v>
      </c>
      <c r="AM2837" s="17">
        <f t="shared" ref="AM2837:AM2839" si="1757">AM2838+AL2837</f>
        <v>7899.5999999999995</v>
      </c>
      <c r="AN2837" s="17">
        <f t="shared" ref="AN2837:AN2840" si="1758">X2837+AF2837+AI2837</f>
        <v>490.09999999999997</v>
      </c>
      <c r="AO2837" s="17">
        <f t="shared" si="1739"/>
        <v>1302.0999999999999</v>
      </c>
      <c r="AP2837" s="17">
        <f t="shared" ref="AP2837:AP2840" si="1759">AN2837*0.7</f>
        <v>343.06999999999994</v>
      </c>
      <c r="AQ2837" s="17">
        <f t="shared" si="1739"/>
        <v>911.46999999999991</v>
      </c>
      <c r="AR2837" s="100"/>
      <c r="AS2837" s="93"/>
      <c r="AT2837" t="s">
        <v>450</v>
      </c>
      <c r="AU2837" s="19">
        <f>$H$21</f>
        <v>236</v>
      </c>
      <c r="AV2837">
        <f t="shared" ref="AV2837:AV2842" si="1760">AU2837*0.6</f>
        <v>141.6</v>
      </c>
      <c r="AW2837">
        <f t="shared" si="1740"/>
        <v>0</v>
      </c>
      <c r="AX2837">
        <f>AW2837*0.6</f>
        <v>0</v>
      </c>
      <c r="AY2837" s="19">
        <v>33.799999999999997</v>
      </c>
      <c r="AZ2837">
        <f t="shared" ref="AZ2837:AZ2841" si="1761">AY2837*0.7</f>
        <v>23.659999999999997</v>
      </c>
      <c r="BA2837">
        <f t="shared" si="1741"/>
        <v>0</v>
      </c>
      <c r="BB2837">
        <f t="shared" ref="BB2837:BB2841" si="1762">BA2837*0.7</f>
        <v>0</v>
      </c>
      <c r="BC2837" s="19">
        <f>$H$21</f>
        <v>236</v>
      </c>
      <c r="BD2837">
        <f t="shared" ref="BD2837:BD2841" si="1763">BC2837*0.6</f>
        <v>141.6</v>
      </c>
      <c r="BE2837">
        <f t="shared" si="1742"/>
        <v>3186</v>
      </c>
      <c r="BF2837">
        <f t="shared" si="1743"/>
        <v>1911.6</v>
      </c>
      <c r="BG2837" s="19">
        <v>33.799999999999997</v>
      </c>
      <c r="BH2837">
        <f t="shared" ref="BH2837:BH2841" si="1764">BG2837*0.7</f>
        <v>23.659999999999997</v>
      </c>
      <c r="BI2837">
        <f t="shared" si="1744"/>
        <v>456.29999999999995</v>
      </c>
      <c r="BJ2837">
        <f t="shared" ref="BJ2837:BJ2841" si="1765">BI2837*0.7</f>
        <v>319.40999999999997</v>
      </c>
      <c r="BK2837" s="19">
        <v>0</v>
      </c>
      <c r="BL2837" s="19">
        <v>0</v>
      </c>
      <c r="BM2837" s="17">
        <f>AW2837+BE2837+BK2837</f>
        <v>3186</v>
      </c>
      <c r="BN2837" s="17">
        <f>BN2838+BM2837</f>
        <v>12258</v>
      </c>
      <c r="BO2837" s="17">
        <f t="shared" ref="BO2837" si="1766">BM2837*0.6</f>
        <v>1911.6</v>
      </c>
      <c r="BP2837" s="17">
        <f t="shared" ref="BP2837:BP2839" si="1767">BP2838+BO2837</f>
        <v>7354.7999999999993</v>
      </c>
      <c r="BQ2837" s="17">
        <f t="shared" ref="BQ2837:BQ2840" si="1768">BA2837+BI2837+BL2837</f>
        <v>456.29999999999995</v>
      </c>
      <c r="BR2837" s="17">
        <f t="shared" si="1745"/>
        <v>1212.3</v>
      </c>
      <c r="BS2837" s="17">
        <f t="shared" ref="BS2837:BS2840" si="1769">BQ2837*0.7</f>
        <v>319.40999999999997</v>
      </c>
      <c r="BT2837" s="17">
        <f t="shared" ref="BT2837:BT2839" si="1770">BS2837+BT2838</f>
        <v>848.6099999999999</v>
      </c>
      <c r="BU2837" s="100"/>
    </row>
    <row r="2838" x14ac:dyDescent="0.25">
      <c r="B2838" t="s">
        <v>451</v>
      </c>
      <c r="C2838" s="19">
        <v>21</v>
      </c>
      <c r="D2838" s="19">
        <v>4.5</v>
      </c>
      <c r="E2838" s="66">
        <f t="shared" ref="E22:E25" si="1771">C22+D22/12</f>
        <v>21.375</v>
      </c>
      <c r="F2838" s="67">
        <f>IF(E22&gt;0,E22-(C15+C14+2*1.5+IF(C13="single",1.5,3))/12-_xlfn.XLOOKUP(E22,E20:E21,E20:E21,,-1),0)</f>
        <v>8.75</v>
      </c>
      <c r="H2838" s="19">
        <v>229</v>
      </c>
      <c r="I2838" s="64" t="s">
        <v>196</v>
      </c>
      <c r="J2838" s="19">
        <v>37.1</v>
      </c>
      <c r="K2838" s="19">
        <v>71.8</v>
      </c>
      <c r="L2838" s="19">
        <v>21.1</v>
      </c>
      <c r="M2838" s="19">
        <v>131.1</v>
      </c>
      <c r="P2838" s="93"/>
      <c r="Q2838" t="s">
        <v>451</v>
      </c>
      <c r="R2838" s="19">
        <f>$H$22</f>
        <v>229</v>
      </c>
      <c r="S2838">
        <f t="shared" si="1746"/>
        <v>137.4</v>
      </c>
      <c r="T2838">
        <f t="shared" si="1747"/>
        <v>0</v>
      </c>
      <c r="U2838">
        <f t="shared" ref="U2838:U2842" si="1772">T2838*0.6</f>
        <v>0</v>
      </c>
      <c r="V2838" s="19">
        <v>37.1</v>
      </c>
      <c r="W2838">
        <f t="shared" si="1748"/>
        <v>25.97</v>
      </c>
      <c r="X2838">
        <f>$C$64/2*V2838</f>
        <v>0</v>
      </c>
      <c r="Y2838">
        <f t="shared" si="1750"/>
        <v>0</v>
      </c>
      <c r="Z2838" s="19">
        <f>$H$22</f>
        <v>229</v>
      </c>
      <c r="AA2838">
        <f t="shared" si="1751"/>
        <v>137.4</v>
      </c>
      <c r="AB2838">
        <f t="shared" si="1752"/>
        <v>3320.5</v>
      </c>
      <c r="AC2838">
        <f t="shared" si="1738"/>
        <v>1992.3</v>
      </c>
      <c r="AD2838" s="19">
        <v>37.1</v>
      </c>
      <c r="AE2838">
        <f t="shared" si="1753"/>
        <v>25.97</v>
      </c>
      <c r="AF2838">
        <f t="shared" si="1754"/>
        <v>537.95000000000005</v>
      </c>
      <c r="AG2838">
        <f t="shared" si="1755"/>
        <v>376.565</v>
      </c>
      <c r="AH2838" s="19">
        <v>0</v>
      </c>
      <c r="AI2838" s="19">
        <v>0</v>
      </c>
      <c r="AJ2838" s="17">
        <f t="shared" ref="AJ2838:AJ2840" si="1773">T2838+AB2838+AH2838</f>
        <v>3320.5</v>
      </c>
      <c r="AK2838" s="17">
        <f>AK2839+AJ2838</f>
        <v>9744</v>
      </c>
      <c r="AL2838" s="17">
        <f>AJ2838*0.6</f>
        <v>1992.3</v>
      </c>
      <c r="AM2838" s="17">
        <f t="shared" si="1757"/>
        <v>5846.4</v>
      </c>
      <c r="AN2838" s="17">
        <f t="shared" si="1758"/>
        <v>537.95000000000005</v>
      </c>
      <c r="AO2838" s="17">
        <f t="shared" si="1739"/>
        <v>812</v>
      </c>
      <c r="AP2838" s="17">
        <f t="shared" si="1759"/>
        <v>376.565</v>
      </c>
      <c r="AQ2838" s="17">
        <f t="shared" si="1739"/>
        <v>568.4</v>
      </c>
      <c r="AR2838" s="100"/>
      <c r="AS2838" s="93"/>
      <c r="AT2838" t="s">
        <v>451</v>
      </c>
      <c r="AU2838" s="19">
        <f>$H$22</f>
        <v>229</v>
      </c>
      <c r="AV2838">
        <f t="shared" si="1760"/>
        <v>137.4</v>
      </c>
      <c r="AW2838">
        <f t="shared" si="1740"/>
        <v>0</v>
      </c>
      <c r="AX2838">
        <f t="shared" ref="AX2838:AX2842" si="1774">AW2838*0.6</f>
        <v>0</v>
      </c>
      <c r="AY2838" s="19">
        <v>37.1</v>
      </c>
      <c r="AZ2838">
        <f t="shared" si="1761"/>
        <v>25.97</v>
      </c>
      <c r="BA2838">
        <f t="shared" si="1741"/>
        <v>0</v>
      </c>
      <c r="BB2838">
        <f t="shared" si="1762"/>
        <v>0</v>
      </c>
      <c r="BC2838" s="19">
        <f>$H$22</f>
        <v>229</v>
      </c>
      <c r="BD2838">
        <f t="shared" si="1763"/>
        <v>137.4</v>
      </c>
      <c r="BE2838">
        <f t="shared" si="1742"/>
        <v>3091.5</v>
      </c>
      <c r="BF2838">
        <f t="shared" si="1743"/>
        <v>1854.8999999999999</v>
      </c>
      <c r="BG2838" s="19">
        <v>37.1</v>
      </c>
      <c r="BH2838">
        <f t="shared" si="1764"/>
        <v>25.97</v>
      </c>
      <c r="BI2838">
        <f t="shared" si="1744"/>
        <v>500.85</v>
      </c>
      <c r="BJ2838">
        <f t="shared" si="1765"/>
        <v>350.59499999999997</v>
      </c>
      <c r="BK2838" s="19">
        <v>0</v>
      </c>
      <c r="BL2838" s="19">
        <v>0</v>
      </c>
      <c r="BM2838" s="17">
        <f t="shared" ref="BM2838:BM2840" si="1775">AW2838+BE2838+BK2838</f>
        <v>3091.5</v>
      </c>
      <c r="BN2838" s="17">
        <f>BN2839+BM2838</f>
        <v>9072</v>
      </c>
      <c r="BO2838" s="17">
        <f>BM2838*0.6</f>
        <v>1854.8999999999999</v>
      </c>
      <c r="BP2838" s="17">
        <f t="shared" si="1767"/>
        <v>5443.2</v>
      </c>
      <c r="BQ2838" s="17">
        <f t="shared" si="1768"/>
        <v>500.85</v>
      </c>
      <c r="BR2838" s="17">
        <f t="shared" si="1745"/>
        <v>756</v>
      </c>
      <c r="BS2838" s="17">
        <f t="shared" si="1769"/>
        <v>350.59499999999997</v>
      </c>
      <c r="BT2838" s="17">
        <f t="shared" si="1770"/>
        <v>529.19999999999993</v>
      </c>
      <c r="BU2838" s="100"/>
    </row>
    <row r="2839" x14ac:dyDescent="0.25">
      <c r="B2839" t="s">
        <v>452</v>
      </c>
      <c r="C2839" s="19">
        <v>0</v>
      </c>
      <c r="D2839" s="19">
        <v>0</v>
      </c>
      <c r="E2839" s="66">
        <f t="shared" si="1771"/>
        <v>0</v>
      </c>
      <c r="F2839" s="67">
        <f>IF(E23&gt;0,E23-(C15+C14+2*1.5+IF(C13="single",1.5,3))/12-_xlfn.XLOOKUP(E23,E20:E22,E20:E22,,-1),0)</f>
        <v>0</v>
      </c>
      <c r="H2839" s="19">
        <v>0</v>
      </c>
      <c r="I2839" s="64" t="s">
        <v>196</v>
      </c>
      <c r="J2839" s="19">
        <v>0</v>
      </c>
      <c r="K2839" s="19">
        <v>0</v>
      </c>
      <c r="L2839" s="19">
        <v>0</v>
      </c>
      <c r="M2839" s="19">
        <v>0</v>
      </c>
      <c r="P2839" s="93"/>
      <c r="Q2839" t="s">
        <v>452</v>
      </c>
      <c r="R2839" s="19">
        <f>$H$23</f>
        <v>0</v>
      </c>
      <c r="S2839">
        <f t="shared" si="1746"/>
        <v>0</v>
      </c>
      <c r="T2839">
        <f t="shared" si="1747"/>
        <v>0</v>
      </c>
      <c r="U2839">
        <f t="shared" si="1772"/>
        <v>0</v>
      </c>
      <c r="V2839" s="19">
        <v>0</v>
      </c>
      <c r="W2839">
        <f t="shared" si="1748"/>
        <v>0</v>
      </c>
      <c r="X2839">
        <f t="shared" si="1749"/>
        <v>0</v>
      </c>
      <c r="Y2839">
        <f t="shared" si="1750"/>
        <v>0</v>
      </c>
      <c r="Z2839" s="19">
        <f>$H$23</f>
        <v>0</v>
      </c>
      <c r="AA2839">
        <f t="shared" si="1751"/>
        <v>0</v>
      </c>
      <c r="AB2839">
        <f t="shared" si="1752"/>
        <v>0</v>
      </c>
      <c r="AC2839">
        <f t="shared" si="1738"/>
        <v>0</v>
      </c>
      <c r="AD2839" s="19">
        <v>0</v>
      </c>
      <c r="AE2839">
        <f t="shared" si="1753"/>
        <v>0</v>
      </c>
      <c r="AF2839">
        <f t="shared" si="1754"/>
        <v>0</v>
      </c>
      <c r="AG2839">
        <f t="shared" si="1755"/>
        <v>0</v>
      </c>
      <c r="AH2839" s="19">
        <v>0</v>
      </c>
      <c r="AI2839" s="19">
        <v>0</v>
      </c>
      <c r="AJ2839" s="17">
        <f t="shared" si="1773"/>
        <v>0</v>
      </c>
      <c r="AK2839" s="17">
        <f>AK2840+AJ2839</f>
        <v>6423.5</v>
      </c>
      <c r="AL2839" s="17">
        <f>AJ2839*0.6</f>
        <v>0</v>
      </c>
      <c r="AM2839" s="17">
        <f t="shared" si="1757"/>
        <v>3854.1</v>
      </c>
      <c r="AN2839" s="17">
        <f t="shared" si="1758"/>
        <v>0</v>
      </c>
      <c r="AO2839" s="17">
        <f t="shared" si="1739"/>
        <v>274.04999999999995</v>
      </c>
      <c r="AP2839" s="17">
        <f t="shared" si="1759"/>
        <v>0</v>
      </c>
      <c r="AQ2839" s="17">
        <f t="shared" si="1739"/>
        <v>191.83499999999995</v>
      </c>
      <c r="AR2839" s="100"/>
      <c r="AS2839" s="93"/>
      <c r="AT2839" t="s">
        <v>452</v>
      </c>
      <c r="AU2839" s="19">
        <f>$H$23</f>
        <v>0</v>
      </c>
      <c r="AV2839">
        <f t="shared" si="1760"/>
        <v>0</v>
      </c>
      <c r="AW2839">
        <f t="shared" si="1740"/>
        <v>0</v>
      </c>
      <c r="AX2839">
        <f t="shared" si="1774"/>
        <v>0</v>
      </c>
      <c r="AY2839" s="19">
        <v>0</v>
      </c>
      <c r="AZ2839">
        <f t="shared" si="1761"/>
        <v>0</v>
      </c>
      <c r="BA2839">
        <f t="shared" si="1741"/>
        <v>0</v>
      </c>
      <c r="BB2839">
        <f t="shared" si="1762"/>
        <v>0</v>
      </c>
      <c r="BC2839" s="19">
        <f>$H$23</f>
        <v>0</v>
      </c>
      <c r="BD2839">
        <f t="shared" si="1763"/>
        <v>0</v>
      </c>
      <c r="BE2839">
        <f t="shared" si="1742"/>
        <v>0</v>
      </c>
      <c r="BF2839">
        <f t="shared" si="1743"/>
        <v>0</v>
      </c>
      <c r="BG2839" s="19">
        <v>0</v>
      </c>
      <c r="BH2839">
        <f t="shared" si="1764"/>
        <v>0</v>
      </c>
      <c r="BI2839">
        <f t="shared" si="1744"/>
        <v>0</v>
      </c>
      <c r="BJ2839">
        <f t="shared" si="1765"/>
        <v>0</v>
      </c>
      <c r="BK2839" s="19">
        <v>0</v>
      </c>
      <c r="BL2839" s="19">
        <v>0</v>
      </c>
      <c r="BM2839" s="17">
        <f t="shared" si="1775"/>
        <v>0</v>
      </c>
      <c r="BN2839" s="17">
        <f>BN2840+BM2839</f>
        <v>5980.5</v>
      </c>
      <c r="BO2839" s="17">
        <f>BM2839*0.6</f>
        <v>0</v>
      </c>
      <c r="BP2839" s="17">
        <f t="shared" si="1767"/>
        <v>3588.2999999999997</v>
      </c>
      <c r="BQ2839" s="17">
        <f t="shared" si="1768"/>
        <v>0</v>
      </c>
      <c r="BR2839" s="17">
        <f t="shared" si="1745"/>
        <v>255.14999999999998</v>
      </c>
      <c r="BS2839" s="17">
        <f t="shared" si="1769"/>
        <v>0</v>
      </c>
      <c r="BT2839" s="17">
        <f t="shared" si="1770"/>
        <v>178.60499999999996</v>
      </c>
      <c r="BU2839" s="100"/>
    </row>
    <row r="2840" x14ac:dyDescent="0.25">
      <c r="B2840" t="s">
        <v>453</v>
      </c>
      <c r="C2840" s="19">
        <v>0</v>
      </c>
      <c r="D2840" s="19">
        <v>0</v>
      </c>
      <c r="E2840" s="66">
        <f t="shared" si="1771"/>
        <v>0</v>
      </c>
      <c r="F2840" s="67">
        <f>IF(E24&gt;0,E24-(C15+C14+2*1.5+IF(C13="single",1.5,3))/12-_xlfn.XLOOKUP(E24,E20:E23,E20:E23,,-1),0)</f>
        <v>0</v>
      </c>
      <c r="H2840" s="19">
        <v>0</v>
      </c>
      <c r="I2840" s="64" t="s">
        <v>196</v>
      </c>
      <c r="J2840" s="19">
        <v>0</v>
      </c>
      <c r="K2840" s="19">
        <v>0</v>
      </c>
      <c r="L2840" s="19">
        <v>0</v>
      </c>
      <c r="M2840" s="19">
        <v>0</v>
      </c>
      <c r="P2840" s="93"/>
      <c r="Q2840" t="s">
        <v>453</v>
      </c>
      <c r="R2840" s="19">
        <f>$H$24</f>
        <v>0</v>
      </c>
      <c r="S2840">
        <f t="shared" si="1746"/>
        <v>0</v>
      </c>
      <c r="T2840">
        <f t="shared" si="1747"/>
        <v>0</v>
      </c>
      <c r="U2840">
        <f t="shared" si="1772"/>
        <v>0</v>
      </c>
      <c r="V2840" s="19">
        <v>0</v>
      </c>
      <c r="W2840">
        <f t="shared" si="1748"/>
        <v>0</v>
      </c>
      <c r="X2840">
        <f t="shared" si="1749"/>
        <v>0</v>
      </c>
      <c r="Y2840">
        <f t="shared" si="1750"/>
        <v>0</v>
      </c>
      <c r="Z2840" s="19">
        <f>$H$24</f>
        <v>0</v>
      </c>
      <c r="AA2840">
        <f t="shared" si="1751"/>
        <v>0</v>
      </c>
      <c r="AB2840">
        <f t="shared" si="1752"/>
        <v>0</v>
      </c>
      <c r="AC2840">
        <f t="shared" si="1738"/>
        <v>0</v>
      </c>
      <c r="AD2840" s="19">
        <v>0</v>
      </c>
      <c r="AE2840">
        <f t="shared" si="1753"/>
        <v>0</v>
      </c>
      <c r="AF2840">
        <f t="shared" si="1754"/>
        <v>0</v>
      </c>
      <c r="AG2840">
        <f t="shared" si="1755"/>
        <v>0</v>
      </c>
      <c r="AH2840" s="19">
        <v>0</v>
      </c>
      <c r="AI2840" s="19">
        <v>0</v>
      </c>
      <c r="AJ2840" s="17">
        <f t="shared" si="1773"/>
        <v>0</v>
      </c>
      <c r="AK2840" s="17">
        <f>AK2841+IF(AJ2840=0,0,AJ2840)</f>
        <v>6423.5</v>
      </c>
      <c r="AL2840" s="17">
        <f t="shared" si="1756"/>
        <v>0</v>
      </c>
      <c r="AM2840" s="17">
        <f>AM2841+AL2840</f>
        <v>3854.1</v>
      </c>
      <c r="AN2840" s="17">
        <f t="shared" si="1758"/>
        <v>0</v>
      </c>
      <c r="AO2840" s="17">
        <f>AN2840+AO2841</f>
        <v>274.04999999999995</v>
      </c>
      <c r="AP2840" s="17">
        <f t="shared" si="1759"/>
        <v>0</v>
      </c>
      <c r="AQ2840" s="17">
        <f>AP2840+AQ2841</f>
        <v>191.83499999999995</v>
      </c>
      <c r="AR2840" s="100"/>
      <c r="AS2840" s="93"/>
      <c r="AT2840" t="s">
        <v>453</v>
      </c>
      <c r="AU2840" s="19">
        <f>$H$24</f>
        <v>0</v>
      </c>
      <c r="AV2840">
        <f t="shared" si="1760"/>
        <v>0</v>
      </c>
      <c r="AW2840">
        <f t="shared" si="1740"/>
        <v>0</v>
      </c>
      <c r="AX2840">
        <f t="shared" si="1774"/>
        <v>0</v>
      </c>
      <c r="AY2840" s="19">
        <v>0</v>
      </c>
      <c r="AZ2840">
        <f t="shared" si="1761"/>
        <v>0</v>
      </c>
      <c r="BA2840">
        <f t="shared" si="1741"/>
        <v>0</v>
      </c>
      <c r="BB2840">
        <f t="shared" si="1762"/>
        <v>0</v>
      </c>
      <c r="BC2840" s="19">
        <f>$H$24</f>
        <v>0</v>
      </c>
      <c r="BD2840">
        <f t="shared" si="1763"/>
        <v>0</v>
      </c>
      <c r="BE2840">
        <f t="shared" si="1742"/>
        <v>0</v>
      </c>
      <c r="BF2840">
        <f t="shared" si="1743"/>
        <v>0</v>
      </c>
      <c r="BG2840" s="19">
        <v>0</v>
      </c>
      <c r="BH2840">
        <f t="shared" si="1764"/>
        <v>0</v>
      </c>
      <c r="BI2840">
        <f t="shared" si="1744"/>
        <v>0</v>
      </c>
      <c r="BJ2840">
        <f t="shared" si="1765"/>
        <v>0</v>
      </c>
      <c r="BK2840" s="19">
        <v>0</v>
      </c>
      <c r="BL2840" s="19">
        <v>0</v>
      </c>
      <c r="BM2840" s="17">
        <f t="shared" si="1775"/>
        <v>0</v>
      </c>
      <c r="BN2840" s="17">
        <f>BN2841+IF(BM2840=0,0,BM2840)</f>
        <v>5980.5</v>
      </c>
      <c r="BO2840" s="17">
        <f t="shared" ref="BO2840:BO2841" si="1776">BM2840*0.6</f>
        <v>0</v>
      </c>
      <c r="BP2840" s="17">
        <f>BP2841+BO2840</f>
        <v>3588.2999999999997</v>
      </c>
      <c r="BQ2840" s="17">
        <f t="shared" si="1768"/>
        <v>0</v>
      </c>
      <c r="BR2840" s="17">
        <f>BQ2840+BR2841</f>
        <v>255.14999999999998</v>
      </c>
      <c r="BS2840" s="17">
        <f t="shared" si="1769"/>
        <v>0</v>
      </c>
      <c r="BT2840" s="17">
        <f>BS2840+BT2841</f>
        <v>178.60499999999996</v>
      </c>
      <c r="BU2840" s="100"/>
    </row>
    <row r="2841" x14ac:dyDescent="0.25">
      <c r="B2841" t="s">
        <v>275</v>
      </c>
      <c r="C2841" s="19">
        <f>(33+32)/2</f>
        <v>32.5</v>
      </c>
      <c r="D2841" s="19">
        <f>(10.5+5.625)/2</f>
        <v>8.0625</v>
      </c>
      <c r="E2841" s="68">
        <f t="shared" si="1771"/>
        <v>33.171875</v>
      </c>
      <c r="F2841" s="69">
        <f>E25-(C17+C16+2*1.5+IF(C13="single",1.5,3))/12-_xlfn.XLOOKUP(E25,E20:E24,E20:E24,,-1)</f>
        <v>8.6770833333333321</v>
      </c>
      <c r="H2841" s="19">
        <v>443</v>
      </c>
      <c r="I2841" s="64" t="s">
        <v>196</v>
      </c>
      <c r="J2841" s="19">
        <v>18.899999999999999</v>
      </c>
      <c r="K2841" s="19">
        <v>36.6</v>
      </c>
      <c r="L2841" s="19">
        <v>10.8</v>
      </c>
      <c r="M2841" s="19">
        <v>66.7</v>
      </c>
      <c r="P2841" s="93"/>
      <c r="Q2841" t="s">
        <v>275</v>
      </c>
      <c r="R2841" s="19">
        <f>$H$25</f>
        <v>443</v>
      </c>
      <c r="S2841">
        <f t="shared" si="1746"/>
        <v>265.8</v>
      </c>
      <c r="T2841">
        <f t="shared" si="1747"/>
        <v>0</v>
      </c>
      <c r="U2841">
        <f t="shared" si="1772"/>
        <v>0</v>
      </c>
      <c r="V2841" s="19">
        <v>18.899999999999999</v>
      </c>
      <c r="W2841">
        <f t="shared" si="1748"/>
        <v>13.229999999999999</v>
      </c>
      <c r="X2841">
        <f t="shared" si="1749"/>
        <v>0</v>
      </c>
      <c r="Y2841">
        <f t="shared" si="1750"/>
        <v>0</v>
      </c>
      <c r="Z2841" s="19">
        <f>$H$25</f>
        <v>443</v>
      </c>
      <c r="AA2841">
        <f t="shared" si="1751"/>
        <v>265.8</v>
      </c>
      <c r="AB2841">
        <f t="shared" si="1752"/>
        <v>6423.5</v>
      </c>
      <c r="AC2841">
        <f t="shared" si="1738"/>
        <v>3854.1</v>
      </c>
      <c r="AD2841" s="19">
        <v>18.899999999999999</v>
      </c>
      <c r="AE2841">
        <f t="shared" si="1753"/>
        <v>13.229999999999999</v>
      </c>
      <c r="AF2841">
        <f t="shared" si="1754"/>
        <v>274.04999999999995</v>
      </c>
      <c r="AG2841">
        <f t="shared" si="1755"/>
        <v>191.83499999999995</v>
      </c>
      <c r="AH2841" s="19">
        <v>0</v>
      </c>
      <c r="AI2841" s="19">
        <v>0</v>
      </c>
      <c r="AJ2841" s="17">
        <f>T2841+AB2841+AH2841</f>
        <v>6423.5</v>
      </c>
      <c r="AK2841" s="17">
        <f>AJ2841</f>
        <v>6423.5</v>
      </c>
      <c r="AL2841" s="17">
        <f t="shared" si="1756"/>
        <v>3854.1</v>
      </c>
      <c r="AM2841" s="17">
        <f>AL2841</f>
        <v>3854.1</v>
      </c>
      <c r="AN2841" s="17">
        <f>X2841+AF2841+AI2841</f>
        <v>274.04999999999995</v>
      </c>
      <c r="AO2841" s="17">
        <f>AN2841</f>
        <v>274.04999999999995</v>
      </c>
      <c r="AP2841" s="17">
        <f>AN2841*0.7</f>
        <v>191.83499999999995</v>
      </c>
      <c r="AQ2841" s="17">
        <f>AP2841</f>
        <v>191.83499999999995</v>
      </c>
      <c r="AR2841" s="100"/>
      <c r="AS2841" s="93"/>
      <c r="AT2841" t="s">
        <v>275</v>
      </c>
      <c r="AU2841" s="19">
        <f>$H$25</f>
        <v>443</v>
      </c>
      <c r="AV2841">
        <f t="shared" si="1760"/>
        <v>265.8</v>
      </c>
      <c r="AW2841">
        <f t="shared" si="1740"/>
        <v>0</v>
      </c>
      <c r="AX2841">
        <f t="shared" si="1774"/>
        <v>0</v>
      </c>
      <c r="AY2841" s="19">
        <v>18.899999999999999</v>
      </c>
      <c r="AZ2841">
        <f t="shared" si="1761"/>
        <v>13.229999999999999</v>
      </c>
      <c r="BA2841">
        <f t="shared" si="1741"/>
        <v>0</v>
      </c>
      <c r="BB2841">
        <f t="shared" si="1762"/>
        <v>0</v>
      </c>
      <c r="BC2841" s="19">
        <f>$H$25</f>
        <v>443</v>
      </c>
      <c r="BD2841">
        <f t="shared" si="1763"/>
        <v>265.8</v>
      </c>
      <c r="BE2841">
        <f t="shared" si="1742"/>
        <v>5980.5</v>
      </c>
      <c r="BF2841">
        <f t="shared" si="1743"/>
        <v>3588.2999999999997</v>
      </c>
      <c r="BG2841" s="19">
        <v>18.899999999999999</v>
      </c>
      <c r="BH2841">
        <f t="shared" si="1764"/>
        <v>13.229999999999999</v>
      </c>
      <c r="BI2841">
        <f t="shared" si="1744"/>
        <v>255.14999999999998</v>
      </c>
      <c r="BJ2841">
        <f t="shared" si="1765"/>
        <v>178.60499999999996</v>
      </c>
      <c r="BK2841" s="19">
        <v>0</v>
      </c>
      <c r="BL2841" s="19">
        <v>0</v>
      </c>
      <c r="BM2841" s="17">
        <f>AW2841+BE2841+BK2841</f>
        <v>5980.5</v>
      </c>
      <c r="BN2841" s="17">
        <f>BM2841</f>
        <v>5980.5</v>
      </c>
      <c r="BO2841" s="17">
        <f t="shared" si="1776"/>
        <v>3588.2999999999997</v>
      </c>
      <c r="BP2841" s="17">
        <f>BO2841</f>
        <v>3588.2999999999997</v>
      </c>
      <c r="BQ2841" s="17">
        <f>BA2841+BI2841+BL2841</f>
        <v>255.14999999999998</v>
      </c>
      <c r="BR2841" s="17">
        <f>BQ2841</f>
        <v>255.14999999999998</v>
      </c>
      <c r="BS2841" s="17">
        <f>BQ2841*0.7</f>
        <v>178.60499999999996</v>
      </c>
      <c r="BT2841" s="17">
        <f>BS2841</f>
        <v>178.60499999999996</v>
      </c>
      <c r="BU2841" s="100"/>
    </row>
    <row r="2842" x14ac:dyDescent="0.25">
      <c r="B2842" t="s">
        <v>530</v>
      </c>
      <c r="E2842" s="73"/>
      <c r="F2842" s="73"/>
      <c r="H2842" s="19">
        <v>-22.9</v>
      </c>
      <c r="I2842" s="64" t="s">
        <v>270</v>
      </c>
      <c r="P2842" s="93"/>
      <c r="R2842" s="19">
        <f>$H$26</f>
        <v>-22.9</v>
      </c>
      <c r="S2842">
        <f t="shared" si="1746"/>
        <v>-13.739999999999998</v>
      </c>
      <c r="T2842">
        <f>$I$64/2*R2842</f>
        <v>0</v>
      </c>
      <c r="U2842">
        <f t="shared" si="1772"/>
        <v>0</v>
      </c>
      <c r="Z2842" s="19">
        <f>$H$26</f>
        <v>-22.9</v>
      </c>
      <c r="AA2842">
        <f>Z2842*0.6</f>
        <v>-13.739999999999998</v>
      </c>
      <c r="AB2842">
        <f>$J$64/2*Z2842</f>
        <v>-309.14999999999998</v>
      </c>
      <c r="AC2842">
        <f t="shared" si="1738"/>
        <v>-185.48999999999998</v>
      </c>
      <c r="AR2842" s="100"/>
      <c r="AS2842" s="93"/>
      <c r="AU2842" s="19">
        <f>$H$26</f>
        <v>-22.9</v>
      </c>
      <c r="AV2842">
        <f t="shared" si="1760"/>
        <v>-13.739999999999998</v>
      </c>
      <c r="AW2842">
        <f t="shared" si="1740"/>
        <v>0</v>
      </c>
      <c r="AX2842">
        <f t="shared" si="1774"/>
        <v>0</v>
      </c>
      <c r="BC2842" s="19">
        <f>$H$26</f>
        <v>-22.9</v>
      </c>
      <c r="BD2842">
        <f>BC2842*0.6</f>
        <v>-13.739999999999998</v>
      </c>
      <c r="BE2842">
        <f t="shared" si="1742"/>
        <v>-309.14999999999998</v>
      </c>
      <c r="BF2842">
        <f t="shared" si="1743"/>
        <v>-185.48999999999998</v>
      </c>
      <c r="BU2842" s="100"/>
    </row>
    <row r="2843" x14ac:dyDescent="0.25">
      <c r="B2843" t="s">
        <v>531</v>
      </c>
      <c r="C2843" s="1" t="s">
        <v>533</v>
      </c>
      <c r="D2843" s="19">
        <v>0.18</v>
      </c>
      <c r="E2843" s="73"/>
      <c r="F2843" s="73"/>
      <c r="H2843">
        <f>0.2*D27</f>
        <v>3.5999999999999997E-2</v>
      </c>
      <c r="I2843" s="64" t="s">
        <v>534</v>
      </c>
      <c r="P2843" s="93"/>
      <c r="Q2843" s="1"/>
      <c r="AR2843" s="100"/>
      <c r="AS2843" s="93"/>
      <c r="AT2843" s="1"/>
      <c r="BU2843" s="100"/>
    </row>
    <row r="2844" x14ac:dyDescent="0.25">
      <c r="P2844" s="93"/>
      <c r="Y2844" s="112" t="s">
        <v>752</v>
      </c>
      <c r="Z2844" s="112"/>
      <c r="AA2844" s="112"/>
      <c r="AB2844" s="112"/>
      <c r="AC2844" s="112"/>
      <c r="AR2844" s="100"/>
      <c r="AS2844" s="93"/>
      <c r="BB2844" s="112" t="s">
        <v>752</v>
      </c>
      <c r="BC2844" s="112"/>
      <c r="BD2844" s="112"/>
      <c r="BE2844" s="112"/>
      <c r="BF2844" s="112"/>
      <c r="BU2844" s="100"/>
    </row>
    <row r="2845" x14ac:dyDescent="0.25">
      <c r="B2845" t="s">
        <v>513</v>
      </c>
      <c r="P2845" s="93"/>
      <c r="Q2845" t="s">
        <v>479</v>
      </c>
      <c r="R2845" t="s">
        <v>491</v>
      </c>
      <c r="S2845" t="s">
        <v>508</v>
      </c>
      <c r="T2845" t="s">
        <v>507</v>
      </c>
      <c r="U2845" t="s">
        <v>535</v>
      </c>
      <c r="V2845" t="s">
        <v>536</v>
      </c>
      <c r="W2845" t="s">
        <v>479</v>
      </c>
      <c r="X2845" t="s">
        <v>537</v>
      </c>
      <c r="Y2845" t="s">
        <v>450</v>
      </c>
      <c r="Z2845" t="s">
        <v>451</v>
      </c>
      <c r="AA2845" t="s">
        <v>452</v>
      </c>
      <c r="AB2845" t="s">
        <v>453</v>
      </c>
      <c r="AC2845" t="s">
        <v>753</v>
      </c>
      <c r="AD2845" t="s">
        <v>519</v>
      </c>
      <c r="AR2845" s="100"/>
      <c r="AS2845" s="93"/>
      <c r="AT2845" t="s">
        <v>479</v>
      </c>
      <c r="AU2845" t="s">
        <v>491</v>
      </c>
      <c r="AV2845" t="s">
        <v>508</v>
      </c>
      <c r="AW2845" t="s">
        <v>507</v>
      </c>
      <c r="AX2845" t="s">
        <v>535</v>
      </c>
      <c r="AY2845" t="s">
        <v>536</v>
      </c>
      <c r="AZ2845" t="s">
        <v>479</v>
      </c>
      <c r="BA2845" t="s">
        <v>537</v>
      </c>
      <c r="BB2845" t="s">
        <v>450</v>
      </c>
      <c r="BC2845" t="s">
        <v>451</v>
      </c>
      <c r="BD2845" t="s">
        <v>452</v>
      </c>
      <c r="BE2845" t="s">
        <v>453</v>
      </c>
      <c r="BF2845" t="s">
        <v>753</v>
      </c>
      <c r="BG2845" t="s">
        <v>519</v>
      </c>
      <c r="BU2845" s="100"/>
    </row>
    <row r="2846" x14ac:dyDescent="0.25">
      <c r="B2846" s="1" t="s">
        <v>275</v>
      </c>
      <c r="C2846" s="19">
        <v>20</v>
      </c>
      <c r="D2846" t="s">
        <v>567</v>
      </c>
      <c r="P2846" s="93"/>
      <c r="Q2846" s="109" t="str">
        <f>R2832&amp;".01"</f>
        <v>A.01</v>
      </c>
      <c r="R2846" s="19">
        <v>29</v>
      </c>
      <c r="S2846" s="19">
        <v>12</v>
      </c>
      <c r="T2846">
        <f>S2846/2</f>
        <v>6</v>
      </c>
      <c r="U2846" s="19">
        <v>4</v>
      </c>
      <c r="V2846">
        <f>U2846/2</f>
        <v>2</v>
      </c>
      <c r="W2846" s="19" t="s">
        <v>515</v>
      </c>
      <c r="X2846" s="19">
        <v>6</v>
      </c>
      <c r="Y2846" s="19"/>
      <c r="Z2846" s="19"/>
      <c r="AA2846" s="19"/>
      <c r="AB2846" s="19"/>
      <c r="AC2846" s="19"/>
      <c r="AD2846" s="108">
        <f>R2846/R2862</f>
        <v>1</v>
      </c>
      <c r="AR2846" s="100"/>
      <c r="AS2846" s="93"/>
      <c r="AT2846" s="109" t="str">
        <f>AU$2832&amp;".01"</f>
        <v>1.01</v>
      </c>
      <c r="AU2846" s="19">
        <v>29</v>
      </c>
      <c r="AV2846" s="19">
        <v>12</v>
      </c>
      <c r="AW2846">
        <f>AV2846/2</f>
        <v>6</v>
      </c>
      <c r="AX2846" s="19">
        <v>4</v>
      </c>
      <c r="AY2846">
        <f>AX2846/2</f>
        <v>2</v>
      </c>
      <c r="AZ2846" s="19" t="s">
        <v>515</v>
      </c>
      <c r="BA2846" s="19">
        <v>6</v>
      </c>
      <c r="BB2846" s="19"/>
      <c r="BC2846" s="19"/>
      <c r="BD2846" s="19"/>
      <c r="BE2846" s="19"/>
      <c r="BF2846" s="19"/>
      <c r="BG2846" s="108">
        <f>AU2846/AU2862</f>
        <v>1</v>
      </c>
      <c r="BU2846" s="100"/>
    </row>
    <row r="2847" x14ac:dyDescent="0.25">
      <c r="B2847" s="1"/>
      <c r="C2847">
        <f>0.9*C30</f>
        <v>18</v>
      </c>
      <c r="D2847" t="s">
        <v>532</v>
      </c>
      <c r="P2847" s="93"/>
      <c r="Q2847" s="109" t="str">
        <f>R2832&amp;".02"</f>
        <v>A.02</v>
      </c>
      <c r="R2847" s="19"/>
      <c r="S2847" s="19"/>
      <c r="T2847">
        <f t="shared" ref="T2847:T2861" si="1777">S2847/2</f>
        <v>0</v>
      </c>
      <c r="U2847" s="19"/>
      <c r="V2847">
        <f t="shared" ref="V2847:V2861" si="1778">U2847/2</f>
        <v>0</v>
      </c>
      <c r="W2847" s="19"/>
      <c r="X2847" s="19"/>
      <c r="Y2847" s="19"/>
      <c r="Z2847" s="19"/>
      <c r="AA2847" s="19"/>
      <c r="AB2847" s="19"/>
      <c r="AC2847" s="19"/>
      <c r="AR2847" s="100"/>
      <c r="AS2847" s="93"/>
      <c r="AT2847" s="109" t="str">
        <f>AU$2832&amp;".02"</f>
        <v>1.02</v>
      </c>
      <c r="AU2847" s="19"/>
      <c r="AV2847" s="19"/>
      <c r="AW2847">
        <f t="shared" ref="AW2847:AW2861" si="1779">AV2847/2</f>
        <v>0</v>
      </c>
      <c r="AX2847" s="19"/>
      <c r="AY2847">
        <f t="shared" ref="AY2847:AY2861" si="1780">AX2847/2</f>
        <v>0</v>
      </c>
      <c r="AZ2847" s="19"/>
      <c r="BA2847" s="19"/>
      <c r="BB2847" s="19"/>
      <c r="BC2847" s="19"/>
      <c r="BD2847" s="19"/>
      <c r="BE2847" s="19"/>
      <c r="BF2847" s="19"/>
      <c r="BU2847" s="100"/>
    </row>
    <row r="2848" x14ac:dyDescent="0.25">
      <c r="B2848" s="1" t="s">
        <v>514</v>
      </c>
      <c r="C2848" s="19">
        <v>26</v>
      </c>
      <c r="D2848" t="s">
        <v>512</v>
      </c>
      <c r="P2848" s="93"/>
      <c r="Q2848" s="109" t="str">
        <f>R2832&amp;".03"</f>
        <v>A.03</v>
      </c>
      <c r="R2848" s="19"/>
      <c r="S2848" s="19"/>
      <c r="T2848">
        <f t="shared" si="1777"/>
        <v>0</v>
      </c>
      <c r="U2848" s="19"/>
      <c r="V2848">
        <f t="shared" si="1778"/>
        <v>0</v>
      </c>
      <c r="W2848" s="19"/>
      <c r="X2848" s="19"/>
      <c r="Y2848" s="19"/>
      <c r="Z2848" s="19"/>
      <c r="AA2848" s="19"/>
      <c r="AB2848" s="19"/>
      <c r="AC2848" s="19"/>
      <c r="AR2848" s="100"/>
      <c r="AS2848" s="93"/>
      <c r="AT2848" s="109" t="str">
        <f>AU$2832&amp;".03"</f>
        <v>1.03</v>
      </c>
      <c r="AU2848" s="19"/>
      <c r="AV2848" s="19"/>
      <c r="AW2848">
        <f t="shared" si="1779"/>
        <v>0</v>
      </c>
      <c r="AX2848" s="19"/>
      <c r="AY2848">
        <f t="shared" si="1780"/>
        <v>0</v>
      </c>
      <c r="AZ2848" s="19"/>
      <c r="BA2848" s="19"/>
      <c r="BB2848" s="19"/>
      <c r="BC2848" s="19"/>
      <c r="BD2848" s="19"/>
      <c r="BE2848" s="19"/>
      <c r="BF2848" s="19"/>
      <c r="BU2848" s="100"/>
    </row>
    <row r="2849" x14ac:dyDescent="0.25">
      <c r="B2849" s="1" t="s">
        <v>477</v>
      </c>
      <c r="C2849" s="19">
        <v>11</v>
      </c>
      <c r="D2849" t="s">
        <v>509</v>
      </c>
      <c r="P2849" s="93"/>
      <c r="Q2849" s="109" t="str">
        <f>R2832&amp;".04"</f>
        <v>A.04</v>
      </c>
      <c r="R2849" s="19"/>
      <c r="S2849" s="19"/>
      <c r="T2849">
        <f t="shared" si="1777"/>
        <v>0</v>
      </c>
      <c r="U2849" s="19"/>
      <c r="V2849">
        <f t="shared" si="1778"/>
        <v>0</v>
      </c>
      <c r="W2849" s="19"/>
      <c r="X2849" s="19"/>
      <c r="Y2849" s="19"/>
      <c r="Z2849" s="19"/>
      <c r="AA2849" s="19"/>
      <c r="AB2849" s="19"/>
      <c r="AC2849" s="19"/>
      <c r="AR2849" s="100"/>
      <c r="AS2849" s="93"/>
      <c r="AT2849" s="109" t="str">
        <f>AU$2832&amp;".04"</f>
        <v>1.04</v>
      </c>
      <c r="AU2849" s="19"/>
      <c r="AV2849" s="19"/>
      <c r="AW2849">
        <f t="shared" si="1779"/>
        <v>0</v>
      </c>
      <c r="AX2849" s="19"/>
      <c r="AY2849">
        <f t="shared" si="1780"/>
        <v>0</v>
      </c>
      <c r="AZ2849" s="19"/>
      <c r="BA2849" s="19"/>
      <c r="BB2849" s="19"/>
      <c r="BC2849" s="19"/>
      <c r="BD2849" s="19"/>
      <c r="BE2849" s="19"/>
      <c r="BF2849" s="19"/>
      <c r="BU2849" s="100"/>
    </row>
    <row r="2850" x14ac:dyDescent="0.25">
      <c r="B2850" s="1" t="s">
        <v>478</v>
      </c>
      <c r="C2850" s="19">
        <v>13</v>
      </c>
      <c r="D2850" t="s">
        <v>510</v>
      </c>
      <c r="P2850" s="93"/>
      <c r="Q2850" s="109" t="str">
        <f>R2832&amp;".05"</f>
        <v>A.05</v>
      </c>
      <c r="R2850" s="19"/>
      <c r="S2850" s="19"/>
      <c r="T2850">
        <f t="shared" si="1777"/>
        <v>0</v>
      </c>
      <c r="U2850" s="19"/>
      <c r="V2850">
        <f t="shared" si="1778"/>
        <v>0</v>
      </c>
      <c r="W2850" s="19"/>
      <c r="X2850" s="19"/>
      <c r="Y2850" s="19"/>
      <c r="Z2850" s="19"/>
      <c r="AA2850" s="19"/>
      <c r="AB2850" s="19"/>
      <c r="AC2850" s="19"/>
      <c r="AR2850" s="100"/>
      <c r="AS2850" s="93"/>
      <c r="AT2850" s="109" t="str">
        <f>AU$2832&amp;".05"</f>
        <v>1.05</v>
      </c>
      <c r="AU2850" s="19"/>
      <c r="AV2850" s="19"/>
      <c r="AW2850">
        <f t="shared" si="1779"/>
        <v>0</v>
      </c>
      <c r="AX2850" s="19"/>
      <c r="AY2850">
        <f t="shared" si="1780"/>
        <v>0</v>
      </c>
      <c r="AZ2850" s="19"/>
      <c r="BA2850" s="19"/>
      <c r="BB2850" s="19"/>
      <c r="BC2850" s="19"/>
      <c r="BD2850" s="19"/>
      <c r="BE2850" s="19"/>
      <c r="BF2850" s="19"/>
      <c r="BU2850" s="100"/>
    </row>
    <row r="2851" x14ac:dyDescent="0.25">
      <c r="B2851" s="1" t="s">
        <v>515</v>
      </c>
      <c r="C2851" s="19">
        <v>18</v>
      </c>
      <c r="D2851" t="s">
        <v>511</v>
      </c>
      <c r="P2851" s="93"/>
      <c r="Q2851" s="109" t="str">
        <f>R2832&amp;".06"</f>
        <v>A.06</v>
      </c>
      <c r="R2851" s="19"/>
      <c r="S2851" s="19"/>
      <c r="T2851">
        <f t="shared" si="1777"/>
        <v>0</v>
      </c>
      <c r="U2851" s="19"/>
      <c r="V2851">
        <f t="shared" si="1778"/>
        <v>0</v>
      </c>
      <c r="W2851" s="19"/>
      <c r="X2851" s="19"/>
      <c r="Y2851" s="19"/>
      <c r="Z2851" s="19"/>
      <c r="AA2851" s="19"/>
      <c r="AB2851" s="19"/>
      <c r="AC2851" s="19"/>
      <c r="AR2851" s="100"/>
      <c r="AS2851" s="93"/>
      <c r="AT2851" s="109" t="str">
        <f>AU$2832&amp;".06"</f>
        <v>1.06</v>
      </c>
      <c r="AU2851" s="19"/>
      <c r="AV2851" s="19"/>
      <c r="AW2851">
        <f t="shared" si="1779"/>
        <v>0</v>
      </c>
      <c r="AX2851" s="19"/>
      <c r="AY2851">
        <f t="shared" si="1780"/>
        <v>0</v>
      </c>
      <c r="AZ2851" s="19"/>
      <c r="BA2851" s="19"/>
      <c r="BB2851" s="19"/>
      <c r="BC2851" s="19"/>
      <c r="BD2851" s="19"/>
      <c r="BE2851" s="19"/>
      <c r="BF2851" s="19"/>
      <c r="BU2851" s="100"/>
    </row>
    <row r="2852" x14ac:dyDescent="0.25">
      <c r="B2852" s="1" t="s">
        <v>516</v>
      </c>
      <c r="P2852" s="93"/>
      <c r="Q2852" s="109" t="str">
        <f>R2832&amp;".07"</f>
        <v>A.07</v>
      </c>
      <c r="R2852" s="19"/>
      <c r="S2852" s="19"/>
      <c r="T2852">
        <f t="shared" si="1777"/>
        <v>0</v>
      </c>
      <c r="U2852" s="19"/>
      <c r="V2852">
        <f t="shared" si="1778"/>
        <v>0</v>
      </c>
      <c r="W2852" s="19"/>
      <c r="X2852" s="19"/>
      <c r="Y2852" s="19"/>
      <c r="Z2852" s="19"/>
      <c r="AA2852" s="19"/>
      <c r="AB2852" s="19"/>
      <c r="AC2852" s="19"/>
      <c r="AF2852" s="109"/>
      <c r="AR2852" s="100"/>
      <c r="AS2852" s="93"/>
      <c r="AT2852" s="109" t="str">
        <f>AU$2832&amp;".07"</f>
        <v>1.07</v>
      </c>
      <c r="AU2852" s="19"/>
      <c r="AV2852" s="19"/>
      <c r="AW2852">
        <f t="shared" si="1779"/>
        <v>0</v>
      </c>
      <c r="AX2852" s="19"/>
      <c r="AY2852">
        <f t="shared" si="1780"/>
        <v>0</v>
      </c>
      <c r="AZ2852" s="19"/>
      <c r="BA2852" s="19"/>
      <c r="BB2852" s="19"/>
      <c r="BC2852" s="19"/>
      <c r="BD2852" s="19"/>
      <c r="BE2852" s="19"/>
      <c r="BF2852" s="19"/>
      <c r="BI2852" s="109"/>
      <c r="BU2852" s="100"/>
    </row>
    <row r="2853" x14ac:dyDescent="0.25">
      <c r="B2853" s="1" t="s">
        <v>517</v>
      </c>
      <c r="P2853" s="93"/>
      <c r="Q2853" s="109" t="str">
        <f>R2832&amp;".08"</f>
        <v>A.08</v>
      </c>
      <c r="R2853" s="19"/>
      <c r="S2853" s="19"/>
      <c r="T2853">
        <f t="shared" si="1777"/>
        <v>0</v>
      </c>
      <c r="U2853" s="19"/>
      <c r="V2853">
        <f t="shared" si="1778"/>
        <v>0</v>
      </c>
      <c r="W2853" s="19"/>
      <c r="X2853" s="19"/>
      <c r="Y2853" s="19"/>
      <c r="Z2853" s="19"/>
      <c r="AA2853" s="19"/>
      <c r="AB2853" s="19"/>
      <c r="AC2853" s="19"/>
      <c r="AF2853" s="109"/>
      <c r="AR2853" s="100"/>
      <c r="AS2853" s="93"/>
      <c r="AT2853" s="109" t="str">
        <f>AU$2832&amp;".08"</f>
        <v>1.08</v>
      </c>
      <c r="AU2853" s="19"/>
      <c r="AV2853" s="19"/>
      <c r="AW2853">
        <f t="shared" si="1779"/>
        <v>0</v>
      </c>
      <c r="AX2853" s="19"/>
      <c r="AY2853">
        <f t="shared" si="1780"/>
        <v>0</v>
      </c>
      <c r="AZ2853" s="19"/>
      <c r="BA2853" s="19"/>
      <c r="BB2853" s="19"/>
      <c r="BC2853" s="19"/>
      <c r="BD2853" s="19"/>
      <c r="BE2853" s="19"/>
      <c r="BF2853" s="19"/>
      <c r="BI2853" s="109"/>
      <c r="BU2853" s="100"/>
    </row>
    <row r="2854" x14ac:dyDescent="0.25">
      <c r="B2854" s="1" t="s">
        <v>518</v>
      </c>
      <c r="P2854" s="93"/>
      <c r="Q2854" s="109" t="str">
        <f>R2832&amp;".09"</f>
        <v>A.09</v>
      </c>
      <c r="R2854" s="19"/>
      <c r="S2854" s="19"/>
      <c r="T2854">
        <f t="shared" si="1777"/>
        <v>0</v>
      </c>
      <c r="U2854" s="19"/>
      <c r="V2854">
        <f t="shared" si="1778"/>
        <v>0</v>
      </c>
      <c r="W2854" s="19"/>
      <c r="X2854" s="19"/>
      <c r="Y2854" s="19"/>
      <c r="Z2854" s="19"/>
      <c r="AA2854" s="19"/>
      <c r="AB2854" s="19"/>
      <c r="AC2854" s="19"/>
      <c r="AF2854" s="109"/>
      <c r="AR2854" s="100"/>
      <c r="AS2854" s="93"/>
      <c r="AT2854" s="109" t="str">
        <f>AU$2832&amp;".09"</f>
        <v>1.09</v>
      </c>
      <c r="AU2854" s="19"/>
      <c r="AV2854" s="19"/>
      <c r="AW2854">
        <f t="shared" si="1779"/>
        <v>0</v>
      </c>
      <c r="AX2854" s="19"/>
      <c r="AY2854">
        <f t="shared" si="1780"/>
        <v>0</v>
      </c>
      <c r="AZ2854" s="19"/>
      <c r="BA2854" s="19"/>
      <c r="BB2854" s="19"/>
      <c r="BC2854" s="19"/>
      <c r="BD2854" s="19"/>
      <c r="BE2854" s="19"/>
      <c r="BF2854" s="19"/>
      <c r="BI2854" s="109"/>
      <c r="BU2854" s="100"/>
    </row>
    <row r="2855" x14ac:dyDescent="0.25">
      <c r="P2855" s="93"/>
      <c r="Q2855" s="109" t="str">
        <f>R2832&amp;".10"</f>
        <v>A.10</v>
      </c>
      <c r="R2855" s="19"/>
      <c r="S2855" s="19"/>
      <c r="T2855">
        <f t="shared" si="1777"/>
        <v>0</v>
      </c>
      <c r="U2855" s="19"/>
      <c r="V2855">
        <f t="shared" si="1778"/>
        <v>0</v>
      </c>
      <c r="W2855" s="19"/>
      <c r="X2855" s="19"/>
      <c r="Y2855" s="19"/>
      <c r="Z2855" s="19"/>
      <c r="AA2855" s="19"/>
      <c r="AB2855" s="19"/>
      <c r="AC2855" s="19"/>
      <c r="AF2855" s="109"/>
      <c r="AR2855" s="100"/>
      <c r="AS2855" s="93"/>
      <c r="AT2855" s="109" t="str">
        <f>AU$2832&amp;".10"</f>
        <v>1.10</v>
      </c>
      <c r="AU2855" s="19"/>
      <c r="AV2855" s="19"/>
      <c r="AW2855">
        <f t="shared" si="1779"/>
        <v>0</v>
      </c>
      <c r="AX2855" s="19"/>
      <c r="AY2855">
        <f t="shared" si="1780"/>
        <v>0</v>
      </c>
      <c r="AZ2855" s="19"/>
      <c r="BA2855" s="19"/>
      <c r="BB2855" s="19"/>
      <c r="BC2855" s="19"/>
      <c r="BD2855" s="19"/>
      <c r="BE2855" s="19"/>
      <c r="BF2855" s="19"/>
      <c r="BI2855" s="109"/>
      <c r="BU2855" s="100"/>
    </row>
    <row r="2856" x14ac:dyDescent="0.25">
      <c r="C2856" s="112" t="s">
        <v>495</v>
      </c>
      <c r="D2856" s="112"/>
      <c r="E2856" s="112"/>
      <c r="I2856" s="112" t="s">
        <v>495</v>
      </c>
      <c r="J2856" s="112"/>
      <c r="K2856" s="112"/>
      <c r="P2856" s="93"/>
      <c r="Q2856" s="109" t="str">
        <f>R2832&amp;".11"</f>
        <v>A.11</v>
      </c>
      <c r="R2856" s="19"/>
      <c r="S2856" s="19"/>
      <c r="T2856">
        <f t="shared" si="1777"/>
        <v>0</v>
      </c>
      <c r="U2856" s="19"/>
      <c r="V2856">
        <f t="shared" si="1778"/>
        <v>0</v>
      </c>
      <c r="W2856" s="19"/>
      <c r="X2856" s="19"/>
      <c r="Y2856" s="19"/>
      <c r="Z2856" s="19"/>
      <c r="AA2856" s="19"/>
      <c r="AB2856" s="19"/>
      <c r="AC2856" s="19"/>
      <c r="AF2856" s="109"/>
      <c r="AR2856" s="100"/>
      <c r="AS2856" s="93"/>
      <c r="AT2856" s="109" t="str">
        <f>AU$2832&amp;".11"</f>
        <v>1.11</v>
      </c>
      <c r="AU2856" s="19"/>
      <c r="AV2856" s="19"/>
      <c r="AW2856">
        <f t="shared" si="1779"/>
        <v>0</v>
      </c>
      <c r="AX2856" s="19"/>
      <c r="AY2856">
        <f t="shared" si="1780"/>
        <v>0</v>
      </c>
      <c r="AZ2856" s="19"/>
      <c r="BA2856" s="19"/>
      <c r="BB2856" s="19"/>
      <c r="BC2856" s="19"/>
      <c r="BD2856" s="19"/>
      <c r="BE2856" s="19"/>
      <c r="BF2856" s="19"/>
      <c r="BI2856" s="109"/>
      <c r="BU2856" s="100"/>
    </row>
    <row r="2857" x14ac:dyDescent="0.25">
      <c r="B2857" t="s">
        <v>474</v>
      </c>
      <c r="C2857" t="s">
        <v>492</v>
      </c>
      <c r="D2857" t="s">
        <v>493</v>
      </c>
      <c r="E2857" t="s">
        <v>494</v>
      </c>
      <c r="H2857" t="s">
        <v>455</v>
      </c>
      <c r="I2857" t="s">
        <v>492</v>
      </c>
      <c r="J2857" t="s">
        <v>493</v>
      </c>
      <c r="K2857" t="s">
        <v>494</v>
      </c>
      <c r="P2857" s="93"/>
      <c r="Q2857" s="109" t="str">
        <f>R2832&amp;".12"</f>
        <v>A.12</v>
      </c>
      <c r="R2857" s="19"/>
      <c r="S2857" s="19"/>
      <c r="T2857">
        <f t="shared" si="1777"/>
        <v>0</v>
      </c>
      <c r="U2857" s="19"/>
      <c r="V2857">
        <f t="shared" si="1778"/>
        <v>0</v>
      </c>
      <c r="W2857" s="19"/>
      <c r="X2857" s="19"/>
      <c r="Y2857" s="19"/>
      <c r="Z2857" s="19"/>
      <c r="AA2857" s="19"/>
      <c r="AB2857" s="19"/>
      <c r="AC2857" s="19"/>
      <c r="AF2857" s="109"/>
      <c r="AR2857" s="100"/>
      <c r="AS2857" s="93"/>
      <c r="AT2857" s="109" t="str">
        <f>AU$2832&amp;".12"</f>
        <v>1.12</v>
      </c>
      <c r="AU2857" s="19"/>
      <c r="AV2857" s="19"/>
      <c r="AW2857">
        <f t="shared" si="1779"/>
        <v>0</v>
      </c>
      <c r="AX2857" s="19"/>
      <c r="AY2857">
        <f t="shared" si="1780"/>
        <v>0</v>
      </c>
      <c r="AZ2857" s="19"/>
      <c r="BA2857" s="19"/>
      <c r="BB2857" s="19"/>
      <c r="BC2857" s="19"/>
      <c r="BD2857" s="19"/>
      <c r="BE2857" s="19"/>
      <c r="BF2857" s="19"/>
      <c r="BI2857" s="109"/>
      <c r="BU2857" s="100"/>
    </row>
    <row r="2858" x14ac:dyDescent="0.25">
      <c r="B2858" t="s">
        <v>274</v>
      </c>
      <c r="C2858" s="19">
        <v>0</v>
      </c>
      <c r="D2858" s="19">
        <v>29</v>
      </c>
      <c r="E2858">
        <f>C64+D64</f>
        <v>29</v>
      </c>
      <c r="H2858">
        <v>1</v>
      </c>
      <c r="I2858" s="19">
        <v>0</v>
      </c>
      <c r="J2858" s="19">
        <v>27</v>
      </c>
      <c r="K2858">
        <f>I64+J64</f>
        <v>27</v>
      </c>
      <c r="P2858" s="93"/>
      <c r="Q2858" s="109" t="str">
        <f>R2832&amp;".13"</f>
        <v>A.13</v>
      </c>
      <c r="R2858" s="19"/>
      <c r="S2858" s="19"/>
      <c r="T2858">
        <f t="shared" si="1777"/>
        <v>0</v>
      </c>
      <c r="U2858" s="19"/>
      <c r="V2858">
        <f t="shared" si="1778"/>
        <v>0</v>
      </c>
      <c r="W2858" s="19"/>
      <c r="X2858" s="19"/>
      <c r="Y2858" s="19"/>
      <c r="Z2858" s="19"/>
      <c r="AA2858" s="19"/>
      <c r="AB2858" s="19"/>
      <c r="AC2858" s="19"/>
      <c r="AF2858" s="109"/>
      <c r="AR2858" s="100"/>
      <c r="AS2858" s="93"/>
      <c r="AT2858" s="109" t="str">
        <f>AU$2832&amp;".13"</f>
        <v>1.13</v>
      </c>
      <c r="AU2858" s="19"/>
      <c r="AV2858" s="19"/>
      <c r="AW2858">
        <f t="shared" si="1779"/>
        <v>0</v>
      </c>
      <c r="AX2858" s="19"/>
      <c r="AY2858">
        <f t="shared" si="1780"/>
        <v>0</v>
      </c>
      <c r="AZ2858" s="19"/>
      <c r="BA2858" s="19"/>
      <c r="BB2858" s="19"/>
      <c r="BC2858" s="19"/>
      <c r="BD2858" s="19"/>
      <c r="BE2858" s="19"/>
      <c r="BF2858" s="19"/>
      <c r="BI2858" s="109"/>
      <c r="BU2858" s="100"/>
    </row>
    <row r="2859" x14ac:dyDescent="0.25">
      <c r="B2859" t="s">
        <v>279</v>
      </c>
      <c r="C2859" s="19">
        <v>29</v>
      </c>
      <c r="D2859" s="19">
        <v>6</v>
      </c>
      <c r="E2859">
        <f t="shared" ref="E43:E67" si="1781">C43+D43</f>
        <v>35</v>
      </c>
      <c r="H2859">
        <v>2</v>
      </c>
      <c r="I2859" s="19">
        <v>27</v>
      </c>
      <c r="J2859" s="19">
        <v>14</v>
      </c>
      <c r="K2859">
        <f t="shared" ref="K43:K67" si="1782">I43+J43</f>
        <v>41</v>
      </c>
      <c r="P2859" s="93"/>
      <c r="Q2859" s="109" t="str">
        <f>R2832&amp;".14"</f>
        <v>A.14</v>
      </c>
      <c r="R2859" s="19"/>
      <c r="S2859" s="19"/>
      <c r="T2859">
        <f t="shared" si="1777"/>
        <v>0</v>
      </c>
      <c r="U2859" s="19"/>
      <c r="V2859">
        <f t="shared" si="1778"/>
        <v>0</v>
      </c>
      <c r="W2859" s="19"/>
      <c r="X2859" s="19"/>
      <c r="Y2859" s="19"/>
      <c r="Z2859" s="19"/>
      <c r="AA2859" s="19"/>
      <c r="AB2859" s="19"/>
      <c r="AC2859" s="19"/>
      <c r="AF2859" s="109"/>
      <c r="AR2859" s="100"/>
      <c r="AS2859" s="93"/>
      <c r="AT2859" s="109" t="str">
        <f>AU$2832&amp;".14"</f>
        <v>1.14</v>
      </c>
      <c r="AU2859" s="19"/>
      <c r="AV2859" s="19"/>
      <c r="AW2859">
        <f t="shared" si="1779"/>
        <v>0</v>
      </c>
      <c r="AX2859" s="19"/>
      <c r="AY2859">
        <f t="shared" si="1780"/>
        <v>0</v>
      </c>
      <c r="AZ2859" s="19"/>
      <c r="BA2859" s="19"/>
      <c r="BB2859" s="19"/>
      <c r="BC2859" s="19"/>
      <c r="BD2859" s="19"/>
      <c r="BE2859" s="19"/>
      <c r="BF2859" s="19"/>
      <c r="BI2859" s="109"/>
      <c r="BU2859" s="100"/>
    </row>
    <row r="2860" x14ac:dyDescent="0.25">
      <c r="B2860" t="s">
        <v>283</v>
      </c>
      <c r="C2860" s="19">
        <v>6</v>
      </c>
      <c r="D2860" s="19">
        <v>29</v>
      </c>
      <c r="E2860">
        <f t="shared" si="1781"/>
        <v>35</v>
      </c>
      <c r="H2860">
        <v>3</v>
      </c>
      <c r="I2860" s="19">
        <v>14</v>
      </c>
      <c r="J2860" s="19">
        <v>13</v>
      </c>
      <c r="K2860">
        <f t="shared" si="1782"/>
        <v>27</v>
      </c>
      <c r="P2860" s="93"/>
      <c r="Q2860" s="109" t="str">
        <f>R2832&amp;".15"</f>
        <v>A.15</v>
      </c>
      <c r="R2860" s="19"/>
      <c r="S2860" s="19"/>
      <c r="T2860">
        <f t="shared" si="1777"/>
        <v>0</v>
      </c>
      <c r="U2860" s="19"/>
      <c r="V2860">
        <f t="shared" si="1778"/>
        <v>0</v>
      </c>
      <c r="W2860" s="19"/>
      <c r="X2860" s="19"/>
      <c r="Y2860" s="19"/>
      <c r="Z2860" s="19"/>
      <c r="AA2860" s="19"/>
      <c r="AB2860" s="19"/>
      <c r="AC2860" s="19"/>
      <c r="AF2860" s="109"/>
      <c r="AR2860" s="100"/>
      <c r="AS2860" s="93"/>
      <c r="AT2860" s="109" t="str">
        <f>AU$2832&amp;".15"</f>
        <v>1.15</v>
      </c>
      <c r="AU2860" s="19"/>
      <c r="AV2860" s="19"/>
      <c r="AW2860">
        <f t="shared" si="1779"/>
        <v>0</v>
      </c>
      <c r="AX2860" s="19"/>
      <c r="AY2860">
        <f t="shared" si="1780"/>
        <v>0</v>
      </c>
      <c r="AZ2860" s="19"/>
      <c r="BA2860" s="19"/>
      <c r="BB2860" s="19"/>
      <c r="BC2860" s="19"/>
      <c r="BD2860" s="19"/>
      <c r="BE2860" s="19"/>
      <c r="BF2860" s="19"/>
      <c r="BI2860" s="109"/>
      <c r="BU2860" s="100"/>
    </row>
    <row r="2861" x14ac:dyDescent="0.25">
      <c r="B2861" t="s">
        <v>287</v>
      </c>
      <c r="C2861" s="19">
        <v>26</v>
      </c>
      <c r="D2861" s="19">
        <v>26</v>
      </c>
      <c r="E2861">
        <f t="shared" si="1781"/>
        <v>52</v>
      </c>
      <c r="F2861" t="s">
        <v>506</v>
      </c>
      <c r="H2861">
        <v>4</v>
      </c>
      <c r="I2861" s="19">
        <v>13</v>
      </c>
      <c r="J2861" s="19">
        <v>27</v>
      </c>
      <c r="K2861">
        <f t="shared" si="1782"/>
        <v>40</v>
      </c>
      <c r="P2861" s="93"/>
      <c r="Q2861" s="109" t="str">
        <f>R2832&amp;".16"</f>
        <v>A.16</v>
      </c>
      <c r="R2861" s="19"/>
      <c r="S2861" s="19"/>
      <c r="T2861">
        <f t="shared" si="1777"/>
        <v>0</v>
      </c>
      <c r="U2861" s="19"/>
      <c r="V2861">
        <f t="shared" si="1778"/>
        <v>0</v>
      </c>
      <c r="W2861" s="19"/>
      <c r="X2861" s="19"/>
      <c r="Y2861" s="19"/>
      <c r="Z2861" s="19"/>
      <c r="AA2861" s="19"/>
      <c r="AB2861" s="19"/>
      <c r="AC2861" s="19"/>
      <c r="AF2861" s="109"/>
      <c r="AR2861" s="100"/>
      <c r="AS2861" s="93"/>
      <c r="AT2861" s="109" t="str">
        <f>AU$2832&amp;".16"</f>
        <v>1.16</v>
      </c>
      <c r="AU2861" s="19"/>
      <c r="AV2861" s="19"/>
      <c r="AW2861">
        <f t="shared" si="1779"/>
        <v>0</v>
      </c>
      <c r="AX2861" s="19"/>
      <c r="AY2861">
        <f t="shared" si="1780"/>
        <v>0</v>
      </c>
      <c r="AZ2861" s="19"/>
      <c r="BA2861" s="19"/>
      <c r="BB2861" s="19"/>
      <c r="BC2861" s="19"/>
      <c r="BD2861" s="19"/>
      <c r="BE2861" s="19"/>
      <c r="BF2861" s="19"/>
      <c r="BI2861" s="109"/>
      <c r="BU2861" s="100"/>
    </row>
    <row r="2862" x14ac:dyDescent="0.25">
      <c r="B2862" t="s">
        <v>288</v>
      </c>
      <c r="C2862" s="19">
        <v>29</v>
      </c>
      <c r="D2862" s="19">
        <v>0</v>
      </c>
      <c r="E2862">
        <f t="shared" si="1781"/>
        <v>29</v>
      </c>
      <c r="H2862">
        <v>5</v>
      </c>
      <c r="I2862" s="19">
        <v>27</v>
      </c>
      <c r="J2862" s="19">
        <v>11</v>
      </c>
      <c r="K2862">
        <f t="shared" si="1782"/>
        <v>38</v>
      </c>
      <c r="P2862" s="93"/>
      <c r="R2862">
        <f>SUM(R2846:R2861)</f>
        <v>29</v>
      </c>
      <c r="AR2862" s="100"/>
      <c r="AS2862" s="93"/>
      <c r="AU2862">
        <f>SUM(AU2846:AU2861)</f>
        <v>29</v>
      </c>
      <c r="BU2862" s="100"/>
    </row>
    <row r="2863" x14ac:dyDescent="0.25">
      <c r="B2863" t="s">
        <v>293</v>
      </c>
      <c r="C2863" s="19">
        <v>17</v>
      </c>
      <c r="D2863" s="19">
        <v>27</v>
      </c>
      <c r="E2863">
        <f t="shared" si="1781"/>
        <v>44</v>
      </c>
      <c r="H2863">
        <v>6</v>
      </c>
      <c r="I2863" s="19">
        <v>11</v>
      </c>
      <c r="J2863" s="19">
        <v>6</v>
      </c>
      <c r="K2863">
        <f t="shared" si="1782"/>
        <v>17</v>
      </c>
      <c r="P2863" s="93"/>
      <c r="AP2863" t="s">
        <v>746</v>
      </c>
      <c r="AR2863" s="100"/>
      <c r="AS2863" s="93"/>
      <c r="BS2863" t="s">
        <v>746</v>
      </c>
      <c r="BU2863" s="100"/>
    </row>
    <row r="2864" x14ac:dyDescent="0.25">
      <c r="B2864" t="s">
        <v>456</v>
      </c>
      <c r="C2864" s="19">
        <v>27</v>
      </c>
      <c r="D2864" s="19">
        <v>27</v>
      </c>
      <c r="E2864">
        <f t="shared" si="1781"/>
        <v>54</v>
      </c>
      <c r="H2864">
        <v>7</v>
      </c>
      <c r="I2864" s="19">
        <v>6</v>
      </c>
      <c r="J2864" s="19">
        <v>11</v>
      </c>
      <c r="K2864">
        <f t="shared" si="1782"/>
        <v>17</v>
      </c>
      <c r="P2864" s="93"/>
      <c r="Q2864" t="s">
        <v>525</v>
      </c>
      <c r="R2864" t="s">
        <v>263</v>
      </c>
      <c r="S2864" t="s">
        <v>526</v>
      </c>
      <c r="T2864" t="s">
        <v>570</v>
      </c>
      <c r="U2864" t="s">
        <v>571</v>
      </c>
      <c r="V2864" t="s">
        <v>572</v>
      </c>
      <c r="W2864" t="s">
        <v>539</v>
      </c>
      <c r="X2864" t="s">
        <v>538</v>
      </c>
      <c r="Z2864" t="s">
        <v>522</v>
      </c>
      <c r="AA2864" t="s">
        <v>523</v>
      </c>
      <c r="AB2864" t="s">
        <v>541</v>
      </c>
      <c r="AC2864" t="s">
        <v>540</v>
      </c>
      <c r="AD2864" t="s">
        <v>542</v>
      </c>
      <c r="AE2864" t="s">
        <v>520</v>
      </c>
      <c r="AF2864" t="s">
        <v>521</v>
      </c>
      <c r="AG2864" t="s">
        <v>527</v>
      </c>
      <c r="AH2864" t="s">
        <v>528</v>
      </c>
      <c r="AI2864" t="s">
        <v>543</v>
      </c>
      <c r="AJ2864" t="s">
        <v>744</v>
      </c>
      <c r="AK2864" t="s">
        <v>745</v>
      </c>
      <c r="AL2864" t="s">
        <v>749</v>
      </c>
      <c r="AM2864" t="s">
        <v>750</v>
      </c>
      <c r="AN2864" t="s">
        <v>751</v>
      </c>
      <c r="AP2864" t="s">
        <v>747</v>
      </c>
      <c r="AQ2864" t="s">
        <v>748</v>
      </c>
      <c r="AR2864" s="100"/>
      <c r="AS2864" s="93"/>
      <c r="AT2864" t="s">
        <v>525</v>
      </c>
      <c r="AU2864" t="s">
        <v>263</v>
      </c>
      <c r="AV2864" t="s">
        <v>526</v>
      </c>
      <c r="AW2864" t="s">
        <v>570</v>
      </c>
      <c r="AX2864" t="s">
        <v>571</v>
      </c>
      <c r="AY2864" t="s">
        <v>572</v>
      </c>
      <c r="AZ2864" t="s">
        <v>539</v>
      </c>
      <c r="BA2864" t="s">
        <v>538</v>
      </c>
      <c r="BC2864" t="s">
        <v>522</v>
      </c>
      <c r="BD2864" t="s">
        <v>523</v>
      </c>
      <c r="BE2864" t="s">
        <v>541</v>
      </c>
      <c r="BF2864" t="s">
        <v>540</v>
      </c>
      <c r="BG2864" t="s">
        <v>542</v>
      </c>
      <c r="BH2864" t="s">
        <v>520</v>
      </c>
      <c r="BI2864" t="s">
        <v>521</v>
      </c>
      <c r="BJ2864" t="s">
        <v>527</v>
      </c>
      <c r="BK2864" t="s">
        <v>528</v>
      </c>
      <c r="BL2864" t="s">
        <v>543</v>
      </c>
      <c r="BM2864" t="s">
        <v>744</v>
      </c>
      <c r="BN2864" t="s">
        <v>745</v>
      </c>
      <c r="BO2864" t="s">
        <v>749</v>
      </c>
      <c r="BP2864" t="s">
        <v>750</v>
      </c>
      <c r="BQ2864" t="s">
        <v>751</v>
      </c>
      <c r="BS2864" t="s">
        <v>747</v>
      </c>
      <c r="BT2864" t="s">
        <v>748</v>
      </c>
      <c r="BU2864" s="100"/>
    </row>
    <row r="2865" x14ac:dyDescent="0.25">
      <c r="B2865" t="s">
        <v>457</v>
      </c>
      <c r="C2865" s="19">
        <v>27</v>
      </c>
      <c r="D2865" s="19">
        <v>27</v>
      </c>
      <c r="E2865">
        <f t="shared" si="1781"/>
        <v>54</v>
      </c>
      <c r="H2865">
        <v>8</v>
      </c>
      <c r="I2865" s="19">
        <v>20</v>
      </c>
      <c r="J2865" s="19">
        <v>0</v>
      </c>
      <c r="K2865">
        <f t="shared" si="1782"/>
        <v>20</v>
      </c>
      <c r="L2865" t="s">
        <v>506</v>
      </c>
      <c r="P2865" s="93"/>
      <c r="Q2865" s="110" t="str">
        <f>$Q$2846</f>
        <v>A.01</v>
      </c>
      <c r="R2865" t="str">
        <f>$Q$2837</f>
        <v>L2</v>
      </c>
      <c r="S2865">
        <f>$E$21</f>
        <v>10.6875</v>
      </c>
      <c r="T2865" cm="1">
        <f t="array" ref="T2865">IFERROR(IF(S2865=0,0,(INDEX($C$33:$C$38,MATCH($W$2846,$B$33:$B$38,0),0)*(S2869+$X$2846)+$T$2846*COUNTIF(S2865:S2868,"&gt;0")*$C$32+$V$2846*$C$31)*$R$2846),0)</f>
        <v>30539.71875</v>
      </c>
      <c r="U2865">
        <f>IF(S2865=0,0,-(COUNTIF(S2865:S2868,"&gt;0")*$T$2846*$C$32+$V$2846*$C$31)*$H$27*$R$2846)</f>
        <v>-363.31199999999995</v>
      </c>
      <c r="V2865">
        <f>IF(S2865=0,0,$V$2846*$H$26*$R$2846)</f>
        <v>-1328.1999999999998</v>
      </c>
      <c r="W2865">
        <f>(0.6*T2865+0.7*U2865)*$R$2846/2</f>
        <v>262007.93632499999</v>
      </c>
      <c r="X2865">
        <f>(0.6*T2865+0.6*V2865)*$R$2846/2</f>
        <v>254140.21312500001</v>
      </c>
      <c r="Z2865">
        <f>IF(S2865=0,0,$AD$2846*$AP$2837)</f>
        <v>343.06999999999994</v>
      </c>
      <c r="AA2865">
        <f>IFERROR(Z2865/$R$2846,0)</f>
        <v>11.829999999999998</v>
      </c>
      <c r="AB2865">
        <f>Z2865*($F$21+IF($F$21=0,0,($C$14+$C$15+IF($C$13="single",1.5,3)+3)/12))</f>
        <v>3666.5606249999992</v>
      </c>
      <c r="AC2865">
        <f>AB2865-W2865</f>
        <v>-258341.37569999998</v>
      </c>
      <c r="AD2865" cm="1">
        <f t="array" ref="AD2865">IFERROR(IF(AC2865&lt;0,0,AC2865/($R$2846-INDEX(hd_off,MATCH(AQ2865,hd_mark,0),0)/12)),0)</f>
        <v>0</v>
      </c>
      <c r="AE2865">
        <f>IF(S2865=0,0,$AD$2846*$AM$2837)</f>
        <v>7899.5999999999995</v>
      </c>
      <c r="AF2865">
        <f>IFERROR(AE2865/$R$2846,0)</f>
        <v>272.39999999999998</v>
      </c>
      <c r="AG2865">
        <f>AE2865*($F$21+IF($F$21=0,0,($C$14+$C$15+IF($C$13="single",1.5,3)+3)/12))</f>
        <v>84426.974999999991</v>
      </c>
      <c r="AH2865">
        <f>AG2865-X2865</f>
        <v>-169713.23812500003</v>
      </c>
      <c r="AI2865" cm="1">
        <f t="array" ref="AI2865">IFERROR(IF(AH2865&lt;0,0,AH2865/($R$2846-INDEX(hd_off,MATCH(AQ2865,hd_mark,0),0)/12)),0)</f>
        <v>0</v>
      </c>
      <c r="AJ2865">
        <f>MAX($F$21,$Y$2846)/$Q$2868</f>
        <v>0.30172413793103448</v>
      </c>
      <c r="AK2865">
        <f>IF(AJ2865=0,0,IF(AJ2865&gt;2,1.25-0.125*AJ2865,1))</f>
        <v>1</v>
      </c>
      <c r="AL2865" cm="1">
        <f t="array" ref="AL2865">IFERROR(INDEX(sheath_ecap_asd,MATCH(AP2865,sheath_mark,0),0)*AK2865,0)</f>
        <v>239.85714285714286</v>
      </c>
      <c r="AM2865" cm="1">
        <f t="array" ref="AM2865">IFERROR(INDEX(sheath_wcap_asd,MATCH(AP2865,sheath_mark,0),0)*AK2865,0)</f>
        <v>335.8</v>
      </c>
      <c r="AN2865" cm="1">
        <f t="array" ref="AN2865">IFERROR(INDEX(hd_cap,MATCH(AQ2865,hd_mark,0),0),0)</f>
        <v>0</v>
      </c>
      <c r="AP2865" s="19">
        <v>21</v>
      </c>
      <c r="AQ2865" s="19"/>
      <c r="AR2865" s="100"/>
      <c r="AS2865" s="93"/>
      <c r="AT2865" s="110" t="str">
        <f>$AT$2846</f>
        <v>1.01</v>
      </c>
      <c r="AU2865" t="str">
        <f>$Q$2837</f>
        <v>L2</v>
      </c>
      <c r="AV2865">
        <f>$E$21</f>
        <v>10.6875</v>
      </c>
      <c r="AW2865" cm="1">
        <f t="array" ref="AW2865">IFERROR(IF(AV2865=0,0,(INDEX($C$33:$C$38,MATCH($AZ$2846,$B$33:$B$38,0),0)*(AV2869+$BA$2846)+$AW$2846*COUNTIF(AV2865:AV2868,"&gt;0")*$C$32+$AY$2846*$C$31)*$AU$2846),0)</f>
        <v>30539.71875</v>
      </c>
      <c r="AX2865">
        <f>IF(AV2865=0,0,-(COUNTIF(AV2865:AV2868,"&gt;0")*$AW$2846*$C$32+$AY$2846*$C$31)*$H$27*$AU$2846)</f>
        <v>-363.31199999999995</v>
      </c>
      <c r="AY2865">
        <f>IF(AV2865=0,0,$AY$2846*$H$26*$AU$2846)</f>
        <v>-1328.1999999999998</v>
      </c>
      <c r="AZ2865">
        <f>(0.6*AW2865+0.7*AX2865)*$AU$2846/2</f>
        <v>262007.93632499999</v>
      </c>
      <c r="BA2865">
        <f>(0.6*AW2865+0.6*AY2865)*$AU$2846/2</f>
        <v>254140.21312500001</v>
      </c>
      <c r="BC2865">
        <f>IF(AV2865=0,0,$BG$2846*$AP$2837)</f>
        <v>343.06999999999994</v>
      </c>
      <c r="BD2865">
        <f>IFERROR(BC2865/$AU$2846,0)</f>
        <v>11.829999999999998</v>
      </c>
      <c r="BE2865">
        <f>BC2865*($F$21+IF($F$21=0,0,($C$14+$C$15+IF($C$13="single",1.5,3)+3)/12))</f>
        <v>3666.5606249999992</v>
      </c>
      <c r="BF2865">
        <f>BE2865-AZ2865</f>
        <v>-258341.37569999998</v>
      </c>
      <c r="BG2865" cm="1">
        <f t="array" ref="BG2865">IFERROR(IF(BF2865&lt;0,0,BF2865/($AU$2846-INDEX(hd_off,MATCH(BT2865,hd_mark,0),0)/12)),0)</f>
        <v>0</v>
      </c>
      <c r="BH2865">
        <f>IF(AV2865=0,0,$BG$2846*$AM$2837)</f>
        <v>7899.5999999999995</v>
      </c>
      <c r="BI2865">
        <f>IFERROR(BH2865/$AU$2846,0)</f>
        <v>272.39999999999998</v>
      </c>
      <c r="BJ2865">
        <f>BH2865*($F$21+IF($F$21=0,0,($C$14+$C$15+IF($C$13="single",1.5,3)+3)/12))</f>
        <v>84426.974999999991</v>
      </c>
      <c r="BK2865">
        <f>BJ2865-BA2865</f>
        <v>-169713.23812500003</v>
      </c>
      <c r="BL2865" cm="1">
        <f t="array" ref="BL2865">IFERROR(IF(BK2865&lt;0,0,BK2865/($AU$2846-INDEX(hd_off,MATCH(BT2865,hd_mark,0),0)/12)),0)</f>
        <v>0</v>
      </c>
      <c r="BM2865">
        <f>MAX($F$21,$BB$2846)/$Q$2868</f>
        <v>0.30172413793103448</v>
      </c>
      <c r="BN2865">
        <f>IF(BM2865=0,0,IF(BM2865&gt;2,1.25-0.125*BM2865,1))</f>
        <v>1</v>
      </c>
      <c r="BO2865" cm="1">
        <f t="array" ref="BO2865">IFERROR(INDEX(sheath_ecap_asd,MATCH(BS2865,sheath_mark,0),0)*BN2865,0)</f>
        <v>239.85714285714286</v>
      </c>
      <c r="BP2865" cm="1">
        <f t="array" ref="BP2865">IFERROR(INDEX(sheath_wcap_asd,MATCH(BS2865,sheath_mark,0),0)*BN2865,0)</f>
        <v>335.8</v>
      </c>
      <c r="BQ2865" cm="1">
        <f t="array" ref="BQ2865">IFERROR(INDEX(hd_cap,MATCH(BT2865,hd_mark,0),0),0)</f>
        <v>0</v>
      </c>
      <c r="BS2865" s="19">
        <v>21</v>
      </c>
      <c r="BT2865" s="19"/>
      <c r="BU2865" s="100"/>
    </row>
    <row r="2866" x14ac:dyDescent="0.25">
      <c r="B2866" t="s">
        <v>458</v>
      </c>
      <c r="C2866" s="19">
        <v>27</v>
      </c>
      <c r="D2866" s="19">
        <v>27</v>
      </c>
      <c r="E2866">
        <f t="shared" si="1781"/>
        <v>54</v>
      </c>
      <c r="H2866">
        <v>9</v>
      </c>
      <c r="I2866" s="19">
        <v>30</v>
      </c>
      <c r="J2866" s="19">
        <v>0</v>
      </c>
      <c r="K2866">
        <f t="shared" si="1782"/>
        <v>30</v>
      </c>
      <c r="P2866" s="93"/>
      <c r="Q2866" s="109"/>
      <c r="R2866" t="str">
        <f>$Q$2838</f>
        <v>L3</v>
      </c>
      <c r="S2866">
        <f>$E$22</f>
        <v>21.375</v>
      </c>
      <c r="T2866" cm="1">
        <f t="array" ref="T2866">IFERROR(IF(S2866=0,0,(INDEX($C$33:$C$38,MATCH($W$2846,$B$33:$B$38,0),0)*(S2869+$X$2846)+$T$2846*COUNTIF(S2866:S2868,"&gt;0")*$C$32+$V$2846*$C$31)*$R$2846),0)</f>
        <v>26015.71875</v>
      </c>
      <c r="U2866">
        <f>IF(S2866=0,0,-(COUNTIF(S2866:S2868,"&gt;0")*$T$2846*$C$32+$V$2846*$C$31)*$H$27*$R$2846)</f>
        <v>-200.44799999999998</v>
      </c>
      <c r="V2866">
        <f>IF(S2866=0,0,$V$2846*$H$26*$R$2846)</f>
        <v>-1328.1999999999998</v>
      </c>
      <c r="W2866">
        <f t="shared" ref="W2866:W2868" si="1783">(0.6*T2866+0.7*U2866)*$R$2846/2</f>
        <v>224302.20592500002</v>
      </c>
      <c r="X2866">
        <f>T2866*$R$2846/2</f>
        <v>377227.921875</v>
      </c>
      <c r="Z2866">
        <f>IF(S2866=0,0,$AD$2846*$AP$2838)</f>
        <v>376.565</v>
      </c>
      <c r="AA2866">
        <f>IFERROR(Z2866/$R$2846,0)</f>
        <v>12.984999999999999</v>
      </c>
      <c r="AB2866">
        <f>Z2866*($F$22+IF($F$22=0,0,($C$14+$C$15+IF($C$13="single",1.5,3)+3)/12))</f>
        <v>4024.5384374999999</v>
      </c>
      <c r="AC2866">
        <f>AB2866-W2866</f>
        <v>-220277.6674875</v>
      </c>
      <c r="AD2866" cm="1">
        <f t="array" ref="AD2866">IFERROR(IF(AC2866&lt;0,0,AC2866/($R$2846-INDEX(hd_off,MATCH(AQ2866,hd_mark,0),0)/12)),0)</f>
        <v>0</v>
      </c>
      <c r="AE2866">
        <f>IF(S2866=0,0,$AD$2846*$AM$2838)</f>
        <v>5846.4</v>
      </c>
      <c r="AF2866">
        <f>IFERROR(AE2866/$R$2846,0)</f>
        <v>201.6</v>
      </c>
      <c r="AG2866">
        <f>AE2866*($F$22+IF($F$22=0,0,($C$14+$C$15+IF($C$13="single",1.5,3)+3)/12))</f>
        <v>62483.399999999994</v>
      </c>
      <c r="AH2866">
        <f>AG2866-X2866</f>
        <v>-314744.52187499998</v>
      </c>
      <c r="AI2866" cm="1">
        <f t="array" ref="AI2866">IFERROR(IF(AH2866&lt;0,0,AH2866/($R$2846-INDEX(hd_off,MATCH(AQ2866,hd_mark,0),0)/12)),0)</f>
        <v>0</v>
      </c>
      <c r="AJ2866">
        <f>MAX($F$22,$Z$2846)/$Q$2868</f>
        <v>0.30172413793103448</v>
      </c>
      <c r="AK2866">
        <f t="shared" ref="AK2866:AK2869" si="1784">IF(AJ2866=0,0,IF(AJ2866&gt;2,1.25-0.125*AJ2866,1))</f>
        <v>1</v>
      </c>
      <c r="AL2866" cm="1">
        <f t="array" ref="AL2866">IFERROR(INDEX(sheath_ecap_asd,MATCH(AP2866,sheath_mark,0),0)*AK2866,0)</f>
        <v>239.85714285714286</v>
      </c>
      <c r="AM2866" cm="1">
        <f t="array" ref="AM2866">IFERROR(INDEX(sheath_wcap_asd,MATCH(AP2866,sheath_mark,0),0)*AK2866,0)</f>
        <v>335.8</v>
      </c>
      <c r="AN2866" cm="1">
        <f t="array" ref="AN2866">IFERROR(INDEX(hd_cap,MATCH(AQ2866,hd_mark,0),0),0)</f>
        <v>0</v>
      </c>
      <c r="AP2866" s="19">
        <v>21</v>
      </c>
      <c r="AQ2866" s="19"/>
      <c r="AR2866" s="100"/>
      <c r="AS2866" s="93"/>
      <c r="AT2866" s="109"/>
      <c r="AU2866" t="str">
        <f>$Q$2838</f>
        <v>L3</v>
      </c>
      <c r="AV2866">
        <f>$E$22</f>
        <v>21.375</v>
      </c>
      <c r="AW2866" cm="1">
        <f t="array" ref="AW2866">IFERROR(IF(AV2866=0,0,(INDEX($C$33:$C$38,MATCH($AZ$2846,$B$33:$B$38,0),0)*(AV2869+$BA$2846)+$AW$2846*COUNTIF(AV2866:AV2868,"&gt;0")*$C$32+$AY$2846*$C$31)*$AU$2846),0)</f>
        <v>26015.71875</v>
      </c>
      <c r="AX2866">
        <f>IF(AV2866=0,0,-(COUNTIF(AV2866:AV2868,"&gt;0")*$AW$2846*$C$32+$AY$2846*$C$31)*$H$27*$AU$2846)</f>
        <v>-200.44799999999998</v>
      </c>
      <c r="AY2866">
        <f>IF(AV2866=0,0,$AY$2846*$H$26*$AU$2846)</f>
        <v>-1328.1999999999998</v>
      </c>
      <c r="AZ2866">
        <f>(0.6*AW2866+0.7*AX2866)*$AU$2846/2</f>
        <v>224302.20592500002</v>
      </c>
      <c r="BA2866">
        <f>AW2866*$AU$2846/2</f>
        <v>377227.921875</v>
      </c>
      <c r="BC2866">
        <f>IF(AV2866=0,0,$BG$2846*$AP$2838)</f>
        <v>376.565</v>
      </c>
      <c r="BD2866">
        <f>IFERROR(BC2866/$AU$2846,0)</f>
        <v>12.984999999999999</v>
      </c>
      <c r="BE2866">
        <f>BC2866*($F$22+IF($F$22=0,0,($C$14+$C$15+IF($C$13="single",1.5,3)+3)/12))</f>
        <v>4024.5384374999999</v>
      </c>
      <c r="BF2866">
        <f>BE2866-AZ2866</f>
        <v>-220277.6674875</v>
      </c>
      <c r="BG2866" cm="1">
        <f t="array" ref="BG2866">IFERROR(IF(BF2866&lt;0,0,BF2866/($AU$2846-INDEX(hd_off,MATCH(BT2866,hd_mark,0),0)/12)),0)</f>
        <v>0</v>
      </c>
      <c r="BH2866">
        <f>IF(AV2866=0,0,$BG$2846*$AM$2838)</f>
        <v>5846.4</v>
      </c>
      <c r="BI2866">
        <f>IFERROR(BH2866/$AU$2846,0)</f>
        <v>201.6</v>
      </c>
      <c r="BJ2866">
        <f>BH2866*($F$22+IF($F$22=0,0,($C$14+$C$15+IF($C$13="single",1.5,3)+3)/12))</f>
        <v>62483.399999999994</v>
      </c>
      <c r="BK2866">
        <f>BJ2866-BA2866</f>
        <v>-314744.52187499998</v>
      </c>
      <c r="BL2866" cm="1">
        <f t="array" ref="BL2866">IFERROR(IF(BK2866&lt;0,0,BK2866/($AU$2846-INDEX(hd_off,MATCH(BT2866,hd_mark,0),0)/12)),0)</f>
        <v>0</v>
      </c>
      <c r="BM2866">
        <f>MAX($F$22,$BC$2846)/$Q$2868</f>
        <v>0.30172413793103448</v>
      </c>
      <c r="BN2866">
        <f t="shared" ref="BN2866:BN2869" si="1785">IF(BM2866=0,0,IF(BM2866&gt;2,1.25-0.125*BM2866,1))</f>
        <v>1</v>
      </c>
      <c r="BO2866" cm="1">
        <f t="array" ref="BO2866">IFERROR(INDEX(sheath_ecap_asd,MATCH(BS2866,sheath_mark,0),0)*BN2866,0)</f>
        <v>239.85714285714286</v>
      </c>
      <c r="BP2866" cm="1">
        <f t="array" ref="BP2866">IFERROR(INDEX(sheath_wcap_asd,MATCH(BS2866,sheath_mark,0),0)*BN2866,0)</f>
        <v>335.8</v>
      </c>
      <c r="BQ2866" cm="1">
        <f t="array" ref="BQ2866">IFERROR(INDEX(hd_cap,MATCH(BT2866,hd_mark,0),0),0)</f>
        <v>0</v>
      </c>
      <c r="BS2866" s="19">
        <v>21</v>
      </c>
      <c r="BT2866" s="19"/>
      <c r="BU2866" s="100"/>
    </row>
    <row r="2867" x14ac:dyDescent="0.25">
      <c r="B2867" t="s">
        <v>459</v>
      </c>
      <c r="C2867" s="19">
        <v>27</v>
      </c>
      <c r="D2867" s="19">
        <v>41</v>
      </c>
      <c r="E2867">
        <f t="shared" si="1781"/>
        <v>68</v>
      </c>
      <c r="F2867" t="s">
        <v>506</v>
      </c>
      <c r="H2867">
        <v>10</v>
      </c>
      <c r="I2867" s="19">
        <v>30</v>
      </c>
      <c r="J2867" s="19">
        <v>0</v>
      </c>
      <c r="K2867">
        <f t="shared" si="1782"/>
        <v>30</v>
      </c>
      <c r="P2867" s="93"/>
      <c r="Q2867" s="109" t="s">
        <v>491</v>
      </c>
      <c r="R2867" t="str">
        <f>$Q$2839</f>
        <v>L4</v>
      </c>
      <c r="S2867">
        <f>$E$23</f>
        <v>0</v>
      </c>
      <c r="T2867" cm="1">
        <f t="array" ref="T2867">IFERROR(IF(S2867=0,0,(INDEX($C$33:$C$38,MATCH($W$2846,$B$33:$B$38,0),0)*(S2869+$X$2846)+$T$2846*COUNTIF(S2867:S2868,"&gt;0")*$C$32+$V$2846*$C$31)*$R$2846),0)</f>
        <v>0</v>
      </c>
      <c r="U2867">
        <f>IF(S2867=0,0,-(COUNTIF(S2867:S2868,"&gt;0")*$T$2846*$C$32+$V$2846*$C$31)*$H$27*$R$2846)</f>
        <v>0</v>
      </c>
      <c r="V2867">
        <f>IF(S2867=0,0,$V$2846*$H$26*$R$2846)</f>
        <v>0</v>
      </c>
      <c r="W2867">
        <f t="shared" si="1783"/>
        <v>0</v>
      </c>
      <c r="X2867">
        <f>T2867*$R$2846/2</f>
        <v>0</v>
      </c>
      <c r="Z2867">
        <f>IF(S2867=0,0,$AD$2846*$AP$2839)</f>
        <v>0</v>
      </c>
      <c r="AA2867">
        <f>IFERROR(Z2867/$R$2846,0)</f>
        <v>0</v>
      </c>
      <c r="AB2867">
        <f>Z2867*($F$23+IF($F$23=0,0,($C$14+$C$15+IF($C$13="single",1.5,3)+3)/12))</f>
        <v>0</v>
      </c>
      <c r="AC2867">
        <f>AB2867-W2867</f>
        <v>0</v>
      </c>
      <c r="AD2867" cm="1">
        <f t="array" ref="AD2867">IFERROR(IF(AC2867&lt;0,0,AC2867/($R$2846-INDEX(hd_off,MATCH(AQ2867,hd_mark,0),0)/12)),0)</f>
        <v>0</v>
      </c>
      <c r="AE2867">
        <f>IF(S2867=0,0,$AD$2846*$AM$2839)</f>
        <v>0</v>
      </c>
      <c r="AF2867">
        <f>IFERROR(AE2867/$R$2846,0)</f>
        <v>0</v>
      </c>
      <c r="AG2867">
        <f>AE2867*($F$23+IF($F$23=0,0,($C$14+$C$15+IF($C$13="single",1.5,3)+3)/12))</f>
        <v>0</v>
      </c>
      <c r="AH2867">
        <f>AG2867-X2867</f>
        <v>0</v>
      </c>
      <c r="AI2867" cm="1">
        <f t="array" ref="AI2867">IFERROR(IF(AH2867&lt;0,0,AH2867/($R$2846-INDEX(hd_off,MATCH(AQ2867,hd_mark,0),0)/12)),0)</f>
        <v>0</v>
      </c>
      <c r="AJ2867">
        <f>MAX($F$23,$AA$2846)/$Q$2868</f>
        <v>0</v>
      </c>
      <c r="AK2867">
        <f t="shared" si="1784"/>
        <v>0</v>
      </c>
      <c r="AL2867" cm="1">
        <f t="array" ref="AL2867">IFERROR(INDEX(sheath_ecap_asd,MATCH(AP2867,sheath_mark,0),0)*AK2867,0)</f>
        <v>0</v>
      </c>
      <c r="AM2867" cm="1">
        <f t="array" ref="AM2867">IFERROR(INDEX(sheath_wcap_asd,MATCH(AP2867,sheath_mark,0),0)*AK2867,0)</f>
        <v>0</v>
      </c>
      <c r="AN2867" cm="1">
        <f t="array" ref="AN2867">IFERROR(INDEX(hd_cap,MATCH(AQ2867,hd_mark,0),0),0)</f>
        <v>0</v>
      </c>
      <c r="AP2867" s="19"/>
      <c r="AQ2867" s="19"/>
      <c r="AR2867" s="100"/>
      <c r="AS2867" s="93"/>
      <c r="AT2867" s="109" t="s">
        <v>491</v>
      </c>
      <c r="AU2867" t="str">
        <f>$Q$2839</f>
        <v>L4</v>
      </c>
      <c r="AV2867">
        <f>$E$23</f>
        <v>0</v>
      </c>
      <c r="AW2867" cm="1">
        <f t="array" ref="AW2867">IFERROR(IF(AV2867=0,0,(INDEX($C$33:$C$38,MATCH($AZ$2846,$B$33:$B$38,0),0)*(AV2869+$BA$2846)+$AW$2846*COUNTIF(AV2867:AV2868,"&gt;0")*$C$32+$AY$2846*$C$31)*$AU$2846),0)</f>
        <v>0</v>
      </c>
      <c r="AX2867">
        <f>IF(AV2867=0,0,-(COUNTIF(AV2867:AV2868,"&gt;0")*$AW$2846*$C$32+$AY$2846*$C$31)*$H$27*$AU$2846)</f>
        <v>0</v>
      </c>
      <c r="AY2867">
        <f>IF(AV2867=0,0,$AY$2846*$H$26*$AU$2846)</f>
        <v>0</v>
      </c>
      <c r="AZ2867">
        <f>(0.6*AW2867+0.7*AX2867)*$AU$2846/2</f>
        <v>0</v>
      </c>
      <c r="BA2867">
        <f>AW2867*$AU$2846/2</f>
        <v>0</v>
      </c>
      <c r="BC2867">
        <f>IF(AV2867=0,0,$BG$2846*$AP$2839)</f>
        <v>0</v>
      </c>
      <c r="BD2867">
        <f>IFERROR(BC2867/$AU$2846,0)</f>
        <v>0</v>
      </c>
      <c r="BE2867">
        <f>BC2867*($F$23+IF($F$23=0,0,($C$14+$C$15+IF($C$13="single",1.5,3)+3)/12))</f>
        <v>0</v>
      </c>
      <c r="BF2867">
        <f>BE2867-AZ2867</f>
        <v>0</v>
      </c>
      <c r="BG2867" cm="1">
        <f t="array" ref="BG2867">IFERROR(IF(BF2867&lt;0,0,BF2867/($AU$2846-INDEX(hd_off,MATCH(BT2867,hd_mark,0),0)/12)),0)</f>
        <v>0</v>
      </c>
      <c r="BH2867">
        <f>IF(AV2867=0,0,$BG$2846*$AM$2839)</f>
        <v>0</v>
      </c>
      <c r="BI2867">
        <f>IFERROR(BH2867/$AU$2846,0)</f>
        <v>0</v>
      </c>
      <c r="BJ2867">
        <f>BH2867*($F$23+IF($F$23=0,0,($C$14+$C$15+IF($C$13="single",1.5,3)+3)/12))</f>
        <v>0</v>
      </c>
      <c r="BK2867">
        <f>BJ2867-BA2867</f>
        <v>0</v>
      </c>
      <c r="BL2867" cm="1">
        <f t="array" ref="BL2867">IFERROR(IF(BK2867&lt;0,0,BK2867/($AU$2846-INDEX(hd_off,MATCH(BT2867,hd_mark,0),0)/12)),0)</f>
        <v>0</v>
      </c>
      <c r="BM2867">
        <f>MAX($F$23,$BD$2846)/$Q$2868</f>
        <v>0</v>
      </c>
      <c r="BN2867">
        <f t="shared" si="1785"/>
        <v>0</v>
      </c>
      <c r="BO2867" cm="1">
        <f t="array" ref="BO2867">IFERROR(INDEX(sheath_ecap_asd,MATCH(BS2867,sheath_mark,0),0)*BN2867,0)</f>
        <v>0</v>
      </c>
      <c r="BP2867" cm="1">
        <f t="array" ref="BP2867">IFERROR(INDEX(sheath_wcap_asd,MATCH(BS2867,sheath_mark,0),0)*BN2867,0)</f>
        <v>0</v>
      </c>
      <c r="BQ2867" cm="1">
        <f t="array" ref="BQ2867">IFERROR(INDEX(hd_cap,MATCH(BT2867,hd_mark,0),0),0)</f>
        <v>0</v>
      </c>
      <c r="BS2867" s="19"/>
      <c r="BT2867" s="19"/>
      <c r="BU2867" s="100"/>
    </row>
    <row r="2868" x14ac:dyDescent="0.25">
      <c r="B2868" t="s">
        <v>171</v>
      </c>
      <c r="C2868" s="19">
        <v>0</v>
      </c>
      <c r="D2868" s="19">
        <v>29</v>
      </c>
      <c r="E2868">
        <f t="shared" si="1781"/>
        <v>29</v>
      </c>
      <c r="H2868">
        <v>11</v>
      </c>
      <c r="I2868" s="19">
        <v>0</v>
      </c>
      <c r="J2868" s="19">
        <v>27</v>
      </c>
      <c r="K2868">
        <f t="shared" si="1782"/>
        <v>27</v>
      </c>
      <c r="P2868" s="93"/>
      <c r="Q2868" s="111">
        <f>$R$2846</f>
        <v>29</v>
      </c>
      <c r="R2868" t="str">
        <f>$Q$2840</f>
        <v>L5</v>
      </c>
      <c r="S2868">
        <f>$E$24</f>
        <v>0</v>
      </c>
      <c r="T2868" cm="1">
        <f t="array" ref="T2868">IFERROR(IF(S2868=0,0,(INDEX($C$33:$C$38,MATCH($W$2846,$B$33:$B$38,0),0)*(S2869+$X$2846)+$T$2846*COUNTIF(S2868:S2868,"&gt;0")*$C$32+$V$2846*$C$31)*$R$2846),0)</f>
        <v>0</v>
      </c>
      <c r="U2868">
        <f>IF(S2868=0,0,-(COUNTIF(S2868:S2868,"&gt;0")*$T$2846*$C$32+$V$2846*$C$31)*$H$27*$R$2846)</f>
        <v>0</v>
      </c>
      <c r="V2868">
        <f>IF(S2868=0,0,$V$2846*$H$26*$R$2846)</f>
        <v>0</v>
      </c>
      <c r="W2868">
        <f t="shared" si="1783"/>
        <v>0</v>
      </c>
      <c r="X2868">
        <f>T2868*$R$2846/2</f>
        <v>0</v>
      </c>
      <c r="Z2868">
        <f>IF(S2868=0,0,$AD$2846*$AP$2840)</f>
        <v>0</v>
      </c>
      <c r="AA2868">
        <f>IFERROR(Z2868/$R$2846,0)</f>
        <v>0</v>
      </c>
      <c r="AB2868">
        <f>Z2868*($F$24+IF($F$24=0,0,($C$14+$C$15+IF($C$13="single",1.5,3)+3)/12))</f>
        <v>0</v>
      </c>
      <c r="AC2868">
        <f>AB2868-W2868</f>
        <v>0</v>
      </c>
      <c r="AD2868" cm="1">
        <f t="array" ref="AD2868">IFERROR(IF(AC2868&lt;0,0,AC2868/($R$2846-INDEX(hd_off,MATCH(AQ2868,hd_mark,0),0)/12)),0)</f>
        <v>0</v>
      </c>
      <c r="AE2868">
        <f>IF(S2868=0,0,$AD$2846*$AM$2840)</f>
        <v>0</v>
      </c>
      <c r="AF2868">
        <f>IFERROR(AE2868/$R$2846,0)</f>
        <v>0</v>
      </c>
      <c r="AG2868">
        <f>AE2868*($F$24+IF($F$24=0,0,($C$14+$C$15+IF($C$13="single",1.5,3)+3)/12))</f>
        <v>0</v>
      </c>
      <c r="AH2868">
        <f>AG2868-X2868</f>
        <v>0</v>
      </c>
      <c r="AI2868" cm="1">
        <f t="array" ref="AI2868">IFERROR(IF(AH2868&lt;0,0,AH2868/($R$2846-INDEX(hd_off,MATCH(AQ2868,hd_mark,0),0)/12)),0)</f>
        <v>0</v>
      </c>
      <c r="AJ2868">
        <f>MAX($F$24,$AB$2846)/$Q$2868</f>
        <v>0</v>
      </c>
      <c r="AK2868">
        <f t="shared" si="1784"/>
        <v>0</v>
      </c>
      <c r="AL2868" cm="1">
        <f t="array" ref="AL2868">IFERROR(INDEX(sheath_ecap_asd,MATCH(AP2868,sheath_mark,0),0)*AK2868,0)</f>
        <v>0</v>
      </c>
      <c r="AM2868" cm="1">
        <f t="array" ref="AM2868">IFERROR(INDEX(sheath_wcap_asd,MATCH(AP2868,sheath_mark,0),0)*AK2868,0)</f>
        <v>0</v>
      </c>
      <c r="AN2868" cm="1">
        <f t="array" ref="AN2868">IFERROR(INDEX(hd_cap,MATCH(AQ2868,hd_mark,0),0),0)</f>
        <v>0</v>
      </c>
      <c r="AP2868" s="19"/>
      <c r="AQ2868" s="19"/>
      <c r="AR2868" s="100"/>
      <c r="AS2868" s="93"/>
      <c r="AT2868" s="111">
        <f>$R$2846</f>
        <v>29</v>
      </c>
      <c r="AU2868" t="str">
        <f>$Q$2840</f>
        <v>L5</v>
      </c>
      <c r="AV2868">
        <f>$E$24</f>
        <v>0</v>
      </c>
      <c r="AW2868" cm="1">
        <f t="array" ref="AW2868">IFERROR(IF(AV2868=0,0,(INDEX($C$33:$C$38,MATCH($AZ$2846,$B$33:$B$38,0),0)*(AV2869+$BA$2846)+$AW$2846*COUNTIF(AV2868:AV2868,"&gt;0")*$C$32+$AY$2846*$C$31)*$AU$2846),0)</f>
        <v>0</v>
      </c>
      <c r="AX2868">
        <f>IF(AV2868=0,0,-(COUNTIF(AV2868:AV2868,"&gt;0")*$AW$2846*$C$32+$AY$2846*$C$31)*$H$27*$AU$2846)</f>
        <v>0</v>
      </c>
      <c r="AY2868">
        <f>IF(AV2868=0,0,$AY$2846*$H$26*$AU$2846)</f>
        <v>0</v>
      </c>
      <c r="AZ2868">
        <f>(0.6*AW2868+0.7*AX2868)*$AU$2846/2</f>
        <v>0</v>
      </c>
      <c r="BA2868">
        <f>AW2868*$AU$2846/2</f>
        <v>0</v>
      </c>
      <c r="BC2868">
        <f>IF(AV2868=0,0,$BG$2846*$AP$2840)</f>
        <v>0</v>
      </c>
      <c r="BD2868">
        <f>IFERROR(BC2868/$AU$2846,0)</f>
        <v>0</v>
      </c>
      <c r="BE2868">
        <f>BC2868*($F$24+IF($F$24=0,0,($C$14+$C$15+IF($C$13="single",1.5,3)+3)/12))</f>
        <v>0</v>
      </c>
      <c r="BF2868">
        <f>BE2868-AZ2868</f>
        <v>0</v>
      </c>
      <c r="BG2868" cm="1">
        <f t="array" ref="BG2868">IFERROR(IF(BF2868&lt;0,0,BF2868/($AU$2846-INDEX(hd_off,MATCH(BT2868,hd_mark,0),0)/12)),0)</f>
        <v>0</v>
      </c>
      <c r="BH2868">
        <f>IF(AV2868=0,0,$BG$2846*$AM$2840)</f>
        <v>0</v>
      </c>
      <c r="BI2868">
        <f>IFERROR(BH2868/$AU$2846,0)</f>
        <v>0</v>
      </c>
      <c r="BJ2868">
        <f>BH2868*($F$24+IF($F$24=0,0,($C$14+$C$15+IF($C$13="single",1.5,3)+3)/12))</f>
        <v>0</v>
      </c>
      <c r="BK2868">
        <f>BJ2868-BA2868</f>
        <v>0</v>
      </c>
      <c r="BL2868" cm="1">
        <f t="array" ref="BL2868">IFERROR(IF(BK2868&lt;0,0,BK2868/($AU$2846-INDEX(hd_off,MATCH(BT2868,hd_mark,0),0)/12)),0)</f>
        <v>0</v>
      </c>
      <c r="BM2868">
        <f>MAX($F$24,$BE$2846)/$Q$2868</f>
        <v>0</v>
      </c>
      <c r="BN2868">
        <f t="shared" si="1785"/>
        <v>0</v>
      </c>
      <c r="BO2868" cm="1">
        <f t="array" ref="BO2868">IFERROR(INDEX(sheath_ecap_asd,MATCH(BS2868,sheath_mark,0),0)*BN2868,0)</f>
        <v>0</v>
      </c>
      <c r="BP2868" cm="1">
        <f t="array" ref="BP2868">IFERROR(INDEX(sheath_wcap_asd,MATCH(BS2868,sheath_mark,0),0)*BN2868,0)</f>
        <v>0</v>
      </c>
      <c r="BQ2868" cm="1">
        <f t="array" ref="BQ2868">IFERROR(INDEX(hd_cap,MATCH(BT2868,hd_mark,0),0),0)</f>
        <v>0</v>
      </c>
      <c r="BS2868" s="19"/>
      <c r="BT2868" s="19"/>
      <c r="BU2868" s="100"/>
    </row>
    <row r="2869" x14ac:dyDescent="0.25">
      <c r="B2869" t="s">
        <v>460</v>
      </c>
      <c r="C2869" s="19">
        <v>29</v>
      </c>
      <c r="D2869" s="19">
        <v>6</v>
      </c>
      <c r="E2869">
        <f t="shared" si="1781"/>
        <v>35</v>
      </c>
      <c r="H2869">
        <v>12</v>
      </c>
      <c r="I2869" s="19">
        <v>27</v>
      </c>
      <c r="J2869" s="19">
        <v>14</v>
      </c>
      <c r="K2869">
        <f t="shared" si="1782"/>
        <v>41</v>
      </c>
      <c r="P2869" s="93"/>
      <c r="Q2869" s="109"/>
      <c r="R2869" t="str">
        <f>$Q$2841</f>
        <v>Roof</v>
      </c>
      <c r="S2869">
        <f>$E$25</f>
        <v>33.171875</v>
      </c>
      <c r="T2869" cm="1">
        <f t="array" ref="T2869">IFERROR(IF(S2869=0,0,(INDEX($C$33:$C$38,MATCH($W$2846,$B$33:$B$38,0),0)*(S2869+$X$2846)+$V$2846*$C$31)*$R$2846),0)</f>
        <v>21491.71875</v>
      </c>
      <c r="U2869">
        <f>IF(S2869=0,0,-$V$2846*$C$31*$H$27*$R$2846)</f>
        <v>-37.583999999999996</v>
      </c>
      <c r="V2869">
        <f>IF(S2869=0,0,$V$2846*$H$26*$R$2846)</f>
        <v>-1328.1999999999998</v>
      </c>
      <c r="W2869">
        <f>(0.6*T2869+0.7*U2869)*$R$2846/2</f>
        <v>186596.47552499999</v>
      </c>
      <c r="X2869">
        <f>T2869*$R$2846/2</f>
        <v>311629.921875</v>
      </c>
      <c r="Z2869">
        <f>IF(S2869=0,0,$AD$2846*$AP$2841)</f>
        <v>191.83499999999995</v>
      </c>
      <c r="AA2869">
        <f>IFERROR(Z2869/$R$2846,0)</f>
        <v>6.6149999999999984</v>
      </c>
      <c r="AB2869">
        <f>Z2869*($F$25+($C$16+$C$17+IF($C$13="single",1.5,3)+3)/12)</f>
        <v>2263.0535156249989</v>
      </c>
      <c r="AC2869">
        <f>AB2869-W2869</f>
        <v>-184333.42200937498</v>
      </c>
      <c r="AD2869" cm="1">
        <f t="array" ref="AD2869">IFERROR(IF(AC2869&lt;0,0,AC2869/($R$2846-INDEX(hd_off,MATCH(AQ2869,hd_mark,0),0)/12)),0)</f>
        <v>0</v>
      </c>
      <c r="AE2869">
        <f>IF(S2869=0,0,$AD$2846*$AM$2841)</f>
        <v>3854.1</v>
      </c>
      <c r="AF2869">
        <f>IFERROR(AE2869/$R$2846,0)</f>
        <v>132.9</v>
      </c>
      <c r="AG2869">
        <f>AE2869*($F$25+($C$16+$C$17+IF($C$13="single",1.5,3)+3)/12)</f>
        <v>45466.335937499993</v>
      </c>
      <c r="AH2869">
        <f>AG2869-X2869</f>
        <v>-266163.5859375</v>
      </c>
      <c r="AI2869" cm="1">
        <f t="array" ref="AI2869">IFERROR(IF(AH2869&lt;0,0,AH2869/($R$2846-INDEX(hd_off,MATCH(AQ2869,hd_mark,0),0)/12)),0)</f>
        <v>0</v>
      </c>
      <c r="AJ2869">
        <f>MAX($F$25,$AC$2846)/$Q$2868</f>
        <v>0.29920977011494249</v>
      </c>
      <c r="AK2869">
        <f t="shared" si="1784"/>
        <v>1</v>
      </c>
      <c r="AL2869" cm="1">
        <f t="array" ref="AL2869">IFERROR(INDEX(sheath_ecap_asd,MATCH(AP2869,sheath_mark,0),0)*AK2869,0)</f>
        <v>95.285714285714306</v>
      </c>
      <c r="AM2869" cm="1">
        <f t="array" ref="AM2869">IFERROR(INDEX(sheath_wcap_asd,MATCH(AP2869,sheath_mark,0),0)*AK2869,0)</f>
        <v>133.4</v>
      </c>
      <c r="AN2869" cm="1">
        <f t="array" ref="AN2869">IFERROR(INDEX(hd_cap,MATCH(AQ2869,hd_mark,0),0),0)</f>
        <v>0</v>
      </c>
      <c r="AP2869" s="19">
        <v>11</v>
      </c>
      <c r="AQ2869" s="19"/>
      <c r="AR2869" s="100"/>
      <c r="AS2869" s="93"/>
      <c r="AT2869" s="109"/>
      <c r="AU2869" t="str">
        <f>$Q$2841</f>
        <v>Roof</v>
      </c>
      <c r="AV2869">
        <f>$E$25</f>
        <v>33.171875</v>
      </c>
      <c r="AW2869" cm="1">
        <f t="array" ref="AW2869">IFERROR(IF(AV2869=0,0,(INDEX($C$33:$C$38,MATCH($AZ$2846,$B$33:$B$38,0),0)*(AV2869+$BA$2846)+$AY$2846*$C$31)*$AU$2846),0)</f>
        <v>21491.71875</v>
      </c>
      <c r="AX2869">
        <f>IF(AV2869=0,0,-$AY$2846*$C$31*$H$27*$AU$2846)</f>
        <v>-37.583999999999996</v>
      </c>
      <c r="AY2869">
        <f>IF(AV2869=0,0,$AY$2846*$H$26*$AU$2846)</f>
        <v>-1328.1999999999998</v>
      </c>
      <c r="AZ2869">
        <f>(0.6*AW2869+0.7*AX2869)*$AU$2846/2</f>
        <v>186596.47552499999</v>
      </c>
      <c r="BA2869">
        <f>AW2869*$AU$2846/2</f>
        <v>311629.921875</v>
      </c>
      <c r="BC2869">
        <f>IF(AV2869=0,0,$BG$2846*$AP$2841)</f>
        <v>191.83499999999995</v>
      </c>
      <c r="BD2869">
        <f>IFERROR(BC2869/$AU$2846,0)</f>
        <v>6.6149999999999984</v>
      </c>
      <c r="BE2869">
        <f>BC2869*($F$25+($C$16+$C$17+IF($C$13="single",1.5,3)+3)/12)</f>
        <v>2263.0535156249989</v>
      </c>
      <c r="BF2869">
        <f>BE2869-AZ2869</f>
        <v>-184333.42200937498</v>
      </c>
      <c r="BG2869" cm="1">
        <f t="array" ref="BG2869">IFERROR(IF(BF2869&lt;0,0,BF2869/($AU$2846-INDEX(hd_off,MATCH(BT2869,hd_mark,0),0)/12)),0)</f>
        <v>0</v>
      </c>
      <c r="BH2869">
        <f>IF(AV2869=0,0,$BG$2846*$AM$2841)</f>
        <v>3854.1</v>
      </c>
      <c r="BI2869">
        <f>IFERROR(BH2869/$AU$2846,0)</f>
        <v>132.9</v>
      </c>
      <c r="BJ2869">
        <f>BH2869*($F$25+($C$16+$C$17+IF($C$13="single",1.5,3)+3)/12)</f>
        <v>45466.335937499993</v>
      </c>
      <c r="BK2869">
        <f>BJ2869-BA2869</f>
        <v>-266163.5859375</v>
      </c>
      <c r="BL2869" cm="1">
        <f t="array" ref="BL2869">IFERROR(IF(BK2869&lt;0,0,BK2869/($AU$2846-INDEX(hd_off,MATCH(BT2869,hd_mark,0),0)/12)),0)</f>
        <v>0</v>
      </c>
      <c r="BM2869">
        <f>MAX($F$25,$BF$2846)/$Q$2868</f>
        <v>0.29920977011494249</v>
      </c>
      <c r="BN2869">
        <f t="shared" si="1785"/>
        <v>1</v>
      </c>
      <c r="BO2869" cm="1">
        <f t="array" ref="BO2869">IFERROR(INDEX(sheath_ecap_asd,MATCH(BS2869,sheath_mark,0),0)*BN2869,0)</f>
        <v>95.285714285714306</v>
      </c>
      <c r="BP2869" cm="1">
        <f t="array" ref="BP2869">IFERROR(INDEX(sheath_wcap_asd,MATCH(BS2869,sheath_mark,0),0)*BN2869,0)</f>
        <v>133.4</v>
      </c>
      <c r="BQ2869" cm="1">
        <f t="array" ref="BQ2869">IFERROR(INDEX(hd_cap,MATCH(BT2869,hd_mark,0),0),0)</f>
        <v>0</v>
      </c>
      <c r="BS2869" s="19">
        <v>11</v>
      </c>
      <c r="BT2869" s="19"/>
      <c r="BU2869" s="100"/>
    </row>
    <row r="2870" x14ac:dyDescent="0.25">
      <c r="B2870" t="s">
        <v>461</v>
      </c>
      <c r="C2870" s="19">
        <v>6</v>
      </c>
      <c r="D2870" s="19">
        <v>29</v>
      </c>
      <c r="E2870">
        <f t="shared" si="1781"/>
        <v>35</v>
      </c>
      <c r="H2870">
        <v>13</v>
      </c>
      <c r="I2870" s="19">
        <v>14</v>
      </c>
      <c r="J2870" s="19">
        <v>12</v>
      </c>
      <c r="K2870">
        <f t="shared" si="1782"/>
        <v>26</v>
      </c>
      <c r="P2870" s="93"/>
      <c r="Q2870" s="109"/>
      <c r="AR2870" s="100"/>
      <c r="AS2870" s="93"/>
      <c r="AT2870" s="109"/>
      <c r="BU2870" s="100"/>
    </row>
    <row r="2871" x14ac:dyDescent="0.25">
      <c r="B2871" t="s">
        <v>462</v>
      </c>
      <c r="C2871" s="19">
        <v>29</v>
      </c>
      <c r="D2871" s="19">
        <v>0</v>
      </c>
      <c r="E2871">
        <f t="shared" si="1781"/>
        <v>29</v>
      </c>
      <c r="H2871">
        <v>14</v>
      </c>
      <c r="I2871" s="19">
        <v>12</v>
      </c>
      <c r="J2871" s="19">
        <v>27</v>
      </c>
      <c r="K2871">
        <f t="shared" si="1782"/>
        <v>39</v>
      </c>
      <c r="P2871" s="93"/>
      <c r="Q2871" s="110" t="str">
        <f>$Q$2847</f>
        <v>A.02</v>
      </c>
      <c r="R2871" t="str">
        <f>$Q$2837</f>
        <v>L2</v>
      </c>
      <c r="S2871">
        <f>$E$21</f>
        <v>10.6875</v>
      </c>
      <c r="T2871" cm="1">
        <f t="array" ref="T2871">IFERROR(IF(S2871=0,0,(INDEX($C$33:$C$38,MATCH($W$2847,$B$33:$B$38,0),0)*(S2875+$X$2847)+$T$2847*COUNTIF(S2871:S2874,"&gt;0")*$C$32+$V$2847*$C$31)*$R$2847),0)</f>
        <v>0</v>
      </c>
      <c r="U2871">
        <f>IF(S2871=0,0,-(COUNTIF(S2871:S2874,"&gt;0")*$T$2847*$C$32+$V$2847*$C$31)*$H$27*$R$2847)</f>
        <v>0</v>
      </c>
      <c r="V2871">
        <f>IF(S2871=0,0,$V$2847*$H$26*$R$2847)</f>
        <v>0</v>
      </c>
      <c r="W2871">
        <f>(0.6*T2871+0.7*U2871)*$R$2847/2</f>
        <v>0</v>
      </c>
      <c r="X2871">
        <f>(0.6*T2871+0.6*V2871)*$R$2847/2</f>
        <v>0</v>
      </c>
      <c r="Z2871">
        <f>IF(S2871=0,0,$AD$2847*$AP$2837)</f>
        <v>0</v>
      </c>
      <c r="AA2871">
        <f>IFERROR(Z2871/$R$2847,0)</f>
        <v>0</v>
      </c>
      <c r="AB2871">
        <f>Z2871*($F$21+IF($F$21=0,0,($C$14+$C$15+IF($C$13="single",1.5,3)+3)/12))</f>
        <v>0</v>
      </c>
      <c r="AC2871">
        <f>AB2871-W2871</f>
        <v>0</v>
      </c>
      <c r="AD2871" cm="1">
        <f t="array" ref="AD2871">IFERROR(IF(AC2871&lt;0,0,AC2871/($R$2847-INDEX(hd_off,MATCH(AQ2871,hd_mark,0),0)/12)),0)</f>
        <v>0</v>
      </c>
      <c r="AE2871">
        <f>IF(S2871=0,0,$AD$2847*$AM$2837)</f>
        <v>0</v>
      </c>
      <c r="AF2871">
        <f>IFERROR(AE2871/$R$2847,0)</f>
        <v>0</v>
      </c>
      <c r="AG2871">
        <f>AE2871*($F$21+IF($F$21=0,0,($C$14+$C$15+IF($C$13="single",1.5,3)+3)/12))</f>
        <v>0</v>
      </c>
      <c r="AH2871">
        <f>AG2871-X2871</f>
        <v>0</v>
      </c>
      <c r="AI2871" cm="1">
        <f t="array" ref="AI2871">IFERROR(IF(AH2871&lt;0,0,AH2871/($R$2847-INDEX(hd_off,MATCH(AQ2871,hd_mark,0),0)/12)),0)</f>
        <v>0</v>
      </c>
      <c r="AJ2871">
        <f>MAX($F$21,$Y$2847)/$Q$2868</f>
        <v>0.30172413793103448</v>
      </c>
      <c r="AK2871">
        <f>IF(AJ2871=0,0,IF(AJ2871&gt;2,1.25-0.125*AJ2871,1))</f>
        <v>1</v>
      </c>
      <c r="AL2871" cm="1">
        <f t="array" ref="AL2871">IFERROR(INDEX(sheath_ecap_asd,MATCH(AP2871,sheath_mark,0),0)*AK2871,0)</f>
        <v>0</v>
      </c>
      <c r="AM2871" cm="1">
        <f t="array" ref="AM2871">IFERROR(INDEX(sheath_wcap_asd,MATCH(AP2871,sheath_mark,0),0)*AK2871,0)</f>
        <v>0</v>
      </c>
      <c r="AN2871" cm="1">
        <f t="array" ref="AN2871">IFERROR(INDEX(hd_cap,MATCH(AQ2871,hd_mark,0),0),0)</f>
        <v>0</v>
      </c>
      <c r="AP2871" s="19"/>
      <c r="AQ2871" s="19"/>
      <c r="AR2871" s="100"/>
      <c r="AS2871" s="93"/>
      <c r="AT2871" s="110" t="str">
        <f>$AT$2847</f>
        <v>1.02</v>
      </c>
      <c r="AU2871" t="str">
        <f>$Q$2837</f>
        <v>L2</v>
      </c>
      <c r="AV2871">
        <f>$E$21</f>
        <v>10.6875</v>
      </c>
      <c r="AW2871" cm="1">
        <f t="array" ref="AW2871">IFERROR(IF(AV2871=0,0,(INDEX($C$33:$C$38,MATCH($AZ$2847,$B$33:$B$38,0),0)*(AV2875+$BA$2847)+$AW$2847*COUNTIF(AV2871:AV2874,"&gt;0")*$C$32+$AY$2847*$C$31)*$AU$2847),0)</f>
        <v>0</v>
      </c>
      <c r="AX2871">
        <f>IF(AV2871=0,0,-(COUNTIF(AV2871:AV2874,"&gt;0")*$AW$2847*$C$32+$AY$2847*$C$31)*$H$27*$AU$2847)</f>
        <v>0</v>
      </c>
      <c r="AY2871">
        <f>IF(AV2871=0,0,$AY$2847*$H$26*$AU$2847)</f>
        <v>0</v>
      </c>
      <c r="AZ2871">
        <f>(0.6*AW2871+0.7*AX2871)*$AU$2847/2</f>
        <v>0</v>
      </c>
      <c r="BA2871">
        <f>(0.6*AW2871+0.6*AY2871)*$AU$2847/2</f>
        <v>0</v>
      </c>
      <c r="BC2871">
        <f>IF(AV2871=0,0,$BG$2847*$AP$2837)</f>
        <v>0</v>
      </c>
      <c r="BD2871">
        <f>IFERROR(BC2871/$AU$2847,0)</f>
        <v>0</v>
      </c>
      <c r="BE2871">
        <f>BC2871*($F$21+IF($F$21=0,0,($C$14+$C$15+IF($C$13="single",1.5,3)+3)/12))</f>
        <v>0</v>
      </c>
      <c r="BF2871">
        <f>BE2871-AZ2871</f>
        <v>0</v>
      </c>
      <c r="BG2871" cm="1">
        <f t="array" ref="BG2871">IFERROR(IF(BF2871&lt;0,0,BF2871/($AU$2847-INDEX(hd_off,MATCH(BT2871,hd_mark,0),0)/12)),0)</f>
        <v>0</v>
      </c>
      <c r="BH2871">
        <f>IF(AV2871=0,0,$BG$2847*$AM$2837)</f>
        <v>0</v>
      </c>
      <c r="BI2871">
        <f>IFERROR(BH2871/$AU$2847,0)</f>
        <v>0</v>
      </c>
      <c r="BJ2871">
        <f>BH2871*($F$21+IF($F$21=0,0,($C$14+$C$15+IF($C$13="single",1.5,3)+3)/12))</f>
        <v>0</v>
      </c>
      <c r="BK2871">
        <f>BJ2871-BA2871</f>
        <v>0</v>
      </c>
      <c r="BL2871" cm="1">
        <f t="array" ref="BL2871">IFERROR(IF(BK2871&lt;0,0,BK2871/($AU$2847-INDEX(hd_off,MATCH(BT2871,hd_mark,0),0)/12)),0)</f>
        <v>0</v>
      </c>
      <c r="BM2871">
        <f>MAX($F$21,$BB$2847)/$Q$2868</f>
        <v>0.30172413793103448</v>
      </c>
      <c r="BN2871">
        <f>IF(BM2871=0,0,IF(BM2871&gt;2,1.25-0.125*BM2871,1))</f>
        <v>1</v>
      </c>
      <c r="BO2871" cm="1">
        <f t="array" ref="BO2871">IFERROR(INDEX(sheath_ecap_asd,MATCH(BS2871,sheath_mark,0),0)*BN2871,0)</f>
        <v>0</v>
      </c>
      <c r="BP2871" cm="1">
        <f t="array" ref="BP2871">IFERROR(INDEX(sheath_wcap_asd,MATCH(BS2871,sheath_mark,0),0)*BN2871,0)</f>
        <v>0</v>
      </c>
      <c r="BQ2871" cm="1">
        <f t="array" ref="BQ2871">IFERROR(INDEX(hd_cap,MATCH(BT2871,hd_mark,0),0),0)</f>
        <v>0</v>
      </c>
      <c r="BS2871" s="19"/>
      <c r="BT2871" s="19"/>
      <c r="BU2871" s="100"/>
    </row>
    <row r="2872" x14ac:dyDescent="0.25">
      <c r="B2872" t="s">
        <v>463</v>
      </c>
      <c r="C2872" s="19"/>
      <c r="D2872" s="19"/>
      <c r="E2872">
        <f t="shared" si="1781"/>
        <v>0</v>
      </c>
      <c r="H2872">
        <v>15</v>
      </c>
      <c r="I2872" s="19">
        <v>27</v>
      </c>
      <c r="J2872" s="19">
        <v>18</v>
      </c>
      <c r="K2872">
        <f t="shared" si="1782"/>
        <v>45</v>
      </c>
      <c r="P2872" s="93"/>
      <c r="Q2872" s="109"/>
      <c r="R2872" t="str">
        <f>$Q$2838</f>
        <v>L3</v>
      </c>
      <c r="S2872">
        <f>$E$22</f>
        <v>21.375</v>
      </c>
      <c r="T2872" cm="1">
        <f t="array" ref="T2872">IFERROR(IF(S2872=0,0,(INDEX($C$33:$C$38,MATCH($W$2847,$B$33:$B$38,0),0)*(S2875+$X$2847)+$T$2847*COUNTIF(S2872:S2874,"&gt;0")*$C$32+$V$2847*$C$31)*$R$2847),0)</f>
        <v>0</v>
      </c>
      <c r="U2872">
        <f>IF(S2872=0,0,-(COUNTIF(S2872:S2874,"&gt;0")*$T$2847*$C$32+$V$2847*$C$31)*$H$27*$R$2847)</f>
        <v>0</v>
      </c>
      <c r="V2872">
        <f>IF(S2872=0,0,$V$2847*$H$26*$R$2847)</f>
        <v>0</v>
      </c>
      <c r="W2872">
        <f>(0.6*T2872+0.7*U2872)*$R$2847/2</f>
        <v>0</v>
      </c>
      <c r="X2872">
        <f>T2872*$R$2847/2</f>
        <v>0</v>
      </c>
      <c r="Z2872">
        <f>IF(S2872=0,0,$AD$2847*$AP$2838)</f>
        <v>0</v>
      </c>
      <c r="AA2872">
        <f>IFERROR(Z2872/$R$2847,0)</f>
        <v>0</v>
      </c>
      <c r="AB2872">
        <f>Z2872*($F$22+IF($F$22=0,0,($C$14+$C$15+IF($C$13="single",1.5,3)+3)/12))</f>
        <v>0</v>
      </c>
      <c r="AC2872">
        <f>AB2872-W2872</f>
        <v>0</v>
      </c>
      <c r="AD2872" cm="1">
        <f t="array" ref="AD2872">IFERROR(IF(AC2872&lt;0,0,AC2872/($R$2847-INDEX(hd_off,MATCH(AQ2872,hd_mark,0),0)/12)),0)</f>
        <v>0</v>
      </c>
      <c r="AE2872">
        <f>IF(S2872=0,0,$AD$2847*$AM$2838)</f>
        <v>0</v>
      </c>
      <c r="AF2872">
        <f>IFERROR(AE2872/$R$2847,0)</f>
        <v>0</v>
      </c>
      <c r="AG2872">
        <f>AE2872*($F$22+IF($F$22=0,0,($C$14+$C$15+IF($C$13="single",1.5,3)+3)/12))</f>
        <v>0</v>
      </c>
      <c r="AH2872">
        <f>AG2872-X2872</f>
        <v>0</v>
      </c>
      <c r="AI2872" cm="1">
        <f t="array" ref="AI2872">IFERROR(IF(AH2872&lt;0,0,AH2872/($R$2847-INDEX(hd_off,MATCH(AQ2872,hd_mark,0),0)/12)),0)</f>
        <v>0</v>
      </c>
      <c r="AJ2872">
        <f>MAX($F$22,$Z$2847)/$Q$2868</f>
        <v>0.30172413793103448</v>
      </c>
      <c r="AK2872">
        <f t="shared" ref="AK2872:AK2875" si="1786">IF(AJ2872=0,0,IF(AJ2872&gt;2,1.25-0.125*AJ2872,1))</f>
        <v>1</v>
      </c>
      <c r="AL2872" cm="1">
        <f t="array" ref="AL2872">IFERROR(INDEX(sheath_ecap_asd,MATCH(AP2872,sheath_mark,0),0)*AK2872,0)</f>
        <v>0</v>
      </c>
      <c r="AM2872" cm="1">
        <f t="array" ref="AM2872">IFERROR(INDEX(sheath_wcap_asd,MATCH(AP2872,sheath_mark,0),0)*AK2872,0)</f>
        <v>0</v>
      </c>
      <c r="AN2872" cm="1">
        <f t="array" ref="AN2872">IFERROR(INDEX(hd_cap,MATCH(AQ2872,hd_mark,0),0),0)</f>
        <v>0</v>
      </c>
      <c r="AP2872" s="19"/>
      <c r="AQ2872" s="19"/>
      <c r="AR2872" s="100"/>
      <c r="AS2872" s="93"/>
      <c r="AT2872" s="109"/>
      <c r="AU2872" t="str">
        <f>$Q$2838</f>
        <v>L3</v>
      </c>
      <c r="AV2872">
        <f>$E$22</f>
        <v>21.375</v>
      </c>
      <c r="AW2872" cm="1">
        <f t="array" ref="AW2872">IFERROR(IF(AV2872=0,0,(INDEX($C$33:$C$38,MATCH($AZ$2847,$B$33:$B$38,0),0)*(AV2875+$BA$2847)+$AW$2847*COUNTIF(AV2872:AV2874,"&gt;0")*$C$32+$AY$2847*$C$31)*$AU$2847),0)</f>
        <v>0</v>
      </c>
      <c r="AX2872">
        <f>IF(AV2872=0,0,-(COUNTIF(AV2872:AV2874,"&gt;0")*$AW$2847*$C$32+$AY$2847*$C$31)*$H$27*$AU$2847)</f>
        <v>0</v>
      </c>
      <c r="AY2872">
        <f>IF(AV2872=0,0,$AY$2847*$H$26*$AU$2847)</f>
        <v>0</v>
      </c>
      <c r="AZ2872">
        <f>(0.6*AW2872+0.7*AX2872)*$AU$2847/2</f>
        <v>0</v>
      </c>
      <c r="BA2872">
        <f>AW2872*$AU$2847/2</f>
        <v>0</v>
      </c>
      <c r="BC2872">
        <f>IF(AV2872=0,0,$BG$2847*$AP$2838)</f>
        <v>0</v>
      </c>
      <c r="BD2872">
        <f>IFERROR(BC2872/$AU$2847,0)</f>
        <v>0</v>
      </c>
      <c r="BE2872">
        <f>BC2872*($F$22+IF($F$22=0,0,($C$14+$C$15+IF($C$13="single",1.5,3)+3)/12))</f>
        <v>0</v>
      </c>
      <c r="BF2872">
        <f>BE2872-AZ2872</f>
        <v>0</v>
      </c>
      <c r="BG2872" cm="1">
        <f t="array" ref="BG2872">IFERROR(IF(BF2872&lt;0,0,BF2872/($AU$2847-INDEX(hd_off,MATCH(BT2872,hd_mark,0),0)/12)),0)</f>
        <v>0</v>
      </c>
      <c r="BH2872">
        <f>IF(AV2872=0,0,$BG$2847*$AM$2838)</f>
        <v>0</v>
      </c>
      <c r="BI2872">
        <f>IFERROR(BH2872/$AU$2847,0)</f>
        <v>0</v>
      </c>
      <c r="BJ2872">
        <f>BH2872*($F$22+IF($F$22=0,0,($C$14+$C$15+IF($C$13="single",1.5,3)+3)/12))</f>
        <v>0</v>
      </c>
      <c r="BK2872">
        <f>BJ2872-BA2872</f>
        <v>0</v>
      </c>
      <c r="BL2872" cm="1">
        <f t="array" ref="BL2872">IFERROR(IF(BK2872&lt;0,0,BK2872/($AU$2847-INDEX(hd_off,MATCH(BT2872,hd_mark,0),0)/12)),0)</f>
        <v>0</v>
      </c>
      <c r="BM2872">
        <f>MAX($F$22,$BC$2847)/$Q$2868</f>
        <v>0.30172413793103448</v>
      </c>
      <c r="BN2872">
        <f t="shared" ref="BN2872:BN2875" si="1787">IF(BM2872=0,0,IF(BM2872&gt;2,1.25-0.125*BM2872,1))</f>
        <v>1</v>
      </c>
      <c r="BO2872" cm="1">
        <f t="array" ref="BO2872">IFERROR(INDEX(sheath_ecap_asd,MATCH(BS2872,sheath_mark,0),0)*BN2872,0)</f>
        <v>0</v>
      </c>
      <c r="BP2872" cm="1">
        <f t="array" ref="BP2872">IFERROR(INDEX(sheath_wcap_asd,MATCH(BS2872,sheath_mark,0),0)*BN2872,0)</f>
        <v>0</v>
      </c>
      <c r="BQ2872" cm="1">
        <f t="array" ref="BQ2872">IFERROR(INDEX(hd_cap,MATCH(BT2872,hd_mark,0),0),0)</f>
        <v>0</v>
      </c>
      <c r="BS2872" s="19"/>
      <c r="BT2872" s="19"/>
      <c r="BU2872" s="100"/>
    </row>
    <row r="2873" x14ac:dyDescent="0.25">
      <c r="B2873" t="s">
        <v>464</v>
      </c>
      <c r="C2873" s="19"/>
      <c r="D2873" s="19"/>
      <c r="E2873">
        <f t="shared" si="1781"/>
        <v>0</v>
      </c>
      <c r="H2873">
        <v>16</v>
      </c>
      <c r="I2873" s="19"/>
      <c r="J2873" s="19"/>
      <c r="K2873">
        <f t="shared" si="1782"/>
        <v>0</v>
      </c>
      <c r="P2873" s="93"/>
      <c r="Q2873" s="109" t="s">
        <v>491</v>
      </c>
      <c r="R2873" t="str">
        <f>$Q$2839</f>
        <v>L4</v>
      </c>
      <c r="S2873">
        <f>$E$23</f>
        <v>0</v>
      </c>
      <c r="T2873" cm="1">
        <f t="array" ref="T2873">IFERROR(IF(S2873=0,0,(INDEX($C$33:$C$38,MATCH($W$2847,$B$33:$B$38,0),0)*(S2875+$X$2847)+$T$2847*COUNTIF(S2873:S2874,"&gt;0")*$C$32+$V$2847*$C$31)*$R$2847),0)</f>
        <v>0</v>
      </c>
      <c r="U2873">
        <f>IF(S2873=0,0,-(COUNTIF(S2873:S2874,"&gt;0")*$T$2847*$C$32+$V$2847*$C$31)*$H$27*$R$2847)</f>
        <v>0</v>
      </c>
      <c r="V2873">
        <f>IF(S2873=0,0,$V$2847*$H$26*$R$2847)</f>
        <v>0</v>
      </c>
      <c r="W2873">
        <f>(0.6*T2873+0.7*U2873)*$R$2847/2</f>
        <v>0</v>
      </c>
      <c r="X2873">
        <f>T2873*$R$2847/2</f>
        <v>0</v>
      </c>
      <c r="Z2873">
        <f>IF(S2873=0,0,$AD$2847*$AP$2839)</f>
        <v>0</v>
      </c>
      <c r="AA2873">
        <f>IFERROR(Z2873/$R$2847,0)</f>
        <v>0</v>
      </c>
      <c r="AB2873">
        <f>Z2873*($F$23+IF($F$23=0,0,($C$14+$C$15+IF($C$13="single",1.5,3)+3)/12))</f>
        <v>0</v>
      </c>
      <c r="AC2873">
        <f>AB2873-W2873</f>
        <v>0</v>
      </c>
      <c r="AD2873" cm="1">
        <f t="array" ref="AD2873">IFERROR(IF(AC2873&lt;0,0,AC2873/($R$2847-INDEX(hd_off,MATCH(AQ2873,hd_mark,0),0)/12)),0)</f>
        <v>0</v>
      </c>
      <c r="AE2873">
        <f>IF(S2873=0,0,$AD$2847*$AM$2839)</f>
        <v>0</v>
      </c>
      <c r="AF2873">
        <f>IFERROR(AE2873/$R$2847,0)</f>
        <v>0</v>
      </c>
      <c r="AG2873">
        <f>AE2873*($F$23+IF($F$23=0,0,($C$14+$C$15+IF($C$13="single",1.5,3)+3)/12))</f>
        <v>0</v>
      </c>
      <c r="AH2873">
        <f>AG2873-X2873</f>
        <v>0</v>
      </c>
      <c r="AI2873" cm="1">
        <f t="array" ref="AI2873">IFERROR(IF(AH2873&lt;0,0,AH2873/($R$2847-INDEX(hd_off,MATCH(AQ2873,hd_mark,0),0)/12)),0)</f>
        <v>0</v>
      </c>
      <c r="AJ2873">
        <f>MAX($F$23,$AA$2847)/$Q$2868</f>
        <v>0</v>
      </c>
      <c r="AK2873">
        <f t="shared" si="1786"/>
        <v>0</v>
      </c>
      <c r="AL2873" cm="1">
        <f t="array" ref="AL2873">IFERROR(INDEX(sheath_ecap_asd,MATCH(AP2873,sheath_mark,0),0)*AK2873,0)</f>
        <v>0</v>
      </c>
      <c r="AM2873" cm="1">
        <f t="array" ref="AM2873">IFERROR(INDEX(sheath_wcap_asd,MATCH(AP2873,sheath_mark,0),0)*AK2873,0)</f>
        <v>0</v>
      </c>
      <c r="AN2873" cm="1">
        <f t="array" ref="AN2873">IFERROR(INDEX(hd_cap,MATCH(AQ2873,hd_mark,0),0),0)</f>
        <v>0</v>
      </c>
      <c r="AP2873" s="19"/>
      <c r="AQ2873" s="19"/>
      <c r="AR2873" s="100"/>
      <c r="AS2873" s="93"/>
      <c r="AT2873" s="109" t="s">
        <v>491</v>
      </c>
      <c r="AU2873" t="str">
        <f>$Q$2839</f>
        <v>L4</v>
      </c>
      <c r="AV2873">
        <f>$E$23</f>
        <v>0</v>
      </c>
      <c r="AW2873" cm="1">
        <f t="array" ref="AW2873">IFERROR(IF(AV2873=0,0,(INDEX($C$33:$C$38,MATCH($AZ$2847,$B$33:$B$38,0),0)*(AV2875+$BA$2847)+$AW$2847*COUNTIF(AV2873:AV2874,"&gt;0")*$C$32+$AY$2847*$C$31)*$AU$2847),0)</f>
        <v>0</v>
      </c>
      <c r="AX2873">
        <f>IF(AV2873=0,0,-(COUNTIF(AV2873:AV2874,"&gt;0")*$AW$2847*$C$32+$AY$2847*$C$31)*$H$27*$AU$2847)</f>
        <v>0</v>
      </c>
      <c r="AY2873">
        <f>IF(AV2873=0,0,$AY$2847*$H$26*$AU$2847)</f>
        <v>0</v>
      </c>
      <c r="AZ2873">
        <f>(0.6*AW2873+0.7*AX2873)*$AU$2847/2</f>
        <v>0</v>
      </c>
      <c r="BA2873">
        <f>AW2873*$AU$2847/2</f>
        <v>0</v>
      </c>
      <c r="BC2873">
        <f>IF(AV2873=0,0,$BG$2847*$AP$2839)</f>
        <v>0</v>
      </c>
      <c r="BD2873">
        <f>IFERROR(BC2873/$AU$2847,0)</f>
        <v>0</v>
      </c>
      <c r="BE2873">
        <f>BC2873*($F$23+IF($F$23=0,0,($C$14+$C$15+IF($C$13="single",1.5,3)+3)/12))</f>
        <v>0</v>
      </c>
      <c r="BF2873">
        <f>BE2873-AZ2873</f>
        <v>0</v>
      </c>
      <c r="BG2873" cm="1">
        <f t="array" ref="BG2873">IFERROR(IF(BF2873&lt;0,0,BF2873/($AU$2847-INDEX(hd_off,MATCH(BT2873,hd_mark,0),0)/12)),0)</f>
        <v>0</v>
      </c>
      <c r="BH2873">
        <f>IF(AV2873=0,0,$BG$2847*$AM$2839)</f>
        <v>0</v>
      </c>
      <c r="BI2873">
        <f>IFERROR(BH2873/$AU$2847,0)</f>
        <v>0</v>
      </c>
      <c r="BJ2873">
        <f>BH2873*($F$23+IF($F$23=0,0,($C$14+$C$15+IF($C$13="single",1.5,3)+3)/12))</f>
        <v>0</v>
      </c>
      <c r="BK2873">
        <f>BJ2873-BA2873</f>
        <v>0</v>
      </c>
      <c r="BL2873" cm="1">
        <f t="array" ref="BL2873">IFERROR(IF(BK2873&lt;0,0,BK2873/($AU$2847-INDEX(hd_off,MATCH(BT2873,hd_mark,0),0)/12)),0)</f>
        <v>0</v>
      </c>
      <c r="BM2873">
        <f>MAX($F$23,$BD$2847)/$Q$2868</f>
        <v>0</v>
      </c>
      <c r="BN2873">
        <f t="shared" si="1787"/>
        <v>0</v>
      </c>
      <c r="BO2873" cm="1">
        <f t="array" ref="BO2873">IFERROR(INDEX(sheath_ecap_asd,MATCH(BS2873,sheath_mark,0),0)*BN2873,0)</f>
        <v>0</v>
      </c>
      <c r="BP2873" cm="1">
        <f t="array" ref="BP2873">IFERROR(INDEX(sheath_wcap_asd,MATCH(BS2873,sheath_mark,0),0)*BN2873,0)</f>
        <v>0</v>
      </c>
      <c r="BQ2873" cm="1">
        <f t="array" ref="BQ2873">IFERROR(INDEX(hd_cap,MATCH(BT2873,hd_mark,0),0),0)</f>
        <v>0</v>
      </c>
      <c r="BS2873" s="19"/>
      <c r="BT2873" s="19"/>
      <c r="BU2873" s="100"/>
    </row>
    <row r="2874" x14ac:dyDescent="0.25">
      <c r="B2874" t="s">
        <v>465</v>
      </c>
      <c r="C2874" s="19"/>
      <c r="D2874" s="19"/>
      <c r="E2874">
        <f t="shared" si="1781"/>
        <v>0</v>
      </c>
      <c r="H2874">
        <v>17</v>
      </c>
      <c r="I2874" s="19"/>
      <c r="J2874" s="19"/>
      <c r="K2874">
        <f t="shared" si="1782"/>
        <v>0</v>
      </c>
      <c r="P2874" s="93"/>
      <c r="Q2874" s="111">
        <f>$R$2847</f>
        <v>0</v>
      </c>
      <c r="R2874" t="str">
        <f>$Q$2840</f>
        <v>L5</v>
      </c>
      <c r="S2874">
        <f>$E$24</f>
        <v>0</v>
      </c>
      <c r="T2874" cm="1">
        <f t="array" ref="T2874">IFERROR(IF(S2874=0,0,(INDEX($C$33:$C$38,MATCH($W$2847,$B$33:$B$38,0),0)*(S2875+$X$2847)+$T$2847*COUNTIF(S2874:S2874,"&gt;0")*$C$32+$V$2847*$C$31)*$R$2847),0)</f>
        <v>0</v>
      </c>
      <c r="U2874">
        <f>IF(S2874=0,0,-(COUNTIF(S2874:S2874,"&gt;0")*$T$2847*$C$32+$V$2847*$C$31)*$H$27*$R$2847)</f>
        <v>0</v>
      </c>
      <c r="V2874">
        <f>IF(S2874=0,0,$V$2847*$H$26*$R$2847)</f>
        <v>0</v>
      </c>
      <c r="W2874">
        <f>(0.6*T2874+0.7*U2874)*$R$2847/2</f>
        <v>0</v>
      </c>
      <c r="X2874">
        <f>T2874*$R$2847/2</f>
        <v>0</v>
      </c>
      <c r="Z2874">
        <f>IF(S2874=0,0,$AD$2847*$AP$2840)</f>
        <v>0</v>
      </c>
      <c r="AA2874">
        <f>IFERROR(Z2874/$R$2847,0)</f>
        <v>0</v>
      </c>
      <c r="AB2874">
        <f>Z2874*($F$24+IF($F$24=0,0,($C$14+$C$15+IF($C$13="single",1.5,3)+3)/12))</f>
        <v>0</v>
      </c>
      <c r="AC2874">
        <f>AB2874-W2874</f>
        <v>0</v>
      </c>
      <c r="AD2874" cm="1">
        <f t="array" ref="AD2874">IFERROR(IF(AC2874&lt;0,0,AC2874/($R$2847-INDEX(hd_off,MATCH(AQ2874,hd_mark,0),0)/12)),0)</f>
        <v>0</v>
      </c>
      <c r="AE2874">
        <f>IF(S2874=0,0,$AD$2847*$AM$2840)</f>
        <v>0</v>
      </c>
      <c r="AF2874">
        <f>IFERROR(AE2874/$R$2847,0)</f>
        <v>0</v>
      </c>
      <c r="AG2874">
        <f>AE2874*($F$24+IF($F$24=0,0,($C$14+$C$15+IF($C$13="single",1.5,3)+3)/12))</f>
        <v>0</v>
      </c>
      <c r="AH2874">
        <f>AG2874-X2874</f>
        <v>0</v>
      </c>
      <c r="AI2874" cm="1">
        <f t="array" ref="AI2874">IFERROR(IF(AH2874&lt;0,0,AH2874/($R$2847-INDEX(hd_off,MATCH(AQ2874,hd_mark,0),0)/12)),0)</f>
        <v>0</v>
      </c>
      <c r="AJ2874">
        <f>MAX($F$24,$AB$2847)/$Q$2868</f>
        <v>0</v>
      </c>
      <c r="AK2874">
        <f t="shared" si="1786"/>
        <v>0</v>
      </c>
      <c r="AL2874" cm="1">
        <f t="array" ref="AL2874">IFERROR(INDEX(sheath_ecap_asd,MATCH(AP2874,sheath_mark,0),0)*AK2874,0)</f>
        <v>0</v>
      </c>
      <c r="AM2874" cm="1">
        <f t="array" ref="AM2874">IFERROR(INDEX(sheath_wcap_asd,MATCH(AP2874,sheath_mark,0),0)*AK2874,0)</f>
        <v>0</v>
      </c>
      <c r="AN2874" cm="1">
        <f t="array" ref="AN2874">IFERROR(INDEX(hd_cap,MATCH(AQ2874,hd_mark,0),0),0)</f>
        <v>0</v>
      </c>
      <c r="AP2874" s="19"/>
      <c r="AQ2874" s="19"/>
      <c r="AR2874" s="100"/>
      <c r="AS2874" s="93"/>
      <c r="AT2874" s="111">
        <f>$R$2847</f>
        <v>0</v>
      </c>
      <c r="AU2874" t="str">
        <f>$Q$2840</f>
        <v>L5</v>
      </c>
      <c r="AV2874">
        <f>$E$24</f>
        <v>0</v>
      </c>
      <c r="AW2874" cm="1">
        <f t="array" ref="AW2874">IFERROR(IF(AV2874=0,0,(INDEX($C$33:$C$38,MATCH($AZ$2847,$B$33:$B$38,0),0)*(AV2875+$BA$2847)+$AW$2847*COUNTIF(AV2874:AV2874,"&gt;0")*$C$32+$AY$2847*$C$31)*$AU$2847),0)</f>
        <v>0</v>
      </c>
      <c r="AX2874">
        <f>IF(AV2874=0,0,-(COUNTIF(AV2874:AV2874,"&gt;0")*$AW$2847*$C$32+$AY$2847*$C$31)*$H$27*$AU$2847)</f>
        <v>0</v>
      </c>
      <c r="AY2874">
        <f>IF(AV2874=0,0,$AY$2847*$H$26*$AU$2847)</f>
        <v>0</v>
      </c>
      <c r="AZ2874">
        <f>(0.6*AW2874+0.7*AX2874)*$AU$2847/2</f>
        <v>0</v>
      </c>
      <c r="BA2874">
        <f>AW2874*$AU$2847/2</f>
        <v>0</v>
      </c>
      <c r="BC2874">
        <f>IF(AV2874=0,0,$BG$2847*$AP$2840)</f>
        <v>0</v>
      </c>
      <c r="BD2874">
        <f>IFERROR(BC2874/$AU$2847,0)</f>
        <v>0</v>
      </c>
      <c r="BE2874">
        <f>BC2874*($F$24+IF($F$24=0,0,($C$14+$C$15+IF($C$13="single",1.5,3)+3)/12))</f>
        <v>0</v>
      </c>
      <c r="BF2874">
        <f>BE2874-AZ2874</f>
        <v>0</v>
      </c>
      <c r="BG2874" cm="1">
        <f t="array" ref="BG2874">IFERROR(IF(BF2874&lt;0,0,BF2874/($AU$2847-INDEX(hd_off,MATCH(BT2874,hd_mark,0),0)/12)),0)</f>
        <v>0</v>
      </c>
      <c r="BH2874">
        <f>IF(AV2874=0,0,$BG$2847*$AM$2840)</f>
        <v>0</v>
      </c>
      <c r="BI2874">
        <f>IFERROR(BH2874/$AU$2847,0)</f>
        <v>0</v>
      </c>
      <c r="BJ2874">
        <f>BH2874*($F$24+IF($F$24=0,0,($C$14+$C$15+IF($C$13="single",1.5,3)+3)/12))</f>
        <v>0</v>
      </c>
      <c r="BK2874">
        <f>BJ2874-BA2874</f>
        <v>0</v>
      </c>
      <c r="BL2874" cm="1">
        <f t="array" ref="BL2874">IFERROR(IF(BK2874&lt;0,0,BK2874/($AU$2847-INDEX(hd_off,MATCH(BT2874,hd_mark,0),0)/12)),0)</f>
        <v>0</v>
      </c>
      <c r="BM2874">
        <f>MAX($F$24,$BE$2847)/$Q$2868</f>
        <v>0</v>
      </c>
      <c r="BN2874">
        <f t="shared" si="1787"/>
        <v>0</v>
      </c>
      <c r="BO2874" cm="1">
        <f t="array" ref="BO2874">IFERROR(INDEX(sheath_ecap_asd,MATCH(BS2874,sheath_mark,0),0)*BN2874,0)</f>
        <v>0</v>
      </c>
      <c r="BP2874" cm="1">
        <f t="array" ref="BP2874">IFERROR(INDEX(sheath_wcap_asd,MATCH(BS2874,sheath_mark,0),0)*BN2874,0)</f>
        <v>0</v>
      </c>
      <c r="BQ2874" cm="1">
        <f t="array" ref="BQ2874">IFERROR(INDEX(hd_cap,MATCH(BT2874,hd_mark,0),0),0)</f>
        <v>0</v>
      </c>
      <c r="BS2874" s="19"/>
      <c r="BT2874" s="19"/>
      <c r="BU2874" s="100"/>
    </row>
    <row r="2875" x14ac:dyDescent="0.25">
      <c r="B2875" t="s">
        <v>466</v>
      </c>
      <c r="C2875" s="19"/>
      <c r="D2875" s="19"/>
      <c r="E2875">
        <f t="shared" si="1781"/>
        <v>0</v>
      </c>
      <c r="H2875">
        <v>18</v>
      </c>
      <c r="I2875" s="19"/>
      <c r="J2875" s="19"/>
      <c r="K2875">
        <f t="shared" si="1782"/>
        <v>0</v>
      </c>
      <c r="P2875" s="93"/>
      <c r="Q2875" s="109"/>
      <c r="R2875" t="str">
        <f>$Q$2841</f>
        <v>Roof</v>
      </c>
      <c r="S2875">
        <f>$E$25</f>
        <v>33.171875</v>
      </c>
      <c r="T2875" cm="1">
        <f t="array" ref="T2875">IFERROR(IF(S2875=0,0,(INDEX($C$33:$C$38,MATCH($W$2847,$B$33:$B$38,0),0)*(S2875+$X$2847)+$V$2847*$C$31)*$R$2847),0)</f>
        <v>0</v>
      </c>
      <c r="U2875">
        <f>IF(S2875=0,0,-$V$2847*$C$31*$H$27*$R$2847)</f>
        <v>0</v>
      </c>
      <c r="V2875">
        <f>IF(S2875=0,0,$V$2847*$H$26*$R$2847)</f>
        <v>0</v>
      </c>
      <c r="W2875">
        <f>(0.6*T2875+0.7*U2875)*$R$2847/2</f>
        <v>0</v>
      </c>
      <c r="X2875">
        <f>T2875*$R$2847/2</f>
        <v>0</v>
      </c>
      <c r="Z2875">
        <f>IF(S2875=0,0,$AD$2847*$AP$2841)</f>
        <v>0</v>
      </c>
      <c r="AA2875">
        <f>IFERROR(Z2875/$R$2847,0)</f>
        <v>0</v>
      </c>
      <c r="AB2875">
        <f>Z2875*($F$25+($C$16+$C$17+IF($C$13="single",1.5,3)+3)/12)</f>
        <v>0</v>
      </c>
      <c r="AC2875">
        <f>AB2875-W2875</f>
        <v>0</v>
      </c>
      <c r="AD2875" cm="1">
        <f t="array" ref="AD2875">IFERROR(IF(AC2875&lt;0,0,AC2875/($R$2847-INDEX(hd_off,MATCH(AQ2875,hd_mark,0),0)/12)),0)</f>
        <v>0</v>
      </c>
      <c r="AE2875">
        <f>IF(S2875=0,0,$AD$2847*$AM$2841)</f>
        <v>0</v>
      </c>
      <c r="AF2875">
        <f>IFERROR(AE2875/$R$2847,0)</f>
        <v>0</v>
      </c>
      <c r="AG2875">
        <f>AE2875*($F$25+($C$16+$C$17+IF($C$13="single",1.5,3)+3)/12)</f>
        <v>0</v>
      </c>
      <c r="AH2875">
        <f>AG2875-X2875</f>
        <v>0</v>
      </c>
      <c r="AI2875" cm="1">
        <f t="array" ref="AI2875">IFERROR(IF(AH2875&lt;0,0,AH2875/($R$2847-INDEX(hd_off,MATCH(AQ2875,hd_mark,0),0)/12)),0)</f>
        <v>0</v>
      </c>
      <c r="AJ2875">
        <f>MAX($F$25,$AC$2847)/$Q$2868</f>
        <v>0.29920977011494249</v>
      </c>
      <c r="AK2875">
        <f t="shared" si="1786"/>
        <v>1</v>
      </c>
      <c r="AL2875" cm="1">
        <f t="array" ref="AL2875">IFERROR(INDEX(sheath_ecap_asd,MATCH(AP2875,sheath_mark,0),0)*AK2875,0)</f>
        <v>0</v>
      </c>
      <c r="AM2875" cm="1">
        <f t="array" ref="AM2875">IFERROR(INDEX(sheath_wcap_asd,MATCH(AP2875,sheath_mark,0),0)*AK2875,0)</f>
        <v>0</v>
      </c>
      <c r="AN2875" cm="1">
        <f t="array" ref="AN2875">IFERROR(INDEX(hd_cap,MATCH(AQ2875,hd_mark,0),0),0)</f>
        <v>0</v>
      </c>
      <c r="AP2875" s="19"/>
      <c r="AQ2875" s="19"/>
      <c r="AR2875" s="100"/>
      <c r="AS2875" s="93"/>
      <c r="AT2875" s="109"/>
      <c r="AU2875" t="str">
        <f>$Q$2841</f>
        <v>Roof</v>
      </c>
      <c r="AV2875">
        <f>$E$25</f>
        <v>33.171875</v>
      </c>
      <c r="AW2875" cm="1">
        <f t="array" ref="AW2875">IFERROR(IF(AV2875=0,0,(INDEX($C$33:$C$38,MATCH($AZ$2847,$B$33:$B$38,0),0)*(AV2875+$BA$2847)+$AY$2847*$C$31)*$AU$2847),0)</f>
        <v>0</v>
      </c>
      <c r="AX2875">
        <f>IF(AV2875=0,0,-$AY$2847*$C$31*$H$27*$AU$2847)</f>
        <v>0</v>
      </c>
      <c r="AY2875">
        <f>IF(AV2875=0,0,$AY$2847*$H$26*$AU$2847)</f>
        <v>0</v>
      </c>
      <c r="AZ2875">
        <f>(0.6*AW2875+0.7*AX2875)*$AU$2847/2</f>
        <v>0</v>
      </c>
      <c r="BA2875">
        <f>AW2875*$AU$2847/2</f>
        <v>0</v>
      </c>
      <c r="BC2875">
        <f>IF(AV2875=0,0,$BG$2847*$AP$2841)</f>
        <v>0</v>
      </c>
      <c r="BD2875">
        <f>IFERROR(BC2875/$AU$2847,0)</f>
        <v>0</v>
      </c>
      <c r="BE2875">
        <f>BC2875*($F$25+($C$16+$C$17+IF($C$13="single",1.5,3)+3)/12)</f>
        <v>0</v>
      </c>
      <c r="BF2875">
        <f>BE2875-AZ2875</f>
        <v>0</v>
      </c>
      <c r="BG2875" cm="1">
        <f t="array" ref="BG2875">IFERROR(IF(BF2875&lt;0,0,BF2875/($AU$2847-INDEX(hd_off,MATCH(BT2875,hd_mark,0),0)/12)),0)</f>
        <v>0</v>
      </c>
      <c r="BH2875">
        <f>IF(AV2875=0,0,$BG$2847*$AM$2841)</f>
        <v>0</v>
      </c>
      <c r="BI2875">
        <f>IFERROR(BH2875/$AU$2847,0)</f>
        <v>0</v>
      </c>
      <c r="BJ2875">
        <f>BH2875*($F$25+($C$16+$C$17+IF($C$13="single",1.5,3)+3)/12)</f>
        <v>0</v>
      </c>
      <c r="BK2875">
        <f>BJ2875-BA2875</f>
        <v>0</v>
      </c>
      <c r="BL2875" cm="1">
        <f t="array" ref="BL2875">IFERROR(IF(BK2875&lt;0,0,BK2875/($AU$2847-INDEX(hd_off,MATCH(BT2875,hd_mark,0),0)/12)),0)</f>
        <v>0</v>
      </c>
      <c r="BM2875">
        <f>MAX($F$25,$BF$2847)/$Q$2868</f>
        <v>0.29920977011494249</v>
      </c>
      <c r="BN2875">
        <f t="shared" si="1787"/>
        <v>1</v>
      </c>
      <c r="BO2875" cm="1">
        <f t="array" ref="BO2875">IFERROR(INDEX(sheath_ecap_asd,MATCH(BS2875,sheath_mark,0),0)*BN2875,0)</f>
        <v>0</v>
      </c>
      <c r="BP2875" cm="1">
        <f t="array" ref="BP2875">IFERROR(INDEX(sheath_wcap_asd,MATCH(BS2875,sheath_mark,0),0)*BN2875,0)</f>
        <v>0</v>
      </c>
      <c r="BQ2875" cm="1">
        <f t="array" ref="BQ2875">IFERROR(INDEX(hd_cap,MATCH(BT2875,hd_mark,0),0),0)</f>
        <v>0</v>
      </c>
      <c r="BS2875" s="19"/>
      <c r="BT2875" s="19"/>
      <c r="BU2875" s="100"/>
    </row>
    <row r="2876" x14ac:dyDescent="0.25">
      <c r="B2876" t="s">
        <v>467</v>
      </c>
      <c r="C2876" s="19"/>
      <c r="D2876" s="19"/>
      <c r="E2876">
        <f t="shared" si="1781"/>
        <v>0</v>
      </c>
      <c r="H2876">
        <v>19</v>
      </c>
      <c r="I2876" s="19"/>
      <c r="J2876" s="19"/>
      <c r="K2876">
        <f t="shared" si="1782"/>
        <v>0</v>
      </c>
      <c r="P2876" s="93"/>
      <c r="AR2876" s="100"/>
      <c r="AS2876" s="93"/>
      <c r="BU2876" s="100"/>
    </row>
    <row r="2877" x14ac:dyDescent="0.25">
      <c r="B2877" t="s">
        <v>468</v>
      </c>
      <c r="C2877" s="19"/>
      <c r="D2877" s="19"/>
      <c r="E2877">
        <f t="shared" si="1781"/>
        <v>0</v>
      </c>
      <c r="H2877">
        <v>20</v>
      </c>
      <c r="I2877" s="19"/>
      <c r="J2877" s="19"/>
      <c r="K2877">
        <f t="shared" si="1782"/>
        <v>0</v>
      </c>
      <c r="P2877" s="93"/>
      <c r="Q2877" s="110" t="str">
        <f>$Q$2848</f>
        <v>A.03</v>
      </c>
      <c r="R2877" t="str">
        <f>$Q$2837</f>
        <v>L2</v>
      </c>
      <c r="S2877">
        <f>$E$21</f>
        <v>10.6875</v>
      </c>
      <c r="T2877" cm="1">
        <f t="array" ref="T2877">IFERROR(IF(S2877=0,0,(INDEX($C$33:$C$38,MATCH($W$2848,$B$33:$B$38,0),0)*(S2881+$X$2848)+$T$2848*COUNTIF(S2877:S2880,"&gt;0")*$C$32+$V$2848*$C$31)*$R$2848),0)</f>
        <v>0</v>
      </c>
      <c r="U2877">
        <f>IF(S2877=0,0,-(COUNTIF(S2877:S2880,"&gt;0")*$T$2848*$C$32+$V$2848*$C$31)*$H$27*$R$2848)</f>
        <v>0</v>
      </c>
      <c r="V2877">
        <f>IF(S2877=0,0,$V$2848*$H$26*$R$2848)</f>
        <v>0</v>
      </c>
      <c r="W2877">
        <f>(0.6*T2877+0.7*U2877)*$R$2848/2</f>
        <v>0</v>
      </c>
      <c r="X2877">
        <f>(0.6*T2877+0.6*V2877)*$R$2848/2</f>
        <v>0</v>
      </c>
      <c r="Z2877">
        <f>IF(S2877=0,0,$AD$2848*$AP$2837)</f>
        <v>0</v>
      </c>
      <c r="AA2877">
        <f>IFERROR(Z2877/$R$2848,0)</f>
        <v>0</v>
      </c>
      <c r="AB2877">
        <f>Z2877*($F$21+IF($F$21=0,0,($C$14+$C$15+IF($C$13="single",1.5,3)+3)/12))</f>
        <v>0</v>
      </c>
      <c r="AC2877">
        <f>AB2877-W2877</f>
        <v>0</v>
      </c>
      <c r="AD2877" cm="1">
        <f t="array" ref="AD2877">IFERROR(IF(AC2877&lt;0,0,AC2877/($R$2848-INDEX(hd_off,MATCH(AQ2877,hd_mark,0),0)/12)),0)</f>
        <v>0</v>
      </c>
      <c r="AE2877">
        <f>IF(S2877=0,0,$AD$2848*$AM$2837)</f>
        <v>0</v>
      </c>
      <c r="AF2877">
        <f>IFERROR(AE2877/$R$2848,0)</f>
        <v>0</v>
      </c>
      <c r="AG2877">
        <f>AE2877*($F$21+IF($F$21=0,0,($C$14+$C$15+IF($C$13="single",1.5,3)+3)/12))</f>
        <v>0</v>
      </c>
      <c r="AH2877">
        <f>AG2877-X2877</f>
        <v>0</v>
      </c>
      <c r="AI2877" cm="1">
        <f t="array" ref="AI2877">IFERROR(IF(AH2877&lt;0,0,AH2877/($R$2848-INDEX(hd_off,MATCH(AQ2877,hd_mark,0),0)/12)),0)</f>
        <v>0</v>
      </c>
      <c r="AJ2877">
        <f>MAX($F$21,$Y$2848)/$Q$2868</f>
        <v>0.30172413793103448</v>
      </c>
      <c r="AK2877">
        <f>IF(AJ2877=0,0,IF(AJ2877&gt;2,1.25-0.125*AJ2877,1))</f>
        <v>1</v>
      </c>
      <c r="AL2877" cm="1">
        <f t="array" ref="AL2877">IFERROR(INDEX(sheath_ecap_asd,MATCH(AP2877,sheath_mark,0),0)*AK2877,0)</f>
        <v>0</v>
      </c>
      <c r="AM2877" cm="1">
        <f t="array" ref="AM2877">IFERROR(INDEX(sheath_wcap_asd,MATCH(AP2877,sheath_mark,0),0)*AK2877,0)</f>
        <v>0</v>
      </c>
      <c r="AN2877" cm="1">
        <f t="array" ref="AN2877">IFERROR(INDEX(hd_cap,MATCH(AQ2877,hd_mark,0),0),0)</f>
        <v>0</v>
      </c>
      <c r="AP2877" s="19"/>
      <c r="AQ2877" s="19"/>
      <c r="AR2877" s="100"/>
      <c r="AS2877" s="93"/>
      <c r="AT2877" s="110" t="str">
        <f>$AT$2848</f>
        <v>1.03</v>
      </c>
      <c r="AU2877" t="str">
        <f>$Q$2837</f>
        <v>L2</v>
      </c>
      <c r="AV2877">
        <f>$E$21</f>
        <v>10.6875</v>
      </c>
      <c r="AW2877" cm="1">
        <f t="array" ref="AW2877">IFERROR(IF(AV2877=0,0,(INDEX($C$33:$C$38,MATCH($AZ$2848,$B$33:$B$38,0),0)*(AV2881+$BA$2848)+$AW$2848*COUNTIF(AV2877:AV2880,"&gt;0")*$C$32+$AY$2848*$C$31)*$AU$2848),0)</f>
        <v>0</v>
      </c>
      <c r="AX2877">
        <f>IF(AV2877=0,0,-(COUNTIF(AV2877:AV2880,"&gt;0")*$AW$2848*$C$32+$AY$2848*$C$31)*$H$27*$AU$2848)</f>
        <v>0</v>
      </c>
      <c r="AY2877">
        <f>IF(AV2877=0,0,$AY$2848*$H$26*$AU$2848)</f>
        <v>0</v>
      </c>
      <c r="AZ2877">
        <f>(0.6*AW2877+0.7*AX2877)*$AU$2848/2</f>
        <v>0</v>
      </c>
      <c r="BA2877">
        <f>(0.6*AW2877+0.6*AY2877)*$AU$2848/2</f>
        <v>0</v>
      </c>
      <c r="BC2877">
        <f>IF(AV2877=0,0,$BG$2848*$AP$2837)</f>
        <v>0</v>
      </c>
      <c r="BD2877">
        <f>IFERROR(BC2877/$AU$2848,0)</f>
        <v>0</v>
      </c>
      <c r="BE2877">
        <f>BC2877*($F$21+IF($F$21=0,0,($C$14+$C$15+IF($C$13="single",1.5,3)+3)/12))</f>
        <v>0</v>
      </c>
      <c r="BF2877">
        <f>BE2877-AZ2877</f>
        <v>0</v>
      </c>
      <c r="BG2877" cm="1">
        <f t="array" ref="BG2877">IFERROR(IF(BF2877&lt;0,0,BF2877/($AU$2848-INDEX(hd_off,MATCH(BT2877,hd_mark,0),0)/12)),0)</f>
        <v>0</v>
      </c>
      <c r="BH2877">
        <f>IF(AV2877=0,0,$BG$2848*$AM$2837)</f>
        <v>0</v>
      </c>
      <c r="BI2877">
        <f>IFERROR(BH2877/$AU$2848,0)</f>
        <v>0</v>
      </c>
      <c r="BJ2877">
        <f>BH2877*($F$21+IF($F$21=0,0,($C$14+$C$15+IF($C$13="single",1.5,3)+3)/12))</f>
        <v>0</v>
      </c>
      <c r="BK2877">
        <f>BJ2877-BA2877</f>
        <v>0</v>
      </c>
      <c r="BL2877" cm="1">
        <f t="array" ref="BL2877">IFERROR(IF(BK2877&lt;0,0,BK2877/($AU$2848-INDEX(hd_off,MATCH(BT2877,hd_mark,0),0)/12)),0)</f>
        <v>0</v>
      </c>
      <c r="BM2877">
        <f>MAX($F$21,$BB$2848)/$Q$2868</f>
        <v>0.30172413793103448</v>
      </c>
      <c r="BN2877">
        <f>IF(BM2877=0,0,IF(BM2877&gt;2,1.25-0.125*BM2877,1))</f>
        <v>1</v>
      </c>
      <c r="BO2877" cm="1">
        <f t="array" ref="BO2877">IFERROR(INDEX(sheath_ecap_asd,MATCH(BS2877,sheath_mark,0),0)*BN2877,0)</f>
        <v>0</v>
      </c>
      <c r="BP2877" cm="1">
        <f t="array" ref="BP2877">IFERROR(INDEX(sheath_wcap_asd,MATCH(BS2877,sheath_mark,0),0)*BN2877,0)</f>
        <v>0</v>
      </c>
      <c r="BQ2877" cm="1">
        <f t="array" ref="BQ2877">IFERROR(INDEX(hd_cap,MATCH(BT2877,hd_mark,0),0),0)</f>
        <v>0</v>
      </c>
      <c r="BS2877" s="19"/>
      <c r="BT2877" s="19"/>
      <c r="BU2877" s="100"/>
    </row>
    <row r="2878" x14ac:dyDescent="0.25">
      <c r="B2878" t="s">
        <v>469</v>
      </c>
      <c r="C2878" s="19"/>
      <c r="D2878" s="19"/>
      <c r="E2878">
        <f t="shared" si="1781"/>
        <v>0</v>
      </c>
      <c r="H2878">
        <v>21</v>
      </c>
      <c r="I2878" s="19"/>
      <c r="J2878" s="19"/>
      <c r="K2878">
        <f t="shared" si="1782"/>
        <v>0</v>
      </c>
      <c r="P2878" s="93"/>
      <c r="Q2878" s="109"/>
      <c r="R2878" t="str">
        <f>$Q$2838</f>
        <v>L3</v>
      </c>
      <c r="S2878">
        <f>$E$22</f>
        <v>21.375</v>
      </c>
      <c r="T2878" cm="1">
        <f t="array" ref="T2878">IFERROR(IF(S2878=0,0,(INDEX($C$33:$C$38,MATCH($W$2848,$B$33:$B$38,0),0)*(S2881+$X$2848)+$T$2848*COUNTIF(S2878:S2880,"&gt;0")*$C$32+$V$2848*$C$31)*$R$2848),0)</f>
        <v>0</v>
      </c>
      <c r="U2878">
        <f>IF(S2878=0,0,-(COUNTIF(S2878:S2880,"&gt;0")*$T$2848*$C$32+$V$2848*$C$31)*$H$27*$R$2848)</f>
        <v>0</v>
      </c>
      <c r="V2878">
        <f>IF(S2878=0,0,$V$2848*$H$26*$R$2848)</f>
        <v>0</v>
      </c>
      <c r="W2878">
        <f>(0.6*T2878+0.7*U2878)*$R$2848/2</f>
        <v>0</v>
      </c>
      <c r="X2878">
        <f>T2878*$R$2848/2</f>
        <v>0</v>
      </c>
      <c r="Z2878">
        <f>IF(S2878=0,0,$AD$2848*$AP$2838)</f>
        <v>0</v>
      </c>
      <c r="AA2878">
        <f>IFERROR(Z2878/$R$2848,0)</f>
        <v>0</v>
      </c>
      <c r="AB2878">
        <f>Z2878*($F$22+IF($F$22=0,0,($C$14+$C$15+IF($C$13="single",1.5,3)+3)/12))</f>
        <v>0</v>
      </c>
      <c r="AC2878">
        <f>AB2878-W2878</f>
        <v>0</v>
      </c>
      <c r="AD2878" cm="1">
        <f t="array" ref="AD2878">IFERROR(IF(AC2878&lt;0,0,AC2878/($R$2848-INDEX(hd_off,MATCH(AQ2878,hd_mark,0),0)/12)),0)</f>
        <v>0</v>
      </c>
      <c r="AE2878">
        <f>IF(S2878=0,0,$AD$2848*$AM$2838)</f>
        <v>0</v>
      </c>
      <c r="AF2878">
        <f>IFERROR(AE2878/$R$2848,0)</f>
        <v>0</v>
      </c>
      <c r="AG2878">
        <f>AE2878*($F$22+IF($F$22=0,0,($C$14+$C$15+IF($C$13="single",1.5,3)+3)/12))</f>
        <v>0</v>
      </c>
      <c r="AH2878">
        <f>AG2878-X2878</f>
        <v>0</v>
      </c>
      <c r="AI2878" cm="1">
        <f t="array" ref="AI2878">IFERROR(IF(AH2878&lt;0,0,AH2878/($R$2848-INDEX(hd_off,MATCH(AQ2878,hd_mark,0),0)/12)),0)</f>
        <v>0</v>
      </c>
      <c r="AJ2878">
        <f>MAX($F$22,$Z$2848)/$Q$2868</f>
        <v>0.30172413793103448</v>
      </c>
      <c r="AK2878">
        <f t="shared" ref="AK2878:AK2881" si="1788">IF(AJ2878=0,0,IF(AJ2878&gt;2,1.25-0.125*AJ2878,1))</f>
        <v>1</v>
      </c>
      <c r="AL2878" cm="1">
        <f t="array" ref="AL2878">IFERROR(INDEX(sheath_ecap_asd,MATCH(AP2878,sheath_mark,0),0)*AK2878,0)</f>
        <v>0</v>
      </c>
      <c r="AM2878" cm="1">
        <f t="array" ref="AM2878">IFERROR(INDEX(sheath_wcap_asd,MATCH(AP2878,sheath_mark,0),0)*AK2878,0)</f>
        <v>0</v>
      </c>
      <c r="AN2878" cm="1">
        <f t="array" ref="AN2878">IFERROR(INDEX(hd_cap,MATCH(AQ2878,hd_mark,0),0),0)</f>
        <v>0</v>
      </c>
      <c r="AP2878" s="19"/>
      <c r="AQ2878" s="19"/>
      <c r="AR2878" s="100"/>
      <c r="AS2878" s="93"/>
      <c r="AT2878" s="109"/>
      <c r="AU2878" t="str">
        <f>$Q$2838</f>
        <v>L3</v>
      </c>
      <c r="AV2878">
        <f>$E$22</f>
        <v>21.375</v>
      </c>
      <c r="AW2878" cm="1">
        <f t="array" ref="AW2878">IFERROR(IF(AV2878=0,0,(INDEX($C$33:$C$38,MATCH($AZ$2848,$B$33:$B$38,0),0)*(AV2881+$BA$2848)+$AW$2848*COUNTIF(AV2878:AV2880,"&gt;0")*$C$32+$AY$2848*$C$31)*$AU$2848),0)</f>
        <v>0</v>
      </c>
      <c r="AX2878">
        <f>IF(AV2878=0,0,-(COUNTIF(AV2878:AV2880,"&gt;0")*$AW$2848*$C$32+$AY$2848*$C$31)*$H$27*$AU$2848)</f>
        <v>0</v>
      </c>
      <c r="AY2878">
        <f>IF(AV2878=0,0,$AY$2848*$H$26*$AU$2848)</f>
        <v>0</v>
      </c>
      <c r="AZ2878">
        <f>(0.6*AW2878+0.7*AX2878)*$AU$2848/2</f>
        <v>0</v>
      </c>
      <c r="BA2878">
        <f>AW2878*$AU$2848/2</f>
        <v>0</v>
      </c>
      <c r="BC2878">
        <f>IF(AV2878=0,0,$BG$2848*$AP$2838)</f>
        <v>0</v>
      </c>
      <c r="BD2878">
        <f>IFERROR(BC2878/$AU$2848,0)</f>
        <v>0</v>
      </c>
      <c r="BE2878">
        <f>BC2878*($F$22+IF($F$22=0,0,($C$14+$C$15+IF($C$13="single",1.5,3)+3)/12))</f>
        <v>0</v>
      </c>
      <c r="BF2878">
        <f>BE2878-AZ2878</f>
        <v>0</v>
      </c>
      <c r="BG2878" cm="1">
        <f t="array" ref="BG2878">IFERROR(IF(BF2878&lt;0,0,BF2878/($AU$2848-INDEX(hd_off,MATCH(BT2878,hd_mark,0),0)/12)),0)</f>
        <v>0</v>
      </c>
      <c r="BH2878">
        <f>IF(AV2878=0,0,$BG$2848*$AM$2838)</f>
        <v>0</v>
      </c>
      <c r="BI2878">
        <f>IFERROR(BH2878/$AU$2848,0)</f>
        <v>0</v>
      </c>
      <c r="BJ2878">
        <f>BH2878*($F$22+IF($F$22=0,0,($C$14+$C$15+IF($C$13="single",1.5,3)+3)/12))</f>
        <v>0</v>
      </c>
      <c r="BK2878">
        <f>BJ2878-BA2878</f>
        <v>0</v>
      </c>
      <c r="BL2878" cm="1">
        <f t="array" ref="BL2878">IFERROR(IF(BK2878&lt;0,0,BK2878/($AU$2848-INDEX(hd_off,MATCH(BT2878,hd_mark,0),0)/12)),0)</f>
        <v>0</v>
      </c>
      <c r="BM2878">
        <f>MAX($F$22,$BC$2848)/$Q$2868</f>
        <v>0.30172413793103448</v>
      </c>
      <c r="BN2878">
        <f t="shared" ref="BN2878:BN2881" si="1789">IF(BM2878=0,0,IF(BM2878&gt;2,1.25-0.125*BM2878,1))</f>
        <v>1</v>
      </c>
      <c r="BO2878" cm="1">
        <f t="array" ref="BO2878">IFERROR(INDEX(sheath_ecap_asd,MATCH(BS2878,sheath_mark,0),0)*BN2878,0)</f>
        <v>0</v>
      </c>
      <c r="BP2878" cm="1">
        <f t="array" ref="BP2878">IFERROR(INDEX(sheath_wcap_asd,MATCH(BS2878,sheath_mark,0),0)*BN2878,0)</f>
        <v>0</v>
      </c>
      <c r="BQ2878" cm="1">
        <f t="array" ref="BQ2878">IFERROR(INDEX(hd_cap,MATCH(BT2878,hd_mark,0),0),0)</f>
        <v>0</v>
      </c>
      <c r="BS2878" s="19"/>
      <c r="BT2878" s="19"/>
      <c r="BU2878" s="100"/>
    </row>
    <row r="2879" x14ac:dyDescent="0.25">
      <c r="B2879" t="s">
        <v>285</v>
      </c>
      <c r="C2879" s="19"/>
      <c r="D2879" s="19"/>
      <c r="E2879">
        <f t="shared" si="1781"/>
        <v>0</v>
      </c>
      <c r="H2879">
        <v>22</v>
      </c>
      <c r="I2879" s="19"/>
      <c r="J2879" s="19"/>
      <c r="K2879">
        <f t="shared" si="1782"/>
        <v>0</v>
      </c>
      <c r="P2879" s="93"/>
      <c r="Q2879" s="109" t="s">
        <v>491</v>
      </c>
      <c r="R2879" t="str">
        <f>$Q$2839</f>
        <v>L4</v>
      </c>
      <c r="S2879">
        <f>$E$23</f>
        <v>0</v>
      </c>
      <c r="T2879" cm="1">
        <f t="array" ref="T2879">IFERROR(IF(S2879=0,0,(INDEX($C$33:$C$38,MATCH($W$2848,$B$33:$B$38,0),0)*(S2881+$X$2848)+$T$2848*COUNTIF(S2879:S2880,"&gt;0")*$C$32+$V$2848*$C$31)*$R$2848),0)</f>
        <v>0</v>
      </c>
      <c r="U2879">
        <f>IF(S2879=0,0,-(COUNTIF(S2879:S2880,"&gt;0")*$T$2848*$C$32+$V$2848*$C$31)*$H$27*$R$2848)</f>
        <v>0</v>
      </c>
      <c r="V2879">
        <f>IF(S2879=0,0,$V$2848*$H$26*$R$2848)</f>
        <v>0</v>
      </c>
      <c r="W2879">
        <f>(0.6*T2879+0.7*U2879)*$R$2848/2</f>
        <v>0</v>
      </c>
      <c r="X2879">
        <f>T2879*$R$2848/2</f>
        <v>0</v>
      </c>
      <c r="Z2879">
        <f>IF(S2879=0,0,$AD$2848*$AP$2839)</f>
        <v>0</v>
      </c>
      <c r="AA2879">
        <f>IFERROR(Z2879/$R$2848,0)</f>
        <v>0</v>
      </c>
      <c r="AB2879">
        <f>Z2879*($F$23+IF($F$23=0,0,($C$14+$C$15+IF($C$13="single",1.5,3)+3)/12))</f>
        <v>0</v>
      </c>
      <c r="AC2879">
        <f>AB2879-W2879</f>
        <v>0</v>
      </c>
      <c r="AD2879" cm="1">
        <f t="array" ref="AD2879">IFERROR(IF(AC2879&lt;0,0,AC2879/($R$2848-INDEX(hd_off,MATCH(AQ2879,hd_mark,0),0)/12)),0)</f>
        <v>0</v>
      </c>
      <c r="AE2879">
        <f>IF(S2879=0,0,$AD$2848*$AM$2839)</f>
        <v>0</v>
      </c>
      <c r="AF2879">
        <f>IFERROR(AE2879/$R$2848,0)</f>
        <v>0</v>
      </c>
      <c r="AG2879">
        <f>AE2879*($F$23+IF($F$23=0,0,($C$14+$C$15+IF($C$13="single",1.5,3)+3)/12))</f>
        <v>0</v>
      </c>
      <c r="AH2879">
        <f>AG2879-X2879</f>
        <v>0</v>
      </c>
      <c r="AI2879" cm="1">
        <f t="array" ref="AI2879">IFERROR(IF(AH2879&lt;0,0,AH2879/($R$2848-INDEX(hd_off,MATCH(AQ2879,hd_mark,0),0)/12)),0)</f>
        <v>0</v>
      </c>
      <c r="AJ2879">
        <f>MAX($F$23,$AA$2848)/$Q$2868</f>
        <v>0</v>
      </c>
      <c r="AK2879">
        <f t="shared" si="1788"/>
        <v>0</v>
      </c>
      <c r="AL2879" cm="1">
        <f t="array" ref="AL2879">IFERROR(INDEX(sheath_ecap_asd,MATCH(AP2879,sheath_mark,0),0)*AK2879,0)</f>
        <v>0</v>
      </c>
      <c r="AM2879" cm="1">
        <f t="array" ref="AM2879">IFERROR(INDEX(sheath_wcap_asd,MATCH(AP2879,sheath_mark,0),0)*AK2879,0)</f>
        <v>0</v>
      </c>
      <c r="AN2879" cm="1">
        <f t="array" ref="AN2879">IFERROR(INDEX(hd_cap,MATCH(AQ2879,hd_mark,0),0),0)</f>
        <v>0</v>
      </c>
      <c r="AP2879" s="19"/>
      <c r="AQ2879" s="19"/>
      <c r="AR2879" s="100"/>
      <c r="AS2879" s="93"/>
      <c r="AT2879" s="109" t="s">
        <v>491</v>
      </c>
      <c r="AU2879" t="str">
        <f>$Q$2839</f>
        <v>L4</v>
      </c>
      <c r="AV2879">
        <f>$E$23</f>
        <v>0</v>
      </c>
      <c r="AW2879" cm="1">
        <f t="array" ref="AW2879">IFERROR(IF(AV2879=0,0,(INDEX($C$33:$C$38,MATCH($AZ$2848,$B$33:$B$38,0),0)*(AV2881+$BA$2848)+$AW$2848*COUNTIF(AV2879:AV2880,"&gt;0")*$C$32+$AY$2848*$C$31)*$AU$2848),0)</f>
        <v>0</v>
      </c>
      <c r="AX2879">
        <f>IF(AV2879=0,0,-(COUNTIF(AV2879:AV2880,"&gt;0")*$AW$2848*$C$32+$AY$2848*$C$31)*$H$27*$AU$2848)</f>
        <v>0</v>
      </c>
      <c r="AY2879">
        <f>IF(AV2879=0,0,$AY$2848*$H$26*$AU$2848)</f>
        <v>0</v>
      </c>
      <c r="AZ2879">
        <f>(0.6*AW2879+0.7*AX2879)*$AU$2848/2</f>
        <v>0</v>
      </c>
      <c r="BA2879">
        <f>AW2879*$AU$2848/2</f>
        <v>0</v>
      </c>
      <c r="BC2879">
        <f>IF(AV2879=0,0,$BG$2848*$AP$2839)</f>
        <v>0</v>
      </c>
      <c r="BD2879">
        <f>IFERROR(BC2879/$AU$2848,0)</f>
        <v>0</v>
      </c>
      <c r="BE2879">
        <f>BC2879*($F$23+IF($F$23=0,0,($C$14+$C$15+IF($C$13="single",1.5,3)+3)/12))</f>
        <v>0</v>
      </c>
      <c r="BF2879">
        <f>BE2879-AZ2879</f>
        <v>0</v>
      </c>
      <c r="BG2879" cm="1">
        <f t="array" ref="BG2879">IFERROR(IF(BF2879&lt;0,0,BF2879/($AU$2848-INDEX(hd_off,MATCH(BT2879,hd_mark,0),0)/12)),0)</f>
        <v>0</v>
      </c>
      <c r="BH2879">
        <f>IF(AV2879=0,0,$BG$2848*$AM$2839)</f>
        <v>0</v>
      </c>
      <c r="BI2879">
        <f>IFERROR(BH2879/$AU$2848,0)</f>
        <v>0</v>
      </c>
      <c r="BJ2879">
        <f>BH2879*($F$23+IF($F$23=0,0,($C$14+$C$15+IF($C$13="single",1.5,3)+3)/12))</f>
        <v>0</v>
      </c>
      <c r="BK2879">
        <f>BJ2879-BA2879</f>
        <v>0</v>
      </c>
      <c r="BL2879" cm="1">
        <f t="array" ref="BL2879">IFERROR(IF(BK2879&lt;0,0,BK2879/($AU$2848-INDEX(hd_off,MATCH(BT2879,hd_mark,0),0)/12)),0)</f>
        <v>0</v>
      </c>
      <c r="BM2879">
        <f>MAX($F$23,$BD$2848)/$Q$2868</f>
        <v>0</v>
      </c>
      <c r="BN2879">
        <f t="shared" si="1789"/>
        <v>0</v>
      </c>
      <c r="BO2879" cm="1">
        <f t="array" ref="BO2879">IFERROR(INDEX(sheath_ecap_asd,MATCH(BS2879,sheath_mark,0),0)*BN2879,0)</f>
        <v>0</v>
      </c>
      <c r="BP2879" cm="1">
        <f t="array" ref="BP2879">IFERROR(INDEX(sheath_wcap_asd,MATCH(BS2879,sheath_mark,0),0)*BN2879,0)</f>
        <v>0</v>
      </c>
      <c r="BQ2879" cm="1">
        <f t="array" ref="BQ2879">IFERROR(INDEX(hd_cap,MATCH(BT2879,hd_mark,0),0),0)</f>
        <v>0</v>
      </c>
      <c r="BS2879" s="19"/>
      <c r="BT2879" s="19"/>
      <c r="BU2879" s="100"/>
    </row>
    <row r="2880" x14ac:dyDescent="0.25">
      <c r="B2880" t="s">
        <v>470</v>
      </c>
      <c r="C2880" s="19"/>
      <c r="D2880" s="19"/>
      <c r="E2880">
        <f t="shared" si="1781"/>
        <v>0</v>
      </c>
      <c r="H2880">
        <v>23</v>
      </c>
      <c r="I2880" s="19"/>
      <c r="J2880" s="19"/>
      <c r="K2880">
        <f t="shared" si="1782"/>
        <v>0</v>
      </c>
      <c r="P2880" s="93"/>
      <c r="Q2880" s="111">
        <f>$R$2848</f>
        <v>0</v>
      </c>
      <c r="R2880" t="str">
        <f>$Q$2840</f>
        <v>L5</v>
      </c>
      <c r="S2880">
        <f>$E$24</f>
        <v>0</v>
      </c>
      <c r="T2880" cm="1">
        <f t="array" ref="T2880">IFERROR(IF(S2880=0,0,(INDEX($C$33:$C$38,MATCH($W$2848,$B$33:$B$38,0),0)*(S2881+$X$2848)+$T$2848*COUNTIF(S2880:S2880,"&gt;0")*$C$32+$V$2848*$C$31)*$R$2848),0)</f>
        <v>0</v>
      </c>
      <c r="U2880">
        <f>IF(S2880=0,0,-(COUNTIF(S2880:S2880,"&gt;0")*$T$2848*$C$32+$V$2848*$C$31)*$H$27*$R$2848)</f>
        <v>0</v>
      </c>
      <c r="V2880">
        <f>IF(S2880=0,0,$V$2848*$H$26*$R$2848)</f>
        <v>0</v>
      </c>
      <c r="W2880">
        <f>(0.6*T2880+0.7*U2880)*$R$2848/2</f>
        <v>0</v>
      </c>
      <c r="X2880">
        <f>T2880*$R$2848/2</f>
        <v>0</v>
      </c>
      <c r="Z2880">
        <f>IF(S2880=0,0,$AD$2848*$AP$2840)</f>
        <v>0</v>
      </c>
      <c r="AA2880">
        <f>IFERROR(Z2880/$R$2848,0)</f>
        <v>0</v>
      </c>
      <c r="AB2880">
        <f>Z2880*($F$24+IF($F$24=0,0,($C$14+$C$15+IF($C$13="single",1.5,3)+3)/12))</f>
        <v>0</v>
      </c>
      <c r="AC2880">
        <f>AB2880-W2880</f>
        <v>0</v>
      </c>
      <c r="AD2880" cm="1">
        <f t="array" ref="AD2880">IFERROR(IF(AC2880&lt;0,0,AC2880/($R$2848-INDEX(hd_off,MATCH(AQ2880,hd_mark,0),0)/12)),0)</f>
        <v>0</v>
      </c>
      <c r="AE2880">
        <f>IF(S2880=0,0,$AD$2848*$AM$2840)</f>
        <v>0</v>
      </c>
      <c r="AF2880">
        <f>IFERROR(AE2880/$R$2848,0)</f>
        <v>0</v>
      </c>
      <c r="AG2880">
        <f>AE2880*($F$24+IF($F$24=0,0,($C$14+$C$15+IF($C$13="single",1.5,3)+3)/12))</f>
        <v>0</v>
      </c>
      <c r="AH2880">
        <f>AG2880-X2880</f>
        <v>0</v>
      </c>
      <c r="AI2880" cm="1">
        <f t="array" ref="AI2880">IFERROR(IF(AH2880&lt;0,0,AH2880/($R$2848-INDEX(hd_off,MATCH(AQ2880,hd_mark,0),0)/12)),0)</f>
        <v>0</v>
      </c>
      <c r="AJ2880">
        <f>MAX($F$24,$AB$2848)/$Q$2868</f>
        <v>0</v>
      </c>
      <c r="AK2880">
        <f t="shared" si="1788"/>
        <v>0</v>
      </c>
      <c r="AL2880" cm="1">
        <f t="array" ref="AL2880">IFERROR(INDEX(sheath_ecap_asd,MATCH(AP2880,sheath_mark,0),0)*AK2880,0)</f>
        <v>0</v>
      </c>
      <c r="AM2880" cm="1">
        <f t="array" ref="AM2880">IFERROR(INDEX(sheath_wcap_asd,MATCH(AP2880,sheath_mark,0),0)*AK2880,0)</f>
        <v>0</v>
      </c>
      <c r="AN2880" cm="1">
        <f t="array" ref="AN2880">IFERROR(INDEX(hd_cap,MATCH(AQ2880,hd_mark,0),0),0)</f>
        <v>0</v>
      </c>
      <c r="AP2880" s="19"/>
      <c r="AQ2880" s="19"/>
      <c r="AR2880" s="100"/>
      <c r="AS2880" s="93"/>
      <c r="AT2880" s="111">
        <f>$R$2848</f>
        <v>0</v>
      </c>
      <c r="AU2880" t="str">
        <f>$Q$2840</f>
        <v>L5</v>
      </c>
      <c r="AV2880">
        <f>$E$24</f>
        <v>0</v>
      </c>
      <c r="AW2880" cm="1">
        <f t="array" ref="AW2880">IFERROR(IF(AV2880=0,0,(INDEX($C$33:$C$38,MATCH($AZ$2848,$B$33:$B$38,0),0)*(AV2881+$BA$2848)+$AW$2848*COUNTIF(AV2880:AV2880,"&gt;0")*$C$32+$AY$2848*$C$31)*$AU$2848),0)</f>
        <v>0</v>
      </c>
      <c r="AX2880">
        <f>IF(AV2880=0,0,-(COUNTIF(AV2880:AV2880,"&gt;0")*$AW$2848*$C$32+$AY$2848*$C$31)*$H$27*$AU$2848)</f>
        <v>0</v>
      </c>
      <c r="AY2880">
        <f>IF(AV2880=0,0,$AY$2848*$H$26*$AU$2848)</f>
        <v>0</v>
      </c>
      <c r="AZ2880">
        <f>(0.6*AW2880+0.7*AX2880)*$AU$2848/2</f>
        <v>0</v>
      </c>
      <c r="BA2880">
        <f>AW2880*$AU$2848/2</f>
        <v>0</v>
      </c>
      <c r="BC2880">
        <f>IF(AV2880=0,0,$BG$2848*$AP$2840)</f>
        <v>0</v>
      </c>
      <c r="BD2880">
        <f>IFERROR(BC2880/$AU$2848,0)</f>
        <v>0</v>
      </c>
      <c r="BE2880">
        <f>BC2880*($F$24+IF($F$24=0,0,($C$14+$C$15+IF($C$13="single",1.5,3)+3)/12))</f>
        <v>0</v>
      </c>
      <c r="BF2880">
        <f>BE2880-AZ2880</f>
        <v>0</v>
      </c>
      <c r="BG2880" cm="1">
        <f t="array" ref="BG2880">IFERROR(IF(BF2880&lt;0,0,BF2880/($AU$2848-INDEX(hd_off,MATCH(BT2880,hd_mark,0),0)/12)),0)</f>
        <v>0</v>
      </c>
      <c r="BH2880">
        <f>IF(AV2880=0,0,$BG$2848*$AM$2840)</f>
        <v>0</v>
      </c>
      <c r="BI2880">
        <f>IFERROR(BH2880/$AU$2848,0)</f>
        <v>0</v>
      </c>
      <c r="BJ2880">
        <f>BH2880*($F$24+IF($F$24=0,0,($C$14+$C$15+IF($C$13="single",1.5,3)+3)/12))</f>
        <v>0</v>
      </c>
      <c r="BK2880">
        <f>BJ2880-BA2880</f>
        <v>0</v>
      </c>
      <c r="BL2880" cm="1">
        <f t="array" ref="BL2880">IFERROR(IF(BK2880&lt;0,0,BK2880/($AU$2848-INDEX(hd_off,MATCH(BT2880,hd_mark,0),0)/12)),0)</f>
        <v>0</v>
      </c>
      <c r="BM2880">
        <f>MAX($F$24,$BE$2848)/$Q$2868</f>
        <v>0</v>
      </c>
      <c r="BN2880">
        <f t="shared" si="1789"/>
        <v>0</v>
      </c>
      <c r="BO2880" cm="1">
        <f t="array" ref="BO2880">IFERROR(INDEX(sheath_ecap_asd,MATCH(BS2880,sheath_mark,0),0)*BN2880,0)</f>
        <v>0</v>
      </c>
      <c r="BP2880" cm="1">
        <f t="array" ref="BP2880">IFERROR(INDEX(sheath_wcap_asd,MATCH(BS2880,sheath_mark,0),0)*BN2880,0)</f>
        <v>0</v>
      </c>
      <c r="BQ2880" cm="1">
        <f t="array" ref="BQ2880">IFERROR(INDEX(hd_cap,MATCH(BT2880,hd_mark,0),0),0)</f>
        <v>0</v>
      </c>
      <c r="BS2880" s="19"/>
      <c r="BT2880" s="19"/>
      <c r="BU2880" s="100"/>
    </row>
    <row r="2881" x14ac:dyDescent="0.25">
      <c r="B2881" t="s">
        <v>471</v>
      </c>
      <c r="C2881" s="19"/>
      <c r="D2881" s="19"/>
      <c r="E2881">
        <f t="shared" si="1781"/>
        <v>0</v>
      </c>
      <c r="H2881">
        <v>24</v>
      </c>
      <c r="I2881" s="19"/>
      <c r="J2881" s="19"/>
      <c r="K2881">
        <f t="shared" si="1782"/>
        <v>0</v>
      </c>
      <c r="P2881" s="93"/>
      <c r="Q2881" s="109"/>
      <c r="R2881" t="str">
        <f>$Q$2841</f>
        <v>Roof</v>
      </c>
      <c r="S2881">
        <f>$E$25</f>
        <v>33.171875</v>
      </c>
      <c r="T2881" cm="1">
        <f t="array" ref="T2881">IFERROR(IF(S2881=0,0,(INDEX($C$33:$C$38,MATCH($W$2848,$B$33:$B$38,0),0)*(S2881+$X$2848)+$V$2848*$C$31)*$R$2848),0)</f>
        <v>0</v>
      </c>
      <c r="U2881">
        <f>IF(S2881=0,0,-$V$2848*$C$31*$H$27*$R$2848)</f>
        <v>0</v>
      </c>
      <c r="V2881">
        <f>IF(S2881=0,0,$V$2848*$H$26*$R$2848)</f>
        <v>0</v>
      </c>
      <c r="W2881">
        <f>(0.6*T2881+0.7*U2881)*$R$2848/2</f>
        <v>0</v>
      </c>
      <c r="X2881">
        <f>T2881*$R$2848/2</f>
        <v>0</v>
      </c>
      <c r="Z2881">
        <f>IF(S2881=0,0,$AD$2848*$AP$2841)</f>
        <v>0</v>
      </c>
      <c r="AA2881">
        <f>IFERROR(Z2881/$R$2848,0)</f>
        <v>0</v>
      </c>
      <c r="AB2881">
        <f>Z2881*($F$25+($C$16+$C$17+IF($C$13="single",1.5,3)+3)/12)</f>
        <v>0</v>
      </c>
      <c r="AC2881">
        <f>AB2881-W2881</f>
        <v>0</v>
      </c>
      <c r="AD2881" cm="1">
        <f t="array" ref="AD2881">IFERROR(IF(AC2881&lt;0,0,AC2881/($R$2848-INDEX(hd_off,MATCH(AQ2881,hd_mark,0),0)/12)),0)</f>
        <v>0</v>
      </c>
      <c r="AE2881">
        <f>IF(S2881=0,0,$AD$2848*$AM$2841)</f>
        <v>0</v>
      </c>
      <c r="AF2881">
        <f>IFERROR(AE2881/$R$2848,0)</f>
        <v>0</v>
      </c>
      <c r="AG2881">
        <f>AE2881*($F$25+($C$16+$C$17+IF($C$13="single",1.5,3)+3)/12)</f>
        <v>0</v>
      </c>
      <c r="AH2881">
        <f>AG2881-X2881</f>
        <v>0</v>
      </c>
      <c r="AI2881" cm="1">
        <f t="array" ref="AI2881">IFERROR(IF(AH2881&lt;0,0,AH2881/($R$2848-INDEX(hd_off,MATCH(AQ2881,hd_mark,0),0)/12)),0)</f>
        <v>0</v>
      </c>
      <c r="AJ2881">
        <f>MAX($F$25,$AC$2848)/$Q$2868</f>
        <v>0.29920977011494249</v>
      </c>
      <c r="AK2881">
        <f t="shared" si="1788"/>
        <v>1</v>
      </c>
      <c r="AL2881" cm="1">
        <f t="array" ref="AL2881">IFERROR(INDEX(sheath_ecap_asd,MATCH(AP2881,sheath_mark,0),0)*AK2881,0)</f>
        <v>0</v>
      </c>
      <c r="AM2881" cm="1">
        <f t="array" ref="AM2881">IFERROR(INDEX(sheath_wcap_asd,MATCH(AP2881,sheath_mark,0),0)*AK2881,0)</f>
        <v>0</v>
      </c>
      <c r="AN2881" cm="1">
        <f t="array" ref="AN2881">IFERROR(INDEX(hd_cap,MATCH(AQ2881,hd_mark,0),0),0)</f>
        <v>0</v>
      </c>
      <c r="AP2881" s="19"/>
      <c r="AQ2881" s="19"/>
      <c r="AR2881" s="100"/>
      <c r="AS2881" s="93"/>
      <c r="AT2881" s="109"/>
      <c r="AU2881" t="str">
        <f>$Q$2841</f>
        <v>Roof</v>
      </c>
      <c r="AV2881">
        <f>$E$25</f>
        <v>33.171875</v>
      </c>
      <c r="AW2881" cm="1">
        <f t="array" ref="AW2881">IFERROR(IF(AV2881=0,0,(INDEX($C$33:$C$38,MATCH($AZ$2848,$B$33:$B$38,0),0)*(AV2881+$BA$2848)+$AY$2848*$C$31)*$AU$2848),0)</f>
        <v>0</v>
      </c>
      <c r="AX2881">
        <f>IF(AV2881=0,0,-$AY$2848*$C$31*$H$27*$AU$2848)</f>
        <v>0</v>
      </c>
      <c r="AY2881">
        <f>IF(AV2881=0,0,$AY$2848*$H$26*$AU$2848)</f>
        <v>0</v>
      </c>
      <c r="AZ2881">
        <f>(0.6*AW2881+0.7*AX2881)*$AU$2848/2</f>
        <v>0</v>
      </c>
      <c r="BA2881">
        <f>AW2881*$AU$2848/2</f>
        <v>0</v>
      </c>
      <c r="BC2881">
        <f>IF(AV2881=0,0,$BG$2848*$AP$2841)</f>
        <v>0</v>
      </c>
      <c r="BD2881">
        <f>IFERROR(BC2881/$AU$2848,0)</f>
        <v>0</v>
      </c>
      <c r="BE2881">
        <f>BC2881*($F$25+($C$16+$C$17+IF($C$13="single",1.5,3)+3)/12)</f>
        <v>0</v>
      </c>
      <c r="BF2881">
        <f>BE2881-AZ2881</f>
        <v>0</v>
      </c>
      <c r="BG2881" cm="1">
        <f t="array" ref="BG2881">IFERROR(IF(BF2881&lt;0,0,BF2881/($AU$2848-INDEX(hd_off,MATCH(BT2881,hd_mark,0),0)/12)),0)</f>
        <v>0</v>
      </c>
      <c r="BH2881">
        <f>IF(AV2881=0,0,$BG$2848*$AM$2841)</f>
        <v>0</v>
      </c>
      <c r="BI2881">
        <f>IFERROR(BH2881/$AU$2848,0)</f>
        <v>0</v>
      </c>
      <c r="BJ2881">
        <f>BH2881*($F$25+($C$16+$C$17+IF($C$13="single",1.5,3)+3)/12)</f>
        <v>0</v>
      </c>
      <c r="BK2881">
        <f>BJ2881-BA2881</f>
        <v>0</v>
      </c>
      <c r="BL2881" cm="1">
        <f t="array" ref="BL2881">IFERROR(IF(BK2881&lt;0,0,BK2881/($AU$2848-INDEX(hd_off,MATCH(BT2881,hd_mark,0),0)/12)),0)</f>
        <v>0</v>
      </c>
      <c r="BM2881">
        <f>MAX($F$25,$BF$2848)/$Q$2868</f>
        <v>0.29920977011494249</v>
      </c>
      <c r="BN2881">
        <f t="shared" si="1789"/>
        <v>1</v>
      </c>
      <c r="BO2881" cm="1">
        <f t="array" ref="BO2881">IFERROR(INDEX(sheath_ecap_asd,MATCH(BS2881,sheath_mark,0),0)*BN2881,0)</f>
        <v>0</v>
      </c>
      <c r="BP2881" cm="1">
        <f t="array" ref="BP2881">IFERROR(INDEX(sheath_wcap_asd,MATCH(BS2881,sheath_mark,0),0)*BN2881,0)</f>
        <v>0</v>
      </c>
      <c r="BQ2881" cm="1">
        <f t="array" ref="BQ2881">IFERROR(INDEX(hd_cap,MATCH(BT2881,hd_mark,0),0),0)</f>
        <v>0</v>
      </c>
      <c r="BS2881" s="19"/>
      <c r="BT2881" s="19"/>
      <c r="BU2881" s="100"/>
    </row>
    <row r="2882" x14ac:dyDescent="0.25">
      <c r="B2882" t="s">
        <v>472</v>
      </c>
      <c r="C2882" s="19"/>
      <c r="D2882" s="19"/>
      <c r="E2882">
        <f t="shared" si="1781"/>
        <v>0</v>
      </c>
      <c r="H2882">
        <v>25</v>
      </c>
      <c r="I2882" s="19"/>
      <c r="J2882" s="19"/>
      <c r="K2882">
        <f t="shared" si="1782"/>
        <v>0</v>
      </c>
      <c r="P2882" s="93"/>
      <c r="AR2882" s="100"/>
      <c r="AS2882" s="93"/>
      <c r="BU2882" s="100"/>
    </row>
    <row r="2883" x14ac:dyDescent="0.25">
      <c r="B2883" t="s">
        <v>473</v>
      </c>
      <c r="C2883" s="19"/>
      <c r="D2883" s="19"/>
      <c r="E2883">
        <f t="shared" si="1781"/>
        <v>0</v>
      </c>
      <c r="H2883">
        <v>26</v>
      </c>
      <c r="I2883" s="19"/>
      <c r="J2883" s="19"/>
      <c r="K2883">
        <f t="shared" si="1782"/>
        <v>0</v>
      </c>
      <c r="P2883" s="93"/>
      <c r="Q2883" s="110" t="str">
        <f>$Q$2849</f>
        <v>A.04</v>
      </c>
      <c r="R2883" t="str">
        <f>$Q$2837</f>
        <v>L2</v>
      </c>
      <c r="S2883">
        <f>$E$21</f>
        <v>10.6875</v>
      </c>
      <c r="T2883" cm="1">
        <f t="array" ref="T2883">IFERROR(IF(S2883=0,0,(INDEX($C$33:$C$38,MATCH($W$2849,$B$33:$B$38,0),0)*(S2887+$X$2849)+$T$2849*COUNTIF(S2883:S2886,"&gt;0")*$C$32+$V$2849*$C$31)*$R$2849),0)</f>
        <v>0</v>
      </c>
      <c r="U2883">
        <f>IF(S2883=0,0,-(COUNTIF(S2883:S2886,"&gt;0")*$T$2849*$C$32+$V$2849*$C$31)*$H$27*$R$2849)</f>
        <v>0</v>
      </c>
      <c r="V2883">
        <f>IF(S2883=0,0,$V$2849*$H$26*$R$2849)</f>
        <v>0</v>
      </c>
      <c r="W2883">
        <f>(0.6*T2883+0.7*U2883)*$R$2849/2</f>
        <v>0</v>
      </c>
      <c r="X2883">
        <f>(0.6*T2883+0.6*V2883)*$R$2849/2</f>
        <v>0</v>
      </c>
      <c r="Z2883">
        <f>IF(S2883=0,0,$AD$2849*$AP$2837)</f>
        <v>0</v>
      </c>
      <c r="AA2883">
        <f>IFERROR(Z2883/$R$2849,0)</f>
        <v>0</v>
      </c>
      <c r="AB2883">
        <f>Z2883*($F$21+IF($F$21=0,0,($C$14+$C$15+IF($C$13="single",1.5,3)+3)/12))</f>
        <v>0</v>
      </c>
      <c r="AC2883">
        <f>AB2883-W2883</f>
        <v>0</v>
      </c>
      <c r="AD2883" cm="1">
        <f t="array" ref="AD2883">IFERROR(IF(AC2883&lt;0,0,AC2883/($R$2849-INDEX(hd_off,MATCH(AQ2883,hd_mark,0),0)/12)),0)</f>
        <v>0</v>
      </c>
      <c r="AE2883">
        <f>IF(S2883=0,0,$AD$2849*$AM$2837)</f>
        <v>0</v>
      </c>
      <c r="AF2883">
        <f>IFERROR(AE2883/$R$2849,0)</f>
        <v>0</v>
      </c>
      <c r="AG2883">
        <f>AE2883*($F$21+IF($F$21=0,0,($C$14+$C$15+IF($C$13="single",1.5,3)+3)/12))</f>
        <v>0</v>
      </c>
      <c r="AH2883">
        <f>AG2883-X2883</f>
        <v>0</v>
      </c>
      <c r="AI2883" cm="1">
        <f t="array" ref="AI2883">IFERROR(IF(AH2883&lt;0,0,AH2883/($R$2849-INDEX(hd_off,MATCH(AQ2883,hd_mark,0),0)/12)),0)</f>
        <v>0</v>
      </c>
      <c r="AJ2883">
        <f>MAX($F$21,$Y$2849)/$Q$2868</f>
        <v>0.30172413793103448</v>
      </c>
      <c r="AK2883">
        <f>IF(AJ2883=0,0,IF(AJ2883&gt;2,1.25-0.125*AJ2883,1))</f>
        <v>1</v>
      </c>
      <c r="AL2883" cm="1">
        <f t="array" ref="AL2883">IFERROR(INDEX(sheath_ecap_asd,MATCH(AP2883,sheath_mark,0),0)*AK2883,0)</f>
        <v>0</v>
      </c>
      <c r="AM2883" cm="1">
        <f t="array" ref="AM2883">IFERROR(INDEX(sheath_wcap_asd,MATCH(AP2883,sheath_mark,0),0)*AK2883,0)</f>
        <v>0</v>
      </c>
      <c r="AN2883" cm="1">
        <f t="array" ref="AN2883">IFERROR(INDEX(hd_cap,MATCH(AQ2883,hd_mark,0),0),0)</f>
        <v>0</v>
      </c>
      <c r="AP2883" s="19"/>
      <c r="AQ2883" s="19"/>
      <c r="AR2883" s="100"/>
      <c r="AS2883" s="93"/>
      <c r="AT2883" s="110" t="str">
        <f>$AT$2849</f>
        <v>1.04</v>
      </c>
      <c r="AU2883" t="str">
        <f>$Q$2837</f>
        <v>L2</v>
      </c>
      <c r="AV2883">
        <f>$E$21</f>
        <v>10.6875</v>
      </c>
      <c r="AW2883" cm="1">
        <f t="array" ref="AW2883">IFERROR(IF(AV2883=0,0,(INDEX($C$33:$C$38,MATCH($AZ$2849,$B$33:$B$38,0),0)*(AV2887+$BA$2849)+$AW$2849*COUNTIF(AV2883:AV2886,"&gt;0")*$C$32+$AY$2849*$C$31)*$AU$2849),0)</f>
        <v>0</v>
      </c>
      <c r="AX2883">
        <f>IF(AV2883=0,0,-(COUNTIF(AV2883:AV2886,"&gt;0")*$AW$2849*$C$32+$AY$2849*$C$31)*$H$27*$AU$2849)</f>
        <v>0</v>
      </c>
      <c r="AY2883">
        <f>IF(AV2883=0,0,$AY$2849*$H$26*$AU$2849)</f>
        <v>0</v>
      </c>
      <c r="AZ2883">
        <f>(0.6*AW2883+0.7*AX2883)*$AU$2849/2</f>
        <v>0</v>
      </c>
      <c r="BA2883">
        <f>(0.6*AW2883+0.6*AY2883)*$AU$2849/2</f>
        <v>0</v>
      </c>
      <c r="BC2883">
        <f>IF(AV2883=0,0,$BG$2849*$AP$2837)</f>
        <v>0</v>
      </c>
      <c r="BD2883">
        <f>IFERROR(BC2883/$AU$2849,0)</f>
        <v>0</v>
      </c>
      <c r="BE2883">
        <f>BC2883*($F$21+IF($F$21=0,0,($C$14+$C$15+IF($C$13="single",1.5,3)+3)/12))</f>
        <v>0</v>
      </c>
      <c r="BF2883">
        <f>BE2883-AZ2883</f>
        <v>0</v>
      </c>
      <c r="BG2883" cm="1">
        <f t="array" ref="BG2883">IFERROR(IF(BF2883&lt;0,0,BF2883/($AU$2849-INDEX(hd_off,MATCH(BT2883,hd_mark,0),0)/12)),0)</f>
        <v>0</v>
      </c>
      <c r="BH2883">
        <f>IF(AV2883=0,0,$BG$2849*$AM$2837)</f>
        <v>0</v>
      </c>
      <c r="BI2883">
        <f>IFERROR(BH2883/$AU$2849,0)</f>
        <v>0</v>
      </c>
      <c r="BJ2883">
        <f>BH2883*($F$21+IF($F$21=0,0,($C$14+$C$15+IF($C$13="single",1.5,3)+3)/12))</f>
        <v>0</v>
      </c>
      <c r="BK2883">
        <f>BJ2883-BA2883</f>
        <v>0</v>
      </c>
      <c r="BL2883" cm="1">
        <f t="array" ref="BL2883">IFERROR(IF(BK2883&lt;0,0,BK2883/($AU$2849-INDEX(hd_off,MATCH(BT2883,hd_mark,0),0)/12)),0)</f>
        <v>0</v>
      </c>
      <c r="BM2883">
        <f>MAX($F$21,$BB$2849)/$Q$2868</f>
        <v>0.30172413793103448</v>
      </c>
      <c r="BN2883">
        <f>IF(BM2883=0,0,IF(BM2883&gt;2,1.25-0.125*BM2883,1))</f>
        <v>1</v>
      </c>
      <c r="BO2883" cm="1">
        <f t="array" ref="BO2883">IFERROR(INDEX(sheath_ecap_asd,MATCH(BS2883,sheath_mark,0),0)*BN2883,0)</f>
        <v>0</v>
      </c>
      <c r="BP2883" cm="1">
        <f t="array" ref="BP2883">IFERROR(INDEX(sheath_wcap_asd,MATCH(BS2883,sheath_mark,0),0)*BN2883,0)</f>
        <v>0</v>
      </c>
      <c r="BQ2883" cm="1">
        <f t="array" ref="BQ2883">IFERROR(INDEX(hd_cap,MATCH(BT2883,hd_mark,0),0),0)</f>
        <v>0</v>
      </c>
      <c r="BS2883" s="19"/>
      <c r="BT2883" s="19"/>
      <c r="BU2883" s="100"/>
    </row>
    <row r="2884" x14ac:dyDescent="0.25">
      <c r="P2884" s="93"/>
      <c r="Q2884" s="109"/>
      <c r="R2884" t="str">
        <f>$Q$2838</f>
        <v>L3</v>
      </c>
      <c r="S2884">
        <f>$E$22</f>
        <v>21.375</v>
      </c>
      <c r="T2884" cm="1">
        <f t="array" ref="T2884">IFERROR(IF(S2884=0,0,(INDEX($C$33:$C$38,MATCH($W$2849,$B$33:$B$38,0),0)*(S2887+$X$2849)+$T$2849*COUNTIF(S2884:S2886,"&gt;0")*$C$32+$V$2849*$C$31)*$R$2849),0)</f>
        <v>0</v>
      </c>
      <c r="U2884">
        <f>IF(S2884=0,0,-(COUNTIF(S2884:S2886,"&gt;0")*$T$2849*$C$32+$V$2849*$C$31)*$H$27*$R$2849)</f>
        <v>0</v>
      </c>
      <c r="V2884">
        <f>IF(S2884=0,0,$V$2849*$H$26*$R$2849)</f>
        <v>0</v>
      </c>
      <c r="W2884">
        <f>(0.6*T2884+0.7*U2884)*$R$2849/2</f>
        <v>0</v>
      </c>
      <c r="X2884">
        <f>T2884*$R$2849/2</f>
        <v>0</v>
      </c>
      <c r="Z2884">
        <f>IF(S2884=0,0,$AD$2849*$AP$2838)</f>
        <v>0</v>
      </c>
      <c r="AA2884">
        <f>IFERROR(Z2884/$R$2849,0)</f>
        <v>0</v>
      </c>
      <c r="AB2884">
        <f>Z2884*($F$22+IF($F$22=0,0,($C$14+$C$15+IF($C$13="single",1.5,3)+3)/12))</f>
        <v>0</v>
      </c>
      <c r="AC2884">
        <f>AB2884-W2884</f>
        <v>0</v>
      </c>
      <c r="AD2884" cm="1">
        <f t="array" ref="AD2884">IFERROR(IF(AC2884&lt;0,0,AC2884/($R$2849-INDEX(hd_off,MATCH(AQ2884,hd_mark,0),0)/12)),0)</f>
        <v>0</v>
      </c>
      <c r="AE2884">
        <f>IF(S2884=0,0,$AD$2849*$AM$2838)</f>
        <v>0</v>
      </c>
      <c r="AF2884">
        <f>IFERROR(AE2884/$R$2849,0)</f>
        <v>0</v>
      </c>
      <c r="AG2884">
        <f>AE2884*($F$22+IF($F$22=0,0,($C$14+$C$15+IF($C$13="single",1.5,3)+3)/12))</f>
        <v>0</v>
      </c>
      <c r="AH2884">
        <f>AG2884-X2884</f>
        <v>0</v>
      </c>
      <c r="AI2884" cm="1">
        <f t="array" ref="AI2884">IFERROR(IF(AH2884&lt;0,0,AH2884/($R$2849-INDEX(hd_off,MATCH(AQ2884,hd_mark,0),0)/12)),0)</f>
        <v>0</v>
      </c>
      <c r="AJ2884">
        <f>MAX($F$22,$Z$2849)/$Q$2868</f>
        <v>0.30172413793103448</v>
      </c>
      <c r="AK2884">
        <f t="shared" ref="AK2884:AK2887" si="1790">IF(AJ2884=0,0,IF(AJ2884&gt;2,1.25-0.125*AJ2884,1))</f>
        <v>1</v>
      </c>
      <c r="AL2884" cm="1">
        <f t="array" ref="AL2884">IFERROR(INDEX(sheath_ecap_asd,MATCH(AP2884,sheath_mark,0),0)*AK2884,0)</f>
        <v>0</v>
      </c>
      <c r="AM2884" cm="1">
        <f t="array" ref="AM2884">IFERROR(INDEX(sheath_wcap_asd,MATCH(AP2884,sheath_mark,0),0)*AK2884,0)</f>
        <v>0</v>
      </c>
      <c r="AN2884" cm="1">
        <f t="array" ref="AN2884">IFERROR(INDEX(hd_cap,MATCH(AQ2884,hd_mark,0),0),0)</f>
        <v>0</v>
      </c>
      <c r="AP2884" s="19"/>
      <c r="AQ2884" s="19"/>
      <c r="AR2884" s="100"/>
      <c r="AS2884" s="93"/>
      <c r="AT2884" s="109"/>
      <c r="AU2884" t="str">
        <f>$Q$2838</f>
        <v>L3</v>
      </c>
      <c r="AV2884">
        <f>$E$22</f>
        <v>21.375</v>
      </c>
      <c r="AW2884" cm="1">
        <f t="array" ref="AW2884">IFERROR(IF(AV2884=0,0,(INDEX($C$33:$C$38,MATCH($AZ$2849,$B$33:$B$38,0),0)*(AV2887+$BA$2849)+$AW$2849*COUNTIF(AV2884:AV2886,"&gt;0")*$C$32+$AY$2849*$C$31)*$AU$2849),0)</f>
        <v>0</v>
      </c>
      <c r="AX2884">
        <f>IF(AV2884=0,0,-(COUNTIF(AV2884:AV2886,"&gt;0")*$AW$2849*$C$32+$AY$2849*$C$31)*$H$27*$AU$2849)</f>
        <v>0</v>
      </c>
      <c r="AY2884">
        <f>IF(AV2884=0,0,$AY$2849*$H$26*$AU$2849)</f>
        <v>0</v>
      </c>
      <c r="AZ2884">
        <f>(0.6*AW2884+0.7*AX2884)*$AU$2849/2</f>
        <v>0</v>
      </c>
      <c r="BA2884">
        <f>AW2884*$AU$2849/2</f>
        <v>0</v>
      </c>
      <c r="BC2884">
        <f>IF(AV2884=0,0,$BG$2849*$AP$2838)</f>
        <v>0</v>
      </c>
      <c r="BD2884">
        <f>IFERROR(BC2884/$AU$2849,0)</f>
        <v>0</v>
      </c>
      <c r="BE2884">
        <f>BC2884*($F$22+IF($F$22=0,0,($C$14+$C$15+IF($C$13="single",1.5,3)+3)/12))</f>
        <v>0</v>
      </c>
      <c r="BF2884">
        <f>BE2884-AZ2884</f>
        <v>0</v>
      </c>
      <c r="BG2884" cm="1">
        <f t="array" ref="BG2884">IFERROR(IF(BF2884&lt;0,0,BF2884/($AU$2849-INDEX(hd_off,MATCH(BT2884,hd_mark,0),0)/12)),0)</f>
        <v>0</v>
      </c>
      <c r="BH2884">
        <f>IF(AV2884=0,0,$BG$2849*$AM$2838)</f>
        <v>0</v>
      </c>
      <c r="BI2884">
        <f>IFERROR(BH2884/$AU$2849,0)</f>
        <v>0</v>
      </c>
      <c r="BJ2884">
        <f>BH2884*($F$22+IF($F$22=0,0,($C$14+$C$15+IF($C$13="single",1.5,3)+3)/12))</f>
        <v>0</v>
      </c>
      <c r="BK2884">
        <f>BJ2884-BA2884</f>
        <v>0</v>
      </c>
      <c r="BL2884" cm="1">
        <f t="array" ref="BL2884">IFERROR(IF(BK2884&lt;0,0,BK2884/($AU$2849-INDEX(hd_off,MATCH(BT2884,hd_mark,0),0)/12)),0)</f>
        <v>0</v>
      </c>
      <c r="BM2884">
        <f>MAX($F$22,$BC$2849)/$Q$2868</f>
        <v>0.30172413793103448</v>
      </c>
      <c r="BN2884">
        <f t="shared" ref="BN2884:BN2887" si="1791">IF(BM2884=0,0,IF(BM2884&gt;2,1.25-0.125*BM2884,1))</f>
        <v>1</v>
      </c>
      <c r="BO2884" cm="1">
        <f t="array" ref="BO2884">IFERROR(INDEX(sheath_ecap_asd,MATCH(BS2884,sheath_mark,0),0)*BN2884,0)</f>
        <v>0</v>
      </c>
      <c r="BP2884" cm="1">
        <f t="array" ref="BP2884">IFERROR(INDEX(sheath_wcap_asd,MATCH(BS2884,sheath_mark,0),0)*BN2884,0)</f>
        <v>0</v>
      </c>
      <c r="BQ2884" cm="1">
        <f t="array" ref="BQ2884">IFERROR(INDEX(hd_cap,MATCH(BT2884,hd_mark,0),0),0)</f>
        <v>0</v>
      </c>
      <c r="BS2884" s="19"/>
      <c r="BT2884" s="19"/>
      <c r="BU2884" s="100"/>
    </row>
    <row r="2885" x14ac:dyDescent="0.25">
      <c r="B2885" s="1"/>
      <c r="P2885" s="93"/>
      <c r="Q2885" s="109" t="s">
        <v>491</v>
      </c>
      <c r="R2885" t="str">
        <f>$Q$2839</f>
        <v>L4</v>
      </c>
      <c r="S2885">
        <f>$E$23</f>
        <v>0</v>
      </c>
      <c r="T2885" cm="1">
        <f t="array" ref="T2885">IFERROR(IF(S2885=0,0,(INDEX($C$33:$C$38,MATCH($W$2849,$B$33:$B$38,0),0)*(S2887+$X$2849)+$T$2849*COUNTIF(S2885:S2886,"&gt;0")*$C$32+$V$2849*$C$31)*$R$2849),0)</f>
        <v>0</v>
      </c>
      <c r="U2885">
        <f>IF(S2885=0,0,-(COUNTIF(S2885:S2886,"&gt;0")*$T$2849*$C$32+$V$2849*$C$31)*$H$27*$R$2849)</f>
        <v>0</v>
      </c>
      <c r="V2885">
        <f>IF(S2885=0,0,$V$2849*$H$26*$R$2849)</f>
        <v>0</v>
      </c>
      <c r="W2885">
        <f>(0.6*T2885+0.7*U2885)*$R$2849/2</f>
        <v>0</v>
      </c>
      <c r="X2885">
        <f>T2885*$R$2849/2</f>
        <v>0</v>
      </c>
      <c r="Z2885">
        <f>IF(S2885=0,0,$AD$2849*$AP$2839)</f>
        <v>0</v>
      </c>
      <c r="AA2885">
        <f>IFERROR(Z2885/$R$2849,0)</f>
        <v>0</v>
      </c>
      <c r="AB2885">
        <f>Z2885*($F$23+IF($F$23=0,0,($C$14+$C$15+IF($C$13="single",1.5,3)+3)/12))</f>
        <v>0</v>
      </c>
      <c r="AC2885">
        <f>AB2885-W2885</f>
        <v>0</v>
      </c>
      <c r="AD2885" cm="1">
        <f t="array" ref="AD2885">IFERROR(IF(AC2885&lt;0,0,AC2885/($R$2849-INDEX(hd_off,MATCH(AQ2885,hd_mark,0),0)/12)),0)</f>
        <v>0</v>
      </c>
      <c r="AE2885">
        <f>IF(S2885=0,0,$AD$2849*$AM$2839)</f>
        <v>0</v>
      </c>
      <c r="AF2885">
        <f>IFERROR(AE2885/$R$2849,0)</f>
        <v>0</v>
      </c>
      <c r="AG2885">
        <f>AE2885*($F$23+IF($F$23=0,0,($C$14+$C$15+IF($C$13="single",1.5,3)+3)/12))</f>
        <v>0</v>
      </c>
      <c r="AH2885">
        <f>AG2885-X2885</f>
        <v>0</v>
      </c>
      <c r="AI2885" cm="1">
        <f t="array" ref="AI2885">IFERROR(IF(AH2885&lt;0,0,AH2885/($R$2849-INDEX(hd_off,MATCH(AQ2885,hd_mark,0),0)/12)),0)</f>
        <v>0</v>
      </c>
      <c r="AJ2885">
        <f>MAX($F$23,$AA$2849)/$Q$2868</f>
        <v>0</v>
      </c>
      <c r="AK2885">
        <f t="shared" si="1790"/>
        <v>0</v>
      </c>
      <c r="AL2885" cm="1">
        <f t="array" ref="AL2885">IFERROR(INDEX(sheath_ecap_asd,MATCH(AP2885,sheath_mark,0),0)*AK2885,0)</f>
        <v>0</v>
      </c>
      <c r="AM2885" cm="1">
        <f t="array" ref="AM2885">IFERROR(INDEX(sheath_wcap_asd,MATCH(AP2885,sheath_mark,0),0)*AK2885,0)</f>
        <v>0</v>
      </c>
      <c r="AN2885" cm="1">
        <f t="array" ref="AN2885">IFERROR(INDEX(hd_cap,MATCH(AQ2885,hd_mark,0),0),0)</f>
        <v>0</v>
      </c>
      <c r="AP2885" s="19"/>
      <c r="AQ2885" s="19"/>
      <c r="AR2885" s="100"/>
      <c r="AS2885" s="93"/>
      <c r="AT2885" s="109" t="s">
        <v>491</v>
      </c>
      <c r="AU2885" t="str">
        <f>$Q$2839</f>
        <v>L4</v>
      </c>
      <c r="AV2885">
        <f>$E$23</f>
        <v>0</v>
      </c>
      <c r="AW2885" cm="1">
        <f t="array" ref="AW2885">IFERROR(IF(AV2885=0,0,(INDEX($C$33:$C$38,MATCH($AZ$2849,$B$33:$B$38,0),0)*(AV2887+$BA$2849)+$AW$2849*COUNTIF(AV2885:AV2886,"&gt;0")*$C$32+$AY$2849*$C$31)*$AU$2849),0)</f>
        <v>0</v>
      </c>
      <c r="AX2885">
        <f>IF(AV2885=0,0,-(COUNTIF(AV2885:AV2886,"&gt;0")*$AW$2849*$C$32+$AY$2849*$C$31)*$H$27*$AU$2849)</f>
        <v>0</v>
      </c>
      <c r="AY2885">
        <f>IF(AV2885=0,0,$AY$2849*$H$26*$AU$2849)</f>
        <v>0</v>
      </c>
      <c r="AZ2885">
        <f>(0.6*AW2885+0.7*AX2885)*$AU$2849/2</f>
        <v>0</v>
      </c>
      <c r="BA2885">
        <f>AW2885*$AU$2849/2</f>
        <v>0</v>
      </c>
      <c r="BC2885">
        <f>IF(AV2885=0,0,$BG$2849*$AP$2839)</f>
        <v>0</v>
      </c>
      <c r="BD2885">
        <f>IFERROR(BC2885/$AU$2849,0)</f>
        <v>0</v>
      </c>
      <c r="BE2885">
        <f>BC2885*($F$23+IF($F$23=0,0,($C$14+$C$15+IF($C$13="single",1.5,3)+3)/12))</f>
        <v>0</v>
      </c>
      <c r="BF2885">
        <f>BE2885-AZ2885</f>
        <v>0</v>
      </c>
      <c r="BG2885" cm="1">
        <f t="array" ref="BG2885">IFERROR(IF(BF2885&lt;0,0,BF2885/($AU$2849-INDEX(hd_off,MATCH(BT2885,hd_mark,0),0)/12)),0)</f>
        <v>0</v>
      </c>
      <c r="BH2885">
        <f>IF(AV2885=0,0,$BG$2849*$AM$2839)</f>
        <v>0</v>
      </c>
      <c r="BI2885">
        <f>IFERROR(BH2885/$AU$2849,0)</f>
        <v>0</v>
      </c>
      <c r="BJ2885">
        <f>BH2885*($F$23+IF($F$23=0,0,($C$14+$C$15+IF($C$13="single",1.5,3)+3)/12))</f>
        <v>0</v>
      </c>
      <c r="BK2885">
        <f>BJ2885-BA2885</f>
        <v>0</v>
      </c>
      <c r="BL2885" cm="1">
        <f t="array" ref="BL2885">IFERROR(IF(BK2885&lt;0,0,BK2885/($AU$2849-INDEX(hd_off,MATCH(BT2885,hd_mark,0),0)/12)),0)</f>
        <v>0</v>
      </c>
      <c r="BM2885">
        <f>MAX($F$23,$BD$2849)/$Q$2868</f>
        <v>0</v>
      </c>
      <c r="BN2885">
        <f t="shared" si="1791"/>
        <v>0</v>
      </c>
      <c r="BO2885" cm="1">
        <f t="array" ref="BO2885">IFERROR(INDEX(sheath_ecap_asd,MATCH(BS2885,sheath_mark,0),0)*BN2885,0)</f>
        <v>0</v>
      </c>
      <c r="BP2885" cm="1">
        <f t="array" ref="BP2885">IFERROR(INDEX(sheath_wcap_asd,MATCH(BS2885,sheath_mark,0),0)*BN2885,0)</f>
        <v>0</v>
      </c>
      <c r="BQ2885" cm="1">
        <f t="array" ref="BQ2885">IFERROR(INDEX(hd_cap,MATCH(BT2885,hd_mark,0),0),0)</f>
        <v>0</v>
      </c>
      <c r="BS2885" s="19"/>
      <c r="BT2885" s="19"/>
      <c r="BU2885" s="100"/>
    </row>
    <row r="2886" x14ac:dyDescent="0.25">
      <c r="P2886" s="93"/>
      <c r="Q2886" s="111">
        <f>$R$2849</f>
        <v>0</v>
      </c>
      <c r="R2886" t="str">
        <f>$Q$2840</f>
        <v>L5</v>
      </c>
      <c r="S2886">
        <f>$E$24</f>
        <v>0</v>
      </c>
      <c r="T2886" cm="1">
        <f t="array" ref="T2886">IFERROR(IF(S2886=0,0,(INDEX($C$33:$C$38,MATCH($W$2849,$B$33:$B$38,0),0)*(S2887+$X$2849)+$T$2849*COUNTIF(S2886:S2886,"&gt;0")*$C$32+$V$2849*$C$31)*$R$2849),0)</f>
        <v>0</v>
      </c>
      <c r="U2886">
        <f>IF(S2886=0,0,-(COUNTIF(S2886:S2886,"&gt;0")*$T$2849*$C$32+$V$2849*$C$31)*$H$27*$R$2849)</f>
        <v>0</v>
      </c>
      <c r="V2886">
        <f>IF(S2886=0,0,$V$2849*$H$26*$R$2849)</f>
        <v>0</v>
      </c>
      <c r="W2886">
        <f>(0.6*T2886+0.7*U2886)*$R$2849/2</f>
        <v>0</v>
      </c>
      <c r="X2886">
        <f>T2886*$R$2849/2</f>
        <v>0</v>
      </c>
      <c r="Z2886">
        <f>IF(S2886=0,0,$AD$2849*$AP$2840)</f>
        <v>0</v>
      </c>
      <c r="AA2886">
        <f>IFERROR(Z2886/$R$2849,0)</f>
        <v>0</v>
      </c>
      <c r="AB2886">
        <f>Z2886*($F$24+IF($F$24=0,0,($C$14+$C$15+IF($C$13="single",1.5,3)+3)/12))</f>
        <v>0</v>
      </c>
      <c r="AC2886">
        <f>AB2886-W2886</f>
        <v>0</v>
      </c>
      <c r="AD2886" cm="1">
        <f t="array" ref="AD2886">IFERROR(IF(AC2886&lt;0,0,AC2886/($R$2849-INDEX(hd_off,MATCH(AQ2886,hd_mark,0),0)/12)),0)</f>
        <v>0</v>
      </c>
      <c r="AE2886">
        <f>IF(S2886=0,0,$AD$2849*$AM$2840)</f>
        <v>0</v>
      </c>
      <c r="AF2886">
        <f>IFERROR(AE2886/$R$2849,0)</f>
        <v>0</v>
      </c>
      <c r="AG2886">
        <f>AE2886*($F$24+IF($F$24=0,0,($C$14+$C$15+IF($C$13="single",1.5,3)+3)/12))</f>
        <v>0</v>
      </c>
      <c r="AH2886">
        <f>AG2886-X2886</f>
        <v>0</v>
      </c>
      <c r="AI2886" cm="1">
        <f t="array" ref="AI2886">IFERROR(IF(AH2886&lt;0,0,AH2886/($R$2849-INDEX(hd_off,MATCH(AQ2886,hd_mark,0),0)/12)),0)</f>
        <v>0</v>
      </c>
      <c r="AJ2886">
        <f>MAX($F$24,$AB$2849)/$Q$2868</f>
        <v>0</v>
      </c>
      <c r="AK2886">
        <f t="shared" si="1790"/>
        <v>0</v>
      </c>
      <c r="AL2886" cm="1">
        <f t="array" ref="AL2886">IFERROR(INDEX(sheath_ecap_asd,MATCH(AP2886,sheath_mark,0),0)*AK2886,0)</f>
        <v>0</v>
      </c>
      <c r="AM2886" cm="1">
        <f t="array" ref="AM2886">IFERROR(INDEX(sheath_wcap_asd,MATCH(AP2886,sheath_mark,0),0)*AK2886,0)</f>
        <v>0</v>
      </c>
      <c r="AN2886" cm="1">
        <f t="array" ref="AN2886">IFERROR(INDEX(hd_cap,MATCH(AQ2886,hd_mark,0),0),0)</f>
        <v>0</v>
      </c>
      <c r="AP2886" s="19"/>
      <c r="AQ2886" s="19"/>
      <c r="AR2886" s="100"/>
      <c r="AS2886" s="93"/>
      <c r="AT2886" s="111">
        <f>$R$2849</f>
        <v>0</v>
      </c>
      <c r="AU2886" t="str">
        <f>$Q$2840</f>
        <v>L5</v>
      </c>
      <c r="AV2886">
        <f>$E$24</f>
        <v>0</v>
      </c>
      <c r="AW2886" cm="1">
        <f t="array" ref="AW2886">IFERROR(IF(AV2886=0,0,(INDEX($C$33:$C$38,MATCH($AZ$2849,$B$33:$B$38,0),0)*(AV2887+$BA$2849)+$AW$2849*COUNTIF(AV2886:AV2886,"&gt;0")*$C$32+$AY$2849*$C$31)*$AU$2849),0)</f>
        <v>0</v>
      </c>
      <c r="AX2886">
        <f>IF(AV2886=0,0,-(COUNTIF(AV2886:AV2886,"&gt;0")*$AW$2849*$C$32+$AY$2849*$C$31)*$H$27*$AU$2849)</f>
        <v>0</v>
      </c>
      <c r="AY2886">
        <f>IF(AV2886=0,0,$AY$2849*$H$26*$AU$2849)</f>
        <v>0</v>
      </c>
      <c r="AZ2886">
        <f>(0.6*AW2886+0.7*AX2886)*$AU$2849/2</f>
        <v>0</v>
      </c>
      <c r="BA2886">
        <f>AW2886*$AU$2849/2</f>
        <v>0</v>
      </c>
      <c r="BC2886">
        <f>IF(AV2886=0,0,$BG$2849*$AP$2840)</f>
        <v>0</v>
      </c>
      <c r="BD2886">
        <f>IFERROR(BC2886/$AU$2849,0)</f>
        <v>0</v>
      </c>
      <c r="BE2886">
        <f>BC2886*($F$24+IF($F$24=0,0,($C$14+$C$15+IF($C$13="single",1.5,3)+3)/12))</f>
        <v>0</v>
      </c>
      <c r="BF2886">
        <f>BE2886-AZ2886</f>
        <v>0</v>
      </c>
      <c r="BG2886" cm="1">
        <f t="array" ref="BG2886">IFERROR(IF(BF2886&lt;0,0,BF2886/($AU$2849-INDEX(hd_off,MATCH(BT2886,hd_mark,0),0)/12)),0)</f>
        <v>0</v>
      </c>
      <c r="BH2886">
        <f>IF(AV2886=0,0,$BG$2849*$AM$2840)</f>
        <v>0</v>
      </c>
      <c r="BI2886">
        <f>IFERROR(BH2886/$AU$2849,0)</f>
        <v>0</v>
      </c>
      <c r="BJ2886">
        <f>BH2886*($F$24+IF($F$24=0,0,($C$14+$C$15+IF($C$13="single",1.5,3)+3)/12))</f>
        <v>0</v>
      </c>
      <c r="BK2886">
        <f>BJ2886-BA2886</f>
        <v>0</v>
      </c>
      <c r="BL2886" cm="1">
        <f t="array" ref="BL2886">IFERROR(IF(BK2886&lt;0,0,BK2886/($AU$2849-INDEX(hd_off,MATCH(BT2886,hd_mark,0),0)/12)),0)</f>
        <v>0</v>
      </c>
      <c r="BM2886">
        <f>MAX($F$24,$BE$2849)/$Q$2868</f>
        <v>0</v>
      </c>
      <c r="BN2886">
        <f t="shared" si="1791"/>
        <v>0</v>
      </c>
      <c r="BO2886" cm="1">
        <f t="array" ref="BO2886">IFERROR(INDEX(sheath_ecap_asd,MATCH(BS2886,sheath_mark,0),0)*BN2886,0)</f>
        <v>0</v>
      </c>
      <c r="BP2886" cm="1">
        <f t="array" ref="BP2886">IFERROR(INDEX(sheath_wcap_asd,MATCH(BS2886,sheath_mark,0),0)*BN2886,0)</f>
        <v>0</v>
      </c>
      <c r="BQ2886" cm="1">
        <f t="array" ref="BQ2886">IFERROR(INDEX(hd_cap,MATCH(BT2886,hd_mark,0),0),0)</f>
        <v>0</v>
      </c>
      <c r="BS2886" s="19"/>
      <c r="BT2886" s="19"/>
      <c r="BU2886" s="100"/>
    </row>
    <row r="2887" x14ac:dyDescent="0.25">
      <c r="P2887" s="93"/>
      <c r="Q2887" s="109"/>
      <c r="R2887" t="str">
        <f>$Q$2841</f>
        <v>Roof</v>
      </c>
      <c r="S2887">
        <f>$E$25</f>
        <v>33.171875</v>
      </c>
      <c r="T2887" cm="1">
        <f t="array" ref="T2887">IFERROR(IF(S2887=0,0,(INDEX($C$33:$C$38,MATCH($W$2849,$B$33:$B$38,0),0)*(S2887+$X$2849)+$V$2849*$C$31)*$R$2849),0)</f>
        <v>0</v>
      </c>
      <c r="U2887">
        <f>IF(S2887=0,0,-$V$2849*$C$31*$H$27*$R$2849)</f>
        <v>0</v>
      </c>
      <c r="V2887">
        <f>IF(S2887=0,0,$V$2849*$H$26*$R$2849)</f>
        <v>0</v>
      </c>
      <c r="W2887">
        <f>(0.6*T2887+0.7*U2887)*$R$2849/2</f>
        <v>0</v>
      </c>
      <c r="X2887">
        <f>T2887*$R$2849/2</f>
        <v>0</v>
      </c>
      <c r="Z2887">
        <f>IF(S2887=0,0,$AD$2849*$AP$2841)</f>
        <v>0</v>
      </c>
      <c r="AA2887">
        <f>IFERROR(Z2887/$R$2849,0)</f>
        <v>0</v>
      </c>
      <c r="AB2887">
        <f>Z2887*($F$25+($C$16+$C$17+IF($C$13="single",1.5,3)+3)/12)</f>
        <v>0</v>
      </c>
      <c r="AC2887">
        <f>AB2887-W2887</f>
        <v>0</v>
      </c>
      <c r="AD2887" cm="1">
        <f t="array" ref="AD2887">IFERROR(IF(AC2887&lt;0,0,AC2887/($R$2849-INDEX(hd_off,MATCH(AQ2887,hd_mark,0),0)/12)),0)</f>
        <v>0</v>
      </c>
      <c r="AE2887">
        <f>IF(S2887=0,0,$AD$2849*$AM$2841)</f>
        <v>0</v>
      </c>
      <c r="AF2887">
        <f>IFERROR(AE2887/$R$2849,0)</f>
        <v>0</v>
      </c>
      <c r="AG2887">
        <f>AE2887*($F$25+($C$16+$C$17+IF($C$13="single",1.5,3)+3)/12)</f>
        <v>0</v>
      </c>
      <c r="AH2887">
        <f>AG2887-X2887</f>
        <v>0</v>
      </c>
      <c r="AI2887" cm="1">
        <f t="array" ref="AI2887">IFERROR(IF(AH2887&lt;0,0,AH2887/($R$2849-INDEX(hd_off,MATCH(AQ2887,hd_mark,0),0)/12)),0)</f>
        <v>0</v>
      </c>
      <c r="AJ2887">
        <f>MAX($F$25,$AC$2849)/$Q$2868</f>
        <v>0.29920977011494249</v>
      </c>
      <c r="AK2887">
        <f t="shared" si="1790"/>
        <v>1</v>
      </c>
      <c r="AL2887" cm="1">
        <f t="array" ref="AL2887">IFERROR(INDEX(sheath_ecap_asd,MATCH(AP2887,sheath_mark,0),0)*AK2887,0)</f>
        <v>0</v>
      </c>
      <c r="AM2887" cm="1">
        <f t="array" ref="AM2887">IFERROR(INDEX(sheath_wcap_asd,MATCH(AP2887,sheath_mark,0),0)*AK2887,0)</f>
        <v>0</v>
      </c>
      <c r="AN2887" cm="1">
        <f t="array" ref="AN2887">IFERROR(INDEX(hd_cap,MATCH(AQ2887,hd_mark,0),0),0)</f>
        <v>0</v>
      </c>
      <c r="AP2887" s="19"/>
      <c r="AQ2887" s="19"/>
      <c r="AR2887" s="100"/>
      <c r="AS2887" s="93"/>
      <c r="AT2887" s="109"/>
      <c r="AU2887" t="str">
        <f>$Q$2841</f>
        <v>Roof</v>
      </c>
      <c r="AV2887">
        <f>$E$25</f>
        <v>33.171875</v>
      </c>
      <c r="AW2887" cm="1">
        <f t="array" ref="AW2887">IFERROR(IF(AV2887=0,0,(INDEX($C$33:$C$38,MATCH($AZ$2849,$B$33:$B$38,0),0)*(AV2887+$BA$2849)+$AY$2849*$C$31)*$AU$2849),0)</f>
        <v>0</v>
      </c>
      <c r="AX2887">
        <f>IF(AV2887=0,0,-$AY$2849*$C$31*$H$27*$AU$2849)</f>
        <v>0</v>
      </c>
      <c r="AY2887">
        <f>IF(AV2887=0,0,$AY$2849*$H$26*$AU$2849)</f>
        <v>0</v>
      </c>
      <c r="AZ2887">
        <f>(0.6*AW2887+0.7*AX2887)*$AU$2849/2</f>
        <v>0</v>
      </c>
      <c r="BA2887">
        <f>AW2887*$AU$2849/2</f>
        <v>0</v>
      </c>
      <c r="BC2887">
        <f>IF(AV2887=0,0,$BG$2849*$AP$2841)</f>
        <v>0</v>
      </c>
      <c r="BD2887">
        <f>IFERROR(BC2887/$AU$2849,0)</f>
        <v>0</v>
      </c>
      <c r="BE2887">
        <f>BC2887*($F$25+($C$16+$C$17+IF($C$13="single",1.5,3)+3)/12)</f>
        <v>0</v>
      </c>
      <c r="BF2887">
        <f>BE2887-AZ2887</f>
        <v>0</v>
      </c>
      <c r="BG2887" cm="1">
        <f t="array" ref="BG2887">IFERROR(IF(BF2887&lt;0,0,BF2887/($AU$2849-INDEX(hd_off,MATCH(BT2887,hd_mark,0),0)/12)),0)</f>
        <v>0</v>
      </c>
      <c r="BH2887">
        <f>IF(AV2887=0,0,$BG$2849*$AM$2841)</f>
        <v>0</v>
      </c>
      <c r="BI2887">
        <f>IFERROR(BH2887/$AU$2849,0)</f>
        <v>0</v>
      </c>
      <c r="BJ2887">
        <f>BH2887*($F$25+($C$16+$C$17+IF($C$13="single",1.5,3)+3)/12)</f>
        <v>0</v>
      </c>
      <c r="BK2887">
        <f>BJ2887-BA2887</f>
        <v>0</v>
      </c>
      <c r="BL2887" cm="1">
        <f t="array" ref="BL2887">IFERROR(IF(BK2887&lt;0,0,BK2887/($AU$2849-INDEX(hd_off,MATCH(BT2887,hd_mark,0),0)/12)),0)</f>
        <v>0</v>
      </c>
      <c r="BM2887">
        <f>MAX($F$25,$BF$2849)/$Q$2868</f>
        <v>0.29920977011494249</v>
      </c>
      <c r="BN2887">
        <f t="shared" si="1791"/>
        <v>1</v>
      </c>
      <c r="BO2887" cm="1">
        <f t="array" ref="BO2887">IFERROR(INDEX(sheath_ecap_asd,MATCH(BS2887,sheath_mark,0),0)*BN2887,0)</f>
        <v>0</v>
      </c>
      <c r="BP2887" cm="1">
        <f t="array" ref="BP2887">IFERROR(INDEX(sheath_wcap_asd,MATCH(BS2887,sheath_mark,0),0)*BN2887,0)</f>
        <v>0</v>
      </c>
      <c r="BQ2887" cm="1">
        <f t="array" ref="BQ2887">IFERROR(INDEX(hd_cap,MATCH(BT2887,hd_mark,0),0),0)</f>
        <v>0</v>
      </c>
      <c r="BS2887" s="19"/>
      <c r="BT2887" s="19"/>
      <c r="BU2887" s="100"/>
    </row>
    <row r="2888" x14ac:dyDescent="0.25">
      <c r="P2888" s="93"/>
      <c r="AR2888" s="100"/>
      <c r="AS2888" s="93"/>
      <c r="BU2888" s="100"/>
    </row>
    <row r="2889" x14ac:dyDescent="0.25">
      <c r="P2889" s="93"/>
      <c r="Q2889" s="110" t="str">
        <f>$Q$2850</f>
        <v>A.05</v>
      </c>
      <c r="R2889" t="str">
        <f>$Q$2837</f>
        <v>L2</v>
      </c>
      <c r="S2889">
        <f>$E$21</f>
        <v>10.6875</v>
      </c>
      <c r="T2889" cm="1">
        <f t="array" ref="T2889">IFERROR(IF(S2889=0,0,(INDEX($C$33:$C$38,MATCH($W$2850,$B$33:$B$38,0),0)*(S2893+$X$2850)+$T$2850*COUNTIF(S2889:S2892,"&gt;0")*$C$32+$V$2850*$C$31)*$R$2850),0)</f>
        <v>0</v>
      </c>
      <c r="U2889">
        <f>IF(S2889=0,0,-(COUNTIF(S2889:S2892,"&gt;0")*$T$2850*$C$32+$V$2850*$C$31)*$H$27*$R$2850)</f>
        <v>0</v>
      </c>
      <c r="V2889">
        <f>IF(S2889=0,0,$V$2850*$H$26*$R$2850)</f>
        <v>0</v>
      </c>
      <c r="W2889">
        <f>(0.6*T2889+0.7*U2889)*$R$2850/2</f>
        <v>0</v>
      </c>
      <c r="X2889">
        <f>(0.6*T2889+0.6*V2889)*$R$2850/2</f>
        <v>0</v>
      </c>
      <c r="Z2889">
        <f>IF(S2889=0,0,$AD$2850*$AP$2837)</f>
        <v>0</v>
      </c>
      <c r="AA2889">
        <f>IFERROR(Z2889/$R$2850,0)</f>
        <v>0</v>
      </c>
      <c r="AB2889">
        <f>Z2889*($F$21+IF($F$21=0,0,($C$14+$C$15+IF($C$13="single",1.5,3)+3)/12))</f>
        <v>0</v>
      </c>
      <c r="AC2889">
        <f>AB2889-W2889</f>
        <v>0</v>
      </c>
      <c r="AD2889" cm="1">
        <f t="array" ref="AD2889">IFERROR(IF(AC2889&lt;0,0,AC2889/($R$2850-INDEX(hd_off,MATCH(AQ2889,hd_mark,0),0)/12)),0)</f>
        <v>0</v>
      </c>
      <c r="AE2889">
        <f>IF(S2889=0,0,$AD$2850*$AM$2837)</f>
        <v>0</v>
      </c>
      <c r="AF2889">
        <f>IFERROR(AE2889/$R$2850,0)</f>
        <v>0</v>
      </c>
      <c r="AG2889">
        <f>AE2889*($F$21+IF($F$21=0,0,($C$14+$C$15+IF($C$13="single",1.5,3)+3)/12))</f>
        <v>0</v>
      </c>
      <c r="AH2889">
        <f>AG2889-X2889</f>
        <v>0</v>
      </c>
      <c r="AI2889" cm="1">
        <f t="array" ref="AI2889">IFERROR(IF(AH2889&lt;0,0,AH2889/($R$2850-INDEX(hd_off,MATCH(AQ2889,hd_mark,0),0)/12)),0)</f>
        <v>0</v>
      </c>
      <c r="AJ2889">
        <f>MAX($F$21,$Y$2850)/$Q$2868</f>
        <v>0.30172413793103448</v>
      </c>
      <c r="AK2889">
        <f>IF(AJ2889=0,0,IF(AJ2889&gt;2,1.25-0.125*AJ2889,1))</f>
        <v>1</v>
      </c>
      <c r="AL2889" cm="1">
        <f t="array" ref="AL2889">IFERROR(INDEX(sheath_ecap_asd,MATCH(AP2889,sheath_mark,0),0)*AK2889,0)</f>
        <v>0</v>
      </c>
      <c r="AM2889" cm="1">
        <f t="array" ref="AM2889">IFERROR(INDEX(sheath_wcap_asd,MATCH(AP2889,sheath_mark,0),0)*AK2889,0)</f>
        <v>0</v>
      </c>
      <c r="AN2889" cm="1">
        <f t="array" ref="AN2889">IFERROR(INDEX(hd_cap,MATCH(AQ2889,hd_mark,0),0),0)</f>
        <v>0</v>
      </c>
      <c r="AP2889" s="19"/>
      <c r="AQ2889" s="19"/>
      <c r="AR2889" s="100"/>
      <c r="AS2889" s="93"/>
      <c r="AT2889" s="110" t="str">
        <f>$AT$2850</f>
        <v>1.05</v>
      </c>
      <c r="AU2889" t="str">
        <f>$Q$2837</f>
        <v>L2</v>
      </c>
      <c r="AV2889">
        <f>$E$21</f>
        <v>10.6875</v>
      </c>
      <c r="AW2889" cm="1">
        <f t="array" ref="AW2889">IFERROR(IF(AV2889=0,0,(INDEX($C$33:$C$38,MATCH($AZ$2850,$B$33:$B$38,0),0)*(AV2893+$BA$2850)+$AW$2850*COUNTIF(AV2889:AV2892,"&gt;0")*$C$32+$AY$2850*$C$31)*$AU$2850),0)</f>
        <v>0</v>
      </c>
      <c r="AX2889">
        <f>IF(AV2889=0,0,-(COUNTIF(AV2889:AV2892,"&gt;0")*$AW$2850*$C$32+$AY$2850*$C$31)*$H$27*$AU$2850)</f>
        <v>0</v>
      </c>
      <c r="AY2889">
        <f>IF(AV2889=0,0,$AY$2850*$H$26*$AU$2850)</f>
        <v>0</v>
      </c>
      <c r="AZ2889">
        <f>(0.6*AW2889+0.7*AX2889)*$AU$2850/2</f>
        <v>0</v>
      </c>
      <c r="BA2889">
        <f>(0.6*AW2889+0.6*AY2889)*$AU$2850/2</f>
        <v>0</v>
      </c>
      <c r="BC2889">
        <f>IF(AV2889=0,0,$BG$2850*$AP$2837)</f>
        <v>0</v>
      </c>
      <c r="BD2889">
        <f>IFERROR(BC2889/$AU$2850,0)</f>
        <v>0</v>
      </c>
      <c r="BE2889">
        <f>BC2889*($F$21+IF($F$21=0,0,($C$14+$C$15+IF($C$13="single",1.5,3)+3)/12))</f>
        <v>0</v>
      </c>
      <c r="BF2889">
        <f>BE2889-AZ2889</f>
        <v>0</v>
      </c>
      <c r="BG2889" cm="1">
        <f t="array" ref="BG2889">IFERROR(IF(BF2889&lt;0,0,BF2889/($AU$2850-INDEX(hd_off,MATCH(BT2889,hd_mark,0),0)/12)),0)</f>
        <v>0</v>
      </c>
      <c r="BH2889">
        <f>IF(AV2889=0,0,$BG$2850*$AM$2837)</f>
        <v>0</v>
      </c>
      <c r="BI2889">
        <f>IFERROR(BH2889/$AU$2850,0)</f>
        <v>0</v>
      </c>
      <c r="BJ2889">
        <f>BH2889*($F$21+IF($F$21=0,0,($C$14+$C$15+IF($C$13="single",1.5,3)+3)/12))</f>
        <v>0</v>
      </c>
      <c r="BK2889">
        <f>BJ2889-BA2889</f>
        <v>0</v>
      </c>
      <c r="BL2889" cm="1">
        <f t="array" ref="BL2889">IFERROR(IF(BK2889&lt;0,0,BK2889/($AU$2850-INDEX(hd_off,MATCH(BT2889,hd_mark,0),0)/12)),0)</f>
        <v>0</v>
      </c>
      <c r="BM2889">
        <f>MAX($F$21,$BB$2850)/$Q$2868</f>
        <v>0.30172413793103448</v>
      </c>
      <c r="BN2889">
        <f>IF(BM2889=0,0,IF(BM2889&gt;2,1.25-0.125*BM2889,1))</f>
        <v>1</v>
      </c>
      <c r="BO2889" cm="1">
        <f t="array" ref="BO2889">IFERROR(INDEX(sheath_ecap_asd,MATCH(BS2889,sheath_mark,0),0)*BN2889,0)</f>
        <v>0</v>
      </c>
      <c r="BP2889" cm="1">
        <f t="array" ref="BP2889">IFERROR(INDEX(sheath_wcap_asd,MATCH(BS2889,sheath_mark,0),0)*BN2889,0)</f>
        <v>0</v>
      </c>
      <c r="BQ2889" cm="1">
        <f t="array" ref="BQ2889">IFERROR(INDEX(hd_cap,MATCH(BT2889,hd_mark,0),0),0)</f>
        <v>0</v>
      </c>
      <c r="BS2889" s="19"/>
      <c r="BT2889" s="19"/>
      <c r="BU2889" s="100"/>
    </row>
    <row r="2890" x14ac:dyDescent="0.25">
      <c r="B2890" s="1"/>
      <c r="P2890" s="93"/>
      <c r="Q2890" s="109"/>
      <c r="R2890" t="str">
        <f>$Q$2838</f>
        <v>L3</v>
      </c>
      <c r="S2890">
        <f>$E$22</f>
        <v>21.375</v>
      </c>
      <c r="T2890" cm="1">
        <f t="array" ref="T2890">IFERROR(IF(S2890=0,0,(INDEX($C$33:$C$38,MATCH($W$2850,$B$33:$B$38,0),0)*(S2893+$X$2850)+$T$2850*COUNTIF(S2890:S2892,"&gt;0")*$C$32+$V$2850*$C$31)*$R$2850),0)</f>
        <v>0</v>
      </c>
      <c r="U2890">
        <f>IF(S2890=0,0,-(COUNTIF(S2890:S2892,"&gt;0")*$T$2850*$C$32+$V$2850*$C$31)*$H$27*$R$2850)</f>
        <v>0</v>
      </c>
      <c r="V2890">
        <f>IF(S2890=0,0,$V$2850*$H$26*$R$2850)</f>
        <v>0</v>
      </c>
      <c r="W2890">
        <f>(0.6*T2890+0.7*U2890)*$R$2850/2</f>
        <v>0</v>
      </c>
      <c r="X2890">
        <f>T2890*$R$2850/2</f>
        <v>0</v>
      </c>
      <c r="Z2890">
        <f>IF(S2890=0,0,$AD$2850*$AP$2838)</f>
        <v>0</v>
      </c>
      <c r="AA2890">
        <f>IFERROR(Z2890/$R$2850,0)</f>
        <v>0</v>
      </c>
      <c r="AB2890">
        <f>Z2890*($F$22+IF($F$22=0,0,($C$14+$C$15+IF($C$13="single",1.5,3)+3)/12))</f>
        <v>0</v>
      </c>
      <c r="AC2890">
        <f>AB2890-W2890</f>
        <v>0</v>
      </c>
      <c r="AD2890" cm="1">
        <f t="array" ref="AD2890">IFERROR(IF(AC2890&lt;0,0,AC2890/($R$2850-INDEX(hd_off,MATCH(AQ2890,hd_mark,0),0)/12)),0)</f>
        <v>0</v>
      </c>
      <c r="AE2890">
        <f>IF(S2890=0,0,$AD$2850*$AM$2838)</f>
        <v>0</v>
      </c>
      <c r="AF2890">
        <f>IFERROR(AE2890/$R$2850,0)</f>
        <v>0</v>
      </c>
      <c r="AG2890">
        <f>AE2890*($F$22+IF($F$22=0,0,($C$14+$C$15+IF($C$13="single",1.5,3)+3)/12))</f>
        <v>0</v>
      </c>
      <c r="AH2890">
        <f>AG2890-X2890</f>
        <v>0</v>
      </c>
      <c r="AI2890" cm="1">
        <f t="array" ref="AI2890">IFERROR(IF(AH2890&lt;0,0,AH2890/($R$2850-INDEX(hd_off,MATCH(AQ2890,hd_mark,0),0)/12)),0)</f>
        <v>0</v>
      </c>
      <c r="AJ2890">
        <f>MAX($F$22,$Z$2850)/$Q$2868</f>
        <v>0.30172413793103448</v>
      </c>
      <c r="AK2890">
        <f t="shared" ref="AK2890:AK2893" si="1792">IF(AJ2890=0,0,IF(AJ2890&gt;2,1.25-0.125*AJ2890,1))</f>
        <v>1</v>
      </c>
      <c r="AL2890" cm="1">
        <f t="array" ref="AL2890">IFERROR(INDEX(sheath_ecap_asd,MATCH(AP2890,sheath_mark,0),0)*AK2890,0)</f>
        <v>0</v>
      </c>
      <c r="AM2890" cm="1">
        <f t="array" ref="AM2890">IFERROR(INDEX(sheath_wcap_asd,MATCH(AP2890,sheath_mark,0),0)*AK2890,0)</f>
        <v>0</v>
      </c>
      <c r="AN2890" cm="1">
        <f t="array" ref="AN2890">IFERROR(INDEX(hd_cap,MATCH(AQ2890,hd_mark,0),0),0)</f>
        <v>0</v>
      </c>
      <c r="AP2890" s="19"/>
      <c r="AQ2890" s="19"/>
      <c r="AR2890" s="100"/>
      <c r="AS2890" s="93"/>
      <c r="AT2890" s="109"/>
      <c r="AU2890" t="str">
        <f>$Q$2838</f>
        <v>L3</v>
      </c>
      <c r="AV2890">
        <f>$E$22</f>
        <v>21.375</v>
      </c>
      <c r="AW2890" cm="1">
        <f t="array" ref="AW2890">IFERROR(IF(AV2890=0,0,(INDEX($C$33:$C$38,MATCH($AZ$2850,$B$33:$B$38,0),0)*(AV2893+$BA$2850)+$AW$2850*COUNTIF(AV2890:AV2892,"&gt;0")*$C$32+$AY$2850*$C$31)*$AU$2850),0)</f>
        <v>0</v>
      </c>
      <c r="AX2890">
        <f>IF(AV2890=0,0,-(COUNTIF(AV2890:AV2892,"&gt;0")*$AW$2850*$C$32+$AY$2850*$C$31)*$H$27*$AU$2850)</f>
        <v>0</v>
      </c>
      <c r="AY2890">
        <f>IF(AV2890=0,0,$AY$2850*$H$26*$AU$2850)</f>
        <v>0</v>
      </c>
      <c r="AZ2890">
        <f>(0.6*AW2890+0.7*AX2890)*$AU$2850/2</f>
        <v>0</v>
      </c>
      <c r="BA2890">
        <f>AW2890*$AU$2850/2</f>
        <v>0</v>
      </c>
      <c r="BC2890">
        <f>IF(AV2890=0,0,$BG$2850*$AP$2838)</f>
        <v>0</v>
      </c>
      <c r="BD2890">
        <f>IFERROR(BC2890/$AU$2850,0)</f>
        <v>0</v>
      </c>
      <c r="BE2890">
        <f>BC2890*($F$22+IF($F$22=0,0,($C$14+$C$15+IF($C$13="single",1.5,3)+3)/12))</f>
        <v>0</v>
      </c>
      <c r="BF2890">
        <f>BE2890-AZ2890</f>
        <v>0</v>
      </c>
      <c r="BG2890" cm="1">
        <f t="array" ref="BG2890">IFERROR(IF(BF2890&lt;0,0,BF2890/($AU$2850-INDEX(hd_off,MATCH(BT2890,hd_mark,0),0)/12)),0)</f>
        <v>0</v>
      </c>
      <c r="BH2890">
        <f>IF(AV2890=0,0,$BG$2850*$AM$2838)</f>
        <v>0</v>
      </c>
      <c r="BI2890">
        <f>IFERROR(BH2890/$AU$2850,0)</f>
        <v>0</v>
      </c>
      <c r="BJ2890">
        <f>BH2890*($F$22+IF($F$22=0,0,($C$14+$C$15+IF($C$13="single",1.5,3)+3)/12))</f>
        <v>0</v>
      </c>
      <c r="BK2890">
        <f>BJ2890-BA2890</f>
        <v>0</v>
      </c>
      <c r="BL2890" cm="1">
        <f t="array" ref="BL2890">IFERROR(IF(BK2890&lt;0,0,BK2890/($AU$2850-INDEX(hd_off,MATCH(BT2890,hd_mark,0),0)/12)),0)</f>
        <v>0</v>
      </c>
      <c r="BM2890">
        <f>MAX($F$22,$BC$2850)/$Q$2868</f>
        <v>0.30172413793103448</v>
      </c>
      <c r="BN2890">
        <f t="shared" ref="BN2890:BN2893" si="1793">IF(BM2890=0,0,IF(BM2890&gt;2,1.25-0.125*BM2890,1))</f>
        <v>1</v>
      </c>
      <c r="BO2890" cm="1">
        <f t="array" ref="BO2890">IFERROR(INDEX(sheath_ecap_asd,MATCH(BS2890,sheath_mark,0),0)*BN2890,0)</f>
        <v>0</v>
      </c>
      <c r="BP2890" cm="1">
        <f t="array" ref="BP2890">IFERROR(INDEX(sheath_wcap_asd,MATCH(BS2890,sheath_mark,0),0)*BN2890,0)</f>
        <v>0</v>
      </c>
      <c r="BQ2890" cm="1">
        <f t="array" ref="BQ2890">IFERROR(INDEX(hd_cap,MATCH(BT2890,hd_mark,0),0),0)</f>
        <v>0</v>
      </c>
      <c r="BS2890" s="19"/>
      <c r="BT2890" s="19"/>
      <c r="BU2890" s="100"/>
    </row>
    <row r="2891" x14ac:dyDescent="0.25">
      <c r="P2891" s="93"/>
      <c r="Q2891" s="109" t="s">
        <v>491</v>
      </c>
      <c r="R2891" t="str">
        <f>$Q$2839</f>
        <v>L4</v>
      </c>
      <c r="S2891">
        <f>$E$23</f>
        <v>0</v>
      </c>
      <c r="T2891" cm="1">
        <f t="array" ref="T2891">IFERROR(IF(S2891=0,0,(INDEX($C$33:$C$38,MATCH($W$2850,$B$33:$B$38,0),0)*(S2893+$X$2850)+$T$2850*COUNTIF(S2891:S2892,"&gt;0")*$C$32+$V$2850*$C$31)*$R$2850),0)</f>
        <v>0</v>
      </c>
      <c r="U2891">
        <f>IF(S2891=0,0,-(COUNTIF(S2891:S2892,"&gt;0")*$T$2850*$C$32+$V$2850*$C$31)*$H$27*$R$2850)</f>
        <v>0</v>
      </c>
      <c r="V2891">
        <f>IF(S2891=0,0,$V$2850*$H$26*$R$2850)</f>
        <v>0</v>
      </c>
      <c r="W2891">
        <f>(0.6*T2891+0.7*U2891)*$R$2850/2</f>
        <v>0</v>
      </c>
      <c r="X2891">
        <f>T2891*$R$2850/2</f>
        <v>0</v>
      </c>
      <c r="Z2891">
        <f>IF(S2891=0,0,$AD$2850*$AP$2839)</f>
        <v>0</v>
      </c>
      <c r="AA2891">
        <f>IFERROR(Z2891/$R$2850,0)</f>
        <v>0</v>
      </c>
      <c r="AB2891">
        <f>Z2891*($F$23+IF($F$23=0,0,($C$14+$C$15+IF($C$13="single",1.5,3)+3)/12))</f>
        <v>0</v>
      </c>
      <c r="AC2891">
        <f>AB2891-W2891</f>
        <v>0</v>
      </c>
      <c r="AD2891" cm="1">
        <f t="array" ref="AD2891">IFERROR(IF(AC2891&lt;0,0,AC2891/($R$2850-INDEX(hd_off,MATCH(AQ2891,hd_mark,0),0)/12)),0)</f>
        <v>0</v>
      </c>
      <c r="AE2891">
        <f>IF(S2891=0,0,$AD$2850*$AM$2839)</f>
        <v>0</v>
      </c>
      <c r="AF2891">
        <f>IFERROR(AE2891/$R$2850,0)</f>
        <v>0</v>
      </c>
      <c r="AG2891">
        <f>AE2891*($F$23+IF($F$23=0,0,($C$14+$C$15+IF($C$13="single",1.5,3)+3)/12))</f>
        <v>0</v>
      </c>
      <c r="AH2891">
        <f>AG2891-X2891</f>
        <v>0</v>
      </c>
      <c r="AI2891" cm="1">
        <f t="array" ref="AI2891">IFERROR(IF(AH2891&lt;0,0,AH2891/($R$2850-INDEX(hd_off,MATCH(AQ2891,hd_mark,0),0)/12)),0)</f>
        <v>0</v>
      </c>
      <c r="AJ2891">
        <f>MAX($F$23,$AA$2850)/$Q$2868</f>
        <v>0</v>
      </c>
      <c r="AK2891">
        <f t="shared" si="1792"/>
        <v>0</v>
      </c>
      <c r="AL2891" cm="1">
        <f t="array" ref="AL2891">IFERROR(INDEX(sheath_ecap_asd,MATCH(AP2891,sheath_mark,0),0)*AK2891,0)</f>
        <v>0</v>
      </c>
      <c r="AM2891" cm="1">
        <f t="array" ref="AM2891">IFERROR(INDEX(sheath_wcap_asd,MATCH(AP2891,sheath_mark,0),0)*AK2891,0)</f>
        <v>0</v>
      </c>
      <c r="AN2891" cm="1">
        <f t="array" ref="AN2891">IFERROR(INDEX(hd_cap,MATCH(AQ2891,hd_mark,0),0),0)</f>
        <v>0</v>
      </c>
      <c r="AP2891" s="19"/>
      <c r="AQ2891" s="19"/>
      <c r="AR2891" s="100"/>
      <c r="AS2891" s="93"/>
      <c r="AT2891" s="109" t="s">
        <v>491</v>
      </c>
      <c r="AU2891" t="str">
        <f>$Q$2839</f>
        <v>L4</v>
      </c>
      <c r="AV2891">
        <f>$E$23</f>
        <v>0</v>
      </c>
      <c r="AW2891" cm="1">
        <f t="array" ref="AW2891">IFERROR(IF(AV2891=0,0,(INDEX($C$33:$C$38,MATCH($AZ$2850,$B$33:$B$38,0),0)*(AV2893+$BA$2850)+$AW$2850*COUNTIF(AV2891:AV2892,"&gt;0")*$C$32+$AY$2850*$C$31)*$AU$2850),0)</f>
        <v>0</v>
      </c>
      <c r="AX2891">
        <f>IF(AV2891=0,0,-(COUNTIF(AV2891:AV2892,"&gt;0")*$AW$2850*$C$32+$AY$2850*$C$31)*$H$27*$AU$2850)</f>
        <v>0</v>
      </c>
      <c r="AY2891">
        <f>IF(AV2891=0,0,$AY$2850*$H$26*$AU$2850)</f>
        <v>0</v>
      </c>
      <c r="AZ2891">
        <f>(0.6*AW2891+0.7*AX2891)*$AU$2850/2</f>
        <v>0</v>
      </c>
      <c r="BA2891">
        <f>AW2891*$AU$2850/2</f>
        <v>0</v>
      </c>
      <c r="BC2891">
        <f>IF(AV2891=0,0,$BG$2850*$AP$2839)</f>
        <v>0</v>
      </c>
      <c r="BD2891">
        <f>IFERROR(BC2891/$AU$2850,0)</f>
        <v>0</v>
      </c>
      <c r="BE2891">
        <f>BC2891*($F$23+IF($F$23=0,0,($C$14+$C$15+IF($C$13="single",1.5,3)+3)/12))</f>
        <v>0</v>
      </c>
      <c r="BF2891">
        <f>BE2891-AZ2891</f>
        <v>0</v>
      </c>
      <c r="BG2891" cm="1">
        <f t="array" ref="BG2891">IFERROR(IF(BF2891&lt;0,0,BF2891/($AU$2850-INDEX(hd_off,MATCH(BT2891,hd_mark,0),0)/12)),0)</f>
        <v>0</v>
      </c>
      <c r="BH2891">
        <f>IF(AV2891=0,0,$BG$2850*$AM$2839)</f>
        <v>0</v>
      </c>
      <c r="BI2891">
        <f>IFERROR(BH2891/$AU$2850,0)</f>
        <v>0</v>
      </c>
      <c r="BJ2891">
        <f>BH2891*($F$23+IF($F$23=0,0,($C$14+$C$15+IF($C$13="single",1.5,3)+3)/12))</f>
        <v>0</v>
      </c>
      <c r="BK2891">
        <f>BJ2891-BA2891</f>
        <v>0</v>
      </c>
      <c r="BL2891" cm="1">
        <f t="array" ref="BL2891">IFERROR(IF(BK2891&lt;0,0,BK2891/($AU$2850-INDEX(hd_off,MATCH(BT2891,hd_mark,0),0)/12)),0)</f>
        <v>0</v>
      </c>
      <c r="BM2891">
        <f>MAX($F$23,$BD$2850)/$Q$2868</f>
        <v>0</v>
      </c>
      <c r="BN2891">
        <f t="shared" si="1793"/>
        <v>0</v>
      </c>
      <c r="BO2891" cm="1">
        <f t="array" ref="BO2891">IFERROR(INDEX(sheath_ecap_asd,MATCH(BS2891,sheath_mark,0),0)*BN2891,0)</f>
        <v>0</v>
      </c>
      <c r="BP2891" cm="1">
        <f t="array" ref="BP2891">IFERROR(INDEX(sheath_wcap_asd,MATCH(BS2891,sheath_mark,0),0)*BN2891,0)</f>
        <v>0</v>
      </c>
      <c r="BQ2891" cm="1">
        <f t="array" ref="BQ2891">IFERROR(INDEX(hd_cap,MATCH(BT2891,hd_mark,0),0),0)</f>
        <v>0</v>
      </c>
      <c r="BS2891" s="19"/>
      <c r="BT2891" s="19"/>
      <c r="BU2891" s="100"/>
    </row>
    <row r="2892" x14ac:dyDescent="0.25">
      <c r="P2892" s="93"/>
      <c r="Q2892" s="111">
        <f>$R$2850</f>
        <v>0</v>
      </c>
      <c r="R2892" t="str">
        <f>$Q$2840</f>
        <v>L5</v>
      </c>
      <c r="S2892">
        <f>$E$24</f>
        <v>0</v>
      </c>
      <c r="T2892" cm="1">
        <f t="array" ref="T2892">IFERROR(IF(S2892=0,0,(INDEX($C$33:$C$38,MATCH($W$2850,$B$33:$B$38,0),0)*(S2893+$X$2850)+$T$2850*COUNTIF(S2892:S2892,"&gt;0")*$C$32+$V$2850*$C$31)*$R$2850),0)</f>
        <v>0</v>
      </c>
      <c r="U2892">
        <f>IF(S2892=0,0,-(COUNTIF(S2892:S2892,"&gt;0")*$T$2850*$C$32+$V$2850*$C$31)*$H$27*$R$2850)</f>
        <v>0</v>
      </c>
      <c r="V2892">
        <f>IF(S2892=0,0,$V$2850*$H$26*$R$2850)</f>
        <v>0</v>
      </c>
      <c r="W2892">
        <f>(0.6*T2892+0.7*U2892)*$R$2850/2</f>
        <v>0</v>
      </c>
      <c r="X2892">
        <f>T2892*$R$2850/2</f>
        <v>0</v>
      </c>
      <c r="Z2892">
        <f>IF(S2892=0,0,$AD$2850*$AP$2840)</f>
        <v>0</v>
      </c>
      <c r="AA2892">
        <f>IFERROR(Z2892/$R$2850,0)</f>
        <v>0</v>
      </c>
      <c r="AB2892">
        <f>Z2892*($F$24+IF($F$24=0,0,($C$14+$C$15+IF($C$13="single",1.5,3)+3)/12))</f>
        <v>0</v>
      </c>
      <c r="AC2892">
        <f>AB2892-W2892</f>
        <v>0</v>
      </c>
      <c r="AD2892" cm="1">
        <f t="array" ref="AD2892">IFERROR(IF(AC2892&lt;0,0,AC2892/($R$2850-INDEX(hd_off,MATCH(AQ2892,hd_mark,0),0)/12)),0)</f>
        <v>0</v>
      </c>
      <c r="AE2892">
        <f>IF(S2892=0,0,$AD$2850*$AM$2840)</f>
        <v>0</v>
      </c>
      <c r="AF2892">
        <f>IFERROR(AE2892/$R$2850,0)</f>
        <v>0</v>
      </c>
      <c r="AG2892">
        <f>AE2892*($F$24+IF($F$24=0,0,($C$14+$C$15+IF($C$13="single",1.5,3)+3)/12))</f>
        <v>0</v>
      </c>
      <c r="AH2892">
        <f>AG2892-X2892</f>
        <v>0</v>
      </c>
      <c r="AI2892" cm="1">
        <f t="array" ref="AI2892">IFERROR(IF(AH2892&lt;0,0,AH2892/($R$2850-INDEX(hd_off,MATCH(AQ2892,hd_mark,0),0)/12)),0)</f>
        <v>0</v>
      </c>
      <c r="AJ2892">
        <f>MAX($F$24,$AB$2850)/$Q$2868</f>
        <v>0</v>
      </c>
      <c r="AK2892">
        <f t="shared" si="1792"/>
        <v>0</v>
      </c>
      <c r="AL2892" cm="1">
        <f t="array" ref="AL2892">IFERROR(INDEX(sheath_ecap_asd,MATCH(AP2892,sheath_mark,0),0)*AK2892,0)</f>
        <v>0</v>
      </c>
      <c r="AM2892" cm="1">
        <f t="array" ref="AM2892">IFERROR(INDEX(sheath_wcap_asd,MATCH(AP2892,sheath_mark,0),0)*AK2892,0)</f>
        <v>0</v>
      </c>
      <c r="AN2892" cm="1">
        <f t="array" ref="AN2892">IFERROR(INDEX(hd_cap,MATCH(AQ2892,hd_mark,0),0),0)</f>
        <v>0</v>
      </c>
      <c r="AP2892" s="19"/>
      <c r="AQ2892" s="19"/>
      <c r="AR2892" s="100"/>
      <c r="AS2892" s="93"/>
      <c r="AT2892" s="111">
        <f>$R$2850</f>
        <v>0</v>
      </c>
      <c r="AU2892" t="str">
        <f>$Q$2840</f>
        <v>L5</v>
      </c>
      <c r="AV2892">
        <f>$E$24</f>
        <v>0</v>
      </c>
      <c r="AW2892" cm="1">
        <f t="array" ref="AW2892">IFERROR(IF(AV2892=0,0,(INDEX($C$33:$C$38,MATCH($AZ$2850,$B$33:$B$38,0),0)*(AV2893+$BA$2850)+$AW$2850*COUNTIF(AV2892:AV2892,"&gt;0")*$C$32+$AY$2850*$C$31)*$AU$2850),0)</f>
        <v>0</v>
      </c>
      <c r="AX2892">
        <f>IF(AV2892=0,0,-(COUNTIF(AV2892:AV2892,"&gt;0")*$AW$2850*$C$32+$AY$2850*$C$31)*$H$27*$AU$2850)</f>
        <v>0</v>
      </c>
      <c r="AY2892">
        <f>IF(AV2892=0,0,$AY$2850*$H$26*$AU$2850)</f>
        <v>0</v>
      </c>
      <c r="AZ2892">
        <f>(0.6*AW2892+0.7*AX2892)*$AU$2850/2</f>
        <v>0</v>
      </c>
      <c r="BA2892">
        <f>AW2892*$AU$2850/2</f>
        <v>0</v>
      </c>
      <c r="BC2892">
        <f>IF(AV2892=0,0,$BG$2850*$AP$2840)</f>
        <v>0</v>
      </c>
      <c r="BD2892">
        <f>IFERROR(BC2892/$AU$2850,0)</f>
        <v>0</v>
      </c>
      <c r="BE2892">
        <f>BC2892*($F$24+IF($F$24=0,0,($C$14+$C$15+IF($C$13="single",1.5,3)+3)/12))</f>
        <v>0</v>
      </c>
      <c r="BF2892">
        <f>BE2892-AZ2892</f>
        <v>0</v>
      </c>
      <c r="BG2892" cm="1">
        <f t="array" ref="BG2892">IFERROR(IF(BF2892&lt;0,0,BF2892/($AU$2850-INDEX(hd_off,MATCH(BT2892,hd_mark,0),0)/12)),0)</f>
        <v>0</v>
      </c>
      <c r="BH2892">
        <f>IF(AV2892=0,0,$BG$2850*$AM$2840)</f>
        <v>0</v>
      </c>
      <c r="BI2892">
        <f>IFERROR(BH2892/$AU$2850,0)</f>
        <v>0</v>
      </c>
      <c r="BJ2892">
        <f>BH2892*($F$24+IF($F$24=0,0,($C$14+$C$15+IF($C$13="single",1.5,3)+3)/12))</f>
        <v>0</v>
      </c>
      <c r="BK2892">
        <f>BJ2892-BA2892</f>
        <v>0</v>
      </c>
      <c r="BL2892" cm="1">
        <f t="array" ref="BL2892">IFERROR(IF(BK2892&lt;0,0,BK2892/($AU$2850-INDEX(hd_off,MATCH(BT2892,hd_mark,0),0)/12)),0)</f>
        <v>0</v>
      </c>
      <c r="BM2892">
        <f>MAX($F$24,$BE$2850)/$Q$2868</f>
        <v>0</v>
      </c>
      <c r="BN2892">
        <f t="shared" si="1793"/>
        <v>0</v>
      </c>
      <c r="BO2892" cm="1">
        <f t="array" ref="BO2892">IFERROR(INDEX(sheath_ecap_asd,MATCH(BS2892,sheath_mark,0),0)*BN2892,0)</f>
        <v>0</v>
      </c>
      <c r="BP2892" cm="1">
        <f t="array" ref="BP2892">IFERROR(INDEX(sheath_wcap_asd,MATCH(BS2892,sheath_mark,0),0)*BN2892,0)</f>
        <v>0</v>
      </c>
      <c r="BQ2892" cm="1">
        <f t="array" ref="BQ2892">IFERROR(INDEX(hd_cap,MATCH(BT2892,hd_mark,0),0),0)</f>
        <v>0</v>
      </c>
      <c r="BS2892" s="19"/>
      <c r="BT2892" s="19"/>
      <c r="BU2892" s="100"/>
    </row>
    <row r="2893" x14ac:dyDescent="0.25">
      <c r="P2893" s="93"/>
      <c r="Q2893" s="109"/>
      <c r="R2893" t="str">
        <f>$Q$2841</f>
        <v>Roof</v>
      </c>
      <c r="S2893">
        <f>$E$25</f>
        <v>33.171875</v>
      </c>
      <c r="T2893" cm="1">
        <f t="array" ref="T2893">IFERROR(IF(S2893=0,0,(INDEX($C$33:$C$38,MATCH($W$2850,$B$33:$B$38,0),0)*(S2893+$X$2850)+$V$2850*$C$31)*$R$2850),0)</f>
        <v>0</v>
      </c>
      <c r="U2893">
        <f>IF(S2893=0,0,-$V$2850*$C$31*$H$27*$R$2850)</f>
        <v>0</v>
      </c>
      <c r="V2893">
        <f>IF(S2893=0,0,$V$2850*$H$26*$R$2850)</f>
        <v>0</v>
      </c>
      <c r="W2893">
        <f>(0.6*T2893+0.7*U2893)*$R$2850/2</f>
        <v>0</v>
      </c>
      <c r="X2893">
        <f>T2893*$R$2850/2</f>
        <v>0</v>
      </c>
      <c r="Z2893">
        <f>IF(S2893=0,0,$AD$2850*$AP$2841)</f>
        <v>0</v>
      </c>
      <c r="AA2893">
        <f>IFERROR(Z2893/$R$2850,0)</f>
        <v>0</v>
      </c>
      <c r="AB2893">
        <f>Z2893*($F$25+($C$16+$C$17+IF($C$13="single",1.5,3)+3)/12)</f>
        <v>0</v>
      </c>
      <c r="AC2893">
        <f>AB2893-W2893</f>
        <v>0</v>
      </c>
      <c r="AD2893" cm="1">
        <f t="array" ref="AD2893">IFERROR(IF(AC2893&lt;0,0,AC2893/($R$2850-INDEX(hd_off,MATCH(AQ2893,hd_mark,0),0)/12)),0)</f>
        <v>0</v>
      </c>
      <c r="AE2893">
        <f>IF(S2893=0,0,$AD$2850*$AM$2841)</f>
        <v>0</v>
      </c>
      <c r="AF2893">
        <f>IFERROR(AE2893/$R$2850,0)</f>
        <v>0</v>
      </c>
      <c r="AG2893">
        <f>AE2893*($F$25+($C$16+$C$17+IF($C$13="single",1.5,3)+3)/12)</f>
        <v>0</v>
      </c>
      <c r="AH2893">
        <f>AG2893-X2893</f>
        <v>0</v>
      </c>
      <c r="AI2893" cm="1">
        <f t="array" ref="AI2893">IFERROR(IF(AH2893&lt;0,0,AH2893/($R$2850-INDEX(hd_off,MATCH(AQ2893,hd_mark,0),0)/12)),0)</f>
        <v>0</v>
      </c>
      <c r="AJ2893">
        <f>MAX($F$25,$AC$2850)/$Q$2868</f>
        <v>0.29920977011494249</v>
      </c>
      <c r="AK2893">
        <f t="shared" si="1792"/>
        <v>1</v>
      </c>
      <c r="AL2893" cm="1">
        <f t="array" ref="AL2893">IFERROR(INDEX(sheath_ecap_asd,MATCH(AP2893,sheath_mark,0),0)*AK2893,0)</f>
        <v>0</v>
      </c>
      <c r="AM2893" cm="1">
        <f t="array" ref="AM2893">IFERROR(INDEX(sheath_wcap_asd,MATCH(AP2893,sheath_mark,0),0)*AK2893,0)</f>
        <v>0</v>
      </c>
      <c r="AN2893" cm="1">
        <f t="array" ref="AN2893">IFERROR(INDEX(hd_cap,MATCH(AQ2893,hd_mark,0),0),0)</f>
        <v>0</v>
      </c>
      <c r="AP2893" s="19"/>
      <c r="AQ2893" s="19"/>
      <c r="AR2893" s="100"/>
      <c r="AS2893" s="93"/>
      <c r="AT2893" s="109"/>
      <c r="AU2893" t="str">
        <f>$Q$2841</f>
        <v>Roof</v>
      </c>
      <c r="AV2893">
        <f>$E$25</f>
        <v>33.171875</v>
      </c>
      <c r="AW2893" cm="1">
        <f t="array" ref="AW2893">IFERROR(IF(AV2893=0,0,(INDEX($C$33:$C$38,MATCH($AZ$2850,$B$33:$B$38,0),0)*(AV2893+$BA$2850)+$AY$2850*$C$31)*$AU$2850),0)</f>
        <v>0</v>
      </c>
      <c r="AX2893">
        <f>IF(AV2893=0,0,-$AY$2850*$C$31*$H$27*$AU$2850)</f>
        <v>0</v>
      </c>
      <c r="AY2893">
        <f>IF(AV2893=0,0,$AY$2850*$H$26*$AU$2850)</f>
        <v>0</v>
      </c>
      <c r="AZ2893">
        <f>(0.6*AW2893+0.7*AX2893)*$AU$2850/2</f>
        <v>0</v>
      </c>
      <c r="BA2893">
        <f>AW2893*$AU$2850/2</f>
        <v>0</v>
      </c>
      <c r="BC2893">
        <f>IF(AV2893=0,0,$BG$2850*$AP$2841)</f>
        <v>0</v>
      </c>
      <c r="BD2893">
        <f>IFERROR(BC2893/$AU$2850,0)</f>
        <v>0</v>
      </c>
      <c r="BE2893">
        <f>BC2893*($F$25+($C$16+$C$17+IF($C$13="single",1.5,3)+3)/12)</f>
        <v>0</v>
      </c>
      <c r="BF2893">
        <f>BE2893-AZ2893</f>
        <v>0</v>
      </c>
      <c r="BG2893" cm="1">
        <f t="array" ref="BG2893">IFERROR(IF(BF2893&lt;0,0,BF2893/($AU$2850-INDEX(hd_off,MATCH(BT2893,hd_mark,0),0)/12)),0)</f>
        <v>0</v>
      </c>
      <c r="BH2893">
        <f>IF(AV2893=0,0,$BG$2850*$AM$2841)</f>
        <v>0</v>
      </c>
      <c r="BI2893">
        <f>IFERROR(BH2893/$AU$2850,0)</f>
        <v>0</v>
      </c>
      <c r="BJ2893">
        <f>BH2893*($F$25+($C$16+$C$17+IF($C$13="single",1.5,3)+3)/12)</f>
        <v>0</v>
      </c>
      <c r="BK2893">
        <f>BJ2893-BA2893</f>
        <v>0</v>
      </c>
      <c r="BL2893" cm="1">
        <f t="array" ref="BL2893">IFERROR(IF(BK2893&lt;0,0,BK2893/($AU$2850-INDEX(hd_off,MATCH(BT2893,hd_mark,0),0)/12)),0)</f>
        <v>0</v>
      </c>
      <c r="BM2893">
        <f>MAX($F$25,$BF$2850)/$Q$2868</f>
        <v>0.29920977011494249</v>
      </c>
      <c r="BN2893">
        <f t="shared" si="1793"/>
        <v>1</v>
      </c>
      <c r="BO2893" cm="1">
        <f t="array" ref="BO2893">IFERROR(INDEX(sheath_ecap_asd,MATCH(BS2893,sheath_mark,0),0)*BN2893,0)</f>
        <v>0</v>
      </c>
      <c r="BP2893" cm="1">
        <f t="array" ref="BP2893">IFERROR(INDEX(sheath_wcap_asd,MATCH(BS2893,sheath_mark,0),0)*BN2893,0)</f>
        <v>0</v>
      </c>
      <c r="BQ2893" cm="1">
        <f t="array" ref="BQ2893">IFERROR(INDEX(hd_cap,MATCH(BT2893,hd_mark,0),0),0)</f>
        <v>0</v>
      </c>
      <c r="BS2893" s="19"/>
      <c r="BT2893" s="19"/>
      <c r="BU2893" s="100"/>
    </row>
    <row r="2894" x14ac:dyDescent="0.25">
      <c r="P2894" s="93"/>
      <c r="AR2894" s="100"/>
      <c r="AS2894" s="93"/>
      <c r="BU2894" s="100"/>
    </row>
    <row r="2895" x14ac:dyDescent="0.25">
      <c r="P2895" s="93"/>
      <c r="Q2895" s="110" t="str">
        <f>$Q$2851</f>
        <v>A.06</v>
      </c>
      <c r="R2895" t="str">
        <f>$Q$2837</f>
        <v>L2</v>
      </c>
      <c r="S2895">
        <f>$E$21</f>
        <v>10.6875</v>
      </c>
      <c r="T2895" cm="1">
        <f t="array" ref="T2895">IFERROR(IF(S2895=0,0,(INDEX($C$33:$C$38,MATCH($W$2851,$B$33:$B$38,0),0)*(S2899+$X$2851)+$T$2851*COUNTIF(S2895:S2898,"&gt;0")*$C$32+$V$2851*$C$31)*$R$2851),0)</f>
        <v>0</v>
      </c>
      <c r="U2895">
        <f>IF(S2895=0,0,-(COUNTIF(S2895:S2898,"&gt;0")*$T$2851*$C$32+$V$2851*$C$31)*$H$27*$R$2851)</f>
        <v>0</v>
      </c>
      <c r="V2895">
        <f>IF(S2895=0,0,$V$2851*$H$26*$R$2851)</f>
        <v>0</v>
      </c>
      <c r="W2895">
        <f>(0.6*T2895+0.7*U2895)*$R$2851/2</f>
        <v>0</v>
      </c>
      <c r="X2895">
        <f>(0.6*T2895+0.6*V2895)*$R$2851/2</f>
        <v>0</v>
      </c>
      <c r="Z2895">
        <f>IF(S2895=0,0,$AD$2851*$AP$2837)</f>
        <v>0</v>
      </c>
      <c r="AA2895">
        <f>IFERROR(Z2895/$R$2851,0)</f>
        <v>0</v>
      </c>
      <c r="AB2895">
        <f>Z2895*($F$21+IF($F$21=0,0,($C$14+$C$15+IF($C$13="single",1.5,3)+3)/12))</f>
        <v>0</v>
      </c>
      <c r="AC2895">
        <f>AB2895-W2895</f>
        <v>0</v>
      </c>
      <c r="AD2895" cm="1">
        <f t="array" ref="AD2895">IFERROR(IF(AC2895&lt;0,0,AC2895/($R$2851-INDEX(hd_off,MATCH(AQ2895,hd_mark,0),0)/12)),0)</f>
        <v>0</v>
      </c>
      <c r="AE2895">
        <f>IF(S2895=0,0,$AD$2851*$AM$2837)</f>
        <v>0</v>
      </c>
      <c r="AF2895">
        <f>IFERROR(AE2895/$R$2851,0)</f>
        <v>0</v>
      </c>
      <c r="AG2895">
        <f>AE2895*($F$21+IF($F$21=0,0,($C$14+$C$15+IF($C$13="single",1.5,3)+3)/12))</f>
        <v>0</v>
      </c>
      <c r="AH2895">
        <f>AG2895-X2895</f>
        <v>0</v>
      </c>
      <c r="AI2895" cm="1">
        <f t="array" ref="AI2895">IFERROR(IF(AH2895&lt;0,0,AH2895/($R$2851-INDEX(hd_off,MATCH(AQ2895,hd_mark,0),0)/12)),0)</f>
        <v>0</v>
      </c>
      <c r="AJ2895">
        <f>MAX($F$21,$Y$2851)/$Q$2868</f>
        <v>0.30172413793103448</v>
      </c>
      <c r="AK2895">
        <f>IF(AJ2895=0,0,IF(AJ2895&gt;2,1.25-0.125*AJ2895,1))</f>
        <v>1</v>
      </c>
      <c r="AL2895" cm="1">
        <f t="array" ref="AL2895">IFERROR(INDEX(sheath_ecap_asd,MATCH(AP2895,sheath_mark,0),0)*AK2895,0)</f>
        <v>0</v>
      </c>
      <c r="AM2895" cm="1">
        <f t="array" ref="AM2895">IFERROR(INDEX(sheath_wcap_asd,MATCH(AP2895,sheath_mark,0),0)*AK2895,0)</f>
        <v>0</v>
      </c>
      <c r="AN2895" cm="1">
        <f t="array" ref="AN2895">IFERROR(INDEX(hd_cap,MATCH(AQ2895,hd_mark,0),0),0)</f>
        <v>0</v>
      </c>
      <c r="AP2895" s="19"/>
      <c r="AQ2895" s="19"/>
      <c r="AR2895" s="100"/>
      <c r="AS2895" s="93"/>
      <c r="AT2895" s="110" t="str">
        <f>$AT$2851</f>
        <v>1.06</v>
      </c>
      <c r="AU2895" t="str">
        <f>$Q$2837</f>
        <v>L2</v>
      </c>
      <c r="AV2895">
        <f>$E$21</f>
        <v>10.6875</v>
      </c>
      <c r="AW2895" cm="1">
        <f t="array" ref="AW2895">IFERROR(IF(AV2895=0,0,(INDEX($C$33:$C$38,MATCH($AZ$2851,$B$33:$B$38,0),0)*(AV2899+$BA$2851)+$AW$2851*COUNTIF(AV2895:AV2898,"&gt;0")*$C$32+$AY$2851*$C$31)*$AU$2851),0)</f>
        <v>0</v>
      </c>
      <c r="AX2895">
        <f>IF(AV2895=0,0,-(COUNTIF(AV2895:AV2898,"&gt;0")*$AW$2851*$C$32+$AY$2851*$C$31)*$H$27*$AU$2851)</f>
        <v>0</v>
      </c>
      <c r="AY2895">
        <f>IF(AV2895=0,0,$AY$2851*$H$26*$AU$2851)</f>
        <v>0</v>
      </c>
      <c r="AZ2895">
        <f>(0.6*AW2895+0.7*AX2895)*$AU$2851/2</f>
        <v>0</v>
      </c>
      <c r="BA2895">
        <f>(0.6*AW2895+0.6*AY2895)*$AU$2851/2</f>
        <v>0</v>
      </c>
      <c r="BC2895">
        <f>IF(AV2895=0,0,$BG$2851*$AP$2837)</f>
        <v>0</v>
      </c>
      <c r="BD2895">
        <f>IFERROR(BC2895/$AU$2851,0)</f>
        <v>0</v>
      </c>
      <c r="BE2895">
        <f>BC2895*($F$21+IF($F$21=0,0,($C$14+$C$15+IF($C$13="single",1.5,3)+3)/12))</f>
        <v>0</v>
      </c>
      <c r="BF2895">
        <f>BE2895-AZ2895</f>
        <v>0</v>
      </c>
      <c r="BG2895" cm="1">
        <f t="array" ref="BG2895">IFERROR(IF(BF2895&lt;0,0,BF2895/($AU$2851-INDEX(hd_off,MATCH(BT2895,hd_mark,0),0)/12)),0)</f>
        <v>0</v>
      </c>
      <c r="BH2895">
        <f>IF(AV2895=0,0,$BG$2851*$AM$2837)</f>
        <v>0</v>
      </c>
      <c r="BI2895">
        <f>IFERROR(BH2895/$AU$2851,0)</f>
        <v>0</v>
      </c>
      <c r="BJ2895">
        <f>BH2895*($F$21+IF($F$21=0,0,($C$14+$C$15+IF($C$13="single",1.5,3)+3)/12))</f>
        <v>0</v>
      </c>
      <c r="BK2895">
        <f>BJ2895-BA2895</f>
        <v>0</v>
      </c>
      <c r="BL2895" cm="1">
        <f t="array" ref="BL2895">IFERROR(IF(BK2895&lt;0,0,BK2895/($AU$2851-INDEX(hd_off,MATCH(BT2895,hd_mark,0),0)/12)),0)</f>
        <v>0</v>
      </c>
      <c r="BM2895">
        <f>MAX($F$21,$BB$2851)/$Q$2868</f>
        <v>0.30172413793103448</v>
      </c>
      <c r="BN2895">
        <f>IF(BM2895=0,0,IF(BM2895&gt;2,1.25-0.125*BM2895,1))</f>
        <v>1</v>
      </c>
      <c r="BO2895" cm="1">
        <f t="array" ref="BO2895">IFERROR(INDEX(sheath_ecap_asd,MATCH(BS2895,sheath_mark,0),0)*BN2895,0)</f>
        <v>0</v>
      </c>
      <c r="BP2895" cm="1">
        <f t="array" ref="BP2895">IFERROR(INDEX(sheath_wcap_asd,MATCH(BS2895,sheath_mark,0),0)*BN2895,0)</f>
        <v>0</v>
      </c>
      <c r="BQ2895" cm="1">
        <f t="array" ref="BQ2895">IFERROR(INDEX(hd_cap,MATCH(BT2895,hd_mark,0),0),0)</f>
        <v>0</v>
      </c>
      <c r="BS2895" s="19"/>
      <c r="BT2895" s="19"/>
      <c r="BU2895" s="100"/>
    </row>
    <row r="2896" x14ac:dyDescent="0.25">
      <c r="P2896" s="93"/>
      <c r="Q2896" s="109"/>
      <c r="R2896" t="str">
        <f>$Q$2838</f>
        <v>L3</v>
      </c>
      <c r="S2896">
        <f>$E$22</f>
        <v>21.375</v>
      </c>
      <c r="T2896" cm="1">
        <f t="array" ref="T2896">IFERROR(IF(S2896=0,0,(INDEX($C$33:$C$38,MATCH($W$2851,$B$33:$B$38,0),0)*(S2899+$X$2851)+$T$2851*COUNTIF(S2896:S2898,"&gt;0")*$C$32+$V$2851*$C$31)*$R$2851),0)</f>
        <v>0</v>
      </c>
      <c r="U2896">
        <f>IF(S2896=0,0,-(COUNTIF(S2896:S2898,"&gt;0")*$T$2851*$C$32+$V$2851*$C$31)*$H$27*$R$2851)</f>
        <v>0</v>
      </c>
      <c r="V2896">
        <f>IF(S2896=0,0,$V$2851*$H$26*$R$2851)</f>
        <v>0</v>
      </c>
      <c r="W2896">
        <f>(0.6*T2896+0.7*U2896)*$R$2851/2</f>
        <v>0</v>
      </c>
      <c r="X2896">
        <f>T2896*$R$2851/2</f>
        <v>0</v>
      </c>
      <c r="Z2896">
        <f>IF(S2896=0,0,$AD$2851*$AP$2838)</f>
        <v>0</v>
      </c>
      <c r="AA2896">
        <f>IFERROR(Z2896/$R$2851,0)</f>
        <v>0</v>
      </c>
      <c r="AB2896">
        <f>Z2896*($F$22+IF($F$22=0,0,($C$14+$C$15+IF($C$13="single",1.5,3)+3)/12))</f>
        <v>0</v>
      </c>
      <c r="AC2896">
        <f>AB2896-W2896</f>
        <v>0</v>
      </c>
      <c r="AD2896" cm="1">
        <f t="array" ref="AD2896">IFERROR(IF(AC2896&lt;0,0,AC2896/($R$2851-INDEX(hd_off,MATCH(AQ2896,hd_mark,0),0)/12)),0)</f>
        <v>0</v>
      </c>
      <c r="AE2896">
        <f>IF(S2896=0,0,$AD$2851*$AM$2838)</f>
        <v>0</v>
      </c>
      <c r="AF2896">
        <f>IFERROR(AE2896/$R$2851,0)</f>
        <v>0</v>
      </c>
      <c r="AG2896">
        <f>AE2896*($F$22+IF($F$22=0,0,($C$14+$C$15+IF($C$13="single",1.5,3)+3)/12))</f>
        <v>0</v>
      </c>
      <c r="AH2896">
        <f>AG2896-X2896</f>
        <v>0</v>
      </c>
      <c r="AI2896" cm="1">
        <f t="array" ref="AI2896">IFERROR(IF(AH2896&lt;0,0,AH2896/($R$2851-INDEX(hd_off,MATCH(AQ2896,hd_mark,0),0)/12)),0)</f>
        <v>0</v>
      </c>
      <c r="AJ2896">
        <f>MAX($F$22,$Z$2851)/$Q$2868</f>
        <v>0.30172413793103448</v>
      </c>
      <c r="AK2896">
        <f t="shared" ref="AK2896:AK2899" si="1794">IF(AJ2896=0,0,IF(AJ2896&gt;2,1.25-0.125*AJ2896,1))</f>
        <v>1</v>
      </c>
      <c r="AL2896" cm="1">
        <f t="array" ref="AL2896">IFERROR(INDEX(sheath_ecap_asd,MATCH(AP2896,sheath_mark,0),0)*AK2896,0)</f>
        <v>0</v>
      </c>
      <c r="AM2896" cm="1">
        <f t="array" ref="AM2896">IFERROR(INDEX(sheath_wcap_asd,MATCH(AP2896,sheath_mark,0),0)*AK2896,0)</f>
        <v>0</v>
      </c>
      <c r="AN2896" cm="1">
        <f t="array" ref="AN2896">IFERROR(INDEX(hd_cap,MATCH(AQ2896,hd_mark,0),0),0)</f>
        <v>0</v>
      </c>
      <c r="AP2896" s="19"/>
      <c r="AQ2896" s="19"/>
      <c r="AR2896" s="100"/>
      <c r="AS2896" s="93"/>
      <c r="AT2896" s="109"/>
      <c r="AU2896" t="str">
        <f>$Q$2838</f>
        <v>L3</v>
      </c>
      <c r="AV2896">
        <f>$E$22</f>
        <v>21.375</v>
      </c>
      <c r="AW2896" cm="1">
        <f t="array" ref="AW2896">IFERROR(IF(AV2896=0,0,(INDEX($C$33:$C$38,MATCH($AZ$2851,$B$33:$B$38,0),0)*(AV2899+$BA$2851)+$AW$2851*COUNTIF(AV2896:AV2898,"&gt;0")*$C$32+$AY$2851*$C$31)*$AU$2851),0)</f>
        <v>0</v>
      </c>
      <c r="AX2896">
        <f>IF(AV2896=0,0,-(COUNTIF(AV2896:AV2898,"&gt;0")*$AW$2851*$C$32+$AY$2851*$C$31)*$H$27*$AU$2851)</f>
        <v>0</v>
      </c>
      <c r="AY2896">
        <f>IF(AV2896=0,0,$AY$2851*$H$26*$AU$2851)</f>
        <v>0</v>
      </c>
      <c r="AZ2896">
        <f>(0.6*AW2896+0.7*AX2896)*$AU$2851/2</f>
        <v>0</v>
      </c>
      <c r="BA2896">
        <f>AW2896*$AU$2851/2</f>
        <v>0</v>
      </c>
      <c r="BC2896">
        <f>IF(AV2896=0,0,$BG$2851*$AP$2838)</f>
        <v>0</v>
      </c>
      <c r="BD2896">
        <f>IFERROR(BC2896/$AU$2851,0)</f>
        <v>0</v>
      </c>
      <c r="BE2896">
        <f>BC2896*($F$22+IF($F$22=0,0,($C$14+$C$15+IF($C$13="single",1.5,3)+3)/12))</f>
        <v>0</v>
      </c>
      <c r="BF2896">
        <f>BE2896-AZ2896</f>
        <v>0</v>
      </c>
      <c r="BG2896" cm="1">
        <f t="array" ref="BG2896">IFERROR(IF(BF2896&lt;0,0,BF2896/($AU$2851-INDEX(hd_off,MATCH(BT2896,hd_mark,0),0)/12)),0)</f>
        <v>0</v>
      </c>
      <c r="BH2896">
        <f>IF(AV2896=0,0,$BG$2851*$AM$2838)</f>
        <v>0</v>
      </c>
      <c r="BI2896">
        <f>IFERROR(BH2896/$AU$2851,0)</f>
        <v>0</v>
      </c>
      <c r="BJ2896">
        <f>BH2896*($F$22+IF($F$22=0,0,($C$14+$C$15+IF($C$13="single",1.5,3)+3)/12))</f>
        <v>0</v>
      </c>
      <c r="BK2896">
        <f>BJ2896-BA2896</f>
        <v>0</v>
      </c>
      <c r="BL2896" cm="1">
        <f t="array" ref="BL2896">IFERROR(IF(BK2896&lt;0,0,BK2896/($AU$2851-INDEX(hd_off,MATCH(BT2896,hd_mark,0),0)/12)),0)</f>
        <v>0</v>
      </c>
      <c r="BM2896">
        <f>MAX($F$22,$BC$2851)/$Q$2868</f>
        <v>0.30172413793103448</v>
      </c>
      <c r="BN2896">
        <f t="shared" ref="BN2896:BN2899" si="1795">IF(BM2896=0,0,IF(BM2896&gt;2,1.25-0.125*BM2896,1))</f>
        <v>1</v>
      </c>
      <c r="BO2896" cm="1">
        <f t="array" ref="BO2896">IFERROR(INDEX(sheath_ecap_asd,MATCH(BS2896,sheath_mark,0),0)*BN2896,0)</f>
        <v>0</v>
      </c>
      <c r="BP2896" cm="1">
        <f t="array" ref="BP2896">IFERROR(INDEX(sheath_wcap_asd,MATCH(BS2896,sheath_mark,0),0)*BN2896,0)</f>
        <v>0</v>
      </c>
      <c r="BQ2896" cm="1">
        <f t="array" ref="BQ2896">IFERROR(INDEX(hd_cap,MATCH(BT2896,hd_mark,0),0),0)</f>
        <v>0</v>
      </c>
      <c r="BS2896" s="19"/>
      <c r="BT2896" s="19"/>
      <c r="BU2896" s="100"/>
    </row>
    <row r="2897" x14ac:dyDescent="0.25">
      <c r="P2897" s="93"/>
      <c r="Q2897" s="109" t="s">
        <v>491</v>
      </c>
      <c r="R2897" t="str">
        <f>$Q$2839</f>
        <v>L4</v>
      </c>
      <c r="S2897">
        <f>$E$23</f>
        <v>0</v>
      </c>
      <c r="T2897" cm="1">
        <f t="array" ref="T2897">IFERROR(IF(S2897=0,0,(INDEX($C$33:$C$38,MATCH($W$2851,$B$33:$B$38,0),0)*(S2899+$X$2851)+$T$2851*COUNTIF(S2897:S2898,"&gt;0")*$C$32+$V$2851*$C$31)*$R$2851),0)</f>
        <v>0</v>
      </c>
      <c r="U2897">
        <f>IF(S2897=0,0,-(COUNTIF(S2897:S2898,"&gt;0")*$T$2851*$C$32+$V$2851*$C$31)*$H$27*$R$2851)</f>
        <v>0</v>
      </c>
      <c r="V2897">
        <f>IF(S2897=0,0,$V$2851*$H$26*$R$2851)</f>
        <v>0</v>
      </c>
      <c r="W2897">
        <f>(0.6*T2897+0.7*U2897)*$R$2851/2</f>
        <v>0</v>
      </c>
      <c r="X2897">
        <f>T2897*$R$2851/2</f>
        <v>0</v>
      </c>
      <c r="Z2897">
        <f>IF(S2897=0,0,$AD$2851*$AP$2839)</f>
        <v>0</v>
      </c>
      <c r="AA2897">
        <f>IFERROR(Z2897/$R$2851,0)</f>
        <v>0</v>
      </c>
      <c r="AB2897">
        <f>Z2897*($F$23+IF($F$23=0,0,($C$14+$C$15+IF($C$13="single",1.5,3)+3)/12))</f>
        <v>0</v>
      </c>
      <c r="AC2897">
        <f>AB2897-W2897</f>
        <v>0</v>
      </c>
      <c r="AD2897" cm="1">
        <f t="array" ref="AD2897">IFERROR(IF(AC2897&lt;0,0,AC2897/($R$2851-INDEX(hd_off,MATCH(AQ2897,hd_mark,0),0)/12)),0)</f>
        <v>0</v>
      </c>
      <c r="AE2897">
        <f>IF(S2897=0,0,$AD$2851*$AM$2839)</f>
        <v>0</v>
      </c>
      <c r="AF2897">
        <f>IFERROR(AE2897/$R$2851,0)</f>
        <v>0</v>
      </c>
      <c r="AG2897">
        <f>AE2897*($F$23+IF($F$23=0,0,($C$14+$C$15+IF($C$13="single",1.5,3)+3)/12))</f>
        <v>0</v>
      </c>
      <c r="AH2897">
        <f>AG2897-X2897</f>
        <v>0</v>
      </c>
      <c r="AI2897" cm="1">
        <f t="array" ref="AI2897">IFERROR(IF(AH2897&lt;0,0,AH2897/($R$2851-INDEX(hd_off,MATCH(AQ2897,hd_mark,0),0)/12)),0)</f>
        <v>0</v>
      </c>
      <c r="AJ2897">
        <f>MAX($F$23,$AA$2851)/$Q$2868</f>
        <v>0</v>
      </c>
      <c r="AK2897">
        <f t="shared" si="1794"/>
        <v>0</v>
      </c>
      <c r="AL2897" cm="1">
        <f t="array" ref="AL2897">IFERROR(INDEX(sheath_ecap_asd,MATCH(AP2897,sheath_mark,0),0)*AK2897,0)</f>
        <v>0</v>
      </c>
      <c r="AM2897" cm="1">
        <f t="array" ref="AM2897">IFERROR(INDEX(sheath_wcap_asd,MATCH(AP2897,sheath_mark,0),0)*AK2897,0)</f>
        <v>0</v>
      </c>
      <c r="AN2897" cm="1">
        <f t="array" ref="AN2897">IFERROR(INDEX(hd_cap,MATCH(AQ2897,hd_mark,0),0),0)</f>
        <v>0</v>
      </c>
      <c r="AP2897" s="19"/>
      <c r="AQ2897" s="19"/>
      <c r="AR2897" s="100"/>
      <c r="AS2897" s="93"/>
      <c r="AT2897" s="109" t="s">
        <v>491</v>
      </c>
      <c r="AU2897" t="str">
        <f>$Q$2839</f>
        <v>L4</v>
      </c>
      <c r="AV2897">
        <f>$E$23</f>
        <v>0</v>
      </c>
      <c r="AW2897" cm="1">
        <f t="array" ref="AW2897">IFERROR(IF(AV2897=0,0,(INDEX($C$33:$C$38,MATCH($AZ$2851,$B$33:$B$38,0),0)*(AV2899+$BA$2851)+$AW$2851*COUNTIF(AV2897:AV2898,"&gt;0")*$C$32+$AY$2851*$C$31)*$AU$2851),0)</f>
        <v>0</v>
      </c>
      <c r="AX2897">
        <f>IF(AV2897=0,0,-(COUNTIF(AV2897:AV2898,"&gt;0")*$AW$2851*$C$32+$AY$2851*$C$31)*$H$27*$AU$2851)</f>
        <v>0</v>
      </c>
      <c r="AY2897">
        <f>IF(AV2897=0,0,$AY$2851*$H$26*$AU$2851)</f>
        <v>0</v>
      </c>
      <c r="AZ2897">
        <f>(0.6*AW2897+0.7*AX2897)*$AU$2851/2</f>
        <v>0</v>
      </c>
      <c r="BA2897">
        <f>AW2897*$AU$2851/2</f>
        <v>0</v>
      </c>
      <c r="BC2897">
        <f>IF(AV2897=0,0,$BG$2851*$AP$2839)</f>
        <v>0</v>
      </c>
      <c r="BD2897">
        <f>IFERROR(BC2897/$AU$2851,0)</f>
        <v>0</v>
      </c>
      <c r="BE2897">
        <f>BC2897*($F$23+IF($F$23=0,0,($C$14+$C$15+IF($C$13="single",1.5,3)+3)/12))</f>
        <v>0</v>
      </c>
      <c r="BF2897">
        <f>BE2897-AZ2897</f>
        <v>0</v>
      </c>
      <c r="BG2897" cm="1">
        <f t="array" ref="BG2897">IFERROR(IF(BF2897&lt;0,0,BF2897/($AU$2851-INDEX(hd_off,MATCH(BT2897,hd_mark,0),0)/12)),0)</f>
        <v>0</v>
      </c>
      <c r="BH2897">
        <f>IF(AV2897=0,0,$BG$2851*$AM$2839)</f>
        <v>0</v>
      </c>
      <c r="BI2897">
        <f>IFERROR(BH2897/$AU$2851,0)</f>
        <v>0</v>
      </c>
      <c r="BJ2897">
        <f>BH2897*($F$23+IF($F$23=0,0,($C$14+$C$15+IF($C$13="single",1.5,3)+3)/12))</f>
        <v>0</v>
      </c>
      <c r="BK2897">
        <f>BJ2897-BA2897</f>
        <v>0</v>
      </c>
      <c r="BL2897" cm="1">
        <f t="array" ref="BL2897">IFERROR(IF(BK2897&lt;0,0,BK2897/($AU$2851-INDEX(hd_off,MATCH(BT2897,hd_mark,0),0)/12)),0)</f>
        <v>0</v>
      </c>
      <c r="BM2897">
        <f>MAX($F$23,$BD$2851)/$Q$2868</f>
        <v>0</v>
      </c>
      <c r="BN2897">
        <f t="shared" si="1795"/>
        <v>0</v>
      </c>
      <c r="BO2897" cm="1">
        <f t="array" ref="BO2897">IFERROR(INDEX(sheath_ecap_asd,MATCH(BS2897,sheath_mark,0),0)*BN2897,0)</f>
        <v>0</v>
      </c>
      <c r="BP2897" cm="1">
        <f t="array" ref="BP2897">IFERROR(INDEX(sheath_wcap_asd,MATCH(BS2897,sheath_mark,0),0)*BN2897,0)</f>
        <v>0</v>
      </c>
      <c r="BQ2897" cm="1">
        <f t="array" ref="BQ2897">IFERROR(INDEX(hd_cap,MATCH(BT2897,hd_mark,0),0),0)</f>
        <v>0</v>
      </c>
      <c r="BS2897" s="19"/>
      <c r="BT2897" s="19"/>
      <c r="BU2897" s="100"/>
    </row>
    <row r="2898" x14ac:dyDescent="0.25">
      <c r="P2898" s="93"/>
      <c r="Q2898" s="111">
        <f>$R$2851</f>
        <v>0</v>
      </c>
      <c r="R2898" t="str">
        <f>$Q$2840</f>
        <v>L5</v>
      </c>
      <c r="S2898">
        <f>$E$24</f>
        <v>0</v>
      </c>
      <c r="T2898" cm="1">
        <f t="array" ref="T2898">IFERROR(IF(S2898=0,0,(INDEX($C$33:$C$38,MATCH($W$2851,$B$33:$B$38,0),0)*(S2899+$X$2851)+$T$2851*COUNTIF(S2898:S2898,"&gt;0")*$C$32+$V$2851*$C$31)*$R$2851),0)</f>
        <v>0</v>
      </c>
      <c r="U2898">
        <f>IF(S2898=0,0,-(COUNTIF(S2898:S2898,"&gt;0")*$T$2851*$C$32+$V$2851*$C$31)*$H$27*$R$2851)</f>
        <v>0</v>
      </c>
      <c r="V2898">
        <f>IF(S2898=0,0,$V$2851*$H$26*$R$2851)</f>
        <v>0</v>
      </c>
      <c r="W2898">
        <f>(0.6*T2898+0.7*U2898)*$R$2851/2</f>
        <v>0</v>
      </c>
      <c r="X2898">
        <f>T2898*$R$2851/2</f>
        <v>0</v>
      </c>
      <c r="Z2898">
        <f>IF(S2898=0,0,$AD$2851*$AP$2840)</f>
        <v>0</v>
      </c>
      <c r="AA2898">
        <f>IFERROR(Z2898/$R$2851,0)</f>
        <v>0</v>
      </c>
      <c r="AB2898">
        <f>Z2898*($F$24+IF($F$24=0,0,($C$14+$C$15+IF($C$13="single",1.5,3)+3)/12))</f>
        <v>0</v>
      </c>
      <c r="AC2898">
        <f>AB2898-W2898</f>
        <v>0</v>
      </c>
      <c r="AD2898" cm="1">
        <f t="array" ref="AD2898">IFERROR(IF(AC2898&lt;0,0,AC2898/($R$2851-INDEX(hd_off,MATCH(AQ2898,hd_mark,0),0)/12)),0)</f>
        <v>0</v>
      </c>
      <c r="AE2898">
        <f>IF(S2898=0,0,$AD$2851*$AM$2840)</f>
        <v>0</v>
      </c>
      <c r="AF2898">
        <f>IFERROR(AE2898/$R$2851,0)</f>
        <v>0</v>
      </c>
      <c r="AG2898">
        <f>AE2898*($F$24+IF($F$24=0,0,($C$14+$C$15+IF($C$13="single",1.5,3)+3)/12))</f>
        <v>0</v>
      </c>
      <c r="AH2898">
        <f>AG2898-X2898</f>
        <v>0</v>
      </c>
      <c r="AI2898" cm="1">
        <f t="array" ref="AI2898">IFERROR(IF(AH2898&lt;0,0,AH2898/($R$2851-INDEX(hd_off,MATCH(AQ2898,hd_mark,0),0)/12)),0)</f>
        <v>0</v>
      </c>
      <c r="AJ2898">
        <f>MAX($F$24,$AB$2851)/$Q$2868</f>
        <v>0</v>
      </c>
      <c r="AK2898">
        <f t="shared" si="1794"/>
        <v>0</v>
      </c>
      <c r="AL2898" cm="1">
        <f t="array" ref="AL2898">IFERROR(INDEX(sheath_ecap_asd,MATCH(AP2898,sheath_mark,0),0)*AK2898,0)</f>
        <v>0</v>
      </c>
      <c r="AM2898" cm="1">
        <f t="array" ref="AM2898">IFERROR(INDEX(sheath_wcap_asd,MATCH(AP2898,sheath_mark,0),0)*AK2898,0)</f>
        <v>0</v>
      </c>
      <c r="AN2898" cm="1">
        <f t="array" ref="AN2898">IFERROR(INDEX(hd_cap,MATCH(AQ2898,hd_mark,0),0),0)</f>
        <v>0</v>
      </c>
      <c r="AP2898" s="19"/>
      <c r="AQ2898" s="19"/>
      <c r="AR2898" s="100"/>
      <c r="AS2898" s="93"/>
      <c r="AT2898" s="111">
        <f>$R$2851</f>
        <v>0</v>
      </c>
      <c r="AU2898" t="str">
        <f>$Q$2840</f>
        <v>L5</v>
      </c>
      <c r="AV2898">
        <f>$E$24</f>
        <v>0</v>
      </c>
      <c r="AW2898" cm="1">
        <f t="array" ref="AW2898">IFERROR(IF(AV2898=0,0,(INDEX($C$33:$C$38,MATCH($AZ$2851,$B$33:$B$38,0),0)*(AV2899+$BA$2851)+$AW$2851*COUNTIF(AV2898:AV2898,"&gt;0")*$C$32+$AY$2851*$C$31)*$AU$2851),0)</f>
        <v>0</v>
      </c>
      <c r="AX2898">
        <f>IF(AV2898=0,0,-(COUNTIF(AV2898:AV2898,"&gt;0")*$AW$2851*$C$32+$AY$2851*$C$31)*$H$27*$AU$2851)</f>
        <v>0</v>
      </c>
      <c r="AY2898">
        <f>IF(AV2898=0,0,$AY$2851*$H$26*$AU$2851)</f>
        <v>0</v>
      </c>
      <c r="AZ2898">
        <f>(0.6*AW2898+0.7*AX2898)*$AU$2851/2</f>
        <v>0</v>
      </c>
      <c r="BA2898">
        <f>AW2898*$AU$2851/2</f>
        <v>0</v>
      </c>
      <c r="BC2898">
        <f>IF(AV2898=0,0,$BG$2851*$AP$2840)</f>
        <v>0</v>
      </c>
      <c r="BD2898">
        <f>IFERROR(BC2898/$AU$2851,0)</f>
        <v>0</v>
      </c>
      <c r="BE2898">
        <f>BC2898*($F$24+IF($F$24=0,0,($C$14+$C$15+IF($C$13="single",1.5,3)+3)/12))</f>
        <v>0</v>
      </c>
      <c r="BF2898">
        <f>BE2898-AZ2898</f>
        <v>0</v>
      </c>
      <c r="BG2898" cm="1">
        <f t="array" ref="BG2898">IFERROR(IF(BF2898&lt;0,0,BF2898/($AU$2851-INDEX(hd_off,MATCH(BT2898,hd_mark,0),0)/12)),0)</f>
        <v>0</v>
      </c>
      <c r="BH2898">
        <f>IF(AV2898=0,0,$BG$2851*$AM$2840)</f>
        <v>0</v>
      </c>
      <c r="BI2898">
        <f>IFERROR(BH2898/$AU$2851,0)</f>
        <v>0</v>
      </c>
      <c r="BJ2898">
        <f>BH2898*($F$24+IF($F$24=0,0,($C$14+$C$15+IF($C$13="single",1.5,3)+3)/12))</f>
        <v>0</v>
      </c>
      <c r="BK2898">
        <f>BJ2898-BA2898</f>
        <v>0</v>
      </c>
      <c r="BL2898" cm="1">
        <f t="array" ref="BL2898">IFERROR(IF(BK2898&lt;0,0,BK2898/($AU$2851-INDEX(hd_off,MATCH(BT2898,hd_mark,0),0)/12)),0)</f>
        <v>0</v>
      </c>
      <c r="BM2898">
        <f>MAX($F$24,$BE$2851)/$Q$2868</f>
        <v>0</v>
      </c>
      <c r="BN2898">
        <f t="shared" si="1795"/>
        <v>0</v>
      </c>
      <c r="BO2898" cm="1">
        <f t="array" ref="BO2898">IFERROR(INDEX(sheath_ecap_asd,MATCH(BS2898,sheath_mark,0),0)*BN2898,0)</f>
        <v>0</v>
      </c>
      <c r="BP2898" cm="1">
        <f t="array" ref="BP2898">IFERROR(INDEX(sheath_wcap_asd,MATCH(BS2898,sheath_mark,0),0)*BN2898,0)</f>
        <v>0</v>
      </c>
      <c r="BQ2898" cm="1">
        <f t="array" ref="BQ2898">IFERROR(INDEX(hd_cap,MATCH(BT2898,hd_mark,0),0),0)</f>
        <v>0</v>
      </c>
      <c r="BS2898" s="19"/>
      <c r="BT2898" s="19"/>
      <c r="BU2898" s="100"/>
    </row>
    <row r="2899" x14ac:dyDescent="0.25">
      <c r="P2899" s="93"/>
      <c r="Q2899" s="109"/>
      <c r="R2899" t="str">
        <f>$Q$2841</f>
        <v>Roof</v>
      </c>
      <c r="S2899">
        <f>$E$25</f>
        <v>33.171875</v>
      </c>
      <c r="T2899" cm="1">
        <f t="array" ref="T2899">IFERROR(IF(S2899=0,0,(INDEX($C$33:$C$38,MATCH($W$2851,$B$33:$B$38,0),0)*(S2899+$X$2851)+$V$2851*$C$31)*$R$2851),0)</f>
        <v>0</v>
      </c>
      <c r="U2899">
        <f>IF(S2899=0,0,-$V$2851*$C$31*$H$27*$R$2851)</f>
        <v>0</v>
      </c>
      <c r="V2899">
        <f>IF(S2899=0,0,$V$2851*$H$26*$R$2851)</f>
        <v>0</v>
      </c>
      <c r="W2899">
        <f>(0.6*T2899+0.7*U2899)*$R$2851/2</f>
        <v>0</v>
      </c>
      <c r="X2899">
        <f>T2899*$R$2851/2</f>
        <v>0</v>
      </c>
      <c r="Z2899">
        <f>IF(S2899=0,0,$AD$2851*$AP$2841)</f>
        <v>0</v>
      </c>
      <c r="AA2899">
        <f>IFERROR(Z2899/$R$2851,0)</f>
        <v>0</v>
      </c>
      <c r="AB2899">
        <f>Z2899*($F$25+($C$16+$C$17+IF($C$13="single",1.5,3)+3)/12)</f>
        <v>0</v>
      </c>
      <c r="AC2899">
        <f>AB2899-W2899</f>
        <v>0</v>
      </c>
      <c r="AD2899" cm="1">
        <f t="array" ref="AD2899">IFERROR(IF(AC2899&lt;0,0,AC2899/($R$2851-INDEX(hd_off,MATCH(AQ2899,hd_mark,0),0)/12)),0)</f>
        <v>0</v>
      </c>
      <c r="AE2899">
        <f>IF(S2899=0,0,$AD$2851*$AM$2841)</f>
        <v>0</v>
      </c>
      <c r="AF2899">
        <f>IFERROR(AE2899/$R$2851,0)</f>
        <v>0</v>
      </c>
      <c r="AG2899">
        <f>AE2899*($F$25+($C$16+$C$17+IF($C$13="single",1.5,3)+3)/12)</f>
        <v>0</v>
      </c>
      <c r="AH2899">
        <f>AG2899-X2899</f>
        <v>0</v>
      </c>
      <c r="AI2899" cm="1">
        <f t="array" ref="AI2899">IFERROR(IF(AH2899&lt;0,0,AH2899/($R$2851-INDEX(hd_off,MATCH(AQ2899,hd_mark,0),0)/12)),0)</f>
        <v>0</v>
      </c>
      <c r="AJ2899">
        <f>MAX($F$25,$AC$2851)/$Q$2868</f>
        <v>0.29920977011494249</v>
      </c>
      <c r="AK2899">
        <f t="shared" si="1794"/>
        <v>1</v>
      </c>
      <c r="AL2899" cm="1">
        <f t="array" ref="AL2899">IFERROR(INDEX(sheath_ecap_asd,MATCH(AP2899,sheath_mark,0),0)*AK2899,0)</f>
        <v>0</v>
      </c>
      <c r="AM2899" cm="1">
        <f t="array" ref="AM2899">IFERROR(INDEX(sheath_wcap_asd,MATCH(AP2899,sheath_mark,0),0)*AK2899,0)</f>
        <v>0</v>
      </c>
      <c r="AN2899" cm="1">
        <f t="array" ref="AN2899">IFERROR(INDEX(hd_cap,MATCH(AQ2899,hd_mark,0),0),0)</f>
        <v>0</v>
      </c>
      <c r="AP2899" s="19"/>
      <c r="AQ2899" s="19"/>
      <c r="AR2899" s="100"/>
      <c r="AS2899" s="93"/>
      <c r="AT2899" s="109"/>
      <c r="AU2899" t="str">
        <f>$Q$2841</f>
        <v>Roof</v>
      </c>
      <c r="AV2899">
        <f>$E$25</f>
        <v>33.171875</v>
      </c>
      <c r="AW2899" cm="1">
        <f t="array" ref="AW2899">IFERROR(IF(AV2899=0,0,(INDEX($C$33:$C$38,MATCH($AZ$2851,$B$33:$B$38,0),0)*(AV2899+$BA$2851)+$AY$2851*$C$31)*$AU$2851),0)</f>
        <v>0</v>
      </c>
      <c r="AX2899">
        <f>IF(AV2899=0,0,-$AY$2851*$C$31*$H$27*$AU$2851)</f>
        <v>0</v>
      </c>
      <c r="AY2899">
        <f>IF(AV2899=0,0,$AY$2851*$H$26*$AU$2851)</f>
        <v>0</v>
      </c>
      <c r="AZ2899">
        <f>(0.6*AW2899+0.7*AX2899)*$AU$2851/2</f>
        <v>0</v>
      </c>
      <c r="BA2899">
        <f>AW2899*$AU$2851/2</f>
        <v>0</v>
      </c>
      <c r="BC2899">
        <f>IF(AV2899=0,0,$BG$2851*$AP$2841)</f>
        <v>0</v>
      </c>
      <c r="BD2899">
        <f>IFERROR(BC2899/$AU$2851,0)</f>
        <v>0</v>
      </c>
      <c r="BE2899">
        <f>BC2899*($F$25+($C$16+$C$17+IF($C$13="single",1.5,3)+3)/12)</f>
        <v>0</v>
      </c>
      <c r="BF2899">
        <f>BE2899-AZ2899</f>
        <v>0</v>
      </c>
      <c r="BG2899" cm="1">
        <f t="array" ref="BG2899">IFERROR(IF(BF2899&lt;0,0,BF2899/($AU$2851-INDEX(hd_off,MATCH(BT2899,hd_mark,0),0)/12)),0)</f>
        <v>0</v>
      </c>
      <c r="BH2899">
        <f>IF(AV2899=0,0,$BG$2851*$AM$2841)</f>
        <v>0</v>
      </c>
      <c r="BI2899">
        <f>IFERROR(BH2899/$AU$2851,0)</f>
        <v>0</v>
      </c>
      <c r="BJ2899">
        <f>BH2899*($F$25+($C$16+$C$17+IF($C$13="single",1.5,3)+3)/12)</f>
        <v>0</v>
      </c>
      <c r="BK2899">
        <f>BJ2899-BA2899</f>
        <v>0</v>
      </c>
      <c r="BL2899" cm="1">
        <f t="array" ref="BL2899">IFERROR(IF(BK2899&lt;0,0,BK2899/($AU$2851-INDEX(hd_off,MATCH(BT2899,hd_mark,0),0)/12)),0)</f>
        <v>0</v>
      </c>
      <c r="BM2899">
        <f>MAX($F$25,$BF$2851)/$Q$2868</f>
        <v>0.29920977011494249</v>
      </c>
      <c r="BN2899">
        <f t="shared" si="1795"/>
        <v>1</v>
      </c>
      <c r="BO2899" cm="1">
        <f t="array" ref="BO2899">IFERROR(INDEX(sheath_ecap_asd,MATCH(BS2899,sheath_mark,0),0)*BN2899,0)</f>
        <v>0</v>
      </c>
      <c r="BP2899" cm="1">
        <f t="array" ref="BP2899">IFERROR(INDEX(sheath_wcap_asd,MATCH(BS2899,sheath_mark,0),0)*BN2899,0)</f>
        <v>0</v>
      </c>
      <c r="BQ2899" cm="1">
        <f t="array" ref="BQ2899">IFERROR(INDEX(hd_cap,MATCH(BT2899,hd_mark,0),0),0)</f>
        <v>0</v>
      </c>
      <c r="BS2899" s="19"/>
      <c r="BT2899" s="19"/>
      <c r="BU2899" s="100"/>
    </row>
    <row r="2900" x14ac:dyDescent="0.25">
      <c r="P2900" s="93"/>
      <c r="AR2900" s="100"/>
      <c r="AS2900" s="93"/>
      <c r="BU2900" s="100"/>
    </row>
    <row r="2901" x14ac:dyDescent="0.25">
      <c r="P2901" s="93"/>
      <c r="Q2901" s="110" t="str">
        <f>$Q$2852</f>
        <v>A.07</v>
      </c>
      <c r="R2901" t="str">
        <f>$Q$2837</f>
        <v>L2</v>
      </c>
      <c r="S2901">
        <f>$E$21</f>
        <v>10.6875</v>
      </c>
      <c r="T2901" cm="1">
        <f t="array" ref="T2901">IFERROR(IF(S2901=0,0,(INDEX($C$33:$C$38,MATCH($W$2852,$B$33:$B$38,0),0)*(S2905+$X$2852)+$T$2852*COUNTIF(S2901:S2904,"&gt;0")*$C$32+$V$2852*$C$31)*$R$2852),0)</f>
        <v>0</v>
      </c>
      <c r="U2901">
        <f>IF(S2901=0,0,-(COUNTIF(S2901:S2904,"&gt;0")*$T$2852*$C$32+$V$2852*$C$31)*$H$27*$R$2852)</f>
        <v>0</v>
      </c>
      <c r="V2901">
        <f>IF(S2901=0,0,$V$2852*$H$26*$R$2852)</f>
        <v>0</v>
      </c>
      <c r="W2901">
        <f>(0.6*T2901+0.7*U2901)*$R$2852/2</f>
        <v>0</v>
      </c>
      <c r="X2901">
        <f>(0.6*T2901+0.6*V2901)*$R$2852/2</f>
        <v>0</v>
      </c>
      <c r="Z2901">
        <f>IF(S2901=0,0,$AD$2852*$AP$2837)</f>
        <v>0</v>
      </c>
      <c r="AA2901">
        <f>IFERROR(Z2901/$R$2852,0)</f>
        <v>0</v>
      </c>
      <c r="AB2901">
        <f>Z2901*($F$21+IF($F$21=0,0,($C$14+$C$15+IF($C$13="single",1.5,3)+3)/12))</f>
        <v>0</v>
      </c>
      <c r="AC2901">
        <f>AB2901-W2901</f>
        <v>0</v>
      </c>
      <c r="AD2901" cm="1">
        <f t="array" ref="AD2901">IFERROR(IF(AC2901&lt;0,0,AC2901/($R$2852-INDEX(hd_off,MATCH(AQ2901,hd_mark,0),0)/12)),0)</f>
        <v>0</v>
      </c>
      <c r="AE2901">
        <f>IF(S2901=0,0,$AD$2852*$AM$2837)</f>
        <v>0</v>
      </c>
      <c r="AF2901">
        <f>IFERROR(AE2901/$R$2852,0)</f>
        <v>0</v>
      </c>
      <c r="AG2901">
        <f>AE2901*($F$21+IF($F$21=0,0,($C$14+$C$15+IF($C$13="single",1.5,3)+3)/12))</f>
        <v>0</v>
      </c>
      <c r="AH2901">
        <f>AG2901-X2901</f>
        <v>0</v>
      </c>
      <c r="AI2901" cm="1">
        <f t="array" ref="AI2901">IFERROR(IF(AH2901&lt;0,0,AH2901/($R$2852-INDEX(hd_off,MATCH(AQ2901,hd_mark,0),0)/12)),0)</f>
        <v>0</v>
      </c>
      <c r="AJ2901">
        <f>MAX($F$21,$Y$2852)/$Q$2868</f>
        <v>0.30172413793103448</v>
      </c>
      <c r="AK2901">
        <f>IF(AJ2901=0,0,IF(AJ2901&gt;2,1.25-0.125*AJ2901,1))</f>
        <v>1</v>
      </c>
      <c r="AL2901" cm="1">
        <f t="array" ref="AL2901">IFERROR(INDEX(sheath_ecap_asd,MATCH(AP2901,sheath_mark,0),0)*AK2901,0)</f>
        <v>0</v>
      </c>
      <c r="AM2901" cm="1">
        <f t="array" ref="AM2901">IFERROR(INDEX(sheath_wcap_asd,MATCH(AP2901,sheath_mark,0),0)*AK2901,0)</f>
        <v>0</v>
      </c>
      <c r="AN2901" cm="1">
        <f t="array" ref="AN2901">IFERROR(INDEX(hd_cap,MATCH(AQ2901,hd_mark,0),0),0)</f>
        <v>0</v>
      </c>
      <c r="AP2901" s="19"/>
      <c r="AQ2901" s="19"/>
      <c r="AR2901" s="100"/>
      <c r="AS2901" s="93"/>
      <c r="AT2901" s="110" t="str">
        <f>$AT$2852</f>
        <v>1.07</v>
      </c>
      <c r="AU2901" t="str">
        <f>$Q$2837</f>
        <v>L2</v>
      </c>
      <c r="AV2901">
        <f>$E$21</f>
        <v>10.6875</v>
      </c>
      <c r="AW2901" cm="1">
        <f t="array" ref="AW2901">IFERROR(IF(AV2901=0,0,(INDEX($C$33:$C$38,MATCH($AZ$2852,$B$33:$B$38,0),0)*(AV2905+$BA$2852)+$AW$2852*COUNTIF(AV2901:AV2904,"&gt;0")*$C$32+$AY$2852*$C$31)*$AU$2852),0)</f>
        <v>0</v>
      </c>
      <c r="AX2901">
        <f>IF(AV2901=0,0,-(COUNTIF(AV2901:AV2904,"&gt;0")*$AW$2852*$C$32+$AY$2852*$C$31)*$H$27*$AU$2852)</f>
        <v>0</v>
      </c>
      <c r="AY2901">
        <f>IF(AV2901=0,0,$AY$2852*$H$26*$AU$2852)</f>
        <v>0</v>
      </c>
      <c r="AZ2901">
        <f>(0.6*AW2901+0.7*AX2901)*$AU$2852/2</f>
        <v>0</v>
      </c>
      <c r="BA2901">
        <f>(0.6*AW2901+0.6*AY2901)*$AU$2852/2</f>
        <v>0</v>
      </c>
      <c r="BC2901">
        <f>IF(AV2901=0,0,$BG$2852*$AP$2837)</f>
        <v>0</v>
      </c>
      <c r="BD2901">
        <f>IFERROR(BC2901/$AU$2852,0)</f>
        <v>0</v>
      </c>
      <c r="BE2901">
        <f>BC2901*($F$21+IF($F$21=0,0,($C$14+$C$15+IF($C$13="single",1.5,3)+3)/12))</f>
        <v>0</v>
      </c>
      <c r="BF2901">
        <f>BE2901-AZ2901</f>
        <v>0</v>
      </c>
      <c r="BG2901" cm="1">
        <f t="array" ref="BG2901">IFERROR(IF(BF2901&lt;0,0,BF2901/($AU$2852-INDEX(hd_off,MATCH(BT2901,hd_mark,0),0)/12)),0)</f>
        <v>0</v>
      </c>
      <c r="BH2901">
        <f>IF(AV2901=0,0,$BG$2852*$AM$2837)</f>
        <v>0</v>
      </c>
      <c r="BI2901">
        <f>IFERROR(BH2901/$AU$2852,0)</f>
        <v>0</v>
      </c>
      <c r="BJ2901">
        <f>BH2901*($F$21+IF($F$21=0,0,($C$14+$C$15+IF($C$13="single",1.5,3)+3)/12))</f>
        <v>0</v>
      </c>
      <c r="BK2901">
        <f>BJ2901-BA2901</f>
        <v>0</v>
      </c>
      <c r="BL2901" cm="1">
        <f t="array" ref="BL2901">IFERROR(IF(BK2901&lt;0,0,BK2901/($AU$2852-INDEX(hd_off,MATCH(BT2901,hd_mark,0),0)/12)),0)</f>
        <v>0</v>
      </c>
      <c r="BM2901">
        <f>MAX($F$21,$BB$2852)/$Q$2868</f>
        <v>0.30172413793103448</v>
      </c>
      <c r="BN2901">
        <f>IF(BM2901=0,0,IF(BM2901&gt;2,1.25-0.125*BM2901,1))</f>
        <v>1</v>
      </c>
      <c r="BO2901" cm="1">
        <f t="array" ref="BO2901">IFERROR(INDEX(sheath_ecap_asd,MATCH(BS2901,sheath_mark,0),0)*BN2901,0)</f>
        <v>0</v>
      </c>
      <c r="BP2901" cm="1">
        <f t="array" ref="BP2901">IFERROR(INDEX(sheath_wcap_asd,MATCH(BS2901,sheath_mark,0),0)*BN2901,0)</f>
        <v>0</v>
      </c>
      <c r="BQ2901" cm="1">
        <f t="array" ref="BQ2901">IFERROR(INDEX(hd_cap,MATCH(BT2901,hd_mark,0),0),0)</f>
        <v>0</v>
      </c>
      <c r="BS2901" s="19"/>
      <c r="BT2901" s="19"/>
      <c r="BU2901" s="100"/>
    </row>
    <row r="2902" x14ac:dyDescent="0.25">
      <c r="P2902" s="93"/>
      <c r="Q2902" s="109"/>
      <c r="R2902" t="str">
        <f>$Q$2838</f>
        <v>L3</v>
      </c>
      <c r="S2902">
        <f>$E$22</f>
        <v>21.375</v>
      </c>
      <c r="T2902" cm="1">
        <f t="array" ref="T2902">IFERROR(IF(S2902=0,0,(INDEX($C$33:$C$38,MATCH($W$2852,$B$33:$B$38,0),0)*(S2905+$X$2852)+$T$2852*COUNTIF(S2902:S2904,"&gt;0")*$C$32+$V$2852*$C$31)*$R$2852),0)</f>
        <v>0</v>
      </c>
      <c r="U2902">
        <f>IF(S2902=0,0,-(COUNTIF(S2902:S2904,"&gt;0")*$T$2852*$C$32+$V$2852*$C$31)*$H$27*$R$2852)</f>
        <v>0</v>
      </c>
      <c r="V2902">
        <f>IF(S2902=0,0,$V$2852*$H$26*$R$2852)</f>
        <v>0</v>
      </c>
      <c r="W2902">
        <f>(0.6*T2902+0.7*U2902)*$R$2852/2</f>
        <v>0</v>
      </c>
      <c r="X2902">
        <f>T2902*$R$2852/2</f>
        <v>0</v>
      </c>
      <c r="Z2902">
        <f>IF(S2902=0,0,$AD$2852*$AP$2838)</f>
        <v>0</v>
      </c>
      <c r="AA2902">
        <f>IFERROR(Z2902/$R$2852,0)</f>
        <v>0</v>
      </c>
      <c r="AB2902">
        <f>Z2902*($F$22+IF($F$22=0,0,($C$14+$C$15+IF($C$13="single",1.5,3)+3)/12))</f>
        <v>0</v>
      </c>
      <c r="AC2902">
        <f>AB2902-W2902</f>
        <v>0</v>
      </c>
      <c r="AD2902" cm="1">
        <f t="array" ref="AD2902">IFERROR(IF(AC2902&lt;0,0,AC2902/($R$2852-INDEX(hd_off,MATCH(AQ2902,hd_mark,0),0)/12)),0)</f>
        <v>0</v>
      </c>
      <c r="AE2902">
        <f>IF(S2902=0,0,$AD$2852*$AM$2838)</f>
        <v>0</v>
      </c>
      <c r="AF2902">
        <f>IFERROR(AE2902/$R$2852,0)</f>
        <v>0</v>
      </c>
      <c r="AG2902">
        <f>AE2902*($F$22+IF($F$22=0,0,($C$14+$C$15+IF($C$13="single",1.5,3)+3)/12))</f>
        <v>0</v>
      </c>
      <c r="AH2902">
        <f>AG2902-X2902</f>
        <v>0</v>
      </c>
      <c r="AI2902" cm="1">
        <f t="array" ref="AI2902">IFERROR(IF(AH2902&lt;0,0,AH2902/($R$2852-INDEX(hd_off,MATCH(AQ2902,hd_mark,0),0)/12)),0)</f>
        <v>0</v>
      </c>
      <c r="AJ2902">
        <f>MAX($F$22,$Z$2852)/$Q$2868</f>
        <v>0.30172413793103448</v>
      </c>
      <c r="AK2902">
        <f t="shared" ref="AK2902:AK2905" si="1796">IF(AJ2902=0,0,IF(AJ2902&gt;2,1.25-0.125*AJ2902,1))</f>
        <v>1</v>
      </c>
      <c r="AL2902" cm="1">
        <f t="array" ref="AL2902">IFERROR(INDEX(sheath_ecap_asd,MATCH(AP2902,sheath_mark,0),0)*AK2902,0)</f>
        <v>0</v>
      </c>
      <c r="AM2902" cm="1">
        <f t="array" ref="AM2902">IFERROR(INDEX(sheath_wcap_asd,MATCH(AP2902,sheath_mark,0),0)*AK2902,0)</f>
        <v>0</v>
      </c>
      <c r="AN2902" cm="1">
        <f t="array" ref="AN2902">IFERROR(INDEX(hd_cap,MATCH(AQ2902,hd_mark,0),0),0)</f>
        <v>0</v>
      </c>
      <c r="AP2902" s="19"/>
      <c r="AQ2902" s="19"/>
      <c r="AR2902" s="100"/>
      <c r="AS2902" s="93"/>
      <c r="AT2902" s="109"/>
      <c r="AU2902" t="str">
        <f>$Q$2838</f>
        <v>L3</v>
      </c>
      <c r="AV2902">
        <f>$E$22</f>
        <v>21.375</v>
      </c>
      <c r="AW2902" cm="1">
        <f t="array" ref="AW2902">IFERROR(IF(AV2902=0,0,(INDEX($C$33:$C$38,MATCH($AZ$2852,$B$33:$B$38,0),0)*(AV2905+$BA$2852)+$AW$2852*COUNTIF(AV2902:AV2904,"&gt;0")*$C$32+$AY$2852*$C$31)*$AU$2852),0)</f>
        <v>0</v>
      </c>
      <c r="AX2902">
        <f>IF(AV2902=0,0,-(COUNTIF(AV2902:AV2904,"&gt;0")*$AW$2852*$C$32+$AY$2852*$C$31)*$H$27*$AU$2852)</f>
        <v>0</v>
      </c>
      <c r="AY2902">
        <f>IF(AV2902=0,0,$AY$2852*$H$26*$AU$2852)</f>
        <v>0</v>
      </c>
      <c r="AZ2902">
        <f>(0.6*AW2902+0.7*AX2902)*$AU$2852/2</f>
        <v>0</v>
      </c>
      <c r="BA2902">
        <f>AW2902*$AU$2852/2</f>
        <v>0</v>
      </c>
      <c r="BC2902">
        <f>IF(AV2902=0,0,$BG$2852*$AP$2838)</f>
        <v>0</v>
      </c>
      <c r="BD2902">
        <f>IFERROR(BC2902/$AU$2852,0)</f>
        <v>0</v>
      </c>
      <c r="BE2902">
        <f>BC2902*($F$22+IF($F$22=0,0,($C$14+$C$15+IF($C$13="single",1.5,3)+3)/12))</f>
        <v>0</v>
      </c>
      <c r="BF2902">
        <f>BE2902-AZ2902</f>
        <v>0</v>
      </c>
      <c r="BG2902" cm="1">
        <f t="array" ref="BG2902">IFERROR(IF(BF2902&lt;0,0,BF2902/($AU$2852-INDEX(hd_off,MATCH(BT2902,hd_mark,0),0)/12)),0)</f>
        <v>0</v>
      </c>
      <c r="BH2902">
        <f>IF(AV2902=0,0,$BG$2852*$AM$2838)</f>
        <v>0</v>
      </c>
      <c r="BI2902">
        <f>IFERROR(BH2902/$AU$2852,0)</f>
        <v>0</v>
      </c>
      <c r="BJ2902">
        <f>BH2902*($F$22+IF($F$22=0,0,($C$14+$C$15+IF($C$13="single",1.5,3)+3)/12))</f>
        <v>0</v>
      </c>
      <c r="BK2902">
        <f>BJ2902-BA2902</f>
        <v>0</v>
      </c>
      <c r="BL2902" cm="1">
        <f t="array" ref="BL2902">IFERROR(IF(BK2902&lt;0,0,BK2902/($AU$2852-INDEX(hd_off,MATCH(BT2902,hd_mark,0),0)/12)),0)</f>
        <v>0</v>
      </c>
      <c r="BM2902">
        <f>MAX($F$22,$BC$2852)/$Q$2868</f>
        <v>0.30172413793103448</v>
      </c>
      <c r="BN2902">
        <f t="shared" ref="BN2902:BN2905" si="1797">IF(BM2902=0,0,IF(BM2902&gt;2,1.25-0.125*BM2902,1))</f>
        <v>1</v>
      </c>
      <c r="BO2902" cm="1">
        <f t="array" ref="BO2902">IFERROR(INDEX(sheath_ecap_asd,MATCH(BS2902,sheath_mark,0),0)*BN2902,0)</f>
        <v>0</v>
      </c>
      <c r="BP2902" cm="1">
        <f t="array" ref="BP2902">IFERROR(INDEX(sheath_wcap_asd,MATCH(BS2902,sheath_mark,0),0)*BN2902,0)</f>
        <v>0</v>
      </c>
      <c r="BQ2902" cm="1">
        <f t="array" ref="BQ2902">IFERROR(INDEX(hd_cap,MATCH(BT2902,hd_mark,0),0),0)</f>
        <v>0</v>
      </c>
      <c r="BS2902" s="19"/>
      <c r="BT2902" s="19"/>
      <c r="BU2902" s="100"/>
    </row>
    <row r="2903" x14ac:dyDescent="0.25">
      <c r="P2903" s="93"/>
      <c r="Q2903" s="109" t="s">
        <v>491</v>
      </c>
      <c r="R2903" t="str">
        <f>$Q$2839</f>
        <v>L4</v>
      </c>
      <c r="S2903">
        <f>$E$23</f>
        <v>0</v>
      </c>
      <c r="T2903" cm="1">
        <f t="array" ref="T2903">IFERROR(IF(S2903=0,0,(INDEX($C$33:$C$38,MATCH($W$2852,$B$33:$B$38,0),0)*(S2905+$X$2852)+$T$2852*COUNTIF(S2903:S2904,"&gt;0")*$C$32+$V$2852*$C$31)*$R$2852),0)</f>
        <v>0</v>
      </c>
      <c r="U2903">
        <f>IF(S2903=0,0,-(COUNTIF(S2903:S2904,"&gt;0")*$T$2852*$C$32+$V$2852*$C$31)*$H$27*$R$2852)</f>
        <v>0</v>
      </c>
      <c r="V2903">
        <f>IF(S2903=0,0,$V$2852*$H$26*$R$2852)</f>
        <v>0</v>
      </c>
      <c r="W2903">
        <f>(0.6*T2903+0.7*U2903)*$R$2852/2</f>
        <v>0</v>
      </c>
      <c r="X2903">
        <f>T2903*$R$2852/2</f>
        <v>0</v>
      </c>
      <c r="Z2903">
        <f>IF(S2903=0,0,$AD$2852*$AP$2839)</f>
        <v>0</v>
      </c>
      <c r="AA2903">
        <f>IFERROR(Z2903/$R$2852,0)</f>
        <v>0</v>
      </c>
      <c r="AB2903">
        <f>Z2903*($F$23+IF($F$23=0,0,($C$14+$C$15+IF($C$13="single",1.5,3)+3)/12))</f>
        <v>0</v>
      </c>
      <c r="AC2903">
        <f>AB2903-W2903</f>
        <v>0</v>
      </c>
      <c r="AD2903" cm="1">
        <f t="array" ref="AD2903">IFERROR(IF(AC2903&lt;0,0,AC2903/($R$2852-INDEX(hd_off,MATCH(AQ2903,hd_mark,0),0)/12)),0)</f>
        <v>0</v>
      </c>
      <c r="AE2903">
        <f>IF(S2903=0,0,$AD$2852*$AM$2839)</f>
        <v>0</v>
      </c>
      <c r="AF2903">
        <f>IFERROR(AE2903/$R$2852,0)</f>
        <v>0</v>
      </c>
      <c r="AG2903">
        <f>AE2903*($F$23+IF($F$23=0,0,($C$14+$C$15+IF($C$13="single",1.5,3)+3)/12))</f>
        <v>0</v>
      </c>
      <c r="AH2903">
        <f>AG2903-X2903</f>
        <v>0</v>
      </c>
      <c r="AI2903" cm="1">
        <f t="array" ref="AI2903">IFERROR(IF(AH2903&lt;0,0,AH2903/($R$2852-INDEX(hd_off,MATCH(AQ2903,hd_mark,0),0)/12)),0)</f>
        <v>0</v>
      </c>
      <c r="AJ2903">
        <f>MAX($F$23,$AA$2852)/$Q$2868</f>
        <v>0</v>
      </c>
      <c r="AK2903">
        <f t="shared" si="1796"/>
        <v>0</v>
      </c>
      <c r="AL2903" cm="1">
        <f t="array" ref="AL2903">IFERROR(INDEX(sheath_ecap_asd,MATCH(AP2903,sheath_mark,0),0)*AK2903,0)</f>
        <v>0</v>
      </c>
      <c r="AM2903" cm="1">
        <f t="array" ref="AM2903">IFERROR(INDEX(sheath_wcap_asd,MATCH(AP2903,sheath_mark,0),0)*AK2903,0)</f>
        <v>0</v>
      </c>
      <c r="AN2903" cm="1">
        <f t="array" ref="AN2903">IFERROR(INDEX(hd_cap,MATCH(AQ2903,hd_mark,0),0),0)</f>
        <v>0</v>
      </c>
      <c r="AP2903" s="19"/>
      <c r="AQ2903" s="19"/>
      <c r="AR2903" s="100"/>
      <c r="AS2903" s="93"/>
      <c r="AT2903" s="109" t="s">
        <v>491</v>
      </c>
      <c r="AU2903" t="str">
        <f>$Q$2839</f>
        <v>L4</v>
      </c>
      <c r="AV2903">
        <f>$E$23</f>
        <v>0</v>
      </c>
      <c r="AW2903" cm="1">
        <f t="array" ref="AW2903">IFERROR(IF(AV2903=0,0,(INDEX($C$33:$C$38,MATCH($AZ$2852,$B$33:$B$38,0),0)*(AV2905+$BA$2852)+$AW$2852*COUNTIF(AV2903:AV2904,"&gt;0")*$C$32+$AY$2852*$C$31)*$AU$2852),0)</f>
        <v>0</v>
      </c>
      <c r="AX2903">
        <f>IF(AV2903=0,0,-(COUNTIF(AV2903:AV2904,"&gt;0")*$AW$2852*$C$32+$AY$2852*$C$31)*$H$27*$AU$2852)</f>
        <v>0</v>
      </c>
      <c r="AY2903">
        <f>IF(AV2903=0,0,$AY$2852*$H$26*$AU$2852)</f>
        <v>0</v>
      </c>
      <c r="AZ2903">
        <f>(0.6*AW2903+0.7*AX2903)*$AU$2852/2</f>
        <v>0</v>
      </c>
      <c r="BA2903">
        <f>AW2903*$AU$2852/2</f>
        <v>0</v>
      </c>
      <c r="BC2903">
        <f>IF(AV2903=0,0,$BG$2852*$AP$2839)</f>
        <v>0</v>
      </c>
      <c r="BD2903">
        <f>IFERROR(BC2903/$AU$2852,0)</f>
        <v>0</v>
      </c>
      <c r="BE2903">
        <f>BC2903*($F$23+IF($F$23=0,0,($C$14+$C$15+IF($C$13="single",1.5,3)+3)/12))</f>
        <v>0</v>
      </c>
      <c r="BF2903">
        <f>BE2903-AZ2903</f>
        <v>0</v>
      </c>
      <c r="BG2903" cm="1">
        <f t="array" ref="BG2903">IFERROR(IF(BF2903&lt;0,0,BF2903/($AU$2852-INDEX(hd_off,MATCH(BT2903,hd_mark,0),0)/12)),0)</f>
        <v>0</v>
      </c>
      <c r="BH2903">
        <f>IF(AV2903=0,0,$BG$2852*$AM$2839)</f>
        <v>0</v>
      </c>
      <c r="BI2903">
        <f>IFERROR(BH2903/$AU$2852,0)</f>
        <v>0</v>
      </c>
      <c r="BJ2903">
        <f>BH2903*($F$23+IF($F$23=0,0,($C$14+$C$15+IF($C$13="single",1.5,3)+3)/12))</f>
        <v>0</v>
      </c>
      <c r="BK2903">
        <f>BJ2903-BA2903</f>
        <v>0</v>
      </c>
      <c r="BL2903" cm="1">
        <f t="array" ref="BL2903">IFERROR(IF(BK2903&lt;0,0,BK2903/($AU$2852-INDEX(hd_off,MATCH(BT2903,hd_mark,0),0)/12)),0)</f>
        <v>0</v>
      </c>
      <c r="BM2903">
        <f>MAX($F$23,$BD$2852)/$Q$2868</f>
        <v>0</v>
      </c>
      <c r="BN2903">
        <f t="shared" si="1797"/>
        <v>0</v>
      </c>
      <c r="BO2903" cm="1">
        <f t="array" ref="BO2903">IFERROR(INDEX(sheath_ecap_asd,MATCH(BS2903,sheath_mark,0),0)*BN2903,0)</f>
        <v>0</v>
      </c>
      <c r="BP2903" cm="1">
        <f t="array" ref="BP2903">IFERROR(INDEX(sheath_wcap_asd,MATCH(BS2903,sheath_mark,0),0)*BN2903,0)</f>
        <v>0</v>
      </c>
      <c r="BQ2903" cm="1">
        <f t="array" ref="BQ2903">IFERROR(INDEX(hd_cap,MATCH(BT2903,hd_mark,0),0),0)</f>
        <v>0</v>
      </c>
      <c r="BS2903" s="19"/>
      <c r="BT2903" s="19"/>
      <c r="BU2903" s="100"/>
    </row>
    <row r="2904" x14ac:dyDescent="0.25">
      <c r="P2904" s="93"/>
      <c r="Q2904" s="111">
        <f>$R$2852</f>
        <v>0</v>
      </c>
      <c r="R2904" t="str">
        <f>$Q$2840</f>
        <v>L5</v>
      </c>
      <c r="S2904">
        <f>$E$24</f>
        <v>0</v>
      </c>
      <c r="T2904" cm="1">
        <f t="array" ref="T2904">IFERROR(IF(S2904=0,0,(INDEX($C$33:$C$38,MATCH($W$2852,$B$33:$B$38,0),0)*(S2905+$X$2852)+$T$2852*COUNTIF(S2904:S2904,"&gt;0")*$C$32+$V$2852*$C$31)*$R$2852),0)</f>
        <v>0</v>
      </c>
      <c r="U2904">
        <f>IF(S2904=0,0,-(COUNTIF(S2904:S2904,"&gt;0")*$T$2852*$C$32+$V$2852*$C$31)*$H$27*$R$2852)</f>
        <v>0</v>
      </c>
      <c r="V2904">
        <f>IF(S2904=0,0,$V$2852*$H$26*$R$2852)</f>
        <v>0</v>
      </c>
      <c r="W2904">
        <f>(0.6*T2904+0.7*U2904)*$R$2852/2</f>
        <v>0</v>
      </c>
      <c r="X2904">
        <f>T2904*$R$2852/2</f>
        <v>0</v>
      </c>
      <c r="Z2904">
        <f>IF(S2904=0,0,$AD$2852*$AP$2840)</f>
        <v>0</v>
      </c>
      <c r="AA2904">
        <f>IFERROR(Z2904/$R$2852,0)</f>
        <v>0</v>
      </c>
      <c r="AB2904">
        <f>Z2904*($F$24+IF($F$24=0,0,($C$14+$C$15+IF($C$13="single",1.5,3)+3)/12))</f>
        <v>0</v>
      </c>
      <c r="AC2904">
        <f>AB2904-W2904</f>
        <v>0</v>
      </c>
      <c r="AD2904" cm="1">
        <f t="array" ref="AD2904">IFERROR(IF(AC2904&lt;0,0,AC2904/($R$2852-INDEX(hd_off,MATCH(AQ2904,hd_mark,0),0)/12)),0)</f>
        <v>0</v>
      </c>
      <c r="AE2904">
        <f>IF(S2904=0,0,$AD$2852*$AM$2840)</f>
        <v>0</v>
      </c>
      <c r="AF2904">
        <f>IFERROR(AE2904/$R$2852,0)</f>
        <v>0</v>
      </c>
      <c r="AG2904">
        <f>AE2904*($F$24+IF($F$24=0,0,($C$14+$C$15+IF($C$13="single",1.5,3)+3)/12))</f>
        <v>0</v>
      </c>
      <c r="AH2904">
        <f>AG2904-X2904</f>
        <v>0</v>
      </c>
      <c r="AI2904" cm="1">
        <f t="array" ref="AI2904">IFERROR(IF(AH2904&lt;0,0,AH2904/($R$2852-INDEX(hd_off,MATCH(AQ2904,hd_mark,0),0)/12)),0)</f>
        <v>0</v>
      </c>
      <c r="AJ2904">
        <f>MAX($F$24,$AB$2852)/$Q$2868</f>
        <v>0</v>
      </c>
      <c r="AK2904">
        <f t="shared" si="1796"/>
        <v>0</v>
      </c>
      <c r="AL2904" cm="1">
        <f t="array" ref="AL2904">IFERROR(INDEX(sheath_ecap_asd,MATCH(AP2904,sheath_mark,0),0)*AK2904,0)</f>
        <v>0</v>
      </c>
      <c r="AM2904" cm="1">
        <f t="array" ref="AM2904">IFERROR(INDEX(sheath_wcap_asd,MATCH(AP2904,sheath_mark,0),0)*AK2904,0)</f>
        <v>0</v>
      </c>
      <c r="AN2904" cm="1">
        <f t="array" ref="AN2904">IFERROR(INDEX(hd_cap,MATCH(AQ2904,hd_mark,0),0),0)</f>
        <v>0</v>
      </c>
      <c r="AP2904" s="19"/>
      <c r="AQ2904" s="19"/>
      <c r="AR2904" s="100"/>
      <c r="AS2904" s="93"/>
      <c r="AT2904" s="111">
        <f>$R$2852</f>
        <v>0</v>
      </c>
      <c r="AU2904" t="str">
        <f>$Q$2840</f>
        <v>L5</v>
      </c>
      <c r="AV2904">
        <f>$E$24</f>
        <v>0</v>
      </c>
      <c r="AW2904" cm="1">
        <f t="array" ref="AW2904">IFERROR(IF(AV2904=0,0,(INDEX($C$33:$C$38,MATCH($AZ$2852,$B$33:$B$38,0),0)*(AV2905+$BA$2852)+$AW$2852*COUNTIF(AV2904:AV2904,"&gt;0")*$C$32+$AY$2852*$C$31)*$AU$2852),0)</f>
        <v>0</v>
      </c>
      <c r="AX2904">
        <f>IF(AV2904=0,0,-(COUNTIF(AV2904:AV2904,"&gt;0")*$AW$2852*$C$32+$AY$2852*$C$31)*$H$27*$AU$2852)</f>
        <v>0</v>
      </c>
      <c r="AY2904">
        <f>IF(AV2904=0,0,$AY$2852*$H$26*$AU$2852)</f>
        <v>0</v>
      </c>
      <c r="AZ2904">
        <f>(0.6*AW2904+0.7*AX2904)*$AU$2852/2</f>
        <v>0</v>
      </c>
      <c r="BA2904">
        <f>AW2904*$AU$2852/2</f>
        <v>0</v>
      </c>
      <c r="BC2904">
        <f>IF(AV2904=0,0,$BG$2852*$AP$2840)</f>
        <v>0</v>
      </c>
      <c r="BD2904">
        <f>IFERROR(BC2904/$AU$2852,0)</f>
        <v>0</v>
      </c>
      <c r="BE2904">
        <f>BC2904*($F$24+IF($F$24=0,0,($C$14+$C$15+IF($C$13="single",1.5,3)+3)/12))</f>
        <v>0</v>
      </c>
      <c r="BF2904">
        <f>BE2904-AZ2904</f>
        <v>0</v>
      </c>
      <c r="BG2904" cm="1">
        <f t="array" ref="BG2904">IFERROR(IF(BF2904&lt;0,0,BF2904/($AU$2852-INDEX(hd_off,MATCH(BT2904,hd_mark,0),0)/12)),0)</f>
        <v>0</v>
      </c>
      <c r="BH2904">
        <f>IF(AV2904=0,0,$BG$2852*$AM$2840)</f>
        <v>0</v>
      </c>
      <c r="BI2904">
        <f>IFERROR(BH2904/$AU$2852,0)</f>
        <v>0</v>
      </c>
      <c r="BJ2904">
        <f>BH2904*($F$24+IF($F$24=0,0,($C$14+$C$15+IF($C$13="single",1.5,3)+3)/12))</f>
        <v>0</v>
      </c>
      <c r="BK2904">
        <f>BJ2904-BA2904</f>
        <v>0</v>
      </c>
      <c r="BL2904" cm="1">
        <f t="array" ref="BL2904">IFERROR(IF(BK2904&lt;0,0,BK2904/($AU$2852-INDEX(hd_off,MATCH(BT2904,hd_mark,0),0)/12)),0)</f>
        <v>0</v>
      </c>
      <c r="BM2904">
        <f>MAX($F$24,$BE$2852)/$Q$2868</f>
        <v>0</v>
      </c>
      <c r="BN2904">
        <f t="shared" si="1797"/>
        <v>0</v>
      </c>
      <c r="BO2904" cm="1">
        <f t="array" ref="BO2904">IFERROR(INDEX(sheath_ecap_asd,MATCH(BS2904,sheath_mark,0),0)*BN2904,0)</f>
        <v>0</v>
      </c>
      <c r="BP2904" cm="1">
        <f t="array" ref="BP2904">IFERROR(INDEX(sheath_wcap_asd,MATCH(BS2904,sheath_mark,0),0)*BN2904,0)</f>
        <v>0</v>
      </c>
      <c r="BQ2904" cm="1">
        <f t="array" ref="BQ2904">IFERROR(INDEX(hd_cap,MATCH(BT2904,hd_mark,0),0),0)</f>
        <v>0</v>
      </c>
      <c r="BS2904" s="19"/>
      <c r="BT2904" s="19"/>
      <c r="BU2904" s="100"/>
    </row>
    <row r="2905" x14ac:dyDescent="0.25">
      <c r="P2905" s="93"/>
      <c r="Q2905" s="109"/>
      <c r="R2905" t="str">
        <f>$Q$2841</f>
        <v>Roof</v>
      </c>
      <c r="S2905">
        <f>$E$25</f>
        <v>33.171875</v>
      </c>
      <c r="T2905" cm="1">
        <f t="array" ref="T2905">IFERROR(IF(S2905=0,0,(INDEX($C$33:$C$38,MATCH($W$2852,$B$33:$B$38,0),0)*(S2905+$X$2852)+$V$2852*$C$31)*$R$2852),0)</f>
        <v>0</v>
      </c>
      <c r="U2905">
        <f>IF(S2905=0,0,-$V$2852*$C$31*$H$27*$R$2852)</f>
        <v>0</v>
      </c>
      <c r="V2905">
        <f>IF(S2905=0,0,$V$2852*$H$26*$R$2852)</f>
        <v>0</v>
      </c>
      <c r="W2905">
        <f>(0.6*T2905+0.7*U2905)*$R$2852/2</f>
        <v>0</v>
      </c>
      <c r="X2905">
        <f>T2905*$R$2852/2</f>
        <v>0</v>
      </c>
      <c r="Z2905">
        <f>IF(S2905=0,0,$AD$2852*$AP$2841)</f>
        <v>0</v>
      </c>
      <c r="AA2905">
        <f>IFERROR(Z2905/$R$2852,0)</f>
        <v>0</v>
      </c>
      <c r="AB2905">
        <f>Z2905*($F$25+($C$16+$C$17+IF($C$13="single",1.5,3)+3)/12)</f>
        <v>0</v>
      </c>
      <c r="AC2905">
        <f>AB2905-W2905</f>
        <v>0</v>
      </c>
      <c r="AD2905" cm="1">
        <f t="array" ref="AD2905">IFERROR(IF(AC2905&lt;0,0,AC2905/($R$2852-INDEX(hd_off,MATCH(AQ2905,hd_mark,0),0)/12)),0)</f>
        <v>0</v>
      </c>
      <c r="AE2905">
        <f>IF(S2905=0,0,$AD$2852*$AM$2841)</f>
        <v>0</v>
      </c>
      <c r="AF2905">
        <f>IFERROR(AE2905/$R$2852,0)</f>
        <v>0</v>
      </c>
      <c r="AG2905">
        <f>AE2905*($F$25+($C$16+$C$17+IF($C$13="single",1.5,3)+3)/12)</f>
        <v>0</v>
      </c>
      <c r="AH2905">
        <f>AG2905-X2905</f>
        <v>0</v>
      </c>
      <c r="AI2905" cm="1">
        <f t="array" ref="AI2905">IFERROR(IF(AH2905&lt;0,0,AH2905/($R$2852-INDEX(hd_off,MATCH(AQ2905,hd_mark,0),0)/12)),0)</f>
        <v>0</v>
      </c>
      <c r="AJ2905">
        <f>MAX($F$25,$AC$2852)/$Q$2868</f>
        <v>0.29920977011494249</v>
      </c>
      <c r="AK2905">
        <f t="shared" si="1796"/>
        <v>1</v>
      </c>
      <c r="AL2905" cm="1">
        <f t="array" ref="AL2905">IFERROR(INDEX(sheath_ecap_asd,MATCH(AP2905,sheath_mark,0),0)*AK2905,0)</f>
        <v>0</v>
      </c>
      <c r="AM2905" cm="1">
        <f t="array" ref="AM2905">IFERROR(INDEX(sheath_wcap_asd,MATCH(AP2905,sheath_mark,0),0)*AK2905,0)</f>
        <v>0</v>
      </c>
      <c r="AN2905" cm="1">
        <f t="array" ref="AN2905">IFERROR(INDEX(hd_cap,MATCH(AQ2905,hd_mark,0),0),0)</f>
        <v>0</v>
      </c>
      <c r="AP2905" s="19"/>
      <c r="AQ2905" s="19"/>
      <c r="AR2905" s="100"/>
      <c r="AS2905" s="93"/>
      <c r="AT2905" s="109"/>
      <c r="AU2905" t="str">
        <f>$Q$2841</f>
        <v>Roof</v>
      </c>
      <c r="AV2905">
        <f>$E$25</f>
        <v>33.171875</v>
      </c>
      <c r="AW2905" cm="1">
        <f t="array" ref="AW2905">IFERROR(IF(AV2905=0,0,(INDEX($C$33:$C$38,MATCH($AZ$2852,$B$33:$B$38,0),0)*(AV2905+$BA$2852)+$AY$2852*$C$31)*$AU$2852),0)</f>
        <v>0</v>
      </c>
      <c r="AX2905">
        <f>IF(AV2905=0,0,-$AY$2852*$C$31*$H$27*$AU$2852)</f>
        <v>0</v>
      </c>
      <c r="AY2905">
        <f>IF(AV2905=0,0,$AY$2852*$H$26*$AU$2852)</f>
        <v>0</v>
      </c>
      <c r="AZ2905">
        <f>(0.6*AW2905+0.7*AX2905)*$AU$2852/2</f>
        <v>0</v>
      </c>
      <c r="BA2905">
        <f>AW2905*$AU$2852/2</f>
        <v>0</v>
      </c>
      <c r="BC2905">
        <f>IF(AV2905=0,0,$BG$2852*$AP$2841)</f>
        <v>0</v>
      </c>
      <c r="BD2905">
        <f>IFERROR(BC2905/$AU$2852,0)</f>
        <v>0</v>
      </c>
      <c r="BE2905">
        <f>BC2905*($F$25+($C$16+$C$17+IF($C$13="single",1.5,3)+3)/12)</f>
        <v>0</v>
      </c>
      <c r="BF2905">
        <f>BE2905-AZ2905</f>
        <v>0</v>
      </c>
      <c r="BG2905" cm="1">
        <f t="array" ref="BG2905">IFERROR(IF(BF2905&lt;0,0,BF2905/($AU$2852-INDEX(hd_off,MATCH(BT2905,hd_mark,0),0)/12)),0)</f>
        <v>0</v>
      </c>
      <c r="BH2905">
        <f>IF(AV2905=0,0,$BG$2852*$AM$2841)</f>
        <v>0</v>
      </c>
      <c r="BI2905">
        <f>IFERROR(BH2905/$AU$2852,0)</f>
        <v>0</v>
      </c>
      <c r="BJ2905">
        <f>BH2905*($F$25+($C$16+$C$17+IF($C$13="single",1.5,3)+3)/12)</f>
        <v>0</v>
      </c>
      <c r="BK2905">
        <f>BJ2905-BA2905</f>
        <v>0</v>
      </c>
      <c r="BL2905" cm="1">
        <f t="array" ref="BL2905">IFERROR(IF(BK2905&lt;0,0,BK2905/($AU$2852-INDEX(hd_off,MATCH(BT2905,hd_mark,0),0)/12)),0)</f>
        <v>0</v>
      </c>
      <c r="BM2905">
        <f>MAX($F$25,$BF$2852)/$Q$2868</f>
        <v>0.29920977011494249</v>
      </c>
      <c r="BN2905">
        <f t="shared" si="1797"/>
        <v>1</v>
      </c>
      <c r="BO2905" cm="1">
        <f t="array" ref="BO2905">IFERROR(INDEX(sheath_ecap_asd,MATCH(BS2905,sheath_mark,0),0)*BN2905,0)</f>
        <v>0</v>
      </c>
      <c r="BP2905" cm="1">
        <f t="array" ref="BP2905">IFERROR(INDEX(sheath_wcap_asd,MATCH(BS2905,sheath_mark,0),0)*BN2905,0)</f>
        <v>0</v>
      </c>
      <c r="BQ2905" cm="1">
        <f t="array" ref="BQ2905">IFERROR(INDEX(hd_cap,MATCH(BT2905,hd_mark,0),0),0)</f>
        <v>0</v>
      </c>
      <c r="BS2905" s="19"/>
      <c r="BT2905" s="19"/>
      <c r="BU2905" s="100"/>
    </row>
    <row r="2906" x14ac:dyDescent="0.25">
      <c r="P2906" s="93"/>
      <c r="AR2906" s="100"/>
      <c r="AS2906" s="93"/>
      <c r="BU2906" s="100"/>
    </row>
    <row r="2907" x14ac:dyDescent="0.25">
      <c r="P2907" s="93"/>
      <c r="Q2907" s="110" t="str">
        <f>$Q$2853</f>
        <v>A.08</v>
      </c>
      <c r="R2907" t="str">
        <f>$Q$2837</f>
        <v>L2</v>
      </c>
      <c r="S2907">
        <f>$E$21</f>
        <v>10.6875</v>
      </c>
      <c r="T2907" cm="1">
        <f t="array" ref="T2907">IFERROR(IF(S2907=0,0,(INDEX($C$33:$C$38,MATCH($W$2853,$B$33:$B$38,0),0)*(S2911+$X$2853)+$T$2853*COUNTIF(S2907:S2910,"&gt;0")*$C$32+$V$2853*$C$31)*$R$2853),0)</f>
        <v>0</v>
      </c>
      <c r="U2907">
        <f>IF(S2907=0,0,-(COUNTIF(S2907:S2910,"&gt;0")*$T$2853*$C$32+$V$2853*$C$31)*$H$27*$R$2853)</f>
        <v>0</v>
      </c>
      <c r="V2907">
        <f>IF(S2907=0,0,$V$2853*$H$26*$R$2853)</f>
        <v>0</v>
      </c>
      <c r="W2907">
        <f>(0.6*T2907+0.7*U2907)*$R$2853/2</f>
        <v>0</v>
      </c>
      <c r="X2907">
        <f>(0.6*T2907+0.6*V2907)*$R$2853/2</f>
        <v>0</v>
      </c>
      <c r="Z2907">
        <f>IF(S2907=0,0,$AD$2853*$AP$2837)</f>
        <v>0</v>
      </c>
      <c r="AA2907">
        <f>IFERROR(Z2907/$R$2853,0)</f>
        <v>0</v>
      </c>
      <c r="AB2907">
        <f>Z2907*($F$21+IF($F$21=0,0,($C$14+$C$15+IF($C$13="single",1.5,3)+3)/12))</f>
        <v>0</v>
      </c>
      <c r="AC2907">
        <f>AB2907-W2907</f>
        <v>0</v>
      </c>
      <c r="AD2907" cm="1">
        <f t="array" ref="AD2907">IFERROR(IF(AC2907&lt;0,0,AC2907/($R$2853-INDEX(hd_off,MATCH(AQ2907,hd_mark,0),0)/12)),0)</f>
        <v>0</v>
      </c>
      <c r="AE2907">
        <f>IF(S2907=0,0,$AD$2853*$AM$2837)</f>
        <v>0</v>
      </c>
      <c r="AF2907">
        <f>IFERROR(AE2907/$R$2853,0)</f>
        <v>0</v>
      </c>
      <c r="AG2907">
        <f>AE2907*($F$21+IF($F$21=0,0,($C$14+$C$15+IF($C$13="single",1.5,3)+3)/12))</f>
        <v>0</v>
      </c>
      <c r="AH2907">
        <f>AG2907-X2907</f>
        <v>0</v>
      </c>
      <c r="AI2907" cm="1">
        <f t="array" ref="AI2907">IFERROR(IF(AH2907&lt;0,0,AH2907/($R$2853-INDEX(hd_off,MATCH(AQ2907,hd_mark,0),0)/12)),0)</f>
        <v>0</v>
      </c>
      <c r="AJ2907">
        <f>MAX($F$21,$Y$2853)/$Q$2868</f>
        <v>0.30172413793103448</v>
      </c>
      <c r="AK2907">
        <f>IF(AJ2907=0,0,IF(AJ2907&gt;2,1.25-0.125*AJ2907,1))</f>
        <v>1</v>
      </c>
      <c r="AL2907" cm="1">
        <f t="array" ref="AL2907">IFERROR(INDEX(sheath_ecap_asd,MATCH(AP2907,sheath_mark,0),0)*AK2907,0)</f>
        <v>0</v>
      </c>
      <c r="AM2907" cm="1">
        <f t="array" ref="AM2907">IFERROR(INDEX(sheath_wcap_asd,MATCH(AP2907,sheath_mark,0),0)*AK2907,0)</f>
        <v>0</v>
      </c>
      <c r="AN2907" cm="1">
        <f t="array" ref="AN2907">IFERROR(INDEX(hd_cap,MATCH(AQ2907,hd_mark,0),0),0)</f>
        <v>0</v>
      </c>
      <c r="AP2907" s="19"/>
      <c r="AQ2907" s="19"/>
      <c r="AR2907" s="100"/>
      <c r="AS2907" s="93"/>
      <c r="AT2907" s="110" t="str">
        <f>$AT$2853</f>
        <v>1.08</v>
      </c>
      <c r="AU2907" t="str">
        <f>$Q$2837</f>
        <v>L2</v>
      </c>
      <c r="AV2907">
        <f>$E$21</f>
        <v>10.6875</v>
      </c>
      <c r="AW2907" cm="1">
        <f t="array" ref="AW2907">IFERROR(IF(AV2907=0,0,(INDEX($C$33:$C$38,MATCH($AZ$2853,$B$33:$B$38,0),0)*(AV2911+$BA$2853)+$AW$2853*COUNTIF(AV2907:AV2910,"&gt;0")*$C$32+$AY$2853*$C$31)*$AU$2853),0)</f>
        <v>0</v>
      </c>
      <c r="AX2907">
        <f>IF(AV2907=0,0,-(COUNTIF(AV2907:AV2910,"&gt;0")*$AW$2853*$C$32+$AY$2853*$C$31)*$H$27*$AU$2853)</f>
        <v>0</v>
      </c>
      <c r="AY2907">
        <f>IF(AV2907=0,0,$AY$2853*$H$26*$AU$2853)</f>
        <v>0</v>
      </c>
      <c r="AZ2907">
        <f>(0.6*AW2907+0.7*AX2907)*$AU$2853/2</f>
        <v>0</v>
      </c>
      <c r="BA2907">
        <f>(0.6*AW2907+0.6*AY2907)*$AU$2853/2</f>
        <v>0</v>
      </c>
      <c r="BC2907">
        <f>IF(AV2907=0,0,$BG$2853*$AP$2837)</f>
        <v>0</v>
      </c>
      <c r="BD2907">
        <f>IFERROR(BC2907/$AU$2853,0)</f>
        <v>0</v>
      </c>
      <c r="BE2907">
        <f>BC2907*($F$21+IF($F$21=0,0,($C$14+$C$15+IF($C$13="single",1.5,3)+3)/12))</f>
        <v>0</v>
      </c>
      <c r="BF2907">
        <f>BE2907-AZ2907</f>
        <v>0</v>
      </c>
      <c r="BG2907" cm="1">
        <f t="array" ref="BG2907">IFERROR(IF(BF2907&lt;0,0,BF2907/($AU$2853-INDEX(hd_off,MATCH(BT2907,hd_mark,0),0)/12)),0)</f>
        <v>0</v>
      </c>
      <c r="BH2907">
        <f>IF(AV2907=0,0,$BG$2853*$AM$2837)</f>
        <v>0</v>
      </c>
      <c r="BI2907">
        <f>IFERROR(BH2907/$AU$2853,0)</f>
        <v>0</v>
      </c>
      <c r="BJ2907">
        <f>BH2907*($F$21+IF($F$21=0,0,($C$14+$C$15+IF($C$13="single",1.5,3)+3)/12))</f>
        <v>0</v>
      </c>
      <c r="BK2907">
        <f>BJ2907-BA2907</f>
        <v>0</v>
      </c>
      <c r="BL2907" cm="1">
        <f t="array" ref="BL2907">IFERROR(IF(BK2907&lt;0,0,BK2907/($AU$2853-INDEX(hd_off,MATCH(BT2907,hd_mark,0),0)/12)),0)</f>
        <v>0</v>
      </c>
      <c r="BM2907">
        <f>MAX($F$21,$BB$2853)/$Q$2868</f>
        <v>0.30172413793103448</v>
      </c>
      <c r="BN2907">
        <f>IF(BM2907=0,0,IF(BM2907&gt;2,1.25-0.125*BM2907,1))</f>
        <v>1</v>
      </c>
      <c r="BO2907" cm="1">
        <f t="array" ref="BO2907">IFERROR(INDEX(sheath_ecap_asd,MATCH(BS2907,sheath_mark,0),0)*BN2907,0)</f>
        <v>0</v>
      </c>
      <c r="BP2907" cm="1">
        <f t="array" ref="BP2907">IFERROR(INDEX(sheath_wcap_asd,MATCH(BS2907,sheath_mark,0),0)*BN2907,0)</f>
        <v>0</v>
      </c>
      <c r="BQ2907" cm="1">
        <f t="array" ref="BQ2907">IFERROR(INDEX(hd_cap,MATCH(BT2907,hd_mark,0),0),0)</f>
        <v>0</v>
      </c>
      <c r="BS2907" s="19"/>
      <c r="BT2907" s="19"/>
      <c r="BU2907" s="100"/>
    </row>
    <row r="2908" x14ac:dyDescent="0.25">
      <c r="P2908" s="93"/>
      <c r="Q2908" s="109"/>
      <c r="R2908" t="str">
        <f>$Q$2838</f>
        <v>L3</v>
      </c>
      <c r="S2908">
        <f>$E$22</f>
        <v>21.375</v>
      </c>
      <c r="T2908" cm="1">
        <f t="array" ref="T2908">IFERROR(IF(S2908=0,0,(INDEX($C$33:$C$38,MATCH($W$2853,$B$33:$B$38,0),0)*(S2911+$X$2853)+$T$2853*COUNTIF(S2908:S2910,"&gt;0")*$C$32+$V$2853*$C$31)*$R$2853),0)</f>
        <v>0</v>
      </c>
      <c r="U2908">
        <f>IF(S2908=0,0,-(COUNTIF(S2908:S2910,"&gt;0")*$T$2853*$C$32+$V$2853*$C$31)*$H$27*$R$2853)</f>
        <v>0</v>
      </c>
      <c r="V2908">
        <f>IF(S2908=0,0,$V$2853*$H$26*$R$2853)</f>
        <v>0</v>
      </c>
      <c r="W2908">
        <f>(0.6*T2908+0.7*U2908)*$R$2853/2</f>
        <v>0</v>
      </c>
      <c r="X2908">
        <f>T2908*$R$2853/2</f>
        <v>0</v>
      </c>
      <c r="Z2908">
        <f>IF(S2908=0,0,$AD$2853*$AP$2838)</f>
        <v>0</v>
      </c>
      <c r="AA2908">
        <f>IFERROR(Z2908/$R$2853,0)</f>
        <v>0</v>
      </c>
      <c r="AB2908">
        <f>Z2908*($F$22+IF($F$22=0,0,($C$14+$C$15+IF($C$13="single",1.5,3)+3)/12))</f>
        <v>0</v>
      </c>
      <c r="AC2908">
        <f>AB2908-W2908</f>
        <v>0</v>
      </c>
      <c r="AD2908" cm="1">
        <f t="array" ref="AD2908">IFERROR(IF(AC2908&lt;0,0,AC2908/($R$2853-INDEX(hd_off,MATCH(AQ2908,hd_mark,0),0)/12)),0)</f>
        <v>0</v>
      </c>
      <c r="AE2908">
        <f>IF(S2908=0,0,$AD$2853*$AM$2838)</f>
        <v>0</v>
      </c>
      <c r="AF2908">
        <f>IFERROR(AE2908/$R$2853,0)</f>
        <v>0</v>
      </c>
      <c r="AG2908">
        <f>AE2908*($F$22+IF($F$22=0,0,($C$14+$C$15+IF($C$13="single",1.5,3)+3)/12))</f>
        <v>0</v>
      </c>
      <c r="AH2908">
        <f>AG2908-X2908</f>
        <v>0</v>
      </c>
      <c r="AI2908" cm="1">
        <f t="array" ref="AI2908">IFERROR(IF(AH2908&lt;0,0,AH2908/($R$2853-INDEX(hd_off,MATCH(AQ2908,hd_mark,0),0)/12)),0)</f>
        <v>0</v>
      </c>
      <c r="AJ2908">
        <f>MAX($F$22,$Z$2853)/$Q$2868</f>
        <v>0.30172413793103448</v>
      </c>
      <c r="AK2908">
        <f t="shared" ref="AK2908:AK2911" si="1798">IF(AJ2908=0,0,IF(AJ2908&gt;2,1.25-0.125*AJ2908,1))</f>
        <v>1</v>
      </c>
      <c r="AL2908" cm="1">
        <f t="array" ref="AL2908">IFERROR(INDEX(sheath_ecap_asd,MATCH(AP2908,sheath_mark,0),0)*AK2908,0)</f>
        <v>0</v>
      </c>
      <c r="AM2908" cm="1">
        <f t="array" ref="AM2908">IFERROR(INDEX(sheath_wcap_asd,MATCH(AP2908,sheath_mark,0),0)*AK2908,0)</f>
        <v>0</v>
      </c>
      <c r="AN2908" cm="1">
        <f t="array" ref="AN2908">IFERROR(INDEX(hd_cap,MATCH(AQ2908,hd_mark,0),0),0)</f>
        <v>0</v>
      </c>
      <c r="AP2908" s="19"/>
      <c r="AQ2908" s="19"/>
      <c r="AR2908" s="100"/>
      <c r="AS2908" s="93"/>
      <c r="AT2908" s="109"/>
      <c r="AU2908" t="str">
        <f>$Q$2838</f>
        <v>L3</v>
      </c>
      <c r="AV2908">
        <f>$E$22</f>
        <v>21.375</v>
      </c>
      <c r="AW2908" cm="1">
        <f t="array" ref="AW2908">IFERROR(IF(AV2908=0,0,(INDEX($C$33:$C$38,MATCH($AZ$2853,$B$33:$B$38,0),0)*(AV2911+$BA$2853)+$AW$2853*COUNTIF(AV2908:AV2910,"&gt;0")*$C$32+$AY$2853*$C$31)*$AU$2853),0)</f>
        <v>0</v>
      </c>
      <c r="AX2908">
        <f>IF(AV2908=0,0,-(COUNTIF(AV2908:AV2910,"&gt;0")*$AW$2853*$C$32+$AY$2853*$C$31)*$H$27*$AU$2853)</f>
        <v>0</v>
      </c>
      <c r="AY2908">
        <f>IF(AV2908=0,0,$AY$2853*$H$26*$AU$2853)</f>
        <v>0</v>
      </c>
      <c r="AZ2908">
        <f>(0.6*AW2908+0.7*AX2908)*$AU$2853/2</f>
        <v>0</v>
      </c>
      <c r="BA2908">
        <f>AW2908*$AU$2853/2</f>
        <v>0</v>
      </c>
      <c r="BC2908">
        <f>IF(AV2908=0,0,$BG$2853*$AP$2838)</f>
        <v>0</v>
      </c>
      <c r="BD2908">
        <f>IFERROR(BC2908/$AU$2853,0)</f>
        <v>0</v>
      </c>
      <c r="BE2908">
        <f>BC2908*($F$22+IF($F$22=0,0,($C$14+$C$15+IF($C$13="single",1.5,3)+3)/12))</f>
        <v>0</v>
      </c>
      <c r="BF2908">
        <f>BE2908-AZ2908</f>
        <v>0</v>
      </c>
      <c r="BG2908" cm="1">
        <f t="array" ref="BG2908">IFERROR(IF(BF2908&lt;0,0,BF2908/($AU$2853-INDEX(hd_off,MATCH(BT2908,hd_mark,0),0)/12)),0)</f>
        <v>0</v>
      </c>
      <c r="BH2908">
        <f>IF(AV2908=0,0,$BG$2853*$AM$2838)</f>
        <v>0</v>
      </c>
      <c r="BI2908">
        <f>IFERROR(BH2908/$AU$2853,0)</f>
        <v>0</v>
      </c>
      <c r="BJ2908">
        <f>BH2908*($F$22+IF($F$22=0,0,($C$14+$C$15+IF($C$13="single",1.5,3)+3)/12))</f>
        <v>0</v>
      </c>
      <c r="BK2908">
        <f>BJ2908-BA2908</f>
        <v>0</v>
      </c>
      <c r="BL2908" cm="1">
        <f t="array" ref="BL2908">IFERROR(IF(BK2908&lt;0,0,BK2908/($AU$2853-INDEX(hd_off,MATCH(BT2908,hd_mark,0),0)/12)),0)</f>
        <v>0</v>
      </c>
      <c r="BM2908">
        <f>MAX($F$22,$BC$2853)/$Q$2868</f>
        <v>0.30172413793103448</v>
      </c>
      <c r="BN2908">
        <f t="shared" ref="BN2908:BN2911" si="1799">IF(BM2908=0,0,IF(BM2908&gt;2,1.25-0.125*BM2908,1))</f>
        <v>1</v>
      </c>
      <c r="BO2908" cm="1">
        <f t="array" ref="BO2908">IFERROR(INDEX(sheath_ecap_asd,MATCH(BS2908,sheath_mark,0),0)*BN2908,0)</f>
        <v>0</v>
      </c>
      <c r="BP2908" cm="1">
        <f t="array" ref="BP2908">IFERROR(INDEX(sheath_wcap_asd,MATCH(BS2908,sheath_mark,0),0)*BN2908,0)</f>
        <v>0</v>
      </c>
      <c r="BQ2908" cm="1">
        <f t="array" ref="BQ2908">IFERROR(INDEX(hd_cap,MATCH(BT2908,hd_mark,0),0),0)</f>
        <v>0</v>
      </c>
      <c r="BS2908" s="19"/>
      <c r="BT2908" s="19"/>
      <c r="BU2908" s="100"/>
    </row>
    <row r="2909" x14ac:dyDescent="0.25">
      <c r="P2909" s="93"/>
      <c r="Q2909" s="109" t="s">
        <v>491</v>
      </c>
      <c r="R2909" t="str">
        <f>$Q$2839</f>
        <v>L4</v>
      </c>
      <c r="S2909">
        <f>$E$23</f>
        <v>0</v>
      </c>
      <c r="T2909" cm="1">
        <f t="array" ref="T2909">IFERROR(IF(S2909=0,0,(INDEX($C$33:$C$38,MATCH($W$2853,$B$33:$B$38,0),0)*(S2911+$X$2853)+$T$2853*COUNTIF(S2909:S2910,"&gt;0")*$C$32+$V$2853*$C$31)*$R$2853),0)</f>
        <v>0</v>
      </c>
      <c r="U2909">
        <f>IF(S2909=0,0,-(COUNTIF(S2909:S2910,"&gt;0")*$T$2853*$C$32+$V$2853*$C$31)*$H$27*$R$2853)</f>
        <v>0</v>
      </c>
      <c r="V2909">
        <f>IF(S2909=0,0,$V$2853*$H$26*$R$2853)</f>
        <v>0</v>
      </c>
      <c r="W2909">
        <f>(0.6*T2909+0.7*U2909)*$R$2853/2</f>
        <v>0</v>
      </c>
      <c r="X2909">
        <f>T2909*$R$2853/2</f>
        <v>0</v>
      </c>
      <c r="Z2909">
        <f>IF(S2909=0,0,$AD$2853*$AP$2839)</f>
        <v>0</v>
      </c>
      <c r="AA2909">
        <f>IFERROR(Z2909/$R$2853,0)</f>
        <v>0</v>
      </c>
      <c r="AB2909">
        <f>Z2909*($F$23+IF($F$23=0,0,($C$14+$C$15+IF($C$13="single",1.5,3)+3)/12))</f>
        <v>0</v>
      </c>
      <c r="AC2909">
        <f>AB2909-W2909</f>
        <v>0</v>
      </c>
      <c r="AD2909" cm="1">
        <f t="array" ref="AD2909">IFERROR(IF(AC2909&lt;0,0,AC2909/($R$2853-INDEX(hd_off,MATCH(AQ2909,hd_mark,0),0)/12)),0)</f>
        <v>0</v>
      </c>
      <c r="AE2909">
        <f>IF(S2909=0,0,$AD$2853*$AM$2839)</f>
        <v>0</v>
      </c>
      <c r="AF2909">
        <f>IFERROR(AE2909/$R$2853,0)</f>
        <v>0</v>
      </c>
      <c r="AG2909">
        <f>AE2909*($F$23+IF($F$23=0,0,($C$14+$C$15+IF($C$13="single",1.5,3)+3)/12))</f>
        <v>0</v>
      </c>
      <c r="AH2909">
        <f>AG2909-X2909</f>
        <v>0</v>
      </c>
      <c r="AI2909" cm="1">
        <f t="array" ref="AI2909">IFERROR(IF(AH2909&lt;0,0,AH2909/($R$2853-INDEX(hd_off,MATCH(AQ2909,hd_mark,0),0)/12)),0)</f>
        <v>0</v>
      </c>
      <c r="AJ2909">
        <f>MAX($F$23,$AA$2853)/$Q$2868</f>
        <v>0</v>
      </c>
      <c r="AK2909">
        <f t="shared" si="1798"/>
        <v>0</v>
      </c>
      <c r="AL2909" cm="1">
        <f t="array" ref="AL2909">IFERROR(INDEX(sheath_ecap_asd,MATCH(AP2909,sheath_mark,0),0)*AK2909,0)</f>
        <v>0</v>
      </c>
      <c r="AM2909" cm="1">
        <f t="array" ref="AM2909">IFERROR(INDEX(sheath_wcap_asd,MATCH(AP2909,sheath_mark,0),0)*AK2909,0)</f>
        <v>0</v>
      </c>
      <c r="AN2909" cm="1">
        <f t="array" ref="AN2909">IFERROR(INDEX(hd_cap,MATCH(AQ2909,hd_mark,0),0),0)</f>
        <v>0</v>
      </c>
      <c r="AP2909" s="19"/>
      <c r="AQ2909" s="19"/>
      <c r="AR2909" s="100"/>
      <c r="AS2909" s="93"/>
      <c r="AT2909" s="109" t="s">
        <v>491</v>
      </c>
      <c r="AU2909" t="str">
        <f>$Q$2839</f>
        <v>L4</v>
      </c>
      <c r="AV2909">
        <f>$E$23</f>
        <v>0</v>
      </c>
      <c r="AW2909" cm="1">
        <f t="array" ref="AW2909">IFERROR(IF(AV2909=0,0,(INDEX($C$33:$C$38,MATCH($AZ$2853,$B$33:$B$38,0),0)*(AV2911+$BA$2853)+$AW$2853*COUNTIF(AV2909:AV2910,"&gt;0")*$C$32+$AY$2853*$C$31)*$AU$2853),0)</f>
        <v>0</v>
      </c>
      <c r="AX2909">
        <f>IF(AV2909=0,0,-(COUNTIF(AV2909:AV2910,"&gt;0")*$AW$2853*$C$32+$AY$2853*$C$31)*$H$27*$AU$2853)</f>
        <v>0</v>
      </c>
      <c r="AY2909">
        <f>IF(AV2909=0,0,$AY$2853*$H$26*$AU$2853)</f>
        <v>0</v>
      </c>
      <c r="AZ2909">
        <f>(0.6*AW2909+0.7*AX2909)*$AU$2853/2</f>
        <v>0</v>
      </c>
      <c r="BA2909">
        <f>AW2909*$AU$2853/2</f>
        <v>0</v>
      </c>
      <c r="BC2909">
        <f>IF(AV2909=0,0,$BG$2853*$AP$2839)</f>
        <v>0</v>
      </c>
      <c r="BD2909">
        <f>IFERROR(BC2909/$AU$2853,0)</f>
        <v>0</v>
      </c>
      <c r="BE2909">
        <f>BC2909*($F$23+IF($F$23=0,0,($C$14+$C$15+IF($C$13="single",1.5,3)+3)/12))</f>
        <v>0</v>
      </c>
      <c r="BF2909">
        <f>BE2909-AZ2909</f>
        <v>0</v>
      </c>
      <c r="BG2909" cm="1">
        <f t="array" ref="BG2909">IFERROR(IF(BF2909&lt;0,0,BF2909/($AU$2853-INDEX(hd_off,MATCH(BT2909,hd_mark,0),0)/12)),0)</f>
        <v>0</v>
      </c>
      <c r="BH2909">
        <f>IF(AV2909=0,0,$BG$2853*$AM$2839)</f>
        <v>0</v>
      </c>
      <c r="BI2909">
        <f>IFERROR(BH2909/$AU$2853,0)</f>
        <v>0</v>
      </c>
      <c r="BJ2909">
        <f>BH2909*($F$23+IF($F$23=0,0,($C$14+$C$15+IF($C$13="single",1.5,3)+3)/12))</f>
        <v>0</v>
      </c>
      <c r="BK2909">
        <f>BJ2909-BA2909</f>
        <v>0</v>
      </c>
      <c r="BL2909" cm="1">
        <f t="array" ref="BL2909">IFERROR(IF(BK2909&lt;0,0,BK2909/($AU$2853-INDEX(hd_off,MATCH(BT2909,hd_mark,0),0)/12)),0)</f>
        <v>0</v>
      </c>
      <c r="BM2909">
        <f>MAX($F$23,$BD$2853)/$Q$2868</f>
        <v>0</v>
      </c>
      <c r="BN2909">
        <f t="shared" si="1799"/>
        <v>0</v>
      </c>
      <c r="BO2909" cm="1">
        <f t="array" ref="BO2909">IFERROR(INDEX(sheath_ecap_asd,MATCH(BS2909,sheath_mark,0),0)*BN2909,0)</f>
        <v>0</v>
      </c>
      <c r="BP2909" cm="1">
        <f t="array" ref="BP2909">IFERROR(INDEX(sheath_wcap_asd,MATCH(BS2909,sheath_mark,0),0)*BN2909,0)</f>
        <v>0</v>
      </c>
      <c r="BQ2909" cm="1">
        <f t="array" ref="BQ2909">IFERROR(INDEX(hd_cap,MATCH(BT2909,hd_mark,0),0),0)</f>
        <v>0</v>
      </c>
      <c r="BS2909" s="19"/>
      <c r="BT2909" s="19"/>
      <c r="BU2909" s="100"/>
    </row>
    <row r="2910" x14ac:dyDescent="0.25">
      <c r="P2910" s="93"/>
      <c r="Q2910" s="111">
        <f>$R$2853</f>
        <v>0</v>
      </c>
      <c r="R2910" t="str">
        <f>$Q$2840</f>
        <v>L5</v>
      </c>
      <c r="S2910">
        <f>$E$24</f>
        <v>0</v>
      </c>
      <c r="T2910" cm="1">
        <f t="array" ref="T2910">IFERROR(IF(S2910=0,0,(INDEX($C$33:$C$38,MATCH($W$2853,$B$33:$B$38,0),0)*(S2911+$X$2853)+$T$2853*COUNTIF(S2910:S2910,"&gt;0")*$C$32+$V$2853*$C$31)*$R$2853),0)</f>
        <v>0</v>
      </c>
      <c r="U2910">
        <f>IF(S2910=0,0,-(COUNTIF(S2910:S2910,"&gt;0")*$T$2853*$C$32+$V$2853*$C$31)*$H$27*$R$2853)</f>
        <v>0</v>
      </c>
      <c r="V2910">
        <f>IF(S2910=0,0,$V$2853*$H$26*$R$2853)</f>
        <v>0</v>
      </c>
      <c r="W2910">
        <f>(0.6*T2910+0.7*U2910)*$R$2853/2</f>
        <v>0</v>
      </c>
      <c r="X2910">
        <f>T2910*$R$2853/2</f>
        <v>0</v>
      </c>
      <c r="Z2910">
        <f>IF(S2910=0,0,$AD$2853*$AP$2840)</f>
        <v>0</v>
      </c>
      <c r="AA2910">
        <f>IFERROR(Z2910/$R$2853,0)</f>
        <v>0</v>
      </c>
      <c r="AB2910">
        <f>Z2910*($F$24+IF($F$24=0,0,($C$14+$C$15+IF($C$13="single",1.5,3)+3)/12))</f>
        <v>0</v>
      </c>
      <c r="AC2910">
        <f>AB2910-W2910</f>
        <v>0</v>
      </c>
      <c r="AD2910" cm="1">
        <f t="array" ref="AD2910">IFERROR(IF(AC2910&lt;0,0,AC2910/($R$2853-INDEX(hd_off,MATCH(AQ2910,hd_mark,0),0)/12)),0)</f>
        <v>0</v>
      </c>
      <c r="AE2910">
        <f>IF(S2910=0,0,$AD$2853*$AM$2840)</f>
        <v>0</v>
      </c>
      <c r="AF2910">
        <f>IFERROR(AE2910/$R$2853,0)</f>
        <v>0</v>
      </c>
      <c r="AG2910">
        <f>AE2910*($F$24+IF($F$24=0,0,($C$14+$C$15+IF($C$13="single",1.5,3)+3)/12))</f>
        <v>0</v>
      </c>
      <c r="AH2910">
        <f>AG2910-X2910</f>
        <v>0</v>
      </c>
      <c r="AI2910" cm="1">
        <f t="array" ref="AI2910">IFERROR(IF(AH2910&lt;0,0,AH2910/($R$2853-INDEX(hd_off,MATCH(AQ2910,hd_mark,0),0)/12)),0)</f>
        <v>0</v>
      </c>
      <c r="AJ2910">
        <f>MAX($F$24,$AB$2853)/$Q$2868</f>
        <v>0</v>
      </c>
      <c r="AK2910">
        <f t="shared" si="1798"/>
        <v>0</v>
      </c>
      <c r="AL2910" cm="1">
        <f t="array" ref="AL2910">IFERROR(INDEX(sheath_ecap_asd,MATCH(AP2910,sheath_mark,0),0)*AK2910,0)</f>
        <v>0</v>
      </c>
      <c r="AM2910" cm="1">
        <f t="array" ref="AM2910">IFERROR(INDEX(sheath_wcap_asd,MATCH(AP2910,sheath_mark,0),0)*AK2910,0)</f>
        <v>0</v>
      </c>
      <c r="AN2910" cm="1">
        <f t="array" ref="AN2910">IFERROR(INDEX(hd_cap,MATCH(AQ2910,hd_mark,0),0),0)</f>
        <v>0</v>
      </c>
      <c r="AP2910" s="19"/>
      <c r="AQ2910" s="19"/>
      <c r="AR2910" s="100"/>
      <c r="AS2910" s="93"/>
      <c r="AT2910" s="111">
        <f>$R$2853</f>
        <v>0</v>
      </c>
      <c r="AU2910" t="str">
        <f>$Q$2840</f>
        <v>L5</v>
      </c>
      <c r="AV2910">
        <f>$E$24</f>
        <v>0</v>
      </c>
      <c r="AW2910" cm="1">
        <f t="array" ref="AW2910">IFERROR(IF(AV2910=0,0,(INDEX($C$33:$C$38,MATCH($AZ$2853,$B$33:$B$38,0),0)*(AV2911+$BA$2853)+$AW$2853*COUNTIF(AV2910:AV2910,"&gt;0")*$C$32+$AY$2853*$C$31)*$AU$2853),0)</f>
        <v>0</v>
      </c>
      <c r="AX2910">
        <f>IF(AV2910=0,0,-(COUNTIF(AV2910:AV2910,"&gt;0")*$AW$2853*$C$32+$AY$2853*$C$31)*$H$27*$AU$2853)</f>
        <v>0</v>
      </c>
      <c r="AY2910">
        <f>IF(AV2910=0,0,$AY$2853*$H$26*$AU$2853)</f>
        <v>0</v>
      </c>
      <c r="AZ2910">
        <f>(0.6*AW2910+0.7*AX2910)*$AU$2853/2</f>
        <v>0</v>
      </c>
      <c r="BA2910">
        <f>AW2910*$AU$2853/2</f>
        <v>0</v>
      </c>
      <c r="BC2910">
        <f>IF(AV2910=0,0,$BG$2853*$AP$2840)</f>
        <v>0</v>
      </c>
      <c r="BD2910">
        <f>IFERROR(BC2910/$AU$2853,0)</f>
        <v>0</v>
      </c>
      <c r="BE2910">
        <f>BC2910*($F$24+IF($F$24=0,0,($C$14+$C$15+IF($C$13="single",1.5,3)+3)/12))</f>
        <v>0</v>
      </c>
      <c r="BF2910">
        <f>BE2910-AZ2910</f>
        <v>0</v>
      </c>
      <c r="BG2910" cm="1">
        <f t="array" ref="BG2910">IFERROR(IF(BF2910&lt;0,0,BF2910/($AU$2853-INDEX(hd_off,MATCH(BT2910,hd_mark,0),0)/12)),0)</f>
        <v>0</v>
      </c>
      <c r="BH2910">
        <f>IF(AV2910=0,0,$BG$2853*$AM$2840)</f>
        <v>0</v>
      </c>
      <c r="BI2910">
        <f>IFERROR(BH2910/$AU$2853,0)</f>
        <v>0</v>
      </c>
      <c r="BJ2910">
        <f>BH2910*($F$24+IF($F$24=0,0,($C$14+$C$15+IF($C$13="single",1.5,3)+3)/12))</f>
        <v>0</v>
      </c>
      <c r="BK2910">
        <f>BJ2910-BA2910</f>
        <v>0</v>
      </c>
      <c r="BL2910" cm="1">
        <f t="array" ref="BL2910">IFERROR(IF(BK2910&lt;0,0,BK2910/($AU$2853-INDEX(hd_off,MATCH(BT2910,hd_mark,0),0)/12)),0)</f>
        <v>0</v>
      </c>
      <c r="BM2910">
        <f>MAX($F$24,$BE$2853)/$Q$2868</f>
        <v>0</v>
      </c>
      <c r="BN2910">
        <f t="shared" si="1799"/>
        <v>0</v>
      </c>
      <c r="BO2910" cm="1">
        <f t="array" ref="BO2910">IFERROR(INDEX(sheath_ecap_asd,MATCH(BS2910,sheath_mark,0),0)*BN2910,0)</f>
        <v>0</v>
      </c>
      <c r="BP2910" cm="1">
        <f t="array" ref="BP2910">IFERROR(INDEX(sheath_wcap_asd,MATCH(BS2910,sheath_mark,0),0)*BN2910,0)</f>
        <v>0</v>
      </c>
      <c r="BQ2910" cm="1">
        <f t="array" ref="BQ2910">IFERROR(INDEX(hd_cap,MATCH(BT2910,hd_mark,0),0),0)</f>
        <v>0</v>
      </c>
      <c r="BS2910" s="19"/>
      <c r="BT2910" s="19"/>
      <c r="BU2910" s="100"/>
    </row>
    <row r="2911" x14ac:dyDescent="0.25">
      <c r="P2911" s="93"/>
      <c r="Q2911" s="109"/>
      <c r="R2911" t="str">
        <f>$Q$2841</f>
        <v>Roof</v>
      </c>
      <c r="S2911">
        <f>$E$25</f>
        <v>33.171875</v>
      </c>
      <c r="T2911" cm="1">
        <f t="array" ref="T2911">IFERROR(IF(S2911=0,0,(INDEX($C$33:$C$38,MATCH($W$2853,$B$33:$B$38,0),0)*(S2911+$X$2853)+$V$2853*$C$31)*$R$2853),0)</f>
        <v>0</v>
      </c>
      <c r="U2911">
        <f>IF(S2911=0,0,-$V$2853*$C$31*$H$27*$R$2853)</f>
        <v>0</v>
      </c>
      <c r="V2911">
        <f>IF(S2911=0,0,$V$2853*$H$26*$R$2853)</f>
        <v>0</v>
      </c>
      <c r="W2911">
        <f>(0.6*T2911+0.7*U2911)*$R$2853/2</f>
        <v>0</v>
      </c>
      <c r="X2911">
        <f>T2911*$R$2853/2</f>
        <v>0</v>
      </c>
      <c r="Z2911">
        <f>IF(S2911=0,0,$AD$2853*$AP$2841)</f>
        <v>0</v>
      </c>
      <c r="AA2911">
        <f>IFERROR(Z2911/$R$2853,0)</f>
        <v>0</v>
      </c>
      <c r="AB2911">
        <f>Z2911*($F$25+($C$16+$C$17+IF($C$13="single",1.5,3)+3)/12)</f>
        <v>0</v>
      </c>
      <c r="AC2911">
        <f>AB2911-W2911</f>
        <v>0</v>
      </c>
      <c r="AD2911" cm="1">
        <f t="array" ref="AD2911">IFERROR(IF(AC2911&lt;0,0,AC2911/($R$2853-INDEX(hd_off,MATCH(AQ2911,hd_mark,0),0)/12)),0)</f>
        <v>0</v>
      </c>
      <c r="AE2911">
        <f>IF(S2911=0,0,$AD$2853*$AM$2841)</f>
        <v>0</v>
      </c>
      <c r="AF2911">
        <f>IFERROR(AE2911/$R$2853,0)</f>
        <v>0</v>
      </c>
      <c r="AG2911">
        <f>AE2911*($F$25+($C$16+$C$17+IF($C$13="single",1.5,3)+3)/12)</f>
        <v>0</v>
      </c>
      <c r="AH2911">
        <f>AG2911-X2911</f>
        <v>0</v>
      </c>
      <c r="AI2911" cm="1">
        <f t="array" ref="AI2911">IFERROR(IF(AH2911&lt;0,0,AH2911/($R$2853-INDEX(hd_off,MATCH(AQ2911,hd_mark,0),0)/12)),0)</f>
        <v>0</v>
      </c>
      <c r="AJ2911">
        <f>MAX($F$25,$AC$2853)/$Q$2868</f>
        <v>0.29920977011494249</v>
      </c>
      <c r="AK2911">
        <f t="shared" si="1798"/>
        <v>1</v>
      </c>
      <c r="AL2911" cm="1">
        <f t="array" ref="AL2911">IFERROR(INDEX(sheath_ecap_asd,MATCH(AP2911,sheath_mark,0),0)*AK2911,0)</f>
        <v>0</v>
      </c>
      <c r="AM2911" cm="1">
        <f t="array" ref="AM2911">IFERROR(INDEX(sheath_wcap_asd,MATCH(AP2911,sheath_mark,0),0)*AK2911,0)</f>
        <v>0</v>
      </c>
      <c r="AN2911" cm="1">
        <f t="array" ref="AN2911">IFERROR(INDEX(hd_cap,MATCH(AQ2911,hd_mark,0),0),0)</f>
        <v>0</v>
      </c>
      <c r="AP2911" s="19"/>
      <c r="AQ2911" s="19"/>
      <c r="AR2911" s="100"/>
      <c r="AS2911" s="93"/>
      <c r="AT2911" s="109"/>
      <c r="AU2911" t="str">
        <f>$Q$2841</f>
        <v>Roof</v>
      </c>
      <c r="AV2911">
        <f>$E$25</f>
        <v>33.171875</v>
      </c>
      <c r="AW2911" cm="1">
        <f t="array" ref="AW2911">IFERROR(IF(AV2911=0,0,(INDEX($C$33:$C$38,MATCH($AZ$2853,$B$33:$B$38,0),0)*(AV2911+$BA$2853)+$AY$2853*$C$31)*$AU$2853),0)</f>
        <v>0</v>
      </c>
      <c r="AX2911">
        <f>IF(AV2911=0,0,-$AY$2853*$C$31*$H$27*$AU$2853)</f>
        <v>0</v>
      </c>
      <c r="AY2911">
        <f>IF(AV2911=0,0,$AY$2853*$H$26*$AU$2853)</f>
        <v>0</v>
      </c>
      <c r="AZ2911">
        <f>(0.6*AW2911+0.7*AX2911)*$AU$2853/2</f>
        <v>0</v>
      </c>
      <c r="BA2911">
        <f>AW2911*$AU$2853/2</f>
        <v>0</v>
      </c>
      <c r="BC2911">
        <f>IF(AV2911=0,0,$BG$2853*$AP$2841)</f>
        <v>0</v>
      </c>
      <c r="BD2911">
        <f>IFERROR(BC2911/$AU$2853,0)</f>
        <v>0</v>
      </c>
      <c r="BE2911">
        <f>BC2911*($F$25+($C$16+$C$17+IF($C$13="single",1.5,3)+3)/12)</f>
        <v>0</v>
      </c>
      <c r="BF2911">
        <f>BE2911-AZ2911</f>
        <v>0</v>
      </c>
      <c r="BG2911" cm="1">
        <f t="array" ref="BG2911">IFERROR(IF(BF2911&lt;0,0,BF2911/($AU$2853-INDEX(hd_off,MATCH(BT2911,hd_mark,0),0)/12)),0)</f>
        <v>0</v>
      </c>
      <c r="BH2911">
        <f>IF(AV2911=0,0,$BG$2853*$AM$2841)</f>
        <v>0</v>
      </c>
      <c r="BI2911">
        <f>IFERROR(BH2911/$AU$2853,0)</f>
        <v>0</v>
      </c>
      <c r="BJ2911">
        <f>BH2911*($F$25+($C$16+$C$17+IF($C$13="single",1.5,3)+3)/12)</f>
        <v>0</v>
      </c>
      <c r="BK2911">
        <f>BJ2911-BA2911</f>
        <v>0</v>
      </c>
      <c r="BL2911" cm="1">
        <f t="array" ref="BL2911">IFERROR(IF(BK2911&lt;0,0,BK2911/($AU$2853-INDEX(hd_off,MATCH(BT2911,hd_mark,0),0)/12)),0)</f>
        <v>0</v>
      </c>
      <c r="BM2911">
        <f>MAX($F$25,$BF$2853)/$Q$2868</f>
        <v>0.29920977011494249</v>
      </c>
      <c r="BN2911">
        <f t="shared" si="1799"/>
        <v>1</v>
      </c>
      <c r="BO2911" cm="1">
        <f t="array" ref="BO2911">IFERROR(INDEX(sheath_ecap_asd,MATCH(BS2911,sheath_mark,0),0)*BN2911,0)</f>
        <v>0</v>
      </c>
      <c r="BP2911" cm="1">
        <f t="array" ref="BP2911">IFERROR(INDEX(sheath_wcap_asd,MATCH(BS2911,sheath_mark,0),0)*BN2911,0)</f>
        <v>0</v>
      </c>
      <c r="BQ2911" cm="1">
        <f t="array" ref="BQ2911">IFERROR(INDEX(hd_cap,MATCH(BT2911,hd_mark,0),0),0)</f>
        <v>0</v>
      </c>
      <c r="BS2911" s="19"/>
      <c r="BT2911" s="19"/>
      <c r="BU2911" s="100"/>
    </row>
    <row r="2912" x14ac:dyDescent="0.25">
      <c r="P2912" s="93"/>
      <c r="AR2912" s="100"/>
      <c r="AS2912" s="93"/>
      <c r="BU2912" s="100"/>
    </row>
    <row r="2913" x14ac:dyDescent="0.25">
      <c r="P2913" s="93"/>
      <c r="Q2913" s="110" t="str">
        <f>$Q$2854</f>
        <v>A.09</v>
      </c>
      <c r="R2913" t="str">
        <f>$Q$2837</f>
        <v>L2</v>
      </c>
      <c r="S2913">
        <f>$E$21</f>
        <v>10.6875</v>
      </c>
      <c r="T2913" cm="1">
        <f t="array" ref="T2913">IFERROR(IF(S2913=0,0,(INDEX($C$33:$C$38,MATCH($W$2854,$B$33:$B$38,0),0)*(S2917+$X$2854)+$T$2854*COUNTIF(S2913:S2916,"&gt;0")*$C$32+$V$2854*$C$31)*$R$2854),0)</f>
        <v>0</v>
      </c>
      <c r="U2913">
        <f>IF(S2913=0,0,-(COUNTIF(S2913:S2916,"&gt;0")*$T$2854*$C$32+$V$2854*$C$31)*$H$27*$R$2854)</f>
        <v>0</v>
      </c>
      <c r="V2913">
        <f>IF(S2913=0,0,$V$2854*$H$26*$R$2854)</f>
        <v>0</v>
      </c>
      <c r="W2913">
        <f>(0.6*T2913+0.7*U2913)*$R$2854/2</f>
        <v>0</v>
      </c>
      <c r="X2913">
        <f>(0.6*T2913+0.6*V2913)*$R$2854/2</f>
        <v>0</v>
      </c>
      <c r="Z2913">
        <f>IF(S2913=0,0,$AD$2854*$AP$2837)</f>
        <v>0</v>
      </c>
      <c r="AA2913">
        <f>IFERROR(Z2913/$R$2854,0)</f>
        <v>0</v>
      </c>
      <c r="AB2913">
        <f>Z2913*($F$21+IF($F$21=0,0,($C$14+$C$15+IF($C$13="single",1.5,3)+3)/12))</f>
        <v>0</v>
      </c>
      <c r="AC2913">
        <f>AB2913-W2913</f>
        <v>0</v>
      </c>
      <c r="AD2913" cm="1">
        <f t="array" ref="AD2913">IFERROR(IF(AC2913&lt;0,0,AC2913/($R$2854-INDEX(hd_off,MATCH(AQ2913,hd_mark,0),0)/12)),0)</f>
        <v>0</v>
      </c>
      <c r="AE2913">
        <f>IF(S2913=0,0,$AD$2854*$AM$2837)</f>
        <v>0</v>
      </c>
      <c r="AF2913">
        <f>IFERROR(AE2913/$R$2854,0)</f>
        <v>0</v>
      </c>
      <c r="AG2913">
        <f>AE2913*($F$21+IF($F$21=0,0,($C$14+$C$15+IF($C$13="single",1.5,3)+3)/12))</f>
        <v>0</v>
      </c>
      <c r="AH2913">
        <f>AG2913-X2913</f>
        <v>0</v>
      </c>
      <c r="AI2913" cm="1">
        <f t="array" ref="AI2913">IFERROR(IF(AH2913&lt;0,0,AH2913/($R$2854-INDEX(hd_off,MATCH(AQ2913,hd_mark,0),0)/12)),0)</f>
        <v>0</v>
      </c>
      <c r="AJ2913">
        <f>MAX($F$21,$Y$2854)/$Q$2868</f>
        <v>0.30172413793103448</v>
      </c>
      <c r="AK2913">
        <f>IF(AJ2913=0,0,IF(AJ2913&gt;2,1.25-0.125*AJ2913,1))</f>
        <v>1</v>
      </c>
      <c r="AL2913" cm="1">
        <f t="array" ref="AL2913">IFERROR(INDEX(sheath_ecap_asd,MATCH(AP2913,sheath_mark,0),0)*AK2913,0)</f>
        <v>0</v>
      </c>
      <c r="AM2913" cm="1">
        <f t="array" ref="AM2913">IFERROR(INDEX(sheath_wcap_asd,MATCH(AP2913,sheath_mark,0),0)*AK2913,0)</f>
        <v>0</v>
      </c>
      <c r="AN2913" cm="1">
        <f t="array" ref="AN2913">IFERROR(INDEX(hd_cap,MATCH(AQ2913,hd_mark,0),0),0)</f>
        <v>0</v>
      </c>
      <c r="AP2913" s="19"/>
      <c r="AQ2913" s="19"/>
      <c r="AR2913" s="100"/>
      <c r="AS2913" s="93"/>
      <c r="AT2913" s="110" t="str">
        <f>$AT$2854</f>
        <v>1.09</v>
      </c>
      <c r="AU2913" t="str">
        <f>$Q$2837</f>
        <v>L2</v>
      </c>
      <c r="AV2913">
        <f>$E$21</f>
        <v>10.6875</v>
      </c>
      <c r="AW2913" cm="1">
        <f t="array" ref="AW2913">IFERROR(IF(AV2913=0,0,(INDEX($C$33:$C$38,MATCH($AZ$2854,$B$33:$B$38,0),0)*(AV2917+$BA$2854)+$AW$2854*COUNTIF(AV2913:AV2916,"&gt;0")*$C$32+$AY$2854*$C$31)*$AU$2854),0)</f>
        <v>0</v>
      </c>
      <c r="AX2913">
        <f>IF(AV2913=0,0,-(COUNTIF(AV2913:AV2916,"&gt;0")*$AW$2854*$C$32+$AY$2854*$C$31)*$H$27*$AU$2854)</f>
        <v>0</v>
      </c>
      <c r="AY2913">
        <f>IF(AV2913=0,0,$AY$2854*$H$26*$AU$2854)</f>
        <v>0</v>
      </c>
      <c r="AZ2913">
        <f>(0.6*AW2913+0.7*AX2913)*$AU$2854/2</f>
        <v>0</v>
      </c>
      <c r="BA2913">
        <f>(0.6*AW2913+0.6*AY2913)*$AU$2854/2</f>
        <v>0</v>
      </c>
      <c r="BC2913">
        <f>IF(AV2913=0,0,$BG$2854*$AP$2837)</f>
        <v>0</v>
      </c>
      <c r="BD2913">
        <f>IFERROR(BC2913/$AU$2854,0)</f>
        <v>0</v>
      </c>
      <c r="BE2913">
        <f>BC2913*($F$21+IF($F$21=0,0,($C$14+$C$15+IF($C$13="single",1.5,3)+3)/12))</f>
        <v>0</v>
      </c>
      <c r="BF2913">
        <f>BE2913-AZ2913</f>
        <v>0</v>
      </c>
      <c r="BG2913" cm="1">
        <f t="array" ref="BG2913">IFERROR(IF(BF2913&lt;0,0,BF2913/($AU$2854-INDEX(hd_off,MATCH(BT2913,hd_mark,0),0)/12)),0)</f>
        <v>0</v>
      </c>
      <c r="BH2913">
        <f>IF(AV2913=0,0,$BG$2854*$AM$2837)</f>
        <v>0</v>
      </c>
      <c r="BI2913">
        <f>IFERROR(BH2913/$AU$2854,0)</f>
        <v>0</v>
      </c>
      <c r="BJ2913">
        <f>BH2913*($F$21+IF($F$21=0,0,($C$14+$C$15+IF($C$13="single",1.5,3)+3)/12))</f>
        <v>0</v>
      </c>
      <c r="BK2913">
        <f>BJ2913-BA2913</f>
        <v>0</v>
      </c>
      <c r="BL2913" cm="1">
        <f t="array" ref="BL2913">IFERROR(IF(BK2913&lt;0,0,BK2913/($AU$2854-INDEX(hd_off,MATCH(BT2913,hd_mark,0),0)/12)),0)</f>
        <v>0</v>
      </c>
      <c r="BM2913">
        <f>MAX($F$21,$BB$2854)/$Q$2868</f>
        <v>0.30172413793103448</v>
      </c>
      <c r="BN2913">
        <f>IF(BM2913=0,0,IF(BM2913&gt;2,1.25-0.125*BM2913,1))</f>
        <v>1</v>
      </c>
      <c r="BO2913" cm="1">
        <f t="array" ref="BO2913">IFERROR(INDEX(sheath_ecap_asd,MATCH(BS2913,sheath_mark,0),0)*BN2913,0)</f>
        <v>0</v>
      </c>
      <c r="BP2913" cm="1">
        <f t="array" ref="BP2913">IFERROR(INDEX(sheath_wcap_asd,MATCH(BS2913,sheath_mark,0),0)*BN2913,0)</f>
        <v>0</v>
      </c>
      <c r="BQ2913" cm="1">
        <f t="array" ref="BQ2913">IFERROR(INDEX(hd_cap,MATCH(BT2913,hd_mark,0),0),0)</f>
        <v>0</v>
      </c>
      <c r="BS2913" s="19"/>
      <c r="BT2913" s="19"/>
      <c r="BU2913" s="100"/>
    </row>
    <row r="2914" x14ac:dyDescent="0.25">
      <c r="P2914" s="93"/>
      <c r="Q2914" s="109"/>
      <c r="R2914" t="str">
        <f>$Q$2838</f>
        <v>L3</v>
      </c>
      <c r="S2914">
        <f>$E$22</f>
        <v>21.375</v>
      </c>
      <c r="T2914" cm="1">
        <f t="array" ref="T2914">IFERROR(IF(S2914=0,0,(INDEX($C$33:$C$38,MATCH($W$2854,$B$33:$B$38,0),0)*(S2917+$X$2854)+$T$2854*COUNTIF(S2914:S2916,"&gt;0")*$C$32+$V$2854*$C$31)*$R$2854),0)</f>
        <v>0</v>
      </c>
      <c r="U2914">
        <f>IF(S2914=0,0,-(COUNTIF(S2914:S2916,"&gt;0")*$T$2854*$C$32+$V$2854*$C$31)*$H$27*$R$2854)</f>
        <v>0</v>
      </c>
      <c r="V2914">
        <f>IF(S2914=0,0,$V$2854*$H$26*$R$2854)</f>
        <v>0</v>
      </c>
      <c r="W2914">
        <f>(0.6*T2914+0.7*U2914)*$R$2854/2</f>
        <v>0</v>
      </c>
      <c r="X2914">
        <f>T2914*$R$2854/2</f>
        <v>0</v>
      </c>
      <c r="Z2914">
        <f>IF(S2914=0,0,$AD$2854*$AP$2838)</f>
        <v>0</v>
      </c>
      <c r="AA2914">
        <f>IFERROR(Z2914/$R$2854,0)</f>
        <v>0</v>
      </c>
      <c r="AB2914">
        <f>Z2914*($F$22+IF($F$22=0,0,($C$14+$C$15+IF($C$13="single",1.5,3)+3)/12))</f>
        <v>0</v>
      </c>
      <c r="AC2914">
        <f>AB2914-W2914</f>
        <v>0</v>
      </c>
      <c r="AD2914" cm="1">
        <f t="array" ref="AD2914">IFERROR(IF(AC2914&lt;0,0,AC2914/($R$2854-INDEX(hd_off,MATCH(AQ2914,hd_mark,0),0)/12)),0)</f>
        <v>0</v>
      </c>
      <c r="AE2914">
        <f>IF(S2914=0,0,$AD$2854*$AM$2838)</f>
        <v>0</v>
      </c>
      <c r="AF2914">
        <f>IFERROR(AE2914/$R$2854,0)</f>
        <v>0</v>
      </c>
      <c r="AG2914">
        <f>AE2914*($F$22+IF($F$22=0,0,($C$14+$C$15+IF($C$13="single",1.5,3)+3)/12))</f>
        <v>0</v>
      </c>
      <c r="AH2914">
        <f>AG2914-X2914</f>
        <v>0</v>
      </c>
      <c r="AI2914" cm="1">
        <f t="array" ref="AI2914">IFERROR(IF(AH2914&lt;0,0,AH2914/($R$2854-INDEX(hd_off,MATCH(AQ2914,hd_mark,0),0)/12)),0)</f>
        <v>0</v>
      </c>
      <c r="AJ2914">
        <f>MAX($F$22,$Z$2854)/$Q$2868</f>
        <v>0.30172413793103448</v>
      </c>
      <c r="AK2914">
        <f t="shared" ref="AK2914:AK2917" si="1800">IF(AJ2914=0,0,IF(AJ2914&gt;2,1.25-0.125*AJ2914,1))</f>
        <v>1</v>
      </c>
      <c r="AL2914" cm="1">
        <f t="array" ref="AL2914">IFERROR(INDEX(sheath_ecap_asd,MATCH(AP2914,sheath_mark,0),0)*AK2914,0)</f>
        <v>0</v>
      </c>
      <c r="AM2914" cm="1">
        <f t="array" ref="AM2914">IFERROR(INDEX(sheath_wcap_asd,MATCH(AP2914,sheath_mark,0),0)*AK2914,0)</f>
        <v>0</v>
      </c>
      <c r="AN2914" cm="1">
        <f t="array" ref="AN2914">IFERROR(INDEX(hd_cap,MATCH(AQ2914,hd_mark,0),0),0)</f>
        <v>0</v>
      </c>
      <c r="AP2914" s="19"/>
      <c r="AQ2914" s="19"/>
      <c r="AR2914" s="100"/>
      <c r="AS2914" s="93"/>
      <c r="AT2914" s="109"/>
      <c r="AU2914" t="str">
        <f>$Q$2838</f>
        <v>L3</v>
      </c>
      <c r="AV2914">
        <f>$E$22</f>
        <v>21.375</v>
      </c>
      <c r="AW2914" cm="1">
        <f t="array" ref="AW2914">IFERROR(IF(AV2914=0,0,(INDEX($C$33:$C$38,MATCH($AZ$2854,$B$33:$B$38,0),0)*(AV2917+$BA$2854)+$AW$2854*COUNTIF(AV2914:AV2916,"&gt;0")*$C$32+$AY$2854*$C$31)*$AU$2854),0)</f>
        <v>0</v>
      </c>
      <c r="AX2914">
        <f>IF(AV2914=0,0,-(COUNTIF(AV2914:AV2916,"&gt;0")*$AW$2854*$C$32+$AY$2854*$C$31)*$H$27*$AU$2854)</f>
        <v>0</v>
      </c>
      <c r="AY2914">
        <f>IF(AV2914=0,0,$AY$2854*$H$26*$AU$2854)</f>
        <v>0</v>
      </c>
      <c r="AZ2914">
        <f>(0.6*AW2914+0.7*AX2914)*$AU$2854/2</f>
        <v>0</v>
      </c>
      <c r="BA2914">
        <f>AW2914*$AU$2854/2</f>
        <v>0</v>
      </c>
      <c r="BC2914">
        <f>IF(AV2914=0,0,$BG$2854*$AP$2838)</f>
        <v>0</v>
      </c>
      <c r="BD2914">
        <f>IFERROR(BC2914/$AU$2854,0)</f>
        <v>0</v>
      </c>
      <c r="BE2914">
        <f>BC2914*($F$22+IF($F$22=0,0,($C$14+$C$15+IF($C$13="single",1.5,3)+3)/12))</f>
        <v>0</v>
      </c>
      <c r="BF2914">
        <f>BE2914-AZ2914</f>
        <v>0</v>
      </c>
      <c r="BG2914" cm="1">
        <f t="array" ref="BG2914">IFERROR(IF(BF2914&lt;0,0,BF2914/($AU$2854-INDEX(hd_off,MATCH(BT2914,hd_mark,0),0)/12)),0)</f>
        <v>0</v>
      </c>
      <c r="BH2914">
        <f>IF(AV2914=0,0,$BG$2854*$AM$2838)</f>
        <v>0</v>
      </c>
      <c r="BI2914">
        <f>IFERROR(BH2914/$AU$2854,0)</f>
        <v>0</v>
      </c>
      <c r="BJ2914">
        <f>BH2914*($F$22+IF($F$22=0,0,($C$14+$C$15+IF($C$13="single",1.5,3)+3)/12))</f>
        <v>0</v>
      </c>
      <c r="BK2914">
        <f>BJ2914-BA2914</f>
        <v>0</v>
      </c>
      <c r="BL2914" cm="1">
        <f t="array" ref="BL2914">IFERROR(IF(BK2914&lt;0,0,BK2914/($AU$2854-INDEX(hd_off,MATCH(BT2914,hd_mark,0),0)/12)),0)</f>
        <v>0</v>
      </c>
      <c r="BM2914">
        <f>MAX($F$22,$BC$2854)/$Q$2868</f>
        <v>0.30172413793103448</v>
      </c>
      <c r="BN2914">
        <f t="shared" ref="BN2914:BN2917" si="1801">IF(BM2914=0,0,IF(BM2914&gt;2,1.25-0.125*BM2914,1))</f>
        <v>1</v>
      </c>
      <c r="BO2914" cm="1">
        <f t="array" ref="BO2914">IFERROR(INDEX(sheath_ecap_asd,MATCH(BS2914,sheath_mark,0),0)*BN2914,0)</f>
        <v>0</v>
      </c>
      <c r="BP2914" cm="1">
        <f t="array" ref="BP2914">IFERROR(INDEX(sheath_wcap_asd,MATCH(BS2914,sheath_mark,0),0)*BN2914,0)</f>
        <v>0</v>
      </c>
      <c r="BQ2914" cm="1">
        <f t="array" ref="BQ2914">IFERROR(INDEX(hd_cap,MATCH(BT2914,hd_mark,0),0),0)</f>
        <v>0</v>
      </c>
      <c r="BS2914" s="19"/>
      <c r="BT2914" s="19"/>
      <c r="BU2914" s="100"/>
    </row>
    <row r="2915" x14ac:dyDescent="0.25">
      <c r="P2915" s="93"/>
      <c r="Q2915" s="109" t="s">
        <v>491</v>
      </c>
      <c r="R2915" t="str">
        <f>$Q$2839</f>
        <v>L4</v>
      </c>
      <c r="S2915">
        <f>$E$23</f>
        <v>0</v>
      </c>
      <c r="T2915" cm="1">
        <f t="array" ref="T2915">IFERROR(IF(S2915=0,0,(INDEX($C$33:$C$38,MATCH($W$2854,$B$33:$B$38,0),0)*(S2917+$X$2854)+$T$2854*COUNTIF(S2915:S2916,"&gt;0")*$C$32+$V$2854*$C$31)*$R$2854),0)</f>
        <v>0</v>
      </c>
      <c r="U2915">
        <f>IF(S2915=0,0,-(COUNTIF(S2915:S2916,"&gt;0")*$T$2854*$C$32+$V$2854*$C$31)*$H$27*$R$2854)</f>
        <v>0</v>
      </c>
      <c r="V2915">
        <f>IF(S2915=0,0,$V$2854*$H$26*$R$2854)</f>
        <v>0</v>
      </c>
      <c r="W2915">
        <f>(0.6*T2915+0.7*U2915)*$R$2854/2</f>
        <v>0</v>
      </c>
      <c r="X2915">
        <f>T2915*$R$2854/2</f>
        <v>0</v>
      </c>
      <c r="Z2915">
        <f>IF(S2915=0,0,$AD$2854*$AP$2839)</f>
        <v>0</v>
      </c>
      <c r="AA2915">
        <f>IFERROR(Z2915/$R$2854,0)</f>
        <v>0</v>
      </c>
      <c r="AB2915">
        <f>Z2915*($F$23+IF($F$23=0,0,($C$14+$C$15+IF($C$13="single",1.5,3)+3)/12))</f>
        <v>0</v>
      </c>
      <c r="AC2915">
        <f>AB2915-W2915</f>
        <v>0</v>
      </c>
      <c r="AD2915" cm="1">
        <f t="array" ref="AD2915">IFERROR(IF(AC2915&lt;0,0,AC2915/($R$2854-INDEX(hd_off,MATCH(AQ2915,hd_mark,0),0)/12)),0)</f>
        <v>0</v>
      </c>
      <c r="AE2915">
        <f>IF(S2915=0,0,$AD$2854*$AM$2839)</f>
        <v>0</v>
      </c>
      <c r="AF2915">
        <f>IFERROR(AE2915/$R$2854,0)</f>
        <v>0</v>
      </c>
      <c r="AG2915">
        <f>AE2915*($F$23+IF($F$23=0,0,($C$14+$C$15+IF($C$13="single",1.5,3)+3)/12))</f>
        <v>0</v>
      </c>
      <c r="AH2915">
        <f>AG2915-X2915</f>
        <v>0</v>
      </c>
      <c r="AI2915" cm="1">
        <f t="array" ref="AI2915">IFERROR(IF(AH2915&lt;0,0,AH2915/($R$2854-INDEX(hd_off,MATCH(AQ2915,hd_mark,0),0)/12)),0)</f>
        <v>0</v>
      </c>
      <c r="AJ2915">
        <f>MAX($F$23,$AA$2854)/$Q$2868</f>
        <v>0</v>
      </c>
      <c r="AK2915">
        <f t="shared" si="1800"/>
        <v>0</v>
      </c>
      <c r="AL2915" cm="1">
        <f t="array" ref="AL2915">IFERROR(INDEX(sheath_ecap_asd,MATCH(AP2915,sheath_mark,0),0)*AK2915,0)</f>
        <v>0</v>
      </c>
      <c r="AM2915" cm="1">
        <f t="array" ref="AM2915">IFERROR(INDEX(sheath_wcap_asd,MATCH(AP2915,sheath_mark,0),0)*AK2915,0)</f>
        <v>0</v>
      </c>
      <c r="AN2915" cm="1">
        <f t="array" ref="AN2915">IFERROR(INDEX(hd_cap,MATCH(AQ2915,hd_mark,0),0),0)</f>
        <v>0</v>
      </c>
      <c r="AP2915" s="19"/>
      <c r="AQ2915" s="19"/>
      <c r="AR2915" s="100"/>
      <c r="AS2915" s="93"/>
      <c r="AT2915" s="109" t="s">
        <v>491</v>
      </c>
      <c r="AU2915" t="str">
        <f>$Q$2839</f>
        <v>L4</v>
      </c>
      <c r="AV2915">
        <f>$E$23</f>
        <v>0</v>
      </c>
      <c r="AW2915" cm="1">
        <f t="array" ref="AW2915">IFERROR(IF(AV2915=0,0,(INDEX($C$33:$C$38,MATCH($AZ$2854,$B$33:$B$38,0),0)*(AV2917+$BA$2854)+$AW$2854*COUNTIF(AV2915:AV2916,"&gt;0")*$C$32+$AY$2854*$C$31)*$AU$2854),0)</f>
        <v>0</v>
      </c>
      <c r="AX2915">
        <f>IF(AV2915=0,0,-(COUNTIF(AV2915:AV2916,"&gt;0")*$AW$2854*$C$32+$AY$2854*$C$31)*$H$27*$AU$2854)</f>
        <v>0</v>
      </c>
      <c r="AY2915">
        <f>IF(AV2915=0,0,$AY$2854*$H$26*$AU$2854)</f>
        <v>0</v>
      </c>
      <c r="AZ2915">
        <f>(0.6*AW2915+0.7*AX2915)*$AU$2854/2</f>
        <v>0</v>
      </c>
      <c r="BA2915">
        <f>AW2915*$AU$2854/2</f>
        <v>0</v>
      </c>
      <c r="BC2915">
        <f>IF(AV2915=0,0,$BG$2854*$AP$2839)</f>
        <v>0</v>
      </c>
      <c r="BD2915">
        <f>IFERROR(BC2915/$AU$2854,0)</f>
        <v>0</v>
      </c>
      <c r="BE2915">
        <f>BC2915*($F$23+IF($F$23=0,0,($C$14+$C$15+IF($C$13="single",1.5,3)+3)/12))</f>
        <v>0</v>
      </c>
      <c r="BF2915">
        <f>BE2915-AZ2915</f>
        <v>0</v>
      </c>
      <c r="BG2915" cm="1">
        <f t="array" ref="BG2915">IFERROR(IF(BF2915&lt;0,0,BF2915/($AU$2854-INDEX(hd_off,MATCH(BT2915,hd_mark,0),0)/12)),0)</f>
        <v>0</v>
      </c>
      <c r="BH2915">
        <f>IF(AV2915=0,0,$BG$2854*$AM$2839)</f>
        <v>0</v>
      </c>
      <c r="BI2915">
        <f>IFERROR(BH2915/$AU$2854,0)</f>
        <v>0</v>
      </c>
      <c r="BJ2915">
        <f>BH2915*($F$23+IF($F$23=0,0,($C$14+$C$15+IF($C$13="single",1.5,3)+3)/12))</f>
        <v>0</v>
      </c>
      <c r="BK2915">
        <f>BJ2915-BA2915</f>
        <v>0</v>
      </c>
      <c r="BL2915" cm="1">
        <f t="array" ref="BL2915">IFERROR(IF(BK2915&lt;0,0,BK2915/($AU$2854-INDEX(hd_off,MATCH(BT2915,hd_mark,0),0)/12)),0)</f>
        <v>0</v>
      </c>
      <c r="BM2915">
        <f>MAX($F$23,$BD$2854)/$Q$2868</f>
        <v>0</v>
      </c>
      <c r="BN2915">
        <f t="shared" si="1801"/>
        <v>0</v>
      </c>
      <c r="BO2915" cm="1">
        <f t="array" ref="BO2915">IFERROR(INDEX(sheath_ecap_asd,MATCH(BS2915,sheath_mark,0),0)*BN2915,0)</f>
        <v>0</v>
      </c>
      <c r="BP2915" cm="1">
        <f t="array" ref="BP2915">IFERROR(INDEX(sheath_wcap_asd,MATCH(BS2915,sheath_mark,0),0)*BN2915,0)</f>
        <v>0</v>
      </c>
      <c r="BQ2915" cm="1">
        <f t="array" ref="BQ2915">IFERROR(INDEX(hd_cap,MATCH(BT2915,hd_mark,0),0),0)</f>
        <v>0</v>
      </c>
      <c r="BS2915" s="19"/>
      <c r="BT2915" s="19"/>
      <c r="BU2915" s="100"/>
    </row>
    <row r="2916" x14ac:dyDescent="0.25">
      <c r="P2916" s="93"/>
      <c r="Q2916" s="111">
        <f>$R$2854</f>
        <v>0</v>
      </c>
      <c r="R2916" t="str">
        <f>$Q$2840</f>
        <v>L5</v>
      </c>
      <c r="S2916">
        <f>$E$24</f>
        <v>0</v>
      </c>
      <c r="T2916" cm="1">
        <f t="array" ref="T2916">IFERROR(IF(S2916=0,0,(INDEX($C$33:$C$38,MATCH($W$2854,$B$33:$B$38,0),0)*(S2917+$X$2854)+$T$2854*COUNTIF(S2916:S2916,"&gt;0")*$C$32+$V$2854*$C$31)*$R$2854),0)</f>
        <v>0</v>
      </c>
      <c r="U2916">
        <f>IF(S2916=0,0,-(COUNTIF(S2916:S2916,"&gt;0")*$T$2854*$C$32+$V$2854*$C$31)*$H$27*$R$2854)</f>
        <v>0</v>
      </c>
      <c r="V2916">
        <f>IF(S2916=0,0,$V$2854*$H$26*$R$2854)</f>
        <v>0</v>
      </c>
      <c r="W2916">
        <f>(0.6*T2916+0.7*U2916)*$R$2854/2</f>
        <v>0</v>
      </c>
      <c r="X2916">
        <f>T2916*$R$2854/2</f>
        <v>0</v>
      </c>
      <c r="Z2916">
        <f>IF(S2916=0,0,$AD$2854*$AP$2840)</f>
        <v>0</v>
      </c>
      <c r="AA2916">
        <f>IFERROR(Z2916/$R$2854,0)</f>
        <v>0</v>
      </c>
      <c r="AB2916">
        <f>Z2916*($F$24+IF($F$24=0,0,($C$14+$C$15+IF($C$13="single",1.5,3)+3)/12))</f>
        <v>0</v>
      </c>
      <c r="AC2916">
        <f>AB2916-W2916</f>
        <v>0</v>
      </c>
      <c r="AD2916" cm="1">
        <f t="array" ref="AD2916">IFERROR(IF(AC2916&lt;0,0,AC2916/($R$2854-INDEX(hd_off,MATCH(AQ2916,hd_mark,0),0)/12)),0)</f>
        <v>0</v>
      </c>
      <c r="AE2916">
        <f>IF(S2916=0,0,$AD$2854*$AM$2840)</f>
        <v>0</v>
      </c>
      <c r="AF2916">
        <f>IFERROR(AE2916/$R$2854,0)</f>
        <v>0</v>
      </c>
      <c r="AG2916">
        <f>AE2916*($F$24+IF($F$24=0,0,($C$14+$C$15+IF($C$13="single",1.5,3)+3)/12))</f>
        <v>0</v>
      </c>
      <c r="AH2916">
        <f>AG2916-X2916</f>
        <v>0</v>
      </c>
      <c r="AI2916" cm="1">
        <f t="array" ref="AI2916">IFERROR(IF(AH2916&lt;0,0,AH2916/($R$2854-INDEX(hd_off,MATCH(AQ2916,hd_mark,0),0)/12)),0)</f>
        <v>0</v>
      </c>
      <c r="AJ2916">
        <f>MAX($F$24,$AB$2854)/$Q$2868</f>
        <v>0</v>
      </c>
      <c r="AK2916">
        <f t="shared" si="1800"/>
        <v>0</v>
      </c>
      <c r="AL2916" cm="1">
        <f t="array" ref="AL2916">IFERROR(INDEX(sheath_ecap_asd,MATCH(AP2916,sheath_mark,0),0)*AK2916,0)</f>
        <v>0</v>
      </c>
      <c r="AM2916" cm="1">
        <f t="array" ref="AM2916">IFERROR(INDEX(sheath_wcap_asd,MATCH(AP2916,sheath_mark,0),0)*AK2916,0)</f>
        <v>0</v>
      </c>
      <c r="AN2916" cm="1">
        <f t="array" ref="AN2916">IFERROR(INDEX(hd_cap,MATCH(AQ2916,hd_mark,0),0),0)</f>
        <v>0</v>
      </c>
      <c r="AP2916" s="19"/>
      <c r="AQ2916" s="19"/>
      <c r="AR2916" s="100"/>
      <c r="AS2916" s="93"/>
      <c r="AT2916" s="111">
        <f>$R$2854</f>
        <v>0</v>
      </c>
      <c r="AU2916" t="str">
        <f>$Q$2840</f>
        <v>L5</v>
      </c>
      <c r="AV2916">
        <f>$E$24</f>
        <v>0</v>
      </c>
      <c r="AW2916" cm="1">
        <f t="array" ref="AW2916">IFERROR(IF(AV2916=0,0,(INDEX($C$33:$C$38,MATCH($AZ$2854,$B$33:$B$38,0),0)*(AV2917+$BA$2854)+$AW$2854*COUNTIF(AV2916:AV2916,"&gt;0")*$C$32+$AY$2854*$C$31)*$AU$2854),0)</f>
        <v>0</v>
      </c>
      <c r="AX2916">
        <f>IF(AV2916=0,0,-(COUNTIF(AV2916:AV2916,"&gt;0")*$AW$2854*$C$32+$AY$2854*$C$31)*$H$27*$AU$2854)</f>
        <v>0</v>
      </c>
      <c r="AY2916">
        <f>IF(AV2916=0,0,$AY$2854*$H$26*$AU$2854)</f>
        <v>0</v>
      </c>
      <c r="AZ2916">
        <f>(0.6*AW2916+0.7*AX2916)*$AU$2854/2</f>
        <v>0</v>
      </c>
      <c r="BA2916">
        <f>AW2916*$AU$2854/2</f>
        <v>0</v>
      </c>
      <c r="BC2916">
        <f>IF(AV2916=0,0,$BG$2854*$AP$2840)</f>
        <v>0</v>
      </c>
      <c r="BD2916">
        <f>IFERROR(BC2916/$AU$2854,0)</f>
        <v>0</v>
      </c>
      <c r="BE2916">
        <f>BC2916*($F$24+IF($F$24=0,0,($C$14+$C$15+IF($C$13="single",1.5,3)+3)/12))</f>
        <v>0</v>
      </c>
      <c r="BF2916">
        <f>BE2916-AZ2916</f>
        <v>0</v>
      </c>
      <c r="BG2916" cm="1">
        <f t="array" ref="BG2916">IFERROR(IF(BF2916&lt;0,0,BF2916/($AU$2854-INDEX(hd_off,MATCH(BT2916,hd_mark,0),0)/12)),0)</f>
        <v>0</v>
      </c>
      <c r="BH2916">
        <f>IF(AV2916=0,0,$BG$2854*$AM$2840)</f>
        <v>0</v>
      </c>
      <c r="BI2916">
        <f>IFERROR(BH2916/$AU$2854,0)</f>
        <v>0</v>
      </c>
      <c r="BJ2916">
        <f>BH2916*($F$24+IF($F$24=0,0,($C$14+$C$15+IF($C$13="single",1.5,3)+3)/12))</f>
        <v>0</v>
      </c>
      <c r="BK2916">
        <f>BJ2916-BA2916</f>
        <v>0</v>
      </c>
      <c r="BL2916" cm="1">
        <f t="array" ref="BL2916">IFERROR(IF(BK2916&lt;0,0,BK2916/($AU$2854-INDEX(hd_off,MATCH(BT2916,hd_mark,0),0)/12)),0)</f>
        <v>0</v>
      </c>
      <c r="BM2916">
        <f>MAX($F$24,$BE$2854)/$Q$2868</f>
        <v>0</v>
      </c>
      <c r="BN2916">
        <f t="shared" si="1801"/>
        <v>0</v>
      </c>
      <c r="BO2916" cm="1">
        <f t="array" ref="BO2916">IFERROR(INDEX(sheath_ecap_asd,MATCH(BS2916,sheath_mark,0),0)*BN2916,0)</f>
        <v>0</v>
      </c>
      <c r="BP2916" cm="1">
        <f t="array" ref="BP2916">IFERROR(INDEX(sheath_wcap_asd,MATCH(BS2916,sheath_mark,0),0)*BN2916,0)</f>
        <v>0</v>
      </c>
      <c r="BQ2916" cm="1">
        <f t="array" ref="BQ2916">IFERROR(INDEX(hd_cap,MATCH(BT2916,hd_mark,0),0),0)</f>
        <v>0</v>
      </c>
      <c r="BS2916" s="19"/>
      <c r="BT2916" s="19"/>
      <c r="BU2916" s="100"/>
    </row>
    <row r="2917" x14ac:dyDescent="0.25">
      <c r="P2917" s="93"/>
      <c r="Q2917" s="109"/>
      <c r="R2917" t="str">
        <f>$Q$2841</f>
        <v>Roof</v>
      </c>
      <c r="S2917">
        <f>$E$25</f>
        <v>33.171875</v>
      </c>
      <c r="T2917" cm="1">
        <f t="array" ref="T2917">IFERROR(IF(S2917=0,0,(INDEX($C$33:$C$38,MATCH($W$2854,$B$33:$B$38,0),0)*(S2917+$X$2854)+$V$2854*$C$31)*$R$2854),0)</f>
        <v>0</v>
      </c>
      <c r="U2917">
        <f>IF(S2917=0,0,-$V$2854*$C$31*$H$27*$R$2854)</f>
        <v>0</v>
      </c>
      <c r="V2917">
        <f>IF(S2917=0,0,$V$2854*$H$26*$R$2854)</f>
        <v>0</v>
      </c>
      <c r="W2917">
        <f>(0.6*T2917+0.7*U2917)*$R$2854/2</f>
        <v>0</v>
      </c>
      <c r="X2917">
        <f>T2917*$R$2854/2</f>
        <v>0</v>
      </c>
      <c r="Z2917">
        <f>IF(S2917=0,0,$AD$2854*$AP$2841)</f>
        <v>0</v>
      </c>
      <c r="AA2917">
        <f>IFERROR(Z2917/$R$2854,0)</f>
        <v>0</v>
      </c>
      <c r="AB2917">
        <f>Z2917*($F$25+($C$16+$C$17+IF($C$13="single",1.5,3)+3)/12)</f>
        <v>0</v>
      </c>
      <c r="AC2917">
        <f>AB2917-W2917</f>
        <v>0</v>
      </c>
      <c r="AD2917" cm="1">
        <f t="array" ref="AD2917">IFERROR(IF(AC2917&lt;0,0,AC2917/($R$2854-INDEX(hd_off,MATCH(AQ2917,hd_mark,0),0)/12)),0)</f>
        <v>0</v>
      </c>
      <c r="AE2917">
        <f>IF(S2917=0,0,$AD$2854*$AM$2841)</f>
        <v>0</v>
      </c>
      <c r="AF2917">
        <f>IFERROR(AE2917/$R$2854,0)</f>
        <v>0</v>
      </c>
      <c r="AG2917">
        <f>AE2917*($F$25+($C$16+$C$17+IF($C$13="single",1.5,3)+3)/12)</f>
        <v>0</v>
      </c>
      <c r="AH2917">
        <f>AG2917-X2917</f>
        <v>0</v>
      </c>
      <c r="AI2917" cm="1">
        <f t="array" ref="AI2917">IFERROR(IF(AH2917&lt;0,0,AH2917/($R$2854-INDEX(hd_off,MATCH(AQ2917,hd_mark,0),0)/12)),0)</f>
        <v>0</v>
      </c>
      <c r="AJ2917">
        <f>MAX($F$25,$AC$2854)/$Q$2868</f>
        <v>0.29920977011494249</v>
      </c>
      <c r="AK2917">
        <f t="shared" si="1800"/>
        <v>1</v>
      </c>
      <c r="AL2917" cm="1">
        <f t="array" ref="AL2917">IFERROR(INDEX(sheath_ecap_asd,MATCH(AP2917,sheath_mark,0),0)*AK2917,0)</f>
        <v>0</v>
      </c>
      <c r="AM2917" cm="1">
        <f t="array" ref="AM2917">IFERROR(INDEX(sheath_wcap_asd,MATCH(AP2917,sheath_mark,0),0)*AK2917,0)</f>
        <v>0</v>
      </c>
      <c r="AN2917" cm="1">
        <f t="array" ref="AN2917">IFERROR(INDEX(hd_cap,MATCH(AQ2917,hd_mark,0),0),0)</f>
        <v>0</v>
      </c>
      <c r="AP2917" s="19"/>
      <c r="AQ2917" s="19"/>
      <c r="AR2917" s="100"/>
      <c r="AS2917" s="93"/>
      <c r="AT2917" s="109"/>
      <c r="AU2917" t="str">
        <f>$Q$2841</f>
        <v>Roof</v>
      </c>
      <c r="AV2917">
        <f>$E$25</f>
        <v>33.171875</v>
      </c>
      <c r="AW2917" cm="1">
        <f t="array" ref="AW2917">IFERROR(IF(AV2917=0,0,(INDEX($C$33:$C$38,MATCH($AZ$2854,$B$33:$B$38,0),0)*(AV2917+$BA$2854)+$AY$2854*$C$31)*$AU$2854),0)</f>
        <v>0</v>
      </c>
      <c r="AX2917">
        <f>IF(AV2917=0,0,-$AY$2854*$C$31*$H$27*$AU$2854)</f>
        <v>0</v>
      </c>
      <c r="AY2917">
        <f>IF(AV2917=0,0,$AY$2854*$H$26*$AU$2854)</f>
        <v>0</v>
      </c>
      <c r="AZ2917">
        <f>(0.6*AW2917+0.7*AX2917)*$AU$2854/2</f>
        <v>0</v>
      </c>
      <c r="BA2917">
        <f>AW2917*$AU$2854/2</f>
        <v>0</v>
      </c>
      <c r="BC2917">
        <f>IF(AV2917=0,0,$BG$2854*$AP$2841)</f>
        <v>0</v>
      </c>
      <c r="BD2917">
        <f>IFERROR(BC2917/$AU$2854,0)</f>
        <v>0</v>
      </c>
      <c r="BE2917">
        <f>BC2917*($F$25+($C$16+$C$17+IF($C$13="single",1.5,3)+3)/12)</f>
        <v>0</v>
      </c>
      <c r="BF2917">
        <f>BE2917-AZ2917</f>
        <v>0</v>
      </c>
      <c r="BG2917" cm="1">
        <f t="array" ref="BG2917">IFERROR(IF(BF2917&lt;0,0,BF2917/($AU$2854-INDEX(hd_off,MATCH(BT2917,hd_mark,0),0)/12)),0)</f>
        <v>0</v>
      </c>
      <c r="BH2917">
        <f>IF(AV2917=0,0,$BG$2854*$AM$2841)</f>
        <v>0</v>
      </c>
      <c r="BI2917">
        <f>IFERROR(BH2917/$AU$2854,0)</f>
        <v>0</v>
      </c>
      <c r="BJ2917">
        <f>BH2917*($F$25+($C$16+$C$17+IF($C$13="single",1.5,3)+3)/12)</f>
        <v>0</v>
      </c>
      <c r="BK2917">
        <f>BJ2917-BA2917</f>
        <v>0</v>
      </c>
      <c r="BL2917" cm="1">
        <f t="array" ref="BL2917">IFERROR(IF(BK2917&lt;0,0,BK2917/($AU$2854-INDEX(hd_off,MATCH(BT2917,hd_mark,0),0)/12)),0)</f>
        <v>0</v>
      </c>
      <c r="BM2917">
        <f>MAX($F$25,$BF$2854)/$Q$2868</f>
        <v>0.29920977011494249</v>
      </c>
      <c r="BN2917">
        <f t="shared" si="1801"/>
        <v>1</v>
      </c>
      <c r="BO2917" cm="1">
        <f t="array" ref="BO2917">IFERROR(INDEX(sheath_ecap_asd,MATCH(BS2917,sheath_mark,0),0)*BN2917,0)</f>
        <v>0</v>
      </c>
      <c r="BP2917" cm="1">
        <f t="array" ref="BP2917">IFERROR(INDEX(sheath_wcap_asd,MATCH(BS2917,sheath_mark,0),0)*BN2917,0)</f>
        <v>0</v>
      </c>
      <c r="BQ2917" cm="1">
        <f t="array" ref="BQ2917">IFERROR(INDEX(hd_cap,MATCH(BT2917,hd_mark,0),0),0)</f>
        <v>0</v>
      </c>
      <c r="BS2917" s="19"/>
      <c r="BT2917" s="19"/>
      <c r="BU2917" s="100"/>
    </row>
    <row r="2918" x14ac:dyDescent="0.25">
      <c r="P2918" s="93"/>
      <c r="AR2918" s="100"/>
      <c r="AS2918" s="93"/>
      <c r="BU2918" s="100"/>
    </row>
    <row r="2919" x14ac:dyDescent="0.25">
      <c r="P2919" s="93"/>
      <c r="Q2919" s="110" t="str">
        <f>$Q$2855</f>
        <v>A.10</v>
      </c>
      <c r="R2919" t="str">
        <f>$Q$2837</f>
        <v>L2</v>
      </c>
      <c r="S2919">
        <f>$E$21</f>
        <v>10.6875</v>
      </c>
      <c r="T2919" cm="1">
        <f t="array" ref="T2919">IFERROR(IF(S2919=0,0,(INDEX($C$33:$C$38,MATCH($W$2855,$B$33:$B$38,0),0)*(S2923+$X$2855)+$T$2855*COUNTIF(S2919:S2922,"&gt;0")*$C$32+$V$2855*$C$31)*$R$2855),0)</f>
        <v>0</v>
      </c>
      <c r="U2919">
        <f>IF(S2919=0,0,-(COUNTIF(S2919:S2922,"&gt;0")*$T$2855*$C$32+$V$2855*$C$31)*$H$27*$R$2855)</f>
        <v>0</v>
      </c>
      <c r="V2919">
        <f>IF(S2919=0,0,$V$2855*$H$26*$R$2855)</f>
        <v>0</v>
      </c>
      <c r="W2919">
        <f>(0.6*T2919+0.7*U2919)*$R$2855/2</f>
        <v>0</v>
      </c>
      <c r="X2919">
        <f>(0.6*T2919+0.6*V2919)*$R$2855/2</f>
        <v>0</v>
      </c>
      <c r="Z2919">
        <f>IF(S2919=0,0,$AD$2855*$AP$2837)</f>
        <v>0</v>
      </c>
      <c r="AA2919">
        <f>IFERROR(Z2919/$R$2855,0)</f>
        <v>0</v>
      </c>
      <c r="AB2919">
        <f>Z2919*($F$21+IF($F$21=0,0,($C$14+$C$15+IF($C$13="single",1.5,3)+3)/12))</f>
        <v>0</v>
      </c>
      <c r="AC2919">
        <f>AB2919-W2919</f>
        <v>0</v>
      </c>
      <c r="AD2919" cm="1">
        <f t="array" ref="AD2919">IFERROR(IF(AC2919&lt;0,0,AC2919/($R$2855-INDEX(hd_off,MATCH(AQ2919,hd_mark,0),0)/12)),0)</f>
        <v>0</v>
      </c>
      <c r="AE2919">
        <f>IF(S2919=0,0,$AD$2855*$AM$2837)</f>
        <v>0</v>
      </c>
      <c r="AF2919">
        <f>IFERROR(AE2919/$R$2855,0)</f>
        <v>0</v>
      </c>
      <c r="AG2919">
        <f>AE2919*($F$21+IF($F$21=0,0,($C$14+$C$15+IF($C$13="single",1.5,3)+3)/12))</f>
        <v>0</v>
      </c>
      <c r="AH2919">
        <f>AG2919-X2919</f>
        <v>0</v>
      </c>
      <c r="AI2919" cm="1">
        <f t="array" ref="AI2919">IFERROR(IF(AH2919&lt;0,0,AH2919/($R$2855-INDEX(hd_off,MATCH(AQ2919,hd_mark,0),0)/12)),0)</f>
        <v>0</v>
      </c>
      <c r="AJ2919">
        <f>MAX($F$21,$Y$2855)/$Q$2868</f>
        <v>0.30172413793103448</v>
      </c>
      <c r="AK2919">
        <f>IF(AJ2919=0,0,IF(AJ2919&gt;2,1.25-0.125*AJ2919,1))</f>
        <v>1</v>
      </c>
      <c r="AL2919" cm="1">
        <f t="array" ref="AL2919">IFERROR(INDEX(sheath_ecap_asd,MATCH(AP2919,sheath_mark,0),0)*AK2919,0)</f>
        <v>0</v>
      </c>
      <c r="AM2919" cm="1">
        <f t="array" ref="AM2919">IFERROR(INDEX(sheath_wcap_asd,MATCH(AP2919,sheath_mark,0),0)*AK2919,0)</f>
        <v>0</v>
      </c>
      <c r="AN2919" cm="1">
        <f t="array" ref="AN2919">IFERROR(INDEX(hd_cap,MATCH(AQ2919,hd_mark,0),0),0)</f>
        <v>0</v>
      </c>
      <c r="AP2919" s="19"/>
      <c r="AQ2919" s="19"/>
      <c r="AR2919" s="100"/>
      <c r="AS2919" s="93"/>
      <c r="AT2919" s="110" t="str">
        <f>$AT$2855</f>
        <v>1.10</v>
      </c>
      <c r="AU2919" t="str">
        <f>$Q$2837</f>
        <v>L2</v>
      </c>
      <c r="AV2919">
        <f>$E$21</f>
        <v>10.6875</v>
      </c>
      <c r="AW2919" cm="1">
        <f t="array" ref="AW2919">IFERROR(IF(AV2919=0,0,(INDEX($C$33:$C$38,MATCH($AZ$2855,$B$33:$B$38,0),0)*(AV2923+$BA$2855)+$AW$2855*COUNTIF(AV2919:AV2922,"&gt;0")*$C$32+$AY$2855*$C$31)*$AU$2855),0)</f>
        <v>0</v>
      </c>
      <c r="AX2919">
        <f>IF(AV2919=0,0,-(COUNTIF(AV2919:AV2922,"&gt;0")*$AW$2855*$C$32+$AY$2855*$C$31)*$H$27*$AU$2855)</f>
        <v>0</v>
      </c>
      <c r="AY2919">
        <f>IF(AV2919=0,0,$AY$2855*$H$26*$AU$2855)</f>
        <v>0</v>
      </c>
      <c r="AZ2919">
        <f>(0.6*AW2919+0.7*AX2919)*$AU$2855/2</f>
        <v>0</v>
      </c>
      <c r="BA2919">
        <f>(0.6*AW2919+0.6*AY2919)*$AU$2855/2</f>
        <v>0</v>
      </c>
      <c r="BC2919">
        <f>IF(AV2919=0,0,$BG$2855*$AP$2837)</f>
        <v>0</v>
      </c>
      <c r="BD2919">
        <f>IFERROR(BC2919/$AU$2855,0)</f>
        <v>0</v>
      </c>
      <c r="BE2919">
        <f>BC2919*($F$21+IF($F$21=0,0,($C$14+$C$15+IF($C$13="single",1.5,3)+3)/12))</f>
        <v>0</v>
      </c>
      <c r="BF2919">
        <f>BE2919-AZ2919</f>
        <v>0</v>
      </c>
      <c r="BG2919" cm="1">
        <f t="array" ref="BG2919">IFERROR(IF(BF2919&lt;0,0,BF2919/($AU$2855-INDEX(hd_off,MATCH(BT2919,hd_mark,0),0)/12)),0)</f>
        <v>0</v>
      </c>
      <c r="BH2919">
        <f>IF(AV2919=0,0,$BG$2855*$AM$2837)</f>
        <v>0</v>
      </c>
      <c r="BI2919">
        <f>IFERROR(BH2919/$AU$2855,0)</f>
        <v>0</v>
      </c>
      <c r="BJ2919">
        <f>BH2919*($F$21+IF($F$21=0,0,($C$14+$C$15+IF($C$13="single",1.5,3)+3)/12))</f>
        <v>0</v>
      </c>
      <c r="BK2919">
        <f>BJ2919-BA2919</f>
        <v>0</v>
      </c>
      <c r="BL2919" cm="1">
        <f t="array" ref="BL2919">IFERROR(IF(BK2919&lt;0,0,BK2919/($AU$2855-INDEX(hd_off,MATCH(BT2919,hd_mark,0),0)/12)),0)</f>
        <v>0</v>
      </c>
      <c r="BM2919">
        <f>MAX($F$21,$BB$2855)/$Q$2868</f>
        <v>0.30172413793103448</v>
      </c>
      <c r="BN2919">
        <f>IF(BM2919=0,0,IF(BM2919&gt;2,1.25-0.125*BM2919,1))</f>
        <v>1</v>
      </c>
      <c r="BO2919" cm="1">
        <f t="array" ref="BO2919">IFERROR(INDEX(sheath_ecap_asd,MATCH(BS2919,sheath_mark,0),0)*BN2919,0)</f>
        <v>0</v>
      </c>
      <c r="BP2919" cm="1">
        <f t="array" ref="BP2919">IFERROR(INDEX(sheath_wcap_asd,MATCH(BS2919,sheath_mark,0),0)*BN2919,0)</f>
        <v>0</v>
      </c>
      <c r="BQ2919" cm="1">
        <f t="array" ref="BQ2919">IFERROR(INDEX(hd_cap,MATCH(BT2919,hd_mark,0),0),0)</f>
        <v>0</v>
      </c>
      <c r="BS2919" s="19"/>
      <c r="BT2919" s="19"/>
      <c r="BU2919" s="100"/>
    </row>
    <row r="2920" x14ac:dyDescent="0.25">
      <c r="P2920" s="93"/>
      <c r="Q2920" s="109"/>
      <c r="R2920" t="str">
        <f>$Q$2838</f>
        <v>L3</v>
      </c>
      <c r="S2920">
        <f>$E$22</f>
        <v>21.375</v>
      </c>
      <c r="T2920" cm="1">
        <f t="array" ref="T2920">IFERROR(IF(S2920=0,0,(INDEX($C$33:$C$38,MATCH($W$2855,$B$33:$B$38,0),0)*(S2923+$X$2855)+$T$2855*COUNTIF(S2920:S2922,"&gt;0")*$C$32+$V$2855*$C$31)*$R$2855),0)</f>
        <v>0</v>
      </c>
      <c r="U2920">
        <f>IF(S2920=0,0,-(COUNTIF(S2920:S2922,"&gt;0")*$T$2855*$C$32+$V$2855*$C$31)*$H$27*$R$2855)</f>
        <v>0</v>
      </c>
      <c r="V2920">
        <f>IF(S2920=0,0,$V$2855*$H$26*$R$2855)</f>
        <v>0</v>
      </c>
      <c r="W2920">
        <f>(0.6*T2920+0.7*U2920)*$R$2855/2</f>
        <v>0</v>
      </c>
      <c r="X2920">
        <f>T2920*$R$2855/2</f>
        <v>0</v>
      </c>
      <c r="Z2920">
        <f>IF(S2920=0,0,$AD$2855*$AP$2838)</f>
        <v>0</v>
      </c>
      <c r="AA2920">
        <f>IFERROR(Z2920/$R$2855,0)</f>
        <v>0</v>
      </c>
      <c r="AB2920">
        <f>Z2920*($F$22+IF($F$22=0,0,($C$14+$C$15+IF($C$13="single",1.5,3)+3)/12))</f>
        <v>0</v>
      </c>
      <c r="AC2920">
        <f>AB2920-W2920</f>
        <v>0</v>
      </c>
      <c r="AD2920" cm="1">
        <f t="array" ref="AD2920">IFERROR(IF(AC2920&lt;0,0,AC2920/($R$2855-INDEX(hd_off,MATCH(AQ2920,hd_mark,0),0)/12)),0)</f>
        <v>0</v>
      </c>
      <c r="AE2920">
        <f>IF(S2920=0,0,$AD$2855*$AM$2838)</f>
        <v>0</v>
      </c>
      <c r="AF2920">
        <f>IFERROR(AE2920/$R$2855,0)</f>
        <v>0</v>
      </c>
      <c r="AG2920">
        <f>AE2920*($F$22+IF($F$22=0,0,($C$14+$C$15+IF($C$13="single",1.5,3)+3)/12))</f>
        <v>0</v>
      </c>
      <c r="AH2920">
        <f>AG2920-X2920</f>
        <v>0</v>
      </c>
      <c r="AI2920" cm="1">
        <f t="array" ref="AI2920">IFERROR(IF(AH2920&lt;0,0,AH2920/($R$2855-INDEX(hd_off,MATCH(AQ2920,hd_mark,0),0)/12)),0)</f>
        <v>0</v>
      </c>
      <c r="AJ2920">
        <f>MAX($F$22,$Z$2855)/$Q$2868</f>
        <v>0.30172413793103448</v>
      </c>
      <c r="AK2920">
        <f t="shared" ref="AK2920:AK2923" si="1802">IF(AJ2920=0,0,IF(AJ2920&gt;2,1.25-0.125*AJ2920,1))</f>
        <v>1</v>
      </c>
      <c r="AL2920" cm="1">
        <f t="array" ref="AL2920">IFERROR(INDEX(sheath_ecap_asd,MATCH(AP2920,sheath_mark,0),0)*AK2920,0)</f>
        <v>0</v>
      </c>
      <c r="AM2920" cm="1">
        <f t="array" ref="AM2920">IFERROR(INDEX(sheath_wcap_asd,MATCH(AP2920,sheath_mark,0),0)*AK2920,0)</f>
        <v>0</v>
      </c>
      <c r="AN2920" cm="1">
        <f t="array" ref="AN2920">IFERROR(INDEX(hd_cap,MATCH(AQ2920,hd_mark,0),0),0)</f>
        <v>0</v>
      </c>
      <c r="AP2920" s="19"/>
      <c r="AQ2920" s="19"/>
      <c r="AR2920" s="100"/>
      <c r="AS2920" s="93"/>
      <c r="AT2920" s="109"/>
      <c r="AU2920" t="str">
        <f>$Q$2838</f>
        <v>L3</v>
      </c>
      <c r="AV2920">
        <f>$E$22</f>
        <v>21.375</v>
      </c>
      <c r="AW2920" cm="1">
        <f t="array" ref="AW2920">IFERROR(IF(AV2920=0,0,(INDEX($C$33:$C$38,MATCH($AZ$2855,$B$33:$B$38,0),0)*(AV2923+$BA$2855)+$AW$2855*COUNTIF(AV2920:AV2922,"&gt;0")*$C$32+$AY$2855*$C$31)*$AU$2855),0)</f>
        <v>0</v>
      </c>
      <c r="AX2920">
        <f>IF(AV2920=0,0,-(COUNTIF(AV2920:AV2922,"&gt;0")*$AW$2855*$C$32+$AY$2855*$C$31)*$H$27*$AU$2855)</f>
        <v>0</v>
      </c>
      <c r="AY2920">
        <f>IF(AV2920=0,0,$AY$2855*$H$26*$AU$2855)</f>
        <v>0</v>
      </c>
      <c r="AZ2920">
        <f>(0.6*AW2920+0.7*AX2920)*$AU$2855/2</f>
        <v>0</v>
      </c>
      <c r="BA2920">
        <f>AW2920*$AU$2855/2</f>
        <v>0</v>
      </c>
      <c r="BC2920">
        <f>IF(AV2920=0,0,$BG$2855*$AP$2838)</f>
        <v>0</v>
      </c>
      <c r="BD2920">
        <f>IFERROR(BC2920/$AU$2855,0)</f>
        <v>0</v>
      </c>
      <c r="BE2920">
        <f>BC2920*($F$22+IF($F$22=0,0,($C$14+$C$15+IF($C$13="single",1.5,3)+3)/12))</f>
        <v>0</v>
      </c>
      <c r="BF2920">
        <f>BE2920-AZ2920</f>
        <v>0</v>
      </c>
      <c r="BG2920" cm="1">
        <f t="array" ref="BG2920">IFERROR(IF(BF2920&lt;0,0,BF2920/($AU$2855-INDEX(hd_off,MATCH(BT2920,hd_mark,0),0)/12)),0)</f>
        <v>0</v>
      </c>
      <c r="BH2920">
        <f>IF(AV2920=0,0,$BG$2855*$AM$2838)</f>
        <v>0</v>
      </c>
      <c r="BI2920">
        <f>IFERROR(BH2920/$AU$2855,0)</f>
        <v>0</v>
      </c>
      <c r="BJ2920">
        <f>BH2920*($F$22+IF($F$22=0,0,($C$14+$C$15+IF($C$13="single",1.5,3)+3)/12))</f>
        <v>0</v>
      </c>
      <c r="BK2920">
        <f>BJ2920-BA2920</f>
        <v>0</v>
      </c>
      <c r="BL2920" cm="1">
        <f t="array" ref="BL2920">IFERROR(IF(BK2920&lt;0,0,BK2920/($AU$2855-INDEX(hd_off,MATCH(BT2920,hd_mark,0),0)/12)),0)</f>
        <v>0</v>
      </c>
      <c r="BM2920">
        <f>MAX($F$22,$BC$2855)/$Q$2868</f>
        <v>0.30172413793103448</v>
      </c>
      <c r="BN2920">
        <f t="shared" ref="BN2920:BN2923" si="1803">IF(BM2920=0,0,IF(BM2920&gt;2,1.25-0.125*BM2920,1))</f>
        <v>1</v>
      </c>
      <c r="BO2920" cm="1">
        <f t="array" ref="BO2920">IFERROR(INDEX(sheath_ecap_asd,MATCH(BS2920,sheath_mark,0),0)*BN2920,0)</f>
        <v>0</v>
      </c>
      <c r="BP2920" cm="1">
        <f t="array" ref="BP2920">IFERROR(INDEX(sheath_wcap_asd,MATCH(BS2920,sheath_mark,0),0)*BN2920,0)</f>
        <v>0</v>
      </c>
      <c r="BQ2920" cm="1">
        <f t="array" ref="BQ2920">IFERROR(INDEX(hd_cap,MATCH(BT2920,hd_mark,0),0),0)</f>
        <v>0</v>
      </c>
      <c r="BS2920" s="19"/>
      <c r="BT2920" s="19"/>
      <c r="BU2920" s="100"/>
    </row>
    <row r="2921" x14ac:dyDescent="0.25">
      <c r="P2921" s="93"/>
      <c r="Q2921" s="109" t="s">
        <v>491</v>
      </c>
      <c r="R2921" t="str">
        <f>$Q$2839</f>
        <v>L4</v>
      </c>
      <c r="S2921">
        <f>$E$23</f>
        <v>0</v>
      </c>
      <c r="T2921" cm="1">
        <f t="array" ref="T2921">IFERROR(IF(S2921=0,0,(INDEX($C$33:$C$38,MATCH($W$2855,$B$33:$B$38,0),0)*(S2923+$X$2855)+$T$2855*COUNTIF(S2921:S2922,"&gt;0")*$C$32+$V$2855*$C$31)*$R$2855),0)</f>
        <v>0</v>
      </c>
      <c r="U2921">
        <f>IF(S2921=0,0,-(COUNTIF(S2921:S2922,"&gt;0")*$T$2855*$C$32+$V$2855*$C$31)*$H$27*$R$2855)</f>
        <v>0</v>
      </c>
      <c r="V2921">
        <f>IF(S2921=0,0,$V$2855*$H$26*$R$2855)</f>
        <v>0</v>
      </c>
      <c r="W2921">
        <f>(0.6*T2921+0.7*U2921)*$R$2855/2</f>
        <v>0</v>
      </c>
      <c r="X2921">
        <f>T2921*$R$2855/2</f>
        <v>0</v>
      </c>
      <c r="Z2921">
        <f>IF(S2921=0,0,$AD$2855*$AP$2839)</f>
        <v>0</v>
      </c>
      <c r="AA2921">
        <f>IFERROR(Z2921/$R$2855,0)</f>
        <v>0</v>
      </c>
      <c r="AB2921">
        <f>Z2921*($F$23+IF($F$23=0,0,($C$14+$C$15+IF($C$13="single",1.5,3)+3)/12))</f>
        <v>0</v>
      </c>
      <c r="AC2921">
        <f>AB2921-W2921</f>
        <v>0</v>
      </c>
      <c r="AD2921" cm="1">
        <f t="array" ref="AD2921">IFERROR(IF(AC2921&lt;0,0,AC2921/($R$2855-INDEX(hd_off,MATCH(AQ2921,hd_mark,0),0)/12)),0)</f>
        <v>0</v>
      </c>
      <c r="AE2921">
        <f>IF(S2921=0,0,$AD$2855*$AM$2839)</f>
        <v>0</v>
      </c>
      <c r="AF2921">
        <f>IFERROR(AE2921/$R$2855,0)</f>
        <v>0</v>
      </c>
      <c r="AG2921">
        <f>AE2921*($F$23+IF($F$23=0,0,($C$14+$C$15+IF($C$13="single",1.5,3)+3)/12))</f>
        <v>0</v>
      </c>
      <c r="AH2921">
        <f>AG2921-X2921</f>
        <v>0</v>
      </c>
      <c r="AI2921" cm="1">
        <f t="array" ref="AI2921">IFERROR(IF(AH2921&lt;0,0,AH2921/($R$2855-INDEX(hd_off,MATCH(AQ2921,hd_mark,0),0)/12)),0)</f>
        <v>0</v>
      </c>
      <c r="AJ2921">
        <f>MAX($F$23,$AA$2855)/$Q$2868</f>
        <v>0</v>
      </c>
      <c r="AK2921">
        <f t="shared" si="1802"/>
        <v>0</v>
      </c>
      <c r="AL2921" cm="1">
        <f t="array" ref="AL2921">IFERROR(INDEX(sheath_ecap_asd,MATCH(AP2921,sheath_mark,0),0)*AK2921,0)</f>
        <v>0</v>
      </c>
      <c r="AM2921" cm="1">
        <f t="array" ref="AM2921">IFERROR(INDEX(sheath_wcap_asd,MATCH(AP2921,sheath_mark,0),0)*AK2921,0)</f>
        <v>0</v>
      </c>
      <c r="AN2921" cm="1">
        <f t="array" ref="AN2921">IFERROR(INDEX(hd_cap,MATCH(AQ2921,hd_mark,0),0),0)</f>
        <v>0</v>
      </c>
      <c r="AP2921" s="19"/>
      <c r="AQ2921" s="19"/>
      <c r="AR2921" s="100"/>
      <c r="AS2921" s="93"/>
      <c r="AT2921" s="109" t="s">
        <v>491</v>
      </c>
      <c r="AU2921" t="str">
        <f>$Q$2839</f>
        <v>L4</v>
      </c>
      <c r="AV2921">
        <f>$E$23</f>
        <v>0</v>
      </c>
      <c r="AW2921" cm="1">
        <f t="array" ref="AW2921">IFERROR(IF(AV2921=0,0,(INDEX($C$33:$C$38,MATCH($AZ$2855,$B$33:$B$38,0),0)*(AV2923+$BA$2855)+$AW$2855*COUNTIF(AV2921:AV2922,"&gt;0")*$C$32+$AY$2855*$C$31)*$AU$2855),0)</f>
        <v>0</v>
      </c>
      <c r="AX2921">
        <f>IF(AV2921=0,0,-(COUNTIF(AV2921:AV2922,"&gt;0")*$AW$2855*$C$32+$AY$2855*$C$31)*$H$27*$AU$2855)</f>
        <v>0</v>
      </c>
      <c r="AY2921">
        <f>IF(AV2921=0,0,$AY$2855*$H$26*$AU$2855)</f>
        <v>0</v>
      </c>
      <c r="AZ2921">
        <f>(0.6*AW2921+0.7*AX2921)*$AU$2855/2</f>
        <v>0</v>
      </c>
      <c r="BA2921">
        <f>AW2921*$AU$2855/2</f>
        <v>0</v>
      </c>
      <c r="BC2921">
        <f>IF(AV2921=0,0,$BG$2855*$AP$2839)</f>
        <v>0</v>
      </c>
      <c r="BD2921">
        <f>IFERROR(BC2921/$AU$2855,0)</f>
        <v>0</v>
      </c>
      <c r="BE2921">
        <f>BC2921*($F$23+IF($F$23=0,0,($C$14+$C$15+IF($C$13="single",1.5,3)+3)/12))</f>
        <v>0</v>
      </c>
      <c r="BF2921">
        <f>BE2921-AZ2921</f>
        <v>0</v>
      </c>
      <c r="BG2921" cm="1">
        <f t="array" ref="BG2921">IFERROR(IF(BF2921&lt;0,0,BF2921/($AU$2855-INDEX(hd_off,MATCH(BT2921,hd_mark,0),0)/12)),0)</f>
        <v>0</v>
      </c>
      <c r="BH2921">
        <f>IF(AV2921=0,0,$BG$2855*$AM$2839)</f>
        <v>0</v>
      </c>
      <c r="BI2921">
        <f>IFERROR(BH2921/$AU$2855,0)</f>
        <v>0</v>
      </c>
      <c r="BJ2921">
        <f>BH2921*($F$23+IF($F$23=0,0,($C$14+$C$15+IF($C$13="single",1.5,3)+3)/12))</f>
        <v>0</v>
      </c>
      <c r="BK2921">
        <f>BJ2921-BA2921</f>
        <v>0</v>
      </c>
      <c r="BL2921" cm="1">
        <f t="array" ref="BL2921">IFERROR(IF(BK2921&lt;0,0,BK2921/($AU$2855-INDEX(hd_off,MATCH(BT2921,hd_mark,0),0)/12)),0)</f>
        <v>0</v>
      </c>
      <c r="BM2921">
        <f>MAX($F$23,$BD$2855)/$Q$2868</f>
        <v>0</v>
      </c>
      <c r="BN2921">
        <f t="shared" si="1803"/>
        <v>0</v>
      </c>
      <c r="BO2921" cm="1">
        <f t="array" ref="BO2921">IFERROR(INDEX(sheath_ecap_asd,MATCH(BS2921,sheath_mark,0),0)*BN2921,0)</f>
        <v>0</v>
      </c>
      <c r="BP2921" cm="1">
        <f t="array" ref="BP2921">IFERROR(INDEX(sheath_wcap_asd,MATCH(BS2921,sheath_mark,0),0)*BN2921,0)</f>
        <v>0</v>
      </c>
      <c r="BQ2921" cm="1">
        <f t="array" ref="BQ2921">IFERROR(INDEX(hd_cap,MATCH(BT2921,hd_mark,0),0),0)</f>
        <v>0</v>
      </c>
      <c r="BS2921" s="19"/>
      <c r="BT2921" s="19"/>
      <c r="BU2921" s="100"/>
    </row>
    <row r="2922" x14ac:dyDescent="0.25">
      <c r="P2922" s="93"/>
      <c r="Q2922" s="111">
        <f>$R$2855</f>
        <v>0</v>
      </c>
      <c r="R2922" t="str">
        <f>$Q$2840</f>
        <v>L5</v>
      </c>
      <c r="S2922">
        <f>$E$24</f>
        <v>0</v>
      </c>
      <c r="T2922" cm="1">
        <f t="array" ref="T2922">IFERROR(IF(S2922=0,0,(INDEX($C$33:$C$38,MATCH($W$2855,$B$33:$B$38,0),0)*(S2923+$X$2855)+$T$2855*COUNTIF(S2922:S2922,"&gt;0")*$C$32+$V$2855*$C$31)*$R$2855),0)</f>
        <v>0</v>
      </c>
      <c r="U2922">
        <f>IF(S2922=0,0,-(COUNTIF(S2922:S2922,"&gt;0")*$T$2855*$C$32+$V$2855*$C$31)*$H$27*$R$2855)</f>
        <v>0</v>
      </c>
      <c r="V2922">
        <f>IF(S2922=0,0,$V$2855*$H$26*$R$2855)</f>
        <v>0</v>
      </c>
      <c r="W2922">
        <f>(0.6*T2922+0.7*U2922)*$R$2855/2</f>
        <v>0</v>
      </c>
      <c r="X2922">
        <f>T2922*$R$2855/2</f>
        <v>0</v>
      </c>
      <c r="Z2922">
        <f>IF(S2922=0,0,$AD$2855*$AP$2840)</f>
        <v>0</v>
      </c>
      <c r="AA2922">
        <f>IFERROR(Z2922/$R$2855,0)</f>
        <v>0</v>
      </c>
      <c r="AB2922">
        <f>Z2922*($F$24+IF($F$24=0,0,($C$14+$C$15+IF($C$13="single",1.5,3)+3)/12))</f>
        <v>0</v>
      </c>
      <c r="AC2922">
        <f>AB2922-W2922</f>
        <v>0</v>
      </c>
      <c r="AD2922" cm="1">
        <f t="array" ref="AD2922">IFERROR(IF(AC2922&lt;0,0,AC2922/($R$2855-INDEX(hd_off,MATCH(AQ2922,hd_mark,0),0)/12)),0)</f>
        <v>0</v>
      </c>
      <c r="AE2922">
        <f>IF(S2922=0,0,$AD$2855*$AM$2840)</f>
        <v>0</v>
      </c>
      <c r="AF2922">
        <f>IFERROR(AE2922/$R$2855,0)</f>
        <v>0</v>
      </c>
      <c r="AG2922">
        <f>AE2922*($F$24+IF($F$24=0,0,($C$14+$C$15+IF($C$13="single",1.5,3)+3)/12))</f>
        <v>0</v>
      </c>
      <c r="AH2922">
        <f>AG2922-X2922</f>
        <v>0</v>
      </c>
      <c r="AI2922" cm="1">
        <f t="array" ref="AI2922">IFERROR(IF(AH2922&lt;0,0,AH2922/($R$2855-INDEX(hd_off,MATCH(AQ2922,hd_mark,0),0)/12)),0)</f>
        <v>0</v>
      </c>
      <c r="AJ2922">
        <f>MAX($F$24,$AB$2855)/$Q$2868</f>
        <v>0</v>
      </c>
      <c r="AK2922">
        <f t="shared" si="1802"/>
        <v>0</v>
      </c>
      <c r="AL2922" cm="1">
        <f t="array" ref="AL2922">IFERROR(INDEX(sheath_ecap_asd,MATCH(AP2922,sheath_mark,0),0)*AK2922,0)</f>
        <v>0</v>
      </c>
      <c r="AM2922" cm="1">
        <f t="array" ref="AM2922">IFERROR(INDEX(sheath_wcap_asd,MATCH(AP2922,sheath_mark,0),0)*AK2922,0)</f>
        <v>0</v>
      </c>
      <c r="AN2922" cm="1">
        <f t="array" ref="AN2922">IFERROR(INDEX(hd_cap,MATCH(AQ2922,hd_mark,0),0),0)</f>
        <v>0</v>
      </c>
      <c r="AP2922" s="19"/>
      <c r="AQ2922" s="19"/>
      <c r="AR2922" s="100"/>
      <c r="AS2922" s="93"/>
      <c r="AT2922" s="111">
        <f>$R$2855</f>
        <v>0</v>
      </c>
      <c r="AU2922" t="str">
        <f>$Q$2840</f>
        <v>L5</v>
      </c>
      <c r="AV2922">
        <f>$E$24</f>
        <v>0</v>
      </c>
      <c r="AW2922" cm="1">
        <f t="array" ref="AW2922">IFERROR(IF(AV2922=0,0,(INDEX($C$33:$C$38,MATCH($AZ$2855,$B$33:$B$38,0),0)*(AV2923+$BA$2855)+$AW$2855*COUNTIF(AV2922:AV2922,"&gt;0")*$C$32+$AY$2855*$C$31)*$AU$2855),0)</f>
        <v>0</v>
      </c>
      <c r="AX2922">
        <f>IF(AV2922=0,0,-(COUNTIF(AV2922:AV2922,"&gt;0")*$AW$2855*$C$32+$AY$2855*$C$31)*$H$27*$AU$2855)</f>
        <v>0</v>
      </c>
      <c r="AY2922">
        <f>IF(AV2922=0,0,$AY$2855*$H$26*$AU$2855)</f>
        <v>0</v>
      </c>
      <c r="AZ2922">
        <f>(0.6*AW2922+0.7*AX2922)*$AU$2855/2</f>
        <v>0</v>
      </c>
      <c r="BA2922">
        <f>AW2922*$AU$2855/2</f>
        <v>0</v>
      </c>
      <c r="BC2922">
        <f>IF(AV2922=0,0,$BG$2855*$AP$2840)</f>
        <v>0</v>
      </c>
      <c r="BD2922">
        <f>IFERROR(BC2922/$AU$2855,0)</f>
        <v>0</v>
      </c>
      <c r="BE2922">
        <f>BC2922*($F$24+IF($F$24=0,0,($C$14+$C$15+IF($C$13="single",1.5,3)+3)/12))</f>
        <v>0</v>
      </c>
      <c r="BF2922">
        <f>BE2922-AZ2922</f>
        <v>0</v>
      </c>
      <c r="BG2922" cm="1">
        <f t="array" ref="BG2922">IFERROR(IF(BF2922&lt;0,0,BF2922/($AU$2855-INDEX(hd_off,MATCH(BT2922,hd_mark,0),0)/12)),0)</f>
        <v>0</v>
      </c>
      <c r="BH2922">
        <f>IF(AV2922=0,0,$BG$2855*$AM$2840)</f>
        <v>0</v>
      </c>
      <c r="BI2922">
        <f>IFERROR(BH2922/$AU$2855,0)</f>
        <v>0</v>
      </c>
      <c r="BJ2922">
        <f>BH2922*($F$24+IF($F$24=0,0,($C$14+$C$15+IF($C$13="single",1.5,3)+3)/12))</f>
        <v>0</v>
      </c>
      <c r="BK2922">
        <f>BJ2922-BA2922</f>
        <v>0</v>
      </c>
      <c r="BL2922" cm="1">
        <f t="array" ref="BL2922">IFERROR(IF(BK2922&lt;0,0,BK2922/($AU$2855-INDEX(hd_off,MATCH(BT2922,hd_mark,0),0)/12)),0)</f>
        <v>0</v>
      </c>
      <c r="BM2922">
        <f>MAX($F$24,$BE$2855)/$Q$2868</f>
        <v>0</v>
      </c>
      <c r="BN2922">
        <f t="shared" si="1803"/>
        <v>0</v>
      </c>
      <c r="BO2922" cm="1">
        <f t="array" ref="BO2922">IFERROR(INDEX(sheath_ecap_asd,MATCH(BS2922,sheath_mark,0),0)*BN2922,0)</f>
        <v>0</v>
      </c>
      <c r="BP2922" cm="1">
        <f t="array" ref="BP2922">IFERROR(INDEX(sheath_wcap_asd,MATCH(BS2922,sheath_mark,0),0)*BN2922,0)</f>
        <v>0</v>
      </c>
      <c r="BQ2922" cm="1">
        <f t="array" ref="BQ2922">IFERROR(INDEX(hd_cap,MATCH(BT2922,hd_mark,0),0),0)</f>
        <v>0</v>
      </c>
      <c r="BS2922" s="19"/>
      <c r="BT2922" s="19"/>
      <c r="BU2922" s="100"/>
    </row>
    <row r="2923" x14ac:dyDescent="0.25">
      <c r="P2923" s="93"/>
      <c r="Q2923" s="109"/>
      <c r="R2923" t="str">
        <f>$Q$2841</f>
        <v>Roof</v>
      </c>
      <c r="S2923">
        <f>$E$25</f>
        <v>33.171875</v>
      </c>
      <c r="T2923" cm="1">
        <f t="array" ref="T2923">IFERROR(IF(S2923=0,0,(INDEX($C$33:$C$38,MATCH($W$2855,$B$33:$B$38,0),0)*(S2923+$X$2855)+$V$2855*$C$31)*$R$2855),0)</f>
        <v>0</v>
      </c>
      <c r="U2923">
        <f>IF(S2923=0,0,-$V$2855*$C$31*$H$27*$R$2855)</f>
        <v>0</v>
      </c>
      <c r="V2923">
        <f>IF(S2923=0,0,$V$2855*$H$26*$R$2855)</f>
        <v>0</v>
      </c>
      <c r="W2923">
        <f>(0.6*T2923+0.7*U2923)*$R$2855/2</f>
        <v>0</v>
      </c>
      <c r="X2923">
        <f>T2923*$R$2855/2</f>
        <v>0</v>
      </c>
      <c r="Z2923">
        <f>IF(S2923=0,0,$AD$2855*$AP$2841)</f>
        <v>0</v>
      </c>
      <c r="AA2923">
        <f>IFERROR(Z2923/$R$2855,0)</f>
        <v>0</v>
      </c>
      <c r="AB2923">
        <f>Z2923*($F$25+($C$16+$C$17+IF($C$13="single",1.5,3)+3)/12)</f>
        <v>0</v>
      </c>
      <c r="AC2923">
        <f>AB2923-W2923</f>
        <v>0</v>
      </c>
      <c r="AD2923" cm="1">
        <f t="array" ref="AD2923">IFERROR(IF(AC2923&lt;0,0,AC2923/($R$2855-INDEX(hd_off,MATCH(AQ2923,hd_mark,0),0)/12)),0)</f>
        <v>0</v>
      </c>
      <c r="AE2923">
        <f>IF(S2923=0,0,$AD$2855*$AM$2841)</f>
        <v>0</v>
      </c>
      <c r="AF2923">
        <f>IFERROR(AE2923/$R$2855,0)</f>
        <v>0</v>
      </c>
      <c r="AG2923">
        <f>AE2923*($F$25+($C$16+$C$17+IF($C$13="single",1.5,3)+3)/12)</f>
        <v>0</v>
      </c>
      <c r="AH2923">
        <f>AG2923-X2923</f>
        <v>0</v>
      </c>
      <c r="AI2923" cm="1">
        <f t="array" ref="AI2923">IFERROR(IF(AH2923&lt;0,0,AH2923/($R$2855-INDEX(hd_off,MATCH(AQ2923,hd_mark,0),0)/12)),0)</f>
        <v>0</v>
      </c>
      <c r="AJ2923">
        <f>MAX($F$25,$AC$2855)/$Q$2868</f>
        <v>0.29920977011494249</v>
      </c>
      <c r="AK2923">
        <f t="shared" si="1802"/>
        <v>1</v>
      </c>
      <c r="AL2923" cm="1">
        <f t="array" ref="AL2923">IFERROR(INDEX(sheath_ecap_asd,MATCH(AP2923,sheath_mark,0),0)*AK2923,0)</f>
        <v>0</v>
      </c>
      <c r="AM2923" cm="1">
        <f t="array" ref="AM2923">IFERROR(INDEX(sheath_wcap_asd,MATCH(AP2923,sheath_mark,0),0)*AK2923,0)</f>
        <v>0</v>
      </c>
      <c r="AN2923" cm="1">
        <f t="array" ref="AN2923">IFERROR(INDEX(hd_cap,MATCH(AQ2923,hd_mark,0),0),0)</f>
        <v>0</v>
      </c>
      <c r="AP2923" s="19"/>
      <c r="AQ2923" s="19"/>
      <c r="AR2923" s="100"/>
      <c r="AS2923" s="93"/>
      <c r="AT2923" s="109"/>
      <c r="AU2923" t="str">
        <f>$Q$2841</f>
        <v>Roof</v>
      </c>
      <c r="AV2923">
        <f>$E$25</f>
        <v>33.171875</v>
      </c>
      <c r="AW2923" cm="1">
        <f t="array" ref="AW2923">IFERROR(IF(AV2923=0,0,(INDEX($C$33:$C$38,MATCH($AZ$2855,$B$33:$B$38,0),0)*(AV2923+$BA$2855)+$AY$2855*$C$31)*$AU$2855),0)</f>
        <v>0</v>
      </c>
      <c r="AX2923">
        <f>IF(AV2923=0,0,-$AY$2855*$C$31*$H$27*$AU$2855)</f>
        <v>0</v>
      </c>
      <c r="AY2923">
        <f>IF(AV2923=0,0,$AY$2855*$H$26*$AU$2855)</f>
        <v>0</v>
      </c>
      <c r="AZ2923">
        <f>(0.6*AW2923+0.7*AX2923)*$AU$2855/2</f>
        <v>0</v>
      </c>
      <c r="BA2923">
        <f>AW2923*$AU$2855/2</f>
        <v>0</v>
      </c>
      <c r="BC2923">
        <f>IF(AV2923=0,0,$BG$2855*$AP$2841)</f>
        <v>0</v>
      </c>
      <c r="BD2923">
        <f>IFERROR(BC2923/$AU$2855,0)</f>
        <v>0</v>
      </c>
      <c r="BE2923">
        <f>BC2923*($F$25+($C$16+$C$17+IF($C$13="single",1.5,3)+3)/12)</f>
        <v>0</v>
      </c>
      <c r="BF2923">
        <f>BE2923-AZ2923</f>
        <v>0</v>
      </c>
      <c r="BG2923" cm="1">
        <f t="array" ref="BG2923">IFERROR(IF(BF2923&lt;0,0,BF2923/($AU$2855-INDEX(hd_off,MATCH(BT2923,hd_mark,0),0)/12)),0)</f>
        <v>0</v>
      </c>
      <c r="BH2923">
        <f>IF(AV2923=0,0,$BG$2855*$AM$2841)</f>
        <v>0</v>
      </c>
      <c r="BI2923">
        <f>IFERROR(BH2923/$AU$2855,0)</f>
        <v>0</v>
      </c>
      <c r="BJ2923">
        <f>BH2923*($F$25+($C$16+$C$17+IF($C$13="single",1.5,3)+3)/12)</f>
        <v>0</v>
      </c>
      <c r="BK2923">
        <f>BJ2923-BA2923</f>
        <v>0</v>
      </c>
      <c r="BL2923" cm="1">
        <f t="array" ref="BL2923">IFERROR(IF(BK2923&lt;0,0,BK2923/($AU$2855-INDEX(hd_off,MATCH(BT2923,hd_mark,0),0)/12)),0)</f>
        <v>0</v>
      </c>
      <c r="BM2923">
        <f>MAX($F$25,$BF$2855)/$Q$2868</f>
        <v>0.29920977011494249</v>
      </c>
      <c r="BN2923">
        <f t="shared" si="1803"/>
        <v>1</v>
      </c>
      <c r="BO2923" cm="1">
        <f t="array" ref="BO2923">IFERROR(INDEX(sheath_ecap_asd,MATCH(BS2923,sheath_mark,0),0)*BN2923,0)</f>
        <v>0</v>
      </c>
      <c r="BP2923" cm="1">
        <f t="array" ref="BP2923">IFERROR(INDEX(sheath_wcap_asd,MATCH(BS2923,sheath_mark,0),0)*BN2923,0)</f>
        <v>0</v>
      </c>
      <c r="BQ2923" cm="1">
        <f t="array" ref="BQ2923">IFERROR(INDEX(hd_cap,MATCH(BT2923,hd_mark,0),0),0)</f>
        <v>0</v>
      </c>
      <c r="BS2923" s="19"/>
      <c r="BT2923" s="19"/>
      <c r="BU2923" s="100"/>
    </row>
    <row r="2924" x14ac:dyDescent="0.25">
      <c r="P2924" s="93"/>
      <c r="AR2924" s="100"/>
      <c r="AS2924" s="93"/>
      <c r="BU2924" s="100"/>
    </row>
    <row r="2925" x14ac:dyDescent="0.25">
      <c r="P2925" s="93"/>
      <c r="Q2925" s="110" t="str">
        <f>$Q$2856</f>
        <v>A.11</v>
      </c>
      <c r="R2925" t="str">
        <f>$Q$2837</f>
        <v>L2</v>
      </c>
      <c r="S2925">
        <f>$E$21</f>
        <v>10.6875</v>
      </c>
      <c r="T2925" cm="1">
        <f t="array" ref="T2925">IFERROR(IF(S2925=0,0,(INDEX($C$33:$C$38,MATCH($W$2856,$B$33:$B$38,0),0)*(S2929+$X$2856)+$T$2856*COUNTIF(S2925:S2928,"&gt;0")*$C$32+$V$2856*$C$31)*$R$2856),0)</f>
        <v>0</v>
      </c>
      <c r="U2925">
        <f>IF(S2925=0,0,-(COUNTIF(S2925:S2928,"&gt;0")*$T$2856*$C$32+$V$2856*$C$31)*$H$27*$R$2856)</f>
        <v>0</v>
      </c>
      <c r="V2925">
        <f>IF(S2925=0,0,$V$2856*$H$26*$R$2856)</f>
        <v>0</v>
      </c>
      <c r="W2925">
        <f>(0.6*T2925+0.7*U2925)*$R$2856/2</f>
        <v>0</v>
      </c>
      <c r="X2925">
        <f>(0.6*T2925+0.6*V2925)*$R$2856/2</f>
        <v>0</v>
      </c>
      <c r="Z2925">
        <f>IF(S2925=0,0,$AD$2856*$AP$2837)</f>
        <v>0</v>
      </c>
      <c r="AA2925">
        <f>IFERROR(Z2925/$R$2856,0)</f>
        <v>0</v>
      </c>
      <c r="AB2925">
        <f>Z2925*($F$21+IF($F$21=0,0,($C$14+$C$15+IF($C$13="single",1.5,3)+3)/12))</f>
        <v>0</v>
      </c>
      <c r="AC2925">
        <f>AB2925-W2925</f>
        <v>0</v>
      </c>
      <c r="AD2925" cm="1">
        <f t="array" ref="AD2925">IFERROR(IF(AC2925&lt;0,0,AC2925/($R$2856-INDEX(hd_off,MATCH(AQ2925,hd_mark,0),0)/12)),0)</f>
        <v>0</v>
      </c>
      <c r="AE2925">
        <f>IF(S2925=0,0,$AD$2856*$AM$2837)</f>
        <v>0</v>
      </c>
      <c r="AF2925">
        <f>IFERROR(AE2925/$R$2856,0)</f>
        <v>0</v>
      </c>
      <c r="AG2925">
        <f>AE2925*($F$21+IF($F$21=0,0,($C$14+$C$15+IF($C$13="single",1.5,3)+3)/12))</f>
        <v>0</v>
      </c>
      <c r="AH2925">
        <f>AG2925-X2925</f>
        <v>0</v>
      </c>
      <c r="AI2925" cm="1">
        <f t="array" ref="AI2925">IFERROR(IF(AH2925&lt;0,0,AH2925/($R$2856-INDEX(hd_off,MATCH(AQ2925,hd_mark,0),0)/12)),0)</f>
        <v>0</v>
      </c>
      <c r="AJ2925">
        <f>MAX($F$21,$Y$2856)/$Q$2868</f>
        <v>0.30172413793103448</v>
      </c>
      <c r="AK2925">
        <f>IF(AJ2925=0,0,IF(AJ2925&gt;2,1.25-0.125*AJ2925,1))</f>
        <v>1</v>
      </c>
      <c r="AL2925" cm="1">
        <f t="array" ref="AL2925">IFERROR(INDEX(sheath_ecap_asd,MATCH(AP2925,sheath_mark,0),0)*AK2925,0)</f>
        <v>0</v>
      </c>
      <c r="AM2925" cm="1">
        <f t="array" ref="AM2925">IFERROR(INDEX(sheath_wcap_asd,MATCH(AP2925,sheath_mark,0),0)*AK2925,0)</f>
        <v>0</v>
      </c>
      <c r="AN2925" cm="1">
        <f t="array" ref="AN2925">IFERROR(INDEX(hd_cap,MATCH(AQ2925,hd_mark,0),0),0)</f>
        <v>0</v>
      </c>
      <c r="AP2925" s="19"/>
      <c r="AQ2925" s="19"/>
      <c r="AR2925" s="100"/>
      <c r="AS2925" s="93"/>
      <c r="AT2925" s="110" t="str">
        <f>$AT$2856</f>
        <v>1.11</v>
      </c>
      <c r="AU2925" t="str">
        <f>$Q$2837</f>
        <v>L2</v>
      </c>
      <c r="AV2925">
        <f>$E$21</f>
        <v>10.6875</v>
      </c>
      <c r="AW2925" cm="1">
        <f t="array" ref="AW2925">IFERROR(IF(AV2925=0,0,(INDEX($C$33:$C$38,MATCH($AZ$2856,$B$33:$B$38,0),0)*(AV2929+$BA$2856)+$AW$2856*COUNTIF(AV2925:AV2928,"&gt;0")*$C$32+$AY$2856*$C$31)*$AU$2856),0)</f>
        <v>0</v>
      </c>
      <c r="AX2925">
        <f>IF(AV2925=0,0,-(COUNTIF(AV2925:AV2928,"&gt;0")*$AW$2856*$C$32+$AY$2856*$C$31)*$H$27*$AU$2856)</f>
        <v>0</v>
      </c>
      <c r="AY2925">
        <f>IF(AV2925=0,0,$AY$2856*$H$26*$AU$2856)</f>
        <v>0</v>
      </c>
      <c r="AZ2925">
        <f>(0.6*AW2925+0.7*AX2925)*$AU$2856/2</f>
        <v>0</v>
      </c>
      <c r="BA2925">
        <f>(0.6*AW2925+0.6*AY2925)*$AU$2856/2</f>
        <v>0</v>
      </c>
      <c r="BC2925">
        <f>IF(AV2925=0,0,$BG$2856*$AP$2837)</f>
        <v>0</v>
      </c>
      <c r="BD2925">
        <f>IFERROR(BC2925/$AU$2856,0)</f>
        <v>0</v>
      </c>
      <c r="BE2925">
        <f>BC2925*($F$21+IF($F$21=0,0,($C$14+$C$15+IF($C$13="single",1.5,3)+3)/12))</f>
        <v>0</v>
      </c>
      <c r="BF2925">
        <f>BE2925-AZ2925</f>
        <v>0</v>
      </c>
      <c r="BG2925" cm="1">
        <f t="array" ref="BG2925">IFERROR(IF(BF2925&lt;0,0,BF2925/($AU$2856-INDEX(hd_off,MATCH(BT2925,hd_mark,0),0)/12)),0)</f>
        <v>0</v>
      </c>
      <c r="BH2925">
        <f>IF(AV2925=0,0,$BG$2856*$AM$2837)</f>
        <v>0</v>
      </c>
      <c r="BI2925">
        <f>IFERROR(BH2925/$AU$2856,0)</f>
        <v>0</v>
      </c>
      <c r="BJ2925">
        <f>BH2925*($F$21+IF($F$21=0,0,($C$14+$C$15+IF($C$13="single",1.5,3)+3)/12))</f>
        <v>0</v>
      </c>
      <c r="BK2925">
        <f>BJ2925-BA2925</f>
        <v>0</v>
      </c>
      <c r="BL2925" cm="1">
        <f t="array" ref="BL2925">IFERROR(IF(BK2925&lt;0,0,BK2925/($AU$2856-INDEX(hd_off,MATCH(BT2925,hd_mark,0),0)/12)),0)</f>
        <v>0</v>
      </c>
      <c r="BM2925">
        <f>MAX($F$21,$BB$2856)/$Q$2868</f>
        <v>0.30172413793103448</v>
      </c>
      <c r="BN2925">
        <f>IF(BM2925=0,0,IF(BM2925&gt;2,1.25-0.125*BM2925,1))</f>
        <v>1</v>
      </c>
      <c r="BO2925" cm="1">
        <f t="array" ref="BO2925">IFERROR(INDEX(sheath_ecap_asd,MATCH(BS2925,sheath_mark,0),0)*BN2925,0)</f>
        <v>0</v>
      </c>
      <c r="BP2925" cm="1">
        <f t="array" ref="BP2925">IFERROR(INDEX(sheath_wcap_asd,MATCH(BS2925,sheath_mark,0),0)*BN2925,0)</f>
        <v>0</v>
      </c>
      <c r="BQ2925" cm="1">
        <f t="array" ref="BQ2925">IFERROR(INDEX(hd_cap,MATCH(BT2925,hd_mark,0),0),0)</f>
        <v>0</v>
      </c>
      <c r="BS2925" s="19"/>
      <c r="BT2925" s="19"/>
      <c r="BU2925" s="100"/>
    </row>
    <row r="2926" x14ac:dyDescent="0.25">
      <c r="P2926" s="93"/>
      <c r="Q2926" s="109"/>
      <c r="R2926" t="str">
        <f>$Q$2838</f>
        <v>L3</v>
      </c>
      <c r="S2926">
        <f>$E$22</f>
        <v>21.375</v>
      </c>
      <c r="T2926" cm="1">
        <f t="array" ref="T2926">IFERROR(IF(S2926=0,0,(INDEX($C$33:$C$38,MATCH($W$2856,$B$33:$B$38,0),0)*(S2929+$X$2856)+$T$2856*COUNTIF(S2926:S2928,"&gt;0")*$C$32+$V$2856*$C$31)*$R$2856),0)</f>
        <v>0</v>
      </c>
      <c r="U2926">
        <f>IF(S2926=0,0,-(COUNTIF(S2926:S2928,"&gt;0")*$T$2856*$C$32+$V$2856*$C$31)*$H$27*$R$2856)</f>
        <v>0</v>
      </c>
      <c r="V2926">
        <f>IF(S2926=0,0,$V$2856*$H$26*$R$2856)</f>
        <v>0</v>
      </c>
      <c r="W2926">
        <f>(0.6*T2926+0.7*U2926)*$R$2856/2</f>
        <v>0</v>
      </c>
      <c r="X2926">
        <f>T2926*$R$2856/2</f>
        <v>0</v>
      </c>
      <c r="Z2926">
        <f>IF(S2926=0,0,$AD$2856*$AP$2838)</f>
        <v>0</v>
      </c>
      <c r="AA2926">
        <f>IFERROR(Z2926/$R$2856,0)</f>
        <v>0</v>
      </c>
      <c r="AB2926">
        <f>Z2926*($F$22+IF($F$22=0,0,($C$14+$C$15+IF($C$13="single",1.5,3)+3)/12))</f>
        <v>0</v>
      </c>
      <c r="AC2926">
        <f>AB2926-W2926</f>
        <v>0</v>
      </c>
      <c r="AD2926" cm="1">
        <f t="array" ref="AD2926">IFERROR(IF(AC2926&lt;0,0,AC2926/($R$2856-INDEX(hd_off,MATCH(AQ2926,hd_mark,0),0)/12)),0)</f>
        <v>0</v>
      </c>
      <c r="AE2926">
        <f>IF(S2926=0,0,$AD$2856*$AM$2838)</f>
        <v>0</v>
      </c>
      <c r="AF2926">
        <f>IFERROR(AE2926/$R$2856,0)</f>
        <v>0</v>
      </c>
      <c r="AG2926">
        <f>AE2926*($F$22+IF($F$22=0,0,($C$14+$C$15+IF($C$13="single",1.5,3)+3)/12))</f>
        <v>0</v>
      </c>
      <c r="AH2926">
        <f>AG2926-X2926</f>
        <v>0</v>
      </c>
      <c r="AI2926" cm="1">
        <f t="array" ref="AI2926">IFERROR(IF(AH2926&lt;0,0,AH2926/($R$2856-INDEX(hd_off,MATCH(AQ2926,hd_mark,0),0)/12)),0)</f>
        <v>0</v>
      </c>
      <c r="AJ2926">
        <f>MAX($F$22,$Z$2856)/$Q$2868</f>
        <v>0.30172413793103448</v>
      </c>
      <c r="AK2926">
        <f t="shared" ref="AK2926:AK2929" si="1804">IF(AJ2926=0,0,IF(AJ2926&gt;2,1.25-0.125*AJ2926,1))</f>
        <v>1</v>
      </c>
      <c r="AL2926" cm="1">
        <f t="array" ref="AL2926">IFERROR(INDEX(sheath_ecap_asd,MATCH(AP2926,sheath_mark,0),0)*AK2926,0)</f>
        <v>0</v>
      </c>
      <c r="AM2926" cm="1">
        <f t="array" ref="AM2926">IFERROR(INDEX(sheath_wcap_asd,MATCH(AP2926,sheath_mark,0),0)*AK2926,0)</f>
        <v>0</v>
      </c>
      <c r="AN2926" cm="1">
        <f t="array" ref="AN2926">IFERROR(INDEX(hd_cap,MATCH(AQ2926,hd_mark,0),0),0)</f>
        <v>0</v>
      </c>
      <c r="AP2926" s="19"/>
      <c r="AQ2926" s="19"/>
      <c r="AR2926" s="100"/>
      <c r="AS2926" s="93"/>
      <c r="AT2926" s="109"/>
      <c r="AU2926" t="str">
        <f>$Q$2838</f>
        <v>L3</v>
      </c>
      <c r="AV2926">
        <f>$E$22</f>
        <v>21.375</v>
      </c>
      <c r="AW2926" cm="1">
        <f t="array" ref="AW2926">IFERROR(IF(AV2926=0,0,(INDEX($C$33:$C$38,MATCH($AZ$2856,$B$33:$B$38,0),0)*(AV2929+$BA$2856)+$AW$2856*COUNTIF(AV2926:AV2928,"&gt;0")*$C$32+$AY$2856*$C$31)*$AU$2856),0)</f>
        <v>0</v>
      </c>
      <c r="AX2926">
        <f>IF(AV2926=0,0,-(COUNTIF(AV2926:AV2928,"&gt;0")*$AW$2856*$C$32+$AY$2856*$C$31)*$H$27*$AU$2856)</f>
        <v>0</v>
      </c>
      <c r="AY2926">
        <f>IF(AV2926=0,0,$AY$2856*$H$26*$AU$2856)</f>
        <v>0</v>
      </c>
      <c r="AZ2926">
        <f>(0.6*AW2926+0.7*AX2926)*$AU$2856/2</f>
        <v>0</v>
      </c>
      <c r="BA2926">
        <f>AW2926*$AU$2856/2</f>
        <v>0</v>
      </c>
      <c r="BC2926">
        <f>IF(AV2926=0,0,$BG$2856*$AP$2838)</f>
        <v>0</v>
      </c>
      <c r="BD2926">
        <f>IFERROR(BC2926/$AU$2856,0)</f>
        <v>0</v>
      </c>
      <c r="BE2926">
        <f>BC2926*($F$22+IF($F$22=0,0,($C$14+$C$15+IF($C$13="single",1.5,3)+3)/12))</f>
        <v>0</v>
      </c>
      <c r="BF2926">
        <f>BE2926-AZ2926</f>
        <v>0</v>
      </c>
      <c r="BG2926" cm="1">
        <f t="array" ref="BG2926">IFERROR(IF(BF2926&lt;0,0,BF2926/($AU$2856-INDEX(hd_off,MATCH(BT2926,hd_mark,0),0)/12)),0)</f>
        <v>0</v>
      </c>
      <c r="BH2926">
        <f>IF(AV2926=0,0,$BG$2856*$AM$2838)</f>
        <v>0</v>
      </c>
      <c r="BI2926">
        <f>IFERROR(BH2926/$AU$2856,0)</f>
        <v>0</v>
      </c>
      <c r="BJ2926">
        <f>BH2926*($F$22+IF($F$22=0,0,($C$14+$C$15+IF($C$13="single",1.5,3)+3)/12))</f>
        <v>0</v>
      </c>
      <c r="BK2926">
        <f>BJ2926-BA2926</f>
        <v>0</v>
      </c>
      <c r="BL2926" cm="1">
        <f t="array" ref="BL2926">IFERROR(IF(BK2926&lt;0,0,BK2926/($AU$2856-INDEX(hd_off,MATCH(BT2926,hd_mark,0),0)/12)),0)</f>
        <v>0</v>
      </c>
      <c r="BM2926">
        <f>MAX($F$22,$BC$2856)/$Q$2868</f>
        <v>0.30172413793103448</v>
      </c>
      <c r="BN2926">
        <f t="shared" ref="BN2926:BN2929" si="1805">IF(BM2926=0,0,IF(BM2926&gt;2,1.25-0.125*BM2926,1))</f>
        <v>1</v>
      </c>
      <c r="BO2926" cm="1">
        <f t="array" ref="BO2926">IFERROR(INDEX(sheath_ecap_asd,MATCH(BS2926,sheath_mark,0),0)*BN2926,0)</f>
        <v>0</v>
      </c>
      <c r="BP2926" cm="1">
        <f t="array" ref="BP2926">IFERROR(INDEX(sheath_wcap_asd,MATCH(BS2926,sheath_mark,0),0)*BN2926,0)</f>
        <v>0</v>
      </c>
      <c r="BQ2926" cm="1">
        <f t="array" ref="BQ2926">IFERROR(INDEX(hd_cap,MATCH(BT2926,hd_mark,0),0),0)</f>
        <v>0</v>
      </c>
      <c r="BS2926" s="19"/>
      <c r="BT2926" s="19"/>
      <c r="BU2926" s="100"/>
    </row>
    <row r="2927" x14ac:dyDescent="0.25">
      <c r="P2927" s="93"/>
      <c r="Q2927" s="109" t="s">
        <v>491</v>
      </c>
      <c r="R2927" t="str">
        <f>$Q$2839</f>
        <v>L4</v>
      </c>
      <c r="S2927">
        <f>$E$23</f>
        <v>0</v>
      </c>
      <c r="T2927" cm="1">
        <f t="array" ref="T2927">IFERROR(IF(S2927=0,0,(INDEX($C$33:$C$38,MATCH($W$2856,$B$33:$B$38,0),0)*(S2929+$X$2856)+$T$2856*COUNTIF(S2927:S2928,"&gt;0")*$C$32+$V$2856*$C$31)*$R$2856),0)</f>
        <v>0</v>
      </c>
      <c r="U2927">
        <f>IF(S2927=0,0,-(COUNTIF(S2927:S2928,"&gt;0")*$T$2856*$C$32+$V$2856*$C$31)*$H$27*$R$2856)</f>
        <v>0</v>
      </c>
      <c r="V2927">
        <f>IF(S2927=0,0,$V$2856*$H$26*$R$2856)</f>
        <v>0</v>
      </c>
      <c r="W2927">
        <f>(0.6*T2927+0.7*U2927)*$R$2856/2</f>
        <v>0</v>
      </c>
      <c r="X2927">
        <f>T2927*$R$2856/2</f>
        <v>0</v>
      </c>
      <c r="Z2927">
        <f>IF(S2927=0,0,$AD$2856*$AP$2839)</f>
        <v>0</v>
      </c>
      <c r="AA2927">
        <f>IFERROR(Z2927/$R$2856,0)</f>
        <v>0</v>
      </c>
      <c r="AB2927">
        <f>Z2927*($F$23+IF($F$23=0,0,($C$14+$C$15+IF($C$13="single",1.5,3)+3)/12))</f>
        <v>0</v>
      </c>
      <c r="AC2927">
        <f>AB2927-W2927</f>
        <v>0</v>
      </c>
      <c r="AD2927" cm="1">
        <f t="array" ref="AD2927">IFERROR(IF(AC2927&lt;0,0,AC2927/($R$2856-INDEX(hd_off,MATCH(AQ2927,hd_mark,0),0)/12)),0)</f>
        <v>0</v>
      </c>
      <c r="AE2927">
        <f>IF(S2927=0,0,$AD$2856*$AM$2839)</f>
        <v>0</v>
      </c>
      <c r="AF2927">
        <f>IFERROR(AE2927/$R$2856,0)</f>
        <v>0</v>
      </c>
      <c r="AG2927">
        <f>AE2927*($F$23+IF($F$23=0,0,($C$14+$C$15+IF($C$13="single",1.5,3)+3)/12))</f>
        <v>0</v>
      </c>
      <c r="AH2927">
        <f>AG2927-X2927</f>
        <v>0</v>
      </c>
      <c r="AI2927" cm="1">
        <f t="array" ref="AI2927">IFERROR(IF(AH2927&lt;0,0,AH2927/($R$2856-INDEX(hd_off,MATCH(AQ2927,hd_mark,0),0)/12)),0)</f>
        <v>0</v>
      </c>
      <c r="AJ2927">
        <f>MAX($F$23,$AA$2856)/$Q$2868</f>
        <v>0</v>
      </c>
      <c r="AK2927">
        <f t="shared" si="1804"/>
        <v>0</v>
      </c>
      <c r="AL2927" cm="1">
        <f t="array" ref="AL2927">IFERROR(INDEX(sheath_ecap_asd,MATCH(AP2927,sheath_mark,0),0)*AK2927,0)</f>
        <v>0</v>
      </c>
      <c r="AM2927" cm="1">
        <f t="array" ref="AM2927">IFERROR(INDEX(sheath_wcap_asd,MATCH(AP2927,sheath_mark,0),0)*AK2927,0)</f>
        <v>0</v>
      </c>
      <c r="AN2927" cm="1">
        <f t="array" ref="AN2927">IFERROR(INDEX(hd_cap,MATCH(AQ2927,hd_mark,0),0),0)</f>
        <v>0</v>
      </c>
      <c r="AP2927" s="19"/>
      <c r="AQ2927" s="19"/>
      <c r="AR2927" s="100"/>
      <c r="AS2927" s="93"/>
      <c r="AT2927" s="109" t="s">
        <v>491</v>
      </c>
      <c r="AU2927" t="str">
        <f>$Q$2839</f>
        <v>L4</v>
      </c>
      <c r="AV2927">
        <f>$E$23</f>
        <v>0</v>
      </c>
      <c r="AW2927" cm="1">
        <f t="array" ref="AW2927">IFERROR(IF(AV2927=0,0,(INDEX($C$33:$C$38,MATCH($AZ$2856,$B$33:$B$38,0),0)*(AV2929+$BA$2856)+$AW$2856*COUNTIF(AV2927:AV2928,"&gt;0")*$C$32+$AY$2856*$C$31)*$AU$2856),0)</f>
        <v>0</v>
      </c>
      <c r="AX2927">
        <f>IF(AV2927=0,0,-(COUNTIF(AV2927:AV2928,"&gt;0")*$AW$2856*$C$32+$AY$2856*$C$31)*$H$27*$AU$2856)</f>
        <v>0</v>
      </c>
      <c r="AY2927">
        <f>IF(AV2927=0,0,$AY$2856*$H$26*$AU$2856)</f>
        <v>0</v>
      </c>
      <c r="AZ2927">
        <f>(0.6*AW2927+0.7*AX2927)*$AU$2856/2</f>
        <v>0</v>
      </c>
      <c r="BA2927">
        <f>AW2927*$AU$2856/2</f>
        <v>0</v>
      </c>
      <c r="BC2927">
        <f>IF(AV2927=0,0,$BG$2856*$AP$2839)</f>
        <v>0</v>
      </c>
      <c r="BD2927">
        <f>IFERROR(BC2927/$AU$2856,0)</f>
        <v>0</v>
      </c>
      <c r="BE2927">
        <f>BC2927*($F$23+IF($F$23=0,0,($C$14+$C$15+IF($C$13="single",1.5,3)+3)/12))</f>
        <v>0</v>
      </c>
      <c r="BF2927">
        <f>BE2927-AZ2927</f>
        <v>0</v>
      </c>
      <c r="BG2927" cm="1">
        <f t="array" ref="BG2927">IFERROR(IF(BF2927&lt;0,0,BF2927/($AU$2856-INDEX(hd_off,MATCH(BT2927,hd_mark,0),0)/12)),0)</f>
        <v>0</v>
      </c>
      <c r="BH2927">
        <f>IF(AV2927=0,0,$BG$2856*$AM$2839)</f>
        <v>0</v>
      </c>
      <c r="BI2927">
        <f>IFERROR(BH2927/$AU$2856,0)</f>
        <v>0</v>
      </c>
      <c r="BJ2927">
        <f>BH2927*($F$23+IF($F$23=0,0,($C$14+$C$15+IF($C$13="single",1.5,3)+3)/12))</f>
        <v>0</v>
      </c>
      <c r="BK2927">
        <f>BJ2927-BA2927</f>
        <v>0</v>
      </c>
      <c r="BL2927" cm="1">
        <f t="array" ref="BL2927">IFERROR(IF(BK2927&lt;0,0,BK2927/($AU$2856-INDEX(hd_off,MATCH(BT2927,hd_mark,0),0)/12)),0)</f>
        <v>0</v>
      </c>
      <c r="BM2927">
        <f>MAX($F$23,$BD$2856)/$Q$2868</f>
        <v>0</v>
      </c>
      <c r="BN2927">
        <f t="shared" si="1805"/>
        <v>0</v>
      </c>
      <c r="BO2927" cm="1">
        <f t="array" ref="BO2927">IFERROR(INDEX(sheath_ecap_asd,MATCH(BS2927,sheath_mark,0),0)*BN2927,0)</f>
        <v>0</v>
      </c>
      <c r="BP2927" cm="1">
        <f t="array" ref="BP2927">IFERROR(INDEX(sheath_wcap_asd,MATCH(BS2927,sheath_mark,0),0)*BN2927,0)</f>
        <v>0</v>
      </c>
      <c r="BQ2927" cm="1">
        <f t="array" ref="BQ2927">IFERROR(INDEX(hd_cap,MATCH(BT2927,hd_mark,0),0),0)</f>
        <v>0</v>
      </c>
      <c r="BS2927" s="19"/>
      <c r="BT2927" s="19"/>
      <c r="BU2927" s="100"/>
    </row>
    <row r="2928" x14ac:dyDescent="0.25">
      <c r="P2928" s="93"/>
      <c r="Q2928" s="111">
        <f>$R$2856</f>
        <v>0</v>
      </c>
      <c r="R2928" t="str">
        <f>$Q$2840</f>
        <v>L5</v>
      </c>
      <c r="S2928">
        <f>$E$24</f>
        <v>0</v>
      </c>
      <c r="T2928" cm="1">
        <f t="array" ref="T2928">IFERROR(IF(S2928=0,0,(INDEX($C$33:$C$38,MATCH($W$2856,$B$33:$B$38,0),0)*(S2929+$X$2856)+$T$2856*COUNTIF(S2928:S2928,"&gt;0")*$C$32+$V$2856*$C$31)*$R$2856),0)</f>
        <v>0</v>
      </c>
      <c r="U2928">
        <f>IF(S2928=0,0,-(COUNTIF(S2928:S2928,"&gt;0")*$T$2856*$C$32+$V$2856*$C$31)*$H$27*$R$2856)</f>
        <v>0</v>
      </c>
      <c r="V2928">
        <f>IF(S2928=0,0,$V$2856*$H$26*$R$2856)</f>
        <v>0</v>
      </c>
      <c r="W2928">
        <f>(0.6*T2928+0.7*U2928)*$R$2856/2</f>
        <v>0</v>
      </c>
      <c r="X2928">
        <f>T2928*$R$2856/2</f>
        <v>0</v>
      </c>
      <c r="Z2928">
        <f>IF(S2928=0,0,$AD$2856*$AP$2840)</f>
        <v>0</v>
      </c>
      <c r="AA2928">
        <f>IFERROR(Z2928/$R$2856,0)</f>
        <v>0</v>
      </c>
      <c r="AB2928">
        <f>Z2928*($F$24+IF($F$24=0,0,($C$14+$C$15+IF($C$13="single",1.5,3)+3)/12))</f>
        <v>0</v>
      </c>
      <c r="AC2928">
        <f>AB2928-W2928</f>
        <v>0</v>
      </c>
      <c r="AD2928" cm="1">
        <f t="array" ref="AD2928">IFERROR(IF(AC2928&lt;0,0,AC2928/($R$2856-INDEX(hd_off,MATCH(AQ2928,hd_mark,0),0)/12)),0)</f>
        <v>0</v>
      </c>
      <c r="AE2928">
        <f>IF(S2928=0,0,$AD$2856*$AM$2840)</f>
        <v>0</v>
      </c>
      <c r="AF2928">
        <f>IFERROR(AE2928/$R$2856,0)</f>
        <v>0</v>
      </c>
      <c r="AG2928">
        <f>AE2928*($F$24+IF($F$24=0,0,($C$14+$C$15+IF($C$13="single",1.5,3)+3)/12))</f>
        <v>0</v>
      </c>
      <c r="AH2928">
        <f>AG2928-X2928</f>
        <v>0</v>
      </c>
      <c r="AI2928" cm="1">
        <f t="array" ref="AI2928">IFERROR(IF(AH2928&lt;0,0,AH2928/($R$2856-INDEX(hd_off,MATCH(AQ2928,hd_mark,0),0)/12)),0)</f>
        <v>0</v>
      </c>
      <c r="AJ2928">
        <f>MAX($F$24,$AB$2856)/$Q$2868</f>
        <v>0</v>
      </c>
      <c r="AK2928">
        <f t="shared" si="1804"/>
        <v>0</v>
      </c>
      <c r="AL2928" cm="1">
        <f t="array" ref="AL2928">IFERROR(INDEX(sheath_ecap_asd,MATCH(AP2928,sheath_mark,0),0)*AK2928,0)</f>
        <v>0</v>
      </c>
      <c r="AM2928" cm="1">
        <f t="array" ref="AM2928">IFERROR(INDEX(sheath_wcap_asd,MATCH(AP2928,sheath_mark,0),0)*AK2928,0)</f>
        <v>0</v>
      </c>
      <c r="AN2928" cm="1">
        <f t="array" ref="AN2928">IFERROR(INDEX(hd_cap,MATCH(AQ2928,hd_mark,0),0),0)</f>
        <v>0</v>
      </c>
      <c r="AP2928" s="19"/>
      <c r="AQ2928" s="19"/>
      <c r="AR2928" s="100"/>
      <c r="AS2928" s="93"/>
      <c r="AT2928" s="111">
        <f>$R$2856</f>
        <v>0</v>
      </c>
      <c r="AU2928" t="str">
        <f>$Q$2840</f>
        <v>L5</v>
      </c>
      <c r="AV2928">
        <f>$E$24</f>
        <v>0</v>
      </c>
      <c r="AW2928" cm="1">
        <f t="array" ref="AW2928">IFERROR(IF(AV2928=0,0,(INDEX($C$33:$C$38,MATCH($AZ$2856,$B$33:$B$38,0),0)*(AV2929+$BA$2856)+$AW$2856*COUNTIF(AV2928:AV2928,"&gt;0")*$C$32+$AY$2856*$C$31)*$AU$2856),0)</f>
        <v>0</v>
      </c>
      <c r="AX2928">
        <f>IF(AV2928=0,0,-(COUNTIF(AV2928:AV2928,"&gt;0")*$AW$2856*$C$32+$AY$2856*$C$31)*$H$27*$AU$2856)</f>
        <v>0</v>
      </c>
      <c r="AY2928">
        <f>IF(AV2928=0,0,$AY$2856*$H$26*$AU$2856)</f>
        <v>0</v>
      </c>
      <c r="AZ2928">
        <f>(0.6*AW2928+0.7*AX2928)*$AU$2856/2</f>
        <v>0</v>
      </c>
      <c r="BA2928">
        <f>AW2928*$AU$2856/2</f>
        <v>0</v>
      </c>
      <c r="BC2928">
        <f>IF(AV2928=0,0,$BG$2856*$AP$2840)</f>
        <v>0</v>
      </c>
      <c r="BD2928">
        <f>IFERROR(BC2928/$AU$2856,0)</f>
        <v>0</v>
      </c>
      <c r="BE2928">
        <f>BC2928*($F$24+IF($F$24=0,0,($C$14+$C$15+IF($C$13="single",1.5,3)+3)/12))</f>
        <v>0</v>
      </c>
      <c r="BF2928">
        <f>BE2928-AZ2928</f>
        <v>0</v>
      </c>
      <c r="BG2928" cm="1">
        <f t="array" ref="BG2928">IFERROR(IF(BF2928&lt;0,0,BF2928/($AU$2856-INDEX(hd_off,MATCH(BT2928,hd_mark,0),0)/12)),0)</f>
        <v>0</v>
      </c>
      <c r="BH2928">
        <f>IF(AV2928=0,0,$BG$2856*$AM$2840)</f>
        <v>0</v>
      </c>
      <c r="BI2928">
        <f>IFERROR(BH2928/$AU$2856,0)</f>
        <v>0</v>
      </c>
      <c r="BJ2928">
        <f>BH2928*($F$24+IF($F$24=0,0,($C$14+$C$15+IF($C$13="single",1.5,3)+3)/12))</f>
        <v>0</v>
      </c>
      <c r="BK2928">
        <f>BJ2928-BA2928</f>
        <v>0</v>
      </c>
      <c r="BL2928" cm="1">
        <f t="array" ref="BL2928">IFERROR(IF(BK2928&lt;0,0,BK2928/($AU$2856-INDEX(hd_off,MATCH(BT2928,hd_mark,0),0)/12)),0)</f>
        <v>0</v>
      </c>
      <c r="BM2928">
        <f>MAX($F$24,$BE$2856)/$Q$2868</f>
        <v>0</v>
      </c>
      <c r="BN2928">
        <f t="shared" si="1805"/>
        <v>0</v>
      </c>
      <c r="BO2928" cm="1">
        <f t="array" ref="BO2928">IFERROR(INDEX(sheath_ecap_asd,MATCH(BS2928,sheath_mark,0),0)*BN2928,0)</f>
        <v>0</v>
      </c>
      <c r="BP2928" cm="1">
        <f t="array" ref="BP2928">IFERROR(INDEX(sheath_wcap_asd,MATCH(BS2928,sheath_mark,0),0)*BN2928,0)</f>
        <v>0</v>
      </c>
      <c r="BQ2928" cm="1">
        <f t="array" ref="BQ2928">IFERROR(INDEX(hd_cap,MATCH(BT2928,hd_mark,0),0),0)</f>
        <v>0</v>
      </c>
      <c r="BS2928" s="19"/>
      <c r="BT2928" s="19"/>
      <c r="BU2928" s="100"/>
    </row>
    <row r="2929" x14ac:dyDescent="0.25">
      <c r="P2929" s="93"/>
      <c r="Q2929" s="109"/>
      <c r="R2929" t="str">
        <f>$Q$2841</f>
        <v>Roof</v>
      </c>
      <c r="S2929">
        <f>$E$25</f>
        <v>33.171875</v>
      </c>
      <c r="T2929" cm="1">
        <f t="array" ref="T2929">IFERROR(IF(S2929=0,0,(INDEX($C$33:$C$38,MATCH($W$2856,$B$33:$B$38,0),0)*(S2929+$X$2856)+$V$2856*$C$31)*$R$2856),0)</f>
        <v>0</v>
      </c>
      <c r="U2929">
        <f>IF(S2929=0,0,-$V$2856*$C$31*$H$27*$R$2856)</f>
        <v>0</v>
      </c>
      <c r="V2929">
        <f>IF(S2929=0,0,$V$2856*$H$26*$R$2856)</f>
        <v>0</v>
      </c>
      <c r="W2929">
        <f>(0.6*T2929+0.7*U2929)*$R$2856/2</f>
        <v>0</v>
      </c>
      <c r="X2929">
        <f>T2929*$R$2856/2</f>
        <v>0</v>
      </c>
      <c r="Z2929">
        <f>IF(S2929=0,0,$AD$2856*$AP$2841)</f>
        <v>0</v>
      </c>
      <c r="AA2929">
        <f>IFERROR(Z2929/$R$2856,0)</f>
        <v>0</v>
      </c>
      <c r="AB2929">
        <f>Z2929*($F$25+($C$16+$C$17+IF($C$13="single",1.5,3)+3)/12)</f>
        <v>0</v>
      </c>
      <c r="AC2929">
        <f>AB2929-W2929</f>
        <v>0</v>
      </c>
      <c r="AD2929" cm="1">
        <f t="array" ref="AD2929">IFERROR(IF(AC2929&lt;0,0,AC2929/($R$2856-INDEX(hd_off,MATCH(AQ2929,hd_mark,0),0)/12)),0)</f>
        <v>0</v>
      </c>
      <c r="AE2929">
        <f>IF(S2929=0,0,$AD$2856*$AM$2841)</f>
        <v>0</v>
      </c>
      <c r="AF2929">
        <f>IFERROR(AE2929/$R$2856,0)</f>
        <v>0</v>
      </c>
      <c r="AG2929">
        <f>AE2929*($F$25+($C$16+$C$17+IF($C$13="single",1.5,3)+3)/12)</f>
        <v>0</v>
      </c>
      <c r="AH2929">
        <f>AG2929-X2929</f>
        <v>0</v>
      </c>
      <c r="AI2929" cm="1">
        <f t="array" ref="AI2929">IFERROR(IF(AH2929&lt;0,0,AH2929/($R$2856-INDEX(hd_off,MATCH(AQ2929,hd_mark,0),0)/12)),0)</f>
        <v>0</v>
      </c>
      <c r="AJ2929">
        <f>MAX($F$25,$AC$2856)/$Q$2868</f>
        <v>0.29920977011494249</v>
      </c>
      <c r="AK2929">
        <f t="shared" si="1804"/>
        <v>1</v>
      </c>
      <c r="AL2929" cm="1">
        <f t="array" ref="AL2929">IFERROR(INDEX(sheath_ecap_asd,MATCH(AP2929,sheath_mark,0),0)*AK2929,0)</f>
        <v>0</v>
      </c>
      <c r="AM2929" cm="1">
        <f t="array" ref="AM2929">IFERROR(INDEX(sheath_wcap_asd,MATCH(AP2929,sheath_mark,0),0)*AK2929,0)</f>
        <v>0</v>
      </c>
      <c r="AN2929" cm="1">
        <f t="array" ref="AN2929">IFERROR(INDEX(hd_cap,MATCH(AQ2929,hd_mark,0),0),0)</f>
        <v>0</v>
      </c>
      <c r="AP2929" s="19"/>
      <c r="AQ2929" s="19"/>
      <c r="AR2929" s="100"/>
      <c r="AS2929" s="93"/>
      <c r="AT2929" s="109"/>
      <c r="AU2929" t="str">
        <f>$Q$2841</f>
        <v>Roof</v>
      </c>
      <c r="AV2929">
        <f>$E$25</f>
        <v>33.171875</v>
      </c>
      <c r="AW2929" cm="1">
        <f t="array" ref="AW2929">IFERROR(IF(AV2929=0,0,(INDEX($C$33:$C$38,MATCH($AZ$2856,$B$33:$B$38,0),0)*(AV2929+$BA$2856)+$AY$2856*$C$31)*$AU$2856),0)</f>
        <v>0</v>
      </c>
      <c r="AX2929">
        <f>IF(AV2929=0,0,-$AY$2856*$C$31*$H$27*$AU$2856)</f>
        <v>0</v>
      </c>
      <c r="AY2929">
        <f>IF(AV2929=0,0,$AY$2856*$H$26*$AU$2856)</f>
        <v>0</v>
      </c>
      <c r="AZ2929">
        <f>(0.6*AW2929+0.7*AX2929)*$AU$2856/2</f>
        <v>0</v>
      </c>
      <c r="BA2929">
        <f>AW2929*$AU$2856/2</f>
        <v>0</v>
      </c>
      <c r="BC2929">
        <f>IF(AV2929=0,0,$BG$2856*$AP$2841)</f>
        <v>0</v>
      </c>
      <c r="BD2929">
        <f>IFERROR(BC2929/$AU$2856,0)</f>
        <v>0</v>
      </c>
      <c r="BE2929">
        <f>BC2929*($F$25+($C$16+$C$17+IF($C$13="single",1.5,3)+3)/12)</f>
        <v>0</v>
      </c>
      <c r="BF2929">
        <f>BE2929-AZ2929</f>
        <v>0</v>
      </c>
      <c r="BG2929" cm="1">
        <f t="array" ref="BG2929">IFERROR(IF(BF2929&lt;0,0,BF2929/($AU$2856-INDEX(hd_off,MATCH(BT2929,hd_mark,0),0)/12)),0)</f>
        <v>0</v>
      </c>
      <c r="BH2929">
        <f>IF(AV2929=0,0,$BG$2856*$AM$2841)</f>
        <v>0</v>
      </c>
      <c r="BI2929">
        <f>IFERROR(BH2929/$AU$2856,0)</f>
        <v>0</v>
      </c>
      <c r="BJ2929">
        <f>BH2929*($F$25+($C$16+$C$17+IF($C$13="single",1.5,3)+3)/12)</f>
        <v>0</v>
      </c>
      <c r="BK2929">
        <f>BJ2929-BA2929</f>
        <v>0</v>
      </c>
      <c r="BL2929" cm="1">
        <f t="array" ref="BL2929">IFERROR(IF(BK2929&lt;0,0,BK2929/($AU$2856-INDEX(hd_off,MATCH(BT2929,hd_mark,0),0)/12)),0)</f>
        <v>0</v>
      </c>
      <c r="BM2929">
        <f>MAX($F$25,$BF$2856)/$Q$2868</f>
        <v>0.29920977011494249</v>
      </c>
      <c r="BN2929">
        <f t="shared" si="1805"/>
        <v>1</v>
      </c>
      <c r="BO2929" cm="1">
        <f t="array" ref="BO2929">IFERROR(INDEX(sheath_ecap_asd,MATCH(BS2929,sheath_mark,0),0)*BN2929,0)</f>
        <v>0</v>
      </c>
      <c r="BP2929" cm="1">
        <f t="array" ref="BP2929">IFERROR(INDEX(sheath_wcap_asd,MATCH(BS2929,sheath_mark,0),0)*BN2929,0)</f>
        <v>0</v>
      </c>
      <c r="BQ2929" cm="1">
        <f t="array" ref="BQ2929">IFERROR(INDEX(hd_cap,MATCH(BT2929,hd_mark,0),0),0)</f>
        <v>0</v>
      </c>
      <c r="BS2929" s="19"/>
      <c r="BT2929" s="19"/>
      <c r="BU2929" s="100"/>
    </row>
    <row r="2930" x14ac:dyDescent="0.25">
      <c r="P2930" s="93"/>
      <c r="AR2930" s="100"/>
      <c r="AS2930" s="93"/>
      <c r="BU2930" s="100"/>
    </row>
    <row r="2931" x14ac:dyDescent="0.25">
      <c r="P2931" s="93"/>
      <c r="Q2931" s="110" t="str">
        <f>$Q$2857</f>
        <v>A.12</v>
      </c>
      <c r="R2931" t="str">
        <f>$Q$2837</f>
        <v>L2</v>
      </c>
      <c r="S2931">
        <f>$E$21</f>
        <v>10.6875</v>
      </c>
      <c r="T2931" cm="1">
        <f t="array" ref="T2931">IFERROR(IF(S2931=0,0,(INDEX($C$33:$C$38,MATCH($W$2857,$B$33:$B$38,0),0)*(S2935+$X$2857)+$T$2857*COUNTIF(S2931:S2934,"&gt;0")*$C$32+$V$2857*$C$31)*$R$2857),0)</f>
        <v>0</v>
      </c>
      <c r="U2931">
        <f>IF(S2931=0,0,-(COUNTIF(S2931:S2934,"&gt;0")*$T$2857*$C$32+$V$2857*$C$31)*$H$27*$R$2857)</f>
        <v>0</v>
      </c>
      <c r="V2931">
        <f>IF(S2931=0,0,$V$2857*$H$26*$R$2857)</f>
        <v>0</v>
      </c>
      <c r="W2931">
        <f>(0.6*T2931+0.7*U2931)*$R$2857/2</f>
        <v>0</v>
      </c>
      <c r="X2931">
        <f>(0.6*T2931+0.6*V2931)*$R$2857/2</f>
        <v>0</v>
      </c>
      <c r="Z2931">
        <f>IF(S2931=0,0,$AD$2857*$AP$2837)</f>
        <v>0</v>
      </c>
      <c r="AA2931">
        <f>IFERROR(Z2931/$R$2857,0)</f>
        <v>0</v>
      </c>
      <c r="AB2931">
        <f>Z2931*($F$21+IF($F$21=0,0,($C$14+$C$15+IF($C$13="single",1.5,3)+3)/12))</f>
        <v>0</v>
      </c>
      <c r="AC2931">
        <f>AB2931-W2931</f>
        <v>0</v>
      </c>
      <c r="AD2931" cm="1">
        <f t="array" ref="AD2931">IFERROR(IF(AC2931&lt;0,0,AC2931/($R$2857-INDEX(hd_off,MATCH(AQ2931,hd_mark,0),0)/12)),0)</f>
        <v>0</v>
      </c>
      <c r="AE2931">
        <f>IF(S2931=0,0,$AD$2857*$AM$2837)</f>
        <v>0</v>
      </c>
      <c r="AF2931">
        <f>IFERROR(AE2931/$R$2857,0)</f>
        <v>0</v>
      </c>
      <c r="AG2931">
        <f>AE2931*($F$21+IF($F$21=0,0,($C$14+$C$15+IF($C$13="single",1.5,3)+3)/12))</f>
        <v>0</v>
      </c>
      <c r="AH2931">
        <f>AG2931-X2931</f>
        <v>0</v>
      </c>
      <c r="AI2931" cm="1">
        <f t="array" ref="AI2931">IFERROR(IF(AH2931&lt;0,0,AH2931/($R$2857-INDEX(hd_off,MATCH(AQ2931,hd_mark,0),0)/12)),0)</f>
        <v>0</v>
      </c>
      <c r="AJ2931">
        <f>MAX($F$21,$Y$2857)/$Q$2868</f>
        <v>0.30172413793103448</v>
      </c>
      <c r="AK2931">
        <f>IF(AJ2931=0,0,IF(AJ2931&gt;2,1.25-0.125*AJ2931,1))</f>
        <v>1</v>
      </c>
      <c r="AL2931" cm="1">
        <f t="array" ref="AL2931">IFERROR(INDEX(sheath_ecap_asd,MATCH(AP2931,sheath_mark,0),0)*AK2931,0)</f>
        <v>0</v>
      </c>
      <c r="AM2931" cm="1">
        <f t="array" ref="AM2931">IFERROR(INDEX(sheath_wcap_asd,MATCH(AP2931,sheath_mark,0),0)*AK2931,0)</f>
        <v>0</v>
      </c>
      <c r="AN2931" cm="1">
        <f t="array" ref="AN2931">IFERROR(INDEX(hd_cap,MATCH(AQ2931,hd_mark,0),0),0)</f>
        <v>0</v>
      </c>
      <c r="AP2931" s="19"/>
      <c r="AQ2931" s="19"/>
      <c r="AR2931" s="100"/>
      <c r="AS2931" s="93"/>
      <c r="AT2931" s="110" t="str">
        <f>$AT$2857</f>
        <v>1.12</v>
      </c>
      <c r="AU2931" t="str">
        <f>$Q$2837</f>
        <v>L2</v>
      </c>
      <c r="AV2931">
        <f>$E$21</f>
        <v>10.6875</v>
      </c>
      <c r="AW2931" cm="1">
        <f t="array" ref="AW2931">IFERROR(IF(AV2931=0,0,(INDEX($C$33:$C$38,MATCH($AZ$2857,$B$33:$B$38,0),0)*(AV2935+$BA$2857)+$AW$2857*COUNTIF(AV2931:AV2934,"&gt;0")*$C$32+$AY$2857*$C$31)*$AU$2857),0)</f>
        <v>0</v>
      </c>
      <c r="AX2931">
        <f>IF(AV2931=0,0,-(COUNTIF(AV2931:AV2934,"&gt;0")*$AW$2857*$C$32+$AY$2857*$C$31)*$H$27*$AU$2857)</f>
        <v>0</v>
      </c>
      <c r="AY2931">
        <f>IF(AV2931=0,0,$AY$2857*$H$26*$AU$2857)</f>
        <v>0</v>
      </c>
      <c r="AZ2931">
        <f>(0.6*AW2931+0.7*AX2931)*$AU$2857/2</f>
        <v>0</v>
      </c>
      <c r="BA2931">
        <f>(0.6*AW2931+0.6*AY2931)*$AU$2857/2</f>
        <v>0</v>
      </c>
      <c r="BC2931">
        <f>IF(AV2931=0,0,$BG$2857*$AP$2837)</f>
        <v>0</v>
      </c>
      <c r="BD2931">
        <f>IFERROR(BC2931/$AU$2857,0)</f>
        <v>0</v>
      </c>
      <c r="BE2931">
        <f>BC2931*($F$21+IF($F$21=0,0,($C$14+$C$15+IF($C$13="single",1.5,3)+3)/12))</f>
        <v>0</v>
      </c>
      <c r="BF2931">
        <f>BE2931-AZ2931</f>
        <v>0</v>
      </c>
      <c r="BG2931" cm="1">
        <f t="array" ref="BG2931">IFERROR(IF(BF2931&lt;0,0,BF2931/($AU$2857-INDEX(hd_off,MATCH(BT2931,hd_mark,0),0)/12)),0)</f>
        <v>0</v>
      </c>
      <c r="BH2931">
        <f>IF(AV2931=0,0,$BG$2857*$AM$2837)</f>
        <v>0</v>
      </c>
      <c r="BI2931">
        <f>IFERROR(BH2931/$AU$2857,0)</f>
        <v>0</v>
      </c>
      <c r="BJ2931">
        <f>BH2931*($F$21+IF($F$21=0,0,($C$14+$C$15+IF($C$13="single",1.5,3)+3)/12))</f>
        <v>0</v>
      </c>
      <c r="BK2931">
        <f>BJ2931-BA2931</f>
        <v>0</v>
      </c>
      <c r="BL2931" cm="1">
        <f t="array" ref="BL2931">IFERROR(IF(BK2931&lt;0,0,BK2931/($AU$2857-INDEX(hd_off,MATCH(BT2931,hd_mark,0),0)/12)),0)</f>
        <v>0</v>
      </c>
      <c r="BM2931">
        <f>MAX($F$21,$BB$2857)/$Q$2868</f>
        <v>0.30172413793103448</v>
      </c>
      <c r="BN2931">
        <f>IF(BM2931=0,0,IF(BM2931&gt;2,1.25-0.125*BM2931,1))</f>
        <v>1</v>
      </c>
      <c r="BO2931" cm="1">
        <f t="array" ref="BO2931">IFERROR(INDEX(sheath_ecap_asd,MATCH(BS2931,sheath_mark,0),0)*BN2931,0)</f>
        <v>0</v>
      </c>
      <c r="BP2931" cm="1">
        <f t="array" ref="BP2931">IFERROR(INDEX(sheath_wcap_asd,MATCH(BS2931,sheath_mark,0),0)*BN2931,0)</f>
        <v>0</v>
      </c>
      <c r="BQ2931" cm="1">
        <f t="array" ref="BQ2931">IFERROR(INDEX(hd_cap,MATCH(BT2931,hd_mark,0),0),0)</f>
        <v>0</v>
      </c>
      <c r="BS2931" s="19"/>
      <c r="BT2931" s="19"/>
      <c r="BU2931" s="100"/>
    </row>
    <row r="2932" x14ac:dyDescent="0.25">
      <c r="P2932" s="93"/>
      <c r="Q2932" s="109"/>
      <c r="R2932" t="str">
        <f>$Q$2838</f>
        <v>L3</v>
      </c>
      <c r="S2932">
        <f>$E$22</f>
        <v>21.375</v>
      </c>
      <c r="T2932" cm="1">
        <f t="array" ref="T2932">IFERROR(IF(S2932=0,0,(INDEX($C$33:$C$38,MATCH($W$2857,$B$33:$B$38,0),0)*(S2935+$X$2857)+$T$2857*COUNTIF(S2932:S2934,"&gt;0")*$C$32+$V$2857*$C$31)*$R$2857),0)</f>
        <v>0</v>
      </c>
      <c r="U2932">
        <f>IF(S2932=0,0,-(COUNTIF(S2932:S2934,"&gt;0")*$T$2857*$C$32+$V$2857*$C$31)*$H$27*$R$2857)</f>
        <v>0</v>
      </c>
      <c r="V2932">
        <f>IF(S2932=0,0,$V$2857*$H$26*$R$2857)</f>
        <v>0</v>
      </c>
      <c r="W2932">
        <f>(0.6*T2932+0.7*U2932)*$R$2857/2</f>
        <v>0</v>
      </c>
      <c r="X2932">
        <f>T2932*$R$2857/2</f>
        <v>0</v>
      </c>
      <c r="Z2932">
        <f>IF(S2932=0,0,$AD$2857*$AP$2838)</f>
        <v>0</v>
      </c>
      <c r="AA2932">
        <f>IFERROR(Z2932/$R$2857,0)</f>
        <v>0</v>
      </c>
      <c r="AB2932">
        <f>Z2932*($F$22+IF($F$22=0,0,($C$14+$C$15+IF($C$13="single",1.5,3)+3)/12))</f>
        <v>0</v>
      </c>
      <c r="AC2932">
        <f>AB2932-W2932</f>
        <v>0</v>
      </c>
      <c r="AD2932" cm="1">
        <f t="array" ref="AD2932">IFERROR(IF(AC2932&lt;0,0,AC2932/($R$2857-INDEX(hd_off,MATCH(AQ2932,hd_mark,0),0)/12)),0)</f>
        <v>0</v>
      </c>
      <c r="AE2932">
        <f>IF(S2932=0,0,$AD$2857*$AM$2838)</f>
        <v>0</v>
      </c>
      <c r="AF2932">
        <f>IFERROR(AE2932/$R$2857,0)</f>
        <v>0</v>
      </c>
      <c r="AG2932">
        <f>AE2932*($F$22+IF($F$22=0,0,($C$14+$C$15+IF($C$13="single",1.5,3)+3)/12))</f>
        <v>0</v>
      </c>
      <c r="AH2932">
        <f>AG2932-X2932</f>
        <v>0</v>
      </c>
      <c r="AI2932" cm="1">
        <f t="array" ref="AI2932">IFERROR(IF(AH2932&lt;0,0,AH2932/($R$2857-INDEX(hd_off,MATCH(AQ2932,hd_mark,0),0)/12)),0)</f>
        <v>0</v>
      </c>
      <c r="AJ2932">
        <f>MAX($F$22,$Z$2857)/$Q$2868</f>
        <v>0.30172413793103448</v>
      </c>
      <c r="AK2932">
        <f t="shared" ref="AK2932:AK2935" si="1806">IF(AJ2932=0,0,IF(AJ2932&gt;2,1.25-0.125*AJ2932,1))</f>
        <v>1</v>
      </c>
      <c r="AL2932" cm="1">
        <f t="array" ref="AL2932">IFERROR(INDEX(sheath_ecap_asd,MATCH(AP2932,sheath_mark,0),0)*AK2932,0)</f>
        <v>0</v>
      </c>
      <c r="AM2932" cm="1">
        <f t="array" ref="AM2932">IFERROR(INDEX(sheath_wcap_asd,MATCH(AP2932,sheath_mark,0),0)*AK2932,0)</f>
        <v>0</v>
      </c>
      <c r="AN2932" cm="1">
        <f t="array" ref="AN2932">IFERROR(INDEX(hd_cap,MATCH(AQ2932,hd_mark,0),0),0)</f>
        <v>0</v>
      </c>
      <c r="AP2932" s="19"/>
      <c r="AQ2932" s="19"/>
      <c r="AR2932" s="100"/>
      <c r="AS2932" s="93"/>
      <c r="AT2932" s="109"/>
      <c r="AU2932" t="str">
        <f>$Q$2838</f>
        <v>L3</v>
      </c>
      <c r="AV2932">
        <f>$E$22</f>
        <v>21.375</v>
      </c>
      <c r="AW2932" cm="1">
        <f t="array" ref="AW2932">IFERROR(IF(AV2932=0,0,(INDEX($C$33:$C$38,MATCH($AZ$2857,$B$33:$B$38,0),0)*(AV2935+$BA$2857)+$AW$2857*COUNTIF(AV2932:AV2934,"&gt;0")*$C$32+$AY$2857*$C$31)*$AU$2857),0)</f>
        <v>0</v>
      </c>
      <c r="AX2932">
        <f>IF(AV2932=0,0,-(COUNTIF(AV2932:AV2934,"&gt;0")*$AW$2857*$C$32+$AY$2857*$C$31)*$H$27*$AU$2857)</f>
        <v>0</v>
      </c>
      <c r="AY2932">
        <f>IF(AV2932=0,0,$AY$2857*$H$26*$AU$2857)</f>
        <v>0</v>
      </c>
      <c r="AZ2932">
        <f>(0.6*AW2932+0.7*AX2932)*$AU$2857/2</f>
        <v>0</v>
      </c>
      <c r="BA2932">
        <f>AW2932*$AU$2857/2</f>
        <v>0</v>
      </c>
      <c r="BC2932">
        <f>IF(AV2932=0,0,$BG$2857*$AP$2838)</f>
        <v>0</v>
      </c>
      <c r="BD2932">
        <f>IFERROR(BC2932/$AU$2857,0)</f>
        <v>0</v>
      </c>
      <c r="BE2932">
        <f>BC2932*($F$22+IF($F$22=0,0,($C$14+$C$15+IF($C$13="single",1.5,3)+3)/12))</f>
        <v>0</v>
      </c>
      <c r="BF2932">
        <f>BE2932-AZ2932</f>
        <v>0</v>
      </c>
      <c r="BG2932" cm="1">
        <f t="array" ref="BG2932">IFERROR(IF(BF2932&lt;0,0,BF2932/($AU$2857-INDEX(hd_off,MATCH(BT2932,hd_mark,0),0)/12)),0)</f>
        <v>0</v>
      </c>
      <c r="BH2932">
        <f>IF(AV2932=0,0,$BG$2857*$AM$2838)</f>
        <v>0</v>
      </c>
      <c r="BI2932">
        <f>IFERROR(BH2932/$AU$2857,0)</f>
        <v>0</v>
      </c>
      <c r="BJ2932">
        <f>BH2932*($F$22+IF($F$22=0,0,($C$14+$C$15+IF($C$13="single",1.5,3)+3)/12))</f>
        <v>0</v>
      </c>
      <c r="BK2932">
        <f>BJ2932-BA2932</f>
        <v>0</v>
      </c>
      <c r="BL2932" cm="1">
        <f t="array" ref="BL2932">IFERROR(IF(BK2932&lt;0,0,BK2932/($AU$2857-INDEX(hd_off,MATCH(BT2932,hd_mark,0),0)/12)),0)</f>
        <v>0</v>
      </c>
      <c r="BM2932">
        <f>MAX($F$22,$BC$2857)/$Q$2868</f>
        <v>0.30172413793103448</v>
      </c>
      <c r="BN2932">
        <f t="shared" ref="BN2932:BN2935" si="1807">IF(BM2932=0,0,IF(BM2932&gt;2,1.25-0.125*BM2932,1))</f>
        <v>1</v>
      </c>
      <c r="BO2932" cm="1">
        <f t="array" ref="BO2932">IFERROR(INDEX(sheath_ecap_asd,MATCH(BS2932,sheath_mark,0),0)*BN2932,0)</f>
        <v>0</v>
      </c>
      <c r="BP2932" cm="1">
        <f t="array" ref="BP2932">IFERROR(INDEX(sheath_wcap_asd,MATCH(BS2932,sheath_mark,0),0)*BN2932,0)</f>
        <v>0</v>
      </c>
      <c r="BQ2932" cm="1">
        <f t="array" ref="BQ2932">IFERROR(INDEX(hd_cap,MATCH(BT2932,hd_mark,0),0),0)</f>
        <v>0</v>
      </c>
      <c r="BS2932" s="19"/>
      <c r="BT2932" s="19"/>
      <c r="BU2932" s="100"/>
    </row>
    <row r="2933" x14ac:dyDescent="0.25">
      <c r="P2933" s="93"/>
      <c r="Q2933" s="109" t="s">
        <v>491</v>
      </c>
      <c r="R2933" t="str">
        <f>$Q$2839</f>
        <v>L4</v>
      </c>
      <c r="S2933">
        <f>$E$23</f>
        <v>0</v>
      </c>
      <c r="T2933" cm="1">
        <f t="array" ref="T2933">IFERROR(IF(S2933=0,0,(INDEX($C$33:$C$38,MATCH($W$2857,$B$33:$B$38,0),0)*(S2935+$X$2857)+$T$2857*COUNTIF(S2933:S2934,"&gt;0")*$C$32+$V$2857*$C$31)*$R$2857),0)</f>
        <v>0</v>
      </c>
      <c r="U2933">
        <f>IF(S2933=0,0,-(COUNTIF(S2933:S2934,"&gt;0")*$T$2857*$C$32+$V$2857*$C$31)*$H$27*$R$2857)</f>
        <v>0</v>
      </c>
      <c r="V2933">
        <f>IF(S2933=0,0,$V$2857*$H$26*$R$2857)</f>
        <v>0</v>
      </c>
      <c r="W2933">
        <f>(0.6*T2933+0.7*U2933)*$R$2857/2</f>
        <v>0</v>
      </c>
      <c r="X2933">
        <f>T2933*$R$2857/2</f>
        <v>0</v>
      </c>
      <c r="Z2933">
        <f>IF(S2933=0,0,$AD$2857*$AP$2839)</f>
        <v>0</v>
      </c>
      <c r="AA2933">
        <f>IFERROR(Z2933/$R$2857,0)</f>
        <v>0</v>
      </c>
      <c r="AB2933">
        <f>Z2933*($F$23+IF($F$23=0,0,($C$14+$C$15+IF($C$13="single",1.5,3)+3)/12))</f>
        <v>0</v>
      </c>
      <c r="AC2933">
        <f>AB2933-W2933</f>
        <v>0</v>
      </c>
      <c r="AD2933" cm="1">
        <f t="array" ref="AD2933">IFERROR(IF(AC2933&lt;0,0,AC2933/($R$2857-INDEX(hd_off,MATCH(AQ2933,hd_mark,0),0)/12)),0)</f>
        <v>0</v>
      </c>
      <c r="AE2933">
        <f>IF(S2933=0,0,$AD$2857*$AM$2839)</f>
        <v>0</v>
      </c>
      <c r="AF2933">
        <f>IFERROR(AE2933/$R$2857,0)</f>
        <v>0</v>
      </c>
      <c r="AG2933">
        <f>AE2933*($F$23+IF($F$23=0,0,($C$14+$C$15+IF($C$13="single",1.5,3)+3)/12))</f>
        <v>0</v>
      </c>
      <c r="AH2933">
        <f>AG2933-X2933</f>
        <v>0</v>
      </c>
      <c r="AI2933" cm="1">
        <f t="array" ref="AI2933">IFERROR(IF(AH2933&lt;0,0,AH2933/($R$2857-INDEX(hd_off,MATCH(AQ2933,hd_mark,0),0)/12)),0)</f>
        <v>0</v>
      </c>
      <c r="AJ2933">
        <f>MAX($F$23,$AA$2857)/$Q$2868</f>
        <v>0</v>
      </c>
      <c r="AK2933">
        <f t="shared" si="1806"/>
        <v>0</v>
      </c>
      <c r="AL2933" cm="1">
        <f t="array" ref="AL2933">IFERROR(INDEX(sheath_ecap_asd,MATCH(AP2933,sheath_mark,0),0)*AK2933,0)</f>
        <v>0</v>
      </c>
      <c r="AM2933" cm="1">
        <f t="array" ref="AM2933">IFERROR(INDEX(sheath_wcap_asd,MATCH(AP2933,sheath_mark,0),0)*AK2933,0)</f>
        <v>0</v>
      </c>
      <c r="AN2933" cm="1">
        <f t="array" ref="AN2933">IFERROR(INDEX(hd_cap,MATCH(AQ2933,hd_mark,0),0),0)</f>
        <v>0</v>
      </c>
      <c r="AP2933" s="19"/>
      <c r="AQ2933" s="19"/>
      <c r="AR2933" s="100"/>
      <c r="AS2933" s="93"/>
      <c r="AT2933" s="109" t="s">
        <v>491</v>
      </c>
      <c r="AU2933" t="str">
        <f>$Q$2839</f>
        <v>L4</v>
      </c>
      <c r="AV2933">
        <f>$E$23</f>
        <v>0</v>
      </c>
      <c r="AW2933" cm="1">
        <f t="array" ref="AW2933">IFERROR(IF(AV2933=0,0,(INDEX($C$33:$C$38,MATCH($AZ$2857,$B$33:$B$38,0),0)*(AV2935+$BA$2857)+$AW$2857*COUNTIF(AV2933:AV2934,"&gt;0")*$C$32+$AY$2857*$C$31)*$AU$2857),0)</f>
        <v>0</v>
      </c>
      <c r="AX2933">
        <f>IF(AV2933=0,0,-(COUNTIF(AV2933:AV2934,"&gt;0")*$AW$2857*$C$32+$AY$2857*$C$31)*$H$27*$AU$2857)</f>
        <v>0</v>
      </c>
      <c r="AY2933">
        <f>IF(AV2933=0,0,$AY$2857*$H$26*$AU$2857)</f>
        <v>0</v>
      </c>
      <c r="AZ2933">
        <f>(0.6*AW2933+0.7*AX2933)*$AU$2857/2</f>
        <v>0</v>
      </c>
      <c r="BA2933">
        <f>AW2933*$AU$2857/2</f>
        <v>0</v>
      </c>
      <c r="BC2933">
        <f>IF(AV2933=0,0,$BG$2857*$AP$2839)</f>
        <v>0</v>
      </c>
      <c r="BD2933">
        <f>IFERROR(BC2933/$AU$2857,0)</f>
        <v>0</v>
      </c>
      <c r="BE2933">
        <f>BC2933*($F$23+IF($F$23=0,0,($C$14+$C$15+IF($C$13="single",1.5,3)+3)/12))</f>
        <v>0</v>
      </c>
      <c r="BF2933">
        <f>BE2933-AZ2933</f>
        <v>0</v>
      </c>
      <c r="BG2933" cm="1">
        <f t="array" ref="BG2933">IFERROR(IF(BF2933&lt;0,0,BF2933/($AU$2857-INDEX(hd_off,MATCH(BT2933,hd_mark,0),0)/12)),0)</f>
        <v>0</v>
      </c>
      <c r="BH2933">
        <f>IF(AV2933=0,0,$BG$2857*$AM$2839)</f>
        <v>0</v>
      </c>
      <c r="BI2933">
        <f>IFERROR(BH2933/$AU$2857,0)</f>
        <v>0</v>
      </c>
      <c r="BJ2933">
        <f>BH2933*($F$23+IF($F$23=0,0,($C$14+$C$15+IF($C$13="single",1.5,3)+3)/12))</f>
        <v>0</v>
      </c>
      <c r="BK2933">
        <f>BJ2933-BA2933</f>
        <v>0</v>
      </c>
      <c r="BL2933" cm="1">
        <f t="array" ref="BL2933">IFERROR(IF(BK2933&lt;0,0,BK2933/($AU$2857-INDEX(hd_off,MATCH(BT2933,hd_mark,0),0)/12)),0)</f>
        <v>0</v>
      </c>
      <c r="BM2933">
        <f>MAX($F$23,$BD$2857)/$Q$2868</f>
        <v>0</v>
      </c>
      <c r="BN2933">
        <f t="shared" si="1807"/>
        <v>0</v>
      </c>
      <c r="BO2933" cm="1">
        <f t="array" ref="BO2933">IFERROR(INDEX(sheath_ecap_asd,MATCH(BS2933,sheath_mark,0),0)*BN2933,0)</f>
        <v>0</v>
      </c>
      <c r="BP2933" cm="1">
        <f t="array" ref="BP2933">IFERROR(INDEX(sheath_wcap_asd,MATCH(BS2933,sheath_mark,0),0)*BN2933,0)</f>
        <v>0</v>
      </c>
      <c r="BQ2933" cm="1">
        <f t="array" ref="BQ2933">IFERROR(INDEX(hd_cap,MATCH(BT2933,hd_mark,0),0),0)</f>
        <v>0</v>
      </c>
      <c r="BS2933" s="19"/>
      <c r="BT2933" s="19"/>
      <c r="BU2933" s="100"/>
    </row>
    <row r="2934" x14ac:dyDescent="0.25">
      <c r="P2934" s="93"/>
      <c r="Q2934" s="111">
        <f>$R$2857</f>
        <v>0</v>
      </c>
      <c r="R2934" t="str">
        <f>$Q$2840</f>
        <v>L5</v>
      </c>
      <c r="S2934">
        <f>$E$24</f>
        <v>0</v>
      </c>
      <c r="T2934" cm="1">
        <f t="array" ref="T2934">IFERROR(IF(S2934=0,0,(INDEX($C$33:$C$38,MATCH($W$2857,$B$33:$B$38,0),0)*(S2935+$X$2857)+$T$2857*COUNTIF(S2934:S2934,"&gt;0")*$C$32+$V$2857*$C$31)*$R$2857),0)</f>
        <v>0</v>
      </c>
      <c r="U2934">
        <f>IF(S2934=0,0,-(COUNTIF(S2934:S2934,"&gt;0")*$T$2857*$C$32+$V$2857*$C$31)*$H$27*$R$2857)</f>
        <v>0</v>
      </c>
      <c r="V2934">
        <f>IF(S2934=0,0,$V$2857*$H$26*$R$2857)</f>
        <v>0</v>
      </c>
      <c r="W2934">
        <f>(0.6*T2934+0.7*U2934)*$R$2857/2</f>
        <v>0</v>
      </c>
      <c r="X2934">
        <f>T2934*$R$2857/2</f>
        <v>0</v>
      </c>
      <c r="Z2934">
        <f>IF(S2934=0,0,$AD$2857*$AP$2840)</f>
        <v>0</v>
      </c>
      <c r="AA2934">
        <f>IFERROR(Z2934/$R$2857,0)</f>
        <v>0</v>
      </c>
      <c r="AB2934">
        <f>Z2934*($F$24+IF($F$24=0,0,($C$14+$C$15+IF($C$13="single",1.5,3)+3)/12))</f>
        <v>0</v>
      </c>
      <c r="AC2934">
        <f>AB2934-W2934</f>
        <v>0</v>
      </c>
      <c r="AD2934" cm="1">
        <f t="array" ref="AD2934">IFERROR(IF(AC2934&lt;0,0,AC2934/($R$2857-INDEX(hd_off,MATCH(AQ2934,hd_mark,0),0)/12)),0)</f>
        <v>0</v>
      </c>
      <c r="AE2934">
        <f>IF(S2934=0,0,$AD$2857*$AM$2840)</f>
        <v>0</v>
      </c>
      <c r="AF2934">
        <f>IFERROR(AE2934/$R$2857,0)</f>
        <v>0</v>
      </c>
      <c r="AG2934">
        <f>AE2934*($F$24+IF($F$24=0,0,($C$14+$C$15+IF($C$13="single",1.5,3)+3)/12))</f>
        <v>0</v>
      </c>
      <c r="AH2934">
        <f>AG2934-X2934</f>
        <v>0</v>
      </c>
      <c r="AI2934" cm="1">
        <f t="array" ref="AI2934">IFERROR(IF(AH2934&lt;0,0,AH2934/($R$2857-INDEX(hd_off,MATCH(AQ2934,hd_mark,0),0)/12)),0)</f>
        <v>0</v>
      </c>
      <c r="AJ2934">
        <f>MAX($F$24,$AB$2857)/$Q$2868</f>
        <v>0</v>
      </c>
      <c r="AK2934">
        <f t="shared" si="1806"/>
        <v>0</v>
      </c>
      <c r="AL2934" cm="1">
        <f t="array" ref="AL2934">IFERROR(INDEX(sheath_ecap_asd,MATCH(AP2934,sheath_mark,0),0)*AK2934,0)</f>
        <v>0</v>
      </c>
      <c r="AM2934" cm="1">
        <f t="array" ref="AM2934">IFERROR(INDEX(sheath_wcap_asd,MATCH(AP2934,sheath_mark,0),0)*AK2934,0)</f>
        <v>0</v>
      </c>
      <c r="AN2934" cm="1">
        <f t="array" ref="AN2934">IFERROR(INDEX(hd_cap,MATCH(AQ2934,hd_mark,0),0),0)</f>
        <v>0</v>
      </c>
      <c r="AP2934" s="19"/>
      <c r="AQ2934" s="19"/>
      <c r="AR2934" s="100"/>
      <c r="AS2934" s="93"/>
      <c r="AT2934" s="111">
        <f>$R$2857</f>
        <v>0</v>
      </c>
      <c r="AU2934" t="str">
        <f>$Q$2840</f>
        <v>L5</v>
      </c>
      <c r="AV2934">
        <f>$E$24</f>
        <v>0</v>
      </c>
      <c r="AW2934" cm="1">
        <f t="array" ref="AW2934">IFERROR(IF(AV2934=0,0,(INDEX($C$33:$C$38,MATCH($AZ$2857,$B$33:$B$38,0),0)*(AV2935+$BA$2857)+$AW$2857*COUNTIF(AV2934:AV2934,"&gt;0")*$C$32+$AY$2857*$C$31)*$AU$2857),0)</f>
        <v>0</v>
      </c>
      <c r="AX2934">
        <f>IF(AV2934=0,0,-(COUNTIF(AV2934:AV2934,"&gt;0")*$AW$2857*$C$32+$AY$2857*$C$31)*$H$27*$AU$2857)</f>
        <v>0</v>
      </c>
      <c r="AY2934">
        <f>IF(AV2934=0,0,$AY$2857*$H$26*$AU$2857)</f>
        <v>0</v>
      </c>
      <c r="AZ2934">
        <f>(0.6*AW2934+0.7*AX2934)*$AU$2857/2</f>
        <v>0</v>
      </c>
      <c r="BA2934">
        <f>AW2934*$AU$2857/2</f>
        <v>0</v>
      </c>
      <c r="BC2934">
        <f>IF(AV2934=0,0,$BG$2857*$AP$2840)</f>
        <v>0</v>
      </c>
      <c r="BD2934">
        <f>IFERROR(BC2934/$AU$2857,0)</f>
        <v>0</v>
      </c>
      <c r="BE2934">
        <f>BC2934*($F$24+IF($F$24=0,0,($C$14+$C$15+IF($C$13="single",1.5,3)+3)/12))</f>
        <v>0</v>
      </c>
      <c r="BF2934">
        <f>BE2934-AZ2934</f>
        <v>0</v>
      </c>
      <c r="BG2934" cm="1">
        <f t="array" ref="BG2934">IFERROR(IF(BF2934&lt;0,0,BF2934/($AU$2857-INDEX(hd_off,MATCH(BT2934,hd_mark,0),0)/12)),0)</f>
        <v>0</v>
      </c>
      <c r="BH2934">
        <f>IF(AV2934=0,0,$BG$2857*$AM$2840)</f>
        <v>0</v>
      </c>
      <c r="BI2934">
        <f>IFERROR(BH2934/$AU$2857,0)</f>
        <v>0</v>
      </c>
      <c r="BJ2934">
        <f>BH2934*($F$24+IF($F$24=0,0,($C$14+$C$15+IF($C$13="single",1.5,3)+3)/12))</f>
        <v>0</v>
      </c>
      <c r="BK2934">
        <f>BJ2934-BA2934</f>
        <v>0</v>
      </c>
      <c r="BL2934" cm="1">
        <f t="array" ref="BL2934">IFERROR(IF(BK2934&lt;0,0,BK2934/($AU$2857-INDEX(hd_off,MATCH(BT2934,hd_mark,0),0)/12)),0)</f>
        <v>0</v>
      </c>
      <c r="BM2934">
        <f>MAX($F$24,$BE$2857)/$Q$2868</f>
        <v>0</v>
      </c>
      <c r="BN2934">
        <f t="shared" si="1807"/>
        <v>0</v>
      </c>
      <c r="BO2934" cm="1">
        <f t="array" ref="BO2934">IFERROR(INDEX(sheath_ecap_asd,MATCH(BS2934,sheath_mark,0),0)*BN2934,0)</f>
        <v>0</v>
      </c>
      <c r="BP2934" cm="1">
        <f t="array" ref="BP2934">IFERROR(INDEX(sheath_wcap_asd,MATCH(BS2934,sheath_mark,0),0)*BN2934,0)</f>
        <v>0</v>
      </c>
      <c r="BQ2934" cm="1">
        <f t="array" ref="BQ2934">IFERROR(INDEX(hd_cap,MATCH(BT2934,hd_mark,0),0),0)</f>
        <v>0</v>
      </c>
      <c r="BS2934" s="19"/>
      <c r="BT2934" s="19"/>
      <c r="BU2934" s="100"/>
    </row>
    <row r="2935" x14ac:dyDescent="0.25">
      <c r="P2935" s="93"/>
      <c r="Q2935" s="109"/>
      <c r="R2935" t="str">
        <f>$Q$2841</f>
        <v>Roof</v>
      </c>
      <c r="S2935">
        <f>$E$25</f>
        <v>33.171875</v>
      </c>
      <c r="T2935" cm="1">
        <f t="array" ref="T2935">IFERROR(IF(S2935=0,0,(INDEX($C$33:$C$38,MATCH($W$2857,$B$33:$B$38,0),0)*(S2935+$X$2857)+$V$2857*$C$31)*$R$2857),0)</f>
        <v>0</v>
      </c>
      <c r="U2935">
        <f>IF(S2935=0,0,-$V$2857*$C$31*$H$27*$R$2857)</f>
        <v>0</v>
      </c>
      <c r="V2935">
        <f>IF(S2935=0,0,$V$2857*$H$26*$R$2857)</f>
        <v>0</v>
      </c>
      <c r="W2935">
        <f>(0.6*T2935+0.7*U2935)*$R$2857/2</f>
        <v>0</v>
      </c>
      <c r="X2935">
        <f>T2935*$R$2857/2</f>
        <v>0</v>
      </c>
      <c r="Z2935">
        <f>IF(S2935=0,0,$AD$2857*$AP$2841)</f>
        <v>0</v>
      </c>
      <c r="AA2935">
        <f>IFERROR(Z2935/$R$2857,0)</f>
        <v>0</v>
      </c>
      <c r="AB2935">
        <f>Z2935*($F$25+($C$16+$C$17+IF($C$13="single",1.5,3)+3)/12)</f>
        <v>0</v>
      </c>
      <c r="AC2935">
        <f>AB2935-W2935</f>
        <v>0</v>
      </c>
      <c r="AD2935" cm="1">
        <f t="array" ref="AD2935">IFERROR(IF(AC2935&lt;0,0,AC2935/($R$2857-INDEX(hd_off,MATCH(AQ2935,hd_mark,0),0)/12)),0)</f>
        <v>0</v>
      </c>
      <c r="AE2935">
        <f>IF(S2935=0,0,$AD$2857*$AM$2841)</f>
        <v>0</v>
      </c>
      <c r="AF2935">
        <f>IFERROR(AE2935/$R$2857,0)</f>
        <v>0</v>
      </c>
      <c r="AG2935">
        <f>AE2935*($F$25+($C$16+$C$17+IF($C$13="single",1.5,3)+3)/12)</f>
        <v>0</v>
      </c>
      <c r="AH2935">
        <f>AG2935-X2935</f>
        <v>0</v>
      </c>
      <c r="AI2935" cm="1">
        <f t="array" ref="AI2935">IFERROR(IF(AH2935&lt;0,0,AH2935/($R$2857-INDEX(hd_off,MATCH(AQ2935,hd_mark,0),0)/12)),0)</f>
        <v>0</v>
      </c>
      <c r="AJ2935">
        <f>MAX($F$25,$AC$2857)/$Q$2868</f>
        <v>0.29920977011494249</v>
      </c>
      <c r="AK2935">
        <f t="shared" si="1806"/>
        <v>1</v>
      </c>
      <c r="AL2935" cm="1">
        <f t="array" ref="AL2935">IFERROR(INDEX(sheath_ecap_asd,MATCH(AP2935,sheath_mark,0),0)*AK2935,0)</f>
        <v>0</v>
      </c>
      <c r="AM2935" cm="1">
        <f t="array" ref="AM2935">IFERROR(INDEX(sheath_wcap_asd,MATCH(AP2935,sheath_mark,0),0)*AK2935,0)</f>
        <v>0</v>
      </c>
      <c r="AN2935" cm="1">
        <f t="array" ref="AN2935">IFERROR(INDEX(hd_cap,MATCH(AQ2935,hd_mark,0),0),0)</f>
        <v>0</v>
      </c>
      <c r="AP2935" s="19"/>
      <c r="AQ2935" s="19"/>
      <c r="AR2935" s="100"/>
      <c r="AS2935" s="93"/>
      <c r="AT2935" s="109"/>
      <c r="AU2935" t="str">
        <f>$Q$2841</f>
        <v>Roof</v>
      </c>
      <c r="AV2935">
        <f>$E$25</f>
        <v>33.171875</v>
      </c>
      <c r="AW2935" cm="1">
        <f t="array" ref="AW2935">IFERROR(IF(AV2935=0,0,(INDEX($C$33:$C$38,MATCH($AZ$2857,$B$33:$B$38,0),0)*(AV2935+$BA$2857)+$AY$2857*$C$31)*$AU$2857),0)</f>
        <v>0</v>
      </c>
      <c r="AX2935">
        <f>IF(AV2935=0,0,-$AY$2857*$C$31*$H$27*$AU$2857)</f>
        <v>0</v>
      </c>
      <c r="AY2935">
        <f>IF(AV2935=0,0,$AY$2857*$H$26*$AU$2857)</f>
        <v>0</v>
      </c>
      <c r="AZ2935">
        <f>(0.6*AW2935+0.7*AX2935)*$AU$2857/2</f>
        <v>0</v>
      </c>
      <c r="BA2935">
        <f>AW2935*$AU$2857/2</f>
        <v>0</v>
      </c>
      <c r="BC2935">
        <f>IF(AV2935=0,0,$BG$2857*$AP$2841)</f>
        <v>0</v>
      </c>
      <c r="BD2935">
        <f>IFERROR(BC2935/$AU$2857,0)</f>
        <v>0</v>
      </c>
      <c r="BE2935">
        <f>BC2935*($F$25+($C$16+$C$17+IF($C$13="single",1.5,3)+3)/12)</f>
        <v>0</v>
      </c>
      <c r="BF2935">
        <f>BE2935-AZ2935</f>
        <v>0</v>
      </c>
      <c r="BG2935" cm="1">
        <f t="array" ref="BG2935">IFERROR(IF(BF2935&lt;0,0,BF2935/($AU$2857-INDEX(hd_off,MATCH(BT2935,hd_mark,0),0)/12)),0)</f>
        <v>0</v>
      </c>
      <c r="BH2935">
        <f>IF(AV2935=0,0,$BG$2857*$AM$2841)</f>
        <v>0</v>
      </c>
      <c r="BI2935">
        <f>IFERROR(BH2935/$AU$2857,0)</f>
        <v>0</v>
      </c>
      <c r="BJ2935">
        <f>BH2935*($F$25+($C$16+$C$17+IF($C$13="single",1.5,3)+3)/12)</f>
        <v>0</v>
      </c>
      <c r="BK2935">
        <f>BJ2935-BA2935</f>
        <v>0</v>
      </c>
      <c r="BL2935" cm="1">
        <f t="array" ref="BL2935">IFERROR(IF(BK2935&lt;0,0,BK2935/($AU$2857-INDEX(hd_off,MATCH(BT2935,hd_mark,0),0)/12)),0)</f>
        <v>0</v>
      </c>
      <c r="BM2935">
        <f>MAX($F$25,$BF$2857)/$Q$2868</f>
        <v>0.29920977011494249</v>
      </c>
      <c r="BN2935">
        <f t="shared" si="1807"/>
        <v>1</v>
      </c>
      <c r="BO2935" cm="1">
        <f t="array" ref="BO2935">IFERROR(INDEX(sheath_ecap_asd,MATCH(BS2935,sheath_mark,0),0)*BN2935,0)</f>
        <v>0</v>
      </c>
      <c r="BP2935" cm="1">
        <f t="array" ref="BP2935">IFERROR(INDEX(sheath_wcap_asd,MATCH(BS2935,sheath_mark,0),0)*BN2935,0)</f>
        <v>0</v>
      </c>
      <c r="BQ2935" cm="1">
        <f t="array" ref="BQ2935">IFERROR(INDEX(hd_cap,MATCH(BT2935,hd_mark,0),0),0)</f>
        <v>0</v>
      </c>
      <c r="BS2935" s="19"/>
      <c r="BT2935" s="19"/>
      <c r="BU2935" s="100"/>
    </row>
    <row r="2936" x14ac:dyDescent="0.25">
      <c r="P2936" s="93"/>
      <c r="AR2936" s="100"/>
      <c r="AS2936" s="93"/>
      <c r="BU2936" s="100"/>
    </row>
    <row r="2937" x14ac:dyDescent="0.25">
      <c r="P2937" s="93"/>
      <c r="Q2937" s="110" t="str">
        <f>$Q$2858</f>
        <v>A.13</v>
      </c>
      <c r="R2937" t="str">
        <f>$Q$2837</f>
        <v>L2</v>
      </c>
      <c r="S2937">
        <f>$E$21</f>
        <v>10.6875</v>
      </c>
      <c r="T2937" cm="1">
        <f t="array" ref="T2937">IFERROR(IF(S2937=0,0,(INDEX($C$33:$C$38,MATCH($W$2858,$B$33:$B$38,0),0)*(S2941+$X$2858)+$T$2858*COUNTIF(S2937:S2940,"&gt;0")*$C$32+$V$2858*$C$31)*$R$2858),0)</f>
        <v>0</v>
      </c>
      <c r="U2937">
        <f>IF(S2937=0,0,-(COUNTIF(S2937:S2940,"&gt;0")*$T$2858*$C$32+$V$2858*$C$31)*$H$27*$R$2858)</f>
        <v>0</v>
      </c>
      <c r="V2937">
        <f>IF(S2937=0,0,$V$2858*$H$26*$R$2858)</f>
        <v>0</v>
      </c>
      <c r="W2937">
        <f>(0.6*T2937+0.7*U2937)*$R$2858/2</f>
        <v>0</v>
      </c>
      <c r="X2937">
        <f>(0.6*T2937+0.6*V2937)*$R$2858/2</f>
        <v>0</v>
      </c>
      <c r="Z2937">
        <f>IF(S2937=0,0,$AD$2858*$AP$2837)</f>
        <v>0</v>
      </c>
      <c r="AA2937">
        <f>IFERROR(Z2937/$R$2858,0)</f>
        <v>0</v>
      </c>
      <c r="AB2937">
        <f>Z2937*($F$21+IF($F$21=0,0,($C$14+$C$15+IF($C$13="single",1.5,3)+3)/12))</f>
        <v>0</v>
      </c>
      <c r="AC2937">
        <f>AB2937-W2937</f>
        <v>0</v>
      </c>
      <c r="AD2937" cm="1">
        <f t="array" ref="AD2937">IFERROR(IF(AC2937&lt;0,0,AC2937/($R$2858-INDEX(hd_off,MATCH(AQ2937,hd_mark,0),0)/12)),0)</f>
        <v>0</v>
      </c>
      <c r="AE2937">
        <f>IF(S2937=0,0,$AD$2858*$AM$2837)</f>
        <v>0</v>
      </c>
      <c r="AF2937">
        <f>IFERROR(AE2937/$R$2858,0)</f>
        <v>0</v>
      </c>
      <c r="AG2937">
        <f>AE2937*($F$21+IF($F$21=0,0,($C$14+$C$15+IF($C$13="single",1.5,3)+3)/12))</f>
        <v>0</v>
      </c>
      <c r="AH2937">
        <f>AG2937-X2937</f>
        <v>0</v>
      </c>
      <c r="AI2937" cm="1">
        <f t="array" ref="AI2937">IFERROR(IF(AH2937&lt;0,0,AH2937/($R$2858-INDEX(hd_off,MATCH(AQ2937,hd_mark,0),0)/12)),0)</f>
        <v>0</v>
      </c>
      <c r="AJ2937">
        <f>MAX($F$21,$Y$2858)/$Q$2868</f>
        <v>0.30172413793103448</v>
      </c>
      <c r="AK2937">
        <f>IF(AJ2937=0,0,IF(AJ2937&gt;2,1.25-0.125*AJ2937,1))</f>
        <v>1</v>
      </c>
      <c r="AL2937" cm="1">
        <f t="array" ref="AL2937">IFERROR(INDEX(sheath_ecap_asd,MATCH(AP2937,sheath_mark,0),0)*AK2937,0)</f>
        <v>0</v>
      </c>
      <c r="AM2937" cm="1">
        <f t="array" ref="AM2937">IFERROR(INDEX(sheath_wcap_asd,MATCH(AP2937,sheath_mark,0),0)*AK2937,0)</f>
        <v>0</v>
      </c>
      <c r="AN2937" cm="1">
        <f t="array" ref="AN2937">IFERROR(INDEX(hd_cap,MATCH(AQ2937,hd_mark,0),0),0)</f>
        <v>0</v>
      </c>
      <c r="AP2937" s="19"/>
      <c r="AQ2937" s="19"/>
      <c r="AR2937" s="100"/>
      <c r="AS2937" s="93"/>
      <c r="AT2937" s="110" t="str">
        <f>$AT$2858</f>
        <v>1.13</v>
      </c>
      <c r="AU2937" t="str">
        <f>$Q$2837</f>
        <v>L2</v>
      </c>
      <c r="AV2937">
        <f>$E$21</f>
        <v>10.6875</v>
      </c>
      <c r="AW2937" cm="1">
        <f t="array" ref="AW2937">IFERROR(IF(AV2937=0,0,(INDEX($C$33:$C$38,MATCH($AZ$2858,$B$33:$B$38,0),0)*(AV2941+$BA$2858)+$AW$2858*COUNTIF(AV2937:AV2940,"&gt;0")*$C$32+$AY$2858*$C$31)*$AU$2858),0)</f>
        <v>0</v>
      </c>
      <c r="AX2937">
        <f>IF(AV2937=0,0,-(COUNTIF(AV2937:AV2940,"&gt;0")*$AW$2858*$C$32+$AY$2858*$C$31)*$H$27*$AU$2858)</f>
        <v>0</v>
      </c>
      <c r="AY2937">
        <f>IF(AV2937=0,0,$AY$2858*$H$26*$AU$2858)</f>
        <v>0</v>
      </c>
      <c r="AZ2937">
        <f>(0.6*AW2937+0.7*AX2937)*$AU$2858/2</f>
        <v>0</v>
      </c>
      <c r="BA2937">
        <f>(0.6*AW2937+0.6*AY2937)*$AU$2858/2</f>
        <v>0</v>
      </c>
      <c r="BC2937">
        <f>IF(AV2937=0,0,$BG$2858*$AP$2837)</f>
        <v>0</v>
      </c>
      <c r="BD2937">
        <f>IFERROR(BC2937/$AU$2858,0)</f>
        <v>0</v>
      </c>
      <c r="BE2937">
        <f>BC2937*($F$21+IF($F$21=0,0,($C$14+$C$15+IF($C$13="single",1.5,3)+3)/12))</f>
        <v>0</v>
      </c>
      <c r="BF2937">
        <f>BE2937-AZ2937</f>
        <v>0</v>
      </c>
      <c r="BG2937" cm="1">
        <f t="array" ref="BG2937">IFERROR(IF(BF2937&lt;0,0,BF2937/($AU$2858-INDEX(hd_off,MATCH(BT2937,hd_mark,0),0)/12)),0)</f>
        <v>0</v>
      </c>
      <c r="BH2937">
        <f>IF(AV2937=0,0,$BG$2858*$AM$2837)</f>
        <v>0</v>
      </c>
      <c r="BI2937">
        <f>IFERROR(BH2937/$AU$2858,0)</f>
        <v>0</v>
      </c>
      <c r="BJ2937">
        <f>BH2937*($F$21+IF($F$21=0,0,($C$14+$C$15+IF($C$13="single",1.5,3)+3)/12))</f>
        <v>0</v>
      </c>
      <c r="BK2937">
        <f>BJ2937-BA2937</f>
        <v>0</v>
      </c>
      <c r="BL2937" cm="1">
        <f t="array" ref="BL2937">IFERROR(IF(BK2937&lt;0,0,BK2937/($AU$2858-INDEX(hd_off,MATCH(BT2937,hd_mark,0),0)/12)),0)</f>
        <v>0</v>
      </c>
      <c r="BM2937">
        <f>MAX($F$21,$BB$2858)/$Q$2868</f>
        <v>0.30172413793103448</v>
      </c>
      <c r="BN2937">
        <f>IF(BM2937=0,0,IF(BM2937&gt;2,1.25-0.125*BM2937,1))</f>
        <v>1</v>
      </c>
      <c r="BO2937" cm="1">
        <f t="array" ref="BO2937">IFERROR(INDEX(sheath_ecap_asd,MATCH(BS2937,sheath_mark,0),0)*BN2937,0)</f>
        <v>0</v>
      </c>
      <c r="BP2937" cm="1">
        <f t="array" ref="BP2937">IFERROR(INDEX(sheath_wcap_asd,MATCH(BS2937,sheath_mark,0),0)*BN2937,0)</f>
        <v>0</v>
      </c>
      <c r="BQ2937" cm="1">
        <f t="array" ref="BQ2937">IFERROR(INDEX(hd_cap,MATCH(BT2937,hd_mark,0),0),0)</f>
        <v>0</v>
      </c>
      <c r="BS2937" s="19"/>
      <c r="BT2937" s="19"/>
      <c r="BU2937" s="100"/>
    </row>
    <row r="2938" x14ac:dyDescent="0.25">
      <c r="P2938" s="93"/>
      <c r="Q2938" s="109"/>
      <c r="R2938" t="str">
        <f>$Q$2838</f>
        <v>L3</v>
      </c>
      <c r="S2938">
        <f>$E$22</f>
        <v>21.375</v>
      </c>
      <c r="T2938" cm="1">
        <f t="array" ref="T2938">IFERROR(IF(S2938=0,0,(INDEX($C$33:$C$38,MATCH($W$2858,$B$33:$B$38,0),0)*(S2941+$X$2858)+$T$2858*COUNTIF(S2938:S2940,"&gt;0")*$C$32+$V$2858*$C$31)*$R$2858),0)</f>
        <v>0</v>
      </c>
      <c r="U2938">
        <f>IF(S2938=0,0,-(COUNTIF(S2938:S2940,"&gt;0")*$T$2858*$C$32+$V$2858*$C$31)*$H$27*$R$2858)</f>
        <v>0</v>
      </c>
      <c r="V2938">
        <f>IF(S2938=0,0,$V$2858*$H$26*$R$2858)</f>
        <v>0</v>
      </c>
      <c r="W2938">
        <f>(0.6*T2938+0.7*U2938)*$R$2858/2</f>
        <v>0</v>
      </c>
      <c r="X2938">
        <f>T2938*$R$2858/2</f>
        <v>0</v>
      </c>
      <c r="Z2938">
        <f>IF(S2938=0,0,$AD$2858*$AP$2838)</f>
        <v>0</v>
      </c>
      <c r="AA2938">
        <f>IFERROR(Z2938/$R$2858,0)</f>
        <v>0</v>
      </c>
      <c r="AB2938">
        <f>Z2938*($F$22+IF($F$22=0,0,($C$14+$C$15+IF($C$13="single",1.5,3)+3)/12))</f>
        <v>0</v>
      </c>
      <c r="AC2938">
        <f>AB2938-W2938</f>
        <v>0</v>
      </c>
      <c r="AD2938" cm="1">
        <f t="array" ref="AD2938">IFERROR(IF(AC2938&lt;0,0,AC2938/($R$2858-INDEX(hd_off,MATCH(AQ2938,hd_mark,0),0)/12)),0)</f>
        <v>0</v>
      </c>
      <c r="AE2938">
        <f>IF(S2938=0,0,$AD$2858*$AM$2838)</f>
        <v>0</v>
      </c>
      <c r="AF2938">
        <f>IFERROR(AE2938/$R$2858,0)</f>
        <v>0</v>
      </c>
      <c r="AG2938">
        <f>AE2938*($F$22+IF($F$22=0,0,($C$14+$C$15+IF($C$13="single",1.5,3)+3)/12))</f>
        <v>0</v>
      </c>
      <c r="AH2938">
        <f>AG2938-X2938</f>
        <v>0</v>
      </c>
      <c r="AI2938" cm="1">
        <f t="array" ref="AI2938">IFERROR(IF(AH2938&lt;0,0,AH2938/($R$2858-INDEX(hd_off,MATCH(AQ2938,hd_mark,0),0)/12)),0)</f>
        <v>0</v>
      </c>
      <c r="AJ2938">
        <f>MAX($F$22,$Z$2858)/$Q$2868</f>
        <v>0.30172413793103448</v>
      </c>
      <c r="AK2938">
        <f t="shared" ref="AK2938:AK2941" si="1808">IF(AJ2938=0,0,IF(AJ2938&gt;2,1.25-0.125*AJ2938,1))</f>
        <v>1</v>
      </c>
      <c r="AL2938" cm="1">
        <f t="array" ref="AL2938">IFERROR(INDEX(sheath_ecap_asd,MATCH(AP2938,sheath_mark,0),0)*AK2938,0)</f>
        <v>0</v>
      </c>
      <c r="AM2938" cm="1">
        <f t="array" ref="AM2938">IFERROR(INDEX(sheath_wcap_asd,MATCH(AP2938,sheath_mark,0),0)*AK2938,0)</f>
        <v>0</v>
      </c>
      <c r="AN2938" cm="1">
        <f t="array" ref="AN2938">IFERROR(INDEX(hd_cap,MATCH(AQ2938,hd_mark,0),0),0)</f>
        <v>0</v>
      </c>
      <c r="AP2938" s="19"/>
      <c r="AQ2938" s="19"/>
      <c r="AR2938" s="100"/>
      <c r="AS2938" s="93"/>
      <c r="AT2938" s="109"/>
      <c r="AU2938" t="str">
        <f>$Q$2838</f>
        <v>L3</v>
      </c>
      <c r="AV2938">
        <f>$E$22</f>
        <v>21.375</v>
      </c>
      <c r="AW2938" cm="1">
        <f t="array" ref="AW2938">IFERROR(IF(AV2938=0,0,(INDEX($C$33:$C$38,MATCH($AZ$2858,$B$33:$B$38,0),0)*(AV2941+$BA$2858)+$AW$2858*COUNTIF(AV2938:AV2940,"&gt;0")*$C$32+$AY$2858*$C$31)*$AU$2858),0)</f>
        <v>0</v>
      </c>
      <c r="AX2938">
        <f>IF(AV2938=0,0,-(COUNTIF(AV2938:AV2940,"&gt;0")*$AW$2858*$C$32+$AY$2858*$C$31)*$H$27*$AU$2858)</f>
        <v>0</v>
      </c>
      <c r="AY2938">
        <f>IF(AV2938=0,0,$AY$2858*$H$26*$AU$2858)</f>
        <v>0</v>
      </c>
      <c r="AZ2938">
        <f>(0.6*AW2938+0.7*AX2938)*$AU$2858/2</f>
        <v>0</v>
      </c>
      <c r="BA2938">
        <f>AW2938*$AU$2858/2</f>
        <v>0</v>
      </c>
      <c r="BC2938">
        <f>IF(AV2938=0,0,$BG$2858*$AP$2838)</f>
        <v>0</v>
      </c>
      <c r="BD2938">
        <f>IFERROR(BC2938/$AU$2858,0)</f>
        <v>0</v>
      </c>
      <c r="BE2938">
        <f>BC2938*($F$22+IF($F$22=0,0,($C$14+$C$15+IF($C$13="single",1.5,3)+3)/12))</f>
        <v>0</v>
      </c>
      <c r="BF2938">
        <f>BE2938-AZ2938</f>
        <v>0</v>
      </c>
      <c r="BG2938" cm="1">
        <f t="array" ref="BG2938">IFERROR(IF(BF2938&lt;0,0,BF2938/($AU$2858-INDEX(hd_off,MATCH(BT2938,hd_mark,0),0)/12)),0)</f>
        <v>0</v>
      </c>
      <c r="BH2938">
        <f>IF(AV2938=0,0,$BG$2858*$AM$2838)</f>
        <v>0</v>
      </c>
      <c r="BI2938">
        <f>IFERROR(BH2938/$AU$2858,0)</f>
        <v>0</v>
      </c>
      <c r="BJ2938">
        <f>BH2938*($F$22+IF($F$22=0,0,($C$14+$C$15+IF($C$13="single",1.5,3)+3)/12))</f>
        <v>0</v>
      </c>
      <c r="BK2938">
        <f>BJ2938-BA2938</f>
        <v>0</v>
      </c>
      <c r="BL2938" cm="1">
        <f t="array" ref="BL2938">IFERROR(IF(BK2938&lt;0,0,BK2938/($AU$2858-INDEX(hd_off,MATCH(BT2938,hd_mark,0),0)/12)),0)</f>
        <v>0</v>
      </c>
      <c r="BM2938">
        <f>MAX($F$22,$BC$2858)/$Q$2868</f>
        <v>0.30172413793103448</v>
      </c>
      <c r="BN2938">
        <f t="shared" ref="BN2938:BN2941" si="1809">IF(BM2938=0,0,IF(BM2938&gt;2,1.25-0.125*BM2938,1))</f>
        <v>1</v>
      </c>
      <c r="BO2938" cm="1">
        <f t="array" ref="BO2938">IFERROR(INDEX(sheath_ecap_asd,MATCH(BS2938,sheath_mark,0),0)*BN2938,0)</f>
        <v>0</v>
      </c>
      <c r="BP2938" cm="1">
        <f t="array" ref="BP2938">IFERROR(INDEX(sheath_wcap_asd,MATCH(BS2938,sheath_mark,0),0)*BN2938,0)</f>
        <v>0</v>
      </c>
      <c r="BQ2938" cm="1">
        <f t="array" ref="BQ2938">IFERROR(INDEX(hd_cap,MATCH(BT2938,hd_mark,0),0),0)</f>
        <v>0</v>
      </c>
      <c r="BS2938" s="19"/>
      <c r="BT2938" s="19"/>
      <c r="BU2938" s="100"/>
    </row>
    <row r="2939" x14ac:dyDescent="0.25">
      <c r="P2939" s="93"/>
      <c r="Q2939" s="109" t="s">
        <v>491</v>
      </c>
      <c r="R2939" t="str">
        <f>$Q$2839</f>
        <v>L4</v>
      </c>
      <c r="S2939">
        <f>$E$23</f>
        <v>0</v>
      </c>
      <c r="T2939" cm="1">
        <f t="array" ref="T2939">IFERROR(IF(S2939=0,0,(INDEX($C$33:$C$38,MATCH($W$2858,$B$33:$B$38,0),0)*(S2941+$X$2858)+$T$2858*COUNTIF(S2939:S2940,"&gt;0")*$C$32+$V$2858*$C$31)*$R$2858),0)</f>
        <v>0</v>
      </c>
      <c r="U2939">
        <f>IF(S2939=0,0,-(COUNTIF(S2939:S2940,"&gt;0")*$T$2858*$C$32+$V$2858*$C$31)*$H$27*$R$2858)</f>
        <v>0</v>
      </c>
      <c r="V2939">
        <f>IF(S2939=0,0,$V$2858*$H$26*$R$2858)</f>
        <v>0</v>
      </c>
      <c r="W2939">
        <f>(0.6*T2939+0.7*U2939)*$R$2858/2</f>
        <v>0</v>
      </c>
      <c r="X2939">
        <f>T2939*$R$2858/2</f>
        <v>0</v>
      </c>
      <c r="Z2939">
        <f>IF(S2939=0,0,$AD$2858*$AP$2839)</f>
        <v>0</v>
      </c>
      <c r="AA2939">
        <f>IFERROR(Z2939/$R$2858,0)</f>
        <v>0</v>
      </c>
      <c r="AB2939">
        <f>Z2939*($F$23+IF($F$23=0,0,($C$14+$C$15+IF($C$13="single",1.5,3)+3)/12))</f>
        <v>0</v>
      </c>
      <c r="AC2939">
        <f>AB2939-W2939</f>
        <v>0</v>
      </c>
      <c r="AD2939" cm="1">
        <f t="array" ref="AD2939">IFERROR(IF(AC2939&lt;0,0,AC2939/($R$2858-INDEX(hd_off,MATCH(AQ2939,hd_mark,0),0)/12)),0)</f>
        <v>0</v>
      </c>
      <c r="AE2939">
        <f>IF(S2939=0,0,$AD$2858*$AM$2839)</f>
        <v>0</v>
      </c>
      <c r="AF2939">
        <f>IFERROR(AE2939/$R$2858,0)</f>
        <v>0</v>
      </c>
      <c r="AG2939">
        <f>AE2939*($F$23+IF($F$23=0,0,($C$14+$C$15+IF($C$13="single",1.5,3)+3)/12))</f>
        <v>0</v>
      </c>
      <c r="AH2939">
        <f>AG2939-X2939</f>
        <v>0</v>
      </c>
      <c r="AI2939" cm="1">
        <f t="array" ref="AI2939">IFERROR(IF(AH2939&lt;0,0,AH2939/($R$2858-INDEX(hd_off,MATCH(AQ2939,hd_mark,0),0)/12)),0)</f>
        <v>0</v>
      </c>
      <c r="AJ2939">
        <f>MAX($F$23,$AA$2858)/$Q$2868</f>
        <v>0</v>
      </c>
      <c r="AK2939">
        <f t="shared" si="1808"/>
        <v>0</v>
      </c>
      <c r="AL2939" cm="1">
        <f t="array" ref="AL2939">IFERROR(INDEX(sheath_ecap_asd,MATCH(AP2939,sheath_mark,0),0)*AK2939,0)</f>
        <v>0</v>
      </c>
      <c r="AM2939" cm="1">
        <f t="array" ref="AM2939">IFERROR(INDEX(sheath_wcap_asd,MATCH(AP2939,sheath_mark,0),0)*AK2939,0)</f>
        <v>0</v>
      </c>
      <c r="AN2939" cm="1">
        <f t="array" ref="AN2939">IFERROR(INDEX(hd_cap,MATCH(AQ2939,hd_mark,0),0),0)</f>
        <v>0</v>
      </c>
      <c r="AP2939" s="19"/>
      <c r="AQ2939" s="19"/>
      <c r="AR2939" s="100"/>
      <c r="AS2939" s="93"/>
      <c r="AT2939" s="109" t="s">
        <v>491</v>
      </c>
      <c r="AU2939" t="str">
        <f>$Q$2839</f>
        <v>L4</v>
      </c>
      <c r="AV2939">
        <f>$E$23</f>
        <v>0</v>
      </c>
      <c r="AW2939" cm="1">
        <f t="array" ref="AW2939">IFERROR(IF(AV2939=0,0,(INDEX($C$33:$C$38,MATCH($AZ$2858,$B$33:$B$38,0),0)*(AV2941+$BA$2858)+$AW$2858*COUNTIF(AV2939:AV2940,"&gt;0")*$C$32+$AY$2858*$C$31)*$AU$2858),0)</f>
        <v>0</v>
      </c>
      <c r="AX2939">
        <f>IF(AV2939=0,0,-(COUNTIF(AV2939:AV2940,"&gt;0")*$AW$2858*$C$32+$AY$2858*$C$31)*$H$27*$AU$2858)</f>
        <v>0</v>
      </c>
      <c r="AY2939">
        <f>IF(AV2939=0,0,$AY$2858*$H$26*$AU$2858)</f>
        <v>0</v>
      </c>
      <c r="AZ2939">
        <f>(0.6*AW2939+0.7*AX2939)*$AU$2858/2</f>
        <v>0</v>
      </c>
      <c r="BA2939">
        <f>AW2939*$AU$2858/2</f>
        <v>0</v>
      </c>
      <c r="BC2939">
        <f>IF(AV2939=0,0,$BG$2858*$AP$2839)</f>
        <v>0</v>
      </c>
      <c r="BD2939">
        <f>IFERROR(BC2939/$AU$2858,0)</f>
        <v>0</v>
      </c>
      <c r="BE2939">
        <f>BC2939*($F$23+IF($F$23=0,0,($C$14+$C$15+IF($C$13="single",1.5,3)+3)/12))</f>
        <v>0</v>
      </c>
      <c r="BF2939">
        <f>BE2939-AZ2939</f>
        <v>0</v>
      </c>
      <c r="BG2939" cm="1">
        <f t="array" ref="BG2939">IFERROR(IF(BF2939&lt;0,0,BF2939/($AU$2858-INDEX(hd_off,MATCH(BT2939,hd_mark,0),0)/12)),0)</f>
        <v>0</v>
      </c>
      <c r="BH2939">
        <f>IF(AV2939=0,0,$BG$2858*$AM$2839)</f>
        <v>0</v>
      </c>
      <c r="BI2939">
        <f>IFERROR(BH2939/$AU$2858,0)</f>
        <v>0</v>
      </c>
      <c r="BJ2939">
        <f>BH2939*($F$23+IF($F$23=0,0,($C$14+$C$15+IF($C$13="single",1.5,3)+3)/12))</f>
        <v>0</v>
      </c>
      <c r="BK2939">
        <f>BJ2939-BA2939</f>
        <v>0</v>
      </c>
      <c r="BL2939" cm="1">
        <f t="array" ref="BL2939">IFERROR(IF(BK2939&lt;0,0,BK2939/($AU$2858-INDEX(hd_off,MATCH(BT2939,hd_mark,0),0)/12)),0)</f>
        <v>0</v>
      </c>
      <c r="BM2939">
        <f>MAX($F$23,$BD$2858)/$Q$2868</f>
        <v>0</v>
      </c>
      <c r="BN2939">
        <f t="shared" si="1809"/>
        <v>0</v>
      </c>
      <c r="BO2939" cm="1">
        <f t="array" ref="BO2939">IFERROR(INDEX(sheath_ecap_asd,MATCH(BS2939,sheath_mark,0),0)*BN2939,0)</f>
        <v>0</v>
      </c>
      <c r="BP2939" cm="1">
        <f t="array" ref="BP2939">IFERROR(INDEX(sheath_wcap_asd,MATCH(BS2939,sheath_mark,0),0)*BN2939,0)</f>
        <v>0</v>
      </c>
      <c r="BQ2939" cm="1">
        <f t="array" ref="BQ2939">IFERROR(INDEX(hd_cap,MATCH(BT2939,hd_mark,0),0),0)</f>
        <v>0</v>
      </c>
      <c r="BS2939" s="19"/>
      <c r="BT2939" s="19"/>
      <c r="BU2939" s="100"/>
    </row>
    <row r="2940" x14ac:dyDescent="0.25">
      <c r="P2940" s="93"/>
      <c r="Q2940" s="111">
        <f>$R$2858</f>
        <v>0</v>
      </c>
      <c r="R2940" t="str">
        <f>$Q$2840</f>
        <v>L5</v>
      </c>
      <c r="S2940">
        <f>$E$24</f>
        <v>0</v>
      </c>
      <c r="T2940" cm="1">
        <f t="array" ref="T2940">IFERROR(IF(S2940=0,0,(INDEX($C$33:$C$38,MATCH($W$2858,$B$33:$B$38,0),0)*(S2941+$X$2858)+$T$2858*COUNTIF(S2940:S2940,"&gt;0")*$C$32+$V$2858*$C$31)*$R$2858),0)</f>
        <v>0</v>
      </c>
      <c r="U2940">
        <f>IF(S2940=0,0,-(COUNTIF(S2940:S2940,"&gt;0")*$T$2858*$C$32+$V$2858*$C$31)*$H$27*$R$2858)</f>
        <v>0</v>
      </c>
      <c r="V2940">
        <f>IF(S2940=0,0,$V$2858*$H$26*$R$2858)</f>
        <v>0</v>
      </c>
      <c r="W2940">
        <f>(0.6*T2940+0.7*U2940)*$R$2858/2</f>
        <v>0</v>
      </c>
      <c r="X2940">
        <f>T2940*$R$2858/2</f>
        <v>0</v>
      </c>
      <c r="Z2940">
        <f>IF(S2940=0,0,$AD$2858*$AP$2840)</f>
        <v>0</v>
      </c>
      <c r="AA2940">
        <f>IFERROR(Z2940/$R$2858,0)</f>
        <v>0</v>
      </c>
      <c r="AB2940">
        <f>Z2940*($F$24+IF($F$24=0,0,($C$14+$C$15+IF($C$13="single",1.5,3)+3)/12))</f>
        <v>0</v>
      </c>
      <c r="AC2940">
        <f>AB2940-W2940</f>
        <v>0</v>
      </c>
      <c r="AD2940" cm="1">
        <f t="array" ref="AD2940">IFERROR(IF(AC2940&lt;0,0,AC2940/($R$2858-INDEX(hd_off,MATCH(AQ2940,hd_mark,0),0)/12)),0)</f>
        <v>0</v>
      </c>
      <c r="AE2940">
        <f>IF(S2940=0,0,$AD$2858*$AM$2840)</f>
        <v>0</v>
      </c>
      <c r="AF2940">
        <f>IFERROR(AE2940/$R$2858,0)</f>
        <v>0</v>
      </c>
      <c r="AG2940">
        <f>AE2940*($F$24+IF($F$24=0,0,($C$14+$C$15+IF($C$13="single",1.5,3)+3)/12))</f>
        <v>0</v>
      </c>
      <c r="AH2940">
        <f>AG2940-X2940</f>
        <v>0</v>
      </c>
      <c r="AI2940" cm="1">
        <f t="array" ref="AI2940">IFERROR(IF(AH2940&lt;0,0,AH2940/($R$2858-INDEX(hd_off,MATCH(AQ2940,hd_mark,0),0)/12)),0)</f>
        <v>0</v>
      </c>
      <c r="AJ2940">
        <f>MAX($F$24,$AB$2858)/$Q$2868</f>
        <v>0</v>
      </c>
      <c r="AK2940">
        <f t="shared" si="1808"/>
        <v>0</v>
      </c>
      <c r="AL2940" cm="1">
        <f t="array" ref="AL2940">IFERROR(INDEX(sheath_ecap_asd,MATCH(AP2940,sheath_mark,0),0)*AK2940,0)</f>
        <v>0</v>
      </c>
      <c r="AM2940" cm="1">
        <f t="array" ref="AM2940">IFERROR(INDEX(sheath_wcap_asd,MATCH(AP2940,sheath_mark,0),0)*AK2940,0)</f>
        <v>0</v>
      </c>
      <c r="AN2940" cm="1">
        <f t="array" ref="AN2940">IFERROR(INDEX(hd_cap,MATCH(AQ2940,hd_mark,0),0),0)</f>
        <v>0</v>
      </c>
      <c r="AP2940" s="19"/>
      <c r="AQ2940" s="19"/>
      <c r="AR2940" s="100"/>
      <c r="AS2940" s="93"/>
      <c r="AT2940" s="111">
        <f>$R$2858</f>
        <v>0</v>
      </c>
      <c r="AU2940" t="str">
        <f>$Q$2840</f>
        <v>L5</v>
      </c>
      <c r="AV2940">
        <f>$E$24</f>
        <v>0</v>
      </c>
      <c r="AW2940" cm="1">
        <f t="array" ref="AW2940">IFERROR(IF(AV2940=0,0,(INDEX($C$33:$C$38,MATCH($AZ$2858,$B$33:$B$38,0),0)*(AV2941+$BA$2858)+$AW$2858*COUNTIF(AV2940:AV2940,"&gt;0")*$C$32+$AY$2858*$C$31)*$AU$2858),0)</f>
        <v>0</v>
      </c>
      <c r="AX2940">
        <f>IF(AV2940=0,0,-(COUNTIF(AV2940:AV2940,"&gt;0")*$AW$2858*$C$32+$AY$2858*$C$31)*$H$27*$AU$2858)</f>
        <v>0</v>
      </c>
      <c r="AY2940">
        <f>IF(AV2940=0,0,$AY$2858*$H$26*$AU$2858)</f>
        <v>0</v>
      </c>
      <c r="AZ2940">
        <f>(0.6*AW2940+0.7*AX2940)*$AU$2858/2</f>
        <v>0</v>
      </c>
      <c r="BA2940">
        <f>AW2940*$AU$2858/2</f>
        <v>0</v>
      </c>
      <c r="BC2940">
        <f>IF(AV2940=0,0,$BG$2858*$AP$2840)</f>
        <v>0</v>
      </c>
      <c r="BD2940">
        <f>IFERROR(BC2940/$AU$2858,0)</f>
        <v>0</v>
      </c>
      <c r="BE2940">
        <f>BC2940*($F$24+IF($F$24=0,0,($C$14+$C$15+IF($C$13="single",1.5,3)+3)/12))</f>
        <v>0</v>
      </c>
      <c r="BF2940">
        <f>BE2940-AZ2940</f>
        <v>0</v>
      </c>
      <c r="BG2940" cm="1">
        <f t="array" ref="BG2940">IFERROR(IF(BF2940&lt;0,0,BF2940/($AU$2858-INDEX(hd_off,MATCH(BT2940,hd_mark,0),0)/12)),0)</f>
        <v>0</v>
      </c>
      <c r="BH2940">
        <f>IF(AV2940=0,0,$BG$2858*$AM$2840)</f>
        <v>0</v>
      </c>
      <c r="BI2940">
        <f>IFERROR(BH2940/$AU$2858,0)</f>
        <v>0</v>
      </c>
      <c r="BJ2940">
        <f>BH2940*($F$24+IF($F$24=0,0,($C$14+$C$15+IF($C$13="single",1.5,3)+3)/12))</f>
        <v>0</v>
      </c>
      <c r="BK2940">
        <f>BJ2940-BA2940</f>
        <v>0</v>
      </c>
      <c r="BL2940" cm="1">
        <f t="array" ref="BL2940">IFERROR(IF(BK2940&lt;0,0,BK2940/($AU$2858-INDEX(hd_off,MATCH(BT2940,hd_mark,0),0)/12)),0)</f>
        <v>0</v>
      </c>
      <c r="BM2940">
        <f>MAX($F$24,$BE$2858)/$Q$2868</f>
        <v>0</v>
      </c>
      <c r="BN2940">
        <f t="shared" si="1809"/>
        <v>0</v>
      </c>
      <c r="BO2940" cm="1">
        <f t="array" ref="BO2940">IFERROR(INDEX(sheath_ecap_asd,MATCH(BS2940,sheath_mark,0),0)*BN2940,0)</f>
        <v>0</v>
      </c>
      <c r="BP2940" cm="1">
        <f t="array" ref="BP2940">IFERROR(INDEX(sheath_wcap_asd,MATCH(BS2940,sheath_mark,0),0)*BN2940,0)</f>
        <v>0</v>
      </c>
      <c r="BQ2940" cm="1">
        <f t="array" ref="BQ2940">IFERROR(INDEX(hd_cap,MATCH(BT2940,hd_mark,0),0),0)</f>
        <v>0</v>
      </c>
      <c r="BS2940" s="19"/>
      <c r="BT2940" s="19"/>
      <c r="BU2940" s="100"/>
    </row>
    <row r="2941" x14ac:dyDescent="0.25">
      <c r="P2941" s="93"/>
      <c r="Q2941" s="109"/>
      <c r="R2941" t="str">
        <f>$Q$2841</f>
        <v>Roof</v>
      </c>
      <c r="S2941">
        <f>$E$25</f>
        <v>33.171875</v>
      </c>
      <c r="T2941" cm="1">
        <f t="array" ref="T2941">IFERROR(IF(S2941=0,0,(INDEX($C$33:$C$38,MATCH($W$2858,$B$33:$B$38,0),0)*(S2941+$X$2858)+$V$2858*$C$31)*$R$2858),0)</f>
        <v>0</v>
      </c>
      <c r="U2941">
        <f>IF(S2941=0,0,-$V$2858*$C$31*$H$27*$R$2858)</f>
        <v>0</v>
      </c>
      <c r="V2941">
        <f>IF(S2941=0,0,$V$2858*$H$26*$R$2858)</f>
        <v>0</v>
      </c>
      <c r="W2941">
        <f>(0.6*T2941+0.7*U2941)*$R$2858/2</f>
        <v>0</v>
      </c>
      <c r="X2941">
        <f>T2941*$R$2858/2</f>
        <v>0</v>
      </c>
      <c r="Z2941">
        <f>IF(S2941=0,0,$AD$2858*$AP$2841)</f>
        <v>0</v>
      </c>
      <c r="AA2941">
        <f>IFERROR(Z2941/$R$2858,0)</f>
        <v>0</v>
      </c>
      <c r="AB2941">
        <f>Z2941*($F$25+($C$16+$C$17+IF($C$13="single",1.5,3)+3)/12)</f>
        <v>0</v>
      </c>
      <c r="AC2941">
        <f>AB2941-W2941</f>
        <v>0</v>
      </c>
      <c r="AD2941" cm="1">
        <f t="array" ref="AD2941">IFERROR(IF(AC2941&lt;0,0,AC2941/($R$2858-INDEX(hd_off,MATCH(AQ2941,hd_mark,0),0)/12)),0)</f>
        <v>0</v>
      </c>
      <c r="AE2941">
        <f>IF(S2941=0,0,$AD$2858*$AM$2841)</f>
        <v>0</v>
      </c>
      <c r="AF2941">
        <f>IFERROR(AE2941/$R$2858,0)</f>
        <v>0</v>
      </c>
      <c r="AG2941">
        <f>AE2941*($F$25+($C$16+$C$17+IF($C$13="single",1.5,3)+3)/12)</f>
        <v>0</v>
      </c>
      <c r="AH2941">
        <f>AG2941-X2941</f>
        <v>0</v>
      </c>
      <c r="AI2941" cm="1">
        <f t="array" ref="AI2941">IFERROR(IF(AH2941&lt;0,0,AH2941/($R$2858-INDEX(hd_off,MATCH(AQ2941,hd_mark,0),0)/12)),0)</f>
        <v>0</v>
      </c>
      <c r="AJ2941">
        <f>MAX($F$25,$AC$2858)/$Q$2868</f>
        <v>0.29920977011494249</v>
      </c>
      <c r="AK2941">
        <f t="shared" si="1808"/>
        <v>1</v>
      </c>
      <c r="AL2941" cm="1">
        <f t="array" ref="AL2941">IFERROR(INDEX(sheath_ecap_asd,MATCH(AP2941,sheath_mark,0),0)*AK2941,0)</f>
        <v>0</v>
      </c>
      <c r="AM2941" cm="1">
        <f t="array" ref="AM2941">IFERROR(INDEX(sheath_wcap_asd,MATCH(AP2941,sheath_mark,0),0)*AK2941,0)</f>
        <v>0</v>
      </c>
      <c r="AN2941" cm="1">
        <f t="array" ref="AN2941">IFERROR(INDEX(hd_cap,MATCH(AQ2941,hd_mark,0),0),0)</f>
        <v>0</v>
      </c>
      <c r="AP2941" s="19"/>
      <c r="AQ2941" s="19"/>
      <c r="AR2941" s="100"/>
      <c r="AS2941" s="93"/>
      <c r="AT2941" s="109"/>
      <c r="AU2941" t="str">
        <f>$Q$2841</f>
        <v>Roof</v>
      </c>
      <c r="AV2941">
        <f>$E$25</f>
        <v>33.171875</v>
      </c>
      <c r="AW2941" cm="1">
        <f t="array" ref="AW2941">IFERROR(IF(AV2941=0,0,(INDEX($C$33:$C$38,MATCH($AZ$2858,$B$33:$B$38,0),0)*(AV2941+$BA$2858)+$AY$2858*$C$31)*$AU$2858),0)</f>
        <v>0</v>
      </c>
      <c r="AX2941">
        <f>IF(AV2941=0,0,-$AY$2858*$C$31*$H$27*$AU$2858)</f>
        <v>0</v>
      </c>
      <c r="AY2941">
        <f>IF(AV2941=0,0,$AY$2858*$H$26*$AU$2858)</f>
        <v>0</v>
      </c>
      <c r="AZ2941">
        <f>(0.6*AW2941+0.7*AX2941)*$AU$2858/2</f>
        <v>0</v>
      </c>
      <c r="BA2941">
        <f>AW2941*$AU$2858/2</f>
        <v>0</v>
      </c>
      <c r="BC2941">
        <f>IF(AV2941=0,0,$BG$2858*$AP$2841)</f>
        <v>0</v>
      </c>
      <c r="BD2941">
        <f>IFERROR(BC2941/$AU$2858,0)</f>
        <v>0</v>
      </c>
      <c r="BE2941">
        <f>BC2941*($F$25+($C$16+$C$17+IF($C$13="single",1.5,3)+3)/12)</f>
        <v>0</v>
      </c>
      <c r="BF2941">
        <f>BE2941-AZ2941</f>
        <v>0</v>
      </c>
      <c r="BG2941" cm="1">
        <f t="array" ref="BG2941">IFERROR(IF(BF2941&lt;0,0,BF2941/($AU$2858-INDEX(hd_off,MATCH(BT2941,hd_mark,0),0)/12)),0)</f>
        <v>0</v>
      </c>
      <c r="BH2941">
        <f>IF(AV2941=0,0,$BG$2858*$AM$2841)</f>
        <v>0</v>
      </c>
      <c r="BI2941">
        <f>IFERROR(BH2941/$AU$2858,0)</f>
        <v>0</v>
      </c>
      <c r="BJ2941">
        <f>BH2941*($F$25+($C$16+$C$17+IF($C$13="single",1.5,3)+3)/12)</f>
        <v>0</v>
      </c>
      <c r="BK2941">
        <f>BJ2941-BA2941</f>
        <v>0</v>
      </c>
      <c r="BL2941" cm="1">
        <f t="array" ref="BL2941">IFERROR(IF(BK2941&lt;0,0,BK2941/($AU$2858-INDEX(hd_off,MATCH(BT2941,hd_mark,0),0)/12)),0)</f>
        <v>0</v>
      </c>
      <c r="BM2941">
        <f>MAX($F$25,$BF$2858)/$Q$2868</f>
        <v>0.29920977011494249</v>
      </c>
      <c r="BN2941">
        <f t="shared" si="1809"/>
        <v>1</v>
      </c>
      <c r="BO2941" cm="1">
        <f t="array" ref="BO2941">IFERROR(INDEX(sheath_ecap_asd,MATCH(BS2941,sheath_mark,0),0)*BN2941,0)</f>
        <v>0</v>
      </c>
      <c r="BP2941" cm="1">
        <f t="array" ref="BP2941">IFERROR(INDEX(sheath_wcap_asd,MATCH(BS2941,sheath_mark,0),0)*BN2941,0)</f>
        <v>0</v>
      </c>
      <c r="BQ2941" cm="1">
        <f t="array" ref="BQ2941">IFERROR(INDEX(hd_cap,MATCH(BT2941,hd_mark,0),0),0)</f>
        <v>0</v>
      </c>
      <c r="BS2941" s="19"/>
      <c r="BT2941" s="19"/>
      <c r="BU2941" s="100"/>
    </row>
    <row r="2942" x14ac:dyDescent="0.25">
      <c r="P2942" s="93"/>
      <c r="AR2942" s="100"/>
      <c r="AS2942" s="93"/>
      <c r="BU2942" s="100"/>
    </row>
    <row r="2943" x14ac:dyDescent="0.25">
      <c r="P2943" s="93"/>
      <c r="Q2943" s="110" t="str">
        <f>$Q$2859</f>
        <v>A.14</v>
      </c>
      <c r="R2943" t="str">
        <f>$Q$2837</f>
        <v>L2</v>
      </c>
      <c r="S2943">
        <f>$E$21</f>
        <v>10.6875</v>
      </c>
      <c r="T2943" cm="1">
        <f t="array" ref="T2943">IFERROR(IF(S2943=0,0,(INDEX($C$33:$C$38,MATCH($W$2859,$B$33:$B$38,0),0)*(S2947+$X$2859)+$T$2859*COUNTIF(S2943:S2959,"&gt;0")*$C$32+$V$2859*$C$31)*$R$2859),0)</f>
        <v>0</v>
      </c>
      <c r="U2943">
        <f>IF(S2943=0,0,-(COUNTIF(S2943:S2959,"&gt;0")*$T$2859*$C$32+$V$2859*$C$31)*$H$27*$R$2859)</f>
        <v>0</v>
      </c>
      <c r="V2943">
        <f>IF(S2943=0,0,$V$2859*$H$26*$R$2859)</f>
        <v>0</v>
      </c>
      <c r="W2943">
        <f>(0.6*T2943+0.7*U2943)*$R$2859/2</f>
        <v>0</v>
      </c>
      <c r="X2943">
        <f>(0.6*T2943+0.6*V2943)*$R$2859/2</f>
        <v>0</v>
      </c>
      <c r="Z2943">
        <f>IF(S2943=0,0,$AD$2859*$AP$2837)</f>
        <v>0</v>
      </c>
      <c r="AA2943">
        <f>IFERROR(Z2943/$R$2859,0)</f>
        <v>0</v>
      </c>
      <c r="AB2943">
        <f>Z2943*($F$21+IF($F$21=0,0,($C$14+$C$15+IF($C$13="single",1.5,3)+3)/12))</f>
        <v>0</v>
      </c>
      <c r="AC2943">
        <f>AB2943-W2943</f>
        <v>0</v>
      </c>
      <c r="AD2943" cm="1">
        <f t="array" ref="AD2943">IFERROR(IF(AC2943&lt;0,0,AC2943/($R$2859-INDEX(hd_off,MATCH(AQ2943,hd_mark,0),0)/12)),0)</f>
        <v>0</v>
      </c>
      <c r="AE2943">
        <f>IF(S2943=0,0,$AD$2859*$AM$2837)</f>
        <v>0</v>
      </c>
      <c r="AF2943">
        <f>IFERROR(AE2943/$R$2859,0)</f>
        <v>0</v>
      </c>
      <c r="AG2943">
        <f>AE2943*($F$21+IF($F$21=0,0,($C$14+$C$15+IF($C$13="single",1.5,3)+3)/12))</f>
        <v>0</v>
      </c>
      <c r="AH2943">
        <f>AG2943-X2943</f>
        <v>0</v>
      </c>
      <c r="AI2943" cm="1">
        <f t="array" ref="AI2943">IFERROR(IF(AH2943&lt;0,0,AH2943/($R$2859-INDEX(hd_off,MATCH(AQ2943,hd_mark,0),0)/12)),0)</f>
        <v>0</v>
      </c>
      <c r="AJ2943">
        <f>MAX($F$21,$Y$2859)/$Q$2868</f>
        <v>0.30172413793103448</v>
      </c>
      <c r="AK2943">
        <f>IF(AJ2943=0,0,IF(AJ2943&gt;2,1.25-0.125*AJ2943,1))</f>
        <v>1</v>
      </c>
      <c r="AL2943" cm="1">
        <f t="array" ref="AL2943">IFERROR(INDEX(sheath_ecap_asd,MATCH(AP2943,sheath_mark,0),0)*AK2943,0)</f>
        <v>0</v>
      </c>
      <c r="AM2943" cm="1">
        <f t="array" ref="AM2943">IFERROR(INDEX(sheath_wcap_asd,MATCH(AP2943,sheath_mark,0),0)*AK2943,0)</f>
        <v>0</v>
      </c>
      <c r="AN2943" cm="1">
        <f t="array" ref="AN2943">IFERROR(INDEX(hd_cap,MATCH(AQ2943,hd_mark,0),0),0)</f>
        <v>0</v>
      </c>
      <c r="AP2943" s="19"/>
      <c r="AQ2943" s="19"/>
      <c r="AR2943" s="100"/>
      <c r="AS2943" s="93"/>
      <c r="AT2943" s="110" t="str">
        <f>$AT$2859</f>
        <v>1.14</v>
      </c>
      <c r="AU2943" t="str">
        <f>$Q$2837</f>
        <v>L2</v>
      </c>
      <c r="AV2943">
        <f>$E$21</f>
        <v>10.6875</v>
      </c>
      <c r="AW2943" cm="1">
        <f t="array" ref="AW2943">IFERROR(IF(AV2943=0,0,(INDEX($C$33:$C$38,MATCH($AZ$2859,$B$33:$B$38,0),0)*(AV2947+$BA$2859)+$AW$2859*COUNTIF(AV2943:AV2959,"&gt;0")*$C$32+$AY$2859*$C$31)*$AU$2859),0)</f>
        <v>0</v>
      </c>
      <c r="AX2943">
        <f>IF(AV2943=0,0,-(COUNTIF(AV2943:AV2959,"&gt;0")*$AW$2859*$C$32+$AY$2859*$C$31)*$H$27*$AU$2859)</f>
        <v>0</v>
      </c>
      <c r="AY2943">
        <f>IF(AV2943=0,0,$AY$2859*$H$26*$AU$2859)</f>
        <v>0</v>
      </c>
      <c r="AZ2943">
        <f>(0.6*AW2943+0.7*AX2943)*$AU$2859/2</f>
        <v>0</v>
      </c>
      <c r="BA2943">
        <f>(0.6*AW2943+0.6*AY2943)*$AU$2859/2</f>
        <v>0</v>
      </c>
      <c r="BC2943">
        <f>IF(AV2943=0,0,$BG$2859*$AP$2837)</f>
        <v>0</v>
      </c>
      <c r="BD2943">
        <f>IFERROR(BC2943/$AU$2859,0)</f>
        <v>0</v>
      </c>
      <c r="BE2943">
        <f>BC2943*($F$21+IF($F$21=0,0,($C$14+$C$15+IF($C$13="single",1.5,3)+3)/12))</f>
        <v>0</v>
      </c>
      <c r="BF2943">
        <f>BE2943-AZ2943</f>
        <v>0</v>
      </c>
      <c r="BG2943" cm="1">
        <f t="array" ref="BG2943">IFERROR(IF(BF2943&lt;0,0,BF2943/($AU$2859-INDEX(hd_off,MATCH(BT2943,hd_mark,0),0)/12)),0)</f>
        <v>0</v>
      </c>
      <c r="BH2943">
        <f>IF(AV2943=0,0,$BG$2859*$AM$2837)</f>
        <v>0</v>
      </c>
      <c r="BI2943">
        <f>IFERROR(BH2943/$AU$2859,0)</f>
        <v>0</v>
      </c>
      <c r="BJ2943">
        <f>BH2943*($F$21+IF($F$21=0,0,($C$14+$C$15+IF($C$13="single",1.5,3)+3)/12))</f>
        <v>0</v>
      </c>
      <c r="BK2943">
        <f>BJ2943-BA2943</f>
        <v>0</v>
      </c>
      <c r="BL2943" cm="1">
        <f t="array" ref="BL2943">IFERROR(IF(BK2943&lt;0,0,BK2943/($AU$2859-INDEX(hd_off,MATCH(BT2943,hd_mark,0),0)/12)),0)</f>
        <v>0</v>
      </c>
      <c r="BM2943">
        <f>MAX($F$21,$BB$2859)/$Q$2868</f>
        <v>0.30172413793103448</v>
      </c>
      <c r="BN2943">
        <f>IF(BM2943=0,0,IF(BM2943&gt;2,1.25-0.125*BM2943,1))</f>
        <v>1</v>
      </c>
      <c r="BO2943" cm="1">
        <f t="array" ref="BO2943">IFERROR(INDEX(sheath_ecap_asd,MATCH(BS2943,sheath_mark,0),0)*BN2943,0)</f>
        <v>0</v>
      </c>
      <c r="BP2943" cm="1">
        <f t="array" ref="BP2943">IFERROR(INDEX(sheath_wcap_asd,MATCH(BS2943,sheath_mark,0),0)*BN2943,0)</f>
        <v>0</v>
      </c>
      <c r="BQ2943" cm="1">
        <f t="array" ref="BQ2943">IFERROR(INDEX(hd_cap,MATCH(BT2943,hd_mark,0),0),0)</f>
        <v>0</v>
      </c>
      <c r="BS2943" s="19"/>
      <c r="BT2943" s="19"/>
      <c r="BU2943" s="100"/>
    </row>
    <row r="2944" x14ac:dyDescent="0.25">
      <c r="P2944" s="93"/>
      <c r="Q2944" s="109"/>
      <c r="R2944" t="str">
        <f>$Q$2838</f>
        <v>L3</v>
      </c>
      <c r="S2944">
        <f>$E$22</f>
        <v>21.375</v>
      </c>
      <c r="T2944" cm="1">
        <f t="array" ref="T2944">IFERROR(IF(S2944=0,0,(INDEX($C$33:$C$38,MATCH($W$2859,$B$33:$B$38,0),0)*(S2947+$X$2859)+$T$2859*COUNTIF(S2944:S2959,"&gt;0")*$C$32+$V$2859*$C$31)*$R$2859),0)</f>
        <v>0</v>
      </c>
      <c r="U2944">
        <f>IF(S2944=0,0,-(COUNTIF(S2944:S2959,"&gt;0")*$T$2859*$C$32+$V$2859*$C$31)*$H$27*$R$2859)</f>
        <v>0</v>
      </c>
      <c r="V2944">
        <f>IF(S2944=0,0,$V$2859*$H$26*$R$2859)</f>
        <v>0</v>
      </c>
      <c r="W2944">
        <f>(0.6*T2944+0.7*U2944)*$R$2859/2</f>
        <v>0</v>
      </c>
      <c r="X2944">
        <f>T2944*$R$2859/2</f>
        <v>0</v>
      </c>
      <c r="Z2944">
        <f>IF(S2944=0,0,$AD$2859*$AP$2838)</f>
        <v>0</v>
      </c>
      <c r="AA2944">
        <f>IFERROR(Z2944/$R$2859,0)</f>
        <v>0</v>
      </c>
      <c r="AB2944">
        <f>Z2944*($F$22+IF($F$22=0,0,($C$14+$C$15+IF($C$13="single",1.5,3)+3)/12))</f>
        <v>0</v>
      </c>
      <c r="AC2944">
        <f>AB2944-W2944</f>
        <v>0</v>
      </c>
      <c r="AD2944" cm="1">
        <f t="array" ref="AD2944">IFERROR(IF(AC2944&lt;0,0,AC2944/($R$2859-INDEX(hd_off,MATCH(AQ2944,hd_mark,0),0)/12)),0)</f>
        <v>0</v>
      </c>
      <c r="AE2944">
        <f>IF(S2944=0,0,$AD$2859*$AM$2838)</f>
        <v>0</v>
      </c>
      <c r="AF2944">
        <f>IFERROR(AE2944/$R$2859,0)</f>
        <v>0</v>
      </c>
      <c r="AG2944">
        <f>AE2944*($F$22+IF($F$22=0,0,($C$14+$C$15+IF($C$13="single",1.5,3)+3)/12))</f>
        <v>0</v>
      </c>
      <c r="AH2944">
        <f>AG2944-X2944</f>
        <v>0</v>
      </c>
      <c r="AI2944" cm="1">
        <f t="array" ref="AI2944">IFERROR(IF(AH2944&lt;0,0,AH2944/($R$2859-INDEX(hd_off,MATCH(AQ2944,hd_mark,0),0)/12)),0)</f>
        <v>0</v>
      </c>
      <c r="AJ2944">
        <f>MAX($F$22,$Z$2859)/$Q$2868</f>
        <v>0.30172413793103448</v>
      </c>
      <c r="AK2944">
        <f t="shared" ref="AK2944:AK2947" si="1810">IF(AJ2944=0,0,IF(AJ2944&gt;2,1.25-0.125*AJ2944,1))</f>
        <v>1</v>
      </c>
      <c r="AL2944" cm="1">
        <f t="array" ref="AL2944">IFERROR(INDEX(sheath_ecap_asd,MATCH(AP2944,sheath_mark,0),0)*AK2944,0)</f>
        <v>0</v>
      </c>
      <c r="AM2944" cm="1">
        <f t="array" ref="AM2944">IFERROR(INDEX(sheath_wcap_asd,MATCH(AP2944,sheath_mark,0),0)*AK2944,0)</f>
        <v>0</v>
      </c>
      <c r="AN2944" cm="1">
        <f t="array" ref="AN2944">IFERROR(INDEX(hd_cap,MATCH(AQ2944,hd_mark,0),0),0)</f>
        <v>0</v>
      </c>
      <c r="AP2944" s="19"/>
      <c r="AQ2944" s="19"/>
      <c r="AR2944" s="100"/>
      <c r="AS2944" s="93"/>
      <c r="AT2944" s="109"/>
      <c r="AU2944" t="str">
        <f>$Q$2838</f>
        <v>L3</v>
      </c>
      <c r="AV2944">
        <f>$E$22</f>
        <v>21.375</v>
      </c>
      <c r="AW2944" cm="1">
        <f t="array" ref="AW2944">IFERROR(IF(AV2944=0,0,(INDEX($C$33:$C$38,MATCH($AZ$2859,$B$33:$B$38,0),0)*(AV2947+$BA$2859)+$AW$2859*COUNTIF(AV2944:AV2959,"&gt;0")*$C$32+$AY$2859*$C$31)*$AU$2859),0)</f>
        <v>0</v>
      </c>
      <c r="AX2944">
        <f>IF(AV2944=0,0,-(COUNTIF(AV2944:AV2959,"&gt;0")*$AW$2859*$C$32+$AY$2859*$C$31)*$H$27*$AU$2859)</f>
        <v>0</v>
      </c>
      <c r="AY2944">
        <f>IF(AV2944=0,0,$AY$2859*$H$26*$AU$2859)</f>
        <v>0</v>
      </c>
      <c r="AZ2944">
        <f>(0.6*AW2944+0.7*AX2944)*$AU$2859/2</f>
        <v>0</v>
      </c>
      <c r="BA2944">
        <f>AW2944*$AU$2859/2</f>
        <v>0</v>
      </c>
      <c r="BC2944">
        <f>IF(AV2944=0,0,$BG$2859*$AP$2838)</f>
        <v>0</v>
      </c>
      <c r="BD2944">
        <f>IFERROR(BC2944/$AU$2859,0)</f>
        <v>0</v>
      </c>
      <c r="BE2944">
        <f>BC2944*($F$22+IF($F$22=0,0,($C$14+$C$15+IF($C$13="single",1.5,3)+3)/12))</f>
        <v>0</v>
      </c>
      <c r="BF2944">
        <f>BE2944-AZ2944</f>
        <v>0</v>
      </c>
      <c r="BG2944" cm="1">
        <f t="array" ref="BG2944">IFERROR(IF(BF2944&lt;0,0,BF2944/($AU$2859-INDEX(hd_off,MATCH(BT2944,hd_mark,0),0)/12)),0)</f>
        <v>0</v>
      </c>
      <c r="BH2944">
        <f>IF(AV2944=0,0,$BG$2859*$AM$2838)</f>
        <v>0</v>
      </c>
      <c r="BI2944">
        <f>IFERROR(BH2944/$AU$2859,0)</f>
        <v>0</v>
      </c>
      <c r="BJ2944">
        <f>BH2944*($F$22+IF($F$22=0,0,($C$14+$C$15+IF($C$13="single",1.5,3)+3)/12))</f>
        <v>0</v>
      </c>
      <c r="BK2944">
        <f>BJ2944-BA2944</f>
        <v>0</v>
      </c>
      <c r="BL2944" cm="1">
        <f t="array" ref="BL2944">IFERROR(IF(BK2944&lt;0,0,BK2944/($AU$2859-INDEX(hd_off,MATCH(BT2944,hd_mark,0),0)/12)),0)</f>
        <v>0</v>
      </c>
      <c r="BM2944">
        <f>MAX($F$22,$BC$2859)/$Q$2868</f>
        <v>0.30172413793103448</v>
      </c>
      <c r="BN2944">
        <f t="shared" ref="BN2944:BN2945" si="1811">IF(BM2944=0,0,IF(BM2944&gt;2,1.25-0.125*BM2944,1))</f>
        <v>1</v>
      </c>
      <c r="BO2944" cm="1">
        <f t="array" ref="BO2944">IFERROR(INDEX(sheath_ecap_asd,MATCH(BS2944,sheath_mark,0),0)*BN2944,0)</f>
        <v>0</v>
      </c>
      <c r="BP2944" cm="1">
        <f t="array" ref="BP2944">IFERROR(INDEX(sheath_wcap_asd,MATCH(BS2944,sheath_mark,0),0)*BN2944,0)</f>
        <v>0</v>
      </c>
      <c r="BQ2944" cm="1">
        <f t="array" ref="BQ2944">IFERROR(INDEX(hd_cap,MATCH(BT2944,hd_mark,0),0),0)</f>
        <v>0</v>
      </c>
      <c r="BS2944" s="19"/>
      <c r="BT2944" s="19"/>
      <c r="BU2944" s="100"/>
    </row>
    <row r="2945" x14ac:dyDescent="0.25">
      <c r="P2945" s="93"/>
      <c r="Q2945" s="109" t="s">
        <v>491</v>
      </c>
      <c r="R2945" t="str">
        <f>$Q$2839</f>
        <v>L4</v>
      </c>
      <c r="S2945">
        <f>$E$23</f>
        <v>0</v>
      </c>
      <c r="T2945" cm="1">
        <f t="array" ref="T2945">IFERROR(IF(S2945=0,0,(INDEX($C$33:$C$38,MATCH($W$2859,$B$33:$B$38,0),0)*(S2947+$X$2859)+$T$2859*COUNTIF(S2945:S2959,"&gt;0")*$C$32+$V$2859*$C$31)*$R$2859),0)</f>
        <v>0</v>
      </c>
      <c r="U2945">
        <f>IF(S2945=0,0,-(COUNTIF(S2945:S2959,"&gt;0")*$T$2859*$C$32+$V$2859*$C$31)*$H$27*$R$2859)</f>
        <v>0</v>
      </c>
      <c r="V2945">
        <f>IF(S2945=0,0,$V$2859*$H$26*$R$2859)</f>
        <v>0</v>
      </c>
      <c r="W2945">
        <f>(0.6*T2945+0.7*U2945)*$R$2859/2</f>
        <v>0</v>
      </c>
      <c r="X2945">
        <f>T2945*$R$2859/2</f>
        <v>0</v>
      </c>
      <c r="Z2945">
        <f>IF(S2945=0,0,$AD$2859*$AP$2839)</f>
        <v>0</v>
      </c>
      <c r="AA2945">
        <f>IFERROR(Z2945/$R$2859,0)</f>
        <v>0</v>
      </c>
      <c r="AB2945">
        <f>Z2945*($F$23+IF($F$23=0,0,($C$14+$C$15+IF($C$13="single",1.5,3)+3)/12))</f>
        <v>0</v>
      </c>
      <c r="AC2945">
        <f>AB2945-W2945</f>
        <v>0</v>
      </c>
      <c r="AD2945" cm="1">
        <f t="array" ref="AD2945">IFERROR(IF(AC2945&lt;0,0,AC2945/($R$2859-INDEX(hd_off,MATCH(AQ2945,hd_mark,0),0)/12)),0)</f>
        <v>0</v>
      </c>
      <c r="AE2945">
        <f>IF(S2945=0,0,$AD$2859*$AM$2839)</f>
        <v>0</v>
      </c>
      <c r="AF2945">
        <f>IFERROR(AE2945/$R$2859,0)</f>
        <v>0</v>
      </c>
      <c r="AG2945">
        <f>AE2945*($F$23+IF($F$23=0,0,($C$14+$C$15+IF($C$13="single",1.5,3)+3)/12))</f>
        <v>0</v>
      </c>
      <c r="AH2945">
        <f>AG2945-X2945</f>
        <v>0</v>
      </c>
      <c r="AI2945" cm="1">
        <f t="array" ref="AI2945">IFERROR(IF(AH2945&lt;0,0,AH2945/($R$2859-INDEX(hd_off,MATCH(AQ2945,hd_mark,0),0)/12)),0)</f>
        <v>0</v>
      </c>
      <c r="AJ2945">
        <f>MAX($F$23,$AA$2859)/$Q$2868</f>
        <v>0</v>
      </c>
      <c r="AK2945">
        <f t="shared" si="1810"/>
        <v>0</v>
      </c>
      <c r="AL2945" cm="1">
        <f t="array" ref="AL2945">IFERROR(INDEX(sheath_ecap_asd,MATCH(AP2945,sheath_mark,0),0)*AK2945,0)</f>
        <v>0</v>
      </c>
      <c r="AM2945" cm="1">
        <f t="array" ref="AM2945">IFERROR(INDEX(sheath_wcap_asd,MATCH(AP2945,sheath_mark,0),0)*AK2945,0)</f>
        <v>0</v>
      </c>
      <c r="AN2945" cm="1">
        <f t="array" ref="AN2945">IFERROR(INDEX(hd_cap,MATCH(AQ2945,hd_mark,0),0),0)</f>
        <v>0</v>
      </c>
      <c r="AP2945" s="19"/>
      <c r="AQ2945" s="19"/>
      <c r="AR2945" s="100"/>
      <c r="AS2945" s="93"/>
      <c r="AT2945" s="109" t="s">
        <v>491</v>
      </c>
      <c r="AU2945" t="str">
        <f>$Q$2839</f>
        <v>L4</v>
      </c>
      <c r="AV2945">
        <f>$E$23</f>
        <v>0</v>
      </c>
      <c r="AW2945" cm="1">
        <f t="array" ref="AW2945">IFERROR(IF(AV2945=0,0,(INDEX($C$33:$C$38,MATCH($AZ$2859,$B$33:$B$38,0),0)*(AV2947+$BA$2859)+$AW$2859*COUNTIF(AV2945:AV2959,"&gt;0")*$C$32+$AY$2859*$C$31)*$AU$2859),0)</f>
        <v>0</v>
      </c>
      <c r="AX2945">
        <f>IF(AV2945=0,0,-(COUNTIF(AV2945:AV2959,"&gt;0")*$AW$2859*$C$32+$AY$2859*$C$31)*$H$27*$AU$2859)</f>
        <v>0</v>
      </c>
      <c r="AY2945">
        <f>IF(AV2945=0,0,$AY$2859*$H$26*$AU$2859)</f>
        <v>0</v>
      </c>
      <c r="AZ2945">
        <f>(0.6*AW2945+0.7*AX2945)*$AU$2859/2</f>
        <v>0</v>
      </c>
      <c r="BA2945">
        <f>AW2945*$AU$2859/2</f>
        <v>0</v>
      </c>
      <c r="BC2945">
        <f>IF(AV2945=0,0,$BG$2859*$AP$2839)</f>
        <v>0</v>
      </c>
      <c r="BD2945">
        <f>IFERROR(BC2945/$AU$2859,0)</f>
        <v>0</v>
      </c>
      <c r="BE2945">
        <f>BC2945*($F$23+IF($F$23=0,0,($C$14+$C$15+IF($C$13="single",1.5,3)+3)/12))</f>
        <v>0</v>
      </c>
      <c r="BF2945">
        <f>BE2945-AZ2945</f>
        <v>0</v>
      </c>
      <c r="BG2945" cm="1">
        <f t="array" ref="BG2945">IFERROR(IF(BF2945&lt;0,0,BF2945/($AU$2859-INDEX(hd_off,MATCH(BT2945,hd_mark,0),0)/12)),0)</f>
        <v>0</v>
      </c>
      <c r="BH2945">
        <f>IF(AV2945=0,0,$BG$2859*$AM$2839)</f>
        <v>0</v>
      </c>
      <c r="BI2945">
        <f>IFERROR(BH2945/$AU$2859,0)</f>
        <v>0</v>
      </c>
      <c r="BJ2945">
        <f>BH2945*($F$23+IF($F$23=0,0,($C$14+$C$15+IF($C$13="single",1.5,3)+3)/12))</f>
        <v>0</v>
      </c>
      <c r="BK2945">
        <f>BJ2945-BA2945</f>
        <v>0</v>
      </c>
      <c r="BL2945" cm="1">
        <f t="array" ref="BL2945">IFERROR(IF(BK2945&lt;0,0,BK2945/($AU$2859-INDEX(hd_off,MATCH(BT2945,hd_mark,0),0)/12)),0)</f>
        <v>0</v>
      </c>
      <c r="BM2945">
        <f>MAX($F$23,$BD$2859)/$Q$2868</f>
        <v>0</v>
      </c>
      <c r="BN2945">
        <f t="shared" si="1811"/>
        <v>0</v>
      </c>
      <c r="BO2945" cm="1">
        <f t="array" ref="BO2945">IFERROR(INDEX(sheath_ecap_asd,MATCH(BS2945,sheath_mark,0),0)*BN2945,0)</f>
        <v>0</v>
      </c>
      <c r="BP2945" cm="1">
        <f t="array" ref="BP2945">IFERROR(INDEX(sheath_wcap_asd,MATCH(BS2945,sheath_mark,0),0)*BN2945,0)</f>
        <v>0</v>
      </c>
      <c r="BQ2945" cm="1">
        <f t="array" ref="BQ2945">IFERROR(INDEX(hd_cap,MATCH(BT2945,hd_mark,0),0),0)</f>
        <v>0</v>
      </c>
      <c r="BS2945" s="19"/>
      <c r="BT2945" s="19"/>
      <c r="BU2945" s="100"/>
    </row>
    <row r="2946" x14ac:dyDescent="0.25">
      <c r="P2946" s="93"/>
      <c r="Q2946" s="111">
        <f>$R$2859</f>
        <v>0</v>
      </c>
      <c r="R2946" t="str">
        <f>$Q$2840</f>
        <v>L5</v>
      </c>
      <c r="S2946">
        <f>$E$24</f>
        <v>0</v>
      </c>
      <c r="T2946" cm="1">
        <f t="array" ref="T2946">IFERROR(IF(S2959=0,0,(INDEX($C$33:$C$38,MATCH($W$2859,$B$33:$B$38,0),0)*(S2947+$X$2859)+$T$2859*COUNTIF(S2959:S2959,"&gt;0")*$C$32+$V$2859*$C$31)*$R$2859),0)</f>
        <v>0</v>
      </c>
      <c r="U2946">
        <f>IF(S2959=0,0,-(COUNTIF(S2959:S2959,"&gt;0")*$T$2859*$C$32+$V$2859*$C$31)*$H$27*$R$2859)</f>
        <v>0</v>
      </c>
      <c r="V2946">
        <f>IF(S2959=0,0,$V$2859*$H$26*$R$2859)</f>
        <v>0</v>
      </c>
      <c r="W2946">
        <f>(0.6*T2959+0.7*U2959)*$R$2859/2</f>
        <v>0</v>
      </c>
      <c r="X2946">
        <f>T2959*$R$2859/2</f>
        <v>0</v>
      </c>
      <c r="Z2946">
        <f>IF(S2959=0,0,$AD$2859*$AP$2840)</f>
        <v>0</v>
      </c>
      <c r="AA2946">
        <f>IFERROR(Z2959/$R$2859,0)</f>
        <v>0</v>
      </c>
      <c r="AB2946">
        <f>Z2959*($F$24+IF($F$24=0,0,($C$14+$C$15+IF($C$13="single",1.5,3)+3)/12))</f>
        <v>0</v>
      </c>
      <c r="AC2946">
        <f>AB2959-W2959</f>
        <v>0</v>
      </c>
      <c r="AD2946" cm="1">
        <f t="array" ref="AD2946">IFERROR(IF(AC2959&lt;0,0,AC2959/($R$2859-INDEX(hd_off,MATCH(AQ2959,hd_mark,0),0)/12)),0)</f>
        <v>0</v>
      </c>
      <c r="AE2946">
        <f>IF(S2959=0,0,$AD$2859*$AM$2840)</f>
        <v>0</v>
      </c>
      <c r="AF2946">
        <f>IFERROR(AE2959/$R$2859,0)</f>
        <v>0</v>
      </c>
      <c r="AG2946">
        <f>AE2959*($F$24+IF($F$24=0,0,($C$14+$C$15+IF($C$13="single",1.5,3)+3)/12))</f>
        <v>0</v>
      </c>
      <c r="AH2946">
        <f>AG2959-X2959</f>
        <v>0</v>
      </c>
      <c r="AI2946" cm="1">
        <f t="array" ref="AI2946">IFERROR(IF(AH2959&lt;0,0,AH2959/($R$2859-INDEX(hd_off,MATCH(AQ2959,hd_mark,0),0)/12)),0)</f>
        <v>0</v>
      </c>
      <c r="AJ2946">
        <f>MAX($F$24,$AB$2859)/$Q$2868</f>
        <v>0</v>
      </c>
      <c r="AK2946">
        <f>IF(AJ2959=0,0,IF(AJ2959&gt;2,1.25-0.125*AJ2959,1))</f>
        <v>1</v>
      </c>
      <c r="AL2946" cm="1">
        <f t="array" ref="AL2946">IFERROR(INDEX(sheath_ecap_asd,MATCH(AP2959,sheath_mark,0),0)*AK2959,0)</f>
        <v>0</v>
      </c>
      <c r="AM2946" cm="1">
        <f t="array" ref="AM2946">IFERROR(INDEX(sheath_wcap_asd,MATCH(AP2959,sheath_mark,0),0)*AK2959,0)</f>
        <v>0</v>
      </c>
      <c r="AN2946" cm="1">
        <f t="array" ref="AN2946">IFERROR(INDEX(hd_cap,MATCH(AQ2959,hd_mark,0),0),0)</f>
        <v>0</v>
      </c>
      <c r="AP2946" s="19"/>
      <c r="AQ2946" s="19"/>
      <c r="AR2946" s="100"/>
      <c r="AS2946" s="93"/>
      <c r="AT2946" s="111">
        <f>$R$2859</f>
        <v>0</v>
      </c>
      <c r="AU2946" t="str">
        <f>$Q$2840</f>
        <v>L5</v>
      </c>
      <c r="AV2946">
        <f>$E$24</f>
        <v>0</v>
      </c>
      <c r="AW2946" cm="1">
        <f t="array" ref="AW2946">IFERROR(IF(AV2959=0,0,(INDEX($C$33:$C$38,MATCH($AZ$2859,$B$33:$B$38,0),0)*(AV2947+$BA$2859)+$AW$2859*COUNTIF(AV2959:AV2959,"&gt;0")*$C$32+$AY$2859*$C$31)*$AU$2859),0)</f>
        <v>0</v>
      </c>
      <c r="AX2946">
        <f>IF(AV2959=0,0,-(COUNTIF(AV2959:AV2959,"&gt;0")*$AW$2859*$C$32+$AY$2859*$C$31)*$H$27*$AU$2859)</f>
        <v>0</v>
      </c>
      <c r="AY2946">
        <f>IF(AV2959=0,0,$AY$2859*$H$26*$AU$2859)</f>
        <v>0</v>
      </c>
      <c r="AZ2946">
        <f>(0.6*AW2959+0.7*AX2959)*$AU$2859/2</f>
        <v>0</v>
      </c>
      <c r="BA2946">
        <f>AW2959*$AU$2859/2</f>
        <v>0</v>
      </c>
      <c r="BC2946">
        <f>IF(AV2959=0,0,$BG$2859*$AP$2840)</f>
        <v>0</v>
      </c>
      <c r="BD2946">
        <f>IFERROR(BC2959/$AU$2859,0)</f>
        <v>0</v>
      </c>
      <c r="BE2946">
        <f>BC2959*($F$24+IF($F$24=0,0,($C$14+$C$15+IF($C$13="single",1.5,3)+3)/12))</f>
        <v>0</v>
      </c>
      <c r="BF2946">
        <f>BE2959-AZ2959</f>
        <v>0</v>
      </c>
      <c r="BG2946" cm="1">
        <f t="array" ref="BG2946">IFERROR(IF(BF2959&lt;0,0,BF2959/($AU$2859-INDEX(hd_off,MATCH(BT2959,hd_mark,0),0)/12)),0)</f>
        <v>0</v>
      </c>
      <c r="BH2946">
        <f>IF(AV2959=0,0,$BG$2859*$AM$2840)</f>
        <v>0</v>
      </c>
      <c r="BI2946">
        <f>IFERROR(BH2959/$AU$2859,0)</f>
        <v>0</v>
      </c>
      <c r="BJ2946">
        <f>BH2959*($F$24+IF($F$24=0,0,($C$14+$C$15+IF($C$13="single",1.5,3)+3)/12))</f>
        <v>0</v>
      </c>
      <c r="BK2946">
        <f>BJ2959-BA2959</f>
        <v>0</v>
      </c>
      <c r="BL2946" cm="1">
        <f t="array" ref="BL2946">IFERROR(IF(BK2959&lt;0,0,BK2959/($AU$2859-INDEX(hd_off,MATCH(BT2959,hd_mark,0),0)/12)),0)</f>
        <v>0</v>
      </c>
      <c r="BM2946">
        <f>MAX($F$24,$BE$2859)/$Q$2868</f>
        <v>0</v>
      </c>
      <c r="BN2946">
        <f>IF(BM2959=0,0,IF(BM2959&gt;2,1.25-0.125*BM2959,1))</f>
        <v>0</v>
      </c>
      <c r="BO2946" cm="1">
        <f t="array" ref="BO2946">IFERROR(INDEX(sheath_ecap_asd,MATCH(BS2959,sheath_mark,0),0)*BN2959,0)</f>
        <v>0</v>
      </c>
      <c r="BP2946" cm="1">
        <f t="array" ref="BP2946">IFERROR(INDEX(sheath_wcap_asd,MATCH(BS2959,sheath_mark,0),0)*BN2959,0)</f>
        <v>0</v>
      </c>
      <c r="BQ2946" cm="1">
        <f t="array" ref="BQ2946">IFERROR(INDEX(hd_cap,MATCH(BT2959,hd_mark,0),0),0)</f>
        <v>0</v>
      </c>
      <c r="BS2946" s="19"/>
      <c r="BT2946" s="19"/>
      <c r="BU2946" s="100"/>
    </row>
    <row r="2947" x14ac:dyDescent="0.25">
      <c r="P2947" s="93"/>
      <c r="Q2947" s="109"/>
      <c r="R2947" t="str">
        <f>$Q$2841</f>
        <v>Roof</v>
      </c>
      <c r="S2947">
        <f>$E$25</f>
        <v>33.171875</v>
      </c>
      <c r="T2947" cm="1">
        <f t="array" ref="T2947">IFERROR(IF(S2947=0,0,(INDEX($C$33:$C$38,MATCH($W$2859,$B$33:$B$38,0),0)*(S2947+$X$2859)+$V$2859*$C$31)*$R$2859),0)</f>
        <v>0</v>
      </c>
      <c r="U2947">
        <f>IF(S2947=0,0,-$V$2859*$C$31*$H$27*$R$2859)</f>
        <v>0</v>
      </c>
      <c r="V2947">
        <f>IF(S2947=0,0,$V$2859*$H$26*$R$2859)</f>
        <v>0</v>
      </c>
      <c r="W2947">
        <f>(0.6*T2947+0.7*U2947)*$R$2859/2</f>
        <v>0</v>
      </c>
      <c r="X2947">
        <f>T2947*$R$2859/2</f>
        <v>0</v>
      </c>
      <c r="Z2947">
        <f>IF(S2947=0,0,$AD$2859*$AP$2841)</f>
        <v>0</v>
      </c>
      <c r="AA2947">
        <f>IFERROR(Z2947/$R$2859,0)</f>
        <v>0</v>
      </c>
      <c r="AB2947">
        <f>Z2947*($F$25+($C$16+$C$17+IF($C$13="single",1.5,3)+3)/12)</f>
        <v>0</v>
      </c>
      <c r="AC2947">
        <f>AB2947-W2947</f>
        <v>0</v>
      </c>
      <c r="AD2947" cm="1">
        <f t="array" ref="AD2947">IFERROR(IF(AC2947&lt;0,0,AC2947/($R$2859-INDEX(hd_off,MATCH(AQ2947,hd_mark,0),0)/12)),0)</f>
        <v>0</v>
      </c>
      <c r="AE2947">
        <f>IF(S2947=0,0,$AD$2859*$AM$2841)</f>
        <v>0</v>
      </c>
      <c r="AF2947">
        <f>IFERROR(AE2947/$R$2859,0)</f>
        <v>0</v>
      </c>
      <c r="AG2947">
        <f>AE2947*($F$25+($C$16+$C$17+IF($C$13="single",1.5,3)+3)/12)</f>
        <v>0</v>
      </c>
      <c r="AH2947">
        <f>AG2947-X2947</f>
        <v>0</v>
      </c>
      <c r="AI2947" cm="1">
        <f t="array" ref="AI2947">IFERROR(IF(AH2947&lt;0,0,AH2947/($R$2859-INDEX(hd_off,MATCH(AQ2947,hd_mark,0),0)/12)),0)</f>
        <v>0</v>
      </c>
      <c r="AJ2947">
        <f>MAX($F$25,$AC$2859)/$Q$2868</f>
        <v>0.29920977011494249</v>
      </c>
      <c r="AK2947">
        <f t="shared" si="1810"/>
        <v>1</v>
      </c>
      <c r="AL2947" cm="1">
        <f t="array" ref="AL2947">IFERROR(INDEX(sheath_ecap_asd,MATCH(AP2947,sheath_mark,0),0)*AK2947,0)</f>
        <v>0</v>
      </c>
      <c r="AM2947" cm="1">
        <f t="array" ref="AM2947">IFERROR(INDEX(sheath_wcap_asd,MATCH(AP2947,sheath_mark,0),0)*AK2947,0)</f>
        <v>0</v>
      </c>
      <c r="AN2947" cm="1">
        <f t="array" ref="AN2947">IFERROR(INDEX(hd_cap,MATCH(AQ2947,hd_mark,0),0),0)</f>
        <v>0</v>
      </c>
      <c r="AP2947" s="19"/>
      <c r="AQ2947" s="19"/>
      <c r="AR2947" s="100"/>
      <c r="AS2947" s="93"/>
      <c r="AT2947" s="109"/>
      <c r="AU2947" t="str">
        <f>$Q$2841</f>
        <v>Roof</v>
      </c>
      <c r="AV2947">
        <f>$E$25</f>
        <v>33.171875</v>
      </c>
      <c r="AW2947" cm="1">
        <f t="array" ref="AW2947">IFERROR(IF(AV2947=0,0,(INDEX($C$33:$C$38,MATCH($AZ$2859,$B$33:$B$38,0),0)*(AV2947+$BA$2859)+$AY$2859*$C$31)*$AU$2859),0)</f>
        <v>0</v>
      </c>
      <c r="AX2947">
        <f>IF(AV2947=0,0,-$AY$2859*$C$31*$H$27*$AU$2859)</f>
        <v>0</v>
      </c>
      <c r="AY2947">
        <f>IF(AV2947=0,0,$AY$2859*$H$26*$AU$2859)</f>
        <v>0</v>
      </c>
      <c r="AZ2947">
        <f>(0.6*AW2947+0.7*AX2947)*$AU$2859/2</f>
        <v>0</v>
      </c>
      <c r="BA2947">
        <f>AW2947*$AU$2859/2</f>
        <v>0</v>
      </c>
      <c r="BC2947">
        <f>IF(AV2947=0,0,$BG$2859*$AP$2841)</f>
        <v>0</v>
      </c>
      <c r="BD2947">
        <f>IFERROR(BC2947/$AU$2859,0)</f>
        <v>0</v>
      </c>
      <c r="BE2947">
        <f>BC2947*($F$25+($C$16+$C$17+IF($C$13="single",1.5,3)+3)/12)</f>
        <v>0</v>
      </c>
      <c r="BF2947">
        <f>BE2947-AZ2947</f>
        <v>0</v>
      </c>
      <c r="BG2947" cm="1">
        <f t="array" ref="BG2947">IFERROR(IF(BF2947&lt;0,0,BF2947/($AU$2859-INDEX(hd_off,MATCH(BT2947,hd_mark,0),0)/12)),0)</f>
        <v>0</v>
      </c>
      <c r="BH2947">
        <f>IF(AV2947=0,0,$BG$2859*$AM$2841)</f>
        <v>0</v>
      </c>
      <c r="BI2947">
        <f>IFERROR(BH2947/$AU$2859,0)</f>
        <v>0</v>
      </c>
      <c r="BJ2947">
        <f>BH2947*($F$25+($C$16+$C$17+IF($C$13="single",1.5,3)+3)/12)</f>
        <v>0</v>
      </c>
      <c r="BK2947">
        <f>BJ2947-BA2947</f>
        <v>0</v>
      </c>
      <c r="BL2947" cm="1">
        <f t="array" ref="BL2947">IFERROR(IF(BK2947&lt;0,0,BK2947/($AU$2859-INDEX(hd_off,MATCH(BT2947,hd_mark,0),0)/12)),0)</f>
        <v>0</v>
      </c>
      <c r="BM2947">
        <f>MAX($F$25,$BF$2859)/$Q$2868</f>
        <v>0.29920977011494249</v>
      </c>
      <c r="BN2947">
        <f t="shared" ref="BN2947" si="1812">IF(BM2947=0,0,IF(BM2947&gt;2,1.25-0.125*BM2947,1))</f>
        <v>1</v>
      </c>
      <c r="BO2947" cm="1">
        <f t="array" ref="BO2947">IFERROR(INDEX(sheath_ecap_asd,MATCH(BS2947,sheath_mark,0),0)*BN2947,0)</f>
        <v>0</v>
      </c>
      <c r="BP2947" cm="1">
        <f t="array" ref="BP2947">IFERROR(INDEX(sheath_wcap_asd,MATCH(BS2947,sheath_mark,0),0)*BN2947,0)</f>
        <v>0</v>
      </c>
      <c r="BQ2947" cm="1">
        <f t="array" ref="BQ2947">IFERROR(INDEX(hd_cap,MATCH(BT2947,hd_mark,0),0),0)</f>
        <v>0</v>
      </c>
      <c r="BS2947" s="19"/>
      <c r="BT2947" s="19"/>
      <c r="BU2947" s="100"/>
    </row>
    <row r="2948" x14ac:dyDescent="0.25">
      <c r="P2948" s="93"/>
      <c r="AR2948" s="100"/>
      <c r="AS2948" s="93"/>
      <c r="BU2948" s="100"/>
    </row>
    <row r="2949" x14ac:dyDescent="0.25">
      <c r="P2949" s="93"/>
      <c r="Q2949" s="110" t="str">
        <f>$Q$2860</f>
        <v>A.15</v>
      </c>
      <c r="R2949" t="str">
        <f>$Q$2837</f>
        <v>L2</v>
      </c>
      <c r="S2949">
        <f>$E$21</f>
        <v>10.6875</v>
      </c>
      <c r="T2949" cm="1">
        <f t="array" ref="T2949">IFERROR(IF(S2949=0,0,(INDEX($C$33:$C$38,MATCH($W$2860,$B$33:$B$38,0),0)*(S2953+$X$2860)+$T$2860*COUNTIF(S2949:S2952,"&gt;0")*$C$32+$V$2860*$C$31)*$R$2860),0)</f>
        <v>0</v>
      </c>
      <c r="U2949">
        <f>IF(S2949=0,0,-(COUNTIF(S2949:S2952,"&gt;0")*$T$2860*$C$32+$V$2860*$C$31)*$H$27*$R$2860)</f>
        <v>0</v>
      </c>
      <c r="V2949">
        <f>IF(S2949=0,0,$V$2860*$H$26*$R$2860)</f>
        <v>0</v>
      </c>
      <c r="W2949">
        <f>(0.6*T2949+0.7*U2949)*$R$2860/2</f>
        <v>0</v>
      </c>
      <c r="X2949">
        <f>(0.6*T2949+0.6*V2949)*$R$2860/2</f>
        <v>0</v>
      </c>
      <c r="Z2949">
        <f>IF(S2949=0,0,$AD$2860*$AP$2837)</f>
        <v>0</v>
      </c>
      <c r="AA2949">
        <f>IFERROR(Z2949/$R$2860,0)</f>
        <v>0</v>
      </c>
      <c r="AB2949">
        <f>Z2949*($F$21+IF($F$21=0,0,($C$14+$C$15+IF($C$13="single",1.5,3)+3)/12))</f>
        <v>0</v>
      </c>
      <c r="AC2949">
        <f>AB2949-W2949</f>
        <v>0</v>
      </c>
      <c r="AD2949" cm="1">
        <f t="array" ref="AD2949">IFERROR(IF(AC2949&lt;0,0,AC2949/($R$2860-INDEX(hd_off,MATCH(AQ2949,hd_mark,0),0)/12)),0)</f>
        <v>0</v>
      </c>
      <c r="AE2949">
        <f>IF(S2949=0,0,$AD$2860*$AM$2837)</f>
        <v>0</v>
      </c>
      <c r="AF2949">
        <f>IFERROR(AE2949/$R$2860,0)</f>
        <v>0</v>
      </c>
      <c r="AG2949">
        <f>AE2949*($F$21+IF($F$21=0,0,($C$14+$C$15+IF($C$13="single",1.5,3)+3)/12))</f>
        <v>0</v>
      </c>
      <c r="AH2949">
        <f>AG2949-X2949</f>
        <v>0</v>
      </c>
      <c r="AI2949" cm="1">
        <f t="array" ref="AI2949">IFERROR(IF(AH2949&lt;0,0,AH2949/($R$2860-INDEX(hd_off,MATCH(AQ2949,hd_mark,0),0)/12)),0)</f>
        <v>0</v>
      </c>
      <c r="AJ2949">
        <f>MAX($F$21,$Y$2860)/$Q$2868</f>
        <v>0.30172413793103448</v>
      </c>
      <c r="AK2949">
        <f>IF(AJ2949=0,0,IF(AJ2949&gt;2,1.25-0.125*AJ2949,1))</f>
        <v>1</v>
      </c>
      <c r="AL2949" cm="1">
        <f t="array" ref="AL2949">IFERROR(INDEX(sheath_ecap_asd,MATCH(AP2949,sheath_mark,0),0)*AK2949,0)</f>
        <v>0</v>
      </c>
      <c r="AM2949" cm="1">
        <f t="array" ref="AM2949">IFERROR(INDEX(sheath_wcap_asd,MATCH(AP2949,sheath_mark,0),0)*AK2949,0)</f>
        <v>0</v>
      </c>
      <c r="AN2949" cm="1">
        <f t="array" ref="AN2949">IFERROR(INDEX(hd_cap,MATCH(AQ2949,hd_mark,0),0),0)</f>
        <v>0</v>
      </c>
      <c r="AP2949" s="19"/>
      <c r="AQ2949" s="19"/>
      <c r="AR2949" s="100"/>
      <c r="AS2949" s="93"/>
      <c r="AT2949" s="110" t="str">
        <f>$AT$2860</f>
        <v>1.15</v>
      </c>
      <c r="AU2949" t="str">
        <f>$Q$2837</f>
        <v>L2</v>
      </c>
      <c r="AV2949">
        <f>$E$21</f>
        <v>10.6875</v>
      </c>
      <c r="AW2949" cm="1">
        <f t="array" ref="AW2949">IFERROR(IF(AV2949=0,0,(INDEX($C$33:$C$38,MATCH($AZ$2860,$B$33:$B$38,0),0)*(AV2953+$BA$2860)+$AW$2860*COUNTIF(AV2949:AV2952,"&gt;0")*$C$32+$AY$2860*$C$31)*$AU$2860),0)</f>
        <v>0</v>
      </c>
      <c r="AX2949">
        <f>IF(AV2949=0,0,-(COUNTIF(AV2949:AV2952,"&gt;0")*$AW$2860*$C$32+$AY$2860*$C$31)*$H$27*$AU$2860)</f>
        <v>0</v>
      </c>
      <c r="AY2949">
        <f>IF(AV2949=0,0,$AY$2860*$H$26*$AU$2860)</f>
        <v>0</v>
      </c>
      <c r="AZ2949">
        <f>(0.6*AW2949+0.7*AX2949)*$AU$2860/2</f>
        <v>0</v>
      </c>
      <c r="BA2949">
        <f>(0.6*AW2949+0.6*AY2949)*$AU$2860/2</f>
        <v>0</v>
      </c>
      <c r="BC2949">
        <f>IF(AV2949=0,0,$BG$2860*$AP$2837)</f>
        <v>0</v>
      </c>
      <c r="BD2949">
        <f>IFERROR(BC2949/$AU$2860,0)</f>
        <v>0</v>
      </c>
      <c r="BE2949">
        <f>BC2949*($F$21+IF($F$21=0,0,($C$14+$C$15+IF($C$13="single",1.5,3)+3)/12))</f>
        <v>0</v>
      </c>
      <c r="BF2949">
        <f>BE2949-AZ2949</f>
        <v>0</v>
      </c>
      <c r="BG2949" cm="1">
        <f t="array" ref="BG2949">IFERROR(IF(BF2949&lt;0,0,BF2949/($AU$2860-INDEX(hd_off,MATCH(BT2949,hd_mark,0),0)/12)),0)</f>
        <v>0</v>
      </c>
      <c r="BH2949">
        <f>IF(AV2949=0,0,$BG$2860*$AM$2837)</f>
        <v>0</v>
      </c>
      <c r="BI2949">
        <f>IFERROR(BH2949/$AU$2860,0)</f>
        <v>0</v>
      </c>
      <c r="BJ2949">
        <f>BH2949*($F$21+IF($F$21=0,0,($C$14+$C$15+IF($C$13="single",1.5,3)+3)/12))</f>
        <v>0</v>
      </c>
      <c r="BK2949">
        <f>BJ2949-BA2949</f>
        <v>0</v>
      </c>
      <c r="BL2949" cm="1">
        <f t="array" ref="BL2949">IFERROR(IF(BK2949&lt;0,0,BK2949/($AU$2860-INDEX(hd_off,MATCH(BT2949,hd_mark,0),0)/12)),0)</f>
        <v>0</v>
      </c>
      <c r="BM2949">
        <f>MAX($F$21,$BB$2860)/$Q$2868</f>
        <v>0.30172413793103448</v>
      </c>
      <c r="BN2949">
        <f>IF(BM2949=0,0,IF(BM2949&gt;2,1.25-0.125*BM2949,1))</f>
        <v>1</v>
      </c>
      <c r="BO2949" cm="1">
        <f t="array" ref="BO2949">IFERROR(INDEX(sheath_ecap_asd,MATCH(BS2949,sheath_mark,0),0)*BN2949,0)</f>
        <v>0</v>
      </c>
      <c r="BP2949" cm="1">
        <f t="array" ref="BP2949">IFERROR(INDEX(sheath_wcap_asd,MATCH(BS2949,sheath_mark,0),0)*BN2949,0)</f>
        <v>0</v>
      </c>
      <c r="BQ2949" cm="1">
        <f t="array" ref="BQ2949">IFERROR(INDEX(hd_cap,MATCH(BT2949,hd_mark,0),0),0)</f>
        <v>0</v>
      </c>
      <c r="BS2949" s="19"/>
      <c r="BT2949" s="19"/>
      <c r="BU2949" s="100"/>
    </row>
    <row r="2950" x14ac:dyDescent="0.25">
      <c r="P2950" s="93"/>
      <c r="Q2950" s="109"/>
      <c r="R2950" t="str">
        <f>$Q$2838</f>
        <v>L3</v>
      </c>
      <c r="S2950">
        <f>$E$22</f>
        <v>21.375</v>
      </c>
      <c r="T2950" cm="1">
        <f t="array" ref="T2950">IFERROR(IF(S2950=0,0,(INDEX($C$33:$C$38,MATCH($W$2860,$B$33:$B$38,0),0)*(S2953+$X$2860)+$T$2860*COUNTIF(S2950:S2952,"&gt;0")*$C$32+$V$2860*$C$31)*$R$2860),0)</f>
        <v>0</v>
      </c>
      <c r="U2950">
        <f>IF(S2950=0,0,-(COUNTIF(S2950:S2952,"&gt;0")*$T$2860*$C$32+$V$2860*$C$31)*$H$27*$R$2860)</f>
        <v>0</v>
      </c>
      <c r="V2950">
        <f>IF(S2950=0,0,$V$2860*$H$26*$R$2860)</f>
        <v>0</v>
      </c>
      <c r="W2950">
        <f>(0.6*T2950+0.7*U2950)*$R$2860/2</f>
        <v>0</v>
      </c>
      <c r="X2950">
        <f>T2950*$R$2860/2</f>
        <v>0</v>
      </c>
      <c r="Z2950">
        <f>IF(S2950=0,0,$AD$2860*$AP$2838)</f>
        <v>0</v>
      </c>
      <c r="AA2950">
        <f>IFERROR(Z2950/$R$2860,0)</f>
        <v>0</v>
      </c>
      <c r="AB2950">
        <f>Z2950*($F$22+IF($F$22=0,0,($C$14+$C$15+IF($C$13="single",1.5,3)+3)/12))</f>
        <v>0</v>
      </c>
      <c r="AC2950">
        <f>AB2950-W2950</f>
        <v>0</v>
      </c>
      <c r="AD2950" cm="1">
        <f t="array" ref="AD2950">IFERROR(IF(AC2950&lt;0,0,AC2950/($R$2860-INDEX(hd_off,MATCH(AQ2950,hd_mark,0),0)/12)),0)</f>
        <v>0</v>
      </c>
      <c r="AE2950">
        <f>IF(S2950=0,0,$AD$2860*$AM$2838)</f>
        <v>0</v>
      </c>
      <c r="AF2950">
        <f>IFERROR(AE2950/$R$2860,0)</f>
        <v>0</v>
      </c>
      <c r="AG2950">
        <f>AE2950*($F$22+IF($F$22=0,0,($C$14+$C$15+IF($C$13="single",1.5,3)+3)/12))</f>
        <v>0</v>
      </c>
      <c r="AH2950">
        <f>AG2950-X2950</f>
        <v>0</v>
      </c>
      <c r="AI2950" cm="1">
        <f t="array" ref="AI2950">IFERROR(IF(AH2950&lt;0,0,AH2950/($R$2860-INDEX(hd_off,MATCH(AQ2950,hd_mark,0),0)/12)),0)</f>
        <v>0</v>
      </c>
      <c r="AJ2950">
        <f>MAX($F$22,$Z$2860)/$Q$2868</f>
        <v>0.30172413793103448</v>
      </c>
      <c r="AK2950">
        <f t="shared" ref="AK2950:AK2953" si="1813">IF(AJ2950=0,0,IF(AJ2950&gt;2,1.25-0.125*AJ2950,1))</f>
        <v>1</v>
      </c>
      <c r="AL2950" cm="1">
        <f t="array" ref="AL2950">IFERROR(INDEX(sheath_ecap_asd,MATCH(AP2950,sheath_mark,0),0)*AK2950,0)</f>
        <v>0</v>
      </c>
      <c r="AM2950" cm="1">
        <f t="array" ref="AM2950">IFERROR(INDEX(sheath_wcap_asd,MATCH(AP2950,sheath_mark,0),0)*AK2950,0)</f>
        <v>0</v>
      </c>
      <c r="AN2950" cm="1">
        <f t="array" ref="AN2950">IFERROR(INDEX(hd_cap,MATCH(AQ2950,hd_mark,0),0),0)</f>
        <v>0</v>
      </c>
      <c r="AP2950" s="19"/>
      <c r="AQ2950" s="19"/>
      <c r="AR2950" s="100"/>
      <c r="AS2950" s="93"/>
      <c r="AT2950" s="109"/>
      <c r="AU2950" t="str">
        <f>$Q$2838</f>
        <v>L3</v>
      </c>
      <c r="AV2950">
        <f>$E$22</f>
        <v>21.375</v>
      </c>
      <c r="AW2950" cm="1">
        <f t="array" ref="AW2950">IFERROR(IF(AV2950=0,0,(INDEX($C$33:$C$38,MATCH($AZ$2860,$B$33:$B$38,0),0)*(AV2953+$BA$2860)+$AW$2860*COUNTIF(AV2950:AV2952,"&gt;0")*$C$32+$AY$2860*$C$31)*$AU$2860),0)</f>
        <v>0</v>
      </c>
      <c r="AX2950">
        <f>IF(AV2950=0,0,-(COUNTIF(AV2950:AV2952,"&gt;0")*$AW$2860*$C$32+$AY$2860*$C$31)*$H$27*$AU$2860)</f>
        <v>0</v>
      </c>
      <c r="AY2950">
        <f>IF(AV2950=0,0,$AY$2860*$H$26*$AU$2860)</f>
        <v>0</v>
      </c>
      <c r="AZ2950">
        <f>(0.6*AW2950+0.7*AX2950)*$AU$2860/2</f>
        <v>0</v>
      </c>
      <c r="BA2950">
        <f>AW2950*$AU$2860/2</f>
        <v>0</v>
      </c>
      <c r="BC2950">
        <f>IF(AV2950=0,0,$BG$2860*$AP$2838)</f>
        <v>0</v>
      </c>
      <c r="BD2950">
        <f>IFERROR(BC2950/$AU$2860,0)</f>
        <v>0</v>
      </c>
      <c r="BE2950">
        <f>BC2950*($F$22+IF($F$22=0,0,($C$14+$C$15+IF($C$13="single",1.5,3)+3)/12))</f>
        <v>0</v>
      </c>
      <c r="BF2950">
        <f>BE2950-AZ2950</f>
        <v>0</v>
      </c>
      <c r="BG2950" cm="1">
        <f t="array" ref="BG2950">IFERROR(IF(BF2950&lt;0,0,BF2950/($AU$2860-INDEX(hd_off,MATCH(BT2950,hd_mark,0),0)/12)),0)</f>
        <v>0</v>
      </c>
      <c r="BH2950">
        <f>IF(AV2950=0,0,$BG$2860*$AM$2838)</f>
        <v>0</v>
      </c>
      <c r="BI2950">
        <f>IFERROR(BH2950/$AU$2860,0)</f>
        <v>0</v>
      </c>
      <c r="BJ2950">
        <f>BH2950*($F$22+IF($F$22=0,0,($C$14+$C$15+IF($C$13="single",1.5,3)+3)/12))</f>
        <v>0</v>
      </c>
      <c r="BK2950">
        <f>BJ2950-BA2950</f>
        <v>0</v>
      </c>
      <c r="BL2950" cm="1">
        <f t="array" ref="BL2950">IFERROR(IF(BK2950&lt;0,0,BK2950/($AU$2860-INDEX(hd_off,MATCH(BT2950,hd_mark,0),0)/12)),0)</f>
        <v>0</v>
      </c>
      <c r="BM2950">
        <f>MAX($F$22,$BC$2860)/$Q$2868</f>
        <v>0.30172413793103448</v>
      </c>
      <c r="BN2950">
        <f t="shared" ref="BN2950:BN2953" si="1814">IF(BM2950=0,0,IF(BM2950&gt;2,1.25-0.125*BM2950,1))</f>
        <v>1</v>
      </c>
      <c r="BO2950" cm="1">
        <f t="array" ref="BO2950">IFERROR(INDEX(sheath_ecap_asd,MATCH(BS2950,sheath_mark,0),0)*BN2950,0)</f>
        <v>0</v>
      </c>
      <c r="BP2950" cm="1">
        <f t="array" ref="BP2950">IFERROR(INDEX(sheath_wcap_asd,MATCH(BS2950,sheath_mark,0),0)*BN2950,0)</f>
        <v>0</v>
      </c>
      <c r="BQ2950" cm="1">
        <f t="array" ref="BQ2950">IFERROR(INDEX(hd_cap,MATCH(BT2950,hd_mark,0),0),0)</f>
        <v>0</v>
      </c>
      <c r="BS2950" s="19"/>
      <c r="BT2950" s="19"/>
      <c r="BU2950" s="100"/>
    </row>
    <row r="2951" x14ac:dyDescent="0.25">
      <c r="P2951" s="93"/>
      <c r="Q2951" s="109" t="s">
        <v>491</v>
      </c>
      <c r="R2951" t="str">
        <f>$Q$2839</f>
        <v>L4</v>
      </c>
      <c r="S2951">
        <f>$E$23</f>
        <v>0</v>
      </c>
      <c r="T2951" cm="1">
        <f t="array" ref="T2951">IFERROR(IF(S2951=0,0,(INDEX($C$33:$C$38,MATCH($W$2860,$B$33:$B$38,0),0)*(S2953+$X$2860)+$T$2860*COUNTIF(S2951:S2952,"&gt;0")*$C$32+$V$2860*$C$31)*$R$2860),0)</f>
        <v>0</v>
      </c>
      <c r="U2951">
        <f>IF(S2951=0,0,-(COUNTIF(S2951:S2952,"&gt;0")*$T$2860*$C$32+$V$2860*$C$31)*$H$27*$R$2860)</f>
        <v>0</v>
      </c>
      <c r="V2951">
        <f>IF(S2951=0,0,$V$2860*$H$26*$R$2860)</f>
        <v>0</v>
      </c>
      <c r="W2951">
        <f>(0.6*T2951+0.7*U2951)*$R$2860/2</f>
        <v>0</v>
      </c>
      <c r="X2951">
        <f>T2951*$R$2860/2</f>
        <v>0</v>
      </c>
      <c r="Z2951">
        <f>IF(S2951=0,0,$AD$2860*$AP$2839)</f>
        <v>0</v>
      </c>
      <c r="AA2951">
        <f>IFERROR(Z2951/$R$2860,0)</f>
        <v>0</v>
      </c>
      <c r="AB2951">
        <f>Z2951*($F$23+IF($F$23=0,0,($C$14+$C$15+IF($C$13="single",1.5,3)+3)/12))</f>
        <v>0</v>
      </c>
      <c r="AC2951">
        <f>AB2951-W2951</f>
        <v>0</v>
      </c>
      <c r="AD2951" cm="1">
        <f t="array" ref="AD2951">IFERROR(IF(AC2951&lt;0,0,AC2951/($R$2860-INDEX(hd_off,MATCH(AQ2951,hd_mark,0),0)/12)),0)</f>
        <v>0</v>
      </c>
      <c r="AE2951">
        <f>IF(S2951=0,0,$AD$2860*$AM$2839)</f>
        <v>0</v>
      </c>
      <c r="AF2951">
        <f>IFERROR(AE2951/$R$2860,0)</f>
        <v>0</v>
      </c>
      <c r="AG2951">
        <f>AE2951*($F$23+IF($F$23=0,0,($C$14+$C$15+IF($C$13="single",1.5,3)+3)/12))</f>
        <v>0</v>
      </c>
      <c r="AH2951">
        <f>AG2951-X2951</f>
        <v>0</v>
      </c>
      <c r="AI2951" cm="1">
        <f t="array" ref="AI2951">IFERROR(IF(AH2951&lt;0,0,AH2951/($R$2860-INDEX(hd_off,MATCH(AQ2951,hd_mark,0),0)/12)),0)</f>
        <v>0</v>
      </c>
      <c r="AJ2951">
        <f>MAX($F$23,$AA$2860)/$Q$2868</f>
        <v>0</v>
      </c>
      <c r="AK2951">
        <f t="shared" si="1813"/>
        <v>0</v>
      </c>
      <c r="AL2951" cm="1">
        <f t="array" ref="AL2951">IFERROR(INDEX(sheath_ecap_asd,MATCH(AP2951,sheath_mark,0),0)*AK2951,0)</f>
        <v>0</v>
      </c>
      <c r="AM2951" cm="1">
        <f t="array" ref="AM2951">IFERROR(INDEX(sheath_wcap_asd,MATCH(AP2951,sheath_mark,0),0)*AK2951,0)</f>
        <v>0</v>
      </c>
      <c r="AN2951" cm="1">
        <f t="array" ref="AN2951">IFERROR(INDEX(hd_cap,MATCH(AQ2951,hd_mark,0),0),0)</f>
        <v>0</v>
      </c>
      <c r="AP2951" s="19"/>
      <c r="AQ2951" s="19"/>
      <c r="AR2951" s="100"/>
      <c r="AS2951" s="93"/>
      <c r="AT2951" s="109" t="s">
        <v>491</v>
      </c>
      <c r="AU2951" t="str">
        <f>$Q$2839</f>
        <v>L4</v>
      </c>
      <c r="AV2951">
        <f>$E$23</f>
        <v>0</v>
      </c>
      <c r="AW2951" cm="1">
        <f t="array" ref="AW2951">IFERROR(IF(AV2951=0,0,(INDEX($C$33:$C$38,MATCH($AZ$2860,$B$33:$B$38,0),0)*(AV2953+$BA$2860)+$AW$2860*COUNTIF(AV2951:AV2952,"&gt;0")*$C$32+$AY$2860*$C$31)*$AU$2860),0)</f>
        <v>0</v>
      </c>
      <c r="AX2951">
        <f>IF(AV2951=0,0,-(COUNTIF(AV2951:AV2952,"&gt;0")*$AW$2860*$C$32+$AY$2860*$C$31)*$H$27*$AU$2860)</f>
        <v>0</v>
      </c>
      <c r="AY2951">
        <f>IF(AV2951=0,0,$AY$2860*$H$26*$AU$2860)</f>
        <v>0</v>
      </c>
      <c r="AZ2951">
        <f>(0.6*AW2951+0.7*AX2951)*$AU$2860/2</f>
        <v>0</v>
      </c>
      <c r="BA2951">
        <f>AW2951*$AU$2860/2</f>
        <v>0</v>
      </c>
      <c r="BC2951">
        <f>IF(AV2951=0,0,$BG$2860*$AP$2839)</f>
        <v>0</v>
      </c>
      <c r="BD2951">
        <f>IFERROR(BC2951/$AU$2860,0)</f>
        <v>0</v>
      </c>
      <c r="BE2951">
        <f>BC2951*($F$23+IF($F$23=0,0,($C$14+$C$15+IF($C$13="single",1.5,3)+3)/12))</f>
        <v>0</v>
      </c>
      <c r="BF2951">
        <f>BE2951-AZ2951</f>
        <v>0</v>
      </c>
      <c r="BG2951" cm="1">
        <f t="array" ref="BG2951">IFERROR(IF(BF2951&lt;0,0,BF2951/($AU$2860-INDEX(hd_off,MATCH(BT2951,hd_mark,0),0)/12)),0)</f>
        <v>0</v>
      </c>
      <c r="BH2951">
        <f>IF(AV2951=0,0,$BG$2860*$AM$2839)</f>
        <v>0</v>
      </c>
      <c r="BI2951">
        <f>IFERROR(BH2951/$AU$2860,0)</f>
        <v>0</v>
      </c>
      <c r="BJ2951">
        <f>BH2951*($F$23+IF($F$23=0,0,($C$14+$C$15+IF($C$13="single",1.5,3)+3)/12))</f>
        <v>0</v>
      </c>
      <c r="BK2951">
        <f>BJ2951-BA2951</f>
        <v>0</v>
      </c>
      <c r="BL2951" cm="1">
        <f t="array" ref="BL2951">IFERROR(IF(BK2951&lt;0,0,BK2951/($AU$2860-INDEX(hd_off,MATCH(BT2951,hd_mark,0),0)/12)),0)</f>
        <v>0</v>
      </c>
      <c r="BM2951">
        <f>MAX($F$23,$BD$2860)/$Q$2868</f>
        <v>0</v>
      </c>
      <c r="BN2951">
        <f t="shared" si="1814"/>
        <v>0</v>
      </c>
      <c r="BO2951" cm="1">
        <f t="array" ref="BO2951">IFERROR(INDEX(sheath_ecap_asd,MATCH(BS2951,sheath_mark,0),0)*BN2951,0)</f>
        <v>0</v>
      </c>
      <c r="BP2951" cm="1">
        <f t="array" ref="BP2951">IFERROR(INDEX(sheath_wcap_asd,MATCH(BS2951,sheath_mark,0),0)*BN2951,0)</f>
        <v>0</v>
      </c>
      <c r="BQ2951" cm="1">
        <f t="array" ref="BQ2951">IFERROR(INDEX(hd_cap,MATCH(BT2951,hd_mark,0),0),0)</f>
        <v>0</v>
      </c>
      <c r="BS2951" s="19"/>
      <c r="BT2951" s="19"/>
      <c r="BU2951" s="100"/>
    </row>
    <row r="2952" x14ac:dyDescent="0.25">
      <c r="P2952" s="93"/>
      <c r="Q2952" s="111">
        <f>$R$2860</f>
        <v>0</v>
      </c>
      <c r="R2952" t="str">
        <f>$Q$2840</f>
        <v>L5</v>
      </c>
      <c r="S2952">
        <f>$E$24</f>
        <v>0</v>
      </c>
      <c r="T2952" cm="1">
        <f t="array" ref="T2952">IFERROR(IF(S2952=0,0,(INDEX($C$33:$C$38,MATCH($W$2860,$B$33:$B$38,0),0)*(S2953+$X$2860)+$T$2860*COUNTIF(S2952:S2952,"&gt;0")*$C$32+$V$2860*$C$31)*$R$2860),0)</f>
        <v>0</v>
      </c>
      <c r="U2952">
        <f>IF(S2952=0,0,-(COUNTIF(S2952:S2952,"&gt;0")*$T$2860*$C$32+$V$2860*$C$31)*$H$27*$R$2860)</f>
        <v>0</v>
      </c>
      <c r="V2952">
        <f>IF(S2952=0,0,$V$2860*$H$26*$R$2860)</f>
        <v>0</v>
      </c>
      <c r="W2952">
        <f>(0.6*T2952+0.7*U2952)*$R$2860/2</f>
        <v>0</v>
      </c>
      <c r="X2952">
        <f>T2952*$R$2860/2</f>
        <v>0</v>
      </c>
      <c r="Z2952">
        <f>IF(S2952=0,0,$AD$2860*$AP$2840)</f>
        <v>0</v>
      </c>
      <c r="AA2952">
        <f>IFERROR(Z2952/$R$2860,0)</f>
        <v>0</v>
      </c>
      <c r="AB2952">
        <f>Z2952*($F$24+IF($F$24=0,0,($C$14+$C$15+IF($C$13="single",1.5,3)+3)/12))</f>
        <v>0</v>
      </c>
      <c r="AC2952">
        <f>AB2952-W2952</f>
        <v>0</v>
      </c>
      <c r="AD2952" cm="1">
        <f t="array" ref="AD2952">IFERROR(IF(AC2952&lt;0,0,AC2952/($R$2860-INDEX(hd_off,MATCH(AQ2952,hd_mark,0),0)/12)),0)</f>
        <v>0</v>
      </c>
      <c r="AE2952">
        <f>IF(S2952=0,0,$AD$2860*$AM$2840)</f>
        <v>0</v>
      </c>
      <c r="AF2952">
        <f>IFERROR(AE2952/$R$2860,0)</f>
        <v>0</v>
      </c>
      <c r="AG2952">
        <f>AE2952*($F$24+IF($F$24=0,0,($C$14+$C$15+IF($C$13="single",1.5,3)+3)/12))</f>
        <v>0</v>
      </c>
      <c r="AH2952">
        <f>AG2952-X2952</f>
        <v>0</v>
      </c>
      <c r="AI2952" cm="1">
        <f t="array" ref="AI2952">IFERROR(IF(AH2952&lt;0,0,AH2952/($R$2860-INDEX(hd_off,MATCH(AQ2952,hd_mark,0),0)/12)),0)</f>
        <v>0</v>
      </c>
      <c r="AJ2952">
        <f>MAX($F$24,$AB$2860)/$Q$2868</f>
        <v>0</v>
      </c>
      <c r="AK2952">
        <f t="shared" si="1813"/>
        <v>0</v>
      </c>
      <c r="AL2952" cm="1">
        <f t="array" ref="AL2952">IFERROR(INDEX(sheath_ecap_asd,MATCH(AP2952,sheath_mark,0),0)*AK2952,0)</f>
        <v>0</v>
      </c>
      <c r="AM2952" cm="1">
        <f t="array" ref="AM2952">IFERROR(INDEX(sheath_wcap_asd,MATCH(AP2952,sheath_mark,0),0)*AK2952,0)</f>
        <v>0</v>
      </c>
      <c r="AN2952" cm="1">
        <f t="array" ref="AN2952">IFERROR(INDEX(hd_cap,MATCH(AQ2952,hd_mark,0),0),0)</f>
        <v>0</v>
      </c>
      <c r="AP2952" s="19"/>
      <c r="AQ2952" s="19"/>
      <c r="AR2952" s="100"/>
      <c r="AS2952" s="93"/>
      <c r="AT2952" s="111">
        <f>$R$2860</f>
        <v>0</v>
      </c>
      <c r="AU2952" t="str">
        <f>$Q$2840</f>
        <v>L5</v>
      </c>
      <c r="AV2952">
        <f>$E$24</f>
        <v>0</v>
      </c>
      <c r="AW2952" cm="1">
        <f t="array" ref="AW2952">IFERROR(IF(AV2952=0,0,(INDEX($C$33:$C$38,MATCH($AZ$2860,$B$33:$B$38,0),0)*(AV2953+$BA$2860)+$AW$2860*COUNTIF(AV2952:AV2952,"&gt;0")*$C$32+$AY$2860*$C$31)*$AU$2860),0)</f>
        <v>0</v>
      </c>
      <c r="AX2952">
        <f>IF(AV2952=0,0,-(COUNTIF(AV2952:AV2952,"&gt;0")*$AW$2860*$C$32+$AY$2860*$C$31)*$H$27*$AU$2860)</f>
        <v>0</v>
      </c>
      <c r="AY2952">
        <f>IF(AV2952=0,0,$AY$2860*$H$26*$AU$2860)</f>
        <v>0</v>
      </c>
      <c r="AZ2952">
        <f>(0.6*AW2952+0.7*AX2952)*$AU$2860/2</f>
        <v>0</v>
      </c>
      <c r="BA2952">
        <f>AW2952*$AU$2860/2</f>
        <v>0</v>
      </c>
      <c r="BC2952">
        <f>IF(AV2952=0,0,$BG$2860*$AP$2840)</f>
        <v>0</v>
      </c>
      <c r="BD2952">
        <f>IFERROR(BC2952/$AU$2860,0)</f>
        <v>0</v>
      </c>
      <c r="BE2952">
        <f>BC2952*($F$24+IF($F$24=0,0,($C$14+$C$15+IF($C$13="single",1.5,3)+3)/12))</f>
        <v>0</v>
      </c>
      <c r="BF2952">
        <f>BE2952-AZ2952</f>
        <v>0</v>
      </c>
      <c r="BG2952" cm="1">
        <f t="array" ref="BG2952">IFERROR(IF(BF2952&lt;0,0,BF2952/($AU$2860-INDEX(hd_off,MATCH(BT2952,hd_mark,0),0)/12)),0)</f>
        <v>0</v>
      </c>
      <c r="BH2952">
        <f>IF(AV2952=0,0,$BG$2860*$AM$2840)</f>
        <v>0</v>
      </c>
      <c r="BI2952">
        <f>IFERROR(BH2952/$AU$2860,0)</f>
        <v>0</v>
      </c>
      <c r="BJ2952">
        <f>BH2952*($F$24+IF($F$24=0,0,($C$14+$C$15+IF($C$13="single",1.5,3)+3)/12))</f>
        <v>0</v>
      </c>
      <c r="BK2952">
        <f>BJ2952-BA2952</f>
        <v>0</v>
      </c>
      <c r="BL2952" cm="1">
        <f t="array" ref="BL2952">IFERROR(IF(BK2952&lt;0,0,BK2952/($AU$2860-INDEX(hd_off,MATCH(BT2952,hd_mark,0),0)/12)),0)</f>
        <v>0</v>
      </c>
      <c r="BM2952">
        <f>MAX($F$24,$BE$2860)/$Q$2868</f>
        <v>0</v>
      </c>
      <c r="BN2952">
        <f t="shared" si="1814"/>
        <v>0</v>
      </c>
      <c r="BO2952" cm="1">
        <f t="array" ref="BO2952">IFERROR(INDEX(sheath_ecap_asd,MATCH(BS2952,sheath_mark,0),0)*BN2952,0)</f>
        <v>0</v>
      </c>
      <c r="BP2952" cm="1">
        <f t="array" ref="BP2952">IFERROR(INDEX(sheath_wcap_asd,MATCH(BS2952,sheath_mark,0),0)*BN2952,0)</f>
        <v>0</v>
      </c>
      <c r="BQ2952" cm="1">
        <f t="array" ref="BQ2952">IFERROR(INDEX(hd_cap,MATCH(BT2952,hd_mark,0),0),0)</f>
        <v>0</v>
      </c>
      <c r="BS2952" s="19"/>
      <c r="BT2952" s="19"/>
      <c r="BU2952" s="100"/>
    </row>
    <row r="2953" x14ac:dyDescent="0.25">
      <c r="P2953" s="93"/>
      <c r="Q2953" s="109"/>
      <c r="R2953" t="str">
        <f>$Q$2841</f>
        <v>Roof</v>
      </c>
      <c r="S2953">
        <f>$E$25</f>
        <v>33.171875</v>
      </c>
      <c r="T2953" cm="1">
        <f t="array" ref="T2953">IFERROR(IF(S2953=0,0,(INDEX($C$33:$C$38,MATCH($W$2860,$B$33:$B$38,0),0)*(S2953+$X$2860)+$V$2860*$C$31)*$R$2860),0)</f>
        <v>0</v>
      </c>
      <c r="U2953">
        <f>IF(S2953=0,0,-$V$2860*$C$31*$H$27*$R$2860)</f>
        <v>0</v>
      </c>
      <c r="V2953">
        <f>IF(S2953=0,0,$V$2860*$H$26*$R$2860)</f>
        <v>0</v>
      </c>
      <c r="W2953">
        <f>(0.6*T2953+0.7*U2953)*$R$2860/2</f>
        <v>0</v>
      </c>
      <c r="X2953">
        <f>T2953*$R$2860/2</f>
        <v>0</v>
      </c>
      <c r="Z2953">
        <f>IF(S2953=0,0,$AD$2860*$AP$2841)</f>
        <v>0</v>
      </c>
      <c r="AA2953">
        <f>IFERROR(Z2953/$R$2860,0)</f>
        <v>0</v>
      </c>
      <c r="AB2953">
        <f>Z2953*($F$25+($C$16+$C$17+IF($C$13="single",1.5,3)+3)/12)</f>
        <v>0</v>
      </c>
      <c r="AC2953">
        <f>AB2953-W2953</f>
        <v>0</v>
      </c>
      <c r="AD2953" cm="1">
        <f t="array" ref="AD2953">IFERROR(IF(AC2953&lt;0,0,AC2953/($R$2860-INDEX(hd_off,MATCH(AQ2953,hd_mark,0),0)/12)),0)</f>
        <v>0</v>
      </c>
      <c r="AE2953">
        <f>IF(S2953=0,0,$AD$2860*$AM$2841)</f>
        <v>0</v>
      </c>
      <c r="AF2953">
        <f>IFERROR(AE2953/$R$2860,0)</f>
        <v>0</v>
      </c>
      <c r="AG2953">
        <f>AE2953*($F$25+($C$16+$C$17+IF($C$13="single",1.5,3)+3)/12)</f>
        <v>0</v>
      </c>
      <c r="AH2953">
        <f>AG2953-X2953</f>
        <v>0</v>
      </c>
      <c r="AI2953" cm="1">
        <f t="array" ref="AI2953">IFERROR(IF(AH2953&lt;0,0,AH2953/($R$2860-INDEX(hd_off,MATCH(AQ2953,hd_mark,0),0)/12)),0)</f>
        <v>0</v>
      </c>
      <c r="AJ2953">
        <f>MAX($F$25,$AC$2860)/$Q$2868</f>
        <v>0.29920977011494249</v>
      </c>
      <c r="AK2953">
        <f t="shared" si="1813"/>
        <v>1</v>
      </c>
      <c r="AL2953" cm="1">
        <f t="array" ref="AL2953">IFERROR(INDEX(sheath_ecap_asd,MATCH(AP2953,sheath_mark,0),0)*AK2953,0)</f>
        <v>0</v>
      </c>
      <c r="AM2953" cm="1">
        <f t="array" ref="AM2953">IFERROR(INDEX(sheath_wcap_asd,MATCH(AP2953,sheath_mark,0),0)*AK2953,0)</f>
        <v>0</v>
      </c>
      <c r="AN2953" cm="1">
        <f t="array" ref="AN2953">IFERROR(INDEX(hd_cap,MATCH(AQ2953,hd_mark,0),0),0)</f>
        <v>0</v>
      </c>
      <c r="AP2953" s="19"/>
      <c r="AQ2953" s="19"/>
      <c r="AR2953" s="100"/>
      <c r="AS2953" s="93"/>
      <c r="AT2953" s="109"/>
      <c r="AU2953" t="str">
        <f>$Q$2841</f>
        <v>Roof</v>
      </c>
      <c r="AV2953">
        <f>$E$25</f>
        <v>33.171875</v>
      </c>
      <c r="AW2953" cm="1">
        <f t="array" ref="AW2953">IFERROR(IF(AV2953=0,0,(INDEX($C$33:$C$38,MATCH($AZ$2860,$B$33:$B$38,0),0)*(AV2953+$BA$2860)+$AY$2860*$C$31)*$AU$2860),0)</f>
        <v>0</v>
      </c>
      <c r="AX2953">
        <f>IF(AV2953=0,0,-$AY$2860*$C$31*$H$27*$AU$2860)</f>
        <v>0</v>
      </c>
      <c r="AY2953">
        <f>IF(AV2953=0,0,$AY$2860*$H$26*$AU$2860)</f>
        <v>0</v>
      </c>
      <c r="AZ2953">
        <f>(0.6*AW2953+0.7*AX2953)*$AU$2860/2</f>
        <v>0</v>
      </c>
      <c r="BA2953">
        <f>AW2953*$AU$2860/2</f>
        <v>0</v>
      </c>
      <c r="BC2953">
        <f>IF(AV2953=0,0,$BG$2860*$AP$2841)</f>
        <v>0</v>
      </c>
      <c r="BD2953">
        <f>IFERROR(BC2953/$AU$2860,0)</f>
        <v>0</v>
      </c>
      <c r="BE2953">
        <f>BC2953*($F$25+($C$16+$C$17+IF($C$13="single",1.5,3)+3)/12)</f>
        <v>0</v>
      </c>
      <c r="BF2953">
        <f>BE2953-AZ2953</f>
        <v>0</v>
      </c>
      <c r="BG2953" cm="1">
        <f t="array" ref="BG2953">IFERROR(IF(BF2953&lt;0,0,BF2953/($AU$2860-INDEX(hd_off,MATCH(BT2953,hd_mark,0),0)/12)),0)</f>
        <v>0</v>
      </c>
      <c r="BH2953">
        <f>IF(AV2953=0,0,$BG$2860*$AM$2841)</f>
        <v>0</v>
      </c>
      <c r="BI2953">
        <f>IFERROR(BH2953/$AU$2860,0)</f>
        <v>0</v>
      </c>
      <c r="BJ2953">
        <f>BH2953*($F$25+($C$16+$C$17+IF($C$13="single",1.5,3)+3)/12)</f>
        <v>0</v>
      </c>
      <c r="BK2953">
        <f>BJ2953-BA2953</f>
        <v>0</v>
      </c>
      <c r="BL2953" cm="1">
        <f t="array" ref="BL2953">IFERROR(IF(BK2953&lt;0,0,BK2953/($AU$2860-INDEX(hd_off,MATCH(BT2953,hd_mark,0),0)/12)),0)</f>
        <v>0</v>
      </c>
      <c r="BM2953">
        <f>MAX($F$25,$BF$2860)/$Q$2868</f>
        <v>0.29920977011494249</v>
      </c>
      <c r="BN2953">
        <f t="shared" si="1814"/>
        <v>1</v>
      </c>
      <c r="BO2953" cm="1">
        <f t="array" ref="BO2953">IFERROR(INDEX(sheath_ecap_asd,MATCH(BS2953,sheath_mark,0),0)*BN2953,0)</f>
        <v>0</v>
      </c>
      <c r="BP2953" cm="1">
        <f t="array" ref="BP2953">IFERROR(INDEX(sheath_wcap_asd,MATCH(BS2953,sheath_mark,0),0)*BN2953,0)</f>
        <v>0</v>
      </c>
      <c r="BQ2953" cm="1">
        <f t="array" ref="BQ2953">IFERROR(INDEX(hd_cap,MATCH(BT2953,hd_mark,0),0),0)</f>
        <v>0</v>
      </c>
      <c r="BS2953" s="19"/>
      <c r="BT2953" s="19"/>
      <c r="BU2953" s="100"/>
    </row>
    <row r="2954" x14ac:dyDescent="0.25">
      <c r="P2954" s="93"/>
      <c r="AR2954" s="100"/>
      <c r="AS2954" s="93"/>
      <c r="BU2954" s="100"/>
    </row>
    <row r="2955" x14ac:dyDescent="0.25">
      <c r="P2955" s="93"/>
      <c r="Q2955" s="110" t="str">
        <f>$Q$2861</f>
        <v>A.16</v>
      </c>
      <c r="R2955" t="str">
        <f>$Q$2837</f>
        <v>L2</v>
      </c>
      <c r="S2955">
        <f>$E$21</f>
        <v>10.6875</v>
      </c>
      <c r="T2955" cm="1">
        <f t="array" ref="T2955">IFERROR(IF(S2955=0,0,(INDEX($C$33:$C$38,MATCH($W$2861,$B$33:$B$38,0),0)*(S2959+$X$2861)+$T$2861*COUNTIF(S2955:S2958,"&gt;0")*$C$32+$V$2861*$C$31)*$R$2861),0)</f>
        <v>0</v>
      </c>
      <c r="U2955">
        <f>IF(S2955=0,0,-(COUNTIF(S2955:S2958,"&gt;0")*$T$2861*$C$32+$V$2861*$C$31)*$H$27*$R$2861)</f>
        <v>0</v>
      </c>
      <c r="V2955">
        <f>IF(S2955=0,0,$V$2861*$H$26*$R$2861)</f>
        <v>0</v>
      </c>
      <c r="W2955">
        <f>(0.6*T2955+0.7*U2955)*$R$2861/2</f>
        <v>0</v>
      </c>
      <c r="X2955">
        <f>(0.6*T2955+0.6*V2955)*$R$2861/2</f>
        <v>0</v>
      </c>
      <c r="Z2955">
        <f>IF(S2955=0,0,$AD$2861*$AP$2837)</f>
        <v>0</v>
      </c>
      <c r="AA2955">
        <f>IFERROR(Z2955/$R$2861,0)</f>
        <v>0</v>
      </c>
      <c r="AB2955">
        <f>Z2955*($F$21+IF($F$21=0,0,($C$14+$C$15+IF($C$13="single",1.5,3)+3)/12))</f>
        <v>0</v>
      </c>
      <c r="AC2955">
        <f>AB2955-W2955</f>
        <v>0</v>
      </c>
      <c r="AD2955" cm="1">
        <f t="array" ref="AD2955">IFERROR(IF(AC2955&lt;0,0,AC2955/($R$2861-INDEX(hd_off,MATCH(AQ2955,hd_mark,0),0)/12)),0)</f>
        <v>0</v>
      </c>
      <c r="AE2955">
        <f>IF(S2955=0,0,$AD$2861*$AM$2837)</f>
        <v>0</v>
      </c>
      <c r="AF2955">
        <f>IFERROR(AE2955/$R$2861,0)</f>
        <v>0</v>
      </c>
      <c r="AG2955">
        <f>AE2955*($F$21+IF($F$21=0,0,($C$14+$C$15+IF($C$13="single",1.5,3)+3)/12))</f>
        <v>0</v>
      </c>
      <c r="AH2955">
        <f>AG2955-X2955</f>
        <v>0</v>
      </c>
      <c r="AI2955" cm="1">
        <f t="array" ref="AI2955">IFERROR(IF(AH2955&lt;0,0,AH2955/($R$2861-INDEX(hd_off,MATCH(AQ2955,hd_mark,0),0)/12)),0)</f>
        <v>0</v>
      </c>
      <c r="AJ2955">
        <f>MAX($F$21,$Y$2861)/$Q$2868</f>
        <v>0.30172413793103448</v>
      </c>
      <c r="AK2955">
        <f>IF(AJ2955=0,0,IF(AJ2955&gt;2,1.25-0.125*AJ2955,1))</f>
        <v>1</v>
      </c>
      <c r="AL2955" cm="1">
        <f t="array" ref="AL2955">IFERROR(INDEX(sheath_ecap_asd,MATCH(AP2955,sheath_mark,0),0)*AK2955,0)</f>
        <v>0</v>
      </c>
      <c r="AM2955" cm="1">
        <f t="array" ref="AM2955">IFERROR(INDEX(sheath_wcap_asd,MATCH(AP2955,sheath_mark,0),0)*AK2955,0)</f>
        <v>0</v>
      </c>
      <c r="AN2955" cm="1">
        <f t="array" ref="AN2955">IFERROR(INDEX(hd_cap,MATCH(AQ2955,hd_mark,0),0),0)</f>
        <v>0</v>
      </c>
      <c r="AP2955" s="19"/>
      <c r="AQ2955" s="19"/>
      <c r="AR2955" s="100"/>
      <c r="AS2955" s="93"/>
      <c r="AT2955" s="110" t="str">
        <f>$AT$2861</f>
        <v>1.16</v>
      </c>
      <c r="AU2955" t="str">
        <f>$Q$2837</f>
        <v>L2</v>
      </c>
      <c r="AV2955">
        <f>$E$21</f>
        <v>10.6875</v>
      </c>
      <c r="AW2955" cm="1">
        <f t="array" ref="AW2955">IFERROR(IF(AV2955=0,0,(INDEX($C$33:$C$38,MATCH($AZ$2861,$B$33:$B$38,0),0)*(AV2959+$BA$2861)+$AW$2861*COUNTIF(AV2955:AV2958,"&gt;0")*$C$32+$AY$2861*$C$31)*$AU$2861),0)</f>
        <v>0</v>
      </c>
      <c r="AX2955">
        <f>IF(AV2955=0,0,-(COUNTIF(AV2955:AV2958,"&gt;0")*$AW$2861*$C$32+$AY$2861*$C$31)*$H$27*$AU$2861)</f>
        <v>0</v>
      </c>
      <c r="AY2955">
        <f>IF(AV2955=0,0,$AY$2861*$H$26*$AU$2861)</f>
        <v>0</v>
      </c>
      <c r="AZ2955">
        <f>(0.6*AW2955+0.7*AX2955)*$AU$2861/2</f>
        <v>0</v>
      </c>
      <c r="BA2955">
        <f>(0.6*AW2955+0.6*AY2955)*$AU$2861/2</f>
        <v>0</v>
      </c>
      <c r="BC2955">
        <f>IF(AV2955=0,0,$BG$2861*$AP$2837)</f>
        <v>0</v>
      </c>
      <c r="BD2955">
        <f>IFERROR(BC2955/$AU$2861,0)</f>
        <v>0</v>
      </c>
      <c r="BE2955">
        <f>BC2955*($F$21+IF($F$21=0,0,($C$14+$C$15+IF($C$13="single",1.5,3)+3)/12))</f>
        <v>0</v>
      </c>
      <c r="BF2955">
        <f>BE2955-AZ2955</f>
        <v>0</v>
      </c>
      <c r="BG2955" cm="1">
        <f t="array" ref="BG2955">IFERROR(IF(BF2955&lt;0,0,BF2955/($AU$2861-INDEX(hd_off,MATCH(BT2955,hd_mark,0),0)/12)),0)</f>
        <v>0</v>
      </c>
      <c r="BH2955">
        <f>IF(AV2955=0,0,$BG$2861*$AM$2837)</f>
        <v>0</v>
      </c>
      <c r="BI2955">
        <f>IFERROR(BH2955/$AU$2861,0)</f>
        <v>0</v>
      </c>
      <c r="BJ2955">
        <f>BH2955*($F$21+IF($F$21=0,0,($C$14+$C$15+IF($C$13="single",1.5,3)+3)/12))</f>
        <v>0</v>
      </c>
      <c r="BK2955">
        <f>BJ2955-BA2955</f>
        <v>0</v>
      </c>
      <c r="BL2955" cm="1">
        <f t="array" ref="BL2955">IFERROR(IF(BK2955&lt;0,0,BK2955/($AU$2861-INDEX(hd_off,MATCH(BT2955,hd_mark,0),0)/12)),0)</f>
        <v>0</v>
      </c>
      <c r="BM2955">
        <f>MAX($F$21,$BB$2861)/$Q$2868</f>
        <v>0.30172413793103448</v>
      </c>
      <c r="BN2955">
        <f>IF(BM2955=0,0,IF(BM2955&gt;2,1.25-0.125*BM2955,1))</f>
        <v>1</v>
      </c>
      <c r="BO2955" cm="1">
        <f t="array" ref="BO2955">IFERROR(INDEX(sheath_ecap_asd,MATCH(BS2955,sheath_mark,0),0)*BN2955,0)</f>
        <v>0</v>
      </c>
      <c r="BP2955" cm="1">
        <f t="array" ref="BP2955">IFERROR(INDEX(sheath_wcap_asd,MATCH(BS2955,sheath_mark,0),0)*BN2955,0)</f>
        <v>0</v>
      </c>
      <c r="BQ2955" cm="1">
        <f t="array" ref="BQ2955">IFERROR(INDEX(hd_cap,MATCH(BT2955,hd_mark,0),0),0)</f>
        <v>0</v>
      </c>
      <c r="BS2955" s="19"/>
      <c r="BT2955" s="19"/>
      <c r="BU2955" s="100"/>
    </row>
    <row r="2956" x14ac:dyDescent="0.25">
      <c r="P2956" s="93"/>
      <c r="Q2956" s="109"/>
      <c r="R2956" t="str">
        <f>$Q$2838</f>
        <v>L3</v>
      </c>
      <c r="S2956">
        <f>$E$22</f>
        <v>21.375</v>
      </c>
      <c r="T2956" cm="1">
        <f t="array" ref="T2956">IFERROR(IF(S2956=0,0,(INDEX($C$33:$C$38,MATCH($W$2861,$B$33:$B$38,0),0)*(S2959+$X$2861)+$T$2861*COUNTIF(S2956:S2958,"&gt;0")*$C$32+$V$2861*$C$31)*$R$2861),0)</f>
        <v>0</v>
      </c>
      <c r="U2956">
        <f>IF(S2956=0,0,-(COUNTIF(S2956:S2958,"&gt;0")*$T$2861*$C$32+$V$2861*$C$31)*$H$27*$R$2861)</f>
        <v>0</v>
      </c>
      <c r="V2956">
        <f>IF(S2956=0,0,$V$2861*$H$26*$R$2861)</f>
        <v>0</v>
      </c>
      <c r="W2956">
        <f>(0.6*T2956+0.7*U2956)*$R$2861/2</f>
        <v>0</v>
      </c>
      <c r="X2956">
        <f>T2956*$R$2861/2</f>
        <v>0</v>
      </c>
      <c r="Z2956">
        <f>IF(S2956=0,0,$AD$2861*$AP$2838)</f>
        <v>0</v>
      </c>
      <c r="AA2956">
        <f>IFERROR(Z2956/$R$2861,0)</f>
        <v>0</v>
      </c>
      <c r="AB2956">
        <f>Z2956*($F$22+IF($F$22=0,0,($C$14+$C$15+IF($C$13="single",1.5,3)+3)/12))</f>
        <v>0</v>
      </c>
      <c r="AC2956">
        <f>AB2956-W2956</f>
        <v>0</v>
      </c>
      <c r="AD2956" cm="1">
        <f t="array" ref="AD2956">IFERROR(IF(AC2956&lt;0,0,AC2956/($R$2861-INDEX(hd_off,MATCH(AQ2956,hd_mark,0),0)/12)),0)</f>
        <v>0</v>
      </c>
      <c r="AE2956">
        <f>IF(S2956=0,0,$AD$2861*$AM$2838)</f>
        <v>0</v>
      </c>
      <c r="AF2956">
        <f>IFERROR(AE2956/$R$2861,0)</f>
        <v>0</v>
      </c>
      <c r="AG2956">
        <f>AE2956*($F$22+IF($F$22=0,0,($C$14+$C$15+IF($C$13="single",1.5,3)+3)/12))</f>
        <v>0</v>
      </c>
      <c r="AH2956">
        <f>AG2956-X2956</f>
        <v>0</v>
      </c>
      <c r="AI2956" cm="1">
        <f t="array" ref="AI2956">IFERROR(IF(AH2956&lt;0,0,AH2956/($R$2861-INDEX(hd_off,MATCH(AQ2956,hd_mark,0),0)/12)),0)</f>
        <v>0</v>
      </c>
      <c r="AJ2956">
        <f>MAX($F$22,$Z$2861)/$Q$2868</f>
        <v>0.30172413793103448</v>
      </c>
      <c r="AK2956">
        <f t="shared" ref="AK2956:AK2959" si="1815">IF(AJ2956=0,0,IF(AJ2956&gt;2,1.25-0.125*AJ2956,1))</f>
        <v>1</v>
      </c>
      <c r="AL2956" cm="1">
        <f t="array" ref="AL2956">IFERROR(INDEX(sheath_ecap_asd,MATCH(AP2956,sheath_mark,0),0)*AK2956,0)</f>
        <v>0</v>
      </c>
      <c r="AM2956" cm="1">
        <f t="array" ref="AM2956">IFERROR(INDEX(sheath_wcap_asd,MATCH(AP2956,sheath_mark,0),0)*AK2956,0)</f>
        <v>0</v>
      </c>
      <c r="AN2956" cm="1">
        <f t="array" ref="AN2956">IFERROR(INDEX(hd_cap,MATCH(AQ2956,hd_mark,0),0),0)</f>
        <v>0</v>
      </c>
      <c r="AP2956" s="19"/>
      <c r="AQ2956" s="19"/>
      <c r="AR2956" s="100"/>
      <c r="AS2956" s="93"/>
      <c r="AT2956" s="109"/>
      <c r="AU2956" t="str">
        <f>$Q$2838</f>
        <v>L3</v>
      </c>
      <c r="AV2956">
        <f>$E$22</f>
        <v>21.375</v>
      </c>
      <c r="AW2956" cm="1">
        <f t="array" ref="AW2956">IFERROR(IF(AV2956=0,0,(INDEX($C$33:$C$38,MATCH($AZ$2861,$B$33:$B$38,0),0)*(AV2959+$BA$2861)+$AW$2861*COUNTIF(AV2956:AV2958,"&gt;0")*$C$32+$AY$2861*$C$31)*$AU$2861),0)</f>
        <v>0</v>
      </c>
      <c r="AX2956">
        <f>IF(AV2956=0,0,-(COUNTIF(AV2956:AV2958,"&gt;0")*$AW$2861*$C$32+$AY$2861*$C$31)*$H$27*$AU$2861)</f>
        <v>0</v>
      </c>
      <c r="AY2956">
        <f>IF(AV2956=0,0,$AY$2861*$H$26*$AU$2861)</f>
        <v>0</v>
      </c>
      <c r="AZ2956">
        <f>(0.6*AW2956+0.7*AX2956)*$AU$2861/2</f>
        <v>0</v>
      </c>
      <c r="BA2956">
        <f>AW2956*$AU$2861/2</f>
        <v>0</v>
      </c>
      <c r="BC2956">
        <f>IF(AV2956=0,0,$BG$2861*$AP$2838)</f>
        <v>0</v>
      </c>
      <c r="BD2956">
        <f>IFERROR(BC2956/$AU$2861,0)</f>
        <v>0</v>
      </c>
      <c r="BE2956">
        <f>BC2956*($F$22+IF($F$22=0,0,($C$14+$C$15+IF($C$13="single",1.5,3)+3)/12))</f>
        <v>0</v>
      </c>
      <c r="BF2956">
        <f>BE2956-AZ2956</f>
        <v>0</v>
      </c>
      <c r="BG2956" cm="1">
        <f t="array" ref="BG2956">IFERROR(IF(BF2956&lt;0,0,BF2956/($AU$2861-INDEX(hd_off,MATCH(BT2956,hd_mark,0),0)/12)),0)</f>
        <v>0</v>
      </c>
      <c r="BH2956">
        <f>IF(AV2956=0,0,$BG$2861*$AM$2838)</f>
        <v>0</v>
      </c>
      <c r="BI2956">
        <f>IFERROR(BH2956/$AU$2861,0)</f>
        <v>0</v>
      </c>
      <c r="BJ2956">
        <f>BH2956*($F$22+IF($F$22=0,0,($C$14+$C$15+IF($C$13="single",1.5,3)+3)/12))</f>
        <v>0</v>
      </c>
      <c r="BK2956">
        <f>BJ2956-BA2956</f>
        <v>0</v>
      </c>
      <c r="BL2956" cm="1">
        <f t="array" ref="BL2956">IFERROR(IF(BK2956&lt;0,0,BK2956/($AU$2861-INDEX(hd_off,MATCH(BT2956,hd_mark,0),0)/12)),0)</f>
        <v>0</v>
      </c>
      <c r="BM2956">
        <f>MAX($F$22,$BC$2861)/$Q$2868</f>
        <v>0.30172413793103448</v>
      </c>
      <c r="BN2956">
        <f t="shared" ref="BN2956:BN2958" si="1816">IF(BM2956=0,0,IF(BM2956&gt;2,1.25-0.125*BM2956,1))</f>
        <v>1</v>
      </c>
      <c r="BO2956" cm="1">
        <f t="array" ref="BO2956">IFERROR(INDEX(sheath_ecap_asd,MATCH(BS2956,sheath_mark,0),0)*BN2956,0)</f>
        <v>0</v>
      </c>
      <c r="BP2956" cm="1">
        <f t="array" ref="BP2956">IFERROR(INDEX(sheath_wcap_asd,MATCH(BS2956,sheath_mark,0),0)*BN2956,0)</f>
        <v>0</v>
      </c>
      <c r="BQ2956" cm="1">
        <f t="array" ref="BQ2956">IFERROR(INDEX(hd_cap,MATCH(BT2956,hd_mark,0),0),0)</f>
        <v>0</v>
      </c>
      <c r="BS2956" s="19"/>
      <c r="BT2956" s="19"/>
      <c r="BU2956" s="100"/>
    </row>
    <row r="2957" x14ac:dyDescent="0.25">
      <c r="P2957" s="93"/>
      <c r="Q2957" s="109" t="s">
        <v>491</v>
      </c>
      <c r="R2957" t="str">
        <f>$Q$2839</f>
        <v>L4</v>
      </c>
      <c r="S2957">
        <f>$E$23</f>
        <v>0</v>
      </c>
      <c r="T2957" cm="1">
        <f t="array" ref="T2957">IFERROR(IF(S2957=0,0,(INDEX($C$33:$C$38,MATCH($W$2861,$B$33:$B$38,0),0)*(S2959+$X$2861)+$T$2861*COUNTIF(S2957:S2958,"&gt;0")*$C$32+$V$2861*$C$31)*$R$2861),0)</f>
        <v>0</v>
      </c>
      <c r="U2957">
        <f>IF(S2957=0,0,-(COUNTIF(S2957:S2958,"&gt;0")*$T$2861*$C$32+$V$2861*$C$31)*$H$27*$R$2861)</f>
        <v>0</v>
      </c>
      <c r="V2957">
        <f>IF(S2957=0,0,$V$2861*$H$26*$R$2861)</f>
        <v>0</v>
      </c>
      <c r="W2957">
        <f>(0.6*T2957+0.7*U2957)*$R$2861/2</f>
        <v>0</v>
      </c>
      <c r="X2957">
        <f>T2957*$R$2861/2</f>
        <v>0</v>
      </c>
      <c r="Z2957">
        <f>IF(S2957=0,0,$AD$2861*$AP$2839)</f>
        <v>0</v>
      </c>
      <c r="AA2957">
        <f>IFERROR(Z2957/$R$2861,0)</f>
        <v>0</v>
      </c>
      <c r="AB2957">
        <f>Z2957*($F$23+IF($F$23=0,0,($C$14+$C$15+IF($C$13="single",1.5,3)+3)/12))</f>
        <v>0</v>
      </c>
      <c r="AC2957">
        <f>AB2957-W2957</f>
        <v>0</v>
      </c>
      <c r="AD2957" cm="1">
        <f t="array" ref="AD2957">IFERROR(IF(AC2957&lt;0,0,AC2957/($R$2861-INDEX(hd_off,MATCH(AQ2957,hd_mark,0),0)/12)),0)</f>
        <v>0</v>
      </c>
      <c r="AE2957">
        <f>IF(S2957=0,0,$AD$2861*$AM$2839)</f>
        <v>0</v>
      </c>
      <c r="AF2957">
        <f>IFERROR(AE2957/$R$2861,0)</f>
        <v>0</v>
      </c>
      <c r="AG2957">
        <f>AE2957*($F$23+IF($F$23=0,0,($C$14+$C$15+IF($C$13="single",1.5,3)+3)/12))</f>
        <v>0</v>
      </c>
      <c r="AH2957">
        <f>AG2957-X2957</f>
        <v>0</v>
      </c>
      <c r="AI2957" cm="1">
        <f t="array" ref="AI2957">IFERROR(IF(AH2957&lt;0,0,AH2957/($R$2861-INDEX(hd_off,MATCH(AQ2957,hd_mark,0),0)/12)),0)</f>
        <v>0</v>
      </c>
      <c r="AJ2957">
        <f>MAX($F$23,$AA$2861)/$Q$2868</f>
        <v>0</v>
      </c>
      <c r="AK2957">
        <f t="shared" si="1815"/>
        <v>0</v>
      </c>
      <c r="AL2957" cm="1">
        <f t="array" ref="AL2957">IFERROR(INDEX(sheath_ecap_asd,MATCH(AP2957,sheath_mark,0),0)*AK2957,0)</f>
        <v>0</v>
      </c>
      <c r="AM2957" cm="1">
        <f t="array" ref="AM2957">IFERROR(INDEX(sheath_wcap_asd,MATCH(AP2957,sheath_mark,0),0)*AK2957,0)</f>
        <v>0</v>
      </c>
      <c r="AN2957" cm="1">
        <f t="array" ref="AN2957">IFERROR(INDEX(hd_cap,MATCH(AQ2957,hd_mark,0),0),0)</f>
        <v>0</v>
      </c>
      <c r="AP2957" s="19"/>
      <c r="AQ2957" s="19"/>
      <c r="AR2957" s="100"/>
      <c r="AS2957" s="93"/>
      <c r="AT2957" s="109" t="s">
        <v>491</v>
      </c>
      <c r="AU2957" t="str">
        <f>$Q$2839</f>
        <v>L4</v>
      </c>
      <c r="AV2957">
        <f>$E$23</f>
        <v>0</v>
      </c>
      <c r="AW2957" cm="1">
        <f t="array" ref="AW2957">IFERROR(IF(AV2957=0,0,(INDEX($C$33:$C$38,MATCH($AZ$2861,$B$33:$B$38,0),0)*(AV2959+$BA$2861)+$AW$2861*COUNTIF(AV2957:AV2958,"&gt;0")*$C$32+$AY$2861*$C$31)*$AU$2861),0)</f>
        <v>0</v>
      </c>
      <c r="AX2957">
        <f>IF(AV2957=0,0,-(COUNTIF(AV2957:AV2958,"&gt;0")*$AW$2861*$C$32+$AY$2861*$C$31)*$H$27*$AU$2861)</f>
        <v>0</v>
      </c>
      <c r="AY2957">
        <f>IF(AV2957=0,0,$AY$2861*$H$26*$AU$2861)</f>
        <v>0</v>
      </c>
      <c r="AZ2957">
        <f>(0.6*AW2957+0.7*AX2957)*$AU$2861/2</f>
        <v>0</v>
      </c>
      <c r="BA2957">
        <f>AW2957*$AU$2861/2</f>
        <v>0</v>
      </c>
      <c r="BC2957">
        <f>IF(AV2957=0,0,$BG$2861*$AP$2839)</f>
        <v>0</v>
      </c>
      <c r="BD2957">
        <f>IFERROR(BC2957/$AU$2861,0)</f>
        <v>0</v>
      </c>
      <c r="BE2957">
        <f>BC2957*($F$23+IF($F$23=0,0,($C$14+$C$15+IF($C$13="single",1.5,3)+3)/12))</f>
        <v>0</v>
      </c>
      <c r="BF2957">
        <f>BE2957-AZ2957</f>
        <v>0</v>
      </c>
      <c r="BG2957" cm="1">
        <f t="array" ref="BG2957">IFERROR(IF(BF2957&lt;0,0,BF2957/($AU$2861-INDEX(hd_off,MATCH(BT2957,hd_mark,0),0)/12)),0)</f>
        <v>0</v>
      </c>
      <c r="BH2957">
        <f>IF(AV2957=0,0,$BG$2861*$AM$2839)</f>
        <v>0</v>
      </c>
      <c r="BI2957">
        <f>IFERROR(BH2957/$AU$2861,0)</f>
        <v>0</v>
      </c>
      <c r="BJ2957">
        <f>BH2957*($F$23+IF($F$23=0,0,($C$14+$C$15+IF($C$13="single",1.5,3)+3)/12))</f>
        <v>0</v>
      </c>
      <c r="BK2957">
        <f>BJ2957-BA2957</f>
        <v>0</v>
      </c>
      <c r="BL2957" cm="1">
        <f t="array" ref="BL2957">IFERROR(IF(BK2957&lt;0,0,BK2957/($AU$2861-INDEX(hd_off,MATCH(BT2957,hd_mark,0),0)/12)),0)</f>
        <v>0</v>
      </c>
      <c r="BM2957">
        <f>MAX($F$23,$BD$2861)/$Q$2868</f>
        <v>0</v>
      </c>
      <c r="BN2957">
        <f t="shared" si="1816"/>
        <v>0</v>
      </c>
      <c r="BO2957" cm="1">
        <f t="array" ref="BO2957">IFERROR(INDEX(sheath_ecap_asd,MATCH(BS2957,sheath_mark,0),0)*BN2957,0)</f>
        <v>0</v>
      </c>
      <c r="BP2957" cm="1">
        <f t="array" ref="BP2957">IFERROR(INDEX(sheath_wcap_asd,MATCH(BS2957,sheath_mark,0),0)*BN2957,0)</f>
        <v>0</v>
      </c>
      <c r="BQ2957" cm="1">
        <f t="array" ref="BQ2957">IFERROR(INDEX(hd_cap,MATCH(BT2957,hd_mark,0),0),0)</f>
        <v>0</v>
      </c>
      <c r="BS2957" s="19"/>
      <c r="BT2957" s="19"/>
      <c r="BU2957" s="100"/>
    </row>
    <row r="2958" x14ac:dyDescent="0.25">
      <c r="P2958" s="93"/>
      <c r="Q2958" s="111">
        <f>$R$2861</f>
        <v>0</v>
      </c>
      <c r="R2958" t="str">
        <f>$Q$2840</f>
        <v>L5</v>
      </c>
      <c r="S2958">
        <f>$E$24</f>
        <v>0</v>
      </c>
      <c r="T2958" cm="1">
        <f t="array" ref="T2958">IFERROR(IF(S2958=0,0,(INDEX($C$33:$C$38,MATCH($W$2861,$B$33:$B$38,0),0)*(S2959+$X$2861)+$T$2861*COUNTIF(S2958:S2958,"&gt;0")*$C$32+$V$2861*$C$31)*$R$2861),0)</f>
        <v>0</v>
      </c>
      <c r="U2958">
        <f>IF(S2958=0,0,-(COUNTIF(S2958:S2958,"&gt;0")*$T$2861*$C$32+$V$2861*$C$31)*$H$27*$R$2861)</f>
        <v>0</v>
      </c>
      <c r="V2958">
        <f>IF(S2958=0,0,$V$2861*$H$26*$R$2861)</f>
        <v>0</v>
      </c>
      <c r="W2958">
        <f>(0.6*T2958+0.7*U2958)*$R$2861/2</f>
        <v>0</v>
      </c>
      <c r="X2958">
        <f>T2958*$R$2861/2</f>
        <v>0</v>
      </c>
      <c r="Z2958">
        <f>IF(S2958=0,0,$AD$2861*$AP$2840)</f>
        <v>0</v>
      </c>
      <c r="AA2958">
        <f>IFERROR(Z2958/$R$2861,0)</f>
        <v>0</v>
      </c>
      <c r="AB2958">
        <f>Z2958*($F$24+IF($F$24=0,0,($C$14+$C$15+IF($C$13="single",1.5,3)+3)/12))</f>
        <v>0</v>
      </c>
      <c r="AC2958">
        <f>AB2958-W2958</f>
        <v>0</v>
      </c>
      <c r="AD2958" cm="1">
        <f t="array" ref="AD2958">IFERROR(IF(AC2958&lt;0,0,AC2958/($R$2861-INDEX(hd_off,MATCH(AQ2958,hd_mark,0),0)/12)),0)</f>
        <v>0</v>
      </c>
      <c r="AE2958">
        <f>IF(S2958=0,0,$AD$2861*$AM$2840)</f>
        <v>0</v>
      </c>
      <c r="AF2958">
        <f>IFERROR(AE2958/$R$2861,0)</f>
        <v>0</v>
      </c>
      <c r="AG2958">
        <f>AE2958*($F$24+IF($F$24=0,0,($C$14+$C$15+IF($C$13="single",1.5,3)+3)/12))</f>
        <v>0</v>
      </c>
      <c r="AH2958">
        <f>AG2958-X2958</f>
        <v>0</v>
      </c>
      <c r="AI2958" cm="1">
        <f t="array" ref="AI2958">IFERROR(IF(AH2958&lt;0,0,AH2958/($R$2861-INDEX(hd_off,MATCH(AQ2958,hd_mark,0),0)/12)),0)</f>
        <v>0</v>
      </c>
      <c r="AJ2958">
        <f>MAX($F$24,$AB$2861)/$Q$2868</f>
        <v>0</v>
      </c>
      <c r="AK2958">
        <f t="shared" si="1815"/>
        <v>0</v>
      </c>
      <c r="AL2958" cm="1">
        <f t="array" ref="AL2958">IFERROR(INDEX(sheath_ecap_asd,MATCH(AP2958,sheath_mark,0),0)*AK2958,0)</f>
        <v>0</v>
      </c>
      <c r="AM2958" cm="1">
        <f t="array" ref="AM2958">IFERROR(INDEX(sheath_wcap_asd,MATCH(AP2958,sheath_mark,0),0)*AK2958,0)</f>
        <v>0</v>
      </c>
      <c r="AN2958" cm="1">
        <f t="array" ref="AN2958">IFERROR(INDEX(hd_cap,MATCH(AQ2958,hd_mark,0),0),0)</f>
        <v>0</v>
      </c>
      <c r="AP2958" s="19"/>
      <c r="AQ2958" s="19"/>
      <c r="AR2958" s="100"/>
      <c r="AS2958" s="93"/>
      <c r="AT2958" s="111">
        <f>$R$2861</f>
        <v>0</v>
      </c>
      <c r="AU2958" t="str">
        <f>$Q$2840</f>
        <v>L5</v>
      </c>
      <c r="AV2958">
        <f>$E$24</f>
        <v>0</v>
      </c>
      <c r="AW2958" cm="1">
        <f t="array" ref="AW2958">IFERROR(IF(AV2958=0,0,(INDEX($C$33:$C$38,MATCH($AZ$2861,$B$33:$B$38,0),0)*(AV2959+$BA$2861)+$AW$2861*COUNTIF(AV2958:AV2958,"&gt;0")*$C$32+$AY$2861*$C$31)*$AU$2861),0)</f>
        <v>0</v>
      </c>
      <c r="AX2958">
        <f>IF(AV2958=0,0,-(COUNTIF(AV2958:AV2958,"&gt;0")*$AW$2861*$C$32+$AY$2861*$C$31)*$H$27*$AU$2861)</f>
        <v>0</v>
      </c>
      <c r="AY2958">
        <f>IF(AV2958=0,0,$AY$2861*$H$26*$AU$2861)</f>
        <v>0</v>
      </c>
      <c r="AZ2958">
        <f>(0.6*AW2958+0.7*AX2958)*$AU$2861/2</f>
        <v>0</v>
      </c>
      <c r="BA2958">
        <f>AW2958*$AU$2861/2</f>
        <v>0</v>
      </c>
      <c r="BC2958">
        <f>IF(AV2958=0,0,$BG$2861*$AP$2840)</f>
        <v>0</v>
      </c>
      <c r="BD2958">
        <f>IFERROR(BC2958/$AU$2861,0)</f>
        <v>0</v>
      </c>
      <c r="BE2958">
        <f>BC2958*($F$24+IF($F$24=0,0,($C$14+$C$15+IF($C$13="single",1.5,3)+3)/12))</f>
        <v>0</v>
      </c>
      <c r="BF2958">
        <f>BE2958-AZ2958</f>
        <v>0</v>
      </c>
      <c r="BG2958" cm="1">
        <f t="array" ref="BG2958">IFERROR(IF(BF2958&lt;0,0,BF2958/($AU$2861-INDEX(hd_off,MATCH(BT2958,hd_mark,0),0)/12)),0)</f>
        <v>0</v>
      </c>
      <c r="BH2958">
        <f>IF(AV2958=0,0,$BG$2861*$AM$2840)</f>
        <v>0</v>
      </c>
      <c r="BI2958">
        <f>IFERROR(BH2958/$AU$2861,0)</f>
        <v>0</v>
      </c>
      <c r="BJ2958">
        <f>BH2958*($F$24+IF($F$24=0,0,($C$14+$C$15+IF($C$13="single",1.5,3)+3)/12))</f>
        <v>0</v>
      </c>
      <c r="BK2958">
        <f>BJ2958-BA2958</f>
        <v>0</v>
      </c>
      <c r="BL2958" cm="1">
        <f t="array" ref="BL2958">IFERROR(IF(BK2958&lt;0,0,BK2958/($AU$2861-INDEX(hd_off,MATCH(BT2958,hd_mark,0),0)/12)),0)</f>
        <v>0</v>
      </c>
      <c r="BM2958">
        <f>MAX($F$24,$BE$2861)/$Q$2868</f>
        <v>0</v>
      </c>
      <c r="BN2958">
        <f t="shared" si="1816"/>
        <v>0</v>
      </c>
      <c r="BO2958" cm="1">
        <f t="array" ref="BO2958">IFERROR(INDEX(sheath_ecap_asd,MATCH(BS2958,sheath_mark,0),0)*BN2958,0)</f>
        <v>0</v>
      </c>
      <c r="BP2958" cm="1">
        <f t="array" ref="BP2958">IFERROR(INDEX(sheath_wcap_asd,MATCH(BS2958,sheath_mark,0),0)*BN2958,0)</f>
        <v>0</v>
      </c>
      <c r="BQ2958" cm="1">
        <f t="array" ref="BQ2958">IFERROR(INDEX(hd_cap,MATCH(BT2958,hd_mark,0),0),0)</f>
        <v>0</v>
      </c>
      <c r="BS2958" s="19"/>
      <c r="BT2958" s="19"/>
      <c r="BU2958" s="100"/>
    </row>
    <row r="2959" x14ac:dyDescent="0.25">
      <c r="P2959" s="93"/>
      <c r="Q2959" s="109"/>
      <c r="R2959" t="str">
        <f>$Q$2841</f>
        <v>Roof</v>
      </c>
      <c r="S2959">
        <f>$E$25</f>
        <v>33.171875</v>
      </c>
      <c r="T2959" cm="1">
        <f t="array" ref="T2959">IFERROR(IF(S2959=0,0,(INDEX($C$33:$C$38,MATCH($W$2861,$B$33:$B$38,0),0)*(S2959+$X$2861)+$V$2861*$C$31)*$R$2861),0)</f>
        <v>0</v>
      </c>
      <c r="U2959">
        <f>IF(S2959=0,0,-$V$2861*$C$31*$H$27*$R$2861)</f>
        <v>0</v>
      </c>
      <c r="V2959">
        <f>IF(S2959=0,0,$V$2861*$H$26*$R$2861)</f>
        <v>0</v>
      </c>
      <c r="W2959">
        <f>(0.6*T2959+0.7*U2959)*$R$2861/2</f>
        <v>0</v>
      </c>
      <c r="X2959">
        <f>T2959*$R$2861/2</f>
        <v>0</v>
      </c>
      <c r="Z2959">
        <f>IF(S2959=0,0,$AD$2861*$AP$2841)</f>
        <v>0</v>
      </c>
      <c r="AA2959">
        <f>IFERROR(Z2959/$R$2861,0)</f>
        <v>0</v>
      </c>
      <c r="AB2959">
        <f>Z2959*($F$25+($C$16+$C$17+IF($C$13="single",1.5,3)+3)/12)</f>
        <v>0</v>
      </c>
      <c r="AC2959">
        <f>AB2959-W2959</f>
        <v>0</v>
      </c>
      <c r="AD2959" cm="1">
        <f t="array" ref="AD2959">IFERROR(IF(AC2959&lt;0,0,AC2959/($R$2861-INDEX(hd_off,MATCH(AQ2959,hd_mark,0),0)/12)),0)</f>
        <v>0</v>
      </c>
      <c r="AE2959">
        <f>IF(S2959=0,0,$AD$2861*$AM$2841)</f>
        <v>0</v>
      </c>
      <c r="AF2959">
        <f>IFERROR(AE2959/$R$2861,0)</f>
        <v>0</v>
      </c>
      <c r="AG2959">
        <f>AE2959*($F$25+($C$16+$C$17+IF($C$13="single",1.5,3)+3)/12)</f>
        <v>0</v>
      </c>
      <c r="AH2959">
        <f>AG2959-X2959</f>
        <v>0</v>
      </c>
      <c r="AI2959" cm="1">
        <f t="array" ref="AI2959">IFERROR(IF(AH2959&lt;0,0,AH2959/($R$2861-INDEX(hd_off,MATCH(AQ2959,hd_mark,0),0)/12)),0)</f>
        <v>0</v>
      </c>
      <c r="AJ2959">
        <f>MAX($F$25,$AC$2861)/$Q$2868</f>
        <v>0.29920977011494249</v>
      </c>
      <c r="AK2959">
        <f t="shared" si="1815"/>
        <v>1</v>
      </c>
      <c r="AL2959" cm="1">
        <f t="array" ref="AL2959">IFERROR(INDEX(sheath_ecap_asd,MATCH(AP2959,sheath_mark,0),0)*AK2959,0)</f>
        <v>0</v>
      </c>
      <c r="AM2959" cm="1">
        <f t="array" ref="AM2959">IFERROR(INDEX(sheath_wcap_asd,MATCH(AP2959,sheath_mark,0),0)*AK2959,0)</f>
        <v>0</v>
      </c>
      <c r="AN2959" cm="1">
        <f t="array" ref="AN2959">IFERROR(INDEX(hd_cap,MATCH(AQ2959,hd_mark,0),0),0)</f>
        <v>0</v>
      </c>
      <c r="AP2959" s="19"/>
      <c r="AQ2959" s="19"/>
      <c r="AR2959" s="100"/>
      <c r="AS2959" s="93"/>
      <c r="BU2959" s="100"/>
    </row>
    <row r="2960" x14ac:dyDescent="0.25">
      <c r="B2960" s="1" t="s">
        <v>569</v>
      </c>
      <c r="C2960">
        <f>E16+H16*12</f>
        <v>32.4375</v>
      </c>
      <c r="E2960" s="19">
        <v>24</v>
      </c>
      <c r="F2960" s="19">
        <f>32+5.625/12</f>
        <v>32.46875</v>
      </c>
      <c r="G2960" s="19">
        <f>33+10.5/12</f>
        <v>33.875</v>
      </c>
      <c r="H2960">
        <f>(G16-F16)/2</f>
        <v>0.703125</v>
      </c>
      <c r="P2960" s="93"/>
      <c r="Q2960" t="s">
        <v>524</v>
      </c>
      <c r="R2960" s="2" t="str">
        <f>$B$65</f>
        <v>A</v>
      </c>
      <c r="AR2960" s="100"/>
      <c r="AS2960" s="93"/>
      <c r="AT2960" t="s">
        <v>524</v>
      </c>
      <c r="AU2960" s="2">
        <f>H65</f>
        <v>1</v>
      </c>
      <c r="BU2960" s="100"/>
    </row>
    <row r="2961" x14ac:dyDescent="0.25">
      <c r="B2961" s="1" t="s">
        <v>500</v>
      </c>
      <c r="C2961" s="19">
        <v>0.5</v>
      </c>
      <c r="P2961" s="93"/>
      <c r="AR2961" s="100"/>
      <c r="AS2961" s="93"/>
      <c r="BU2961" s="100"/>
    </row>
    <row r="2962" x14ac:dyDescent="0.25">
      <c r="P2962" s="93"/>
      <c r="R2962" t="s">
        <v>482</v>
      </c>
      <c r="Z2962" t="s">
        <v>483</v>
      </c>
      <c r="AH2962" t="s">
        <v>502</v>
      </c>
      <c r="AJ2962" t="s">
        <v>454</v>
      </c>
      <c r="AR2962" s="100"/>
      <c r="AS2962" s="93"/>
      <c r="AU2962" t="s">
        <v>482</v>
      </c>
      <c r="BC2962" t="s">
        <v>483</v>
      </c>
      <c r="BK2962" t="s">
        <v>502</v>
      </c>
      <c r="BM2962" t="s">
        <v>454</v>
      </c>
      <c r="BU2962" s="100"/>
    </row>
    <row r="2963" x14ac:dyDescent="0.25">
      <c r="B2963" t="s">
        <v>448</v>
      </c>
      <c r="C2963" t="s">
        <v>272</v>
      </c>
      <c r="D2963" t="s">
        <v>193</v>
      </c>
      <c r="E2963" s="70" t="s">
        <v>454</v>
      </c>
      <c r="F2963" s="71" t="s">
        <v>501</v>
      </c>
      <c r="H2963" t="s">
        <v>475</v>
      </c>
      <c r="J2963" t="s">
        <v>476</v>
      </c>
      <c r="P2963" s="93"/>
      <c r="R2963" t="s">
        <v>480</v>
      </c>
      <c r="S2963" t="s">
        <v>481</v>
      </c>
      <c r="T2963" t="s">
        <v>486</v>
      </c>
      <c r="U2963" t="s">
        <v>487</v>
      </c>
      <c r="V2963" t="s">
        <v>484</v>
      </c>
      <c r="W2963" t="s">
        <v>485</v>
      </c>
      <c r="X2963" t="s">
        <v>488</v>
      </c>
      <c r="Y2963" t="s">
        <v>489</v>
      </c>
      <c r="Z2963" t="s">
        <v>480</v>
      </c>
      <c r="AA2963" t="s">
        <v>481</v>
      </c>
      <c r="AB2963" t="s">
        <v>486</v>
      </c>
      <c r="AC2963" t="s">
        <v>487</v>
      </c>
      <c r="AD2963" t="s">
        <v>484</v>
      </c>
      <c r="AE2963" t="s">
        <v>485</v>
      </c>
      <c r="AF2963" t="s">
        <v>488</v>
      </c>
      <c r="AG2963" t="s">
        <v>489</v>
      </c>
      <c r="AH2963" t="s">
        <v>312</v>
      </c>
      <c r="AI2963" t="s">
        <v>258</v>
      </c>
      <c r="AJ2963" t="s">
        <v>486</v>
      </c>
      <c r="AK2963" t="s">
        <v>490</v>
      </c>
      <c r="AL2963" t="s">
        <v>487</v>
      </c>
      <c r="AM2963" t="s">
        <v>490</v>
      </c>
      <c r="AN2963" t="s">
        <v>488</v>
      </c>
      <c r="AO2963" t="s">
        <v>490</v>
      </c>
      <c r="AP2963" t="s">
        <v>489</v>
      </c>
      <c r="AQ2963" t="s">
        <v>490</v>
      </c>
      <c r="AR2963" s="100"/>
      <c r="AS2963" s="93"/>
      <c r="AU2963" t="s">
        <v>480</v>
      </c>
      <c r="AV2963" t="s">
        <v>481</v>
      </c>
      <c r="AW2963" t="s">
        <v>486</v>
      </c>
      <c r="AX2963" t="s">
        <v>487</v>
      </c>
      <c r="AY2963" t="s">
        <v>484</v>
      </c>
      <c r="AZ2963" t="s">
        <v>485</v>
      </c>
      <c r="BA2963" t="s">
        <v>488</v>
      </c>
      <c r="BB2963" t="s">
        <v>489</v>
      </c>
      <c r="BC2963" t="s">
        <v>480</v>
      </c>
      <c r="BD2963" t="s">
        <v>481</v>
      </c>
      <c r="BE2963" t="s">
        <v>486</v>
      </c>
      <c r="BF2963" t="s">
        <v>487</v>
      </c>
      <c r="BG2963" t="s">
        <v>484</v>
      </c>
      <c r="BH2963" t="s">
        <v>485</v>
      </c>
      <c r="BI2963" t="s">
        <v>488</v>
      </c>
      <c r="BJ2963" t="s">
        <v>489</v>
      </c>
      <c r="BK2963" t="s">
        <v>312</v>
      </c>
      <c r="BL2963" t="s">
        <v>258</v>
      </c>
      <c r="BM2963" t="s">
        <v>486</v>
      </c>
      <c r="BN2963" t="s">
        <v>490</v>
      </c>
      <c r="BO2963" t="s">
        <v>487</v>
      </c>
      <c r="BP2963" t="s">
        <v>490</v>
      </c>
      <c r="BQ2963" t="s">
        <v>488</v>
      </c>
      <c r="BR2963" t="s">
        <v>490</v>
      </c>
      <c r="BS2963" t="s">
        <v>489</v>
      </c>
      <c r="BT2963" t="s">
        <v>490</v>
      </c>
      <c r="BU2963" s="100"/>
    </row>
    <row r="2964" x14ac:dyDescent="0.25">
      <c r="B2964" t="s">
        <v>449</v>
      </c>
      <c r="C2964" s="19">
        <v>0</v>
      </c>
      <c r="D2964" s="19">
        <v>0</v>
      </c>
      <c r="E2964" s="66">
        <f>C20+D20/12</f>
        <v>0</v>
      </c>
      <c r="F2964" s="67">
        <v>0</v>
      </c>
      <c r="H2964" s="19">
        <v>0</v>
      </c>
      <c r="I2964" s="64" t="s">
        <v>196</v>
      </c>
      <c r="J2964" s="19">
        <v>0</v>
      </c>
      <c r="K2964" s="19">
        <v>0</v>
      </c>
      <c r="L2964" s="19">
        <v>0</v>
      </c>
      <c r="M2964" s="19">
        <v>0</v>
      </c>
      <c r="P2964" s="93"/>
      <c r="Q2964" t="s">
        <v>449</v>
      </c>
      <c r="R2964" s="19">
        <f>$H$20</f>
        <v>0</v>
      </c>
      <c r="S2964">
        <f>R2964*0.6</f>
        <v>0</v>
      </c>
      <c r="T2964">
        <f>$C$65/2*R2964</f>
        <v>0</v>
      </c>
      <c r="U2964">
        <f>T2964*0.6</f>
        <v>0</v>
      </c>
      <c r="V2964" s="19">
        <v>0</v>
      </c>
      <c r="W2964">
        <f>V2964*0.7</f>
        <v>0</v>
      </c>
      <c r="X2964">
        <f>$C$65/2*V2964</f>
        <v>0</v>
      </c>
      <c r="Y2964">
        <f>X2964*0.7</f>
        <v>0</v>
      </c>
      <c r="Z2964" s="19">
        <f>$H$20</f>
        <v>0</v>
      </c>
      <c r="AA2964">
        <f>Z2964*0.6</f>
        <v>0</v>
      </c>
      <c r="AB2964">
        <f>$D$65/2*Z2964</f>
        <v>0</v>
      </c>
      <c r="AC2964">
        <f t="shared" ref="AC2964:AC2970" si="1817">0.6*AB2964</f>
        <v>0</v>
      </c>
      <c r="AD2964" s="19">
        <v>0</v>
      </c>
      <c r="AE2964">
        <f>AD2964*0.7</f>
        <v>0</v>
      </c>
      <c r="AF2964">
        <f>$D$65/2*AD2964</f>
        <v>0</v>
      </c>
      <c r="AG2964">
        <f>AF2964*0.7</f>
        <v>0</v>
      </c>
      <c r="AH2964" s="19">
        <v>0</v>
      </c>
      <c r="AI2964" s="19">
        <v>0</v>
      </c>
      <c r="AJ2964" s="17">
        <f>T2964+AB2964+AH2964</f>
        <v>0</v>
      </c>
      <c r="AK2964" s="17">
        <f>AK2965+AJ2964</f>
        <v>13166</v>
      </c>
      <c r="AL2964" s="17">
        <f>AJ2964*0.6</f>
        <v>0</v>
      </c>
      <c r="AM2964" s="17">
        <f>AM2965+AL2964</f>
        <v>7899.5999999999995</v>
      </c>
      <c r="AN2964" s="17">
        <f>X2964+AF2964+AI2964</f>
        <v>0</v>
      </c>
      <c r="AO2964" s="17">
        <f t="shared" ref="AO2964:AQ2967" si="1818">AN2964+AO2965</f>
        <v>1302.0999999999999</v>
      </c>
      <c r="AP2964" s="17">
        <f>AN2964*0.7</f>
        <v>0</v>
      </c>
      <c r="AQ2964" s="17">
        <f>AP2964+AQ2965</f>
        <v>911.46999999999991</v>
      </c>
      <c r="AR2964" s="100"/>
      <c r="AS2964" s="93"/>
      <c r="AT2964" t="s">
        <v>449</v>
      </c>
      <c r="AU2964" s="19">
        <f>$H$20</f>
        <v>0</v>
      </c>
      <c r="AV2964">
        <f>AU2964*0.6</f>
        <v>0</v>
      </c>
      <c r="AW2964">
        <f t="shared" ref="AW2964:AW2970" si="1819">$I$65/2*AU2964</f>
        <v>0</v>
      </c>
      <c r="AX2964">
        <f>AW2964*0.6</f>
        <v>0</v>
      </c>
      <c r="AY2964" s="19">
        <v>0</v>
      </c>
      <c r="AZ2964">
        <f>AY2964*0.7</f>
        <v>0</v>
      </c>
      <c r="BA2964">
        <f t="shared" ref="BA2964:BA2969" si="1820">$I$65/2*AY2964</f>
        <v>0</v>
      </c>
      <c r="BB2964">
        <f>BA2964*0.7</f>
        <v>0</v>
      </c>
      <c r="BC2964" s="19">
        <f>$H$20</f>
        <v>0</v>
      </c>
      <c r="BD2964">
        <f>BC2964*0.6</f>
        <v>0</v>
      </c>
      <c r="BE2964">
        <f t="shared" ref="BE2964:BE2970" si="1821">$J$65/2*BC2964</f>
        <v>0</v>
      </c>
      <c r="BF2964">
        <f t="shared" ref="BF2964:BF2970" si="1822">0.6*BE2964</f>
        <v>0</v>
      </c>
      <c r="BG2964" s="19">
        <v>0</v>
      </c>
      <c r="BH2964">
        <f>BG2964*0.7</f>
        <v>0</v>
      </c>
      <c r="BI2964">
        <f t="shared" ref="BI2964:BI2969" si="1823">$J$65/2*BG2964</f>
        <v>0</v>
      </c>
      <c r="BJ2964">
        <f>BI2964*0.7</f>
        <v>0</v>
      </c>
      <c r="BK2964" s="19">
        <v>0</v>
      </c>
      <c r="BL2964" s="19">
        <v>0</v>
      </c>
      <c r="BM2964" s="17">
        <f>AW2964+BE2964+BK2964</f>
        <v>0</v>
      </c>
      <c r="BN2964" s="17">
        <f>BN2965+BM2964</f>
        <v>12258</v>
      </c>
      <c r="BO2964" s="17">
        <f>BM2964*0.6</f>
        <v>0</v>
      </c>
      <c r="BP2964" s="17">
        <f>BP2965+BO2964</f>
        <v>7354.7999999999993</v>
      </c>
      <c r="BQ2964" s="17">
        <f>BA2964+BI2964+BL2964</f>
        <v>0</v>
      </c>
      <c r="BR2964" s="17">
        <f t="shared" ref="BR2964:BR2967" si="1824">BQ2964+BR2965</f>
        <v>1212.3</v>
      </c>
      <c r="BS2964" s="17">
        <f>BQ2964*0.7</f>
        <v>0</v>
      </c>
      <c r="BT2964" s="17">
        <f>BS2964+BT2965</f>
        <v>848.6099999999999</v>
      </c>
      <c r="BU2964" s="100"/>
    </row>
    <row r="2965" x14ac:dyDescent="0.25">
      <c r="B2965" t="s">
        <v>450</v>
      </c>
      <c r="C2965" s="19">
        <v>10</v>
      </c>
      <c r="D2965" s="19">
        <v>8.25</v>
      </c>
      <c r="E2965" s="66">
        <f>C21+D21/12</f>
        <v>10.6875</v>
      </c>
      <c r="F2965" s="67">
        <f>IF(E21&gt;0,E21-(C15+C14+2*1.5+IF(C13="single",1.5,3))/12-_xlfn.XLOOKUP(E21,E20,E20,,-1),0)</f>
        <v>8.75</v>
      </c>
      <c r="H2965" s="19">
        <v>236</v>
      </c>
      <c r="I2965" s="64" t="s">
        <v>196</v>
      </c>
      <c r="J2965" s="19">
        <v>33.799999999999997</v>
      </c>
      <c r="K2965" s="19">
        <v>65.599999999999994</v>
      </c>
      <c r="L2965" s="19">
        <v>19.3</v>
      </c>
      <c r="M2965" s="19">
        <v>119.6</v>
      </c>
      <c r="P2965" s="93"/>
      <c r="Q2965" t="s">
        <v>450</v>
      </c>
      <c r="R2965" s="19">
        <f>$H$21</f>
        <v>236</v>
      </c>
      <c r="S2965">
        <f t="shared" ref="S2965:S2970" si="1825">R2965*0.6</f>
        <v>141.6</v>
      </c>
      <c r="T2965">
        <f t="shared" ref="T2965:T2969" si="1826">$C$65/2*R2965</f>
        <v>0</v>
      </c>
      <c r="U2965">
        <f>T2965*0.6</f>
        <v>0</v>
      </c>
      <c r="V2965" s="19">
        <v>33.799999999999997</v>
      </c>
      <c r="W2965">
        <f t="shared" ref="W2965:W2969" si="1827">V2965*0.7</f>
        <v>23.659999999999997</v>
      </c>
      <c r="X2965">
        <f t="shared" ref="X2965:X2969" si="1828">$C$65/2*V2965</f>
        <v>0</v>
      </c>
      <c r="Y2965">
        <f t="shared" ref="Y2965:Y2969" si="1829">X2965*0.7</f>
        <v>0</v>
      </c>
      <c r="Z2965" s="19">
        <f>$H$21</f>
        <v>236</v>
      </c>
      <c r="AA2965">
        <f t="shared" ref="AA2965:AA2969" si="1830">Z2965*0.6</f>
        <v>141.6</v>
      </c>
      <c r="AB2965">
        <f t="shared" ref="AB2965:AB2969" si="1831">$D$65/2*Z2965</f>
        <v>3422</v>
      </c>
      <c r="AC2965">
        <f t="shared" si="1817"/>
        <v>2053.1999999999998</v>
      </c>
      <c r="AD2965" s="19">
        <v>33.799999999999997</v>
      </c>
      <c r="AE2965">
        <f t="shared" ref="AE2965:AE2969" si="1832">AD2965*0.7</f>
        <v>23.659999999999997</v>
      </c>
      <c r="AF2965">
        <f t="shared" ref="AF2965:AF2969" si="1833">$D$65/2*AD2965</f>
        <v>490.09999999999997</v>
      </c>
      <c r="AG2965">
        <f t="shared" ref="AG2965:AG2969" si="1834">AF2965*0.7</f>
        <v>343.06999999999994</v>
      </c>
      <c r="AH2965" s="19">
        <v>0</v>
      </c>
      <c r="AI2965" s="19">
        <v>0</v>
      </c>
      <c r="AJ2965" s="17">
        <f>T2965+AB2965+AH2965</f>
        <v>3422</v>
      </c>
      <c r="AK2965" s="17">
        <f>AK2966+AJ2965</f>
        <v>13166</v>
      </c>
      <c r="AL2965" s="17">
        <f t="shared" ref="AL2965:AL2969" si="1835">AJ2965*0.6</f>
        <v>2053.1999999999998</v>
      </c>
      <c r="AM2965" s="17">
        <f t="shared" ref="AM2965:AM2967" si="1836">AM2966+AL2965</f>
        <v>7899.5999999999995</v>
      </c>
      <c r="AN2965" s="17">
        <f t="shared" ref="AN2965:AN2968" si="1837">X2965+AF2965+AI2965</f>
        <v>490.09999999999997</v>
      </c>
      <c r="AO2965" s="17">
        <f t="shared" si="1818"/>
        <v>1302.0999999999999</v>
      </c>
      <c r="AP2965" s="17">
        <f t="shared" ref="AP2965:AP2968" si="1838">AN2965*0.7</f>
        <v>343.06999999999994</v>
      </c>
      <c r="AQ2965" s="17">
        <f t="shared" si="1818"/>
        <v>911.46999999999991</v>
      </c>
      <c r="AR2965" s="100"/>
      <c r="AS2965" s="93"/>
      <c r="AT2965" t="s">
        <v>450</v>
      </c>
      <c r="AU2965" s="19">
        <f>$H$21</f>
        <v>236</v>
      </c>
      <c r="AV2965">
        <f t="shared" ref="AV2965:AV2970" si="1839">AU2965*0.6</f>
        <v>141.6</v>
      </c>
      <c r="AW2965">
        <f t="shared" si="1819"/>
        <v>0</v>
      </c>
      <c r="AX2965">
        <f>AW2965*0.6</f>
        <v>0</v>
      </c>
      <c r="AY2965" s="19">
        <v>33.799999999999997</v>
      </c>
      <c r="AZ2965">
        <f t="shared" ref="AZ2965:AZ2969" si="1840">AY2965*0.7</f>
        <v>23.659999999999997</v>
      </c>
      <c r="BA2965">
        <f t="shared" si="1820"/>
        <v>0</v>
      </c>
      <c r="BB2965">
        <f t="shared" ref="BB2965:BB2969" si="1841">BA2965*0.7</f>
        <v>0</v>
      </c>
      <c r="BC2965" s="19">
        <f>$H$21</f>
        <v>236</v>
      </c>
      <c r="BD2965">
        <f t="shared" ref="BD2965:BD2969" si="1842">BC2965*0.6</f>
        <v>141.6</v>
      </c>
      <c r="BE2965">
        <f t="shared" si="1821"/>
        <v>3186</v>
      </c>
      <c r="BF2965">
        <f t="shared" si="1822"/>
        <v>1911.6</v>
      </c>
      <c r="BG2965" s="19">
        <v>33.799999999999997</v>
      </c>
      <c r="BH2965">
        <f t="shared" ref="BH2965:BH2969" si="1843">BG2965*0.7</f>
        <v>23.659999999999997</v>
      </c>
      <c r="BI2965">
        <f t="shared" si="1823"/>
        <v>456.29999999999995</v>
      </c>
      <c r="BJ2965">
        <f t="shared" ref="BJ2965:BJ2969" si="1844">BI2965*0.7</f>
        <v>319.40999999999997</v>
      </c>
      <c r="BK2965" s="19">
        <v>0</v>
      </c>
      <c r="BL2965" s="19">
        <v>0</v>
      </c>
      <c r="BM2965" s="17">
        <f>AW2965+BE2965+BK2965</f>
        <v>3186</v>
      </c>
      <c r="BN2965" s="17">
        <f>BN2966+BM2965</f>
        <v>12258</v>
      </c>
      <c r="BO2965" s="17">
        <f t="shared" ref="BO2965" si="1845">BM2965*0.6</f>
        <v>1911.6</v>
      </c>
      <c r="BP2965" s="17">
        <f t="shared" ref="BP2965:BP2967" si="1846">BP2966+BO2965</f>
        <v>7354.7999999999993</v>
      </c>
      <c r="BQ2965" s="17">
        <f t="shared" ref="BQ2965:BQ2968" si="1847">BA2965+BI2965+BL2965</f>
        <v>456.29999999999995</v>
      </c>
      <c r="BR2965" s="17">
        <f t="shared" si="1824"/>
        <v>1212.3</v>
      </c>
      <c r="BS2965" s="17">
        <f t="shared" ref="BS2965:BS2968" si="1848">BQ2965*0.7</f>
        <v>319.40999999999997</v>
      </c>
      <c r="BT2965" s="17">
        <f t="shared" ref="BT2965:BT2967" si="1849">BS2965+BT2966</f>
        <v>848.6099999999999</v>
      </c>
      <c r="BU2965" s="100"/>
    </row>
    <row r="2966" x14ac:dyDescent="0.25">
      <c r="B2966" t="s">
        <v>451</v>
      </c>
      <c r="C2966" s="19">
        <v>21</v>
      </c>
      <c r="D2966" s="19">
        <v>4.5</v>
      </c>
      <c r="E2966" s="66">
        <f t="shared" ref="E22:E25" si="1850">C22+D22/12</f>
        <v>21.375</v>
      </c>
      <c r="F2966" s="67">
        <f>IF(E22&gt;0,E22-(C15+C14+2*1.5+IF(C13="single",1.5,3))/12-_xlfn.XLOOKUP(E22,E20:E21,E20:E21,,-1),0)</f>
        <v>8.75</v>
      </c>
      <c r="H2966" s="19">
        <v>229</v>
      </c>
      <c r="I2966" s="64" t="s">
        <v>196</v>
      </c>
      <c r="J2966" s="19">
        <v>37.1</v>
      </c>
      <c r="K2966" s="19">
        <v>71.8</v>
      </c>
      <c r="L2966" s="19">
        <v>21.1</v>
      </c>
      <c r="M2966" s="19">
        <v>131.1</v>
      </c>
      <c r="P2966" s="93"/>
      <c r="Q2966" t="s">
        <v>451</v>
      </c>
      <c r="R2966" s="19">
        <f>$H$22</f>
        <v>229</v>
      </c>
      <c r="S2966">
        <f t="shared" si="1825"/>
        <v>137.4</v>
      </c>
      <c r="T2966">
        <f t="shared" si="1826"/>
        <v>0</v>
      </c>
      <c r="U2966">
        <f t="shared" ref="U2966:U2970" si="1851">T2966*0.6</f>
        <v>0</v>
      </c>
      <c r="V2966" s="19">
        <v>37.1</v>
      </c>
      <c r="W2966">
        <f t="shared" si="1827"/>
        <v>25.97</v>
      </c>
      <c r="X2966">
        <f>$C$65/2*V2966</f>
        <v>0</v>
      </c>
      <c r="Y2966">
        <f t="shared" si="1829"/>
        <v>0</v>
      </c>
      <c r="Z2966" s="19">
        <f>$H$22</f>
        <v>229</v>
      </c>
      <c r="AA2966">
        <f t="shared" si="1830"/>
        <v>137.4</v>
      </c>
      <c r="AB2966">
        <f t="shared" si="1831"/>
        <v>3320.5</v>
      </c>
      <c r="AC2966">
        <f t="shared" si="1817"/>
        <v>1992.3</v>
      </c>
      <c r="AD2966" s="19">
        <v>37.1</v>
      </c>
      <c r="AE2966">
        <f t="shared" si="1832"/>
        <v>25.97</v>
      </c>
      <c r="AF2966">
        <f t="shared" si="1833"/>
        <v>537.95000000000005</v>
      </c>
      <c r="AG2966">
        <f t="shared" si="1834"/>
        <v>376.565</v>
      </c>
      <c r="AH2966" s="19">
        <v>0</v>
      </c>
      <c r="AI2966" s="19">
        <v>0</v>
      </c>
      <c r="AJ2966" s="17">
        <f t="shared" ref="AJ2966:AJ2968" si="1852">T2966+AB2966+AH2966</f>
        <v>3320.5</v>
      </c>
      <c r="AK2966" s="17">
        <f>AK2967+AJ2966</f>
        <v>9744</v>
      </c>
      <c r="AL2966" s="17">
        <f>AJ2966*0.6</f>
        <v>1992.3</v>
      </c>
      <c r="AM2966" s="17">
        <f t="shared" si="1836"/>
        <v>5846.4</v>
      </c>
      <c r="AN2966" s="17">
        <f t="shared" si="1837"/>
        <v>537.95000000000005</v>
      </c>
      <c r="AO2966" s="17">
        <f t="shared" si="1818"/>
        <v>812</v>
      </c>
      <c r="AP2966" s="17">
        <f t="shared" si="1838"/>
        <v>376.565</v>
      </c>
      <c r="AQ2966" s="17">
        <f t="shared" si="1818"/>
        <v>568.4</v>
      </c>
      <c r="AR2966" s="100"/>
      <c r="AS2966" s="93"/>
      <c r="AT2966" t="s">
        <v>451</v>
      </c>
      <c r="AU2966" s="19">
        <f>$H$22</f>
        <v>229</v>
      </c>
      <c r="AV2966">
        <f t="shared" si="1839"/>
        <v>137.4</v>
      </c>
      <c r="AW2966">
        <f t="shared" si="1819"/>
        <v>0</v>
      </c>
      <c r="AX2966">
        <f t="shared" ref="AX2966:AX2970" si="1853">AW2966*0.6</f>
        <v>0</v>
      </c>
      <c r="AY2966" s="19">
        <v>37.1</v>
      </c>
      <c r="AZ2966">
        <f t="shared" si="1840"/>
        <v>25.97</v>
      </c>
      <c r="BA2966">
        <f t="shared" si="1820"/>
        <v>0</v>
      </c>
      <c r="BB2966">
        <f t="shared" si="1841"/>
        <v>0</v>
      </c>
      <c r="BC2966" s="19">
        <f>$H$22</f>
        <v>229</v>
      </c>
      <c r="BD2966">
        <f t="shared" si="1842"/>
        <v>137.4</v>
      </c>
      <c r="BE2966">
        <f t="shared" si="1821"/>
        <v>3091.5</v>
      </c>
      <c r="BF2966">
        <f t="shared" si="1822"/>
        <v>1854.8999999999999</v>
      </c>
      <c r="BG2966" s="19">
        <v>37.1</v>
      </c>
      <c r="BH2966">
        <f t="shared" si="1843"/>
        <v>25.97</v>
      </c>
      <c r="BI2966">
        <f t="shared" si="1823"/>
        <v>500.85</v>
      </c>
      <c r="BJ2966">
        <f t="shared" si="1844"/>
        <v>350.59499999999997</v>
      </c>
      <c r="BK2966" s="19">
        <v>0</v>
      </c>
      <c r="BL2966" s="19">
        <v>0</v>
      </c>
      <c r="BM2966" s="17">
        <f t="shared" ref="BM2966:BM2968" si="1854">AW2966+BE2966+BK2966</f>
        <v>3091.5</v>
      </c>
      <c r="BN2966" s="17">
        <f>BN2967+BM2966</f>
        <v>9072</v>
      </c>
      <c r="BO2966" s="17">
        <f>BM2966*0.6</f>
        <v>1854.8999999999999</v>
      </c>
      <c r="BP2966" s="17">
        <f t="shared" si="1846"/>
        <v>5443.2</v>
      </c>
      <c r="BQ2966" s="17">
        <f t="shared" si="1847"/>
        <v>500.85</v>
      </c>
      <c r="BR2966" s="17">
        <f t="shared" si="1824"/>
        <v>756</v>
      </c>
      <c r="BS2966" s="17">
        <f t="shared" si="1848"/>
        <v>350.59499999999997</v>
      </c>
      <c r="BT2966" s="17">
        <f t="shared" si="1849"/>
        <v>529.19999999999993</v>
      </c>
      <c r="BU2966" s="100"/>
    </row>
    <row r="2967" x14ac:dyDescent="0.25">
      <c r="B2967" t="s">
        <v>452</v>
      </c>
      <c r="C2967" s="19">
        <v>0</v>
      </c>
      <c r="D2967" s="19">
        <v>0</v>
      </c>
      <c r="E2967" s="66">
        <f t="shared" si="1850"/>
        <v>0</v>
      </c>
      <c r="F2967" s="67">
        <f>IF(E23&gt;0,E23-(C15+C14+2*1.5+IF(C13="single",1.5,3))/12-_xlfn.XLOOKUP(E23,E20:E22,E20:E22,,-1),0)</f>
        <v>0</v>
      </c>
      <c r="H2967" s="19">
        <v>0</v>
      </c>
      <c r="I2967" s="64" t="s">
        <v>196</v>
      </c>
      <c r="J2967" s="19">
        <v>0</v>
      </c>
      <c r="K2967" s="19">
        <v>0</v>
      </c>
      <c r="L2967" s="19">
        <v>0</v>
      </c>
      <c r="M2967" s="19">
        <v>0</v>
      </c>
      <c r="P2967" s="93"/>
      <c r="Q2967" t="s">
        <v>452</v>
      </c>
      <c r="R2967" s="19">
        <f>$H$23</f>
        <v>0</v>
      </c>
      <c r="S2967">
        <f t="shared" si="1825"/>
        <v>0</v>
      </c>
      <c r="T2967">
        <f t="shared" si="1826"/>
        <v>0</v>
      </c>
      <c r="U2967">
        <f t="shared" si="1851"/>
        <v>0</v>
      </c>
      <c r="V2967" s="19">
        <v>0</v>
      </c>
      <c r="W2967">
        <f t="shared" si="1827"/>
        <v>0</v>
      </c>
      <c r="X2967">
        <f t="shared" si="1828"/>
        <v>0</v>
      </c>
      <c r="Y2967">
        <f t="shared" si="1829"/>
        <v>0</v>
      </c>
      <c r="Z2967" s="19">
        <f>$H$23</f>
        <v>0</v>
      </c>
      <c r="AA2967">
        <f t="shared" si="1830"/>
        <v>0</v>
      </c>
      <c r="AB2967">
        <f t="shared" si="1831"/>
        <v>0</v>
      </c>
      <c r="AC2967">
        <f t="shared" si="1817"/>
        <v>0</v>
      </c>
      <c r="AD2967" s="19">
        <v>0</v>
      </c>
      <c r="AE2967">
        <f t="shared" si="1832"/>
        <v>0</v>
      </c>
      <c r="AF2967">
        <f t="shared" si="1833"/>
        <v>0</v>
      </c>
      <c r="AG2967">
        <f t="shared" si="1834"/>
        <v>0</v>
      </c>
      <c r="AH2967" s="19">
        <v>0</v>
      </c>
      <c r="AI2967" s="19">
        <v>0</v>
      </c>
      <c r="AJ2967" s="17">
        <f t="shared" si="1852"/>
        <v>0</v>
      </c>
      <c r="AK2967" s="17">
        <f>AK2968+AJ2967</f>
        <v>6423.5</v>
      </c>
      <c r="AL2967" s="17">
        <f>AJ2967*0.6</f>
        <v>0</v>
      </c>
      <c r="AM2967" s="17">
        <f t="shared" si="1836"/>
        <v>3854.1</v>
      </c>
      <c r="AN2967" s="17">
        <f t="shared" si="1837"/>
        <v>0</v>
      </c>
      <c r="AO2967" s="17">
        <f t="shared" si="1818"/>
        <v>274.04999999999995</v>
      </c>
      <c r="AP2967" s="17">
        <f t="shared" si="1838"/>
        <v>0</v>
      </c>
      <c r="AQ2967" s="17">
        <f t="shared" si="1818"/>
        <v>191.83499999999995</v>
      </c>
      <c r="AR2967" s="100"/>
      <c r="AS2967" s="93"/>
      <c r="AT2967" t="s">
        <v>452</v>
      </c>
      <c r="AU2967" s="19">
        <f>$H$23</f>
        <v>0</v>
      </c>
      <c r="AV2967">
        <f t="shared" si="1839"/>
        <v>0</v>
      </c>
      <c r="AW2967">
        <f t="shared" si="1819"/>
        <v>0</v>
      </c>
      <c r="AX2967">
        <f t="shared" si="1853"/>
        <v>0</v>
      </c>
      <c r="AY2967" s="19">
        <v>0</v>
      </c>
      <c r="AZ2967">
        <f t="shared" si="1840"/>
        <v>0</v>
      </c>
      <c r="BA2967">
        <f t="shared" si="1820"/>
        <v>0</v>
      </c>
      <c r="BB2967">
        <f t="shared" si="1841"/>
        <v>0</v>
      </c>
      <c r="BC2967" s="19">
        <f>$H$23</f>
        <v>0</v>
      </c>
      <c r="BD2967">
        <f t="shared" si="1842"/>
        <v>0</v>
      </c>
      <c r="BE2967">
        <f t="shared" si="1821"/>
        <v>0</v>
      </c>
      <c r="BF2967">
        <f t="shared" si="1822"/>
        <v>0</v>
      </c>
      <c r="BG2967" s="19">
        <v>0</v>
      </c>
      <c r="BH2967">
        <f t="shared" si="1843"/>
        <v>0</v>
      </c>
      <c r="BI2967">
        <f t="shared" si="1823"/>
        <v>0</v>
      </c>
      <c r="BJ2967">
        <f t="shared" si="1844"/>
        <v>0</v>
      </c>
      <c r="BK2967" s="19">
        <v>0</v>
      </c>
      <c r="BL2967" s="19">
        <v>0</v>
      </c>
      <c r="BM2967" s="17">
        <f t="shared" si="1854"/>
        <v>0</v>
      </c>
      <c r="BN2967" s="17">
        <f>BN2968+BM2967</f>
        <v>5980.5</v>
      </c>
      <c r="BO2967" s="17">
        <f>BM2967*0.6</f>
        <v>0</v>
      </c>
      <c r="BP2967" s="17">
        <f t="shared" si="1846"/>
        <v>3588.2999999999997</v>
      </c>
      <c r="BQ2967" s="17">
        <f t="shared" si="1847"/>
        <v>0</v>
      </c>
      <c r="BR2967" s="17">
        <f t="shared" si="1824"/>
        <v>255.14999999999998</v>
      </c>
      <c r="BS2967" s="17">
        <f t="shared" si="1848"/>
        <v>0</v>
      </c>
      <c r="BT2967" s="17">
        <f t="shared" si="1849"/>
        <v>178.60499999999996</v>
      </c>
      <c r="BU2967" s="100"/>
    </row>
    <row r="2968" x14ac:dyDescent="0.25">
      <c r="B2968" t="s">
        <v>453</v>
      </c>
      <c r="C2968" s="19">
        <v>0</v>
      </c>
      <c r="D2968" s="19">
        <v>0</v>
      </c>
      <c r="E2968" s="66">
        <f t="shared" si="1850"/>
        <v>0</v>
      </c>
      <c r="F2968" s="67">
        <f>IF(E24&gt;0,E24-(C15+C14+2*1.5+IF(C13="single",1.5,3))/12-_xlfn.XLOOKUP(E24,E20:E23,E20:E23,,-1),0)</f>
        <v>0</v>
      </c>
      <c r="H2968" s="19">
        <v>0</v>
      </c>
      <c r="I2968" s="64" t="s">
        <v>196</v>
      </c>
      <c r="J2968" s="19">
        <v>0</v>
      </c>
      <c r="K2968" s="19">
        <v>0</v>
      </c>
      <c r="L2968" s="19">
        <v>0</v>
      </c>
      <c r="M2968" s="19">
        <v>0</v>
      </c>
      <c r="P2968" s="93"/>
      <c r="Q2968" t="s">
        <v>453</v>
      </c>
      <c r="R2968" s="19">
        <f>$H$24</f>
        <v>0</v>
      </c>
      <c r="S2968">
        <f t="shared" si="1825"/>
        <v>0</v>
      </c>
      <c r="T2968">
        <f t="shared" si="1826"/>
        <v>0</v>
      </c>
      <c r="U2968">
        <f t="shared" si="1851"/>
        <v>0</v>
      </c>
      <c r="V2968" s="19">
        <v>0</v>
      </c>
      <c r="W2968">
        <f t="shared" si="1827"/>
        <v>0</v>
      </c>
      <c r="X2968">
        <f t="shared" si="1828"/>
        <v>0</v>
      </c>
      <c r="Y2968">
        <f t="shared" si="1829"/>
        <v>0</v>
      </c>
      <c r="Z2968" s="19">
        <f>$H$24</f>
        <v>0</v>
      </c>
      <c r="AA2968">
        <f t="shared" si="1830"/>
        <v>0</v>
      </c>
      <c r="AB2968">
        <f t="shared" si="1831"/>
        <v>0</v>
      </c>
      <c r="AC2968">
        <f t="shared" si="1817"/>
        <v>0</v>
      </c>
      <c r="AD2968" s="19">
        <v>0</v>
      </c>
      <c r="AE2968">
        <f t="shared" si="1832"/>
        <v>0</v>
      </c>
      <c r="AF2968">
        <f t="shared" si="1833"/>
        <v>0</v>
      </c>
      <c r="AG2968">
        <f t="shared" si="1834"/>
        <v>0</v>
      </c>
      <c r="AH2968" s="19">
        <v>0</v>
      </c>
      <c r="AI2968" s="19">
        <v>0</v>
      </c>
      <c r="AJ2968" s="17">
        <f t="shared" si="1852"/>
        <v>0</v>
      </c>
      <c r="AK2968" s="17">
        <f>AK2969+IF(AJ2968=0,0,AJ2968)</f>
        <v>6423.5</v>
      </c>
      <c r="AL2968" s="17">
        <f t="shared" si="1835"/>
        <v>0</v>
      </c>
      <c r="AM2968" s="17">
        <f>AM2969+AL2968</f>
        <v>3854.1</v>
      </c>
      <c r="AN2968" s="17">
        <f t="shared" si="1837"/>
        <v>0</v>
      </c>
      <c r="AO2968" s="17">
        <f>AN2968+AO2969</f>
        <v>274.04999999999995</v>
      </c>
      <c r="AP2968" s="17">
        <f t="shared" si="1838"/>
        <v>0</v>
      </c>
      <c r="AQ2968" s="17">
        <f>AP2968+AQ2969</f>
        <v>191.83499999999995</v>
      </c>
      <c r="AR2968" s="100"/>
      <c r="AS2968" s="93"/>
      <c r="AT2968" t="s">
        <v>453</v>
      </c>
      <c r="AU2968" s="19">
        <f>$H$24</f>
        <v>0</v>
      </c>
      <c r="AV2968">
        <f t="shared" si="1839"/>
        <v>0</v>
      </c>
      <c r="AW2968">
        <f t="shared" si="1819"/>
        <v>0</v>
      </c>
      <c r="AX2968">
        <f t="shared" si="1853"/>
        <v>0</v>
      </c>
      <c r="AY2968" s="19">
        <v>0</v>
      </c>
      <c r="AZ2968">
        <f t="shared" si="1840"/>
        <v>0</v>
      </c>
      <c r="BA2968">
        <f t="shared" si="1820"/>
        <v>0</v>
      </c>
      <c r="BB2968">
        <f t="shared" si="1841"/>
        <v>0</v>
      </c>
      <c r="BC2968" s="19">
        <f>$H$24</f>
        <v>0</v>
      </c>
      <c r="BD2968">
        <f t="shared" si="1842"/>
        <v>0</v>
      </c>
      <c r="BE2968">
        <f t="shared" si="1821"/>
        <v>0</v>
      </c>
      <c r="BF2968">
        <f t="shared" si="1822"/>
        <v>0</v>
      </c>
      <c r="BG2968" s="19">
        <v>0</v>
      </c>
      <c r="BH2968">
        <f t="shared" si="1843"/>
        <v>0</v>
      </c>
      <c r="BI2968">
        <f t="shared" si="1823"/>
        <v>0</v>
      </c>
      <c r="BJ2968">
        <f t="shared" si="1844"/>
        <v>0</v>
      </c>
      <c r="BK2968" s="19">
        <v>0</v>
      </c>
      <c r="BL2968" s="19">
        <v>0</v>
      </c>
      <c r="BM2968" s="17">
        <f t="shared" si="1854"/>
        <v>0</v>
      </c>
      <c r="BN2968" s="17">
        <f>BN2969+IF(BM2968=0,0,BM2968)</f>
        <v>5980.5</v>
      </c>
      <c r="BO2968" s="17">
        <f t="shared" ref="BO2968:BO2969" si="1855">BM2968*0.6</f>
        <v>0</v>
      </c>
      <c r="BP2968" s="17">
        <f>BP2969+BO2968</f>
        <v>3588.2999999999997</v>
      </c>
      <c r="BQ2968" s="17">
        <f t="shared" si="1847"/>
        <v>0</v>
      </c>
      <c r="BR2968" s="17">
        <f>BQ2968+BR2969</f>
        <v>255.14999999999998</v>
      </c>
      <c r="BS2968" s="17">
        <f t="shared" si="1848"/>
        <v>0</v>
      </c>
      <c r="BT2968" s="17">
        <f>BS2968+BT2969</f>
        <v>178.60499999999996</v>
      </c>
      <c r="BU2968" s="100"/>
    </row>
    <row r="2969" x14ac:dyDescent="0.25">
      <c r="B2969" t="s">
        <v>275</v>
      </c>
      <c r="C2969" s="19">
        <f>(33+32)/2</f>
        <v>32.5</v>
      </c>
      <c r="D2969" s="19">
        <f>(10.5+5.625)/2</f>
        <v>8.0625</v>
      </c>
      <c r="E2969" s="68">
        <f t="shared" si="1850"/>
        <v>33.171875</v>
      </c>
      <c r="F2969" s="69">
        <f>E25-(C17+C16+2*1.5+IF(C13="single",1.5,3))/12-_xlfn.XLOOKUP(E25,E20:E24,E20:E24,,-1)</f>
        <v>8.6770833333333321</v>
      </c>
      <c r="H2969" s="19">
        <v>443</v>
      </c>
      <c r="I2969" s="64" t="s">
        <v>196</v>
      </c>
      <c r="J2969" s="19">
        <v>18.899999999999999</v>
      </c>
      <c r="K2969" s="19">
        <v>36.6</v>
      </c>
      <c r="L2969" s="19">
        <v>10.8</v>
      </c>
      <c r="M2969" s="19">
        <v>66.7</v>
      </c>
      <c r="P2969" s="93"/>
      <c r="Q2969" t="s">
        <v>275</v>
      </c>
      <c r="R2969" s="19">
        <f>$H$25</f>
        <v>443</v>
      </c>
      <c r="S2969">
        <f t="shared" si="1825"/>
        <v>265.8</v>
      </c>
      <c r="T2969">
        <f t="shared" si="1826"/>
        <v>0</v>
      </c>
      <c r="U2969">
        <f t="shared" si="1851"/>
        <v>0</v>
      </c>
      <c r="V2969" s="19">
        <v>18.899999999999999</v>
      </c>
      <c r="W2969">
        <f t="shared" si="1827"/>
        <v>13.229999999999999</v>
      </c>
      <c r="X2969">
        <f t="shared" si="1828"/>
        <v>0</v>
      </c>
      <c r="Y2969">
        <f t="shared" si="1829"/>
        <v>0</v>
      </c>
      <c r="Z2969" s="19">
        <f>$H$25</f>
        <v>443</v>
      </c>
      <c r="AA2969">
        <f t="shared" si="1830"/>
        <v>265.8</v>
      </c>
      <c r="AB2969">
        <f t="shared" si="1831"/>
        <v>6423.5</v>
      </c>
      <c r="AC2969">
        <f t="shared" si="1817"/>
        <v>3854.1</v>
      </c>
      <c r="AD2969" s="19">
        <v>18.899999999999999</v>
      </c>
      <c r="AE2969">
        <f t="shared" si="1832"/>
        <v>13.229999999999999</v>
      </c>
      <c r="AF2969">
        <f t="shared" si="1833"/>
        <v>274.04999999999995</v>
      </c>
      <c r="AG2969">
        <f t="shared" si="1834"/>
        <v>191.83499999999995</v>
      </c>
      <c r="AH2969" s="19">
        <v>0</v>
      </c>
      <c r="AI2969" s="19">
        <v>0</v>
      </c>
      <c r="AJ2969" s="17">
        <f>T2969+AB2969+AH2969</f>
        <v>6423.5</v>
      </c>
      <c r="AK2969" s="17">
        <f>AJ2969</f>
        <v>6423.5</v>
      </c>
      <c r="AL2969" s="17">
        <f t="shared" si="1835"/>
        <v>3854.1</v>
      </c>
      <c r="AM2969" s="17">
        <f>AL2969</f>
        <v>3854.1</v>
      </c>
      <c r="AN2969" s="17">
        <f>X2969+AF2969+AI2969</f>
        <v>274.04999999999995</v>
      </c>
      <c r="AO2969" s="17">
        <f>AN2969</f>
        <v>274.04999999999995</v>
      </c>
      <c r="AP2969" s="17">
        <f>AN2969*0.7</f>
        <v>191.83499999999995</v>
      </c>
      <c r="AQ2969" s="17">
        <f>AP2969</f>
        <v>191.83499999999995</v>
      </c>
      <c r="AR2969" s="100"/>
      <c r="AS2969" s="93"/>
      <c r="AT2969" t="s">
        <v>275</v>
      </c>
      <c r="AU2969" s="19">
        <f>$H$25</f>
        <v>443</v>
      </c>
      <c r="AV2969">
        <f t="shared" si="1839"/>
        <v>265.8</v>
      </c>
      <c r="AW2969">
        <f t="shared" si="1819"/>
        <v>0</v>
      </c>
      <c r="AX2969">
        <f t="shared" si="1853"/>
        <v>0</v>
      </c>
      <c r="AY2969" s="19">
        <v>18.899999999999999</v>
      </c>
      <c r="AZ2969">
        <f t="shared" si="1840"/>
        <v>13.229999999999999</v>
      </c>
      <c r="BA2969">
        <f t="shared" si="1820"/>
        <v>0</v>
      </c>
      <c r="BB2969">
        <f t="shared" si="1841"/>
        <v>0</v>
      </c>
      <c r="BC2969" s="19">
        <f>$H$25</f>
        <v>443</v>
      </c>
      <c r="BD2969">
        <f t="shared" si="1842"/>
        <v>265.8</v>
      </c>
      <c r="BE2969">
        <f t="shared" si="1821"/>
        <v>5980.5</v>
      </c>
      <c r="BF2969">
        <f t="shared" si="1822"/>
        <v>3588.2999999999997</v>
      </c>
      <c r="BG2969" s="19">
        <v>18.899999999999999</v>
      </c>
      <c r="BH2969">
        <f t="shared" si="1843"/>
        <v>13.229999999999999</v>
      </c>
      <c r="BI2969">
        <f t="shared" si="1823"/>
        <v>255.14999999999998</v>
      </c>
      <c r="BJ2969">
        <f t="shared" si="1844"/>
        <v>178.60499999999996</v>
      </c>
      <c r="BK2969" s="19">
        <v>0</v>
      </c>
      <c r="BL2969" s="19">
        <v>0</v>
      </c>
      <c r="BM2969" s="17">
        <f>AW2969+BE2969+BK2969</f>
        <v>5980.5</v>
      </c>
      <c r="BN2969" s="17">
        <f>BM2969</f>
        <v>5980.5</v>
      </c>
      <c r="BO2969" s="17">
        <f t="shared" si="1855"/>
        <v>3588.2999999999997</v>
      </c>
      <c r="BP2969" s="17">
        <f>BO2969</f>
        <v>3588.2999999999997</v>
      </c>
      <c r="BQ2969" s="17">
        <f>BA2969+BI2969+BL2969</f>
        <v>255.14999999999998</v>
      </c>
      <c r="BR2969" s="17">
        <f>BQ2969</f>
        <v>255.14999999999998</v>
      </c>
      <c r="BS2969" s="17">
        <f>BQ2969*0.7</f>
        <v>178.60499999999996</v>
      </c>
      <c r="BT2969" s="17">
        <f>BS2969</f>
        <v>178.60499999999996</v>
      </c>
      <c r="BU2969" s="100"/>
    </row>
    <row r="2970" x14ac:dyDescent="0.25">
      <c r="B2970" t="s">
        <v>530</v>
      </c>
      <c r="E2970" s="73"/>
      <c r="F2970" s="73"/>
      <c r="H2970" s="19">
        <v>-22.9</v>
      </c>
      <c r="I2970" s="64" t="s">
        <v>270</v>
      </c>
      <c r="P2970" s="93"/>
      <c r="R2970" s="19">
        <f>$H$26</f>
        <v>-22.9</v>
      </c>
      <c r="S2970">
        <f t="shared" si="1825"/>
        <v>-13.739999999999998</v>
      </c>
      <c r="T2970">
        <f>$I$65/2*R2970</f>
        <v>0</v>
      </c>
      <c r="U2970">
        <f t="shared" si="1851"/>
        <v>0</v>
      </c>
      <c r="Z2970" s="19">
        <f>$H$26</f>
        <v>-22.9</v>
      </c>
      <c r="AA2970">
        <f>Z2970*0.6</f>
        <v>-13.739999999999998</v>
      </c>
      <c r="AB2970">
        <f>$J$65/2*Z2970</f>
        <v>-309.14999999999998</v>
      </c>
      <c r="AC2970">
        <f t="shared" si="1817"/>
        <v>-185.48999999999998</v>
      </c>
      <c r="AR2970" s="100"/>
      <c r="AS2970" s="93"/>
      <c r="AU2970" s="19">
        <f>$H$26</f>
        <v>-22.9</v>
      </c>
      <c r="AV2970">
        <f t="shared" si="1839"/>
        <v>-13.739999999999998</v>
      </c>
      <c r="AW2970">
        <f t="shared" si="1819"/>
        <v>0</v>
      </c>
      <c r="AX2970">
        <f t="shared" si="1853"/>
        <v>0</v>
      </c>
      <c r="BC2970" s="19">
        <f>$H$26</f>
        <v>-22.9</v>
      </c>
      <c r="BD2970">
        <f>BC2970*0.6</f>
        <v>-13.739999999999998</v>
      </c>
      <c r="BE2970">
        <f t="shared" si="1821"/>
        <v>-309.14999999999998</v>
      </c>
      <c r="BF2970">
        <f t="shared" si="1822"/>
        <v>-185.48999999999998</v>
      </c>
      <c r="BU2970" s="100"/>
    </row>
    <row r="2971" x14ac:dyDescent="0.25">
      <c r="B2971" t="s">
        <v>531</v>
      </c>
      <c r="C2971" s="1" t="s">
        <v>533</v>
      </c>
      <c r="D2971" s="19">
        <v>0.18</v>
      </c>
      <c r="E2971" s="73"/>
      <c r="F2971" s="73"/>
      <c r="H2971">
        <f>0.2*D27</f>
        <v>3.5999999999999997E-2</v>
      </c>
      <c r="I2971" s="64" t="s">
        <v>534</v>
      </c>
      <c r="P2971" s="93"/>
      <c r="Q2971" s="1"/>
      <c r="AR2971" s="100"/>
      <c r="AS2971" s="93"/>
      <c r="AT2971" s="1"/>
      <c r="BU2971" s="100"/>
    </row>
    <row r="2972" x14ac:dyDescent="0.25">
      <c r="P2972" s="93"/>
      <c r="Y2972" s="112" t="s">
        <v>752</v>
      </c>
      <c r="Z2972" s="112"/>
      <c r="AA2972" s="112"/>
      <c r="AB2972" s="112"/>
      <c r="AC2972" s="112"/>
      <c r="AR2972" s="100"/>
      <c r="AS2972" s="93"/>
      <c r="BB2972" s="112" t="s">
        <v>752</v>
      </c>
      <c r="BC2972" s="112"/>
      <c r="BD2972" s="112"/>
      <c r="BE2972" s="112"/>
      <c r="BF2972" s="112"/>
      <c r="BU2972" s="100"/>
    </row>
    <row r="2973" x14ac:dyDescent="0.25">
      <c r="B2973" t="s">
        <v>513</v>
      </c>
      <c r="P2973" s="93"/>
      <c r="Q2973" t="s">
        <v>479</v>
      </c>
      <c r="R2973" t="s">
        <v>491</v>
      </c>
      <c r="S2973" t="s">
        <v>508</v>
      </c>
      <c r="T2973" t="s">
        <v>507</v>
      </c>
      <c r="U2973" t="s">
        <v>535</v>
      </c>
      <c r="V2973" t="s">
        <v>536</v>
      </c>
      <c r="W2973" t="s">
        <v>479</v>
      </c>
      <c r="X2973" t="s">
        <v>537</v>
      </c>
      <c r="Y2973" t="s">
        <v>450</v>
      </c>
      <c r="Z2973" t="s">
        <v>451</v>
      </c>
      <c r="AA2973" t="s">
        <v>452</v>
      </c>
      <c r="AB2973" t="s">
        <v>453</v>
      </c>
      <c r="AC2973" t="s">
        <v>753</v>
      </c>
      <c r="AD2973" t="s">
        <v>519</v>
      </c>
      <c r="AR2973" s="100"/>
      <c r="AS2973" s="93"/>
      <c r="AT2973" t="s">
        <v>479</v>
      </c>
      <c r="AU2973" t="s">
        <v>491</v>
      </c>
      <c r="AV2973" t="s">
        <v>508</v>
      </c>
      <c r="AW2973" t="s">
        <v>507</v>
      </c>
      <c r="AX2973" t="s">
        <v>535</v>
      </c>
      <c r="AY2973" t="s">
        <v>536</v>
      </c>
      <c r="AZ2973" t="s">
        <v>479</v>
      </c>
      <c r="BA2973" t="s">
        <v>537</v>
      </c>
      <c r="BB2973" t="s">
        <v>450</v>
      </c>
      <c r="BC2973" t="s">
        <v>451</v>
      </c>
      <c r="BD2973" t="s">
        <v>452</v>
      </c>
      <c r="BE2973" t="s">
        <v>453</v>
      </c>
      <c r="BF2973" t="s">
        <v>753</v>
      </c>
      <c r="BG2973" t="s">
        <v>519</v>
      </c>
      <c r="BU2973" s="100"/>
    </row>
    <row r="2974" x14ac:dyDescent="0.25">
      <c r="B2974" s="1" t="s">
        <v>275</v>
      </c>
      <c r="C2974" s="19">
        <v>20</v>
      </c>
      <c r="D2974" t="s">
        <v>567</v>
      </c>
      <c r="P2974" s="93"/>
      <c r="Q2974" s="109" t="str">
        <f>R2960&amp;".01"</f>
        <v>A.01</v>
      </c>
      <c r="R2974" s="19">
        <v>29</v>
      </c>
      <c r="S2974" s="19">
        <v>12</v>
      </c>
      <c r="T2974">
        <f>S2974/2</f>
        <v>6</v>
      </c>
      <c r="U2974" s="19">
        <v>4</v>
      </c>
      <c r="V2974">
        <f>U2974/2</f>
        <v>2</v>
      </c>
      <c r="W2974" s="19" t="s">
        <v>515</v>
      </c>
      <c r="X2974" s="19">
        <v>6</v>
      </c>
      <c r="Y2974" s="19"/>
      <c r="Z2974" s="19"/>
      <c r="AA2974" s="19"/>
      <c r="AB2974" s="19"/>
      <c r="AC2974" s="19"/>
      <c r="AD2974" s="108">
        <f>R2974/R2990</f>
        <v>1</v>
      </c>
      <c r="AR2974" s="100"/>
      <c r="AS2974" s="93"/>
      <c r="AT2974" s="109" t="str">
        <f>AU$2960&amp;".01"</f>
        <v>1.01</v>
      </c>
      <c r="AU2974" s="19">
        <v>29</v>
      </c>
      <c r="AV2974" s="19">
        <v>12</v>
      </c>
      <c r="AW2974">
        <f>AV2974/2</f>
        <v>6</v>
      </c>
      <c r="AX2974" s="19">
        <v>4</v>
      </c>
      <c r="AY2974">
        <f>AX2974/2</f>
        <v>2</v>
      </c>
      <c r="AZ2974" s="19" t="s">
        <v>515</v>
      </c>
      <c r="BA2974" s="19">
        <v>6</v>
      </c>
      <c r="BB2974" s="19"/>
      <c r="BC2974" s="19"/>
      <c r="BD2974" s="19"/>
      <c r="BE2974" s="19"/>
      <c r="BF2974" s="19"/>
      <c r="BG2974" s="108">
        <f>AU2974/AU2990</f>
        <v>1</v>
      </c>
      <c r="BU2974" s="100"/>
    </row>
    <row r="2975" x14ac:dyDescent="0.25">
      <c r="B2975" s="1"/>
      <c r="C2975">
        <f>0.9*C30</f>
        <v>18</v>
      </c>
      <c r="D2975" t="s">
        <v>532</v>
      </c>
      <c r="P2975" s="93"/>
      <c r="Q2975" s="109" t="str">
        <f>R2960&amp;".02"</f>
        <v>A.02</v>
      </c>
      <c r="R2975" s="19"/>
      <c r="S2975" s="19"/>
      <c r="T2975">
        <f t="shared" ref="T2975:T2989" si="1856">S2975/2</f>
        <v>0</v>
      </c>
      <c r="U2975" s="19"/>
      <c r="V2975">
        <f t="shared" ref="V2975:V2989" si="1857">U2975/2</f>
        <v>0</v>
      </c>
      <c r="W2975" s="19"/>
      <c r="X2975" s="19"/>
      <c r="Y2975" s="19"/>
      <c r="Z2975" s="19"/>
      <c r="AA2975" s="19"/>
      <c r="AB2975" s="19"/>
      <c r="AC2975" s="19"/>
      <c r="AR2975" s="100"/>
      <c r="AS2975" s="93"/>
      <c r="AT2975" s="109" t="str">
        <f>AU$2960&amp;".02"</f>
        <v>1.02</v>
      </c>
      <c r="AU2975" s="19"/>
      <c r="AV2975" s="19"/>
      <c r="AW2975">
        <f t="shared" ref="AW2975:AW2989" si="1858">AV2975/2</f>
        <v>0</v>
      </c>
      <c r="AX2975" s="19"/>
      <c r="AY2975">
        <f t="shared" ref="AY2975:AY2989" si="1859">AX2975/2</f>
        <v>0</v>
      </c>
      <c r="AZ2975" s="19"/>
      <c r="BA2975" s="19"/>
      <c r="BB2975" s="19"/>
      <c r="BC2975" s="19"/>
      <c r="BD2975" s="19"/>
      <c r="BE2975" s="19"/>
      <c r="BF2975" s="19"/>
      <c r="BU2975" s="100"/>
    </row>
    <row r="2976" x14ac:dyDescent="0.25">
      <c r="B2976" s="1" t="s">
        <v>514</v>
      </c>
      <c r="C2976" s="19">
        <v>26</v>
      </c>
      <c r="D2976" t="s">
        <v>512</v>
      </c>
      <c r="P2976" s="93"/>
      <c r="Q2976" s="109" t="str">
        <f>R2960&amp;".03"</f>
        <v>A.03</v>
      </c>
      <c r="R2976" s="19"/>
      <c r="S2976" s="19"/>
      <c r="T2976">
        <f t="shared" si="1856"/>
        <v>0</v>
      </c>
      <c r="U2976" s="19"/>
      <c r="V2976">
        <f t="shared" si="1857"/>
        <v>0</v>
      </c>
      <c r="W2976" s="19"/>
      <c r="X2976" s="19"/>
      <c r="Y2976" s="19"/>
      <c r="Z2976" s="19"/>
      <c r="AA2976" s="19"/>
      <c r="AB2976" s="19"/>
      <c r="AC2976" s="19"/>
      <c r="AR2976" s="100"/>
      <c r="AS2976" s="93"/>
      <c r="AT2976" s="109" t="str">
        <f>AU$2960&amp;".03"</f>
        <v>1.03</v>
      </c>
      <c r="AU2976" s="19"/>
      <c r="AV2976" s="19"/>
      <c r="AW2976">
        <f t="shared" si="1858"/>
        <v>0</v>
      </c>
      <c r="AX2976" s="19"/>
      <c r="AY2976">
        <f t="shared" si="1859"/>
        <v>0</v>
      </c>
      <c r="AZ2976" s="19"/>
      <c r="BA2976" s="19"/>
      <c r="BB2976" s="19"/>
      <c r="BC2976" s="19"/>
      <c r="BD2976" s="19"/>
      <c r="BE2976" s="19"/>
      <c r="BF2976" s="19"/>
      <c r="BU2976" s="100"/>
    </row>
    <row r="2977" x14ac:dyDescent="0.25">
      <c r="B2977" s="1" t="s">
        <v>477</v>
      </c>
      <c r="C2977" s="19">
        <v>11</v>
      </c>
      <c r="D2977" t="s">
        <v>509</v>
      </c>
      <c r="P2977" s="93"/>
      <c r="Q2977" s="109" t="str">
        <f>R2960&amp;".04"</f>
        <v>A.04</v>
      </c>
      <c r="R2977" s="19"/>
      <c r="S2977" s="19"/>
      <c r="T2977">
        <f t="shared" si="1856"/>
        <v>0</v>
      </c>
      <c r="U2977" s="19"/>
      <c r="V2977">
        <f t="shared" si="1857"/>
        <v>0</v>
      </c>
      <c r="W2977" s="19"/>
      <c r="X2977" s="19"/>
      <c r="Y2977" s="19"/>
      <c r="Z2977" s="19"/>
      <c r="AA2977" s="19"/>
      <c r="AB2977" s="19"/>
      <c r="AC2977" s="19"/>
      <c r="AR2977" s="100"/>
      <c r="AS2977" s="93"/>
      <c r="AT2977" s="109" t="str">
        <f>AU$2960&amp;".04"</f>
        <v>1.04</v>
      </c>
      <c r="AU2977" s="19"/>
      <c r="AV2977" s="19"/>
      <c r="AW2977">
        <f t="shared" si="1858"/>
        <v>0</v>
      </c>
      <c r="AX2977" s="19"/>
      <c r="AY2977">
        <f t="shared" si="1859"/>
        <v>0</v>
      </c>
      <c r="AZ2977" s="19"/>
      <c r="BA2977" s="19"/>
      <c r="BB2977" s="19"/>
      <c r="BC2977" s="19"/>
      <c r="BD2977" s="19"/>
      <c r="BE2977" s="19"/>
      <c r="BF2977" s="19"/>
      <c r="BU2977" s="100"/>
    </row>
    <row r="2978" x14ac:dyDescent="0.25">
      <c r="B2978" s="1" t="s">
        <v>478</v>
      </c>
      <c r="C2978" s="19">
        <v>13</v>
      </c>
      <c r="D2978" t="s">
        <v>510</v>
      </c>
      <c r="P2978" s="93"/>
      <c r="Q2978" s="109" t="str">
        <f>R2960&amp;".05"</f>
        <v>A.05</v>
      </c>
      <c r="R2978" s="19"/>
      <c r="S2978" s="19"/>
      <c r="T2978">
        <f t="shared" si="1856"/>
        <v>0</v>
      </c>
      <c r="U2978" s="19"/>
      <c r="V2978">
        <f t="shared" si="1857"/>
        <v>0</v>
      </c>
      <c r="W2978" s="19"/>
      <c r="X2978" s="19"/>
      <c r="Y2978" s="19"/>
      <c r="Z2978" s="19"/>
      <c r="AA2978" s="19"/>
      <c r="AB2978" s="19"/>
      <c r="AC2978" s="19"/>
      <c r="AR2978" s="100"/>
      <c r="AS2978" s="93"/>
      <c r="AT2978" s="109" t="str">
        <f>AU$2960&amp;".05"</f>
        <v>1.05</v>
      </c>
      <c r="AU2978" s="19"/>
      <c r="AV2978" s="19"/>
      <c r="AW2978">
        <f t="shared" si="1858"/>
        <v>0</v>
      </c>
      <c r="AX2978" s="19"/>
      <c r="AY2978">
        <f t="shared" si="1859"/>
        <v>0</v>
      </c>
      <c r="AZ2978" s="19"/>
      <c r="BA2978" s="19"/>
      <c r="BB2978" s="19"/>
      <c r="BC2978" s="19"/>
      <c r="BD2978" s="19"/>
      <c r="BE2978" s="19"/>
      <c r="BF2978" s="19"/>
      <c r="BU2978" s="100"/>
    </row>
    <row r="2979" x14ac:dyDescent="0.25">
      <c r="B2979" s="1" t="s">
        <v>515</v>
      </c>
      <c r="C2979" s="19">
        <v>18</v>
      </c>
      <c r="D2979" t="s">
        <v>511</v>
      </c>
      <c r="P2979" s="93"/>
      <c r="Q2979" s="109" t="str">
        <f>R2960&amp;".06"</f>
        <v>A.06</v>
      </c>
      <c r="R2979" s="19"/>
      <c r="S2979" s="19"/>
      <c r="T2979">
        <f t="shared" si="1856"/>
        <v>0</v>
      </c>
      <c r="U2979" s="19"/>
      <c r="V2979">
        <f t="shared" si="1857"/>
        <v>0</v>
      </c>
      <c r="W2979" s="19"/>
      <c r="X2979" s="19"/>
      <c r="Y2979" s="19"/>
      <c r="Z2979" s="19"/>
      <c r="AA2979" s="19"/>
      <c r="AB2979" s="19"/>
      <c r="AC2979" s="19"/>
      <c r="AR2979" s="100"/>
      <c r="AS2979" s="93"/>
      <c r="AT2979" s="109" t="str">
        <f>AU$2960&amp;".06"</f>
        <v>1.06</v>
      </c>
      <c r="AU2979" s="19"/>
      <c r="AV2979" s="19"/>
      <c r="AW2979">
        <f t="shared" si="1858"/>
        <v>0</v>
      </c>
      <c r="AX2979" s="19"/>
      <c r="AY2979">
        <f t="shared" si="1859"/>
        <v>0</v>
      </c>
      <c r="AZ2979" s="19"/>
      <c r="BA2979" s="19"/>
      <c r="BB2979" s="19"/>
      <c r="BC2979" s="19"/>
      <c r="BD2979" s="19"/>
      <c r="BE2979" s="19"/>
      <c r="BF2979" s="19"/>
      <c r="BU2979" s="100"/>
    </row>
    <row r="2980" x14ac:dyDescent="0.25">
      <c r="B2980" s="1" t="s">
        <v>516</v>
      </c>
      <c r="P2980" s="93"/>
      <c r="Q2980" s="109" t="str">
        <f>R2960&amp;".07"</f>
        <v>A.07</v>
      </c>
      <c r="R2980" s="19"/>
      <c r="S2980" s="19"/>
      <c r="T2980">
        <f t="shared" si="1856"/>
        <v>0</v>
      </c>
      <c r="U2980" s="19"/>
      <c r="V2980">
        <f t="shared" si="1857"/>
        <v>0</v>
      </c>
      <c r="W2980" s="19"/>
      <c r="X2980" s="19"/>
      <c r="Y2980" s="19"/>
      <c r="Z2980" s="19"/>
      <c r="AA2980" s="19"/>
      <c r="AB2980" s="19"/>
      <c r="AC2980" s="19"/>
      <c r="AF2980" s="109"/>
      <c r="AR2980" s="100"/>
      <c r="AS2980" s="93"/>
      <c r="AT2980" s="109" t="str">
        <f>AU$2960&amp;".07"</f>
        <v>1.07</v>
      </c>
      <c r="AU2980" s="19"/>
      <c r="AV2980" s="19"/>
      <c r="AW2980">
        <f t="shared" si="1858"/>
        <v>0</v>
      </c>
      <c r="AX2980" s="19"/>
      <c r="AY2980">
        <f t="shared" si="1859"/>
        <v>0</v>
      </c>
      <c r="AZ2980" s="19"/>
      <c r="BA2980" s="19"/>
      <c r="BB2980" s="19"/>
      <c r="BC2980" s="19"/>
      <c r="BD2980" s="19"/>
      <c r="BE2980" s="19"/>
      <c r="BF2980" s="19"/>
      <c r="BI2980" s="109"/>
      <c r="BU2980" s="100"/>
    </row>
    <row r="2981" x14ac:dyDescent="0.25">
      <c r="B2981" s="1" t="s">
        <v>517</v>
      </c>
      <c r="P2981" s="93"/>
      <c r="Q2981" s="109" t="str">
        <f>R2960&amp;".08"</f>
        <v>A.08</v>
      </c>
      <c r="R2981" s="19"/>
      <c r="S2981" s="19"/>
      <c r="T2981">
        <f t="shared" si="1856"/>
        <v>0</v>
      </c>
      <c r="U2981" s="19"/>
      <c r="V2981">
        <f t="shared" si="1857"/>
        <v>0</v>
      </c>
      <c r="W2981" s="19"/>
      <c r="X2981" s="19"/>
      <c r="Y2981" s="19"/>
      <c r="Z2981" s="19"/>
      <c r="AA2981" s="19"/>
      <c r="AB2981" s="19"/>
      <c r="AC2981" s="19"/>
      <c r="AF2981" s="109"/>
      <c r="AR2981" s="100"/>
      <c r="AS2981" s="93"/>
      <c r="AT2981" s="109" t="str">
        <f>AU$2960&amp;".08"</f>
        <v>1.08</v>
      </c>
      <c r="AU2981" s="19"/>
      <c r="AV2981" s="19"/>
      <c r="AW2981">
        <f t="shared" si="1858"/>
        <v>0</v>
      </c>
      <c r="AX2981" s="19"/>
      <c r="AY2981">
        <f t="shared" si="1859"/>
        <v>0</v>
      </c>
      <c r="AZ2981" s="19"/>
      <c r="BA2981" s="19"/>
      <c r="BB2981" s="19"/>
      <c r="BC2981" s="19"/>
      <c r="BD2981" s="19"/>
      <c r="BE2981" s="19"/>
      <c r="BF2981" s="19"/>
      <c r="BI2981" s="109"/>
      <c r="BU2981" s="100"/>
    </row>
    <row r="2982" x14ac:dyDescent="0.25">
      <c r="B2982" s="1" t="s">
        <v>518</v>
      </c>
      <c r="P2982" s="93"/>
      <c r="Q2982" s="109" t="str">
        <f>R2960&amp;".09"</f>
        <v>A.09</v>
      </c>
      <c r="R2982" s="19"/>
      <c r="S2982" s="19"/>
      <c r="T2982">
        <f t="shared" si="1856"/>
        <v>0</v>
      </c>
      <c r="U2982" s="19"/>
      <c r="V2982">
        <f t="shared" si="1857"/>
        <v>0</v>
      </c>
      <c r="W2982" s="19"/>
      <c r="X2982" s="19"/>
      <c r="Y2982" s="19"/>
      <c r="Z2982" s="19"/>
      <c r="AA2982" s="19"/>
      <c r="AB2982" s="19"/>
      <c r="AC2982" s="19"/>
      <c r="AF2982" s="109"/>
      <c r="AR2982" s="100"/>
      <c r="AS2982" s="93"/>
      <c r="AT2982" s="109" t="str">
        <f>AU$2960&amp;".09"</f>
        <v>1.09</v>
      </c>
      <c r="AU2982" s="19"/>
      <c r="AV2982" s="19"/>
      <c r="AW2982">
        <f t="shared" si="1858"/>
        <v>0</v>
      </c>
      <c r="AX2982" s="19"/>
      <c r="AY2982">
        <f t="shared" si="1859"/>
        <v>0</v>
      </c>
      <c r="AZ2982" s="19"/>
      <c r="BA2982" s="19"/>
      <c r="BB2982" s="19"/>
      <c r="BC2982" s="19"/>
      <c r="BD2982" s="19"/>
      <c r="BE2982" s="19"/>
      <c r="BF2982" s="19"/>
      <c r="BI2982" s="109"/>
      <c r="BU2982" s="100"/>
    </row>
    <row r="2983" x14ac:dyDescent="0.25">
      <c r="P2983" s="93"/>
      <c r="Q2983" s="109" t="str">
        <f>R2960&amp;".10"</f>
        <v>A.10</v>
      </c>
      <c r="R2983" s="19"/>
      <c r="S2983" s="19"/>
      <c r="T2983">
        <f t="shared" si="1856"/>
        <v>0</v>
      </c>
      <c r="U2983" s="19"/>
      <c r="V2983">
        <f t="shared" si="1857"/>
        <v>0</v>
      </c>
      <c r="W2983" s="19"/>
      <c r="X2983" s="19"/>
      <c r="Y2983" s="19"/>
      <c r="Z2983" s="19"/>
      <c r="AA2983" s="19"/>
      <c r="AB2983" s="19"/>
      <c r="AC2983" s="19"/>
      <c r="AF2983" s="109"/>
      <c r="AR2983" s="100"/>
      <c r="AS2983" s="93"/>
      <c r="AT2983" s="109" t="str">
        <f>AU$2960&amp;".10"</f>
        <v>1.10</v>
      </c>
      <c r="AU2983" s="19"/>
      <c r="AV2983" s="19"/>
      <c r="AW2983">
        <f t="shared" si="1858"/>
        <v>0</v>
      </c>
      <c r="AX2983" s="19"/>
      <c r="AY2983">
        <f t="shared" si="1859"/>
        <v>0</v>
      </c>
      <c r="AZ2983" s="19"/>
      <c r="BA2983" s="19"/>
      <c r="BB2983" s="19"/>
      <c r="BC2983" s="19"/>
      <c r="BD2983" s="19"/>
      <c r="BE2983" s="19"/>
      <c r="BF2983" s="19"/>
      <c r="BI2983" s="109"/>
      <c r="BU2983" s="100"/>
    </row>
    <row r="2984" x14ac:dyDescent="0.25">
      <c r="C2984" s="112" t="s">
        <v>495</v>
      </c>
      <c r="D2984" s="112"/>
      <c r="E2984" s="112"/>
      <c r="I2984" s="112" t="s">
        <v>495</v>
      </c>
      <c r="J2984" s="112"/>
      <c r="K2984" s="112"/>
      <c r="P2984" s="93"/>
      <c r="Q2984" s="109" t="str">
        <f>R2960&amp;".11"</f>
        <v>A.11</v>
      </c>
      <c r="R2984" s="19"/>
      <c r="S2984" s="19"/>
      <c r="T2984">
        <f t="shared" si="1856"/>
        <v>0</v>
      </c>
      <c r="U2984" s="19"/>
      <c r="V2984">
        <f t="shared" si="1857"/>
        <v>0</v>
      </c>
      <c r="W2984" s="19"/>
      <c r="X2984" s="19"/>
      <c r="Y2984" s="19"/>
      <c r="Z2984" s="19"/>
      <c r="AA2984" s="19"/>
      <c r="AB2984" s="19"/>
      <c r="AC2984" s="19"/>
      <c r="AF2984" s="109"/>
      <c r="AR2984" s="100"/>
      <c r="AS2984" s="93"/>
      <c r="AT2984" s="109" t="str">
        <f>AU$2960&amp;".11"</f>
        <v>1.11</v>
      </c>
      <c r="AU2984" s="19"/>
      <c r="AV2984" s="19"/>
      <c r="AW2984">
        <f t="shared" si="1858"/>
        <v>0</v>
      </c>
      <c r="AX2984" s="19"/>
      <c r="AY2984">
        <f t="shared" si="1859"/>
        <v>0</v>
      </c>
      <c r="AZ2984" s="19"/>
      <c r="BA2984" s="19"/>
      <c r="BB2984" s="19"/>
      <c r="BC2984" s="19"/>
      <c r="BD2984" s="19"/>
      <c r="BE2984" s="19"/>
      <c r="BF2984" s="19"/>
      <c r="BI2984" s="109"/>
      <c r="BU2984" s="100"/>
    </row>
    <row r="2985" x14ac:dyDescent="0.25">
      <c r="B2985" t="s">
        <v>474</v>
      </c>
      <c r="C2985" t="s">
        <v>492</v>
      </c>
      <c r="D2985" t="s">
        <v>493</v>
      </c>
      <c r="E2985" t="s">
        <v>494</v>
      </c>
      <c r="H2985" t="s">
        <v>455</v>
      </c>
      <c r="I2985" t="s">
        <v>492</v>
      </c>
      <c r="J2985" t="s">
        <v>493</v>
      </c>
      <c r="K2985" t="s">
        <v>494</v>
      </c>
      <c r="P2985" s="93"/>
      <c r="Q2985" s="109" t="str">
        <f>R2960&amp;".12"</f>
        <v>A.12</v>
      </c>
      <c r="R2985" s="19"/>
      <c r="S2985" s="19"/>
      <c r="T2985">
        <f t="shared" si="1856"/>
        <v>0</v>
      </c>
      <c r="U2985" s="19"/>
      <c r="V2985">
        <f t="shared" si="1857"/>
        <v>0</v>
      </c>
      <c r="W2985" s="19"/>
      <c r="X2985" s="19"/>
      <c r="Y2985" s="19"/>
      <c r="Z2985" s="19"/>
      <c r="AA2985" s="19"/>
      <c r="AB2985" s="19"/>
      <c r="AC2985" s="19"/>
      <c r="AF2985" s="109"/>
      <c r="AR2985" s="100"/>
      <c r="AS2985" s="93"/>
      <c r="AT2985" s="109" t="str">
        <f>AU$2960&amp;".12"</f>
        <v>1.12</v>
      </c>
      <c r="AU2985" s="19"/>
      <c r="AV2985" s="19"/>
      <c r="AW2985">
        <f t="shared" si="1858"/>
        <v>0</v>
      </c>
      <c r="AX2985" s="19"/>
      <c r="AY2985">
        <f t="shared" si="1859"/>
        <v>0</v>
      </c>
      <c r="AZ2985" s="19"/>
      <c r="BA2985" s="19"/>
      <c r="BB2985" s="19"/>
      <c r="BC2985" s="19"/>
      <c r="BD2985" s="19"/>
      <c r="BE2985" s="19"/>
      <c r="BF2985" s="19"/>
      <c r="BI2985" s="109"/>
      <c r="BU2985" s="100"/>
    </row>
    <row r="2986" x14ac:dyDescent="0.25">
      <c r="B2986" t="s">
        <v>274</v>
      </c>
      <c r="C2986" s="19">
        <v>0</v>
      </c>
      <c r="D2986" s="19">
        <v>29</v>
      </c>
      <c r="E2986">
        <f>C65+D65</f>
        <v>29</v>
      </c>
      <c r="H2986">
        <v>1</v>
      </c>
      <c r="I2986" s="19">
        <v>0</v>
      </c>
      <c r="J2986" s="19">
        <v>27</v>
      </c>
      <c r="K2986">
        <f>I65+J65</f>
        <v>27</v>
      </c>
      <c r="P2986" s="93"/>
      <c r="Q2986" s="109" t="str">
        <f>R2960&amp;".13"</f>
        <v>A.13</v>
      </c>
      <c r="R2986" s="19"/>
      <c r="S2986" s="19"/>
      <c r="T2986">
        <f t="shared" si="1856"/>
        <v>0</v>
      </c>
      <c r="U2986" s="19"/>
      <c r="V2986">
        <f t="shared" si="1857"/>
        <v>0</v>
      </c>
      <c r="W2986" s="19"/>
      <c r="X2986" s="19"/>
      <c r="Y2986" s="19"/>
      <c r="Z2986" s="19"/>
      <c r="AA2986" s="19"/>
      <c r="AB2986" s="19"/>
      <c r="AC2986" s="19"/>
      <c r="AF2986" s="109"/>
      <c r="AR2986" s="100"/>
      <c r="AS2986" s="93"/>
      <c r="AT2986" s="109" t="str">
        <f>AU$2960&amp;".13"</f>
        <v>1.13</v>
      </c>
      <c r="AU2986" s="19"/>
      <c r="AV2986" s="19"/>
      <c r="AW2986">
        <f t="shared" si="1858"/>
        <v>0</v>
      </c>
      <c r="AX2986" s="19"/>
      <c r="AY2986">
        <f t="shared" si="1859"/>
        <v>0</v>
      </c>
      <c r="AZ2986" s="19"/>
      <c r="BA2986" s="19"/>
      <c r="BB2986" s="19"/>
      <c r="BC2986" s="19"/>
      <c r="BD2986" s="19"/>
      <c r="BE2986" s="19"/>
      <c r="BF2986" s="19"/>
      <c r="BI2986" s="109"/>
      <c r="BU2986" s="100"/>
    </row>
    <row r="2987" x14ac:dyDescent="0.25">
      <c r="B2987" t="s">
        <v>279</v>
      </c>
      <c r="C2987" s="19">
        <v>29</v>
      </c>
      <c r="D2987" s="19">
        <v>6</v>
      </c>
      <c r="E2987">
        <f t="shared" ref="E43:E67" si="1860">C43+D43</f>
        <v>35</v>
      </c>
      <c r="H2987">
        <v>2</v>
      </c>
      <c r="I2987" s="19">
        <v>27</v>
      </c>
      <c r="J2987" s="19">
        <v>14</v>
      </c>
      <c r="K2987">
        <f t="shared" ref="K43:K67" si="1861">I43+J43</f>
        <v>41</v>
      </c>
      <c r="P2987" s="93"/>
      <c r="Q2987" s="109" t="str">
        <f>R2960&amp;".14"</f>
        <v>A.14</v>
      </c>
      <c r="R2987" s="19"/>
      <c r="S2987" s="19"/>
      <c r="T2987">
        <f t="shared" si="1856"/>
        <v>0</v>
      </c>
      <c r="U2987" s="19"/>
      <c r="V2987">
        <f t="shared" si="1857"/>
        <v>0</v>
      </c>
      <c r="W2987" s="19"/>
      <c r="X2987" s="19"/>
      <c r="Y2987" s="19"/>
      <c r="Z2987" s="19"/>
      <c r="AA2987" s="19"/>
      <c r="AB2987" s="19"/>
      <c r="AC2987" s="19"/>
      <c r="AF2987" s="109"/>
      <c r="AR2987" s="100"/>
      <c r="AS2987" s="93"/>
      <c r="AT2987" s="109" t="str">
        <f>AU$2960&amp;".14"</f>
        <v>1.14</v>
      </c>
      <c r="AU2987" s="19"/>
      <c r="AV2987" s="19"/>
      <c r="AW2987">
        <f t="shared" si="1858"/>
        <v>0</v>
      </c>
      <c r="AX2987" s="19"/>
      <c r="AY2987">
        <f t="shared" si="1859"/>
        <v>0</v>
      </c>
      <c r="AZ2987" s="19"/>
      <c r="BA2987" s="19"/>
      <c r="BB2987" s="19"/>
      <c r="BC2987" s="19"/>
      <c r="BD2987" s="19"/>
      <c r="BE2987" s="19"/>
      <c r="BF2987" s="19"/>
      <c r="BI2987" s="109"/>
      <c r="BU2987" s="100"/>
    </row>
    <row r="2988" x14ac:dyDescent="0.25">
      <c r="B2988" t="s">
        <v>283</v>
      </c>
      <c r="C2988" s="19">
        <v>6</v>
      </c>
      <c r="D2988" s="19">
        <v>29</v>
      </c>
      <c r="E2988">
        <f t="shared" si="1860"/>
        <v>35</v>
      </c>
      <c r="H2988">
        <v>3</v>
      </c>
      <c r="I2988" s="19">
        <v>14</v>
      </c>
      <c r="J2988" s="19">
        <v>13</v>
      </c>
      <c r="K2988">
        <f t="shared" si="1861"/>
        <v>27</v>
      </c>
      <c r="P2988" s="93"/>
      <c r="Q2988" s="109" t="str">
        <f>R2960&amp;".15"</f>
        <v>A.15</v>
      </c>
      <c r="R2988" s="19"/>
      <c r="S2988" s="19"/>
      <c r="T2988">
        <f t="shared" si="1856"/>
        <v>0</v>
      </c>
      <c r="U2988" s="19"/>
      <c r="V2988">
        <f t="shared" si="1857"/>
        <v>0</v>
      </c>
      <c r="W2988" s="19"/>
      <c r="X2988" s="19"/>
      <c r="Y2988" s="19"/>
      <c r="Z2988" s="19"/>
      <c r="AA2988" s="19"/>
      <c r="AB2988" s="19"/>
      <c r="AC2988" s="19"/>
      <c r="AF2988" s="109"/>
      <c r="AR2988" s="100"/>
      <c r="AS2988" s="93"/>
      <c r="AT2988" s="109" t="str">
        <f>AU$2960&amp;".15"</f>
        <v>1.15</v>
      </c>
      <c r="AU2988" s="19"/>
      <c r="AV2988" s="19"/>
      <c r="AW2988">
        <f t="shared" si="1858"/>
        <v>0</v>
      </c>
      <c r="AX2988" s="19"/>
      <c r="AY2988">
        <f t="shared" si="1859"/>
        <v>0</v>
      </c>
      <c r="AZ2988" s="19"/>
      <c r="BA2988" s="19"/>
      <c r="BB2988" s="19"/>
      <c r="BC2988" s="19"/>
      <c r="BD2988" s="19"/>
      <c r="BE2988" s="19"/>
      <c r="BF2988" s="19"/>
      <c r="BI2988" s="109"/>
      <c r="BU2988" s="100"/>
    </row>
    <row r="2989" x14ac:dyDescent="0.25">
      <c r="B2989" t="s">
        <v>287</v>
      </c>
      <c r="C2989" s="19">
        <v>26</v>
      </c>
      <c r="D2989" s="19">
        <v>26</v>
      </c>
      <c r="E2989">
        <f t="shared" si="1860"/>
        <v>52</v>
      </c>
      <c r="F2989" t="s">
        <v>506</v>
      </c>
      <c r="H2989">
        <v>4</v>
      </c>
      <c r="I2989" s="19">
        <v>13</v>
      </c>
      <c r="J2989" s="19">
        <v>27</v>
      </c>
      <c r="K2989">
        <f t="shared" si="1861"/>
        <v>40</v>
      </c>
      <c r="P2989" s="93"/>
      <c r="Q2989" s="109" t="str">
        <f>R2960&amp;".16"</f>
        <v>A.16</v>
      </c>
      <c r="R2989" s="19"/>
      <c r="S2989" s="19"/>
      <c r="T2989">
        <f t="shared" si="1856"/>
        <v>0</v>
      </c>
      <c r="U2989" s="19"/>
      <c r="V2989">
        <f t="shared" si="1857"/>
        <v>0</v>
      </c>
      <c r="W2989" s="19"/>
      <c r="X2989" s="19"/>
      <c r="Y2989" s="19"/>
      <c r="Z2989" s="19"/>
      <c r="AA2989" s="19"/>
      <c r="AB2989" s="19"/>
      <c r="AC2989" s="19"/>
      <c r="AF2989" s="109"/>
      <c r="AR2989" s="100"/>
      <c r="AS2989" s="93"/>
      <c r="AT2989" s="109" t="str">
        <f>AU$2960&amp;".16"</f>
        <v>1.16</v>
      </c>
      <c r="AU2989" s="19"/>
      <c r="AV2989" s="19"/>
      <c r="AW2989">
        <f t="shared" si="1858"/>
        <v>0</v>
      </c>
      <c r="AX2989" s="19"/>
      <c r="AY2989">
        <f t="shared" si="1859"/>
        <v>0</v>
      </c>
      <c r="AZ2989" s="19"/>
      <c r="BA2989" s="19"/>
      <c r="BB2989" s="19"/>
      <c r="BC2989" s="19"/>
      <c r="BD2989" s="19"/>
      <c r="BE2989" s="19"/>
      <c r="BF2989" s="19"/>
      <c r="BI2989" s="109"/>
      <c r="BU2989" s="100"/>
    </row>
    <row r="2990" x14ac:dyDescent="0.25">
      <c r="B2990" t="s">
        <v>288</v>
      </c>
      <c r="C2990" s="19">
        <v>29</v>
      </c>
      <c r="D2990" s="19">
        <v>0</v>
      </c>
      <c r="E2990">
        <f t="shared" si="1860"/>
        <v>29</v>
      </c>
      <c r="H2990">
        <v>5</v>
      </c>
      <c r="I2990" s="19">
        <v>27</v>
      </c>
      <c r="J2990" s="19">
        <v>11</v>
      </c>
      <c r="K2990">
        <f t="shared" si="1861"/>
        <v>38</v>
      </c>
      <c r="P2990" s="93"/>
      <c r="R2990">
        <f>SUM(R2974:R2989)</f>
        <v>29</v>
      </c>
      <c r="AR2990" s="100"/>
      <c r="AS2990" s="93"/>
      <c r="AU2990">
        <f>SUM(AU2974:AU2989)</f>
        <v>29</v>
      </c>
      <c r="BU2990" s="100"/>
    </row>
    <row r="2991" x14ac:dyDescent="0.25">
      <c r="B2991" t="s">
        <v>293</v>
      </c>
      <c r="C2991" s="19">
        <v>17</v>
      </c>
      <c r="D2991" s="19">
        <v>27</v>
      </c>
      <c r="E2991">
        <f t="shared" si="1860"/>
        <v>44</v>
      </c>
      <c r="H2991">
        <v>6</v>
      </c>
      <c r="I2991" s="19">
        <v>11</v>
      </c>
      <c r="J2991" s="19">
        <v>6</v>
      </c>
      <c r="K2991">
        <f t="shared" si="1861"/>
        <v>17</v>
      </c>
      <c r="P2991" s="93"/>
      <c r="AP2991" t="s">
        <v>746</v>
      </c>
      <c r="AR2991" s="100"/>
      <c r="AS2991" s="93"/>
      <c r="BS2991" t="s">
        <v>746</v>
      </c>
      <c r="BU2991" s="100"/>
    </row>
    <row r="2992" x14ac:dyDescent="0.25">
      <c r="B2992" t="s">
        <v>456</v>
      </c>
      <c r="C2992" s="19">
        <v>27</v>
      </c>
      <c r="D2992" s="19">
        <v>27</v>
      </c>
      <c r="E2992">
        <f t="shared" si="1860"/>
        <v>54</v>
      </c>
      <c r="H2992">
        <v>7</v>
      </c>
      <c r="I2992" s="19">
        <v>6</v>
      </c>
      <c r="J2992" s="19">
        <v>11</v>
      </c>
      <c r="K2992">
        <f t="shared" si="1861"/>
        <v>17</v>
      </c>
      <c r="P2992" s="93"/>
      <c r="Q2992" t="s">
        <v>525</v>
      </c>
      <c r="R2992" t="s">
        <v>263</v>
      </c>
      <c r="S2992" t="s">
        <v>526</v>
      </c>
      <c r="T2992" t="s">
        <v>570</v>
      </c>
      <c r="U2992" t="s">
        <v>571</v>
      </c>
      <c r="V2992" t="s">
        <v>572</v>
      </c>
      <c r="W2992" t="s">
        <v>539</v>
      </c>
      <c r="X2992" t="s">
        <v>538</v>
      </c>
      <c r="Z2992" t="s">
        <v>522</v>
      </c>
      <c r="AA2992" t="s">
        <v>523</v>
      </c>
      <c r="AB2992" t="s">
        <v>541</v>
      </c>
      <c r="AC2992" t="s">
        <v>540</v>
      </c>
      <c r="AD2992" t="s">
        <v>542</v>
      </c>
      <c r="AE2992" t="s">
        <v>520</v>
      </c>
      <c r="AF2992" t="s">
        <v>521</v>
      </c>
      <c r="AG2992" t="s">
        <v>527</v>
      </c>
      <c r="AH2992" t="s">
        <v>528</v>
      </c>
      <c r="AI2992" t="s">
        <v>543</v>
      </c>
      <c r="AJ2992" t="s">
        <v>744</v>
      </c>
      <c r="AK2992" t="s">
        <v>745</v>
      </c>
      <c r="AL2992" t="s">
        <v>749</v>
      </c>
      <c r="AM2992" t="s">
        <v>750</v>
      </c>
      <c r="AN2992" t="s">
        <v>751</v>
      </c>
      <c r="AP2992" t="s">
        <v>747</v>
      </c>
      <c r="AQ2992" t="s">
        <v>748</v>
      </c>
      <c r="AR2992" s="100"/>
      <c r="AS2992" s="93"/>
      <c r="AT2992" t="s">
        <v>525</v>
      </c>
      <c r="AU2992" t="s">
        <v>263</v>
      </c>
      <c r="AV2992" t="s">
        <v>526</v>
      </c>
      <c r="AW2992" t="s">
        <v>570</v>
      </c>
      <c r="AX2992" t="s">
        <v>571</v>
      </c>
      <c r="AY2992" t="s">
        <v>572</v>
      </c>
      <c r="AZ2992" t="s">
        <v>539</v>
      </c>
      <c r="BA2992" t="s">
        <v>538</v>
      </c>
      <c r="BC2992" t="s">
        <v>522</v>
      </c>
      <c r="BD2992" t="s">
        <v>523</v>
      </c>
      <c r="BE2992" t="s">
        <v>541</v>
      </c>
      <c r="BF2992" t="s">
        <v>540</v>
      </c>
      <c r="BG2992" t="s">
        <v>542</v>
      </c>
      <c r="BH2992" t="s">
        <v>520</v>
      </c>
      <c r="BI2992" t="s">
        <v>521</v>
      </c>
      <c r="BJ2992" t="s">
        <v>527</v>
      </c>
      <c r="BK2992" t="s">
        <v>528</v>
      </c>
      <c r="BL2992" t="s">
        <v>543</v>
      </c>
      <c r="BM2992" t="s">
        <v>744</v>
      </c>
      <c r="BN2992" t="s">
        <v>745</v>
      </c>
      <c r="BO2992" t="s">
        <v>749</v>
      </c>
      <c r="BP2992" t="s">
        <v>750</v>
      </c>
      <c r="BQ2992" t="s">
        <v>751</v>
      </c>
      <c r="BS2992" t="s">
        <v>747</v>
      </c>
      <c r="BT2992" t="s">
        <v>748</v>
      </c>
      <c r="BU2992" s="100"/>
    </row>
    <row r="2993" x14ac:dyDescent="0.25">
      <c r="B2993" t="s">
        <v>457</v>
      </c>
      <c r="C2993" s="19">
        <v>27</v>
      </c>
      <c r="D2993" s="19">
        <v>27</v>
      </c>
      <c r="E2993">
        <f t="shared" si="1860"/>
        <v>54</v>
      </c>
      <c r="H2993">
        <v>8</v>
      </c>
      <c r="I2993" s="19">
        <v>20</v>
      </c>
      <c r="J2993" s="19">
        <v>0</v>
      </c>
      <c r="K2993">
        <f t="shared" si="1861"/>
        <v>20</v>
      </c>
      <c r="L2993" t="s">
        <v>506</v>
      </c>
      <c r="P2993" s="93"/>
      <c r="Q2993" s="110" t="str">
        <f>$Q$2974</f>
        <v>A.01</v>
      </c>
      <c r="R2993" t="str">
        <f>$Q$2965</f>
        <v>L2</v>
      </c>
      <c r="S2993">
        <f>$E$21</f>
        <v>10.6875</v>
      </c>
      <c r="T2993" cm="1">
        <f t="array" ref="T2993">IFERROR(IF(S2993=0,0,(INDEX($C$33:$C$38,MATCH($W$2974,$B$33:$B$38,0),0)*(S2997+$X$2974)+$T$2974*COUNTIF(S2993:S2996,"&gt;0")*$C$32+$V$2974*$C$31)*$R$2974),0)</f>
        <v>30539.71875</v>
      </c>
      <c r="U2993">
        <f>IF(S2993=0,0,-(COUNTIF(S2993:S2996,"&gt;0")*$T$2974*$C$32+$V$2974*$C$31)*$H$27*$R$2974)</f>
        <v>-363.31199999999995</v>
      </c>
      <c r="V2993">
        <f>IF(S2993=0,0,$V$2974*$H$26*$R$2974)</f>
        <v>-1328.1999999999998</v>
      </c>
      <c r="W2993">
        <f>(0.6*T2993+0.7*U2993)*$R$2974/2</f>
        <v>262007.93632499999</v>
      </c>
      <c r="X2993">
        <f>(0.6*T2993+0.6*V2993)*$R$2974/2</f>
        <v>254140.21312500001</v>
      </c>
      <c r="Z2993">
        <f>IF(S2993=0,0,$AD$2974*$AP$2965)</f>
        <v>343.06999999999994</v>
      </c>
      <c r="AA2993">
        <f>IFERROR(Z2993/$R$2974,0)</f>
        <v>11.829999999999998</v>
      </c>
      <c r="AB2993">
        <f>Z2993*($F$21+IF($F$21=0,0,($C$14+$C$15+IF($C$13="single",1.5,3)+3)/12))</f>
        <v>3666.5606249999992</v>
      </c>
      <c r="AC2993">
        <f>AB2993-W2993</f>
        <v>-258341.37569999998</v>
      </c>
      <c r="AD2993" cm="1">
        <f t="array" ref="AD2993">IFERROR(IF(AC2993&lt;0,0,AC2993/($R$2974-INDEX(hd_off,MATCH(AQ2993,hd_mark,0),0)/12)),0)</f>
        <v>0</v>
      </c>
      <c r="AE2993">
        <f>IF(S2993=0,0,$AD$2974*$AM$2965)</f>
        <v>7899.5999999999995</v>
      </c>
      <c r="AF2993">
        <f>IFERROR(AE2993/$R$2974,0)</f>
        <v>272.39999999999998</v>
      </c>
      <c r="AG2993">
        <f>AE2993*($F$21+IF($F$21=0,0,($C$14+$C$15+IF($C$13="single",1.5,3)+3)/12))</f>
        <v>84426.974999999991</v>
      </c>
      <c r="AH2993">
        <f>AG2993-X2993</f>
        <v>-169713.23812500003</v>
      </c>
      <c r="AI2993" cm="1">
        <f t="array" ref="AI2993">IFERROR(IF(AH2993&lt;0,0,AH2993/($R$2974-INDEX(hd_off,MATCH(AQ2993,hd_mark,0),0)/12)),0)</f>
        <v>0</v>
      </c>
      <c r="AJ2993">
        <f>MAX($F$21,$Y$2974)/$Q$2996</f>
        <v>0.30172413793103448</v>
      </c>
      <c r="AK2993">
        <f>IF(AJ2993=0,0,IF(AJ2993&gt;2,1.25-0.125*AJ2993,1))</f>
        <v>1</v>
      </c>
      <c r="AL2993" cm="1">
        <f t="array" ref="AL2993">IFERROR(INDEX(sheath_ecap_asd,MATCH(AP2993,sheath_mark,0),0)*AK2993,0)</f>
        <v>239.85714285714286</v>
      </c>
      <c r="AM2993" cm="1">
        <f t="array" ref="AM2993">IFERROR(INDEX(sheath_wcap_asd,MATCH(AP2993,sheath_mark,0),0)*AK2993,0)</f>
        <v>335.8</v>
      </c>
      <c r="AN2993" cm="1">
        <f t="array" ref="AN2993">IFERROR(INDEX(hd_cap,MATCH(AQ2993,hd_mark,0),0),0)</f>
        <v>0</v>
      </c>
      <c r="AP2993" s="19">
        <v>21</v>
      </c>
      <c r="AQ2993" s="19"/>
      <c r="AR2993" s="100"/>
      <c r="AS2993" s="93"/>
      <c r="AT2993" s="110" t="str">
        <f>$AT$2974</f>
        <v>1.01</v>
      </c>
      <c r="AU2993" t="str">
        <f>$Q$2965</f>
        <v>L2</v>
      </c>
      <c r="AV2993">
        <f>$E$21</f>
        <v>10.6875</v>
      </c>
      <c r="AW2993" cm="1">
        <f t="array" ref="AW2993">IFERROR(IF(AV2993=0,0,(INDEX($C$33:$C$38,MATCH($AZ$2974,$B$33:$B$38,0),0)*(AV2997+$BA$2974)+$AW$2974*COUNTIF(AV2993:AV2996,"&gt;0")*$C$32+$AY$2974*$C$31)*$AU$2974),0)</f>
        <v>30539.71875</v>
      </c>
      <c r="AX2993">
        <f>IF(AV2993=0,0,-(COUNTIF(AV2993:AV2996,"&gt;0")*$AW$2974*$C$32+$AY$2974*$C$31)*$H$27*$AU$2974)</f>
        <v>-363.31199999999995</v>
      </c>
      <c r="AY2993">
        <f>IF(AV2993=0,0,$AY$2974*$H$26*$AU$2974)</f>
        <v>-1328.1999999999998</v>
      </c>
      <c r="AZ2993">
        <f>(0.6*AW2993+0.7*AX2993)*$AU$2974/2</f>
        <v>262007.93632499999</v>
      </c>
      <c r="BA2993">
        <f>(0.6*AW2993+0.6*AY2993)*$AU$2974/2</f>
        <v>254140.21312500001</v>
      </c>
      <c r="BC2993">
        <f>IF(AV2993=0,0,$BG$2974*$AP$2965)</f>
        <v>343.06999999999994</v>
      </c>
      <c r="BD2993">
        <f>IFERROR(BC2993/$AU$2974,0)</f>
        <v>11.829999999999998</v>
      </c>
      <c r="BE2993">
        <f>BC2993*($F$21+IF($F$21=0,0,($C$14+$C$15+IF($C$13="single",1.5,3)+3)/12))</f>
        <v>3666.5606249999992</v>
      </c>
      <c r="BF2993">
        <f>BE2993-AZ2993</f>
        <v>-258341.37569999998</v>
      </c>
      <c r="BG2993" cm="1">
        <f t="array" ref="BG2993">IFERROR(IF(BF2993&lt;0,0,BF2993/($AU$2974-INDEX(hd_off,MATCH(BT2993,hd_mark,0),0)/12)),0)</f>
        <v>0</v>
      </c>
      <c r="BH2993">
        <f>IF(AV2993=0,0,$BG$2974*$AM$2965)</f>
        <v>7899.5999999999995</v>
      </c>
      <c r="BI2993">
        <f>IFERROR(BH2993/$AU$2974,0)</f>
        <v>272.39999999999998</v>
      </c>
      <c r="BJ2993">
        <f>BH2993*($F$21+IF($F$21=0,0,($C$14+$C$15+IF($C$13="single",1.5,3)+3)/12))</f>
        <v>84426.974999999991</v>
      </c>
      <c r="BK2993">
        <f>BJ2993-BA2993</f>
        <v>-169713.23812500003</v>
      </c>
      <c r="BL2993" cm="1">
        <f t="array" ref="BL2993">IFERROR(IF(BK2993&lt;0,0,BK2993/($AU$2974-INDEX(hd_off,MATCH(BT2993,hd_mark,0),0)/12)),0)</f>
        <v>0</v>
      </c>
      <c r="BM2993">
        <f>MAX($F$21,$BB$2974)/$Q$2996</f>
        <v>0.30172413793103448</v>
      </c>
      <c r="BN2993">
        <f>IF(BM2993=0,0,IF(BM2993&gt;2,1.25-0.125*BM2993,1))</f>
        <v>1</v>
      </c>
      <c r="BO2993" cm="1">
        <f t="array" ref="BO2993">IFERROR(INDEX(sheath_ecap_asd,MATCH(BS2993,sheath_mark,0),0)*BN2993,0)</f>
        <v>239.85714285714286</v>
      </c>
      <c r="BP2993" cm="1">
        <f t="array" ref="BP2993">IFERROR(INDEX(sheath_wcap_asd,MATCH(BS2993,sheath_mark,0),0)*BN2993,0)</f>
        <v>335.8</v>
      </c>
      <c r="BQ2993" cm="1">
        <f t="array" ref="BQ2993">IFERROR(INDEX(hd_cap,MATCH(BT2993,hd_mark,0),0),0)</f>
        <v>0</v>
      </c>
      <c r="BS2993" s="19">
        <v>21</v>
      </c>
      <c r="BT2993" s="19"/>
      <c r="BU2993" s="100"/>
    </row>
    <row r="2994" x14ac:dyDescent="0.25">
      <c r="B2994" t="s">
        <v>458</v>
      </c>
      <c r="C2994" s="19">
        <v>27</v>
      </c>
      <c r="D2994" s="19">
        <v>27</v>
      </c>
      <c r="E2994">
        <f t="shared" si="1860"/>
        <v>54</v>
      </c>
      <c r="H2994">
        <v>9</v>
      </c>
      <c r="I2994" s="19">
        <v>30</v>
      </c>
      <c r="J2994" s="19">
        <v>0</v>
      </c>
      <c r="K2994">
        <f t="shared" si="1861"/>
        <v>30</v>
      </c>
      <c r="P2994" s="93"/>
      <c r="Q2994" s="109"/>
      <c r="R2994" t="str">
        <f>$Q$2966</f>
        <v>L3</v>
      </c>
      <c r="S2994">
        <f>$E$22</f>
        <v>21.375</v>
      </c>
      <c r="T2994" cm="1">
        <f t="array" ref="T2994">IFERROR(IF(S2994=0,0,(INDEX($C$33:$C$38,MATCH($W$2974,$B$33:$B$38,0),0)*(S2997+$X$2974)+$T$2974*COUNTIF(S2994:S2996,"&gt;0")*$C$32+$V$2974*$C$31)*$R$2974),0)</f>
        <v>26015.71875</v>
      </c>
      <c r="U2994">
        <f>IF(S2994=0,0,-(COUNTIF(S2994:S2996,"&gt;0")*$T$2974*$C$32+$V$2974*$C$31)*$H$27*$R$2974)</f>
        <v>-200.44799999999998</v>
      </c>
      <c r="V2994">
        <f>IF(S2994=0,0,$V$2974*$H$26*$R$2974)</f>
        <v>-1328.1999999999998</v>
      </c>
      <c r="W2994">
        <f t="shared" ref="W2994:W2996" si="1862">(0.6*T2994+0.7*U2994)*$R$2974/2</f>
        <v>224302.20592500002</v>
      </c>
      <c r="X2994">
        <f>T2994*$R$2974/2</f>
        <v>377227.921875</v>
      </c>
      <c r="Z2994">
        <f>IF(S2994=0,0,$AD$2974*$AP$2966)</f>
        <v>376.565</v>
      </c>
      <c r="AA2994">
        <f>IFERROR(Z2994/$R$2974,0)</f>
        <v>12.984999999999999</v>
      </c>
      <c r="AB2994">
        <f>Z2994*($F$22+IF($F$22=0,0,($C$14+$C$15+IF($C$13="single",1.5,3)+3)/12))</f>
        <v>4024.5384374999999</v>
      </c>
      <c r="AC2994">
        <f>AB2994-W2994</f>
        <v>-220277.6674875</v>
      </c>
      <c r="AD2994" cm="1">
        <f t="array" ref="AD2994">IFERROR(IF(AC2994&lt;0,0,AC2994/($R$2974-INDEX(hd_off,MATCH(AQ2994,hd_mark,0),0)/12)),0)</f>
        <v>0</v>
      </c>
      <c r="AE2994">
        <f>IF(S2994=0,0,$AD$2974*$AM$2966)</f>
        <v>5846.4</v>
      </c>
      <c r="AF2994">
        <f>IFERROR(AE2994/$R$2974,0)</f>
        <v>201.6</v>
      </c>
      <c r="AG2994">
        <f>AE2994*($F$22+IF($F$22=0,0,($C$14+$C$15+IF($C$13="single",1.5,3)+3)/12))</f>
        <v>62483.399999999994</v>
      </c>
      <c r="AH2994">
        <f>AG2994-X2994</f>
        <v>-314744.52187499998</v>
      </c>
      <c r="AI2994" cm="1">
        <f t="array" ref="AI2994">IFERROR(IF(AH2994&lt;0,0,AH2994/($R$2974-INDEX(hd_off,MATCH(AQ2994,hd_mark,0),0)/12)),0)</f>
        <v>0</v>
      </c>
      <c r="AJ2994">
        <f>MAX($F$22,$Z$2974)/$Q$2996</f>
        <v>0.30172413793103448</v>
      </c>
      <c r="AK2994">
        <f t="shared" ref="AK2994:AK2997" si="1863">IF(AJ2994=0,0,IF(AJ2994&gt;2,1.25-0.125*AJ2994,1))</f>
        <v>1</v>
      </c>
      <c r="AL2994" cm="1">
        <f t="array" ref="AL2994">IFERROR(INDEX(sheath_ecap_asd,MATCH(AP2994,sheath_mark,0),0)*AK2994,0)</f>
        <v>239.85714285714286</v>
      </c>
      <c r="AM2994" cm="1">
        <f t="array" ref="AM2994">IFERROR(INDEX(sheath_wcap_asd,MATCH(AP2994,sheath_mark,0),0)*AK2994,0)</f>
        <v>335.8</v>
      </c>
      <c r="AN2994" cm="1">
        <f t="array" ref="AN2994">IFERROR(INDEX(hd_cap,MATCH(AQ2994,hd_mark,0),0),0)</f>
        <v>0</v>
      </c>
      <c r="AP2994" s="19">
        <v>21</v>
      </c>
      <c r="AQ2994" s="19"/>
      <c r="AR2994" s="100"/>
      <c r="AS2994" s="93"/>
      <c r="AT2994" s="109"/>
      <c r="AU2994" t="str">
        <f>$Q$2966</f>
        <v>L3</v>
      </c>
      <c r="AV2994">
        <f>$E$22</f>
        <v>21.375</v>
      </c>
      <c r="AW2994" cm="1">
        <f t="array" ref="AW2994">IFERROR(IF(AV2994=0,0,(INDEX($C$33:$C$38,MATCH($AZ$2974,$B$33:$B$38,0),0)*(AV2997+$BA$2974)+$AW$2974*COUNTIF(AV2994:AV2996,"&gt;0")*$C$32+$AY$2974*$C$31)*$AU$2974),0)</f>
        <v>26015.71875</v>
      </c>
      <c r="AX2994">
        <f>IF(AV2994=0,0,-(COUNTIF(AV2994:AV2996,"&gt;0")*$AW$2974*$C$32+$AY$2974*$C$31)*$H$27*$AU$2974)</f>
        <v>-200.44799999999998</v>
      </c>
      <c r="AY2994">
        <f>IF(AV2994=0,0,$AY$2974*$H$26*$AU$2974)</f>
        <v>-1328.1999999999998</v>
      </c>
      <c r="AZ2994">
        <f>(0.6*AW2994+0.7*AX2994)*$AU$2974/2</f>
        <v>224302.20592500002</v>
      </c>
      <c r="BA2994">
        <f>AW2994*$AU$2974/2</f>
        <v>377227.921875</v>
      </c>
      <c r="BC2994">
        <f>IF(AV2994=0,0,$BG$2974*$AP$2966)</f>
        <v>376.565</v>
      </c>
      <c r="BD2994">
        <f>IFERROR(BC2994/$AU$2974,0)</f>
        <v>12.984999999999999</v>
      </c>
      <c r="BE2994">
        <f>BC2994*($F$22+IF($F$22=0,0,($C$14+$C$15+IF($C$13="single",1.5,3)+3)/12))</f>
        <v>4024.5384374999999</v>
      </c>
      <c r="BF2994">
        <f>BE2994-AZ2994</f>
        <v>-220277.6674875</v>
      </c>
      <c r="BG2994" cm="1">
        <f t="array" ref="BG2994">IFERROR(IF(BF2994&lt;0,0,BF2994/($AU$2974-INDEX(hd_off,MATCH(BT2994,hd_mark,0),0)/12)),0)</f>
        <v>0</v>
      </c>
      <c r="BH2994">
        <f>IF(AV2994=0,0,$BG$2974*$AM$2966)</f>
        <v>5846.4</v>
      </c>
      <c r="BI2994">
        <f>IFERROR(BH2994/$AU$2974,0)</f>
        <v>201.6</v>
      </c>
      <c r="BJ2994">
        <f>BH2994*($F$22+IF($F$22=0,0,($C$14+$C$15+IF($C$13="single",1.5,3)+3)/12))</f>
        <v>62483.399999999994</v>
      </c>
      <c r="BK2994">
        <f>BJ2994-BA2994</f>
        <v>-314744.52187499998</v>
      </c>
      <c r="BL2994" cm="1">
        <f t="array" ref="BL2994">IFERROR(IF(BK2994&lt;0,0,BK2994/($AU$2974-INDEX(hd_off,MATCH(BT2994,hd_mark,0),0)/12)),0)</f>
        <v>0</v>
      </c>
      <c r="BM2994">
        <f>MAX($F$22,$BC$2974)/$Q$2996</f>
        <v>0.30172413793103448</v>
      </c>
      <c r="BN2994">
        <f t="shared" ref="BN2994:BN2997" si="1864">IF(BM2994=0,0,IF(BM2994&gt;2,1.25-0.125*BM2994,1))</f>
        <v>1</v>
      </c>
      <c r="BO2994" cm="1">
        <f t="array" ref="BO2994">IFERROR(INDEX(sheath_ecap_asd,MATCH(BS2994,sheath_mark,0),0)*BN2994,0)</f>
        <v>239.85714285714286</v>
      </c>
      <c r="BP2994" cm="1">
        <f t="array" ref="BP2994">IFERROR(INDEX(sheath_wcap_asd,MATCH(BS2994,sheath_mark,0),0)*BN2994,0)</f>
        <v>335.8</v>
      </c>
      <c r="BQ2994" cm="1">
        <f t="array" ref="BQ2994">IFERROR(INDEX(hd_cap,MATCH(BT2994,hd_mark,0),0),0)</f>
        <v>0</v>
      </c>
      <c r="BS2994" s="19">
        <v>21</v>
      </c>
      <c r="BT2994" s="19"/>
      <c r="BU2994" s="100"/>
    </row>
    <row r="2995" x14ac:dyDescent="0.25">
      <c r="B2995" t="s">
        <v>459</v>
      </c>
      <c r="C2995" s="19">
        <v>27</v>
      </c>
      <c r="D2995" s="19">
        <v>41</v>
      </c>
      <c r="E2995">
        <f t="shared" si="1860"/>
        <v>68</v>
      </c>
      <c r="F2995" t="s">
        <v>506</v>
      </c>
      <c r="H2995">
        <v>10</v>
      </c>
      <c r="I2995" s="19">
        <v>30</v>
      </c>
      <c r="J2995" s="19">
        <v>0</v>
      </c>
      <c r="K2995">
        <f t="shared" si="1861"/>
        <v>30</v>
      </c>
      <c r="P2995" s="93"/>
      <c r="Q2995" s="109" t="s">
        <v>491</v>
      </c>
      <c r="R2995" t="str">
        <f>$Q$2967</f>
        <v>L4</v>
      </c>
      <c r="S2995">
        <f>$E$23</f>
        <v>0</v>
      </c>
      <c r="T2995" cm="1">
        <f t="array" ref="T2995">IFERROR(IF(S2995=0,0,(INDEX($C$33:$C$38,MATCH($W$2974,$B$33:$B$38,0),0)*(S2997+$X$2974)+$T$2974*COUNTIF(S2995:S2996,"&gt;0")*$C$32+$V$2974*$C$31)*$R$2974),0)</f>
        <v>0</v>
      </c>
      <c r="U2995">
        <f>IF(S2995=0,0,-(COUNTIF(S2995:S2996,"&gt;0")*$T$2974*$C$32+$V$2974*$C$31)*$H$27*$R$2974)</f>
        <v>0</v>
      </c>
      <c r="V2995">
        <f>IF(S2995=0,0,$V$2974*$H$26*$R$2974)</f>
        <v>0</v>
      </c>
      <c r="W2995">
        <f t="shared" si="1862"/>
        <v>0</v>
      </c>
      <c r="X2995">
        <f>T2995*$R$2974/2</f>
        <v>0</v>
      </c>
      <c r="Z2995">
        <f>IF(S2995=0,0,$AD$2974*$AP$2967)</f>
        <v>0</v>
      </c>
      <c r="AA2995">
        <f>IFERROR(Z2995/$R$2974,0)</f>
        <v>0</v>
      </c>
      <c r="AB2995">
        <f>Z2995*($F$23+IF($F$23=0,0,($C$14+$C$15+IF($C$13="single",1.5,3)+3)/12))</f>
        <v>0</v>
      </c>
      <c r="AC2995">
        <f>AB2995-W2995</f>
        <v>0</v>
      </c>
      <c r="AD2995" cm="1">
        <f t="array" ref="AD2995">IFERROR(IF(AC2995&lt;0,0,AC2995/($R$2974-INDEX(hd_off,MATCH(AQ2995,hd_mark,0),0)/12)),0)</f>
        <v>0</v>
      </c>
      <c r="AE2995">
        <f>IF(S2995=0,0,$AD$2974*$AM$2967)</f>
        <v>0</v>
      </c>
      <c r="AF2995">
        <f>IFERROR(AE2995/$R$2974,0)</f>
        <v>0</v>
      </c>
      <c r="AG2995">
        <f>AE2995*($F$23+IF($F$23=0,0,($C$14+$C$15+IF($C$13="single",1.5,3)+3)/12))</f>
        <v>0</v>
      </c>
      <c r="AH2995">
        <f>AG2995-X2995</f>
        <v>0</v>
      </c>
      <c r="AI2995" cm="1">
        <f t="array" ref="AI2995">IFERROR(IF(AH2995&lt;0,0,AH2995/($R$2974-INDEX(hd_off,MATCH(AQ2995,hd_mark,0),0)/12)),0)</f>
        <v>0</v>
      </c>
      <c r="AJ2995">
        <f>MAX($F$23,$AA$2974)/$Q$2996</f>
        <v>0</v>
      </c>
      <c r="AK2995">
        <f t="shared" si="1863"/>
        <v>0</v>
      </c>
      <c r="AL2995" cm="1">
        <f t="array" ref="AL2995">IFERROR(INDEX(sheath_ecap_asd,MATCH(AP2995,sheath_mark,0),0)*AK2995,0)</f>
        <v>0</v>
      </c>
      <c r="AM2995" cm="1">
        <f t="array" ref="AM2995">IFERROR(INDEX(sheath_wcap_asd,MATCH(AP2995,sheath_mark,0),0)*AK2995,0)</f>
        <v>0</v>
      </c>
      <c r="AN2995" cm="1">
        <f t="array" ref="AN2995">IFERROR(INDEX(hd_cap,MATCH(AQ2995,hd_mark,0),0),0)</f>
        <v>0</v>
      </c>
      <c r="AP2995" s="19"/>
      <c r="AQ2995" s="19"/>
      <c r="AR2995" s="100"/>
      <c r="AS2995" s="93"/>
      <c r="AT2995" s="109" t="s">
        <v>491</v>
      </c>
      <c r="AU2995" t="str">
        <f>$Q$2967</f>
        <v>L4</v>
      </c>
      <c r="AV2995">
        <f>$E$23</f>
        <v>0</v>
      </c>
      <c r="AW2995" cm="1">
        <f t="array" ref="AW2995">IFERROR(IF(AV2995=0,0,(INDEX($C$33:$C$38,MATCH($AZ$2974,$B$33:$B$38,0),0)*(AV2997+$BA$2974)+$AW$2974*COUNTIF(AV2995:AV2996,"&gt;0")*$C$32+$AY$2974*$C$31)*$AU$2974),0)</f>
        <v>0</v>
      </c>
      <c r="AX2995">
        <f>IF(AV2995=0,0,-(COUNTIF(AV2995:AV2996,"&gt;0")*$AW$2974*$C$32+$AY$2974*$C$31)*$H$27*$AU$2974)</f>
        <v>0</v>
      </c>
      <c r="AY2995">
        <f>IF(AV2995=0,0,$AY$2974*$H$26*$AU$2974)</f>
        <v>0</v>
      </c>
      <c r="AZ2995">
        <f>(0.6*AW2995+0.7*AX2995)*$AU$2974/2</f>
        <v>0</v>
      </c>
      <c r="BA2995">
        <f>AW2995*$AU$2974/2</f>
        <v>0</v>
      </c>
      <c r="BC2995">
        <f>IF(AV2995=0,0,$BG$2974*$AP$2967)</f>
        <v>0</v>
      </c>
      <c r="BD2995">
        <f>IFERROR(BC2995/$AU$2974,0)</f>
        <v>0</v>
      </c>
      <c r="BE2995">
        <f>BC2995*($F$23+IF($F$23=0,0,($C$14+$C$15+IF($C$13="single",1.5,3)+3)/12))</f>
        <v>0</v>
      </c>
      <c r="BF2995">
        <f>BE2995-AZ2995</f>
        <v>0</v>
      </c>
      <c r="BG2995" cm="1">
        <f t="array" ref="BG2995">IFERROR(IF(BF2995&lt;0,0,BF2995/($AU$2974-INDEX(hd_off,MATCH(BT2995,hd_mark,0),0)/12)),0)</f>
        <v>0</v>
      </c>
      <c r="BH2995">
        <f>IF(AV2995=0,0,$BG$2974*$AM$2967)</f>
        <v>0</v>
      </c>
      <c r="BI2995">
        <f>IFERROR(BH2995/$AU$2974,0)</f>
        <v>0</v>
      </c>
      <c r="BJ2995">
        <f>BH2995*($F$23+IF($F$23=0,0,($C$14+$C$15+IF($C$13="single",1.5,3)+3)/12))</f>
        <v>0</v>
      </c>
      <c r="BK2995">
        <f>BJ2995-BA2995</f>
        <v>0</v>
      </c>
      <c r="BL2995" cm="1">
        <f t="array" ref="BL2995">IFERROR(IF(BK2995&lt;0,0,BK2995/($AU$2974-INDEX(hd_off,MATCH(BT2995,hd_mark,0),0)/12)),0)</f>
        <v>0</v>
      </c>
      <c r="BM2995">
        <f>MAX($F$23,$BD$2974)/$Q$2996</f>
        <v>0</v>
      </c>
      <c r="BN2995">
        <f t="shared" si="1864"/>
        <v>0</v>
      </c>
      <c r="BO2995" cm="1">
        <f t="array" ref="BO2995">IFERROR(INDEX(sheath_ecap_asd,MATCH(BS2995,sheath_mark,0),0)*BN2995,0)</f>
        <v>0</v>
      </c>
      <c r="BP2995" cm="1">
        <f t="array" ref="BP2995">IFERROR(INDEX(sheath_wcap_asd,MATCH(BS2995,sheath_mark,0),0)*BN2995,0)</f>
        <v>0</v>
      </c>
      <c r="BQ2995" cm="1">
        <f t="array" ref="BQ2995">IFERROR(INDEX(hd_cap,MATCH(BT2995,hd_mark,0),0),0)</f>
        <v>0</v>
      </c>
      <c r="BS2995" s="19"/>
      <c r="BT2995" s="19"/>
      <c r="BU2995" s="100"/>
    </row>
    <row r="2996" x14ac:dyDescent="0.25">
      <c r="B2996" t="s">
        <v>171</v>
      </c>
      <c r="C2996" s="19">
        <v>0</v>
      </c>
      <c r="D2996" s="19">
        <v>29</v>
      </c>
      <c r="E2996">
        <f t="shared" si="1860"/>
        <v>29</v>
      </c>
      <c r="H2996">
        <v>11</v>
      </c>
      <c r="I2996" s="19">
        <v>0</v>
      </c>
      <c r="J2996" s="19">
        <v>27</v>
      </c>
      <c r="K2996">
        <f t="shared" si="1861"/>
        <v>27</v>
      </c>
      <c r="P2996" s="93"/>
      <c r="Q2996" s="111">
        <f>$R$2974</f>
        <v>29</v>
      </c>
      <c r="R2996" t="str">
        <f>$Q$2968</f>
        <v>L5</v>
      </c>
      <c r="S2996">
        <f>$E$24</f>
        <v>0</v>
      </c>
      <c r="T2996" cm="1">
        <f t="array" ref="T2996">IFERROR(IF(S2996=0,0,(INDEX($C$33:$C$38,MATCH($W$2974,$B$33:$B$38,0),0)*(S2997+$X$2974)+$T$2974*COUNTIF(S2996:S2996,"&gt;0")*$C$32+$V$2974*$C$31)*$R$2974),0)</f>
        <v>0</v>
      </c>
      <c r="U2996">
        <f>IF(S2996=0,0,-(COUNTIF(S2996:S2996,"&gt;0")*$T$2974*$C$32+$V$2974*$C$31)*$H$27*$R$2974)</f>
        <v>0</v>
      </c>
      <c r="V2996">
        <f>IF(S2996=0,0,$V$2974*$H$26*$R$2974)</f>
        <v>0</v>
      </c>
      <c r="W2996">
        <f t="shared" si="1862"/>
        <v>0</v>
      </c>
      <c r="X2996">
        <f>T2996*$R$2974/2</f>
        <v>0</v>
      </c>
      <c r="Z2996">
        <f>IF(S2996=0,0,$AD$2974*$AP$2968)</f>
        <v>0</v>
      </c>
      <c r="AA2996">
        <f>IFERROR(Z2996/$R$2974,0)</f>
        <v>0</v>
      </c>
      <c r="AB2996">
        <f>Z2996*($F$24+IF($F$24=0,0,($C$14+$C$15+IF($C$13="single",1.5,3)+3)/12))</f>
        <v>0</v>
      </c>
      <c r="AC2996">
        <f>AB2996-W2996</f>
        <v>0</v>
      </c>
      <c r="AD2996" cm="1">
        <f t="array" ref="AD2996">IFERROR(IF(AC2996&lt;0,0,AC2996/($R$2974-INDEX(hd_off,MATCH(AQ2996,hd_mark,0),0)/12)),0)</f>
        <v>0</v>
      </c>
      <c r="AE2996">
        <f>IF(S2996=0,0,$AD$2974*$AM$2968)</f>
        <v>0</v>
      </c>
      <c r="AF2996">
        <f>IFERROR(AE2996/$R$2974,0)</f>
        <v>0</v>
      </c>
      <c r="AG2996">
        <f>AE2996*($F$24+IF($F$24=0,0,($C$14+$C$15+IF($C$13="single",1.5,3)+3)/12))</f>
        <v>0</v>
      </c>
      <c r="AH2996">
        <f>AG2996-X2996</f>
        <v>0</v>
      </c>
      <c r="AI2996" cm="1">
        <f t="array" ref="AI2996">IFERROR(IF(AH2996&lt;0,0,AH2996/($R$2974-INDEX(hd_off,MATCH(AQ2996,hd_mark,0),0)/12)),0)</f>
        <v>0</v>
      </c>
      <c r="AJ2996">
        <f>MAX($F$24,$AB$2974)/$Q$2996</f>
        <v>0</v>
      </c>
      <c r="AK2996">
        <f t="shared" si="1863"/>
        <v>0</v>
      </c>
      <c r="AL2996" cm="1">
        <f t="array" ref="AL2996">IFERROR(INDEX(sheath_ecap_asd,MATCH(AP2996,sheath_mark,0),0)*AK2996,0)</f>
        <v>0</v>
      </c>
      <c r="AM2996" cm="1">
        <f t="array" ref="AM2996">IFERROR(INDEX(sheath_wcap_asd,MATCH(AP2996,sheath_mark,0),0)*AK2996,0)</f>
        <v>0</v>
      </c>
      <c r="AN2996" cm="1">
        <f t="array" ref="AN2996">IFERROR(INDEX(hd_cap,MATCH(AQ2996,hd_mark,0),0),0)</f>
        <v>0</v>
      </c>
      <c r="AP2996" s="19"/>
      <c r="AQ2996" s="19"/>
      <c r="AR2996" s="100"/>
      <c r="AS2996" s="93"/>
      <c r="AT2996" s="111">
        <f>$R$2974</f>
        <v>29</v>
      </c>
      <c r="AU2996" t="str">
        <f>$Q$2968</f>
        <v>L5</v>
      </c>
      <c r="AV2996">
        <f>$E$24</f>
        <v>0</v>
      </c>
      <c r="AW2996" cm="1">
        <f t="array" ref="AW2996">IFERROR(IF(AV2996=0,0,(INDEX($C$33:$C$38,MATCH($AZ$2974,$B$33:$B$38,0),0)*(AV2997+$BA$2974)+$AW$2974*COUNTIF(AV2996:AV2996,"&gt;0")*$C$32+$AY$2974*$C$31)*$AU$2974),0)</f>
        <v>0</v>
      </c>
      <c r="AX2996">
        <f>IF(AV2996=0,0,-(COUNTIF(AV2996:AV2996,"&gt;0")*$AW$2974*$C$32+$AY$2974*$C$31)*$H$27*$AU$2974)</f>
        <v>0</v>
      </c>
      <c r="AY2996">
        <f>IF(AV2996=0,0,$AY$2974*$H$26*$AU$2974)</f>
        <v>0</v>
      </c>
      <c r="AZ2996">
        <f>(0.6*AW2996+0.7*AX2996)*$AU$2974/2</f>
        <v>0</v>
      </c>
      <c r="BA2996">
        <f>AW2996*$AU$2974/2</f>
        <v>0</v>
      </c>
      <c r="BC2996">
        <f>IF(AV2996=0,0,$BG$2974*$AP$2968)</f>
        <v>0</v>
      </c>
      <c r="BD2996">
        <f>IFERROR(BC2996/$AU$2974,0)</f>
        <v>0</v>
      </c>
      <c r="BE2996">
        <f>BC2996*($F$24+IF($F$24=0,0,($C$14+$C$15+IF($C$13="single",1.5,3)+3)/12))</f>
        <v>0</v>
      </c>
      <c r="BF2996">
        <f>BE2996-AZ2996</f>
        <v>0</v>
      </c>
      <c r="BG2996" cm="1">
        <f t="array" ref="BG2996">IFERROR(IF(BF2996&lt;0,0,BF2996/($AU$2974-INDEX(hd_off,MATCH(BT2996,hd_mark,0),0)/12)),0)</f>
        <v>0</v>
      </c>
      <c r="BH2996">
        <f>IF(AV2996=0,0,$BG$2974*$AM$2968)</f>
        <v>0</v>
      </c>
      <c r="BI2996">
        <f>IFERROR(BH2996/$AU$2974,0)</f>
        <v>0</v>
      </c>
      <c r="BJ2996">
        <f>BH2996*($F$24+IF($F$24=0,0,($C$14+$C$15+IF($C$13="single",1.5,3)+3)/12))</f>
        <v>0</v>
      </c>
      <c r="BK2996">
        <f>BJ2996-BA2996</f>
        <v>0</v>
      </c>
      <c r="BL2996" cm="1">
        <f t="array" ref="BL2996">IFERROR(IF(BK2996&lt;0,0,BK2996/($AU$2974-INDEX(hd_off,MATCH(BT2996,hd_mark,0),0)/12)),0)</f>
        <v>0</v>
      </c>
      <c r="BM2996">
        <f>MAX($F$24,$BE$2974)/$Q$2996</f>
        <v>0</v>
      </c>
      <c r="BN2996">
        <f t="shared" si="1864"/>
        <v>0</v>
      </c>
      <c r="BO2996" cm="1">
        <f t="array" ref="BO2996">IFERROR(INDEX(sheath_ecap_asd,MATCH(BS2996,sheath_mark,0),0)*BN2996,0)</f>
        <v>0</v>
      </c>
      <c r="BP2996" cm="1">
        <f t="array" ref="BP2996">IFERROR(INDEX(sheath_wcap_asd,MATCH(BS2996,sheath_mark,0),0)*BN2996,0)</f>
        <v>0</v>
      </c>
      <c r="BQ2996" cm="1">
        <f t="array" ref="BQ2996">IFERROR(INDEX(hd_cap,MATCH(BT2996,hd_mark,0),0),0)</f>
        <v>0</v>
      </c>
      <c r="BS2996" s="19"/>
      <c r="BT2996" s="19"/>
      <c r="BU2996" s="100"/>
    </row>
    <row r="2997" x14ac:dyDescent="0.25">
      <c r="B2997" t="s">
        <v>460</v>
      </c>
      <c r="C2997" s="19">
        <v>29</v>
      </c>
      <c r="D2997" s="19">
        <v>6</v>
      </c>
      <c r="E2997">
        <f t="shared" si="1860"/>
        <v>35</v>
      </c>
      <c r="H2997">
        <v>12</v>
      </c>
      <c r="I2997" s="19">
        <v>27</v>
      </c>
      <c r="J2997" s="19">
        <v>14</v>
      </c>
      <c r="K2997">
        <f t="shared" si="1861"/>
        <v>41</v>
      </c>
      <c r="P2997" s="93"/>
      <c r="Q2997" s="109"/>
      <c r="R2997" t="str">
        <f>$Q$2969</f>
        <v>Roof</v>
      </c>
      <c r="S2997">
        <f>$E$25</f>
        <v>33.171875</v>
      </c>
      <c r="T2997" cm="1">
        <f t="array" ref="T2997">IFERROR(IF(S2997=0,0,(INDEX($C$33:$C$38,MATCH($W$2974,$B$33:$B$38,0),0)*(S2997+$X$2974)+$V$2974*$C$31)*$R$2974),0)</f>
        <v>21491.71875</v>
      </c>
      <c r="U2997">
        <f>IF(S2997=0,0,-$V$2974*$C$31*$H$27*$R$2974)</f>
        <v>-37.583999999999996</v>
      </c>
      <c r="V2997">
        <f>IF(S2997=0,0,$V$2974*$H$26*$R$2974)</f>
        <v>-1328.1999999999998</v>
      </c>
      <c r="W2997">
        <f>(0.6*T2997+0.7*U2997)*$R$2974/2</f>
        <v>186596.47552499999</v>
      </c>
      <c r="X2997">
        <f>T2997*$R$2974/2</f>
        <v>311629.921875</v>
      </c>
      <c r="Z2997">
        <f>IF(S2997=0,0,$AD$2974*$AP$2969)</f>
        <v>191.83499999999995</v>
      </c>
      <c r="AA2997">
        <f>IFERROR(Z2997/$R$2974,0)</f>
        <v>6.6149999999999984</v>
      </c>
      <c r="AB2997">
        <f>Z2997*($F$25+($C$16+$C$17+IF($C$13="single",1.5,3)+3)/12)</f>
        <v>2263.0535156249989</v>
      </c>
      <c r="AC2997">
        <f>AB2997-W2997</f>
        <v>-184333.42200937498</v>
      </c>
      <c r="AD2997" cm="1">
        <f t="array" ref="AD2997">IFERROR(IF(AC2997&lt;0,0,AC2997/($R$2974-INDEX(hd_off,MATCH(AQ2997,hd_mark,0),0)/12)),0)</f>
        <v>0</v>
      </c>
      <c r="AE2997">
        <f>IF(S2997=0,0,$AD$2974*$AM$2969)</f>
        <v>3854.1</v>
      </c>
      <c r="AF2997">
        <f>IFERROR(AE2997/$R$2974,0)</f>
        <v>132.9</v>
      </c>
      <c r="AG2997">
        <f>AE2997*($F$25+($C$16+$C$17+IF($C$13="single",1.5,3)+3)/12)</f>
        <v>45466.335937499993</v>
      </c>
      <c r="AH2997">
        <f>AG2997-X2997</f>
        <v>-266163.5859375</v>
      </c>
      <c r="AI2997" cm="1">
        <f t="array" ref="AI2997">IFERROR(IF(AH2997&lt;0,0,AH2997/($R$2974-INDEX(hd_off,MATCH(AQ2997,hd_mark,0),0)/12)),0)</f>
        <v>0</v>
      </c>
      <c r="AJ2997">
        <f>MAX($F$25,$AC$2974)/$Q$2996</f>
        <v>0.29920977011494249</v>
      </c>
      <c r="AK2997">
        <f t="shared" si="1863"/>
        <v>1</v>
      </c>
      <c r="AL2997" cm="1">
        <f t="array" ref="AL2997">IFERROR(INDEX(sheath_ecap_asd,MATCH(AP2997,sheath_mark,0),0)*AK2997,0)</f>
        <v>95.285714285714306</v>
      </c>
      <c r="AM2997" cm="1">
        <f t="array" ref="AM2997">IFERROR(INDEX(sheath_wcap_asd,MATCH(AP2997,sheath_mark,0),0)*AK2997,0)</f>
        <v>133.4</v>
      </c>
      <c r="AN2997" cm="1">
        <f t="array" ref="AN2997">IFERROR(INDEX(hd_cap,MATCH(AQ2997,hd_mark,0),0),0)</f>
        <v>0</v>
      </c>
      <c r="AP2997" s="19">
        <v>11</v>
      </c>
      <c r="AQ2997" s="19"/>
      <c r="AR2997" s="100"/>
      <c r="AS2997" s="93"/>
      <c r="AT2997" s="109"/>
      <c r="AU2997" t="str">
        <f>$Q$2969</f>
        <v>Roof</v>
      </c>
      <c r="AV2997">
        <f>$E$25</f>
        <v>33.171875</v>
      </c>
      <c r="AW2997" cm="1">
        <f t="array" ref="AW2997">IFERROR(IF(AV2997=0,0,(INDEX($C$33:$C$38,MATCH($AZ$2974,$B$33:$B$38,0),0)*(AV2997+$BA$2974)+$AY$2974*$C$31)*$AU$2974),0)</f>
        <v>21491.71875</v>
      </c>
      <c r="AX2997">
        <f>IF(AV2997=0,0,-$AY$2974*$C$31*$H$27*$AU$2974)</f>
        <v>-37.583999999999996</v>
      </c>
      <c r="AY2997">
        <f>IF(AV2997=0,0,$AY$2974*$H$26*$AU$2974)</f>
        <v>-1328.1999999999998</v>
      </c>
      <c r="AZ2997">
        <f>(0.6*AW2997+0.7*AX2997)*$AU$2974/2</f>
        <v>186596.47552499999</v>
      </c>
      <c r="BA2997">
        <f>AW2997*$AU$2974/2</f>
        <v>311629.921875</v>
      </c>
      <c r="BC2997">
        <f>IF(AV2997=0,0,$BG$2974*$AP$2969)</f>
        <v>191.83499999999995</v>
      </c>
      <c r="BD2997">
        <f>IFERROR(BC2997/$AU$2974,0)</f>
        <v>6.6149999999999984</v>
      </c>
      <c r="BE2997">
        <f>BC2997*($F$25+($C$16+$C$17+IF($C$13="single",1.5,3)+3)/12)</f>
        <v>2263.0535156249989</v>
      </c>
      <c r="BF2997">
        <f>BE2997-AZ2997</f>
        <v>-184333.42200937498</v>
      </c>
      <c r="BG2997" cm="1">
        <f t="array" ref="BG2997">IFERROR(IF(BF2997&lt;0,0,BF2997/($AU$2974-INDEX(hd_off,MATCH(BT2997,hd_mark,0),0)/12)),0)</f>
        <v>0</v>
      </c>
      <c r="BH2997">
        <f>IF(AV2997=0,0,$BG$2974*$AM$2969)</f>
        <v>3854.1</v>
      </c>
      <c r="BI2997">
        <f>IFERROR(BH2997/$AU$2974,0)</f>
        <v>132.9</v>
      </c>
      <c r="BJ2997">
        <f>BH2997*($F$25+($C$16+$C$17+IF($C$13="single",1.5,3)+3)/12)</f>
        <v>45466.335937499993</v>
      </c>
      <c r="BK2997">
        <f>BJ2997-BA2997</f>
        <v>-266163.5859375</v>
      </c>
      <c r="BL2997" cm="1">
        <f t="array" ref="BL2997">IFERROR(IF(BK2997&lt;0,0,BK2997/($AU$2974-INDEX(hd_off,MATCH(BT2997,hd_mark,0),0)/12)),0)</f>
        <v>0</v>
      </c>
      <c r="BM2997">
        <f>MAX($F$25,$BF$2974)/$Q$2996</f>
        <v>0.29920977011494249</v>
      </c>
      <c r="BN2997">
        <f t="shared" si="1864"/>
        <v>1</v>
      </c>
      <c r="BO2997" cm="1">
        <f t="array" ref="BO2997">IFERROR(INDEX(sheath_ecap_asd,MATCH(BS2997,sheath_mark,0),0)*BN2997,0)</f>
        <v>95.285714285714306</v>
      </c>
      <c r="BP2997" cm="1">
        <f t="array" ref="BP2997">IFERROR(INDEX(sheath_wcap_asd,MATCH(BS2997,sheath_mark,0),0)*BN2997,0)</f>
        <v>133.4</v>
      </c>
      <c r="BQ2997" cm="1">
        <f t="array" ref="BQ2997">IFERROR(INDEX(hd_cap,MATCH(BT2997,hd_mark,0),0),0)</f>
        <v>0</v>
      </c>
      <c r="BS2997" s="19">
        <v>11</v>
      </c>
      <c r="BT2997" s="19"/>
      <c r="BU2997" s="100"/>
    </row>
    <row r="2998" x14ac:dyDescent="0.25">
      <c r="B2998" t="s">
        <v>461</v>
      </c>
      <c r="C2998" s="19">
        <v>6</v>
      </c>
      <c r="D2998" s="19">
        <v>29</v>
      </c>
      <c r="E2998">
        <f t="shared" si="1860"/>
        <v>35</v>
      </c>
      <c r="H2998">
        <v>13</v>
      </c>
      <c r="I2998" s="19">
        <v>14</v>
      </c>
      <c r="J2998" s="19">
        <v>12</v>
      </c>
      <c r="K2998">
        <f t="shared" si="1861"/>
        <v>26</v>
      </c>
      <c r="P2998" s="93"/>
      <c r="Q2998" s="109"/>
      <c r="AR2998" s="100"/>
      <c r="AS2998" s="93"/>
      <c r="AT2998" s="109"/>
      <c r="BU2998" s="100"/>
    </row>
    <row r="2999" x14ac:dyDescent="0.25">
      <c r="B2999" t="s">
        <v>462</v>
      </c>
      <c r="C2999" s="19">
        <v>29</v>
      </c>
      <c r="D2999" s="19">
        <v>0</v>
      </c>
      <c r="E2999">
        <f t="shared" si="1860"/>
        <v>29</v>
      </c>
      <c r="H2999">
        <v>14</v>
      </c>
      <c r="I2999" s="19">
        <v>12</v>
      </c>
      <c r="J2999" s="19">
        <v>27</v>
      </c>
      <c r="K2999">
        <f t="shared" si="1861"/>
        <v>39</v>
      </c>
      <c r="P2999" s="93"/>
      <c r="Q2999" s="110" t="str">
        <f>$Q$2975</f>
        <v>A.02</v>
      </c>
      <c r="R2999" t="str">
        <f>$Q$2965</f>
        <v>L2</v>
      </c>
      <c r="S2999">
        <f>$E$21</f>
        <v>10.6875</v>
      </c>
      <c r="T2999" cm="1">
        <f t="array" ref="T2999">IFERROR(IF(S2999=0,0,(INDEX($C$33:$C$38,MATCH($W$2975,$B$33:$B$38,0),0)*(S3003+$X$2975)+$T$2975*COUNTIF(S2999:S3002,"&gt;0")*$C$32+$V$2975*$C$31)*$R$2975),0)</f>
        <v>0</v>
      </c>
      <c r="U2999">
        <f>IF(S2999=0,0,-(COUNTIF(S2999:S3002,"&gt;0")*$T$2975*$C$32+$V$2975*$C$31)*$H$27*$R$2975)</f>
        <v>0</v>
      </c>
      <c r="V2999">
        <f>IF(S2999=0,0,$V$2975*$H$26*$R$2975)</f>
        <v>0</v>
      </c>
      <c r="W2999">
        <f>(0.6*T2999+0.7*U2999)*$R$2975/2</f>
        <v>0</v>
      </c>
      <c r="X2999">
        <f>(0.6*T2999+0.6*V2999)*$R$2975/2</f>
        <v>0</v>
      </c>
      <c r="Z2999">
        <f>IF(S2999=0,0,$AD$2975*$AP$2965)</f>
        <v>0</v>
      </c>
      <c r="AA2999">
        <f>IFERROR(Z2999/$R$2975,0)</f>
        <v>0</v>
      </c>
      <c r="AB2999">
        <f>Z2999*($F$21+IF($F$21=0,0,($C$14+$C$15+IF($C$13="single",1.5,3)+3)/12))</f>
        <v>0</v>
      </c>
      <c r="AC2999">
        <f>AB2999-W2999</f>
        <v>0</v>
      </c>
      <c r="AD2999" cm="1">
        <f t="array" ref="AD2999">IFERROR(IF(AC2999&lt;0,0,AC2999/($R$2975-INDEX(hd_off,MATCH(AQ2999,hd_mark,0),0)/12)),0)</f>
        <v>0</v>
      </c>
      <c r="AE2999">
        <f>IF(S2999=0,0,$AD$2975*$AM$2965)</f>
        <v>0</v>
      </c>
      <c r="AF2999">
        <f>IFERROR(AE2999/$R$2975,0)</f>
        <v>0</v>
      </c>
      <c r="AG2999">
        <f>AE2999*($F$21+IF($F$21=0,0,($C$14+$C$15+IF($C$13="single",1.5,3)+3)/12))</f>
        <v>0</v>
      </c>
      <c r="AH2999">
        <f>AG2999-X2999</f>
        <v>0</v>
      </c>
      <c r="AI2999" cm="1">
        <f t="array" ref="AI2999">IFERROR(IF(AH2999&lt;0,0,AH2999/($R$2975-INDEX(hd_off,MATCH(AQ2999,hd_mark,0),0)/12)),0)</f>
        <v>0</v>
      </c>
      <c r="AJ2999">
        <f>MAX($F$21,$Y$2975)/$Q$2996</f>
        <v>0.30172413793103448</v>
      </c>
      <c r="AK2999">
        <f>IF(AJ2999=0,0,IF(AJ2999&gt;2,1.25-0.125*AJ2999,1))</f>
        <v>1</v>
      </c>
      <c r="AL2999" cm="1">
        <f t="array" ref="AL2999">IFERROR(INDEX(sheath_ecap_asd,MATCH(AP2999,sheath_mark,0),0)*AK2999,0)</f>
        <v>0</v>
      </c>
      <c r="AM2999" cm="1">
        <f t="array" ref="AM2999">IFERROR(INDEX(sheath_wcap_asd,MATCH(AP2999,sheath_mark,0),0)*AK2999,0)</f>
        <v>0</v>
      </c>
      <c r="AN2999" cm="1">
        <f t="array" ref="AN2999">IFERROR(INDEX(hd_cap,MATCH(AQ2999,hd_mark,0),0),0)</f>
        <v>0</v>
      </c>
      <c r="AP2999" s="19"/>
      <c r="AQ2999" s="19"/>
      <c r="AR2999" s="100"/>
      <c r="AS2999" s="93"/>
      <c r="AT2999" s="110" t="str">
        <f>$AT$2975</f>
        <v>1.02</v>
      </c>
      <c r="AU2999" t="str">
        <f>$Q$2965</f>
        <v>L2</v>
      </c>
      <c r="AV2999">
        <f>$E$21</f>
        <v>10.6875</v>
      </c>
      <c r="AW2999" cm="1">
        <f t="array" ref="AW2999">IFERROR(IF(AV2999=0,0,(INDEX($C$33:$C$38,MATCH($AZ$2975,$B$33:$B$38,0),0)*(AV3003+$BA$2975)+$AW$2975*COUNTIF(AV2999:AV3002,"&gt;0")*$C$32+$AY$2975*$C$31)*$AU$2975),0)</f>
        <v>0</v>
      </c>
      <c r="AX2999">
        <f>IF(AV2999=0,0,-(COUNTIF(AV2999:AV3002,"&gt;0")*$AW$2975*$C$32+$AY$2975*$C$31)*$H$27*$AU$2975)</f>
        <v>0</v>
      </c>
      <c r="AY2999">
        <f>IF(AV2999=0,0,$AY$2975*$H$26*$AU$2975)</f>
        <v>0</v>
      </c>
      <c r="AZ2999">
        <f>(0.6*AW2999+0.7*AX2999)*$AU$2975/2</f>
        <v>0</v>
      </c>
      <c r="BA2999">
        <f>(0.6*AW2999+0.6*AY2999)*$AU$2975/2</f>
        <v>0</v>
      </c>
      <c r="BC2999">
        <f>IF(AV2999=0,0,$BG$2975*$AP$2965)</f>
        <v>0</v>
      </c>
      <c r="BD2999">
        <f>IFERROR(BC2999/$AU$2975,0)</f>
        <v>0</v>
      </c>
      <c r="BE2999">
        <f>BC2999*($F$21+IF($F$21=0,0,($C$14+$C$15+IF($C$13="single",1.5,3)+3)/12))</f>
        <v>0</v>
      </c>
      <c r="BF2999">
        <f>BE2999-AZ2999</f>
        <v>0</v>
      </c>
      <c r="BG2999" cm="1">
        <f t="array" ref="BG2999">IFERROR(IF(BF2999&lt;0,0,BF2999/($AU$2975-INDEX(hd_off,MATCH(BT2999,hd_mark,0),0)/12)),0)</f>
        <v>0</v>
      </c>
      <c r="BH2999">
        <f>IF(AV2999=0,0,$BG$2975*$AM$2965)</f>
        <v>0</v>
      </c>
      <c r="BI2999">
        <f>IFERROR(BH2999/$AU$2975,0)</f>
        <v>0</v>
      </c>
      <c r="BJ2999">
        <f>BH2999*($F$21+IF($F$21=0,0,($C$14+$C$15+IF($C$13="single",1.5,3)+3)/12))</f>
        <v>0</v>
      </c>
      <c r="BK2999">
        <f>BJ2999-BA2999</f>
        <v>0</v>
      </c>
      <c r="BL2999" cm="1">
        <f t="array" ref="BL2999">IFERROR(IF(BK2999&lt;0,0,BK2999/($AU$2975-INDEX(hd_off,MATCH(BT2999,hd_mark,0),0)/12)),0)</f>
        <v>0</v>
      </c>
      <c r="BM2999">
        <f>MAX($F$21,$BB$2975)/$Q$2996</f>
        <v>0.30172413793103448</v>
      </c>
      <c r="BN2999">
        <f>IF(BM2999=0,0,IF(BM2999&gt;2,1.25-0.125*BM2999,1))</f>
        <v>1</v>
      </c>
      <c r="BO2999" cm="1">
        <f t="array" ref="BO2999">IFERROR(INDEX(sheath_ecap_asd,MATCH(BS2999,sheath_mark,0),0)*BN2999,0)</f>
        <v>0</v>
      </c>
      <c r="BP2999" cm="1">
        <f t="array" ref="BP2999">IFERROR(INDEX(sheath_wcap_asd,MATCH(BS2999,sheath_mark,0),0)*BN2999,0)</f>
        <v>0</v>
      </c>
      <c r="BQ2999" cm="1">
        <f t="array" ref="BQ2999">IFERROR(INDEX(hd_cap,MATCH(BT2999,hd_mark,0),0),0)</f>
        <v>0</v>
      </c>
      <c r="BS2999" s="19"/>
      <c r="BT2999" s="19"/>
      <c r="BU2999" s="100"/>
    </row>
    <row r="3000" x14ac:dyDescent="0.25">
      <c r="B3000" t="s">
        <v>463</v>
      </c>
      <c r="C3000" s="19"/>
      <c r="D3000" s="19"/>
      <c r="E3000">
        <f t="shared" si="1860"/>
        <v>0</v>
      </c>
      <c r="H3000">
        <v>15</v>
      </c>
      <c r="I3000" s="19">
        <v>27</v>
      </c>
      <c r="J3000" s="19">
        <v>18</v>
      </c>
      <c r="K3000">
        <f t="shared" si="1861"/>
        <v>45</v>
      </c>
      <c r="P3000" s="93"/>
      <c r="Q3000" s="109"/>
      <c r="R3000" t="str">
        <f>$Q$2966</f>
        <v>L3</v>
      </c>
      <c r="S3000">
        <f>$E$22</f>
        <v>21.375</v>
      </c>
      <c r="T3000" cm="1">
        <f t="array" ref="T3000">IFERROR(IF(S3000=0,0,(INDEX($C$33:$C$38,MATCH($W$2975,$B$33:$B$38,0),0)*(S3003+$X$2975)+$T$2975*COUNTIF(S3000:S3002,"&gt;0")*$C$32+$V$2975*$C$31)*$R$2975),0)</f>
        <v>0</v>
      </c>
      <c r="U3000">
        <f>IF(S3000=0,0,-(COUNTIF(S3000:S3002,"&gt;0")*$T$2975*$C$32+$V$2975*$C$31)*$H$27*$R$2975)</f>
        <v>0</v>
      </c>
      <c r="V3000">
        <f>IF(S3000=0,0,$V$2975*$H$26*$R$2975)</f>
        <v>0</v>
      </c>
      <c r="W3000">
        <f>(0.6*T3000+0.7*U3000)*$R$2975/2</f>
        <v>0</v>
      </c>
      <c r="X3000">
        <f>T3000*$R$2975/2</f>
        <v>0</v>
      </c>
      <c r="Z3000">
        <f>IF(S3000=0,0,$AD$2975*$AP$2966)</f>
        <v>0</v>
      </c>
      <c r="AA3000">
        <f>IFERROR(Z3000/$R$2975,0)</f>
        <v>0</v>
      </c>
      <c r="AB3000">
        <f>Z3000*($F$22+IF($F$22=0,0,($C$14+$C$15+IF($C$13="single",1.5,3)+3)/12))</f>
        <v>0</v>
      </c>
      <c r="AC3000">
        <f>AB3000-W3000</f>
        <v>0</v>
      </c>
      <c r="AD3000" cm="1">
        <f t="array" ref="AD3000">IFERROR(IF(AC3000&lt;0,0,AC3000/($R$2975-INDEX(hd_off,MATCH(AQ3000,hd_mark,0),0)/12)),0)</f>
        <v>0</v>
      </c>
      <c r="AE3000">
        <f>IF(S3000=0,0,$AD$2975*$AM$2966)</f>
        <v>0</v>
      </c>
      <c r="AF3000">
        <f>IFERROR(AE3000/$R$2975,0)</f>
        <v>0</v>
      </c>
      <c r="AG3000">
        <f>AE3000*($F$22+IF($F$22=0,0,($C$14+$C$15+IF($C$13="single",1.5,3)+3)/12))</f>
        <v>0</v>
      </c>
      <c r="AH3000">
        <f>AG3000-X3000</f>
        <v>0</v>
      </c>
      <c r="AI3000" cm="1">
        <f t="array" ref="AI3000">IFERROR(IF(AH3000&lt;0,0,AH3000/($R$2975-INDEX(hd_off,MATCH(AQ3000,hd_mark,0),0)/12)),0)</f>
        <v>0</v>
      </c>
      <c r="AJ3000">
        <f>MAX($F$22,$Z$2975)/$Q$2996</f>
        <v>0.30172413793103448</v>
      </c>
      <c r="AK3000">
        <f t="shared" ref="AK3000:AK3003" si="1865">IF(AJ3000=0,0,IF(AJ3000&gt;2,1.25-0.125*AJ3000,1))</f>
        <v>1</v>
      </c>
      <c r="AL3000" cm="1">
        <f t="array" ref="AL3000">IFERROR(INDEX(sheath_ecap_asd,MATCH(AP3000,sheath_mark,0),0)*AK3000,0)</f>
        <v>0</v>
      </c>
      <c r="AM3000" cm="1">
        <f t="array" ref="AM3000">IFERROR(INDEX(sheath_wcap_asd,MATCH(AP3000,sheath_mark,0),0)*AK3000,0)</f>
        <v>0</v>
      </c>
      <c r="AN3000" cm="1">
        <f t="array" ref="AN3000">IFERROR(INDEX(hd_cap,MATCH(AQ3000,hd_mark,0),0),0)</f>
        <v>0</v>
      </c>
      <c r="AP3000" s="19"/>
      <c r="AQ3000" s="19"/>
      <c r="AR3000" s="100"/>
      <c r="AS3000" s="93"/>
      <c r="AT3000" s="109"/>
      <c r="AU3000" t="str">
        <f>$Q$2966</f>
        <v>L3</v>
      </c>
      <c r="AV3000">
        <f>$E$22</f>
        <v>21.375</v>
      </c>
      <c r="AW3000" cm="1">
        <f t="array" ref="AW3000">IFERROR(IF(AV3000=0,0,(INDEX($C$33:$C$38,MATCH($AZ$2975,$B$33:$B$38,0),0)*(AV3003+$BA$2975)+$AW$2975*COUNTIF(AV3000:AV3002,"&gt;0")*$C$32+$AY$2975*$C$31)*$AU$2975),0)</f>
        <v>0</v>
      </c>
      <c r="AX3000">
        <f>IF(AV3000=0,0,-(COUNTIF(AV3000:AV3002,"&gt;0")*$AW$2975*$C$32+$AY$2975*$C$31)*$H$27*$AU$2975)</f>
        <v>0</v>
      </c>
      <c r="AY3000">
        <f>IF(AV3000=0,0,$AY$2975*$H$26*$AU$2975)</f>
        <v>0</v>
      </c>
      <c r="AZ3000">
        <f>(0.6*AW3000+0.7*AX3000)*$AU$2975/2</f>
        <v>0</v>
      </c>
      <c r="BA3000">
        <f>AW3000*$AU$2975/2</f>
        <v>0</v>
      </c>
      <c r="BC3000">
        <f>IF(AV3000=0,0,$BG$2975*$AP$2966)</f>
        <v>0</v>
      </c>
      <c r="BD3000">
        <f>IFERROR(BC3000/$AU$2975,0)</f>
        <v>0</v>
      </c>
      <c r="BE3000">
        <f>BC3000*($F$22+IF($F$22=0,0,($C$14+$C$15+IF($C$13="single",1.5,3)+3)/12))</f>
        <v>0</v>
      </c>
      <c r="BF3000">
        <f>BE3000-AZ3000</f>
        <v>0</v>
      </c>
      <c r="BG3000" cm="1">
        <f t="array" ref="BG3000">IFERROR(IF(BF3000&lt;0,0,BF3000/($AU$2975-INDEX(hd_off,MATCH(BT3000,hd_mark,0),0)/12)),0)</f>
        <v>0</v>
      </c>
      <c r="BH3000">
        <f>IF(AV3000=0,0,$BG$2975*$AM$2966)</f>
        <v>0</v>
      </c>
      <c r="BI3000">
        <f>IFERROR(BH3000/$AU$2975,0)</f>
        <v>0</v>
      </c>
      <c r="BJ3000">
        <f>BH3000*($F$22+IF($F$22=0,0,($C$14+$C$15+IF($C$13="single",1.5,3)+3)/12))</f>
        <v>0</v>
      </c>
      <c r="BK3000">
        <f>BJ3000-BA3000</f>
        <v>0</v>
      </c>
      <c r="BL3000" cm="1">
        <f t="array" ref="BL3000">IFERROR(IF(BK3000&lt;0,0,BK3000/($AU$2975-INDEX(hd_off,MATCH(BT3000,hd_mark,0),0)/12)),0)</f>
        <v>0</v>
      </c>
      <c r="BM3000">
        <f>MAX($F$22,$BC$2975)/$Q$2996</f>
        <v>0.30172413793103448</v>
      </c>
      <c r="BN3000">
        <f t="shared" ref="BN3000:BN3003" si="1866">IF(BM3000=0,0,IF(BM3000&gt;2,1.25-0.125*BM3000,1))</f>
        <v>1</v>
      </c>
      <c r="BO3000" cm="1">
        <f t="array" ref="BO3000">IFERROR(INDEX(sheath_ecap_asd,MATCH(BS3000,sheath_mark,0),0)*BN3000,0)</f>
        <v>0</v>
      </c>
      <c r="BP3000" cm="1">
        <f t="array" ref="BP3000">IFERROR(INDEX(sheath_wcap_asd,MATCH(BS3000,sheath_mark,0),0)*BN3000,0)</f>
        <v>0</v>
      </c>
      <c r="BQ3000" cm="1">
        <f t="array" ref="BQ3000">IFERROR(INDEX(hd_cap,MATCH(BT3000,hd_mark,0),0),0)</f>
        <v>0</v>
      </c>
      <c r="BS3000" s="19"/>
      <c r="BT3000" s="19"/>
      <c r="BU3000" s="100"/>
    </row>
    <row r="3001" x14ac:dyDescent="0.25">
      <c r="B3001" t="s">
        <v>464</v>
      </c>
      <c r="C3001" s="19"/>
      <c r="D3001" s="19"/>
      <c r="E3001">
        <f t="shared" si="1860"/>
        <v>0</v>
      </c>
      <c r="H3001">
        <v>16</v>
      </c>
      <c r="I3001" s="19"/>
      <c r="J3001" s="19"/>
      <c r="K3001">
        <f t="shared" si="1861"/>
        <v>0</v>
      </c>
      <c r="P3001" s="93"/>
      <c r="Q3001" s="109" t="s">
        <v>491</v>
      </c>
      <c r="R3001" t="str">
        <f>$Q$2967</f>
        <v>L4</v>
      </c>
      <c r="S3001">
        <f>$E$23</f>
        <v>0</v>
      </c>
      <c r="T3001" cm="1">
        <f t="array" ref="T3001">IFERROR(IF(S3001=0,0,(INDEX($C$33:$C$38,MATCH($W$2975,$B$33:$B$38,0),0)*(S3003+$X$2975)+$T$2975*COUNTIF(S3001:S3002,"&gt;0")*$C$32+$V$2975*$C$31)*$R$2975),0)</f>
        <v>0</v>
      </c>
      <c r="U3001">
        <f>IF(S3001=0,0,-(COUNTIF(S3001:S3002,"&gt;0")*$T$2975*$C$32+$V$2975*$C$31)*$H$27*$R$2975)</f>
        <v>0</v>
      </c>
      <c r="V3001">
        <f>IF(S3001=0,0,$V$2975*$H$26*$R$2975)</f>
        <v>0</v>
      </c>
      <c r="W3001">
        <f>(0.6*T3001+0.7*U3001)*$R$2975/2</f>
        <v>0</v>
      </c>
      <c r="X3001">
        <f>T3001*$R$2975/2</f>
        <v>0</v>
      </c>
      <c r="Z3001">
        <f>IF(S3001=0,0,$AD$2975*$AP$2967)</f>
        <v>0</v>
      </c>
      <c r="AA3001">
        <f>IFERROR(Z3001/$R$2975,0)</f>
        <v>0</v>
      </c>
      <c r="AB3001">
        <f>Z3001*($F$23+IF($F$23=0,0,($C$14+$C$15+IF($C$13="single",1.5,3)+3)/12))</f>
        <v>0</v>
      </c>
      <c r="AC3001">
        <f>AB3001-W3001</f>
        <v>0</v>
      </c>
      <c r="AD3001" cm="1">
        <f t="array" ref="AD3001">IFERROR(IF(AC3001&lt;0,0,AC3001/($R$2975-INDEX(hd_off,MATCH(AQ3001,hd_mark,0),0)/12)),0)</f>
        <v>0</v>
      </c>
      <c r="AE3001">
        <f>IF(S3001=0,0,$AD$2975*$AM$2967)</f>
        <v>0</v>
      </c>
      <c r="AF3001">
        <f>IFERROR(AE3001/$R$2975,0)</f>
        <v>0</v>
      </c>
      <c r="AG3001">
        <f>AE3001*($F$23+IF($F$23=0,0,($C$14+$C$15+IF($C$13="single",1.5,3)+3)/12))</f>
        <v>0</v>
      </c>
      <c r="AH3001">
        <f>AG3001-X3001</f>
        <v>0</v>
      </c>
      <c r="AI3001" cm="1">
        <f t="array" ref="AI3001">IFERROR(IF(AH3001&lt;0,0,AH3001/($R$2975-INDEX(hd_off,MATCH(AQ3001,hd_mark,0),0)/12)),0)</f>
        <v>0</v>
      </c>
      <c r="AJ3001">
        <f>MAX($F$23,$AA$2975)/$Q$2996</f>
        <v>0</v>
      </c>
      <c r="AK3001">
        <f t="shared" si="1865"/>
        <v>0</v>
      </c>
      <c r="AL3001" cm="1">
        <f t="array" ref="AL3001">IFERROR(INDEX(sheath_ecap_asd,MATCH(AP3001,sheath_mark,0),0)*AK3001,0)</f>
        <v>0</v>
      </c>
      <c r="AM3001" cm="1">
        <f t="array" ref="AM3001">IFERROR(INDEX(sheath_wcap_asd,MATCH(AP3001,sheath_mark,0),0)*AK3001,0)</f>
        <v>0</v>
      </c>
      <c r="AN3001" cm="1">
        <f t="array" ref="AN3001">IFERROR(INDEX(hd_cap,MATCH(AQ3001,hd_mark,0),0),0)</f>
        <v>0</v>
      </c>
      <c r="AP3001" s="19"/>
      <c r="AQ3001" s="19"/>
      <c r="AR3001" s="100"/>
      <c r="AS3001" s="93"/>
      <c r="AT3001" s="109" t="s">
        <v>491</v>
      </c>
      <c r="AU3001" t="str">
        <f>$Q$2967</f>
        <v>L4</v>
      </c>
      <c r="AV3001">
        <f>$E$23</f>
        <v>0</v>
      </c>
      <c r="AW3001" cm="1">
        <f t="array" ref="AW3001">IFERROR(IF(AV3001=0,0,(INDEX($C$33:$C$38,MATCH($AZ$2975,$B$33:$B$38,0),0)*(AV3003+$BA$2975)+$AW$2975*COUNTIF(AV3001:AV3002,"&gt;0")*$C$32+$AY$2975*$C$31)*$AU$2975),0)</f>
        <v>0</v>
      </c>
      <c r="AX3001">
        <f>IF(AV3001=0,0,-(COUNTIF(AV3001:AV3002,"&gt;0")*$AW$2975*$C$32+$AY$2975*$C$31)*$H$27*$AU$2975)</f>
        <v>0</v>
      </c>
      <c r="AY3001">
        <f>IF(AV3001=0,0,$AY$2975*$H$26*$AU$2975)</f>
        <v>0</v>
      </c>
      <c r="AZ3001">
        <f>(0.6*AW3001+0.7*AX3001)*$AU$2975/2</f>
        <v>0</v>
      </c>
      <c r="BA3001">
        <f>AW3001*$AU$2975/2</f>
        <v>0</v>
      </c>
      <c r="BC3001">
        <f>IF(AV3001=0,0,$BG$2975*$AP$2967)</f>
        <v>0</v>
      </c>
      <c r="BD3001">
        <f>IFERROR(BC3001/$AU$2975,0)</f>
        <v>0</v>
      </c>
      <c r="BE3001">
        <f>BC3001*($F$23+IF($F$23=0,0,($C$14+$C$15+IF($C$13="single",1.5,3)+3)/12))</f>
        <v>0</v>
      </c>
      <c r="BF3001">
        <f>BE3001-AZ3001</f>
        <v>0</v>
      </c>
      <c r="BG3001" cm="1">
        <f t="array" ref="BG3001">IFERROR(IF(BF3001&lt;0,0,BF3001/($AU$2975-INDEX(hd_off,MATCH(BT3001,hd_mark,0),0)/12)),0)</f>
        <v>0</v>
      </c>
      <c r="BH3001">
        <f>IF(AV3001=0,0,$BG$2975*$AM$2967)</f>
        <v>0</v>
      </c>
      <c r="BI3001">
        <f>IFERROR(BH3001/$AU$2975,0)</f>
        <v>0</v>
      </c>
      <c r="BJ3001">
        <f>BH3001*($F$23+IF($F$23=0,0,($C$14+$C$15+IF($C$13="single",1.5,3)+3)/12))</f>
        <v>0</v>
      </c>
      <c r="BK3001">
        <f>BJ3001-BA3001</f>
        <v>0</v>
      </c>
      <c r="BL3001" cm="1">
        <f t="array" ref="BL3001">IFERROR(IF(BK3001&lt;0,0,BK3001/($AU$2975-INDEX(hd_off,MATCH(BT3001,hd_mark,0),0)/12)),0)</f>
        <v>0</v>
      </c>
      <c r="BM3001">
        <f>MAX($F$23,$BD$2975)/$Q$2996</f>
        <v>0</v>
      </c>
      <c r="BN3001">
        <f t="shared" si="1866"/>
        <v>0</v>
      </c>
      <c r="BO3001" cm="1">
        <f t="array" ref="BO3001">IFERROR(INDEX(sheath_ecap_asd,MATCH(BS3001,sheath_mark,0),0)*BN3001,0)</f>
        <v>0</v>
      </c>
      <c r="BP3001" cm="1">
        <f t="array" ref="BP3001">IFERROR(INDEX(sheath_wcap_asd,MATCH(BS3001,sheath_mark,0),0)*BN3001,0)</f>
        <v>0</v>
      </c>
      <c r="BQ3001" cm="1">
        <f t="array" ref="BQ3001">IFERROR(INDEX(hd_cap,MATCH(BT3001,hd_mark,0),0),0)</f>
        <v>0</v>
      </c>
      <c r="BS3001" s="19"/>
      <c r="BT3001" s="19"/>
      <c r="BU3001" s="100"/>
    </row>
    <row r="3002" x14ac:dyDescent="0.25">
      <c r="B3002" t="s">
        <v>465</v>
      </c>
      <c r="C3002" s="19"/>
      <c r="D3002" s="19"/>
      <c r="E3002">
        <f t="shared" si="1860"/>
        <v>0</v>
      </c>
      <c r="H3002">
        <v>17</v>
      </c>
      <c r="I3002" s="19"/>
      <c r="J3002" s="19"/>
      <c r="K3002">
        <f t="shared" si="1861"/>
        <v>0</v>
      </c>
      <c r="P3002" s="93"/>
      <c r="Q3002" s="111">
        <f>$R$2975</f>
        <v>0</v>
      </c>
      <c r="R3002" t="str">
        <f>$Q$2968</f>
        <v>L5</v>
      </c>
      <c r="S3002">
        <f>$E$24</f>
        <v>0</v>
      </c>
      <c r="T3002" cm="1">
        <f t="array" ref="T3002">IFERROR(IF(S3002=0,0,(INDEX($C$33:$C$38,MATCH($W$2975,$B$33:$B$38,0),0)*(S3003+$X$2975)+$T$2975*COUNTIF(S3002:S3002,"&gt;0")*$C$32+$V$2975*$C$31)*$R$2975),0)</f>
        <v>0</v>
      </c>
      <c r="U3002">
        <f>IF(S3002=0,0,-(COUNTIF(S3002:S3002,"&gt;0")*$T$2975*$C$32+$V$2975*$C$31)*$H$27*$R$2975)</f>
        <v>0</v>
      </c>
      <c r="V3002">
        <f>IF(S3002=0,0,$V$2975*$H$26*$R$2975)</f>
        <v>0</v>
      </c>
      <c r="W3002">
        <f>(0.6*T3002+0.7*U3002)*$R$2975/2</f>
        <v>0</v>
      </c>
      <c r="X3002">
        <f>T3002*$R$2975/2</f>
        <v>0</v>
      </c>
      <c r="Z3002">
        <f>IF(S3002=0,0,$AD$2975*$AP$2968)</f>
        <v>0</v>
      </c>
      <c r="AA3002">
        <f>IFERROR(Z3002/$R$2975,0)</f>
        <v>0</v>
      </c>
      <c r="AB3002">
        <f>Z3002*($F$24+IF($F$24=0,0,($C$14+$C$15+IF($C$13="single",1.5,3)+3)/12))</f>
        <v>0</v>
      </c>
      <c r="AC3002">
        <f>AB3002-W3002</f>
        <v>0</v>
      </c>
      <c r="AD3002" cm="1">
        <f t="array" ref="AD3002">IFERROR(IF(AC3002&lt;0,0,AC3002/($R$2975-INDEX(hd_off,MATCH(AQ3002,hd_mark,0),0)/12)),0)</f>
        <v>0</v>
      </c>
      <c r="AE3002">
        <f>IF(S3002=0,0,$AD$2975*$AM$2968)</f>
        <v>0</v>
      </c>
      <c r="AF3002">
        <f>IFERROR(AE3002/$R$2975,0)</f>
        <v>0</v>
      </c>
      <c r="AG3002">
        <f>AE3002*($F$24+IF($F$24=0,0,($C$14+$C$15+IF($C$13="single",1.5,3)+3)/12))</f>
        <v>0</v>
      </c>
      <c r="AH3002">
        <f>AG3002-X3002</f>
        <v>0</v>
      </c>
      <c r="AI3002" cm="1">
        <f t="array" ref="AI3002">IFERROR(IF(AH3002&lt;0,0,AH3002/($R$2975-INDEX(hd_off,MATCH(AQ3002,hd_mark,0),0)/12)),0)</f>
        <v>0</v>
      </c>
      <c r="AJ3002">
        <f>MAX($F$24,$AB$2975)/$Q$2996</f>
        <v>0</v>
      </c>
      <c r="AK3002">
        <f t="shared" si="1865"/>
        <v>0</v>
      </c>
      <c r="AL3002" cm="1">
        <f t="array" ref="AL3002">IFERROR(INDEX(sheath_ecap_asd,MATCH(AP3002,sheath_mark,0),0)*AK3002,0)</f>
        <v>0</v>
      </c>
      <c r="AM3002" cm="1">
        <f t="array" ref="AM3002">IFERROR(INDEX(sheath_wcap_asd,MATCH(AP3002,sheath_mark,0),0)*AK3002,0)</f>
        <v>0</v>
      </c>
      <c r="AN3002" cm="1">
        <f t="array" ref="AN3002">IFERROR(INDEX(hd_cap,MATCH(AQ3002,hd_mark,0),0),0)</f>
        <v>0</v>
      </c>
      <c r="AP3002" s="19"/>
      <c r="AQ3002" s="19"/>
      <c r="AR3002" s="100"/>
      <c r="AS3002" s="93"/>
      <c r="AT3002" s="111">
        <f>$R$2975</f>
        <v>0</v>
      </c>
      <c r="AU3002" t="str">
        <f>$Q$2968</f>
        <v>L5</v>
      </c>
      <c r="AV3002">
        <f>$E$24</f>
        <v>0</v>
      </c>
      <c r="AW3002" cm="1">
        <f t="array" ref="AW3002">IFERROR(IF(AV3002=0,0,(INDEX($C$33:$C$38,MATCH($AZ$2975,$B$33:$B$38,0),0)*(AV3003+$BA$2975)+$AW$2975*COUNTIF(AV3002:AV3002,"&gt;0")*$C$32+$AY$2975*$C$31)*$AU$2975),0)</f>
        <v>0</v>
      </c>
      <c r="AX3002">
        <f>IF(AV3002=0,0,-(COUNTIF(AV3002:AV3002,"&gt;0")*$AW$2975*$C$32+$AY$2975*$C$31)*$H$27*$AU$2975)</f>
        <v>0</v>
      </c>
      <c r="AY3002">
        <f>IF(AV3002=0,0,$AY$2975*$H$26*$AU$2975)</f>
        <v>0</v>
      </c>
      <c r="AZ3002">
        <f>(0.6*AW3002+0.7*AX3002)*$AU$2975/2</f>
        <v>0</v>
      </c>
      <c r="BA3002">
        <f>AW3002*$AU$2975/2</f>
        <v>0</v>
      </c>
      <c r="BC3002">
        <f>IF(AV3002=0,0,$BG$2975*$AP$2968)</f>
        <v>0</v>
      </c>
      <c r="BD3002">
        <f>IFERROR(BC3002/$AU$2975,0)</f>
        <v>0</v>
      </c>
      <c r="BE3002">
        <f>BC3002*($F$24+IF($F$24=0,0,($C$14+$C$15+IF($C$13="single",1.5,3)+3)/12))</f>
        <v>0</v>
      </c>
      <c r="BF3002">
        <f>BE3002-AZ3002</f>
        <v>0</v>
      </c>
      <c r="BG3002" cm="1">
        <f t="array" ref="BG3002">IFERROR(IF(BF3002&lt;0,0,BF3002/($AU$2975-INDEX(hd_off,MATCH(BT3002,hd_mark,0),0)/12)),0)</f>
        <v>0</v>
      </c>
      <c r="BH3002">
        <f>IF(AV3002=0,0,$BG$2975*$AM$2968)</f>
        <v>0</v>
      </c>
      <c r="BI3002">
        <f>IFERROR(BH3002/$AU$2975,0)</f>
        <v>0</v>
      </c>
      <c r="BJ3002">
        <f>BH3002*($F$24+IF($F$24=0,0,($C$14+$C$15+IF($C$13="single",1.5,3)+3)/12))</f>
        <v>0</v>
      </c>
      <c r="BK3002">
        <f>BJ3002-BA3002</f>
        <v>0</v>
      </c>
      <c r="BL3002" cm="1">
        <f t="array" ref="BL3002">IFERROR(IF(BK3002&lt;0,0,BK3002/($AU$2975-INDEX(hd_off,MATCH(BT3002,hd_mark,0),0)/12)),0)</f>
        <v>0</v>
      </c>
      <c r="BM3002">
        <f>MAX($F$24,$BE$2975)/$Q$2996</f>
        <v>0</v>
      </c>
      <c r="BN3002">
        <f t="shared" si="1866"/>
        <v>0</v>
      </c>
      <c r="BO3002" cm="1">
        <f t="array" ref="BO3002">IFERROR(INDEX(sheath_ecap_asd,MATCH(BS3002,sheath_mark,0),0)*BN3002,0)</f>
        <v>0</v>
      </c>
      <c r="BP3002" cm="1">
        <f t="array" ref="BP3002">IFERROR(INDEX(sheath_wcap_asd,MATCH(BS3002,sheath_mark,0),0)*BN3002,0)</f>
        <v>0</v>
      </c>
      <c r="BQ3002" cm="1">
        <f t="array" ref="BQ3002">IFERROR(INDEX(hd_cap,MATCH(BT3002,hd_mark,0),0),0)</f>
        <v>0</v>
      </c>
      <c r="BS3002" s="19"/>
      <c r="BT3002" s="19"/>
      <c r="BU3002" s="100"/>
    </row>
    <row r="3003" x14ac:dyDescent="0.25">
      <c r="B3003" t="s">
        <v>466</v>
      </c>
      <c r="C3003" s="19"/>
      <c r="D3003" s="19"/>
      <c r="E3003">
        <f t="shared" si="1860"/>
        <v>0</v>
      </c>
      <c r="H3003">
        <v>18</v>
      </c>
      <c r="I3003" s="19"/>
      <c r="J3003" s="19"/>
      <c r="K3003">
        <f t="shared" si="1861"/>
        <v>0</v>
      </c>
      <c r="P3003" s="93"/>
      <c r="Q3003" s="109"/>
      <c r="R3003" t="str">
        <f>$Q$2969</f>
        <v>Roof</v>
      </c>
      <c r="S3003">
        <f>$E$25</f>
        <v>33.171875</v>
      </c>
      <c r="T3003" cm="1">
        <f t="array" ref="T3003">IFERROR(IF(S3003=0,0,(INDEX($C$33:$C$38,MATCH($W$2975,$B$33:$B$38,0),0)*(S3003+$X$2975)+$V$2975*$C$31)*$R$2975),0)</f>
        <v>0</v>
      </c>
      <c r="U3003">
        <f>IF(S3003=0,0,-$V$2975*$C$31*$H$27*$R$2975)</f>
        <v>0</v>
      </c>
      <c r="V3003">
        <f>IF(S3003=0,0,$V$2975*$H$26*$R$2975)</f>
        <v>0</v>
      </c>
      <c r="W3003">
        <f>(0.6*T3003+0.7*U3003)*$R$2975/2</f>
        <v>0</v>
      </c>
      <c r="X3003">
        <f>T3003*$R$2975/2</f>
        <v>0</v>
      </c>
      <c r="Z3003">
        <f>IF(S3003=0,0,$AD$2975*$AP$2969)</f>
        <v>0</v>
      </c>
      <c r="AA3003">
        <f>IFERROR(Z3003/$R$2975,0)</f>
        <v>0</v>
      </c>
      <c r="AB3003">
        <f>Z3003*($F$25+($C$16+$C$17+IF($C$13="single",1.5,3)+3)/12)</f>
        <v>0</v>
      </c>
      <c r="AC3003">
        <f>AB3003-W3003</f>
        <v>0</v>
      </c>
      <c r="AD3003" cm="1">
        <f t="array" ref="AD3003">IFERROR(IF(AC3003&lt;0,0,AC3003/($R$2975-INDEX(hd_off,MATCH(AQ3003,hd_mark,0),0)/12)),0)</f>
        <v>0</v>
      </c>
      <c r="AE3003">
        <f>IF(S3003=0,0,$AD$2975*$AM$2969)</f>
        <v>0</v>
      </c>
      <c r="AF3003">
        <f>IFERROR(AE3003/$R$2975,0)</f>
        <v>0</v>
      </c>
      <c r="AG3003">
        <f>AE3003*($F$25+($C$16+$C$17+IF($C$13="single",1.5,3)+3)/12)</f>
        <v>0</v>
      </c>
      <c r="AH3003">
        <f>AG3003-X3003</f>
        <v>0</v>
      </c>
      <c r="AI3003" cm="1">
        <f t="array" ref="AI3003">IFERROR(IF(AH3003&lt;0,0,AH3003/($R$2975-INDEX(hd_off,MATCH(AQ3003,hd_mark,0),0)/12)),0)</f>
        <v>0</v>
      </c>
      <c r="AJ3003">
        <f>MAX($F$25,$AC$2975)/$Q$2996</f>
        <v>0.29920977011494249</v>
      </c>
      <c r="AK3003">
        <f t="shared" si="1865"/>
        <v>1</v>
      </c>
      <c r="AL3003" cm="1">
        <f t="array" ref="AL3003">IFERROR(INDEX(sheath_ecap_asd,MATCH(AP3003,sheath_mark,0),0)*AK3003,0)</f>
        <v>0</v>
      </c>
      <c r="AM3003" cm="1">
        <f t="array" ref="AM3003">IFERROR(INDEX(sheath_wcap_asd,MATCH(AP3003,sheath_mark,0),0)*AK3003,0)</f>
        <v>0</v>
      </c>
      <c r="AN3003" cm="1">
        <f t="array" ref="AN3003">IFERROR(INDEX(hd_cap,MATCH(AQ3003,hd_mark,0),0),0)</f>
        <v>0</v>
      </c>
      <c r="AP3003" s="19"/>
      <c r="AQ3003" s="19"/>
      <c r="AR3003" s="100"/>
      <c r="AS3003" s="93"/>
      <c r="AT3003" s="109"/>
      <c r="AU3003" t="str">
        <f>$Q$2969</f>
        <v>Roof</v>
      </c>
      <c r="AV3003">
        <f>$E$25</f>
        <v>33.171875</v>
      </c>
      <c r="AW3003" cm="1">
        <f t="array" ref="AW3003">IFERROR(IF(AV3003=0,0,(INDEX($C$33:$C$38,MATCH($AZ$2975,$B$33:$B$38,0),0)*(AV3003+$BA$2975)+$AY$2975*$C$31)*$AU$2975),0)</f>
        <v>0</v>
      </c>
      <c r="AX3003">
        <f>IF(AV3003=0,0,-$AY$2975*$C$31*$H$27*$AU$2975)</f>
        <v>0</v>
      </c>
      <c r="AY3003">
        <f>IF(AV3003=0,0,$AY$2975*$H$26*$AU$2975)</f>
        <v>0</v>
      </c>
      <c r="AZ3003">
        <f>(0.6*AW3003+0.7*AX3003)*$AU$2975/2</f>
        <v>0</v>
      </c>
      <c r="BA3003">
        <f>AW3003*$AU$2975/2</f>
        <v>0</v>
      </c>
      <c r="BC3003">
        <f>IF(AV3003=0,0,$BG$2975*$AP$2969)</f>
        <v>0</v>
      </c>
      <c r="BD3003">
        <f>IFERROR(BC3003/$AU$2975,0)</f>
        <v>0</v>
      </c>
      <c r="BE3003">
        <f>BC3003*($F$25+($C$16+$C$17+IF($C$13="single",1.5,3)+3)/12)</f>
        <v>0</v>
      </c>
      <c r="BF3003">
        <f>BE3003-AZ3003</f>
        <v>0</v>
      </c>
      <c r="BG3003" cm="1">
        <f t="array" ref="BG3003">IFERROR(IF(BF3003&lt;0,0,BF3003/($AU$2975-INDEX(hd_off,MATCH(BT3003,hd_mark,0),0)/12)),0)</f>
        <v>0</v>
      </c>
      <c r="BH3003">
        <f>IF(AV3003=0,0,$BG$2975*$AM$2969)</f>
        <v>0</v>
      </c>
      <c r="BI3003">
        <f>IFERROR(BH3003/$AU$2975,0)</f>
        <v>0</v>
      </c>
      <c r="BJ3003">
        <f>BH3003*($F$25+($C$16+$C$17+IF($C$13="single",1.5,3)+3)/12)</f>
        <v>0</v>
      </c>
      <c r="BK3003">
        <f>BJ3003-BA3003</f>
        <v>0</v>
      </c>
      <c r="BL3003" cm="1">
        <f t="array" ref="BL3003">IFERROR(IF(BK3003&lt;0,0,BK3003/($AU$2975-INDEX(hd_off,MATCH(BT3003,hd_mark,0),0)/12)),0)</f>
        <v>0</v>
      </c>
      <c r="BM3003">
        <f>MAX($F$25,$BF$2975)/$Q$2996</f>
        <v>0.29920977011494249</v>
      </c>
      <c r="BN3003">
        <f t="shared" si="1866"/>
        <v>1</v>
      </c>
      <c r="BO3003" cm="1">
        <f t="array" ref="BO3003">IFERROR(INDEX(sheath_ecap_asd,MATCH(BS3003,sheath_mark,0),0)*BN3003,0)</f>
        <v>0</v>
      </c>
      <c r="BP3003" cm="1">
        <f t="array" ref="BP3003">IFERROR(INDEX(sheath_wcap_asd,MATCH(BS3003,sheath_mark,0),0)*BN3003,0)</f>
        <v>0</v>
      </c>
      <c r="BQ3003" cm="1">
        <f t="array" ref="BQ3003">IFERROR(INDEX(hd_cap,MATCH(BT3003,hd_mark,0),0),0)</f>
        <v>0</v>
      </c>
      <c r="BS3003" s="19"/>
      <c r="BT3003" s="19"/>
      <c r="BU3003" s="100"/>
    </row>
    <row r="3004" x14ac:dyDescent="0.25">
      <c r="B3004" t="s">
        <v>467</v>
      </c>
      <c r="C3004" s="19"/>
      <c r="D3004" s="19"/>
      <c r="E3004">
        <f t="shared" si="1860"/>
        <v>0</v>
      </c>
      <c r="H3004">
        <v>19</v>
      </c>
      <c r="I3004" s="19"/>
      <c r="J3004" s="19"/>
      <c r="K3004">
        <f t="shared" si="1861"/>
        <v>0</v>
      </c>
      <c r="P3004" s="93"/>
      <c r="AR3004" s="100"/>
      <c r="AS3004" s="93"/>
      <c r="BU3004" s="100"/>
    </row>
    <row r="3005" x14ac:dyDescent="0.25">
      <c r="B3005" t="s">
        <v>468</v>
      </c>
      <c r="C3005" s="19"/>
      <c r="D3005" s="19"/>
      <c r="E3005">
        <f t="shared" si="1860"/>
        <v>0</v>
      </c>
      <c r="H3005">
        <v>20</v>
      </c>
      <c r="I3005" s="19"/>
      <c r="J3005" s="19"/>
      <c r="K3005">
        <f t="shared" si="1861"/>
        <v>0</v>
      </c>
      <c r="P3005" s="93"/>
      <c r="Q3005" s="110" t="str">
        <f>$Q$2976</f>
        <v>A.03</v>
      </c>
      <c r="R3005" t="str">
        <f>$Q$2965</f>
        <v>L2</v>
      </c>
      <c r="S3005">
        <f>$E$21</f>
        <v>10.6875</v>
      </c>
      <c r="T3005" cm="1">
        <f t="array" ref="T3005">IFERROR(IF(S3005=0,0,(INDEX($C$33:$C$38,MATCH($W$2976,$B$33:$B$38,0),0)*(S3009+$X$2976)+$T$2976*COUNTIF(S3005:S3008,"&gt;0")*$C$32+$V$2976*$C$31)*$R$2976),0)</f>
        <v>0</v>
      </c>
      <c r="U3005">
        <f>IF(S3005=0,0,-(COUNTIF(S3005:S3008,"&gt;0")*$T$2976*$C$32+$V$2976*$C$31)*$H$27*$R$2976)</f>
        <v>0</v>
      </c>
      <c r="V3005">
        <f>IF(S3005=0,0,$V$2976*$H$26*$R$2976)</f>
        <v>0</v>
      </c>
      <c r="W3005">
        <f>(0.6*T3005+0.7*U3005)*$R$2976/2</f>
        <v>0</v>
      </c>
      <c r="X3005">
        <f>(0.6*T3005+0.6*V3005)*$R$2976/2</f>
        <v>0</v>
      </c>
      <c r="Z3005">
        <f>IF(S3005=0,0,$AD$2976*$AP$2965)</f>
        <v>0</v>
      </c>
      <c r="AA3005">
        <f>IFERROR(Z3005/$R$2976,0)</f>
        <v>0</v>
      </c>
      <c r="AB3005">
        <f>Z3005*($F$21+IF($F$21=0,0,($C$14+$C$15+IF($C$13="single",1.5,3)+3)/12))</f>
        <v>0</v>
      </c>
      <c r="AC3005">
        <f>AB3005-W3005</f>
        <v>0</v>
      </c>
      <c r="AD3005" cm="1">
        <f t="array" ref="AD3005">IFERROR(IF(AC3005&lt;0,0,AC3005/($R$2976-INDEX(hd_off,MATCH(AQ3005,hd_mark,0),0)/12)),0)</f>
        <v>0</v>
      </c>
      <c r="AE3005">
        <f>IF(S3005=0,0,$AD$2976*$AM$2965)</f>
        <v>0</v>
      </c>
      <c r="AF3005">
        <f>IFERROR(AE3005/$R$2976,0)</f>
        <v>0</v>
      </c>
      <c r="AG3005">
        <f>AE3005*($F$21+IF($F$21=0,0,($C$14+$C$15+IF($C$13="single",1.5,3)+3)/12))</f>
        <v>0</v>
      </c>
      <c r="AH3005">
        <f>AG3005-X3005</f>
        <v>0</v>
      </c>
      <c r="AI3005" cm="1">
        <f t="array" ref="AI3005">IFERROR(IF(AH3005&lt;0,0,AH3005/($R$2976-INDEX(hd_off,MATCH(AQ3005,hd_mark,0),0)/12)),0)</f>
        <v>0</v>
      </c>
      <c r="AJ3005">
        <f>MAX($F$21,$Y$2976)/$Q$2996</f>
        <v>0.30172413793103448</v>
      </c>
      <c r="AK3005">
        <f>IF(AJ3005=0,0,IF(AJ3005&gt;2,1.25-0.125*AJ3005,1))</f>
        <v>1</v>
      </c>
      <c r="AL3005" cm="1">
        <f t="array" ref="AL3005">IFERROR(INDEX(sheath_ecap_asd,MATCH(AP3005,sheath_mark,0),0)*AK3005,0)</f>
        <v>0</v>
      </c>
      <c r="AM3005" cm="1">
        <f t="array" ref="AM3005">IFERROR(INDEX(sheath_wcap_asd,MATCH(AP3005,sheath_mark,0),0)*AK3005,0)</f>
        <v>0</v>
      </c>
      <c r="AN3005" cm="1">
        <f t="array" ref="AN3005">IFERROR(INDEX(hd_cap,MATCH(AQ3005,hd_mark,0),0),0)</f>
        <v>0</v>
      </c>
      <c r="AP3005" s="19"/>
      <c r="AQ3005" s="19"/>
      <c r="AR3005" s="100"/>
      <c r="AS3005" s="93"/>
      <c r="AT3005" s="110" t="str">
        <f>$AT$2976</f>
        <v>1.03</v>
      </c>
      <c r="AU3005" t="str">
        <f>$Q$2965</f>
        <v>L2</v>
      </c>
      <c r="AV3005">
        <f>$E$21</f>
        <v>10.6875</v>
      </c>
      <c r="AW3005" cm="1">
        <f t="array" ref="AW3005">IFERROR(IF(AV3005=0,0,(INDEX($C$33:$C$38,MATCH($AZ$2976,$B$33:$B$38,0),0)*(AV3009+$BA$2976)+$AW$2976*COUNTIF(AV3005:AV3008,"&gt;0")*$C$32+$AY$2976*$C$31)*$AU$2976),0)</f>
        <v>0</v>
      </c>
      <c r="AX3005">
        <f>IF(AV3005=0,0,-(COUNTIF(AV3005:AV3008,"&gt;0")*$AW$2976*$C$32+$AY$2976*$C$31)*$H$27*$AU$2976)</f>
        <v>0</v>
      </c>
      <c r="AY3005">
        <f>IF(AV3005=0,0,$AY$2976*$H$26*$AU$2976)</f>
        <v>0</v>
      </c>
      <c r="AZ3005">
        <f>(0.6*AW3005+0.7*AX3005)*$AU$2976/2</f>
        <v>0</v>
      </c>
      <c r="BA3005">
        <f>(0.6*AW3005+0.6*AY3005)*$AU$2976/2</f>
        <v>0</v>
      </c>
      <c r="BC3005">
        <f>IF(AV3005=0,0,$BG$2976*$AP$2965)</f>
        <v>0</v>
      </c>
      <c r="BD3005">
        <f>IFERROR(BC3005/$AU$2976,0)</f>
        <v>0</v>
      </c>
      <c r="BE3005">
        <f>BC3005*($F$21+IF($F$21=0,0,($C$14+$C$15+IF($C$13="single",1.5,3)+3)/12))</f>
        <v>0</v>
      </c>
      <c r="BF3005">
        <f>BE3005-AZ3005</f>
        <v>0</v>
      </c>
      <c r="BG3005" cm="1">
        <f t="array" ref="BG3005">IFERROR(IF(BF3005&lt;0,0,BF3005/($AU$2976-INDEX(hd_off,MATCH(BT3005,hd_mark,0),0)/12)),0)</f>
        <v>0</v>
      </c>
      <c r="BH3005">
        <f>IF(AV3005=0,0,$BG$2976*$AM$2965)</f>
        <v>0</v>
      </c>
      <c r="BI3005">
        <f>IFERROR(BH3005/$AU$2976,0)</f>
        <v>0</v>
      </c>
      <c r="BJ3005">
        <f>BH3005*($F$21+IF($F$21=0,0,($C$14+$C$15+IF($C$13="single",1.5,3)+3)/12))</f>
        <v>0</v>
      </c>
      <c r="BK3005">
        <f>BJ3005-BA3005</f>
        <v>0</v>
      </c>
      <c r="BL3005" cm="1">
        <f t="array" ref="BL3005">IFERROR(IF(BK3005&lt;0,0,BK3005/($AU$2976-INDEX(hd_off,MATCH(BT3005,hd_mark,0),0)/12)),0)</f>
        <v>0</v>
      </c>
      <c r="BM3005">
        <f>MAX($F$21,$BB$2976)/$Q$2996</f>
        <v>0.30172413793103448</v>
      </c>
      <c r="BN3005">
        <f>IF(BM3005=0,0,IF(BM3005&gt;2,1.25-0.125*BM3005,1))</f>
        <v>1</v>
      </c>
      <c r="BO3005" cm="1">
        <f t="array" ref="BO3005">IFERROR(INDEX(sheath_ecap_asd,MATCH(BS3005,sheath_mark,0),0)*BN3005,0)</f>
        <v>0</v>
      </c>
      <c r="BP3005" cm="1">
        <f t="array" ref="BP3005">IFERROR(INDEX(sheath_wcap_asd,MATCH(BS3005,sheath_mark,0),0)*BN3005,0)</f>
        <v>0</v>
      </c>
      <c r="BQ3005" cm="1">
        <f t="array" ref="BQ3005">IFERROR(INDEX(hd_cap,MATCH(BT3005,hd_mark,0),0),0)</f>
        <v>0</v>
      </c>
      <c r="BS3005" s="19"/>
      <c r="BT3005" s="19"/>
      <c r="BU3005" s="100"/>
    </row>
    <row r="3006" x14ac:dyDescent="0.25">
      <c r="B3006" t="s">
        <v>469</v>
      </c>
      <c r="C3006" s="19"/>
      <c r="D3006" s="19"/>
      <c r="E3006">
        <f t="shared" si="1860"/>
        <v>0</v>
      </c>
      <c r="H3006">
        <v>21</v>
      </c>
      <c r="I3006" s="19"/>
      <c r="J3006" s="19"/>
      <c r="K3006">
        <f t="shared" si="1861"/>
        <v>0</v>
      </c>
      <c r="P3006" s="93"/>
      <c r="Q3006" s="109"/>
      <c r="R3006" t="str">
        <f>$Q$2966</f>
        <v>L3</v>
      </c>
      <c r="S3006">
        <f>$E$22</f>
        <v>21.375</v>
      </c>
      <c r="T3006" cm="1">
        <f t="array" ref="T3006">IFERROR(IF(S3006=0,0,(INDEX($C$33:$C$38,MATCH($W$2976,$B$33:$B$38,0),0)*(S3009+$X$2976)+$T$2976*COUNTIF(S3006:S3008,"&gt;0")*$C$32+$V$2976*$C$31)*$R$2976),0)</f>
        <v>0</v>
      </c>
      <c r="U3006">
        <f>IF(S3006=0,0,-(COUNTIF(S3006:S3008,"&gt;0")*$T$2976*$C$32+$V$2976*$C$31)*$H$27*$R$2976)</f>
        <v>0</v>
      </c>
      <c r="V3006">
        <f>IF(S3006=0,0,$V$2976*$H$26*$R$2976)</f>
        <v>0</v>
      </c>
      <c r="W3006">
        <f>(0.6*T3006+0.7*U3006)*$R$2976/2</f>
        <v>0</v>
      </c>
      <c r="X3006">
        <f>T3006*$R$2976/2</f>
        <v>0</v>
      </c>
      <c r="Z3006">
        <f>IF(S3006=0,0,$AD$2976*$AP$2966)</f>
        <v>0</v>
      </c>
      <c r="AA3006">
        <f>IFERROR(Z3006/$R$2976,0)</f>
        <v>0</v>
      </c>
      <c r="AB3006">
        <f>Z3006*($F$22+IF($F$22=0,0,($C$14+$C$15+IF($C$13="single",1.5,3)+3)/12))</f>
        <v>0</v>
      </c>
      <c r="AC3006">
        <f>AB3006-W3006</f>
        <v>0</v>
      </c>
      <c r="AD3006" cm="1">
        <f t="array" ref="AD3006">IFERROR(IF(AC3006&lt;0,0,AC3006/($R$2976-INDEX(hd_off,MATCH(AQ3006,hd_mark,0),0)/12)),0)</f>
        <v>0</v>
      </c>
      <c r="AE3006">
        <f>IF(S3006=0,0,$AD$2976*$AM$2966)</f>
        <v>0</v>
      </c>
      <c r="AF3006">
        <f>IFERROR(AE3006/$R$2976,0)</f>
        <v>0</v>
      </c>
      <c r="AG3006">
        <f>AE3006*($F$22+IF($F$22=0,0,($C$14+$C$15+IF($C$13="single",1.5,3)+3)/12))</f>
        <v>0</v>
      </c>
      <c r="AH3006">
        <f>AG3006-X3006</f>
        <v>0</v>
      </c>
      <c r="AI3006" cm="1">
        <f t="array" ref="AI3006">IFERROR(IF(AH3006&lt;0,0,AH3006/($R$2976-INDEX(hd_off,MATCH(AQ3006,hd_mark,0),0)/12)),0)</f>
        <v>0</v>
      </c>
      <c r="AJ3006">
        <f>MAX($F$22,$Z$2976)/$Q$2996</f>
        <v>0.30172413793103448</v>
      </c>
      <c r="AK3006">
        <f t="shared" ref="AK3006:AK3009" si="1867">IF(AJ3006=0,0,IF(AJ3006&gt;2,1.25-0.125*AJ3006,1))</f>
        <v>1</v>
      </c>
      <c r="AL3006" cm="1">
        <f t="array" ref="AL3006">IFERROR(INDEX(sheath_ecap_asd,MATCH(AP3006,sheath_mark,0),0)*AK3006,0)</f>
        <v>0</v>
      </c>
      <c r="AM3006" cm="1">
        <f t="array" ref="AM3006">IFERROR(INDEX(sheath_wcap_asd,MATCH(AP3006,sheath_mark,0),0)*AK3006,0)</f>
        <v>0</v>
      </c>
      <c r="AN3006" cm="1">
        <f t="array" ref="AN3006">IFERROR(INDEX(hd_cap,MATCH(AQ3006,hd_mark,0),0),0)</f>
        <v>0</v>
      </c>
      <c r="AP3006" s="19"/>
      <c r="AQ3006" s="19"/>
      <c r="AR3006" s="100"/>
      <c r="AS3006" s="93"/>
      <c r="AT3006" s="109"/>
      <c r="AU3006" t="str">
        <f>$Q$2966</f>
        <v>L3</v>
      </c>
      <c r="AV3006">
        <f>$E$22</f>
        <v>21.375</v>
      </c>
      <c r="AW3006" cm="1">
        <f t="array" ref="AW3006">IFERROR(IF(AV3006=0,0,(INDEX($C$33:$C$38,MATCH($AZ$2976,$B$33:$B$38,0),0)*(AV3009+$BA$2976)+$AW$2976*COUNTIF(AV3006:AV3008,"&gt;0")*$C$32+$AY$2976*$C$31)*$AU$2976),0)</f>
        <v>0</v>
      </c>
      <c r="AX3006">
        <f>IF(AV3006=0,0,-(COUNTIF(AV3006:AV3008,"&gt;0")*$AW$2976*$C$32+$AY$2976*$C$31)*$H$27*$AU$2976)</f>
        <v>0</v>
      </c>
      <c r="AY3006">
        <f>IF(AV3006=0,0,$AY$2976*$H$26*$AU$2976)</f>
        <v>0</v>
      </c>
      <c r="AZ3006">
        <f>(0.6*AW3006+0.7*AX3006)*$AU$2976/2</f>
        <v>0</v>
      </c>
      <c r="BA3006">
        <f>AW3006*$AU$2976/2</f>
        <v>0</v>
      </c>
      <c r="BC3006">
        <f>IF(AV3006=0,0,$BG$2976*$AP$2966)</f>
        <v>0</v>
      </c>
      <c r="BD3006">
        <f>IFERROR(BC3006/$AU$2976,0)</f>
        <v>0</v>
      </c>
      <c r="BE3006">
        <f>BC3006*($F$22+IF($F$22=0,0,($C$14+$C$15+IF($C$13="single",1.5,3)+3)/12))</f>
        <v>0</v>
      </c>
      <c r="BF3006">
        <f>BE3006-AZ3006</f>
        <v>0</v>
      </c>
      <c r="BG3006" cm="1">
        <f t="array" ref="BG3006">IFERROR(IF(BF3006&lt;0,0,BF3006/($AU$2976-INDEX(hd_off,MATCH(BT3006,hd_mark,0),0)/12)),0)</f>
        <v>0</v>
      </c>
      <c r="BH3006">
        <f>IF(AV3006=0,0,$BG$2976*$AM$2966)</f>
        <v>0</v>
      </c>
      <c r="BI3006">
        <f>IFERROR(BH3006/$AU$2976,0)</f>
        <v>0</v>
      </c>
      <c r="BJ3006">
        <f>BH3006*($F$22+IF($F$22=0,0,($C$14+$C$15+IF($C$13="single",1.5,3)+3)/12))</f>
        <v>0</v>
      </c>
      <c r="BK3006">
        <f>BJ3006-BA3006</f>
        <v>0</v>
      </c>
      <c r="BL3006" cm="1">
        <f t="array" ref="BL3006">IFERROR(IF(BK3006&lt;0,0,BK3006/($AU$2976-INDEX(hd_off,MATCH(BT3006,hd_mark,0),0)/12)),0)</f>
        <v>0</v>
      </c>
      <c r="BM3006">
        <f>MAX($F$22,$BC$2976)/$Q$2996</f>
        <v>0.30172413793103448</v>
      </c>
      <c r="BN3006">
        <f t="shared" ref="BN3006:BN3009" si="1868">IF(BM3006=0,0,IF(BM3006&gt;2,1.25-0.125*BM3006,1))</f>
        <v>1</v>
      </c>
      <c r="BO3006" cm="1">
        <f t="array" ref="BO3006">IFERROR(INDEX(sheath_ecap_asd,MATCH(BS3006,sheath_mark,0),0)*BN3006,0)</f>
        <v>0</v>
      </c>
      <c r="BP3006" cm="1">
        <f t="array" ref="BP3006">IFERROR(INDEX(sheath_wcap_asd,MATCH(BS3006,sheath_mark,0),0)*BN3006,0)</f>
        <v>0</v>
      </c>
      <c r="BQ3006" cm="1">
        <f t="array" ref="BQ3006">IFERROR(INDEX(hd_cap,MATCH(BT3006,hd_mark,0),0),0)</f>
        <v>0</v>
      </c>
      <c r="BS3006" s="19"/>
      <c r="BT3006" s="19"/>
      <c r="BU3006" s="100"/>
    </row>
    <row r="3007" x14ac:dyDescent="0.25">
      <c r="B3007" t="s">
        <v>285</v>
      </c>
      <c r="C3007" s="19"/>
      <c r="D3007" s="19"/>
      <c r="E3007">
        <f t="shared" si="1860"/>
        <v>0</v>
      </c>
      <c r="H3007">
        <v>22</v>
      </c>
      <c r="I3007" s="19"/>
      <c r="J3007" s="19"/>
      <c r="K3007">
        <f t="shared" si="1861"/>
        <v>0</v>
      </c>
      <c r="P3007" s="93"/>
      <c r="Q3007" s="109" t="s">
        <v>491</v>
      </c>
      <c r="R3007" t="str">
        <f>$Q$2967</f>
        <v>L4</v>
      </c>
      <c r="S3007">
        <f>$E$23</f>
        <v>0</v>
      </c>
      <c r="T3007" cm="1">
        <f t="array" ref="T3007">IFERROR(IF(S3007=0,0,(INDEX($C$33:$C$38,MATCH($W$2976,$B$33:$B$38,0),0)*(S3009+$X$2976)+$T$2976*COUNTIF(S3007:S3008,"&gt;0")*$C$32+$V$2976*$C$31)*$R$2976),0)</f>
        <v>0</v>
      </c>
      <c r="U3007">
        <f>IF(S3007=0,0,-(COUNTIF(S3007:S3008,"&gt;0")*$T$2976*$C$32+$V$2976*$C$31)*$H$27*$R$2976)</f>
        <v>0</v>
      </c>
      <c r="V3007">
        <f>IF(S3007=0,0,$V$2976*$H$26*$R$2976)</f>
        <v>0</v>
      </c>
      <c r="W3007">
        <f>(0.6*T3007+0.7*U3007)*$R$2976/2</f>
        <v>0</v>
      </c>
      <c r="X3007">
        <f>T3007*$R$2976/2</f>
        <v>0</v>
      </c>
      <c r="Z3007">
        <f>IF(S3007=0,0,$AD$2976*$AP$2967)</f>
        <v>0</v>
      </c>
      <c r="AA3007">
        <f>IFERROR(Z3007/$R$2976,0)</f>
        <v>0</v>
      </c>
      <c r="AB3007">
        <f>Z3007*($F$23+IF($F$23=0,0,($C$14+$C$15+IF($C$13="single",1.5,3)+3)/12))</f>
        <v>0</v>
      </c>
      <c r="AC3007">
        <f>AB3007-W3007</f>
        <v>0</v>
      </c>
      <c r="AD3007" cm="1">
        <f t="array" ref="AD3007">IFERROR(IF(AC3007&lt;0,0,AC3007/($R$2976-INDEX(hd_off,MATCH(AQ3007,hd_mark,0),0)/12)),0)</f>
        <v>0</v>
      </c>
      <c r="AE3007">
        <f>IF(S3007=0,0,$AD$2976*$AM$2967)</f>
        <v>0</v>
      </c>
      <c r="AF3007">
        <f>IFERROR(AE3007/$R$2976,0)</f>
        <v>0</v>
      </c>
      <c r="AG3007">
        <f>AE3007*($F$23+IF($F$23=0,0,($C$14+$C$15+IF($C$13="single",1.5,3)+3)/12))</f>
        <v>0</v>
      </c>
      <c r="AH3007">
        <f>AG3007-X3007</f>
        <v>0</v>
      </c>
      <c r="AI3007" cm="1">
        <f t="array" ref="AI3007">IFERROR(IF(AH3007&lt;0,0,AH3007/($R$2976-INDEX(hd_off,MATCH(AQ3007,hd_mark,0),0)/12)),0)</f>
        <v>0</v>
      </c>
      <c r="AJ3007">
        <f>MAX($F$23,$AA$2976)/$Q$2996</f>
        <v>0</v>
      </c>
      <c r="AK3007">
        <f t="shared" si="1867"/>
        <v>0</v>
      </c>
      <c r="AL3007" cm="1">
        <f t="array" ref="AL3007">IFERROR(INDEX(sheath_ecap_asd,MATCH(AP3007,sheath_mark,0),0)*AK3007,0)</f>
        <v>0</v>
      </c>
      <c r="AM3007" cm="1">
        <f t="array" ref="AM3007">IFERROR(INDEX(sheath_wcap_asd,MATCH(AP3007,sheath_mark,0),0)*AK3007,0)</f>
        <v>0</v>
      </c>
      <c r="AN3007" cm="1">
        <f t="array" ref="AN3007">IFERROR(INDEX(hd_cap,MATCH(AQ3007,hd_mark,0),0),0)</f>
        <v>0</v>
      </c>
      <c r="AP3007" s="19"/>
      <c r="AQ3007" s="19"/>
      <c r="AR3007" s="100"/>
      <c r="AS3007" s="93"/>
      <c r="AT3007" s="109" t="s">
        <v>491</v>
      </c>
      <c r="AU3007" t="str">
        <f>$Q$2967</f>
        <v>L4</v>
      </c>
      <c r="AV3007">
        <f>$E$23</f>
        <v>0</v>
      </c>
      <c r="AW3007" cm="1">
        <f t="array" ref="AW3007">IFERROR(IF(AV3007=0,0,(INDEX($C$33:$C$38,MATCH($AZ$2976,$B$33:$B$38,0),0)*(AV3009+$BA$2976)+$AW$2976*COUNTIF(AV3007:AV3008,"&gt;0")*$C$32+$AY$2976*$C$31)*$AU$2976),0)</f>
        <v>0</v>
      </c>
      <c r="AX3007">
        <f>IF(AV3007=0,0,-(COUNTIF(AV3007:AV3008,"&gt;0")*$AW$2976*$C$32+$AY$2976*$C$31)*$H$27*$AU$2976)</f>
        <v>0</v>
      </c>
      <c r="AY3007">
        <f>IF(AV3007=0,0,$AY$2976*$H$26*$AU$2976)</f>
        <v>0</v>
      </c>
      <c r="AZ3007">
        <f>(0.6*AW3007+0.7*AX3007)*$AU$2976/2</f>
        <v>0</v>
      </c>
      <c r="BA3007">
        <f>AW3007*$AU$2976/2</f>
        <v>0</v>
      </c>
      <c r="BC3007">
        <f>IF(AV3007=0,0,$BG$2976*$AP$2967)</f>
        <v>0</v>
      </c>
      <c r="BD3007">
        <f>IFERROR(BC3007/$AU$2976,0)</f>
        <v>0</v>
      </c>
      <c r="BE3007">
        <f>BC3007*($F$23+IF($F$23=0,0,($C$14+$C$15+IF($C$13="single",1.5,3)+3)/12))</f>
        <v>0</v>
      </c>
      <c r="BF3007">
        <f>BE3007-AZ3007</f>
        <v>0</v>
      </c>
      <c r="BG3007" cm="1">
        <f t="array" ref="BG3007">IFERROR(IF(BF3007&lt;0,0,BF3007/($AU$2976-INDEX(hd_off,MATCH(BT3007,hd_mark,0),0)/12)),0)</f>
        <v>0</v>
      </c>
      <c r="BH3007">
        <f>IF(AV3007=0,0,$BG$2976*$AM$2967)</f>
        <v>0</v>
      </c>
      <c r="BI3007">
        <f>IFERROR(BH3007/$AU$2976,0)</f>
        <v>0</v>
      </c>
      <c r="BJ3007">
        <f>BH3007*($F$23+IF($F$23=0,0,($C$14+$C$15+IF($C$13="single",1.5,3)+3)/12))</f>
        <v>0</v>
      </c>
      <c r="BK3007">
        <f>BJ3007-BA3007</f>
        <v>0</v>
      </c>
      <c r="BL3007" cm="1">
        <f t="array" ref="BL3007">IFERROR(IF(BK3007&lt;0,0,BK3007/($AU$2976-INDEX(hd_off,MATCH(BT3007,hd_mark,0),0)/12)),0)</f>
        <v>0</v>
      </c>
      <c r="BM3007">
        <f>MAX($F$23,$BD$2976)/$Q$2996</f>
        <v>0</v>
      </c>
      <c r="BN3007">
        <f t="shared" si="1868"/>
        <v>0</v>
      </c>
      <c r="BO3007" cm="1">
        <f t="array" ref="BO3007">IFERROR(INDEX(sheath_ecap_asd,MATCH(BS3007,sheath_mark,0),0)*BN3007,0)</f>
        <v>0</v>
      </c>
      <c r="BP3007" cm="1">
        <f t="array" ref="BP3007">IFERROR(INDEX(sheath_wcap_asd,MATCH(BS3007,sheath_mark,0),0)*BN3007,0)</f>
        <v>0</v>
      </c>
      <c r="BQ3007" cm="1">
        <f t="array" ref="BQ3007">IFERROR(INDEX(hd_cap,MATCH(BT3007,hd_mark,0),0),0)</f>
        <v>0</v>
      </c>
      <c r="BS3007" s="19"/>
      <c r="BT3007" s="19"/>
      <c r="BU3007" s="100"/>
    </row>
    <row r="3008" x14ac:dyDescent="0.25">
      <c r="B3008" t="s">
        <v>470</v>
      </c>
      <c r="C3008" s="19"/>
      <c r="D3008" s="19"/>
      <c r="E3008">
        <f t="shared" si="1860"/>
        <v>0</v>
      </c>
      <c r="H3008">
        <v>23</v>
      </c>
      <c r="I3008" s="19"/>
      <c r="J3008" s="19"/>
      <c r="K3008">
        <f t="shared" si="1861"/>
        <v>0</v>
      </c>
      <c r="P3008" s="93"/>
      <c r="Q3008" s="111">
        <f>$R$2976</f>
        <v>0</v>
      </c>
      <c r="R3008" t="str">
        <f>$Q$2968</f>
        <v>L5</v>
      </c>
      <c r="S3008">
        <f>$E$24</f>
        <v>0</v>
      </c>
      <c r="T3008" cm="1">
        <f t="array" ref="T3008">IFERROR(IF(S3008=0,0,(INDEX($C$33:$C$38,MATCH($W$2976,$B$33:$B$38,0),0)*(S3009+$X$2976)+$T$2976*COUNTIF(S3008:S3008,"&gt;0")*$C$32+$V$2976*$C$31)*$R$2976),0)</f>
        <v>0</v>
      </c>
      <c r="U3008">
        <f>IF(S3008=0,0,-(COUNTIF(S3008:S3008,"&gt;0")*$T$2976*$C$32+$V$2976*$C$31)*$H$27*$R$2976)</f>
        <v>0</v>
      </c>
      <c r="V3008">
        <f>IF(S3008=0,0,$V$2976*$H$26*$R$2976)</f>
        <v>0</v>
      </c>
      <c r="W3008">
        <f>(0.6*T3008+0.7*U3008)*$R$2976/2</f>
        <v>0</v>
      </c>
      <c r="X3008">
        <f>T3008*$R$2976/2</f>
        <v>0</v>
      </c>
      <c r="Z3008">
        <f>IF(S3008=0,0,$AD$2976*$AP$2968)</f>
        <v>0</v>
      </c>
      <c r="AA3008">
        <f>IFERROR(Z3008/$R$2976,0)</f>
        <v>0</v>
      </c>
      <c r="AB3008">
        <f>Z3008*($F$24+IF($F$24=0,0,($C$14+$C$15+IF($C$13="single",1.5,3)+3)/12))</f>
        <v>0</v>
      </c>
      <c r="AC3008">
        <f>AB3008-W3008</f>
        <v>0</v>
      </c>
      <c r="AD3008" cm="1">
        <f t="array" ref="AD3008">IFERROR(IF(AC3008&lt;0,0,AC3008/($R$2976-INDEX(hd_off,MATCH(AQ3008,hd_mark,0),0)/12)),0)</f>
        <v>0</v>
      </c>
      <c r="AE3008">
        <f>IF(S3008=0,0,$AD$2976*$AM$2968)</f>
        <v>0</v>
      </c>
      <c r="AF3008">
        <f>IFERROR(AE3008/$R$2976,0)</f>
        <v>0</v>
      </c>
      <c r="AG3008">
        <f>AE3008*($F$24+IF($F$24=0,0,($C$14+$C$15+IF($C$13="single",1.5,3)+3)/12))</f>
        <v>0</v>
      </c>
      <c r="AH3008">
        <f>AG3008-X3008</f>
        <v>0</v>
      </c>
      <c r="AI3008" cm="1">
        <f t="array" ref="AI3008">IFERROR(IF(AH3008&lt;0,0,AH3008/($R$2976-INDEX(hd_off,MATCH(AQ3008,hd_mark,0),0)/12)),0)</f>
        <v>0</v>
      </c>
      <c r="AJ3008">
        <f>MAX($F$24,$AB$2976)/$Q$2996</f>
        <v>0</v>
      </c>
      <c r="AK3008">
        <f t="shared" si="1867"/>
        <v>0</v>
      </c>
      <c r="AL3008" cm="1">
        <f t="array" ref="AL3008">IFERROR(INDEX(sheath_ecap_asd,MATCH(AP3008,sheath_mark,0),0)*AK3008,0)</f>
        <v>0</v>
      </c>
      <c r="AM3008" cm="1">
        <f t="array" ref="AM3008">IFERROR(INDEX(sheath_wcap_asd,MATCH(AP3008,sheath_mark,0),0)*AK3008,0)</f>
        <v>0</v>
      </c>
      <c r="AN3008" cm="1">
        <f t="array" ref="AN3008">IFERROR(INDEX(hd_cap,MATCH(AQ3008,hd_mark,0),0),0)</f>
        <v>0</v>
      </c>
      <c r="AP3008" s="19"/>
      <c r="AQ3008" s="19"/>
      <c r="AR3008" s="100"/>
      <c r="AS3008" s="93"/>
      <c r="AT3008" s="111">
        <f>$R$2976</f>
        <v>0</v>
      </c>
      <c r="AU3008" t="str">
        <f>$Q$2968</f>
        <v>L5</v>
      </c>
      <c r="AV3008">
        <f>$E$24</f>
        <v>0</v>
      </c>
      <c r="AW3008" cm="1">
        <f t="array" ref="AW3008">IFERROR(IF(AV3008=0,0,(INDEX($C$33:$C$38,MATCH($AZ$2976,$B$33:$B$38,0),0)*(AV3009+$BA$2976)+$AW$2976*COUNTIF(AV3008:AV3008,"&gt;0")*$C$32+$AY$2976*$C$31)*$AU$2976),0)</f>
        <v>0</v>
      </c>
      <c r="AX3008">
        <f>IF(AV3008=0,0,-(COUNTIF(AV3008:AV3008,"&gt;0")*$AW$2976*$C$32+$AY$2976*$C$31)*$H$27*$AU$2976)</f>
        <v>0</v>
      </c>
      <c r="AY3008">
        <f>IF(AV3008=0,0,$AY$2976*$H$26*$AU$2976)</f>
        <v>0</v>
      </c>
      <c r="AZ3008">
        <f>(0.6*AW3008+0.7*AX3008)*$AU$2976/2</f>
        <v>0</v>
      </c>
      <c r="BA3008">
        <f>AW3008*$AU$2976/2</f>
        <v>0</v>
      </c>
      <c r="BC3008">
        <f>IF(AV3008=0,0,$BG$2976*$AP$2968)</f>
        <v>0</v>
      </c>
      <c r="BD3008">
        <f>IFERROR(BC3008/$AU$2976,0)</f>
        <v>0</v>
      </c>
      <c r="BE3008">
        <f>BC3008*($F$24+IF($F$24=0,0,($C$14+$C$15+IF($C$13="single",1.5,3)+3)/12))</f>
        <v>0</v>
      </c>
      <c r="BF3008">
        <f>BE3008-AZ3008</f>
        <v>0</v>
      </c>
      <c r="BG3008" cm="1">
        <f t="array" ref="BG3008">IFERROR(IF(BF3008&lt;0,0,BF3008/($AU$2976-INDEX(hd_off,MATCH(BT3008,hd_mark,0),0)/12)),0)</f>
        <v>0</v>
      </c>
      <c r="BH3008">
        <f>IF(AV3008=0,0,$BG$2976*$AM$2968)</f>
        <v>0</v>
      </c>
      <c r="BI3008">
        <f>IFERROR(BH3008/$AU$2976,0)</f>
        <v>0</v>
      </c>
      <c r="BJ3008">
        <f>BH3008*($F$24+IF($F$24=0,0,($C$14+$C$15+IF($C$13="single",1.5,3)+3)/12))</f>
        <v>0</v>
      </c>
      <c r="BK3008">
        <f>BJ3008-BA3008</f>
        <v>0</v>
      </c>
      <c r="BL3008" cm="1">
        <f t="array" ref="BL3008">IFERROR(IF(BK3008&lt;0,0,BK3008/($AU$2976-INDEX(hd_off,MATCH(BT3008,hd_mark,0),0)/12)),0)</f>
        <v>0</v>
      </c>
      <c r="BM3008">
        <f>MAX($F$24,$BE$2976)/$Q$2996</f>
        <v>0</v>
      </c>
      <c r="BN3008">
        <f t="shared" si="1868"/>
        <v>0</v>
      </c>
      <c r="BO3008" cm="1">
        <f t="array" ref="BO3008">IFERROR(INDEX(sheath_ecap_asd,MATCH(BS3008,sheath_mark,0),0)*BN3008,0)</f>
        <v>0</v>
      </c>
      <c r="BP3008" cm="1">
        <f t="array" ref="BP3008">IFERROR(INDEX(sheath_wcap_asd,MATCH(BS3008,sheath_mark,0),0)*BN3008,0)</f>
        <v>0</v>
      </c>
      <c r="BQ3008" cm="1">
        <f t="array" ref="BQ3008">IFERROR(INDEX(hd_cap,MATCH(BT3008,hd_mark,0),0),0)</f>
        <v>0</v>
      </c>
      <c r="BS3008" s="19"/>
      <c r="BT3008" s="19"/>
      <c r="BU3008" s="100"/>
    </row>
    <row r="3009" x14ac:dyDescent="0.25">
      <c r="B3009" t="s">
        <v>471</v>
      </c>
      <c r="C3009" s="19"/>
      <c r="D3009" s="19"/>
      <c r="E3009">
        <f t="shared" si="1860"/>
        <v>0</v>
      </c>
      <c r="H3009">
        <v>24</v>
      </c>
      <c r="I3009" s="19"/>
      <c r="J3009" s="19"/>
      <c r="K3009">
        <f t="shared" si="1861"/>
        <v>0</v>
      </c>
      <c r="P3009" s="93"/>
      <c r="Q3009" s="109"/>
      <c r="R3009" t="str">
        <f>$Q$2969</f>
        <v>Roof</v>
      </c>
      <c r="S3009">
        <f>$E$25</f>
        <v>33.171875</v>
      </c>
      <c r="T3009" cm="1">
        <f t="array" ref="T3009">IFERROR(IF(S3009=0,0,(INDEX($C$33:$C$38,MATCH($W$2976,$B$33:$B$38,0),0)*(S3009+$X$2976)+$V$2976*$C$31)*$R$2976),0)</f>
        <v>0</v>
      </c>
      <c r="U3009">
        <f>IF(S3009=0,0,-$V$2976*$C$31*$H$27*$R$2976)</f>
        <v>0</v>
      </c>
      <c r="V3009">
        <f>IF(S3009=0,0,$V$2976*$H$26*$R$2976)</f>
        <v>0</v>
      </c>
      <c r="W3009">
        <f>(0.6*T3009+0.7*U3009)*$R$2976/2</f>
        <v>0</v>
      </c>
      <c r="X3009">
        <f>T3009*$R$2976/2</f>
        <v>0</v>
      </c>
      <c r="Z3009">
        <f>IF(S3009=0,0,$AD$2976*$AP$2969)</f>
        <v>0</v>
      </c>
      <c r="AA3009">
        <f>IFERROR(Z3009/$R$2976,0)</f>
        <v>0</v>
      </c>
      <c r="AB3009">
        <f>Z3009*($F$25+($C$16+$C$17+IF($C$13="single",1.5,3)+3)/12)</f>
        <v>0</v>
      </c>
      <c r="AC3009">
        <f>AB3009-W3009</f>
        <v>0</v>
      </c>
      <c r="AD3009" cm="1">
        <f t="array" ref="AD3009">IFERROR(IF(AC3009&lt;0,0,AC3009/($R$2976-INDEX(hd_off,MATCH(AQ3009,hd_mark,0),0)/12)),0)</f>
        <v>0</v>
      </c>
      <c r="AE3009">
        <f>IF(S3009=0,0,$AD$2976*$AM$2969)</f>
        <v>0</v>
      </c>
      <c r="AF3009">
        <f>IFERROR(AE3009/$R$2976,0)</f>
        <v>0</v>
      </c>
      <c r="AG3009">
        <f>AE3009*($F$25+($C$16+$C$17+IF($C$13="single",1.5,3)+3)/12)</f>
        <v>0</v>
      </c>
      <c r="AH3009">
        <f>AG3009-X3009</f>
        <v>0</v>
      </c>
      <c r="AI3009" cm="1">
        <f t="array" ref="AI3009">IFERROR(IF(AH3009&lt;0,0,AH3009/($R$2976-INDEX(hd_off,MATCH(AQ3009,hd_mark,0),0)/12)),0)</f>
        <v>0</v>
      </c>
      <c r="AJ3009">
        <f>MAX($F$25,$AC$2976)/$Q$2996</f>
        <v>0.29920977011494249</v>
      </c>
      <c r="AK3009">
        <f t="shared" si="1867"/>
        <v>1</v>
      </c>
      <c r="AL3009" cm="1">
        <f t="array" ref="AL3009">IFERROR(INDEX(sheath_ecap_asd,MATCH(AP3009,sheath_mark,0),0)*AK3009,0)</f>
        <v>0</v>
      </c>
      <c r="AM3009" cm="1">
        <f t="array" ref="AM3009">IFERROR(INDEX(sheath_wcap_asd,MATCH(AP3009,sheath_mark,0),0)*AK3009,0)</f>
        <v>0</v>
      </c>
      <c r="AN3009" cm="1">
        <f t="array" ref="AN3009">IFERROR(INDEX(hd_cap,MATCH(AQ3009,hd_mark,0),0),0)</f>
        <v>0</v>
      </c>
      <c r="AP3009" s="19"/>
      <c r="AQ3009" s="19"/>
      <c r="AR3009" s="100"/>
      <c r="AS3009" s="93"/>
      <c r="AT3009" s="109"/>
      <c r="AU3009" t="str">
        <f>$Q$2969</f>
        <v>Roof</v>
      </c>
      <c r="AV3009">
        <f>$E$25</f>
        <v>33.171875</v>
      </c>
      <c r="AW3009" cm="1">
        <f t="array" ref="AW3009">IFERROR(IF(AV3009=0,0,(INDEX($C$33:$C$38,MATCH($AZ$2976,$B$33:$B$38,0),0)*(AV3009+$BA$2976)+$AY$2976*$C$31)*$AU$2976),0)</f>
        <v>0</v>
      </c>
      <c r="AX3009">
        <f>IF(AV3009=0,0,-$AY$2976*$C$31*$H$27*$AU$2976)</f>
        <v>0</v>
      </c>
      <c r="AY3009">
        <f>IF(AV3009=0,0,$AY$2976*$H$26*$AU$2976)</f>
        <v>0</v>
      </c>
      <c r="AZ3009">
        <f>(0.6*AW3009+0.7*AX3009)*$AU$2976/2</f>
        <v>0</v>
      </c>
      <c r="BA3009">
        <f>AW3009*$AU$2976/2</f>
        <v>0</v>
      </c>
      <c r="BC3009">
        <f>IF(AV3009=0,0,$BG$2976*$AP$2969)</f>
        <v>0</v>
      </c>
      <c r="BD3009">
        <f>IFERROR(BC3009/$AU$2976,0)</f>
        <v>0</v>
      </c>
      <c r="BE3009">
        <f>BC3009*($F$25+($C$16+$C$17+IF($C$13="single",1.5,3)+3)/12)</f>
        <v>0</v>
      </c>
      <c r="BF3009">
        <f>BE3009-AZ3009</f>
        <v>0</v>
      </c>
      <c r="BG3009" cm="1">
        <f t="array" ref="BG3009">IFERROR(IF(BF3009&lt;0,0,BF3009/($AU$2976-INDEX(hd_off,MATCH(BT3009,hd_mark,0),0)/12)),0)</f>
        <v>0</v>
      </c>
      <c r="BH3009">
        <f>IF(AV3009=0,0,$BG$2976*$AM$2969)</f>
        <v>0</v>
      </c>
      <c r="BI3009">
        <f>IFERROR(BH3009/$AU$2976,0)</f>
        <v>0</v>
      </c>
      <c r="BJ3009">
        <f>BH3009*($F$25+($C$16+$C$17+IF($C$13="single",1.5,3)+3)/12)</f>
        <v>0</v>
      </c>
      <c r="BK3009">
        <f>BJ3009-BA3009</f>
        <v>0</v>
      </c>
      <c r="BL3009" cm="1">
        <f t="array" ref="BL3009">IFERROR(IF(BK3009&lt;0,0,BK3009/($AU$2976-INDEX(hd_off,MATCH(BT3009,hd_mark,0),0)/12)),0)</f>
        <v>0</v>
      </c>
      <c r="BM3009">
        <f>MAX($F$25,$BF$2976)/$Q$2996</f>
        <v>0.29920977011494249</v>
      </c>
      <c r="BN3009">
        <f t="shared" si="1868"/>
        <v>1</v>
      </c>
      <c r="BO3009" cm="1">
        <f t="array" ref="BO3009">IFERROR(INDEX(sheath_ecap_asd,MATCH(BS3009,sheath_mark,0),0)*BN3009,0)</f>
        <v>0</v>
      </c>
      <c r="BP3009" cm="1">
        <f t="array" ref="BP3009">IFERROR(INDEX(sheath_wcap_asd,MATCH(BS3009,sheath_mark,0),0)*BN3009,0)</f>
        <v>0</v>
      </c>
      <c r="BQ3009" cm="1">
        <f t="array" ref="BQ3009">IFERROR(INDEX(hd_cap,MATCH(BT3009,hd_mark,0),0),0)</f>
        <v>0</v>
      </c>
      <c r="BS3009" s="19"/>
      <c r="BT3009" s="19"/>
      <c r="BU3009" s="100"/>
    </row>
    <row r="3010" x14ac:dyDescent="0.25">
      <c r="B3010" t="s">
        <v>472</v>
      </c>
      <c r="C3010" s="19"/>
      <c r="D3010" s="19"/>
      <c r="E3010">
        <f t="shared" si="1860"/>
        <v>0</v>
      </c>
      <c r="H3010">
        <v>25</v>
      </c>
      <c r="I3010" s="19"/>
      <c r="J3010" s="19"/>
      <c r="K3010">
        <f t="shared" si="1861"/>
        <v>0</v>
      </c>
      <c r="P3010" s="93"/>
      <c r="AR3010" s="100"/>
      <c r="AS3010" s="93"/>
      <c r="BU3010" s="100"/>
    </row>
    <row r="3011" x14ac:dyDescent="0.25">
      <c r="B3011" t="s">
        <v>473</v>
      </c>
      <c r="C3011" s="19"/>
      <c r="D3011" s="19"/>
      <c r="E3011">
        <f t="shared" si="1860"/>
        <v>0</v>
      </c>
      <c r="H3011">
        <v>26</v>
      </c>
      <c r="I3011" s="19"/>
      <c r="J3011" s="19"/>
      <c r="K3011">
        <f t="shared" si="1861"/>
        <v>0</v>
      </c>
      <c r="P3011" s="93"/>
      <c r="Q3011" s="110" t="str">
        <f>$Q$2977</f>
        <v>A.04</v>
      </c>
      <c r="R3011" t="str">
        <f>$Q$2965</f>
        <v>L2</v>
      </c>
      <c r="S3011">
        <f>$E$21</f>
        <v>10.6875</v>
      </c>
      <c r="T3011" cm="1">
        <f t="array" ref="T3011">IFERROR(IF(S3011=0,0,(INDEX($C$33:$C$38,MATCH($W$2977,$B$33:$B$38,0),0)*(S3015+$X$2977)+$T$2977*COUNTIF(S3011:S3014,"&gt;0")*$C$32+$V$2977*$C$31)*$R$2977),0)</f>
        <v>0</v>
      </c>
      <c r="U3011">
        <f>IF(S3011=0,0,-(COUNTIF(S3011:S3014,"&gt;0")*$T$2977*$C$32+$V$2977*$C$31)*$H$27*$R$2977)</f>
        <v>0</v>
      </c>
      <c r="V3011">
        <f>IF(S3011=0,0,$V$2977*$H$26*$R$2977)</f>
        <v>0</v>
      </c>
      <c r="W3011">
        <f>(0.6*T3011+0.7*U3011)*$R$2977/2</f>
        <v>0</v>
      </c>
      <c r="X3011">
        <f>(0.6*T3011+0.6*V3011)*$R$2977/2</f>
        <v>0</v>
      </c>
      <c r="Z3011">
        <f>IF(S3011=0,0,$AD$2977*$AP$2965)</f>
        <v>0</v>
      </c>
      <c r="AA3011">
        <f>IFERROR(Z3011/$R$2977,0)</f>
        <v>0</v>
      </c>
      <c r="AB3011">
        <f>Z3011*($F$21+IF($F$21=0,0,($C$14+$C$15+IF($C$13="single",1.5,3)+3)/12))</f>
        <v>0</v>
      </c>
      <c r="AC3011">
        <f>AB3011-W3011</f>
        <v>0</v>
      </c>
      <c r="AD3011" cm="1">
        <f t="array" ref="AD3011">IFERROR(IF(AC3011&lt;0,0,AC3011/($R$2977-INDEX(hd_off,MATCH(AQ3011,hd_mark,0),0)/12)),0)</f>
        <v>0</v>
      </c>
      <c r="AE3011">
        <f>IF(S3011=0,0,$AD$2977*$AM$2965)</f>
        <v>0</v>
      </c>
      <c r="AF3011">
        <f>IFERROR(AE3011/$R$2977,0)</f>
        <v>0</v>
      </c>
      <c r="AG3011">
        <f>AE3011*($F$21+IF($F$21=0,0,($C$14+$C$15+IF($C$13="single",1.5,3)+3)/12))</f>
        <v>0</v>
      </c>
      <c r="AH3011">
        <f>AG3011-X3011</f>
        <v>0</v>
      </c>
      <c r="AI3011" cm="1">
        <f t="array" ref="AI3011">IFERROR(IF(AH3011&lt;0,0,AH3011/($R$2977-INDEX(hd_off,MATCH(AQ3011,hd_mark,0),0)/12)),0)</f>
        <v>0</v>
      </c>
      <c r="AJ3011">
        <f>MAX($F$21,$Y$2977)/$Q$2996</f>
        <v>0.30172413793103448</v>
      </c>
      <c r="AK3011">
        <f>IF(AJ3011=0,0,IF(AJ3011&gt;2,1.25-0.125*AJ3011,1))</f>
        <v>1</v>
      </c>
      <c r="AL3011" cm="1">
        <f t="array" ref="AL3011">IFERROR(INDEX(sheath_ecap_asd,MATCH(AP3011,sheath_mark,0),0)*AK3011,0)</f>
        <v>0</v>
      </c>
      <c r="AM3011" cm="1">
        <f t="array" ref="AM3011">IFERROR(INDEX(sheath_wcap_asd,MATCH(AP3011,sheath_mark,0),0)*AK3011,0)</f>
        <v>0</v>
      </c>
      <c r="AN3011" cm="1">
        <f t="array" ref="AN3011">IFERROR(INDEX(hd_cap,MATCH(AQ3011,hd_mark,0),0),0)</f>
        <v>0</v>
      </c>
      <c r="AP3011" s="19"/>
      <c r="AQ3011" s="19"/>
      <c r="AR3011" s="100"/>
      <c r="AS3011" s="93"/>
      <c r="AT3011" s="110" t="str">
        <f>$AT$2977</f>
        <v>1.04</v>
      </c>
      <c r="AU3011" t="str">
        <f>$Q$2965</f>
        <v>L2</v>
      </c>
      <c r="AV3011">
        <f>$E$21</f>
        <v>10.6875</v>
      </c>
      <c r="AW3011" cm="1">
        <f t="array" ref="AW3011">IFERROR(IF(AV3011=0,0,(INDEX($C$33:$C$38,MATCH($AZ$2977,$B$33:$B$38,0),0)*(AV3015+$BA$2977)+$AW$2977*COUNTIF(AV3011:AV3014,"&gt;0")*$C$32+$AY$2977*$C$31)*$AU$2977),0)</f>
        <v>0</v>
      </c>
      <c r="AX3011">
        <f>IF(AV3011=0,0,-(COUNTIF(AV3011:AV3014,"&gt;0")*$AW$2977*$C$32+$AY$2977*$C$31)*$H$27*$AU$2977)</f>
        <v>0</v>
      </c>
      <c r="AY3011">
        <f>IF(AV3011=0,0,$AY$2977*$H$26*$AU$2977)</f>
        <v>0</v>
      </c>
      <c r="AZ3011">
        <f>(0.6*AW3011+0.7*AX3011)*$AU$2977/2</f>
        <v>0</v>
      </c>
      <c r="BA3011">
        <f>(0.6*AW3011+0.6*AY3011)*$AU$2977/2</f>
        <v>0</v>
      </c>
      <c r="BC3011">
        <f>IF(AV3011=0,0,$BG$2977*$AP$2965)</f>
        <v>0</v>
      </c>
      <c r="BD3011">
        <f>IFERROR(BC3011/$AU$2977,0)</f>
        <v>0</v>
      </c>
      <c r="BE3011">
        <f>BC3011*($F$21+IF($F$21=0,0,($C$14+$C$15+IF($C$13="single",1.5,3)+3)/12))</f>
        <v>0</v>
      </c>
      <c r="BF3011">
        <f>BE3011-AZ3011</f>
        <v>0</v>
      </c>
      <c r="BG3011" cm="1">
        <f t="array" ref="BG3011">IFERROR(IF(BF3011&lt;0,0,BF3011/($AU$2977-INDEX(hd_off,MATCH(BT3011,hd_mark,0),0)/12)),0)</f>
        <v>0</v>
      </c>
      <c r="BH3011">
        <f>IF(AV3011=0,0,$BG$2977*$AM$2965)</f>
        <v>0</v>
      </c>
      <c r="BI3011">
        <f>IFERROR(BH3011/$AU$2977,0)</f>
        <v>0</v>
      </c>
      <c r="BJ3011">
        <f>BH3011*($F$21+IF($F$21=0,0,($C$14+$C$15+IF($C$13="single",1.5,3)+3)/12))</f>
        <v>0</v>
      </c>
      <c r="BK3011">
        <f>BJ3011-BA3011</f>
        <v>0</v>
      </c>
      <c r="BL3011" cm="1">
        <f t="array" ref="BL3011">IFERROR(IF(BK3011&lt;0,0,BK3011/($AU$2977-INDEX(hd_off,MATCH(BT3011,hd_mark,0),0)/12)),0)</f>
        <v>0</v>
      </c>
      <c r="BM3011">
        <f>MAX($F$21,$BB$2977)/$Q$2996</f>
        <v>0.30172413793103448</v>
      </c>
      <c r="BN3011">
        <f>IF(BM3011=0,0,IF(BM3011&gt;2,1.25-0.125*BM3011,1))</f>
        <v>1</v>
      </c>
      <c r="BO3011" cm="1">
        <f t="array" ref="BO3011">IFERROR(INDEX(sheath_ecap_asd,MATCH(BS3011,sheath_mark,0),0)*BN3011,0)</f>
        <v>0</v>
      </c>
      <c r="BP3011" cm="1">
        <f t="array" ref="BP3011">IFERROR(INDEX(sheath_wcap_asd,MATCH(BS3011,sheath_mark,0),0)*BN3011,0)</f>
        <v>0</v>
      </c>
      <c r="BQ3011" cm="1">
        <f t="array" ref="BQ3011">IFERROR(INDEX(hd_cap,MATCH(BT3011,hd_mark,0),0),0)</f>
        <v>0</v>
      </c>
      <c r="BS3011" s="19"/>
      <c r="BT3011" s="19"/>
      <c r="BU3011" s="100"/>
    </row>
    <row r="3012" x14ac:dyDescent="0.25">
      <c r="P3012" s="93"/>
      <c r="Q3012" s="109"/>
      <c r="R3012" t="str">
        <f>$Q$2966</f>
        <v>L3</v>
      </c>
      <c r="S3012">
        <f>$E$22</f>
        <v>21.375</v>
      </c>
      <c r="T3012" cm="1">
        <f t="array" ref="T3012">IFERROR(IF(S3012=0,0,(INDEX($C$33:$C$38,MATCH($W$2977,$B$33:$B$38,0),0)*(S3015+$X$2977)+$T$2977*COUNTIF(S3012:S3014,"&gt;0")*$C$32+$V$2977*$C$31)*$R$2977),0)</f>
        <v>0</v>
      </c>
      <c r="U3012">
        <f>IF(S3012=0,0,-(COUNTIF(S3012:S3014,"&gt;0")*$T$2977*$C$32+$V$2977*$C$31)*$H$27*$R$2977)</f>
        <v>0</v>
      </c>
      <c r="V3012">
        <f>IF(S3012=0,0,$V$2977*$H$26*$R$2977)</f>
        <v>0</v>
      </c>
      <c r="W3012">
        <f>(0.6*T3012+0.7*U3012)*$R$2977/2</f>
        <v>0</v>
      </c>
      <c r="X3012">
        <f>T3012*$R$2977/2</f>
        <v>0</v>
      </c>
      <c r="Z3012">
        <f>IF(S3012=0,0,$AD$2977*$AP$2966)</f>
        <v>0</v>
      </c>
      <c r="AA3012">
        <f>IFERROR(Z3012/$R$2977,0)</f>
        <v>0</v>
      </c>
      <c r="AB3012">
        <f>Z3012*($F$22+IF($F$22=0,0,($C$14+$C$15+IF($C$13="single",1.5,3)+3)/12))</f>
        <v>0</v>
      </c>
      <c r="AC3012">
        <f>AB3012-W3012</f>
        <v>0</v>
      </c>
      <c r="AD3012" cm="1">
        <f t="array" ref="AD3012">IFERROR(IF(AC3012&lt;0,0,AC3012/($R$2977-INDEX(hd_off,MATCH(AQ3012,hd_mark,0),0)/12)),0)</f>
        <v>0</v>
      </c>
      <c r="AE3012">
        <f>IF(S3012=0,0,$AD$2977*$AM$2966)</f>
        <v>0</v>
      </c>
      <c r="AF3012">
        <f>IFERROR(AE3012/$R$2977,0)</f>
        <v>0</v>
      </c>
      <c r="AG3012">
        <f>AE3012*($F$22+IF($F$22=0,0,($C$14+$C$15+IF($C$13="single",1.5,3)+3)/12))</f>
        <v>0</v>
      </c>
      <c r="AH3012">
        <f>AG3012-X3012</f>
        <v>0</v>
      </c>
      <c r="AI3012" cm="1">
        <f t="array" ref="AI3012">IFERROR(IF(AH3012&lt;0,0,AH3012/($R$2977-INDEX(hd_off,MATCH(AQ3012,hd_mark,0),0)/12)),0)</f>
        <v>0</v>
      </c>
      <c r="AJ3012">
        <f>MAX($F$22,$Z$2977)/$Q$2996</f>
        <v>0.30172413793103448</v>
      </c>
      <c r="AK3012">
        <f t="shared" ref="AK3012:AK3015" si="1869">IF(AJ3012=0,0,IF(AJ3012&gt;2,1.25-0.125*AJ3012,1))</f>
        <v>1</v>
      </c>
      <c r="AL3012" cm="1">
        <f t="array" ref="AL3012">IFERROR(INDEX(sheath_ecap_asd,MATCH(AP3012,sheath_mark,0),0)*AK3012,0)</f>
        <v>0</v>
      </c>
      <c r="AM3012" cm="1">
        <f t="array" ref="AM3012">IFERROR(INDEX(sheath_wcap_asd,MATCH(AP3012,sheath_mark,0),0)*AK3012,0)</f>
        <v>0</v>
      </c>
      <c r="AN3012" cm="1">
        <f t="array" ref="AN3012">IFERROR(INDEX(hd_cap,MATCH(AQ3012,hd_mark,0),0),0)</f>
        <v>0</v>
      </c>
      <c r="AP3012" s="19"/>
      <c r="AQ3012" s="19"/>
      <c r="AR3012" s="100"/>
      <c r="AS3012" s="93"/>
      <c r="AT3012" s="109"/>
      <c r="AU3012" t="str">
        <f>$Q$2966</f>
        <v>L3</v>
      </c>
      <c r="AV3012">
        <f>$E$22</f>
        <v>21.375</v>
      </c>
      <c r="AW3012" cm="1">
        <f t="array" ref="AW3012">IFERROR(IF(AV3012=0,0,(INDEX($C$33:$C$38,MATCH($AZ$2977,$B$33:$B$38,0),0)*(AV3015+$BA$2977)+$AW$2977*COUNTIF(AV3012:AV3014,"&gt;0")*$C$32+$AY$2977*$C$31)*$AU$2977),0)</f>
        <v>0</v>
      </c>
      <c r="AX3012">
        <f>IF(AV3012=0,0,-(COUNTIF(AV3012:AV3014,"&gt;0")*$AW$2977*$C$32+$AY$2977*$C$31)*$H$27*$AU$2977)</f>
        <v>0</v>
      </c>
      <c r="AY3012">
        <f>IF(AV3012=0,0,$AY$2977*$H$26*$AU$2977)</f>
        <v>0</v>
      </c>
      <c r="AZ3012">
        <f>(0.6*AW3012+0.7*AX3012)*$AU$2977/2</f>
        <v>0</v>
      </c>
      <c r="BA3012">
        <f>AW3012*$AU$2977/2</f>
        <v>0</v>
      </c>
      <c r="BC3012">
        <f>IF(AV3012=0,0,$BG$2977*$AP$2966)</f>
        <v>0</v>
      </c>
      <c r="BD3012">
        <f>IFERROR(BC3012/$AU$2977,0)</f>
        <v>0</v>
      </c>
      <c r="BE3012">
        <f>BC3012*($F$22+IF($F$22=0,0,($C$14+$C$15+IF($C$13="single",1.5,3)+3)/12))</f>
        <v>0</v>
      </c>
      <c r="BF3012">
        <f>BE3012-AZ3012</f>
        <v>0</v>
      </c>
      <c r="BG3012" cm="1">
        <f t="array" ref="BG3012">IFERROR(IF(BF3012&lt;0,0,BF3012/($AU$2977-INDEX(hd_off,MATCH(BT3012,hd_mark,0),0)/12)),0)</f>
        <v>0</v>
      </c>
      <c r="BH3012">
        <f>IF(AV3012=0,0,$BG$2977*$AM$2966)</f>
        <v>0</v>
      </c>
      <c r="BI3012">
        <f>IFERROR(BH3012/$AU$2977,0)</f>
        <v>0</v>
      </c>
      <c r="BJ3012">
        <f>BH3012*($F$22+IF($F$22=0,0,($C$14+$C$15+IF($C$13="single",1.5,3)+3)/12))</f>
        <v>0</v>
      </c>
      <c r="BK3012">
        <f>BJ3012-BA3012</f>
        <v>0</v>
      </c>
      <c r="BL3012" cm="1">
        <f t="array" ref="BL3012">IFERROR(IF(BK3012&lt;0,0,BK3012/($AU$2977-INDEX(hd_off,MATCH(BT3012,hd_mark,0),0)/12)),0)</f>
        <v>0</v>
      </c>
      <c r="BM3012">
        <f>MAX($F$22,$BC$2977)/$Q$2996</f>
        <v>0.30172413793103448</v>
      </c>
      <c r="BN3012">
        <f t="shared" ref="BN3012:BN3015" si="1870">IF(BM3012=0,0,IF(BM3012&gt;2,1.25-0.125*BM3012,1))</f>
        <v>1</v>
      </c>
      <c r="BO3012" cm="1">
        <f t="array" ref="BO3012">IFERROR(INDEX(sheath_ecap_asd,MATCH(BS3012,sheath_mark,0),0)*BN3012,0)</f>
        <v>0</v>
      </c>
      <c r="BP3012" cm="1">
        <f t="array" ref="BP3012">IFERROR(INDEX(sheath_wcap_asd,MATCH(BS3012,sheath_mark,0),0)*BN3012,0)</f>
        <v>0</v>
      </c>
      <c r="BQ3012" cm="1">
        <f t="array" ref="BQ3012">IFERROR(INDEX(hd_cap,MATCH(BT3012,hd_mark,0),0),0)</f>
        <v>0</v>
      </c>
      <c r="BS3012" s="19"/>
      <c r="BT3012" s="19"/>
      <c r="BU3012" s="100"/>
    </row>
    <row r="3013" x14ac:dyDescent="0.25">
      <c r="B3013" s="1"/>
      <c r="P3013" s="93"/>
      <c r="Q3013" s="109" t="s">
        <v>491</v>
      </c>
      <c r="R3013" t="str">
        <f>$Q$2967</f>
        <v>L4</v>
      </c>
      <c r="S3013">
        <f>$E$23</f>
        <v>0</v>
      </c>
      <c r="T3013" cm="1">
        <f t="array" ref="T3013">IFERROR(IF(S3013=0,0,(INDEX($C$33:$C$38,MATCH($W$2977,$B$33:$B$38,0),0)*(S3015+$X$2977)+$T$2977*COUNTIF(S3013:S3014,"&gt;0")*$C$32+$V$2977*$C$31)*$R$2977),0)</f>
        <v>0</v>
      </c>
      <c r="U3013">
        <f>IF(S3013=0,0,-(COUNTIF(S3013:S3014,"&gt;0")*$T$2977*$C$32+$V$2977*$C$31)*$H$27*$R$2977)</f>
        <v>0</v>
      </c>
      <c r="V3013">
        <f>IF(S3013=0,0,$V$2977*$H$26*$R$2977)</f>
        <v>0</v>
      </c>
      <c r="W3013">
        <f>(0.6*T3013+0.7*U3013)*$R$2977/2</f>
        <v>0</v>
      </c>
      <c r="X3013">
        <f>T3013*$R$2977/2</f>
        <v>0</v>
      </c>
      <c r="Z3013">
        <f>IF(S3013=0,0,$AD$2977*$AP$2967)</f>
        <v>0</v>
      </c>
      <c r="AA3013">
        <f>IFERROR(Z3013/$R$2977,0)</f>
        <v>0</v>
      </c>
      <c r="AB3013">
        <f>Z3013*($F$23+IF($F$23=0,0,($C$14+$C$15+IF($C$13="single",1.5,3)+3)/12))</f>
        <v>0</v>
      </c>
      <c r="AC3013">
        <f>AB3013-W3013</f>
        <v>0</v>
      </c>
      <c r="AD3013" cm="1">
        <f t="array" ref="AD3013">IFERROR(IF(AC3013&lt;0,0,AC3013/($R$2977-INDEX(hd_off,MATCH(AQ3013,hd_mark,0),0)/12)),0)</f>
        <v>0</v>
      </c>
      <c r="AE3013">
        <f>IF(S3013=0,0,$AD$2977*$AM$2967)</f>
        <v>0</v>
      </c>
      <c r="AF3013">
        <f>IFERROR(AE3013/$R$2977,0)</f>
        <v>0</v>
      </c>
      <c r="AG3013">
        <f>AE3013*($F$23+IF($F$23=0,0,($C$14+$C$15+IF($C$13="single",1.5,3)+3)/12))</f>
        <v>0</v>
      </c>
      <c r="AH3013">
        <f>AG3013-X3013</f>
        <v>0</v>
      </c>
      <c r="AI3013" cm="1">
        <f t="array" ref="AI3013">IFERROR(IF(AH3013&lt;0,0,AH3013/($R$2977-INDEX(hd_off,MATCH(AQ3013,hd_mark,0),0)/12)),0)</f>
        <v>0</v>
      </c>
      <c r="AJ3013">
        <f>MAX($F$23,$AA$2977)/$Q$2996</f>
        <v>0</v>
      </c>
      <c r="AK3013">
        <f t="shared" si="1869"/>
        <v>0</v>
      </c>
      <c r="AL3013" cm="1">
        <f t="array" ref="AL3013">IFERROR(INDEX(sheath_ecap_asd,MATCH(AP3013,sheath_mark,0),0)*AK3013,0)</f>
        <v>0</v>
      </c>
      <c r="AM3013" cm="1">
        <f t="array" ref="AM3013">IFERROR(INDEX(sheath_wcap_asd,MATCH(AP3013,sheath_mark,0),0)*AK3013,0)</f>
        <v>0</v>
      </c>
      <c r="AN3013" cm="1">
        <f t="array" ref="AN3013">IFERROR(INDEX(hd_cap,MATCH(AQ3013,hd_mark,0),0),0)</f>
        <v>0</v>
      </c>
      <c r="AP3013" s="19"/>
      <c r="AQ3013" s="19"/>
      <c r="AR3013" s="100"/>
      <c r="AS3013" s="93"/>
      <c r="AT3013" s="109" t="s">
        <v>491</v>
      </c>
      <c r="AU3013" t="str">
        <f>$Q$2967</f>
        <v>L4</v>
      </c>
      <c r="AV3013">
        <f>$E$23</f>
        <v>0</v>
      </c>
      <c r="AW3013" cm="1">
        <f t="array" ref="AW3013">IFERROR(IF(AV3013=0,0,(INDEX($C$33:$C$38,MATCH($AZ$2977,$B$33:$B$38,0),0)*(AV3015+$BA$2977)+$AW$2977*COUNTIF(AV3013:AV3014,"&gt;0")*$C$32+$AY$2977*$C$31)*$AU$2977),0)</f>
        <v>0</v>
      </c>
      <c r="AX3013">
        <f>IF(AV3013=0,0,-(COUNTIF(AV3013:AV3014,"&gt;0")*$AW$2977*$C$32+$AY$2977*$C$31)*$H$27*$AU$2977)</f>
        <v>0</v>
      </c>
      <c r="AY3013">
        <f>IF(AV3013=0,0,$AY$2977*$H$26*$AU$2977)</f>
        <v>0</v>
      </c>
      <c r="AZ3013">
        <f>(0.6*AW3013+0.7*AX3013)*$AU$2977/2</f>
        <v>0</v>
      </c>
      <c r="BA3013">
        <f>AW3013*$AU$2977/2</f>
        <v>0</v>
      </c>
      <c r="BC3013">
        <f>IF(AV3013=0,0,$BG$2977*$AP$2967)</f>
        <v>0</v>
      </c>
      <c r="BD3013">
        <f>IFERROR(BC3013/$AU$2977,0)</f>
        <v>0</v>
      </c>
      <c r="BE3013">
        <f>BC3013*($F$23+IF($F$23=0,0,($C$14+$C$15+IF($C$13="single",1.5,3)+3)/12))</f>
        <v>0</v>
      </c>
      <c r="BF3013">
        <f>BE3013-AZ3013</f>
        <v>0</v>
      </c>
      <c r="BG3013" cm="1">
        <f t="array" ref="BG3013">IFERROR(IF(BF3013&lt;0,0,BF3013/($AU$2977-INDEX(hd_off,MATCH(BT3013,hd_mark,0),0)/12)),0)</f>
        <v>0</v>
      </c>
      <c r="BH3013">
        <f>IF(AV3013=0,0,$BG$2977*$AM$2967)</f>
        <v>0</v>
      </c>
      <c r="BI3013">
        <f>IFERROR(BH3013/$AU$2977,0)</f>
        <v>0</v>
      </c>
      <c r="BJ3013">
        <f>BH3013*($F$23+IF($F$23=0,0,($C$14+$C$15+IF($C$13="single",1.5,3)+3)/12))</f>
        <v>0</v>
      </c>
      <c r="BK3013">
        <f>BJ3013-BA3013</f>
        <v>0</v>
      </c>
      <c r="BL3013" cm="1">
        <f t="array" ref="BL3013">IFERROR(IF(BK3013&lt;0,0,BK3013/($AU$2977-INDEX(hd_off,MATCH(BT3013,hd_mark,0),0)/12)),0)</f>
        <v>0</v>
      </c>
      <c r="BM3013">
        <f>MAX($F$23,$BD$2977)/$Q$2996</f>
        <v>0</v>
      </c>
      <c r="BN3013">
        <f t="shared" si="1870"/>
        <v>0</v>
      </c>
      <c r="BO3013" cm="1">
        <f t="array" ref="BO3013">IFERROR(INDEX(sheath_ecap_asd,MATCH(BS3013,sheath_mark,0),0)*BN3013,0)</f>
        <v>0</v>
      </c>
      <c r="BP3013" cm="1">
        <f t="array" ref="BP3013">IFERROR(INDEX(sheath_wcap_asd,MATCH(BS3013,sheath_mark,0),0)*BN3013,0)</f>
        <v>0</v>
      </c>
      <c r="BQ3013" cm="1">
        <f t="array" ref="BQ3013">IFERROR(INDEX(hd_cap,MATCH(BT3013,hd_mark,0),0),0)</f>
        <v>0</v>
      </c>
      <c r="BS3013" s="19"/>
      <c r="BT3013" s="19"/>
      <c r="BU3013" s="100"/>
    </row>
    <row r="3014" x14ac:dyDescent="0.25">
      <c r="P3014" s="93"/>
      <c r="Q3014" s="111">
        <f>$R$2977</f>
        <v>0</v>
      </c>
      <c r="R3014" t="str">
        <f>$Q$2968</f>
        <v>L5</v>
      </c>
      <c r="S3014">
        <f>$E$24</f>
        <v>0</v>
      </c>
      <c r="T3014" cm="1">
        <f t="array" ref="T3014">IFERROR(IF(S3014=0,0,(INDEX($C$33:$C$38,MATCH($W$2977,$B$33:$B$38,0),0)*(S3015+$X$2977)+$T$2977*COUNTIF(S3014:S3014,"&gt;0")*$C$32+$V$2977*$C$31)*$R$2977),0)</f>
        <v>0</v>
      </c>
      <c r="U3014">
        <f>IF(S3014=0,0,-(COUNTIF(S3014:S3014,"&gt;0")*$T$2977*$C$32+$V$2977*$C$31)*$H$27*$R$2977)</f>
        <v>0</v>
      </c>
      <c r="V3014">
        <f>IF(S3014=0,0,$V$2977*$H$26*$R$2977)</f>
        <v>0</v>
      </c>
      <c r="W3014">
        <f>(0.6*T3014+0.7*U3014)*$R$2977/2</f>
        <v>0</v>
      </c>
      <c r="X3014">
        <f>T3014*$R$2977/2</f>
        <v>0</v>
      </c>
      <c r="Z3014">
        <f>IF(S3014=0,0,$AD$2977*$AP$2968)</f>
        <v>0</v>
      </c>
      <c r="AA3014">
        <f>IFERROR(Z3014/$R$2977,0)</f>
        <v>0</v>
      </c>
      <c r="AB3014">
        <f>Z3014*($F$24+IF($F$24=0,0,($C$14+$C$15+IF($C$13="single",1.5,3)+3)/12))</f>
        <v>0</v>
      </c>
      <c r="AC3014">
        <f>AB3014-W3014</f>
        <v>0</v>
      </c>
      <c r="AD3014" cm="1">
        <f t="array" ref="AD3014">IFERROR(IF(AC3014&lt;0,0,AC3014/($R$2977-INDEX(hd_off,MATCH(AQ3014,hd_mark,0),0)/12)),0)</f>
        <v>0</v>
      </c>
      <c r="AE3014">
        <f>IF(S3014=0,0,$AD$2977*$AM$2968)</f>
        <v>0</v>
      </c>
      <c r="AF3014">
        <f>IFERROR(AE3014/$R$2977,0)</f>
        <v>0</v>
      </c>
      <c r="AG3014">
        <f>AE3014*($F$24+IF($F$24=0,0,($C$14+$C$15+IF($C$13="single",1.5,3)+3)/12))</f>
        <v>0</v>
      </c>
      <c r="AH3014">
        <f>AG3014-X3014</f>
        <v>0</v>
      </c>
      <c r="AI3014" cm="1">
        <f t="array" ref="AI3014">IFERROR(IF(AH3014&lt;0,0,AH3014/($R$2977-INDEX(hd_off,MATCH(AQ3014,hd_mark,0),0)/12)),0)</f>
        <v>0</v>
      </c>
      <c r="AJ3014">
        <f>MAX($F$24,$AB$2977)/$Q$2996</f>
        <v>0</v>
      </c>
      <c r="AK3014">
        <f t="shared" si="1869"/>
        <v>0</v>
      </c>
      <c r="AL3014" cm="1">
        <f t="array" ref="AL3014">IFERROR(INDEX(sheath_ecap_asd,MATCH(AP3014,sheath_mark,0),0)*AK3014,0)</f>
        <v>0</v>
      </c>
      <c r="AM3014" cm="1">
        <f t="array" ref="AM3014">IFERROR(INDEX(sheath_wcap_asd,MATCH(AP3014,sheath_mark,0),0)*AK3014,0)</f>
        <v>0</v>
      </c>
      <c r="AN3014" cm="1">
        <f t="array" ref="AN3014">IFERROR(INDEX(hd_cap,MATCH(AQ3014,hd_mark,0),0),0)</f>
        <v>0</v>
      </c>
      <c r="AP3014" s="19"/>
      <c r="AQ3014" s="19"/>
      <c r="AR3014" s="100"/>
      <c r="AS3014" s="93"/>
      <c r="AT3014" s="111">
        <f>$R$2977</f>
        <v>0</v>
      </c>
      <c r="AU3014" t="str">
        <f>$Q$2968</f>
        <v>L5</v>
      </c>
      <c r="AV3014">
        <f>$E$24</f>
        <v>0</v>
      </c>
      <c r="AW3014" cm="1">
        <f t="array" ref="AW3014">IFERROR(IF(AV3014=0,0,(INDEX($C$33:$C$38,MATCH($AZ$2977,$B$33:$B$38,0),0)*(AV3015+$BA$2977)+$AW$2977*COUNTIF(AV3014:AV3014,"&gt;0")*$C$32+$AY$2977*$C$31)*$AU$2977),0)</f>
        <v>0</v>
      </c>
      <c r="AX3014">
        <f>IF(AV3014=0,0,-(COUNTIF(AV3014:AV3014,"&gt;0")*$AW$2977*$C$32+$AY$2977*$C$31)*$H$27*$AU$2977)</f>
        <v>0</v>
      </c>
      <c r="AY3014">
        <f>IF(AV3014=0,0,$AY$2977*$H$26*$AU$2977)</f>
        <v>0</v>
      </c>
      <c r="AZ3014">
        <f>(0.6*AW3014+0.7*AX3014)*$AU$2977/2</f>
        <v>0</v>
      </c>
      <c r="BA3014">
        <f>AW3014*$AU$2977/2</f>
        <v>0</v>
      </c>
      <c r="BC3014">
        <f>IF(AV3014=0,0,$BG$2977*$AP$2968)</f>
        <v>0</v>
      </c>
      <c r="BD3014">
        <f>IFERROR(BC3014/$AU$2977,0)</f>
        <v>0</v>
      </c>
      <c r="BE3014">
        <f>BC3014*($F$24+IF($F$24=0,0,($C$14+$C$15+IF($C$13="single",1.5,3)+3)/12))</f>
        <v>0</v>
      </c>
      <c r="BF3014">
        <f>BE3014-AZ3014</f>
        <v>0</v>
      </c>
      <c r="BG3014" cm="1">
        <f t="array" ref="BG3014">IFERROR(IF(BF3014&lt;0,0,BF3014/($AU$2977-INDEX(hd_off,MATCH(BT3014,hd_mark,0),0)/12)),0)</f>
        <v>0</v>
      </c>
      <c r="BH3014">
        <f>IF(AV3014=0,0,$BG$2977*$AM$2968)</f>
        <v>0</v>
      </c>
      <c r="BI3014">
        <f>IFERROR(BH3014/$AU$2977,0)</f>
        <v>0</v>
      </c>
      <c r="BJ3014">
        <f>BH3014*($F$24+IF($F$24=0,0,($C$14+$C$15+IF($C$13="single",1.5,3)+3)/12))</f>
        <v>0</v>
      </c>
      <c r="BK3014">
        <f>BJ3014-BA3014</f>
        <v>0</v>
      </c>
      <c r="BL3014" cm="1">
        <f t="array" ref="BL3014">IFERROR(IF(BK3014&lt;0,0,BK3014/($AU$2977-INDEX(hd_off,MATCH(BT3014,hd_mark,0),0)/12)),0)</f>
        <v>0</v>
      </c>
      <c r="BM3014">
        <f>MAX($F$24,$BE$2977)/$Q$2996</f>
        <v>0</v>
      </c>
      <c r="BN3014">
        <f t="shared" si="1870"/>
        <v>0</v>
      </c>
      <c r="BO3014" cm="1">
        <f t="array" ref="BO3014">IFERROR(INDEX(sheath_ecap_asd,MATCH(BS3014,sheath_mark,0),0)*BN3014,0)</f>
        <v>0</v>
      </c>
      <c r="BP3014" cm="1">
        <f t="array" ref="BP3014">IFERROR(INDEX(sheath_wcap_asd,MATCH(BS3014,sheath_mark,0),0)*BN3014,0)</f>
        <v>0</v>
      </c>
      <c r="BQ3014" cm="1">
        <f t="array" ref="BQ3014">IFERROR(INDEX(hd_cap,MATCH(BT3014,hd_mark,0),0),0)</f>
        <v>0</v>
      </c>
      <c r="BS3014" s="19"/>
      <c r="BT3014" s="19"/>
      <c r="BU3014" s="100"/>
    </row>
    <row r="3015" x14ac:dyDescent="0.25">
      <c r="P3015" s="93"/>
      <c r="Q3015" s="109"/>
      <c r="R3015" t="str">
        <f>$Q$2969</f>
        <v>Roof</v>
      </c>
      <c r="S3015">
        <f>$E$25</f>
        <v>33.171875</v>
      </c>
      <c r="T3015" cm="1">
        <f t="array" ref="T3015">IFERROR(IF(S3015=0,0,(INDEX($C$33:$C$38,MATCH($W$2977,$B$33:$B$38,0),0)*(S3015+$X$2977)+$V$2977*$C$31)*$R$2977),0)</f>
        <v>0</v>
      </c>
      <c r="U3015">
        <f>IF(S3015=0,0,-$V$2977*$C$31*$H$27*$R$2977)</f>
        <v>0</v>
      </c>
      <c r="V3015">
        <f>IF(S3015=0,0,$V$2977*$H$26*$R$2977)</f>
        <v>0</v>
      </c>
      <c r="W3015">
        <f>(0.6*T3015+0.7*U3015)*$R$2977/2</f>
        <v>0</v>
      </c>
      <c r="X3015">
        <f>T3015*$R$2977/2</f>
        <v>0</v>
      </c>
      <c r="Z3015">
        <f>IF(S3015=0,0,$AD$2977*$AP$2969)</f>
        <v>0</v>
      </c>
      <c r="AA3015">
        <f>IFERROR(Z3015/$R$2977,0)</f>
        <v>0</v>
      </c>
      <c r="AB3015">
        <f>Z3015*($F$25+($C$16+$C$17+IF($C$13="single",1.5,3)+3)/12)</f>
        <v>0</v>
      </c>
      <c r="AC3015">
        <f>AB3015-W3015</f>
        <v>0</v>
      </c>
      <c r="AD3015" cm="1">
        <f t="array" ref="AD3015">IFERROR(IF(AC3015&lt;0,0,AC3015/($R$2977-INDEX(hd_off,MATCH(AQ3015,hd_mark,0),0)/12)),0)</f>
        <v>0</v>
      </c>
      <c r="AE3015">
        <f>IF(S3015=0,0,$AD$2977*$AM$2969)</f>
        <v>0</v>
      </c>
      <c r="AF3015">
        <f>IFERROR(AE3015/$R$2977,0)</f>
        <v>0</v>
      </c>
      <c r="AG3015">
        <f>AE3015*($F$25+($C$16+$C$17+IF($C$13="single",1.5,3)+3)/12)</f>
        <v>0</v>
      </c>
      <c r="AH3015">
        <f>AG3015-X3015</f>
        <v>0</v>
      </c>
      <c r="AI3015" cm="1">
        <f t="array" ref="AI3015">IFERROR(IF(AH3015&lt;0,0,AH3015/($R$2977-INDEX(hd_off,MATCH(AQ3015,hd_mark,0),0)/12)),0)</f>
        <v>0</v>
      </c>
      <c r="AJ3015">
        <f>MAX($F$25,$AC$2977)/$Q$2996</f>
        <v>0.29920977011494249</v>
      </c>
      <c r="AK3015">
        <f t="shared" si="1869"/>
        <v>1</v>
      </c>
      <c r="AL3015" cm="1">
        <f t="array" ref="AL3015">IFERROR(INDEX(sheath_ecap_asd,MATCH(AP3015,sheath_mark,0),0)*AK3015,0)</f>
        <v>0</v>
      </c>
      <c r="AM3015" cm="1">
        <f t="array" ref="AM3015">IFERROR(INDEX(sheath_wcap_asd,MATCH(AP3015,sheath_mark,0),0)*AK3015,0)</f>
        <v>0</v>
      </c>
      <c r="AN3015" cm="1">
        <f t="array" ref="AN3015">IFERROR(INDEX(hd_cap,MATCH(AQ3015,hd_mark,0),0),0)</f>
        <v>0</v>
      </c>
      <c r="AP3015" s="19"/>
      <c r="AQ3015" s="19"/>
      <c r="AR3015" s="100"/>
      <c r="AS3015" s="93"/>
      <c r="AT3015" s="109"/>
      <c r="AU3015" t="str">
        <f>$Q$2969</f>
        <v>Roof</v>
      </c>
      <c r="AV3015">
        <f>$E$25</f>
        <v>33.171875</v>
      </c>
      <c r="AW3015" cm="1">
        <f t="array" ref="AW3015">IFERROR(IF(AV3015=0,0,(INDEX($C$33:$C$38,MATCH($AZ$2977,$B$33:$B$38,0),0)*(AV3015+$BA$2977)+$AY$2977*$C$31)*$AU$2977),0)</f>
        <v>0</v>
      </c>
      <c r="AX3015">
        <f>IF(AV3015=0,0,-$AY$2977*$C$31*$H$27*$AU$2977)</f>
        <v>0</v>
      </c>
      <c r="AY3015">
        <f>IF(AV3015=0,0,$AY$2977*$H$26*$AU$2977)</f>
        <v>0</v>
      </c>
      <c r="AZ3015">
        <f>(0.6*AW3015+0.7*AX3015)*$AU$2977/2</f>
        <v>0</v>
      </c>
      <c r="BA3015">
        <f>AW3015*$AU$2977/2</f>
        <v>0</v>
      </c>
      <c r="BC3015">
        <f>IF(AV3015=0,0,$BG$2977*$AP$2969)</f>
        <v>0</v>
      </c>
      <c r="BD3015">
        <f>IFERROR(BC3015/$AU$2977,0)</f>
        <v>0</v>
      </c>
      <c r="BE3015">
        <f>BC3015*($F$25+($C$16+$C$17+IF($C$13="single",1.5,3)+3)/12)</f>
        <v>0</v>
      </c>
      <c r="BF3015">
        <f>BE3015-AZ3015</f>
        <v>0</v>
      </c>
      <c r="BG3015" cm="1">
        <f t="array" ref="BG3015">IFERROR(IF(BF3015&lt;0,0,BF3015/($AU$2977-INDEX(hd_off,MATCH(BT3015,hd_mark,0),0)/12)),0)</f>
        <v>0</v>
      </c>
      <c r="BH3015">
        <f>IF(AV3015=0,0,$BG$2977*$AM$2969)</f>
        <v>0</v>
      </c>
      <c r="BI3015">
        <f>IFERROR(BH3015/$AU$2977,0)</f>
        <v>0</v>
      </c>
      <c r="BJ3015">
        <f>BH3015*($F$25+($C$16+$C$17+IF($C$13="single",1.5,3)+3)/12)</f>
        <v>0</v>
      </c>
      <c r="BK3015">
        <f>BJ3015-BA3015</f>
        <v>0</v>
      </c>
      <c r="BL3015" cm="1">
        <f t="array" ref="BL3015">IFERROR(IF(BK3015&lt;0,0,BK3015/($AU$2977-INDEX(hd_off,MATCH(BT3015,hd_mark,0),0)/12)),0)</f>
        <v>0</v>
      </c>
      <c r="BM3015">
        <f>MAX($F$25,$BF$2977)/$Q$2996</f>
        <v>0.29920977011494249</v>
      </c>
      <c r="BN3015">
        <f t="shared" si="1870"/>
        <v>1</v>
      </c>
      <c r="BO3015" cm="1">
        <f t="array" ref="BO3015">IFERROR(INDEX(sheath_ecap_asd,MATCH(BS3015,sheath_mark,0),0)*BN3015,0)</f>
        <v>0</v>
      </c>
      <c r="BP3015" cm="1">
        <f t="array" ref="BP3015">IFERROR(INDEX(sheath_wcap_asd,MATCH(BS3015,sheath_mark,0),0)*BN3015,0)</f>
        <v>0</v>
      </c>
      <c r="BQ3015" cm="1">
        <f t="array" ref="BQ3015">IFERROR(INDEX(hd_cap,MATCH(BT3015,hd_mark,0),0),0)</f>
        <v>0</v>
      </c>
      <c r="BS3015" s="19"/>
      <c r="BT3015" s="19"/>
      <c r="BU3015" s="100"/>
    </row>
    <row r="3016" x14ac:dyDescent="0.25">
      <c r="P3016" s="93"/>
      <c r="AR3016" s="100"/>
      <c r="AS3016" s="93"/>
      <c r="BU3016" s="100"/>
    </row>
    <row r="3017" x14ac:dyDescent="0.25">
      <c r="P3017" s="93"/>
      <c r="Q3017" s="110" t="str">
        <f>$Q$2978</f>
        <v>A.05</v>
      </c>
      <c r="R3017" t="str">
        <f>$Q$2965</f>
        <v>L2</v>
      </c>
      <c r="S3017">
        <f>$E$21</f>
        <v>10.6875</v>
      </c>
      <c r="T3017" cm="1">
        <f t="array" ref="T3017">IFERROR(IF(S3017=0,0,(INDEX($C$33:$C$38,MATCH($W$2978,$B$33:$B$38,0),0)*(S3021+$X$2978)+$T$2978*COUNTIF(S3017:S3020,"&gt;0")*$C$32+$V$2978*$C$31)*$R$2978),0)</f>
        <v>0</v>
      </c>
      <c r="U3017">
        <f>IF(S3017=0,0,-(COUNTIF(S3017:S3020,"&gt;0")*$T$2978*$C$32+$V$2978*$C$31)*$H$27*$R$2978)</f>
        <v>0</v>
      </c>
      <c r="V3017">
        <f>IF(S3017=0,0,$V$2978*$H$26*$R$2978)</f>
        <v>0</v>
      </c>
      <c r="W3017">
        <f>(0.6*T3017+0.7*U3017)*$R$2978/2</f>
        <v>0</v>
      </c>
      <c r="X3017">
        <f>(0.6*T3017+0.6*V3017)*$R$2978/2</f>
        <v>0</v>
      </c>
      <c r="Z3017">
        <f>IF(S3017=0,0,$AD$2978*$AP$2965)</f>
        <v>0</v>
      </c>
      <c r="AA3017">
        <f>IFERROR(Z3017/$R$2978,0)</f>
        <v>0</v>
      </c>
      <c r="AB3017">
        <f>Z3017*($F$21+IF($F$21=0,0,($C$14+$C$15+IF($C$13="single",1.5,3)+3)/12))</f>
        <v>0</v>
      </c>
      <c r="AC3017">
        <f>AB3017-W3017</f>
        <v>0</v>
      </c>
      <c r="AD3017" cm="1">
        <f t="array" ref="AD3017">IFERROR(IF(AC3017&lt;0,0,AC3017/($R$2978-INDEX(hd_off,MATCH(AQ3017,hd_mark,0),0)/12)),0)</f>
        <v>0</v>
      </c>
      <c r="AE3017">
        <f>IF(S3017=0,0,$AD$2978*$AM$2965)</f>
        <v>0</v>
      </c>
      <c r="AF3017">
        <f>IFERROR(AE3017/$R$2978,0)</f>
        <v>0</v>
      </c>
      <c r="AG3017">
        <f>AE3017*($F$21+IF($F$21=0,0,($C$14+$C$15+IF($C$13="single",1.5,3)+3)/12))</f>
        <v>0</v>
      </c>
      <c r="AH3017">
        <f>AG3017-X3017</f>
        <v>0</v>
      </c>
      <c r="AI3017" cm="1">
        <f t="array" ref="AI3017">IFERROR(IF(AH3017&lt;0,0,AH3017/($R$2978-INDEX(hd_off,MATCH(AQ3017,hd_mark,0),0)/12)),0)</f>
        <v>0</v>
      </c>
      <c r="AJ3017">
        <f>MAX($F$21,$Y$2978)/$Q$2996</f>
        <v>0.30172413793103448</v>
      </c>
      <c r="AK3017">
        <f>IF(AJ3017=0,0,IF(AJ3017&gt;2,1.25-0.125*AJ3017,1))</f>
        <v>1</v>
      </c>
      <c r="AL3017" cm="1">
        <f t="array" ref="AL3017">IFERROR(INDEX(sheath_ecap_asd,MATCH(AP3017,sheath_mark,0),0)*AK3017,0)</f>
        <v>0</v>
      </c>
      <c r="AM3017" cm="1">
        <f t="array" ref="AM3017">IFERROR(INDEX(sheath_wcap_asd,MATCH(AP3017,sheath_mark,0),0)*AK3017,0)</f>
        <v>0</v>
      </c>
      <c r="AN3017" cm="1">
        <f t="array" ref="AN3017">IFERROR(INDEX(hd_cap,MATCH(AQ3017,hd_mark,0),0),0)</f>
        <v>0</v>
      </c>
      <c r="AP3017" s="19"/>
      <c r="AQ3017" s="19"/>
      <c r="AR3017" s="100"/>
      <c r="AS3017" s="93"/>
      <c r="AT3017" s="110" t="str">
        <f>$AT$2978</f>
        <v>1.05</v>
      </c>
      <c r="AU3017" t="str">
        <f>$Q$2965</f>
        <v>L2</v>
      </c>
      <c r="AV3017">
        <f>$E$21</f>
        <v>10.6875</v>
      </c>
      <c r="AW3017" cm="1">
        <f t="array" ref="AW3017">IFERROR(IF(AV3017=0,0,(INDEX($C$33:$C$38,MATCH($AZ$2978,$B$33:$B$38,0),0)*(AV3021+$BA$2978)+$AW$2978*COUNTIF(AV3017:AV3020,"&gt;0")*$C$32+$AY$2978*$C$31)*$AU$2978),0)</f>
        <v>0</v>
      </c>
      <c r="AX3017">
        <f>IF(AV3017=0,0,-(COUNTIF(AV3017:AV3020,"&gt;0")*$AW$2978*$C$32+$AY$2978*$C$31)*$H$27*$AU$2978)</f>
        <v>0</v>
      </c>
      <c r="AY3017">
        <f>IF(AV3017=0,0,$AY$2978*$H$26*$AU$2978)</f>
        <v>0</v>
      </c>
      <c r="AZ3017">
        <f>(0.6*AW3017+0.7*AX3017)*$AU$2978/2</f>
        <v>0</v>
      </c>
      <c r="BA3017">
        <f>(0.6*AW3017+0.6*AY3017)*$AU$2978/2</f>
        <v>0</v>
      </c>
      <c r="BC3017">
        <f>IF(AV3017=0,0,$BG$2978*$AP$2965)</f>
        <v>0</v>
      </c>
      <c r="BD3017">
        <f>IFERROR(BC3017/$AU$2978,0)</f>
        <v>0</v>
      </c>
      <c r="BE3017">
        <f>BC3017*($F$21+IF($F$21=0,0,($C$14+$C$15+IF($C$13="single",1.5,3)+3)/12))</f>
        <v>0</v>
      </c>
      <c r="BF3017">
        <f>BE3017-AZ3017</f>
        <v>0</v>
      </c>
      <c r="BG3017" cm="1">
        <f t="array" ref="BG3017">IFERROR(IF(BF3017&lt;0,0,BF3017/($AU$2978-INDEX(hd_off,MATCH(BT3017,hd_mark,0),0)/12)),0)</f>
        <v>0</v>
      </c>
      <c r="BH3017">
        <f>IF(AV3017=0,0,$BG$2978*$AM$2965)</f>
        <v>0</v>
      </c>
      <c r="BI3017">
        <f>IFERROR(BH3017/$AU$2978,0)</f>
        <v>0</v>
      </c>
      <c r="BJ3017">
        <f>BH3017*($F$21+IF($F$21=0,0,($C$14+$C$15+IF($C$13="single",1.5,3)+3)/12))</f>
        <v>0</v>
      </c>
      <c r="BK3017">
        <f>BJ3017-BA3017</f>
        <v>0</v>
      </c>
      <c r="BL3017" cm="1">
        <f t="array" ref="BL3017">IFERROR(IF(BK3017&lt;0,0,BK3017/($AU$2978-INDEX(hd_off,MATCH(BT3017,hd_mark,0),0)/12)),0)</f>
        <v>0</v>
      </c>
      <c r="BM3017">
        <f>MAX($F$21,$BB$2978)/$Q$2996</f>
        <v>0.30172413793103448</v>
      </c>
      <c r="BN3017">
        <f>IF(BM3017=0,0,IF(BM3017&gt;2,1.25-0.125*BM3017,1))</f>
        <v>1</v>
      </c>
      <c r="BO3017" cm="1">
        <f t="array" ref="BO3017">IFERROR(INDEX(sheath_ecap_asd,MATCH(BS3017,sheath_mark,0),0)*BN3017,0)</f>
        <v>0</v>
      </c>
      <c r="BP3017" cm="1">
        <f t="array" ref="BP3017">IFERROR(INDEX(sheath_wcap_asd,MATCH(BS3017,sheath_mark,0),0)*BN3017,0)</f>
        <v>0</v>
      </c>
      <c r="BQ3017" cm="1">
        <f t="array" ref="BQ3017">IFERROR(INDEX(hd_cap,MATCH(BT3017,hd_mark,0),0),0)</f>
        <v>0</v>
      </c>
      <c r="BS3017" s="19"/>
      <c r="BT3017" s="19"/>
      <c r="BU3017" s="100"/>
    </row>
    <row r="3018" x14ac:dyDescent="0.25">
      <c r="B3018" s="1"/>
      <c r="P3018" s="93"/>
      <c r="Q3018" s="109"/>
      <c r="R3018" t="str">
        <f>$Q$2966</f>
        <v>L3</v>
      </c>
      <c r="S3018">
        <f>$E$22</f>
        <v>21.375</v>
      </c>
      <c r="T3018" cm="1">
        <f t="array" ref="T3018">IFERROR(IF(S3018=0,0,(INDEX($C$33:$C$38,MATCH($W$2978,$B$33:$B$38,0),0)*(S3021+$X$2978)+$T$2978*COUNTIF(S3018:S3020,"&gt;0")*$C$32+$V$2978*$C$31)*$R$2978),0)</f>
        <v>0</v>
      </c>
      <c r="U3018">
        <f>IF(S3018=0,0,-(COUNTIF(S3018:S3020,"&gt;0")*$T$2978*$C$32+$V$2978*$C$31)*$H$27*$R$2978)</f>
        <v>0</v>
      </c>
      <c r="V3018">
        <f>IF(S3018=0,0,$V$2978*$H$26*$R$2978)</f>
        <v>0</v>
      </c>
      <c r="W3018">
        <f>(0.6*T3018+0.7*U3018)*$R$2978/2</f>
        <v>0</v>
      </c>
      <c r="X3018">
        <f>T3018*$R$2978/2</f>
        <v>0</v>
      </c>
      <c r="Z3018">
        <f>IF(S3018=0,0,$AD$2978*$AP$2966)</f>
        <v>0</v>
      </c>
      <c r="AA3018">
        <f>IFERROR(Z3018/$R$2978,0)</f>
        <v>0</v>
      </c>
      <c r="AB3018">
        <f>Z3018*($F$22+IF($F$22=0,0,($C$14+$C$15+IF($C$13="single",1.5,3)+3)/12))</f>
        <v>0</v>
      </c>
      <c r="AC3018">
        <f>AB3018-W3018</f>
        <v>0</v>
      </c>
      <c r="AD3018" cm="1">
        <f t="array" ref="AD3018">IFERROR(IF(AC3018&lt;0,0,AC3018/($R$2978-INDEX(hd_off,MATCH(AQ3018,hd_mark,0),0)/12)),0)</f>
        <v>0</v>
      </c>
      <c r="AE3018">
        <f>IF(S3018=0,0,$AD$2978*$AM$2966)</f>
        <v>0</v>
      </c>
      <c r="AF3018">
        <f>IFERROR(AE3018/$R$2978,0)</f>
        <v>0</v>
      </c>
      <c r="AG3018">
        <f>AE3018*($F$22+IF($F$22=0,0,($C$14+$C$15+IF($C$13="single",1.5,3)+3)/12))</f>
        <v>0</v>
      </c>
      <c r="AH3018">
        <f>AG3018-X3018</f>
        <v>0</v>
      </c>
      <c r="AI3018" cm="1">
        <f t="array" ref="AI3018">IFERROR(IF(AH3018&lt;0,0,AH3018/($R$2978-INDEX(hd_off,MATCH(AQ3018,hd_mark,0),0)/12)),0)</f>
        <v>0</v>
      </c>
      <c r="AJ3018">
        <f>MAX($F$22,$Z$2978)/$Q$2996</f>
        <v>0.30172413793103448</v>
      </c>
      <c r="AK3018">
        <f t="shared" ref="AK3018:AK3021" si="1871">IF(AJ3018=0,0,IF(AJ3018&gt;2,1.25-0.125*AJ3018,1))</f>
        <v>1</v>
      </c>
      <c r="AL3018" cm="1">
        <f t="array" ref="AL3018">IFERROR(INDEX(sheath_ecap_asd,MATCH(AP3018,sheath_mark,0),0)*AK3018,0)</f>
        <v>0</v>
      </c>
      <c r="AM3018" cm="1">
        <f t="array" ref="AM3018">IFERROR(INDEX(sheath_wcap_asd,MATCH(AP3018,sheath_mark,0),0)*AK3018,0)</f>
        <v>0</v>
      </c>
      <c r="AN3018" cm="1">
        <f t="array" ref="AN3018">IFERROR(INDEX(hd_cap,MATCH(AQ3018,hd_mark,0),0),0)</f>
        <v>0</v>
      </c>
      <c r="AP3018" s="19"/>
      <c r="AQ3018" s="19"/>
      <c r="AR3018" s="100"/>
      <c r="AS3018" s="93"/>
      <c r="AT3018" s="109"/>
      <c r="AU3018" t="str">
        <f>$Q$2966</f>
        <v>L3</v>
      </c>
      <c r="AV3018">
        <f>$E$22</f>
        <v>21.375</v>
      </c>
      <c r="AW3018" cm="1">
        <f t="array" ref="AW3018">IFERROR(IF(AV3018=0,0,(INDEX($C$33:$C$38,MATCH($AZ$2978,$B$33:$B$38,0),0)*(AV3021+$BA$2978)+$AW$2978*COUNTIF(AV3018:AV3020,"&gt;0")*$C$32+$AY$2978*$C$31)*$AU$2978),0)</f>
        <v>0</v>
      </c>
      <c r="AX3018">
        <f>IF(AV3018=0,0,-(COUNTIF(AV3018:AV3020,"&gt;0")*$AW$2978*$C$32+$AY$2978*$C$31)*$H$27*$AU$2978)</f>
        <v>0</v>
      </c>
      <c r="AY3018">
        <f>IF(AV3018=0,0,$AY$2978*$H$26*$AU$2978)</f>
        <v>0</v>
      </c>
      <c r="AZ3018">
        <f>(0.6*AW3018+0.7*AX3018)*$AU$2978/2</f>
        <v>0</v>
      </c>
      <c r="BA3018">
        <f>AW3018*$AU$2978/2</f>
        <v>0</v>
      </c>
      <c r="BC3018">
        <f>IF(AV3018=0,0,$BG$2978*$AP$2966)</f>
        <v>0</v>
      </c>
      <c r="BD3018">
        <f>IFERROR(BC3018/$AU$2978,0)</f>
        <v>0</v>
      </c>
      <c r="BE3018">
        <f>BC3018*($F$22+IF($F$22=0,0,($C$14+$C$15+IF($C$13="single",1.5,3)+3)/12))</f>
        <v>0</v>
      </c>
      <c r="BF3018">
        <f>BE3018-AZ3018</f>
        <v>0</v>
      </c>
      <c r="BG3018" cm="1">
        <f t="array" ref="BG3018">IFERROR(IF(BF3018&lt;0,0,BF3018/($AU$2978-INDEX(hd_off,MATCH(BT3018,hd_mark,0),0)/12)),0)</f>
        <v>0</v>
      </c>
      <c r="BH3018">
        <f>IF(AV3018=0,0,$BG$2978*$AM$2966)</f>
        <v>0</v>
      </c>
      <c r="BI3018">
        <f>IFERROR(BH3018/$AU$2978,0)</f>
        <v>0</v>
      </c>
      <c r="BJ3018">
        <f>BH3018*($F$22+IF($F$22=0,0,($C$14+$C$15+IF($C$13="single",1.5,3)+3)/12))</f>
        <v>0</v>
      </c>
      <c r="BK3018">
        <f>BJ3018-BA3018</f>
        <v>0</v>
      </c>
      <c r="BL3018" cm="1">
        <f t="array" ref="BL3018">IFERROR(IF(BK3018&lt;0,0,BK3018/($AU$2978-INDEX(hd_off,MATCH(BT3018,hd_mark,0),0)/12)),0)</f>
        <v>0</v>
      </c>
      <c r="BM3018">
        <f>MAX($F$22,$BC$2978)/$Q$2996</f>
        <v>0.30172413793103448</v>
      </c>
      <c r="BN3018">
        <f t="shared" ref="BN3018:BN3021" si="1872">IF(BM3018=0,0,IF(BM3018&gt;2,1.25-0.125*BM3018,1))</f>
        <v>1</v>
      </c>
      <c r="BO3018" cm="1">
        <f t="array" ref="BO3018">IFERROR(INDEX(sheath_ecap_asd,MATCH(BS3018,sheath_mark,0),0)*BN3018,0)</f>
        <v>0</v>
      </c>
      <c r="BP3018" cm="1">
        <f t="array" ref="BP3018">IFERROR(INDEX(sheath_wcap_asd,MATCH(BS3018,sheath_mark,0),0)*BN3018,0)</f>
        <v>0</v>
      </c>
      <c r="BQ3018" cm="1">
        <f t="array" ref="BQ3018">IFERROR(INDEX(hd_cap,MATCH(BT3018,hd_mark,0),0),0)</f>
        <v>0</v>
      </c>
      <c r="BS3018" s="19"/>
      <c r="BT3018" s="19"/>
      <c r="BU3018" s="100"/>
    </row>
    <row r="3019" x14ac:dyDescent="0.25">
      <c r="P3019" s="93"/>
      <c r="Q3019" s="109" t="s">
        <v>491</v>
      </c>
      <c r="R3019" t="str">
        <f>$Q$2967</f>
        <v>L4</v>
      </c>
      <c r="S3019">
        <f>$E$23</f>
        <v>0</v>
      </c>
      <c r="T3019" cm="1">
        <f t="array" ref="T3019">IFERROR(IF(S3019=0,0,(INDEX($C$33:$C$38,MATCH($W$2978,$B$33:$B$38,0),0)*(S3021+$X$2978)+$T$2978*COUNTIF(S3019:S3020,"&gt;0")*$C$32+$V$2978*$C$31)*$R$2978),0)</f>
        <v>0</v>
      </c>
      <c r="U3019">
        <f>IF(S3019=0,0,-(COUNTIF(S3019:S3020,"&gt;0")*$T$2978*$C$32+$V$2978*$C$31)*$H$27*$R$2978)</f>
        <v>0</v>
      </c>
      <c r="V3019">
        <f>IF(S3019=0,0,$V$2978*$H$26*$R$2978)</f>
        <v>0</v>
      </c>
      <c r="W3019">
        <f>(0.6*T3019+0.7*U3019)*$R$2978/2</f>
        <v>0</v>
      </c>
      <c r="X3019">
        <f>T3019*$R$2978/2</f>
        <v>0</v>
      </c>
      <c r="Z3019">
        <f>IF(S3019=0,0,$AD$2978*$AP$2967)</f>
        <v>0</v>
      </c>
      <c r="AA3019">
        <f>IFERROR(Z3019/$R$2978,0)</f>
        <v>0</v>
      </c>
      <c r="AB3019">
        <f>Z3019*($F$23+IF($F$23=0,0,($C$14+$C$15+IF($C$13="single",1.5,3)+3)/12))</f>
        <v>0</v>
      </c>
      <c r="AC3019">
        <f>AB3019-W3019</f>
        <v>0</v>
      </c>
      <c r="AD3019" cm="1">
        <f t="array" ref="AD3019">IFERROR(IF(AC3019&lt;0,0,AC3019/($R$2978-INDEX(hd_off,MATCH(AQ3019,hd_mark,0),0)/12)),0)</f>
        <v>0</v>
      </c>
      <c r="AE3019">
        <f>IF(S3019=0,0,$AD$2978*$AM$2967)</f>
        <v>0</v>
      </c>
      <c r="AF3019">
        <f>IFERROR(AE3019/$R$2978,0)</f>
        <v>0</v>
      </c>
      <c r="AG3019">
        <f>AE3019*($F$23+IF($F$23=0,0,($C$14+$C$15+IF($C$13="single",1.5,3)+3)/12))</f>
        <v>0</v>
      </c>
      <c r="AH3019">
        <f>AG3019-X3019</f>
        <v>0</v>
      </c>
      <c r="AI3019" cm="1">
        <f t="array" ref="AI3019">IFERROR(IF(AH3019&lt;0,0,AH3019/($R$2978-INDEX(hd_off,MATCH(AQ3019,hd_mark,0),0)/12)),0)</f>
        <v>0</v>
      </c>
      <c r="AJ3019">
        <f>MAX($F$23,$AA$2978)/$Q$2996</f>
        <v>0</v>
      </c>
      <c r="AK3019">
        <f t="shared" si="1871"/>
        <v>0</v>
      </c>
      <c r="AL3019" cm="1">
        <f t="array" ref="AL3019">IFERROR(INDEX(sheath_ecap_asd,MATCH(AP3019,sheath_mark,0),0)*AK3019,0)</f>
        <v>0</v>
      </c>
      <c r="AM3019" cm="1">
        <f t="array" ref="AM3019">IFERROR(INDEX(sheath_wcap_asd,MATCH(AP3019,sheath_mark,0),0)*AK3019,0)</f>
        <v>0</v>
      </c>
      <c r="AN3019" cm="1">
        <f t="array" ref="AN3019">IFERROR(INDEX(hd_cap,MATCH(AQ3019,hd_mark,0),0),0)</f>
        <v>0</v>
      </c>
      <c r="AP3019" s="19"/>
      <c r="AQ3019" s="19"/>
      <c r="AR3019" s="100"/>
      <c r="AS3019" s="93"/>
      <c r="AT3019" s="109" t="s">
        <v>491</v>
      </c>
      <c r="AU3019" t="str">
        <f>$Q$2967</f>
        <v>L4</v>
      </c>
      <c r="AV3019">
        <f>$E$23</f>
        <v>0</v>
      </c>
      <c r="AW3019" cm="1">
        <f t="array" ref="AW3019">IFERROR(IF(AV3019=0,0,(INDEX($C$33:$C$38,MATCH($AZ$2978,$B$33:$B$38,0),0)*(AV3021+$BA$2978)+$AW$2978*COUNTIF(AV3019:AV3020,"&gt;0")*$C$32+$AY$2978*$C$31)*$AU$2978),0)</f>
        <v>0</v>
      </c>
      <c r="AX3019">
        <f>IF(AV3019=0,0,-(COUNTIF(AV3019:AV3020,"&gt;0")*$AW$2978*$C$32+$AY$2978*$C$31)*$H$27*$AU$2978)</f>
        <v>0</v>
      </c>
      <c r="AY3019">
        <f>IF(AV3019=0,0,$AY$2978*$H$26*$AU$2978)</f>
        <v>0</v>
      </c>
      <c r="AZ3019">
        <f>(0.6*AW3019+0.7*AX3019)*$AU$2978/2</f>
        <v>0</v>
      </c>
      <c r="BA3019">
        <f>AW3019*$AU$2978/2</f>
        <v>0</v>
      </c>
      <c r="BC3019">
        <f>IF(AV3019=0,0,$BG$2978*$AP$2967)</f>
        <v>0</v>
      </c>
      <c r="BD3019">
        <f>IFERROR(BC3019/$AU$2978,0)</f>
        <v>0</v>
      </c>
      <c r="BE3019">
        <f>BC3019*($F$23+IF($F$23=0,0,($C$14+$C$15+IF($C$13="single",1.5,3)+3)/12))</f>
        <v>0</v>
      </c>
      <c r="BF3019">
        <f>BE3019-AZ3019</f>
        <v>0</v>
      </c>
      <c r="BG3019" cm="1">
        <f t="array" ref="BG3019">IFERROR(IF(BF3019&lt;0,0,BF3019/($AU$2978-INDEX(hd_off,MATCH(BT3019,hd_mark,0),0)/12)),0)</f>
        <v>0</v>
      </c>
      <c r="BH3019">
        <f>IF(AV3019=0,0,$BG$2978*$AM$2967)</f>
        <v>0</v>
      </c>
      <c r="BI3019">
        <f>IFERROR(BH3019/$AU$2978,0)</f>
        <v>0</v>
      </c>
      <c r="BJ3019">
        <f>BH3019*($F$23+IF($F$23=0,0,($C$14+$C$15+IF($C$13="single",1.5,3)+3)/12))</f>
        <v>0</v>
      </c>
      <c r="BK3019">
        <f>BJ3019-BA3019</f>
        <v>0</v>
      </c>
      <c r="BL3019" cm="1">
        <f t="array" ref="BL3019">IFERROR(IF(BK3019&lt;0,0,BK3019/($AU$2978-INDEX(hd_off,MATCH(BT3019,hd_mark,0),0)/12)),0)</f>
        <v>0</v>
      </c>
      <c r="BM3019">
        <f>MAX($F$23,$BD$2978)/$Q$2996</f>
        <v>0</v>
      </c>
      <c r="BN3019">
        <f t="shared" si="1872"/>
        <v>0</v>
      </c>
      <c r="BO3019" cm="1">
        <f t="array" ref="BO3019">IFERROR(INDEX(sheath_ecap_asd,MATCH(BS3019,sheath_mark,0),0)*BN3019,0)</f>
        <v>0</v>
      </c>
      <c r="BP3019" cm="1">
        <f t="array" ref="BP3019">IFERROR(INDEX(sheath_wcap_asd,MATCH(BS3019,sheath_mark,0),0)*BN3019,0)</f>
        <v>0</v>
      </c>
      <c r="BQ3019" cm="1">
        <f t="array" ref="BQ3019">IFERROR(INDEX(hd_cap,MATCH(BT3019,hd_mark,0),0),0)</f>
        <v>0</v>
      </c>
      <c r="BS3019" s="19"/>
      <c r="BT3019" s="19"/>
      <c r="BU3019" s="100"/>
    </row>
    <row r="3020" x14ac:dyDescent="0.25">
      <c r="P3020" s="93"/>
      <c r="Q3020" s="111">
        <f>$R$2978</f>
        <v>0</v>
      </c>
      <c r="R3020" t="str">
        <f>$Q$2968</f>
        <v>L5</v>
      </c>
      <c r="S3020">
        <f>$E$24</f>
        <v>0</v>
      </c>
      <c r="T3020" cm="1">
        <f t="array" ref="T3020">IFERROR(IF(S3020=0,0,(INDEX($C$33:$C$38,MATCH($W$2978,$B$33:$B$38,0),0)*(S3021+$X$2978)+$T$2978*COUNTIF(S3020:S3020,"&gt;0")*$C$32+$V$2978*$C$31)*$R$2978),0)</f>
        <v>0</v>
      </c>
      <c r="U3020">
        <f>IF(S3020=0,0,-(COUNTIF(S3020:S3020,"&gt;0")*$T$2978*$C$32+$V$2978*$C$31)*$H$27*$R$2978)</f>
        <v>0</v>
      </c>
      <c r="V3020">
        <f>IF(S3020=0,0,$V$2978*$H$26*$R$2978)</f>
        <v>0</v>
      </c>
      <c r="W3020">
        <f>(0.6*T3020+0.7*U3020)*$R$2978/2</f>
        <v>0</v>
      </c>
      <c r="X3020">
        <f>T3020*$R$2978/2</f>
        <v>0</v>
      </c>
      <c r="Z3020">
        <f>IF(S3020=0,0,$AD$2978*$AP$2968)</f>
        <v>0</v>
      </c>
      <c r="AA3020">
        <f>IFERROR(Z3020/$R$2978,0)</f>
        <v>0</v>
      </c>
      <c r="AB3020">
        <f>Z3020*($F$24+IF($F$24=0,0,($C$14+$C$15+IF($C$13="single",1.5,3)+3)/12))</f>
        <v>0</v>
      </c>
      <c r="AC3020">
        <f>AB3020-W3020</f>
        <v>0</v>
      </c>
      <c r="AD3020" cm="1">
        <f t="array" ref="AD3020">IFERROR(IF(AC3020&lt;0,0,AC3020/($R$2978-INDEX(hd_off,MATCH(AQ3020,hd_mark,0),0)/12)),0)</f>
        <v>0</v>
      </c>
      <c r="AE3020">
        <f>IF(S3020=0,0,$AD$2978*$AM$2968)</f>
        <v>0</v>
      </c>
      <c r="AF3020">
        <f>IFERROR(AE3020/$R$2978,0)</f>
        <v>0</v>
      </c>
      <c r="AG3020">
        <f>AE3020*($F$24+IF($F$24=0,0,($C$14+$C$15+IF($C$13="single",1.5,3)+3)/12))</f>
        <v>0</v>
      </c>
      <c r="AH3020">
        <f>AG3020-X3020</f>
        <v>0</v>
      </c>
      <c r="AI3020" cm="1">
        <f t="array" ref="AI3020">IFERROR(IF(AH3020&lt;0,0,AH3020/($R$2978-INDEX(hd_off,MATCH(AQ3020,hd_mark,0),0)/12)),0)</f>
        <v>0</v>
      </c>
      <c r="AJ3020">
        <f>MAX($F$24,$AB$2978)/$Q$2996</f>
        <v>0</v>
      </c>
      <c r="AK3020">
        <f t="shared" si="1871"/>
        <v>0</v>
      </c>
      <c r="AL3020" cm="1">
        <f t="array" ref="AL3020">IFERROR(INDEX(sheath_ecap_asd,MATCH(AP3020,sheath_mark,0),0)*AK3020,0)</f>
        <v>0</v>
      </c>
      <c r="AM3020" cm="1">
        <f t="array" ref="AM3020">IFERROR(INDEX(sheath_wcap_asd,MATCH(AP3020,sheath_mark,0),0)*AK3020,0)</f>
        <v>0</v>
      </c>
      <c r="AN3020" cm="1">
        <f t="array" ref="AN3020">IFERROR(INDEX(hd_cap,MATCH(AQ3020,hd_mark,0),0),0)</f>
        <v>0</v>
      </c>
      <c r="AP3020" s="19"/>
      <c r="AQ3020" s="19"/>
      <c r="AR3020" s="100"/>
      <c r="AS3020" s="93"/>
      <c r="AT3020" s="111">
        <f>$R$2978</f>
        <v>0</v>
      </c>
      <c r="AU3020" t="str">
        <f>$Q$2968</f>
        <v>L5</v>
      </c>
      <c r="AV3020">
        <f>$E$24</f>
        <v>0</v>
      </c>
      <c r="AW3020" cm="1">
        <f t="array" ref="AW3020">IFERROR(IF(AV3020=0,0,(INDEX($C$33:$C$38,MATCH($AZ$2978,$B$33:$B$38,0),0)*(AV3021+$BA$2978)+$AW$2978*COUNTIF(AV3020:AV3020,"&gt;0")*$C$32+$AY$2978*$C$31)*$AU$2978),0)</f>
        <v>0</v>
      </c>
      <c r="AX3020">
        <f>IF(AV3020=0,0,-(COUNTIF(AV3020:AV3020,"&gt;0")*$AW$2978*$C$32+$AY$2978*$C$31)*$H$27*$AU$2978)</f>
        <v>0</v>
      </c>
      <c r="AY3020">
        <f>IF(AV3020=0,0,$AY$2978*$H$26*$AU$2978)</f>
        <v>0</v>
      </c>
      <c r="AZ3020">
        <f>(0.6*AW3020+0.7*AX3020)*$AU$2978/2</f>
        <v>0</v>
      </c>
      <c r="BA3020">
        <f>AW3020*$AU$2978/2</f>
        <v>0</v>
      </c>
      <c r="BC3020">
        <f>IF(AV3020=0,0,$BG$2978*$AP$2968)</f>
        <v>0</v>
      </c>
      <c r="BD3020">
        <f>IFERROR(BC3020/$AU$2978,0)</f>
        <v>0</v>
      </c>
      <c r="BE3020">
        <f>BC3020*($F$24+IF($F$24=0,0,($C$14+$C$15+IF($C$13="single",1.5,3)+3)/12))</f>
        <v>0</v>
      </c>
      <c r="BF3020">
        <f>BE3020-AZ3020</f>
        <v>0</v>
      </c>
      <c r="BG3020" cm="1">
        <f t="array" ref="BG3020">IFERROR(IF(BF3020&lt;0,0,BF3020/($AU$2978-INDEX(hd_off,MATCH(BT3020,hd_mark,0),0)/12)),0)</f>
        <v>0</v>
      </c>
      <c r="BH3020">
        <f>IF(AV3020=0,0,$BG$2978*$AM$2968)</f>
        <v>0</v>
      </c>
      <c r="BI3020">
        <f>IFERROR(BH3020/$AU$2978,0)</f>
        <v>0</v>
      </c>
      <c r="BJ3020">
        <f>BH3020*($F$24+IF($F$24=0,0,($C$14+$C$15+IF($C$13="single",1.5,3)+3)/12))</f>
        <v>0</v>
      </c>
      <c r="BK3020">
        <f>BJ3020-BA3020</f>
        <v>0</v>
      </c>
      <c r="BL3020" cm="1">
        <f t="array" ref="BL3020">IFERROR(IF(BK3020&lt;0,0,BK3020/($AU$2978-INDEX(hd_off,MATCH(BT3020,hd_mark,0),0)/12)),0)</f>
        <v>0</v>
      </c>
      <c r="BM3020">
        <f>MAX($F$24,$BE$2978)/$Q$2996</f>
        <v>0</v>
      </c>
      <c r="BN3020">
        <f t="shared" si="1872"/>
        <v>0</v>
      </c>
      <c r="BO3020" cm="1">
        <f t="array" ref="BO3020">IFERROR(INDEX(sheath_ecap_asd,MATCH(BS3020,sheath_mark,0),0)*BN3020,0)</f>
        <v>0</v>
      </c>
      <c r="BP3020" cm="1">
        <f t="array" ref="BP3020">IFERROR(INDEX(sheath_wcap_asd,MATCH(BS3020,sheath_mark,0),0)*BN3020,0)</f>
        <v>0</v>
      </c>
      <c r="BQ3020" cm="1">
        <f t="array" ref="BQ3020">IFERROR(INDEX(hd_cap,MATCH(BT3020,hd_mark,0),0),0)</f>
        <v>0</v>
      </c>
      <c r="BS3020" s="19"/>
      <c r="BT3020" s="19"/>
      <c r="BU3020" s="100"/>
    </row>
    <row r="3021" x14ac:dyDescent="0.25">
      <c r="P3021" s="93"/>
      <c r="Q3021" s="109"/>
      <c r="R3021" t="str">
        <f>$Q$2969</f>
        <v>Roof</v>
      </c>
      <c r="S3021">
        <f>$E$25</f>
        <v>33.171875</v>
      </c>
      <c r="T3021" cm="1">
        <f t="array" ref="T3021">IFERROR(IF(S3021=0,0,(INDEX($C$33:$C$38,MATCH($W$2978,$B$33:$B$38,0),0)*(S3021+$X$2978)+$V$2978*$C$31)*$R$2978),0)</f>
        <v>0</v>
      </c>
      <c r="U3021">
        <f>IF(S3021=0,0,-$V$2978*$C$31*$H$27*$R$2978)</f>
        <v>0</v>
      </c>
      <c r="V3021">
        <f>IF(S3021=0,0,$V$2978*$H$26*$R$2978)</f>
        <v>0</v>
      </c>
      <c r="W3021">
        <f>(0.6*T3021+0.7*U3021)*$R$2978/2</f>
        <v>0</v>
      </c>
      <c r="X3021">
        <f>T3021*$R$2978/2</f>
        <v>0</v>
      </c>
      <c r="Z3021">
        <f>IF(S3021=0,0,$AD$2978*$AP$2969)</f>
        <v>0</v>
      </c>
      <c r="AA3021">
        <f>IFERROR(Z3021/$R$2978,0)</f>
        <v>0</v>
      </c>
      <c r="AB3021">
        <f>Z3021*($F$25+($C$16+$C$17+IF($C$13="single",1.5,3)+3)/12)</f>
        <v>0</v>
      </c>
      <c r="AC3021">
        <f>AB3021-W3021</f>
        <v>0</v>
      </c>
      <c r="AD3021" cm="1">
        <f t="array" ref="AD3021">IFERROR(IF(AC3021&lt;0,0,AC3021/($R$2978-INDEX(hd_off,MATCH(AQ3021,hd_mark,0),0)/12)),0)</f>
        <v>0</v>
      </c>
      <c r="AE3021">
        <f>IF(S3021=0,0,$AD$2978*$AM$2969)</f>
        <v>0</v>
      </c>
      <c r="AF3021">
        <f>IFERROR(AE3021/$R$2978,0)</f>
        <v>0</v>
      </c>
      <c r="AG3021">
        <f>AE3021*($F$25+($C$16+$C$17+IF($C$13="single",1.5,3)+3)/12)</f>
        <v>0</v>
      </c>
      <c r="AH3021">
        <f>AG3021-X3021</f>
        <v>0</v>
      </c>
      <c r="AI3021" cm="1">
        <f t="array" ref="AI3021">IFERROR(IF(AH3021&lt;0,0,AH3021/($R$2978-INDEX(hd_off,MATCH(AQ3021,hd_mark,0),0)/12)),0)</f>
        <v>0</v>
      </c>
      <c r="AJ3021">
        <f>MAX($F$25,$AC$2978)/$Q$2996</f>
        <v>0.29920977011494249</v>
      </c>
      <c r="AK3021">
        <f t="shared" si="1871"/>
        <v>1</v>
      </c>
      <c r="AL3021" cm="1">
        <f t="array" ref="AL3021">IFERROR(INDEX(sheath_ecap_asd,MATCH(AP3021,sheath_mark,0),0)*AK3021,0)</f>
        <v>0</v>
      </c>
      <c r="AM3021" cm="1">
        <f t="array" ref="AM3021">IFERROR(INDEX(sheath_wcap_asd,MATCH(AP3021,sheath_mark,0),0)*AK3021,0)</f>
        <v>0</v>
      </c>
      <c r="AN3021" cm="1">
        <f t="array" ref="AN3021">IFERROR(INDEX(hd_cap,MATCH(AQ3021,hd_mark,0),0),0)</f>
        <v>0</v>
      </c>
      <c r="AP3021" s="19"/>
      <c r="AQ3021" s="19"/>
      <c r="AR3021" s="100"/>
      <c r="AS3021" s="93"/>
      <c r="AT3021" s="109"/>
      <c r="AU3021" t="str">
        <f>$Q$2969</f>
        <v>Roof</v>
      </c>
      <c r="AV3021">
        <f>$E$25</f>
        <v>33.171875</v>
      </c>
      <c r="AW3021" cm="1">
        <f t="array" ref="AW3021">IFERROR(IF(AV3021=0,0,(INDEX($C$33:$C$38,MATCH($AZ$2978,$B$33:$B$38,0),0)*(AV3021+$BA$2978)+$AY$2978*$C$31)*$AU$2978),0)</f>
        <v>0</v>
      </c>
      <c r="AX3021">
        <f>IF(AV3021=0,0,-$AY$2978*$C$31*$H$27*$AU$2978)</f>
        <v>0</v>
      </c>
      <c r="AY3021">
        <f>IF(AV3021=0,0,$AY$2978*$H$26*$AU$2978)</f>
        <v>0</v>
      </c>
      <c r="AZ3021">
        <f>(0.6*AW3021+0.7*AX3021)*$AU$2978/2</f>
        <v>0</v>
      </c>
      <c r="BA3021">
        <f>AW3021*$AU$2978/2</f>
        <v>0</v>
      </c>
      <c r="BC3021">
        <f>IF(AV3021=0,0,$BG$2978*$AP$2969)</f>
        <v>0</v>
      </c>
      <c r="BD3021">
        <f>IFERROR(BC3021/$AU$2978,0)</f>
        <v>0</v>
      </c>
      <c r="BE3021">
        <f>BC3021*($F$25+($C$16+$C$17+IF($C$13="single",1.5,3)+3)/12)</f>
        <v>0</v>
      </c>
      <c r="BF3021">
        <f>BE3021-AZ3021</f>
        <v>0</v>
      </c>
      <c r="BG3021" cm="1">
        <f t="array" ref="BG3021">IFERROR(IF(BF3021&lt;0,0,BF3021/($AU$2978-INDEX(hd_off,MATCH(BT3021,hd_mark,0),0)/12)),0)</f>
        <v>0</v>
      </c>
      <c r="BH3021">
        <f>IF(AV3021=0,0,$BG$2978*$AM$2969)</f>
        <v>0</v>
      </c>
      <c r="BI3021">
        <f>IFERROR(BH3021/$AU$2978,0)</f>
        <v>0</v>
      </c>
      <c r="BJ3021">
        <f>BH3021*($F$25+($C$16+$C$17+IF($C$13="single",1.5,3)+3)/12)</f>
        <v>0</v>
      </c>
      <c r="BK3021">
        <f>BJ3021-BA3021</f>
        <v>0</v>
      </c>
      <c r="BL3021" cm="1">
        <f t="array" ref="BL3021">IFERROR(IF(BK3021&lt;0,0,BK3021/($AU$2978-INDEX(hd_off,MATCH(BT3021,hd_mark,0),0)/12)),0)</f>
        <v>0</v>
      </c>
      <c r="BM3021">
        <f>MAX($F$25,$BF$2978)/$Q$2996</f>
        <v>0.29920977011494249</v>
      </c>
      <c r="BN3021">
        <f t="shared" si="1872"/>
        <v>1</v>
      </c>
      <c r="BO3021" cm="1">
        <f t="array" ref="BO3021">IFERROR(INDEX(sheath_ecap_asd,MATCH(BS3021,sheath_mark,0),0)*BN3021,0)</f>
        <v>0</v>
      </c>
      <c r="BP3021" cm="1">
        <f t="array" ref="BP3021">IFERROR(INDEX(sheath_wcap_asd,MATCH(BS3021,sheath_mark,0),0)*BN3021,0)</f>
        <v>0</v>
      </c>
      <c r="BQ3021" cm="1">
        <f t="array" ref="BQ3021">IFERROR(INDEX(hd_cap,MATCH(BT3021,hd_mark,0),0),0)</f>
        <v>0</v>
      </c>
      <c r="BS3021" s="19"/>
      <c r="BT3021" s="19"/>
      <c r="BU3021" s="100"/>
    </row>
    <row r="3022" x14ac:dyDescent="0.25">
      <c r="P3022" s="93"/>
      <c r="AR3022" s="100"/>
      <c r="AS3022" s="93"/>
      <c r="BU3022" s="100"/>
    </row>
    <row r="3023" x14ac:dyDescent="0.25">
      <c r="P3023" s="93"/>
      <c r="Q3023" s="110" t="str">
        <f>$Q$2979</f>
        <v>A.06</v>
      </c>
      <c r="R3023" t="str">
        <f>$Q$2965</f>
        <v>L2</v>
      </c>
      <c r="S3023">
        <f>$E$21</f>
        <v>10.6875</v>
      </c>
      <c r="T3023" cm="1">
        <f t="array" ref="T3023">IFERROR(IF(S3023=0,0,(INDEX($C$33:$C$38,MATCH($W$2979,$B$33:$B$38,0),0)*(S3027+$X$2979)+$T$2979*COUNTIF(S3023:S3026,"&gt;0")*$C$32+$V$2979*$C$31)*$R$2979),0)</f>
        <v>0</v>
      </c>
      <c r="U3023">
        <f>IF(S3023=0,0,-(COUNTIF(S3023:S3026,"&gt;0")*$T$2979*$C$32+$V$2979*$C$31)*$H$27*$R$2979)</f>
        <v>0</v>
      </c>
      <c r="V3023">
        <f>IF(S3023=0,0,$V$2979*$H$26*$R$2979)</f>
        <v>0</v>
      </c>
      <c r="W3023">
        <f>(0.6*T3023+0.7*U3023)*$R$2979/2</f>
        <v>0</v>
      </c>
      <c r="X3023">
        <f>(0.6*T3023+0.6*V3023)*$R$2979/2</f>
        <v>0</v>
      </c>
      <c r="Z3023">
        <f>IF(S3023=0,0,$AD$2979*$AP$2965)</f>
        <v>0</v>
      </c>
      <c r="AA3023">
        <f>IFERROR(Z3023/$R$2979,0)</f>
        <v>0</v>
      </c>
      <c r="AB3023">
        <f>Z3023*($F$21+IF($F$21=0,0,($C$14+$C$15+IF($C$13="single",1.5,3)+3)/12))</f>
        <v>0</v>
      </c>
      <c r="AC3023">
        <f>AB3023-W3023</f>
        <v>0</v>
      </c>
      <c r="AD3023" cm="1">
        <f t="array" ref="AD3023">IFERROR(IF(AC3023&lt;0,0,AC3023/($R$2979-INDEX(hd_off,MATCH(AQ3023,hd_mark,0),0)/12)),0)</f>
        <v>0</v>
      </c>
      <c r="AE3023">
        <f>IF(S3023=0,0,$AD$2979*$AM$2965)</f>
        <v>0</v>
      </c>
      <c r="AF3023">
        <f>IFERROR(AE3023/$R$2979,0)</f>
        <v>0</v>
      </c>
      <c r="AG3023">
        <f>AE3023*($F$21+IF($F$21=0,0,($C$14+$C$15+IF($C$13="single",1.5,3)+3)/12))</f>
        <v>0</v>
      </c>
      <c r="AH3023">
        <f>AG3023-X3023</f>
        <v>0</v>
      </c>
      <c r="AI3023" cm="1">
        <f t="array" ref="AI3023">IFERROR(IF(AH3023&lt;0,0,AH3023/($R$2979-INDEX(hd_off,MATCH(AQ3023,hd_mark,0),0)/12)),0)</f>
        <v>0</v>
      </c>
      <c r="AJ3023">
        <f>MAX($F$21,$Y$2979)/$Q$2996</f>
        <v>0.30172413793103448</v>
      </c>
      <c r="AK3023">
        <f>IF(AJ3023=0,0,IF(AJ3023&gt;2,1.25-0.125*AJ3023,1))</f>
        <v>1</v>
      </c>
      <c r="AL3023" cm="1">
        <f t="array" ref="AL3023">IFERROR(INDEX(sheath_ecap_asd,MATCH(AP3023,sheath_mark,0),0)*AK3023,0)</f>
        <v>0</v>
      </c>
      <c r="AM3023" cm="1">
        <f t="array" ref="AM3023">IFERROR(INDEX(sheath_wcap_asd,MATCH(AP3023,sheath_mark,0),0)*AK3023,0)</f>
        <v>0</v>
      </c>
      <c r="AN3023" cm="1">
        <f t="array" ref="AN3023">IFERROR(INDEX(hd_cap,MATCH(AQ3023,hd_mark,0),0),0)</f>
        <v>0</v>
      </c>
      <c r="AP3023" s="19"/>
      <c r="AQ3023" s="19"/>
      <c r="AR3023" s="100"/>
      <c r="AS3023" s="93"/>
      <c r="AT3023" s="110" t="str">
        <f>$AT$2979</f>
        <v>1.06</v>
      </c>
      <c r="AU3023" t="str">
        <f>$Q$2965</f>
        <v>L2</v>
      </c>
      <c r="AV3023">
        <f>$E$21</f>
        <v>10.6875</v>
      </c>
      <c r="AW3023" cm="1">
        <f t="array" ref="AW3023">IFERROR(IF(AV3023=0,0,(INDEX($C$33:$C$38,MATCH($AZ$2979,$B$33:$B$38,0),0)*(AV3027+$BA$2979)+$AW$2979*COUNTIF(AV3023:AV3026,"&gt;0")*$C$32+$AY$2979*$C$31)*$AU$2979),0)</f>
        <v>0</v>
      </c>
      <c r="AX3023">
        <f>IF(AV3023=0,0,-(COUNTIF(AV3023:AV3026,"&gt;0")*$AW$2979*$C$32+$AY$2979*$C$31)*$H$27*$AU$2979)</f>
        <v>0</v>
      </c>
      <c r="AY3023">
        <f>IF(AV3023=0,0,$AY$2979*$H$26*$AU$2979)</f>
        <v>0</v>
      </c>
      <c r="AZ3023">
        <f>(0.6*AW3023+0.7*AX3023)*$AU$2979/2</f>
        <v>0</v>
      </c>
      <c r="BA3023">
        <f>(0.6*AW3023+0.6*AY3023)*$AU$2979/2</f>
        <v>0</v>
      </c>
      <c r="BC3023">
        <f>IF(AV3023=0,0,$BG$2979*$AP$2965)</f>
        <v>0</v>
      </c>
      <c r="BD3023">
        <f>IFERROR(BC3023/$AU$2979,0)</f>
        <v>0</v>
      </c>
      <c r="BE3023">
        <f>BC3023*($F$21+IF($F$21=0,0,($C$14+$C$15+IF($C$13="single",1.5,3)+3)/12))</f>
        <v>0</v>
      </c>
      <c r="BF3023">
        <f>BE3023-AZ3023</f>
        <v>0</v>
      </c>
      <c r="BG3023" cm="1">
        <f t="array" ref="BG3023">IFERROR(IF(BF3023&lt;0,0,BF3023/($AU$2979-INDEX(hd_off,MATCH(BT3023,hd_mark,0),0)/12)),0)</f>
        <v>0</v>
      </c>
      <c r="BH3023">
        <f>IF(AV3023=0,0,$BG$2979*$AM$2965)</f>
        <v>0</v>
      </c>
      <c r="BI3023">
        <f>IFERROR(BH3023/$AU$2979,0)</f>
        <v>0</v>
      </c>
      <c r="BJ3023">
        <f>BH3023*($F$21+IF($F$21=0,0,($C$14+$C$15+IF($C$13="single",1.5,3)+3)/12))</f>
        <v>0</v>
      </c>
      <c r="BK3023">
        <f>BJ3023-BA3023</f>
        <v>0</v>
      </c>
      <c r="BL3023" cm="1">
        <f t="array" ref="BL3023">IFERROR(IF(BK3023&lt;0,0,BK3023/($AU$2979-INDEX(hd_off,MATCH(BT3023,hd_mark,0),0)/12)),0)</f>
        <v>0</v>
      </c>
      <c r="BM3023">
        <f>MAX($F$21,$BB$2979)/$Q$2996</f>
        <v>0.30172413793103448</v>
      </c>
      <c r="BN3023">
        <f>IF(BM3023=0,0,IF(BM3023&gt;2,1.25-0.125*BM3023,1))</f>
        <v>1</v>
      </c>
      <c r="BO3023" cm="1">
        <f t="array" ref="BO3023">IFERROR(INDEX(sheath_ecap_asd,MATCH(BS3023,sheath_mark,0),0)*BN3023,0)</f>
        <v>0</v>
      </c>
      <c r="BP3023" cm="1">
        <f t="array" ref="BP3023">IFERROR(INDEX(sheath_wcap_asd,MATCH(BS3023,sheath_mark,0),0)*BN3023,0)</f>
        <v>0</v>
      </c>
      <c r="BQ3023" cm="1">
        <f t="array" ref="BQ3023">IFERROR(INDEX(hd_cap,MATCH(BT3023,hd_mark,0),0),0)</f>
        <v>0</v>
      </c>
      <c r="BS3023" s="19"/>
      <c r="BT3023" s="19"/>
      <c r="BU3023" s="100"/>
    </row>
    <row r="3024" x14ac:dyDescent="0.25">
      <c r="P3024" s="93"/>
      <c r="Q3024" s="109"/>
      <c r="R3024" t="str">
        <f>$Q$2966</f>
        <v>L3</v>
      </c>
      <c r="S3024">
        <f>$E$22</f>
        <v>21.375</v>
      </c>
      <c r="T3024" cm="1">
        <f t="array" ref="T3024">IFERROR(IF(S3024=0,0,(INDEX($C$33:$C$38,MATCH($W$2979,$B$33:$B$38,0),0)*(S3027+$X$2979)+$T$2979*COUNTIF(S3024:S3026,"&gt;0")*$C$32+$V$2979*$C$31)*$R$2979),0)</f>
        <v>0</v>
      </c>
      <c r="U3024">
        <f>IF(S3024=0,0,-(COUNTIF(S3024:S3026,"&gt;0")*$T$2979*$C$32+$V$2979*$C$31)*$H$27*$R$2979)</f>
        <v>0</v>
      </c>
      <c r="V3024">
        <f>IF(S3024=0,0,$V$2979*$H$26*$R$2979)</f>
        <v>0</v>
      </c>
      <c r="W3024">
        <f>(0.6*T3024+0.7*U3024)*$R$2979/2</f>
        <v>0</v>
      </c>
      <c r="X3024">
        <f>T3024*$R$2979/2</f>
        <v>0</v>
      </c>
      <c r="Z3024">
        <f>IF(S3024=0,0,$AD$2979*$AP$2966)</f>
        <v>0</v>
      </c>
      <c r="AA3024">
        <f>IFERROR(Z3024/$R$2979,0)</f>
        <v>0</v>
      </c>
      <c r="AB3024">
        <f>Z3024*($F$22+IF($F$22=0,0,($C$14+$C$15+IF($C$13="single",1.5,3)+3)/12))</f>
        <v>0</v>
      </c>
      <c r="AC3024">
        <f>AB3024-W3024</f>
        <v>0</v>
      </c>
      <c r="AD3024" cm="1">
        <f t="array" ref="AD3024">IFERROR(IF(AC3024&lt;0,0,AC3024/($R$2979-INDEX(hd_off,MATCH(AQ3024,hd_mark,0),0)/12)),0)</f>
        <v>0</v>
      </c>
      <c r="AE3024">
        <f>IF(S3024=0,0,$AD$2979*$AM$2966)</f>
        <v>0</v>
      </c>
      <c r="AF3024">
        <f>IFERROR(AE3024/$R$2979,0)</f>
        <v>0</v>
      </c>
      <c r="AG3024">
        <f>AE3024*($F$22+IF($F$22=0,0,($C$14+$C$15+IF($C$13="single",1.5,3)+3)/12))</f>
        <v>0</v>
      </c>
      <c r="AH3024">
        <f>AG3024-X3024</f>
        <v>0</v>
      </c>
      <c r="AI3024" cm="1">
        <f t="array" ref="AI3024">IFERROR(IF(AH3024&lt;0,0,AH3024/($R$2979-INDEX(hd_off,MATCH(AQ3024,hd_mark,0),0)/12)),0)</f>
        <v>0</v>
      </c>
      <c r="AJ3024">
        <f>MAX($F$22,$Z$2979)/$Q$2996</f>
        <v>0.30172413793103448</v>
      </c>
      <c r="AK3024">
        <f t="shared" ref="AK3024:AK3027" si="1873">IF(AJ3024=0,0,IF(AJ3024&gt;2,1.25-0.125*AJ3024,1))</f>
        <v>1</v>
      </c>
      <c r="AL3024" cm="1">
        <f t="array" ref="AL3024">IFERROR(INDEX(sheath_ecap_asd,MATCH(AP3024,sheath_mark,0),0)*AK3024,0)</f>
        <v>0</v>
      </c>
      <c r="AM3024" cm="1">
        <f t="array" ref="AM3024">IFERROR(INDEX(sheath_wcap_asd,MATCH(AP3024,sheath_mark,0),0)*AK3024,0)</f>
        <v>0</v>
      </c>
      <c r="AN3024" cm="1">
        <f t="array" ref="AN3024">IFERROR(INDEX(hd_cap,MATCH(AQ3024,hd_mark,0),0),0)</f>
        <v>0</v>
      </c>
      <c r="AP3024" s="19"/>
      <c r="AQ3024" s="19"/>
      <c r="AR3024" s="100"/>
      <c r="AS3024" s="93"/>
      <c r="AT3024" s="109"/>
      <c r="AU3024" t="str">
        <f>$Q$2966</f>
        <v>L3</v>
      </c>
      <c r="AV3024">
        <f>$E$22</f>
        <v>21.375</v>
      </c>
      <c r="AW3024" cm="1">
        <f t="array" ref="AW3024">IFERROR(IF(AV3024=0,0,(INDEX($C$33:$C$38,MATCH($AZ$2979,$B$33:$B$38,0),0)*(AV3027+$BA$2979)+$AW$2979*COUNTIF(AV3024:AV3026,"&gt;0")*$C$32+$AY$2979*$C$31)*$AU$2979),0)</f>
        <v>0</v>
      </c>
      <c r="AX3024">
        <f>IF(AV3024=0,0,-(COUNTIF(AV3024:AV3026,"&gt;0")*$AW$2979*$C$32+$AY$2979*$C$31)*$H$27*$AU$2979)</f>
        <v>0</v>
      </c>
      <c r="AY3024">
        <f>IF(AV3024=0,0,$AY$2979*$H$26*$AU$2979)</f>
        <v>0</v>
      </c>
      <c r="AZ3024">
        <f>(0.6*AW3024+0.7*AX3024)*$AU$2979/2</f>
        <v>0</v>
      </c>
      <c r="BA3024">
        <f>AW3024*$AU$2979/2</f>
        <v>0</v>
      </c>
      <c r="BC3024">
        <f>IF(AV3024=0,0,$BG$2979*$AP$2966)</f>
        <v>0</v>
      </c>
      <c r="BD3024">
        <f>IFERROR(BC3024/$AU$2979,0)</f>
        <v>0</v>
      </c>
      <c r="BE3024">
        <f>BC3024*($F$22+IF($F$22=0,0,($C$14+$C$15+IF($C$13="single",1.5,3)+3)/12))</f>
        <v>0</v>
      </c>
      <c r="BF3024">
        <f>BE3024-AZ3024</f>
        <v>0</v>
      </c>
      <c r="BG3024" cm="1">
        <f t="array" ref="BG3024">IFERROR(IF(BF3024&lt;0,0,BF3024/($AU$2979-INDEX(hd_off,MATCH(BT3024,hd_mark,0),0)/12)),0)</f>
        <v>0</v>
      </c>
      <c r="BH3024">
        <f>IF(AV3024=0,0,$BG$2979*$AM$2966)</f>
        <v>0</v>
      </c>
      <c r="BI3024">
        <f>IFERROR(BH3024/$AU$2979,0)</f>
        <v>0</v>
      </c>
      <c r="BJ3024">
        <f>BH3024*($F$22+IF($F$22=0,0,($C$14+$C$15+IF($C$13="single",1.5,3)+3)/12))</f>
        <v>0</v>
      </c>
      <c r="BK3024">
        <f>BJ3024-BA3024</f>
        <v>0</v>
      </c>
      <c r="BL3024" cm="1">
        <f t="array" ref="BL3024">IFERROR(IF(BK3024&lt;0,0,BK3024/($AU$2979-INDEX(hd_off,MATCH(BT3024,hd_mark,0),0)/12)),0)</f>
        <v>0</v>
      </c>
      <c r="BM3024">
        <f>MAX($F$22,$BC$2979)/$Q$2996</f>
        <v>0.30172413793103448</v>
      </c>
      <c r="BN3024">
        <f t="shared" ref="BN3024:BN3027" si="1874">IF(BM3024=0,0,IF(BM3024&gt;2,1.25-0.125*BM3024,1))</f>
        <v>1</v>
      </c>
      <c r="BO3024" cm="1">
        <f t="array" ref="BO3024">IFERROR(INDEX(sheath_ecap_asd,MATCH(BS3024,sheath_mark,0),0)*BN3024,0)</f>
        <v>0</v>
      </c>
      <c r="BP3024" cm="1">
        <f t="array" ref="BP3024">IFERROR(INDEX(sheath_wcap_asd,MATCH(BS3024,sheath_mark,0),0)*BN3024,0)</f>
        <v>0</v>
      </c>
      <c r="BQ3024" cm="1">
        <f t="array" ref="BQ3024">IFERROR(INDEX(hd_cap,MATCH(BT3024,hd_mark,0),0),0)</f>
        <v>0</v>
      </c>
      <c r="BS3024" s="19"/>
      <c r="BT3024" s="19"/>
      <c r="BU3024" s="100"/>
    </row>
    <row r="3025" x14ac:dyDescent="0.25">
      <c r="P3025" s="93"/>
      <c r="Q3025" s="109" t="s">
        <v>491</v>
      </c>
      <c r="R3025" t="str">
        <f>$Q$2967</f>
        <v>L4</v>
      </c>
      <c r="S3025">
        <f>$E$23</f>
        <v>0</v>
      </c>
      <c r="T3025" cm="1">
        <f t="array" ref="T3025">IFERROR(IF(S3025=0,0,(INDEX($C$33:$C$38,MATCH($W$2979,$B$33:$B$38,0),0)*(S3027+$X$2979)+$T$2979*COUNTIF(S3025:S3026,"&gt;0")*$C$32+$V$2979*$C$31)*$R$2979),0)</f>
        <v>0</v>
      </c>
      <c r="U3025">
        <f>IF(S3025=0,0,-(COUNTIF(S3025:S3026,"&gt;0")*$T$2979*$C$32+$V$2979*$C$31)*$H$27*$R$2979)</f>
        <v>0</v>
      </c>
      <c r="V3025">
        <f>IF(S3025=0,0,$V$2979*$H$26*$R$2979)</f>
        <v>0</v>
      </c>
      <c r="W3025">
        <f>(0.6*T3025+0.7*U3025)*$R$2979/2</f>
        <v>0</v>
      </c>
      <c r="X3025">
        <f>T3025*$R$2979/2</f>
        <v>0</v>
      </c>
      <c r="Z3025">
        <f>IF(S3025=0,0,$AD$2979*$AP$2967)</f>
        <v>0</v>
      </c>
      <c r="AA3025">
        <f>IFERROR(Z3025/$R$2979,0)</f>
        <v>0</v>
      </c>
      <c r="AB3025">
        <f>Z3025*($F$23+IF($F$23=0,0,($C$14+$C$15+IF($C$13="single",1.5,3)+3)/12))</f>
        <v>0</v>
      </c>
      <c r="AC3025">
        <f>AB3025-W3025</f>
        <v>0</v>
      </c>
      <c r="AD3025" cm="1">
        <f t="array" ref="AD3025">IFERROR(IF(AC3025&lt;0,0,AC3025/($R$2979-INDEX(hd_off,MATCH(AQ3025,hd_mark,0),0)/12)),0)</f>
        <v>0</v>
      </c>
      <c r="AE3025">
        <f>IF(S3025=0,0,$AD$2979*$AM$2967)</f>
        <v>0</v>
      </c>
      <c r="AF3025">
        <f>IFERROR(AE3025/$R$2979,0)</f>
        <v>0</v>
      </c>
      <c r="AG3025">
        <f>AE3025*($F$23+IF($F$23=0,0,($C$14+$C$15+IF($C$13="single",1.5,3)+3)/12))</f>
        <v>0</v>
      </c>
      <c r="AH3025">
        <f>AG3025-X3025</f>
        <v>0</v>
      </c>
      <c r="AI3025" cm="1">
        <f t="array" ref="AI3025">IFERROR(IF(AH3025&lt;0,0,AH3025/($R$2979-INDEX(hd_off,MATCH(AQ3025,hd_mark,0),0)/12)),0)</f>
        <v>0</v>
      </c>
      <c r="AJ3025">
        <f>MAX($F$23,$AA$2979)/$Q$2996</f>
        <v>0</v>
      </c>
      <c r="AK3025">
        <f t="shared" si="1873"/>
        <v>0</v>
      </c>
      <c r="AL3025" cm="1">
        <f t="array" ref="AL3025">IFERROR(INDEX(sheath_ecap_asd,MATCH(AP3025,sheath_mark,0),0)*AK3025,0)</f>
        <v>0</v>
      </c>
      <c r="AM3025" cm="1">
        <f t="array" ref="AM3025">IFERROR(INDEX(sheath_wcap_asd,MATCH(AP3025,sheath_mark,0),0)*AK3025,0)</f>
        <v>0</v>
      </c>
      <c r="AN3025" cm="1">
        <f t="array" ref="AN3025">IFERROR(INDEX(hd_cap,MATCH(AQ3025,hd_mark,0),0),0)</f>
        <v>0</v>
      </c>
      <c r="AP3025" s="19"/>
      <c r="AQ3025" s="19"/>
      <c r="AR3025" s="100"/>
      <c r="AS3025" s="93"/>
      <c r="AT3025" s="109" t="s">
        <v>491</v>
      </c>
      <c r="AU3025" t="str">
        <f>$Q$2967</f>
        <v>L4</v>
      </c>
      <c r="AV3025">
        <f>$E$23</f>
        <v>0</v>
      </c>
      <c r="AW3025" cm="1">
        <f t="array" ref="AW3025">IFERROR(IF(AV3025=0,0,(INDEX($C$33:$C$38,MATCH($AZ$2979,$B$33:$B$38,0),0)*(AV3027+$BA$2979)+$AW$2979*COUNTIF(AV3025:AV3026,"&gt;0")*$C$32+$AY$2979*$C$31)*$AU$2979),0)</f>
        <v>0</v>
      </c>
      <c r="AX3025">
        <f>IF(AV3025=0,0,-(COUNTIF(AV3025:AV3026,"&gt;0")*$AW$2979*$C$32+$AY$2979*$C$31)*$H$27*$AU$2979)</f>
        <v>0</v>
      </c>
      <c r="AY3025">
        <f>IF(AV3025=0,0,$AY$2979*$H$26*$AU$2979)</f>
        <v>0</v>
      </c>
      <c r="AZ3025">
        <f>(0.6*AW3025+0.7*AX3025)*$AU$2979/2</f>
        <v>0</v>
      </c>
      <c r="BA3025">
        <f>AW3025*$AU$2979/2</f>
        <v>0</v>
      </c>
      <c r="BC3025">
        <f>IF(AV3025=0,0,$BG$2979*$AP$2967)</f>
        <v>0</v>
      </c>
      <c r="BD3025">
        <f>IFERROR(BC3025/$AU$2979,0)</f>
        <v>0</v>
      </c>
      <c r="BE3025">
        <f>BC3025*($F$23+IF($F$23=0,0,($C$14+$C$15+IF($C$13="single",1.5,3)+3)/12))</f>
        <v>0</v>
      </c>
      <c r="BF3025">
        <f>BE3025-AZ3025</f>
        <v>0</v>
      </c>
      <c r="BG3025" cm="1">
        <f t="array" ref="BG3025">IFERROR(IF(BF3025&lt;0,0,BF3025/($AU$2979-INDEX(hd_off,MATCH(BT3025,hd_mark,0),0)/12)),0)</f>
        <v>0</v>
      </c>
      <c r="BH3025">
        <f>IF(AV3025=0,0,$BG$2979*$AM$2967)</f>
        <v>0</v>
      </c>
      <c r="BI3025">
        <f>IFERROR(BH3025/$AU$2979,0)</f>
        <v>0</v>
      </c>
      <c r="BJ3025">
        <f>BH3025*($F$23+IF($F$23=0,0,($C$14+$C$15+IF($C$13="single",1.5,3)+3)/12))</f>
        <v>0</v>
      </c>
      <c r="BK3025">
        <f>BJ3025-BA3025</f>
        <v>0</v>
      </c>
      <c r="BL3025" cm="1">
        <f t="array" ref="BL3025">IFERROR(IF(BK3025&lt;0,0,BK3025/($AU$2979-INDEX(hd_off,MATCH(BT3025,hd_mark,0),0)/12)),0)</f>
        <v>0</v>
      </c>
      <c r="BM3025">
        <f>MAX($F$23,$BD$2979)/$Q$2996</f>
        <v>0</v>
      </c>
      <c r="BN3025">
        <f t="shared" si="1874"/>
        <v>0</v>
      </c>
      <c r="BO3025" cm="1">
        <f t="array" ref="BO3025">IFERROR(INDEX(sheath_ecap_asd,MATCH(BS3025,sheath_mark,0),0)*BN3025,0)</f>
        <v>0</v>
      </c>
      <c r="BP3025" cm="1">
        <f t="array" ref="BP3025">IFERROR(INDEX(sheath_wcap_asd,MATCH(BS3025,sheath_mark,0),0)*BN3025,0)</f>
        <v>0</v>
      </c>
      <c r="BQ3025" cm="1">
        <f t="array" ref="BQ3025">IFERROR(INDEX(hd_cap,MATCH(BT3025,hd_mark,0),0),0)</f>
        <v>0</v>
      </c>
      <c r="BS3025" s="19"/>
      <c r="BT3025" s="19"/>
      <c r="BU3025" s="100"/>
    </row>
    <row r="3026" x14ac:dyDescent="0.25">
      <c r="P3026" s="93"/>
      <c r="Q3026" s="111">
        <f>$R$2979</f>
        <v>0</v>
      </c>
      <c r="R3026" t="str">
        <f>$Q$2968</f>
        <v>L5</v>
      </c>
      <c r="S3026">
        <f>$E$24</f>
        <v>0</v>
      </c>
      <c r="T3026" cm="1">
        <f t="array" ref="T3026">IFERROR(IF(S3026=0,0,(INDEX($C$33:$C$38,MATCH($W$2979,$B$33:$B$38,0),0)*(S3027+$X$2979)+$T$2979*COUNTIF(S3026:S3026,"&gt;0")*$C$32+$V$2979*$C$31)*$R$2979),0)</f>
        <v>0</v>
      </c>
      <c r="U3026">
        <f>IF(S3026=0,0,-(COUNTIF(S3026:S3026,"&gt;0")*$T$2979*$C$32+$V$2979*$C$31)*$H$27*$R$2979)</f>
        <v>0</v>
      </c>
      <c r="V3026">
        <f>IF(S3026=0,0,$V$2979*$H$26*$R$2979)</f>
        <v>0</v>
      </c>
      <c r="W3026">
        <f>(0.6*T3026+0.7*U3026)*$R$2979/2</f>
        <v>0</v>
      </c>
      <c r="X3026">
        <f>T3026*$R$2979/2</f>
        <v>0</v>
      </c>
      <c r="Z3026">
        <f>IF(S3026=0,0,$AD$2979*$AP$2968)</f>
        <v>0</v>
      </c>
      <c r="AA3026">
        <f>IFERROR(Z3026/$R$2979,0)</f>
        <v>0</v>
      </c>
      <c r="AB3026">
        <f>Z3026*($F$24+IF($F$24=0,0,($C$14+$C$15+IF($C$13="single",1.5,3)+3)/12))</f>
        <v>0</v>
      </c>
      <c r="AC3026">
        <f>AB3026-W3026</f>
        <v>0</v>
      </c>
      <c r="AD3026" cm="1">
        <f t="array" ref="AD3026">IFERROR(IF(AC3026&lt;0,0,AC3026/($R$2979-INDEX(hd_off,MATCH(AQ3026,hd_mark,0),0)/12)),0)</f>
        <v>0</v>
      </c>
      <c r="AE3026">
        <f>IF(S3026=0,0,$AD$2979*$AM$2968)</f>
        <v>0</v>
      </c>
      <c r="AF3026">
        <f>IFERROR(AE3026/$R$2979,0)</f>
        <v>0</v>
      </c>
      <c r="AG3026">
        <f>AE3026*($F$24+IF($F$24=0,0,($C$14+$C$15+IF($C$13="single",1.5,3)+3)/12))</f>
        <v>0</v>
      </c>
      <c r="AH3026">
        <f>AG3026-X3026</f>
        <v>0</v>
      </c>
      <c r="AI3026" cm="1">
        <f t="array" ref="AI3026">IFERROR(IF(AH3026&lt;0,0,AH3026/($R$2979-INDEX(hd_off,MATCH(AQ3026,hd_mark,0),0)/12)),0)</f>
        <v>0</v>
      </c>
      <c r="AJ3026">
        <f>MAX($F$24,$AB$2979)/$Q$2996</f>
        <v>0</v>
      </c>
      <c r="AK3026">
        <f t="shared" si="1873"/>
        <v>0</v>
      </c>
      <c r="AL3026" cm="1">
        <f t="array" ref="AL3026">IFERROR(INDEX(sheath_ecap_asd,MATCH(AP3026,sheath_mark,0),0)*AK3026,0)</f>
        <v>0</v>
      </c>
      <c r="AM3026" cm="1">
        <f t="array" ref="AM3026">IFERROR(INDEX(sheath_wcap_asd,MATCH(AP3026,sheath_mark,0),0)*AK3026,0)</f>
        <v>0</v>
      </c>
      <c r="AN3026" cm="1">
        <f t="array" ref="AN3026">IFERROR(INDEX(hd_cap,MATCH(AQ3026,hd_mark,0),0),0)</f>
        <v>0</v>
      </c>
      <c r="AP3026" s="19"/>
      <c r="AQ3026" s="19"/>
      <c r="AR3026" s="100"/>
      <c r="AS3026" s="93"/>
      <c r="AT3026" s="111">
        <f>$R$2979</f>
        <v>0</v>
      </c>
      <c r="AU3026" t="str">
        <f>$Q$2968</f>
        <v>L5</v>
      </c>
      <c r="AV3026">
        <f>$E$24</f>
        <v>0</v>
      </c>
      <c r="AW3026" cm="1">
        <f t="array" ref="AW3026">IFERROR(IF(AV3026=0,0,(INDEX($C$33:$C$38,MATCH($AZ$2979,$B$33:$B$38,0),0)*(AV3027+$BA$2979)+$AW$2979*COUNTIF(AV3026:AV3026,"&gt;0")*$C$32+$AY$2979*$C$31)*$AU$2979),0)</f>
        <v>0</v>
      </c>
      <c r="AX3026">
        <f>IF(AV3026=0,0,-(COUNTIF(AV3026:AV3026,"&gt;0")*$AW$2979*$C$32+$AY$2979*$C$31)*$H$27*$AU$2979)</f>
        <v>0</v>
      </c>
      <c r="AY3026">
        <f>IF(AV3026=0,0,$AY$2979*$H$26*$AU$2979)</f>
        <v>0</v>
      </c>
      <c r="AZ3026">
        <f>(0.6*AW3026+0.7*AX3026)*$AU$2979/2</f>
        <v>0</v>
      </c>
      <c r="BA3026">
        <f>AW3026*$AU$2979/2</f>
        <v>0</v>
      </c>
      <c r="BC3026">
        <f>IF(AV3026=0,0,$BG$2979*$AP$2968)</f>
        <v>0</v>
      </c>
      <c r="BD3026">
        <f>IFERROR(BC3026/$AU$2979,0)</f>
        <v>0</v>
      </c>
      <c r="BE3026">
        <f>BC3026*($F$24+IF($F$24=0,0,($C$14+$C$15+IF($C$13="single",1.5,3)+3)/12))</f>
        <v>0</v>
      </c>
      <c r="BF3026">
        <f>BE3026-AZ3026</f>
        <v>0</v>
      </c>
      <c r="BG3026" cm="1">
        <f t="array" ref="BG3026">IFERROR(IF(BF3026&lt;0,0,BF3026/($AU$2979-INDEX(hd_off,MATCH(BT3026,hd_mark,0),0)/12)),0)</f>
        <v>0</v>
      </c>
      <c r="BH3026">
        <f>IF(AV3026=0,0,$BG$2979*$AM$2968)</f>
        <v>0</v>
      </c>
      <c r="BI3026">
        <f>IFERROR(BH3026/$AU$2979,0)</f>
        <v>0</v>
      </c>
      <c r="BJ3026">
        <f>BH3026*($F$24+IF($F$24=0,0,($C$14+$C$15+IF($C$13="single",1.5,3)+3)/12))</f>
        <v>0</v>
      </c>
      <c r="BK3026">
        <f>BJ3026-BA3026</f>
        <v>0</v>
      </c>
      <c r="BL3026" cm="1">
        <f t="array" ref="BL3026">IFERROR(IF(BK3026&lt;0,0,BK3026/($AU$2979-INDEX(hd_off,MATCH(BT3026,hd_mark,0),0)/12)),0)</f>
        <v>0</v>
      </c>
      <c r="BM3026">
        <f>MAX($F$24,$BE$2979)/$Q$2996</f>
        <v>0</v>
      </c>
      <c r="BN3026">
        <f t="shared" si="1874"/>
        <v>0</v>
      </c>
      <c r="BO3026" cm="1">
        <f t="array" ref="BO3026">IFERROR(INDEX(sheath_ecap_asd,MATCH(BS3026,sheath_mark,0),0)*BN3026,0)</f>
        <v>0</v>
      </c>
      <c r="BP3026" cm="1">
        <f t="array" ref="BP3026">IFERROR(INDEX(sheath_wcap_asd,MATCH(BS3026,sheath_mark,0),0)*BN3026,0)</f>
        <v>0</v>
      </c>
      <c r="BQ3026" cm="1">
        <f t="array" ref="BQ3026">IFERROR(INDEX(hd_cap,MATCH(BT3026,hd_mark,0),0),0)</f>
        <v>0</v>
      </c>
      <c r="BS3026" s="19"/>
      <c r="BT3026" s="19"/>
      <c r="BU3026" s="100"/>
    </row>
    <row r="3027" x14ac:dyDescent="0.25">
      <c r="P3027" s="93"/>
      <c r="Q3027" s="109"/>
      <c r="R3027" t="str">
        <f>$Q$2969</f>
        <v>Roof</v>
      </c>
      <c r="S3027">
        <f>$E$25</f>
        <v>33.171875</v>
      </c>
      <c r="T3027" cm="1">
        <f t="array" ref="T3027">IFERROR(IF(S3027=0,0,(INDEX($C$33:$C$38,MATCH($W$2979,$B$33:$B$38,0),0)*(S3027+$X$2979)+$V$2979*$C$31)*$R$2979),0)</f>
        <v>0</v>
      </c>
      <c r="U3027">
        <f>IF(S3027=0,0,-$V$2979*$C$31*$H$27*$R$2979)</f>
        <v>0</v>
      </c>
      <c r="V3027">
        <f>IF(S3027=0,0,$V$2979*$H$26*$R$2979)</f>
        <v>0</v>
      </c>
      <c r="W3027">
        <f>(0.6*T3027+0.7*U3027)*$R$2979/2</f>
        <v>0</v>
      </c>
      <c r="X3027">
        <f>T3027*$R$2979/2</f>
        <v>0</v>
      </c>
      <c r="Z3027">
        <f>IF(S3027=0,0,$AD$2979*$AP$2969)</f>
        <v>0</v>
      </c>
      <c r="AA3027">
        <f>IFERROR(Z3027/$R$2979,0)</f>
        <v>0</v>
      </c>
      <c r="AB3027">
        <f>Z3027*($F$25+($C$16+$C$17+IF($C$13="single",1.5,3)+3)/12)</f>
        <v>0</v>
      </c>
      <c r="AC3027">
        <f>AB3027-W3027</f>
        <v>0</v>
      </c>
      <c r="AD3027" cm="1">
        <f t="array" ref="AD3027">IFERROR(IF(AC3027&lt;0,0,AC3027/($R$2979-INDEX(hd_off,MATCH(AQ3027,hd_mark,0),0)/12)),0)</f>
        <v>0</v>
      </c>
      <c r="AE3027">
        <f>IF(S3027=0,0,$AD$2979*$AM$2969)</f>
        <v>0</v>
      </c>
      <c r="AF3027">
        <f>IFERROR(AE3027/$R$2979,0)</f>
        <v>0</v>
      </c>
      <c r="AG3027">
        <f>AE3027*($F$25+($C$16+$C$17+IF($C$13="single",1.5,3)+3)/12)</f>
        <v>0</v>
      </c>
      <c r="AH3027">
        <f>AG3027-X3027</f>
        <v>0</v>
      </c>
      <c r="AI3027" cm="1">
        <f t="array" ref="AI3027">IFERROR(IF(AH3027&lt;0,0,AH3027/($R$2979-INDEX(hd_off,MATCH(AQ3027,hd_mark,0),0)/12)),0)</f>
        <v>0</v>
      </c>
      <c r="AJ3027">
        <f>MAX($F$25,$AC$2979)/$Q$2996</f>
        <v>0.29920977011494249</v>
      </c>
      <c r="AK3027">
        <f t="shared" si="1873"/>
        <v>1</v>
      </c>
      <c r="AL3027" cm="1">
        <f t="array" ref="AL3027">IFERROR(INDEX(sheath_ecap_asd,MATCH(AP3027,sheath_mark,0),0)*AK3027,0)</f>
        <v>0</v>
      </c>
      <c r="AM3027" cm="1">
        <f t="array" ref="AM3027">IFERROR(INDEX(sheath_wcap_asd,MATCH(AP3027,sheath_mark,0),0)*AK3027,0)</f>
        <v>0</v>
      </c>
      <c r="AN3027" cm="1">
        <f t="array" ref="AN3027">IFERROR(INDEX(hd_cap,MATCH(AQ3027,hd_mark,0),0),0)</f>
        <v>0</v>
      </c>
      <c r="AP3027" s="19"/>
      <c r="AQ3027" s="19"/>
      <c r="AR3027" s="100"/>
      <c r="AS3027" s="93"/>
      <c r="AT3027" s="109"/>
      <c r="AU3027" t="str">
        <f>$Q$2969</f>
        <v>Roof</v>
      </c>
      <c r="AV3027">
        <f>$E$25</f>
        <v>33.171875</v>
      </c>
      <c r="AW3027" cm="1">
        <f t="array" ref="AW3027">IFERROR(IF(AV3027=0,0,(INDEX($C$33:$C$38,MATCH($AZ$2979,$B$33:$B$38,0),0)*(AV3027+$BA$2979)+$AY$2979*$C$31)*$AU$2979),0)</f>
        <v>0</v>
      </c>
      <c r="AX3027">
        <f>IF(AV3027=0,0,-$AY$2979*$C$31*$H$27*$AU$2979)</f>
        <v>0</v>
      </c>
      <c r="AY3027">
        <f>IF(AV3027=0,0,$AY$2979*$H$26*$AU$2979)</f>
        <v>0</v>
      </c>
      <c r="AZ3027">
        <f>(0.6*AW3027+0.7*AX3027)*$AU$2979/2</f>
        <v>0</v>
      </c>
      <c r="BA3027">
        <f>AW3027*$AU$2979/2</f>
        <v>0</v>
      </c>
      <c r="BC3027">
        <f>IF(AV3027=0,0,$BG$2979*$AP$2969)</f>
        <v>0</v>
      </c>
      <c r="BD3027">
        <f>IFERROR(BC3027/$AU$2979,0)</f>
        <v>0</v>
      </c>
      <c r="BE3027">
        <f>BC3027*($F$25+($C$16+$C$17+IF($C$13="single",1.5,3)+3)/12)</f>
        <v>0</v>
      </c>
      <c r="BF3027">
        <f>BE3027-AZ3027</f>
        <v>0</v>
      </c>
      <c r="BG3027" cm="1">
        <f t="array" ref="BG3027">IFERROR(IF(BF3027&lt;0,0,BF3027/($AU$2979-INDEX(hd_off,MATCH(BT3027,hd_mark,0),0)/12)),0)</f>
        <v>0</v>
      </c>
      <c r="BH3027">
        <f>IF(AV3027=0,0,$BG$2979*$AM$2969)</f>
        <v>0</v>
      </c>
      <c r="BI3027">
        <f>IFERROR(BH3027/$AU$2979,0)</f>
        <v>0</v>
      </c>
      <c r="BJ3027">
        <f>BH3027*($F$25+($C$16+$C$17+IF($C$13="single",1.5,3)+3)/12)</f>
        <v>0</v>
      </c>
      <c r="BK3027">
        <f>BJ3027-BA3027</f>
        <v>0</v>
      </c>
      <c r="BL3027" cm="1">
        <f t="array" ref="BL3027">IFERROR(IF(BK3027&lt;0,0,BK3027/($AU$2979-INDEX(hd_off,MATCH(BT3027,hd_mark,0),0)/12)),0)</f>
        <v>0</v>
      </c>
      <c r="BM3027">
        <f>MAX($F$25,$BF$2979)/$Q$2996</f>
        <v>0.29920977011494249</v>
      </c>
      <c r="BN3027">
        <f t="shared" si="1874"/>
        <v>1</v>
      </c>
      <c r="BO3027" cm="1">
        <f t="array" ref="BO3027">IFERROR(INDEX(sheath_ecap_asd,MATCH(BS3027,sheath_mark,0),0)*BN3027,0)</f>
        <v>0</v>
      </c>
      <c r="BP3027" cm="1">
        <f t="array" ref="BP3027">IFERROR(INDEX(sheath_wcap_asd,MATCH(BS3027,sheath_mark,0),0)*BN3027,0)</f>
        <v>0</v>
      </c>
      <c r="BQ3027" cm="1">
        <f t="array" ref="BQ3027">IFERROR(INDEX(hd_cap,MATCH(BT3027,hd_mark,0),0),0)</f>
        <v>0</v>
      </c>
      <c r="BS3027" s="19"/>
      <c r="BT3027" s="19"/>
      <c r="BU3027" s="100"/>
    </row>
    <row r="3028" x14ac:dyDescent="0.25">
      <c r="P3028" s="93"/>
      <c r="AR3028" s="100"/>
      <c r="AS3028" s="93"/>
      <c r="BU3028" s="100"/>
    </row>
    <row r="3029" x14ac:dyDescent="0.25">
      <c r="P3029" s="93"/>
      <c r="Q3029" s="110" t="str">
        <f>$Q$2980</f>
        <v>A.07</v>
      </c>
      <c r="R3029" t="str">
        <f>$Q$2965</f>
        <v>L2</v>
      </c>
      <c r="S3029">
        <f>$E$21</f>
        <v>10.6875</v>
      </c>
      <c r="T3029" cm="1">
        <f t="array" ref="T3029">IFERROR(IF(S3029=0,0,(INDEX($C$33:$C$38,MATCH($W$2980,$B$33:$B$38,0),0)*(S3033+$X$2980)+$T$2980*COUNTIF(S3029:S3032,"&gt;0")*$C$32+$V$2980*$C$31)*$R$2980),0)</f>
        <v>0</v>
      </c>
      <c r="U3029">
        <f>IF(S3029=0,0,-(COUNTIF(S3029:S3032,"&gt;0")*$T$2980*$C$32+$V$2980*$C$31)*$H$27*$R$2980)</f>
        <v>0</v>
      </c>
      <c r="V3029">
        <f>IF(S3029=0,0,$V$2980*$H$26*$R$2980)</f>
        <v>0</v>
      </c>
      <c r="W3029">
        <f>(0.6*T3029+0.7*U3029)*$R$2980/2</f>
        <v>0</v>
      </c>
      <c r="X3029">
        <f>(0.6*T3029+0.6*V3029)*$R$2980/2</f>
        <v>0</v>
      </c>
      <c r="Z3029">
        <f>IF(S3029=0,0,$AD$2980*$AP$2965)</f>
        <v>0</v>
      </c>
      <c r="AA3029">
        <f>IFERROR(Z3029/$R$2980,0)</f>
        <v>0</v>
      </c>
      <c r="AB3029">
        <f>Z3029*($F$21+IF($F$21=0,0,($C$14+$C$15+IF($C$13="single",1.5,3)+3)/12))</f>
        <v>0</v>
      </c>
      <c r="AC3029">
        <f>AB3029-W3029</f>
        <v>0</v>
      </c>
      <c r="AD3029" cm="1">
        <f t="array" ref="AD3029">IFERROR(IF(AC3029&lt;0,0,AC3029/($R$2980-INDEX(hd_off,MATCH(AQ3029,hd_mark,0),0)/12)),0)</f>
        <v>0</v>
      </c>
      <c r="AE3029">
        <f>IF(S3029=0,0,$AD$2980*$AM$2965)</f>
        <v>0</v>
      </c>
      <c r="AF3029">
        <f>IFERROR(AE3029/$R$2980,0)</f>
        <v>0</v>
      </c>
      <c r="AG3029">
        <f>AE3029*($F$21+IF($F$21=0,0,($C$14+$C$15+IF($C$13="single",1.5,3)+3)/12))</f>
        <v>0</v>
      </c>
      <c r="AH3029">
        <f>AG3029-X3029</f>
        <v>0</v>
      </c>
      <c r="AI3029" cm="1">
        <f t="array" ref="AI3029">IFERROR(IF(AH3029&lt;0,0,AH3029/($R$2980-INDEX(hd_off,MATCH(AQ3029,hd_mark,0),0)/12)),0)</f>
        <v>0</v>
      </c>
      <c r="AJ3029">
        <f>MAX($F$21,$Y$2980)/$Q$2996</f>
        <v>0.30172413793103448</v>
      </c>
      <c r="AK3029">
        <f>IF(AJ3029=0,0,IF(AJ3029&gt;2,1.25-0.125*AJ3029,1))</f>
        <v>1</v>
      </c>
      <c r="AL3029" cm="1">
        <f t="array" ref="AL3029">IFERROR(INDEX(sheath_ecap_asd,MATCH(AP3029,sheath_mark,0),0)*AK3029,0)</f>
        <v>0</v>
      </c>
      <c r="AM3029" cm="1">
        <f t="array" ref="AM3029">IFERROR(INDEX(sheath_wcap_asd,MATCH(AP3029,sheath_mark,0),0)*AK3029,0)</f>
        <v>0</v>
      </c>
      <c r="AN3029" cm="1">
        <f t="array" ref="AN3029">IFERROR(INDEX(hd_cap,MATCH(AQ3029,hd_mark,0),0),0)</f>
        <v>0</v>
      </c>
      <c r="AP3029" s="19"/>
      <c r="AQ3029" s="19"/>
      <c r="AR3029" s="100"/>
      <c r="AS3029" s="93"/>
      <c r="AT3029" s="110" t="str">
        <f>$AT$2980</f>
        <v>1.07</v>
      </c>
      <c r="AU3029" t="str">
        <f>$Q$2965</f>
        <v>L2</v>
      </c>
      <c r="AV3029">
        <f>$E$21</f>
        <v>10.6875</v>
      </c>
      <c r="AW3029" cm="1">
        <f t="array" ref="AW3029">IFERROR(IF(AV3029=0,0,(INDEX($C$33:$C$38,MATCH($AZ$2980,$B$33:$B$38,0),0)*(AV3033+$BA$2980)+$AW$2980*COUNTIF(AV3029:AV3032,"&gt;0")*$C$32+$AY$2980*$C$31)*$AU$2980),0)</f>
        <v>0</v>
      </c>
      <c r="AX3029">
        <f>IF(AV3029=0,0,-(COUNTIF(AV3029:AV3032,"&gt;0")*$AW$2980*$C$32+$AY$2980*$C$31)*$H$27*$AU$2980)</f>
        <v>0</v>
      </c>
      <c r="AY3029">
        <f>IF(AV3029=0,0,$AY$2980*$H$26*$AU$2980)</f>
        <v>0</v>
      </c>
      <c r="AZ3029">
        <f>(0.6*AW3029+0.7*AX3029)*$AU$2980/2</f>
        <v>0</v>
      </c>
      <c r="BA3029">
        <f>(0.6*AW3029+0.6*AY3029)*$AU$2980/2</f>
        <v>0</v>
      </c>
      <c r="BC3029">
        <f>IF(AV3029=0,0,$BG$2980*$AP$2965)</f>
        <v>0</v>
      </c>
      <c r="BD3029">
        <f>IFERROR(BC3029/$AU$2980,0)</f>
        <v>0</v>
      </c>
      <c r="BE3029">
        <f>BC3029*($F$21+IF($F$21=0,0,($C$14+$C$15+IF($C$13="single",1.5,3)+3)/12))</f>
        <v>0</v>
      </c>
      <c r="BF3029">
        <f>BE3029-AZ3029</f>
        <v>0</v>
      </c>
      <c r="BG3029" cm="1">
        <f t="array" ref="BG3029">IFERROR(IF(BF3029&lt;0,0,BF3029/($AU$2980-INDEX(hd_off,MATCH(BT3029,hd_mark,0),0)/12)),0)</f>
        <v>0</v>
      </c>
      <c r="BH3029">
        <f>IF(AV3029=0,0,$BG$2980*$AM$2965)</f>
        <v>0</v>
      </c>
      <c r="BI3029">
        <f>IFERROR(BH3029/$AU$2980,0)</f>
        <v>0</v>
      </c>
      <c r="BJ3029">
        <f>BH3029*($F$21+IF($F$21=0,0,($C$14+$C$15+IF($C$13="single",1.5,3)+3)/12))</f>
        <v>0</v>
      </c>
      <c r="BK3029">
        <f>BJ3029-BA3029</f>
        <v>0</v>
      </c>
      <c r="BL3029" cm="1">
        <f t="array" ref="BL3029">IFERROR(IF(BK3029&lt;0,0,BK3029/($AU$2980-INDEX(hd_off,MATCH(BT3029,hd_mark,0),0)/12)),0)</f>
        <v>0</v>
      </c>
      <c r="BM3029">
        <f>MAX($F$21,$BB$2980)/$Q$2996</f>
        <v>0.30172413793103448</v>
      </c>
      <c r="BN3029">
        <f>IF(BM3029=0,0,IF(BM3029&gt;2,1.25-0.125*BM3029,1))</f>
        <v>1</v>
      </c>
      <c r="BO3029" cm="1">
        <f t="array" ref="BO3029">IFERROR(INDEX(sheath_ecap_asd,MATCH(BS3029,sheath_mark,0),0)*BN3029,0)</f>
        <v>0</v>
      </c>
      <c r="BP3029" cm="1">
        <f t="array" ref="BP3029">IFERROR(INDEX(sheath_wcap_asd,MATCH(BS3029,sheath_mark,0),0)*BN3029,0)</f>
        <v>0</v>
      </c>
      <c r="BQ3029" cm="1">
        <f t="array" ref="BQ3029">IFERROR(INDEX(hd_cap,MATCH(BT3029,hd_mark,0),0),0)</f>
        <v>0</v>
      </c>
      <c r="BS3029" s="19"/>
      <c r="BT3029" s="19"/>
      <c r="BU3029" s="100"/>
    </row>
    <row r="3030" x14ac:dyDescent="0.25">
      <c r="P3030" s="93"/>
      <c r="Q3030" s="109"/>
      <c r="R3030" t="str">
        <f>$Q$2966</f>
        <v>L3</v>
      </c>
      <c r="S3030">
        <f>$E$22</f>
        <v>21.375</v>
      </c>
      <c r="T3030" cm="1">
        <f t="array" ref="T3030">IFERROR(IF(S3030=0,0,(INDEX($C$33:$C$38,MATCH($W$2980,$B$33:$B$38,0),0)*(S3033+$X$2980)+$T$2980*COUNTIF(S3030:S3032,"&gt;0")*$C$32+$V$2980*$C$31)*$R$2980),0)</f>
        <v>0</v>
      </c>
      <c r="U3030">
        <f>IF(S3030=0,0,-(COUNTIF(S3030:S3032,"&gt;0")*$T$2980*$C$32+$V$2980*$C$31)*$H$27*$R$2980)</f>
        <v>0</v>
      </c>
      <c r="V3030">
        <f>IF(S3030=0,0,$V$2980*$H$26*$R$2980)</f>
        <v>0</v>
      </c>
      <c r="W3030">
        <f>(0.6*T3030+0.7*U3030)*$R$2980/2</f>
        <v>0</v>
      </c>
      <c r="X3030">
        <f>T3030*$R$2980/2</f>
        <v>0</v>
      </c>
      <c r="Z3030">
        <f>IF(S3030=0,0,$AD$2980*$AP$2966)</f>
        <v>0</v>
      </c>
      <c r="AA3030">
        <f>IFERROR(Z3030/$R$2980,0)</f>
        <v>0</v>
      </c>
      <c r="AB3030">
        <f>Z3030*($F$22+IF($F$22=0,0,($C$14+$C$15+IF($C$13="single",1.5,3)+3)/12))</f>
        <v>0</v>
      </c>
      <c r="AC3030">
        <f>AB3030-W3030</f>
        <v>0</v>
      </c>
      <c r="AD3030" cm="1">
        <f t="array" ref="AD3030">IFERROR(IF(AC3030&lt;0,0,AC3030/($R$2980-INDEX(hd_off,MATCH(AQ3030,hd_mark,0),0)/12)),0)</f>
        <v>0</v>
      </c>
      <c r="AE3030">
        <f>IF(S3030=0,0,$AD$2980*$AM$2966)</f>
        <v>0</v>
      </c>
      <c r="AF3030">
        <f>IFERROR(AE3030/$R$2980,0)</f>
        <v>0</v>
      </c>
      <c r="AG3030">
        <f>AE3030*($F$22+IF($F$22=0,0,($C$14+$C$15+IF($C$13="single",1.5,3)+3)/12))</f>
        <v>0</v>
      </c>
      <c r="AH3030">
        <f>AG3030-X3030</f>
        <v>0</v>
      </c>
      <c r="AI3030" cm="1">
        <f t="array" ref="AI3030">IFERROR(IF(AH3030&lt;0,0,AH3030/($R$2980-INDEX(hd_off,MATCH(AQ3030,hd_mark,0),0)/12)),0)</f>
        <v>0</v>
      </c>
      <c r="AJ3030">
        <f>MAX($F$22,$Z$2980)/$Q$2996</f>
        <v>0.30172413793103448</v>
      </c>
      <c r="AK3030">
        <f t="shared" ref="AK3030:AK3033" si="1875">IF(AJ3030=0,0,IF(AJ3030&gt;2,1.25-0.125*AJ3030,1))</f>
        <v>1</v>
      </c>
      <c r="AL3030" cm="1">
        <f t="array" ref="AL3030">IFERROR(INDEX(sheath_ecap_asd,MATCH(AP3030,sheath_mark,0),0)*AK3030,0)</f>
        <v>0</v>
      </c>
      <c r="AM3030" cm="1">
        <f t="array" ref="AM3030">IFERROR(INDEX(sheath_wcap_asd,MATCH(AP3030,sheath_mark,0),0)*AK3030,0)</f>
        <v>0</v>
      </c>
      <c r="AN3030" cm="1">
        <f t="array" ref="AN3030">IFERROR(INDEX(hd_cap,MATCH(AQ3030,hd_mark,0),0),0)</f>
        <v>0</v>
      </c>
      <c r="AP3030" s="19"/>
      <c r="AQ3030" s="19"/>
      <c r="AR3030" s="100"/>
      <c r="AS3030" s="93"/>
      <c r="AT3030" s="109"/>
      <c r="AU3030" t="str">
        <f>$Q$2966</f>
        <v>L3</v>
      </c>
      <c r="AV3030">
        <f>$E$22</f>
        <v>21.375</v>
      </c>
      <c r="AW3030" cm="1">
        <f t="array" ref="AW3030">IFERROR(IF(AV3030=0,0,(INDEX($C$33:$C$38,MATCH($AZ$2980,$B$33:$B$38,0),0)*(AV3033+$BA$2980)+$AW$2980*COUNTIF(AV3030:AV3032,"&gt;0")*$C$32+$AY$2980*$C$31)*$AU$2980),0)</f>
        <v>0</v>
      </c>
      <c r="AX3030">
        <f>IF(AV3030=0,0,-(COUNTIF(AV3030:AV3032,"&gt;0")*$AW$2980*$C$32+$AY$2980*$C$31)*$H$27*$AU$2980)</f>
        <v>0</v>
      </c>
      <c r="AY3030">
        <f>IF(AV3030=0,0,$AY$2980*$H$26*$AU$2980)</f>
        <v>0</v>
      </c>
      <c r="AZ3030">
        <f>(0.6*AW3030+0.7*AX3030)*$AU$2980/2</f>
        <v>0</v>
      </c>
      <c r="BA3030">
        <f>AW3030*$AU$2980/2</f>
        <v>0</v>
      </c>
      <c r="BC3030">
        <f>IF(AV3030=0,0,$BG$2980*$AP$2966)</f>
        <v>0</v>
      </c>
      <c r="BD3030">
        <f>IFERROR(BC3030/$AU$2980,0)</f>
        <v>0</v>
      </c>
      <c r="BE3030">
        <f>BC3030*($F$22+IF($F$22=0,0,($C$14+$C$15+IF($C$13="single",1.5,3)+3)/12))</f>
        <v>0</v>
      </c>
      <c r="BF3030">
        <f>BE3030-AZ3030</f>
        <v>0</v>
      </c>
      <c r="BG3030" cm="1">
        <f t="array" ref="BG3030">IFERROR(IF(BF3030&lt;0,0,BF3030/($AU$2980-INDEX(hd_off,MATCH(BT3030,hd_mark,0),0)/12)),0)</f>
        <v>0</v>
      </c>
      <c r="BH3030">
        <f>IF(AV3030=0,0,$BG$2980*$AM$2966)</f>
        <v>0</v>
      </c>
      <c r="BI3030">
        <f>IFERROR(BH3030/$AU$2980,0)</f>
        <v>0</v>
      </c>
      <c r="BJ3030">
        <f>BH3030*($F$22+IF($F$22=0,0,($C$14+$C$15+IF($C$13="single",1.5,3)+3)/12))</f>
        <v>0</v>
      </c>
      <c r="BK3030">
        <f>BJ3030-BA3030</f>
        <v>0</v>
      </c>
      <c r="BL3030" cm="1">
        <f t="array" ref="BL3030">IFERROR(IF(BK3030&lt;0,0,BK3030/($AU$2980-INDEX(hd_off,MATCH(BT3030,hd_mark,0),0)/12)),0)</f>
        <v>0</v>
      </c>
      <c r="BM3030">
        <f>MAX($F$22,$BC$2980)/$Q$2996</f>
        <v>0.30172413793103448</v>
      </c>
      <c r="BN3030">
        <f t="shared" ref="BN3030:BN3033" si="1876">IF(BM3030=0,0,IF(BM3030&gt;2,1.25-0.125*BM3030,1))</f>
        <v>1</v>
      </c>
      <c r="BO3030" cm="1">
        <f t="array" ref="BO3030">IFERROR(INDEX(sheath_ecap_asd,MATCH(BS3030,sheath_mark,0),0)*BN3030,0)</f>
        <v>0</v>
      </c>
      <c r="BP3030" cm="1">
        <f t="array" ref="BP3030">IFERROR(INDEX(sheath_wcap_asd,MATCH(BS3030,sheath_mark,0),0)*BN3030,0)</f>
        <v>0</v>
      </c>
      <c r="BQ3030" cm="1">
        <f t="array" ref="BQ3030">IFERROR(INDEX(hd_cap,MATCH(BT3030,hd_mark,0),0),0)</f>
        <v>0</v>
      </c>
      <c r="BS3030" s="19"/>
      <c r="BT3030" s="19"/>
      <c r="BU3030" s="100"/>
    </row>
    <row r="3031" x14ac:dyDescent="0.25">
      <c r="P3031" s="93"/>
      <c r="Q3031" s="109" t="s">
        <v>491</v>
      </c>
      <c r="R3031" t="str">
        <f>$Q$2967</f>
        <v>L4</v>
      </c>
      <c r="S3031">
        <f>$E$23</f>
        <v>0</v>
      </c>
      <c r="T3031" cm="1">
        <f t="array" ref="T3031">IFERROR(IF(S3031=0,0,(INDEX($C$33:$C$38,MATCH($W$2980,$B$33:$B$38,0),0)*(S3033+$X$2980)+$T$2980*COUNTIF(S3031:S3032,"&gt;0")*$C$32+$V$2980*$C$31)*$R$2980),0)</f>
        <v>0</v>
      </c>
      <c r="U3031">
        <f>IF(S3031=0,0,-(COUNTIF(S3031:S3032,"&gt;0")*$T$2980*$C$32+$V$2980*$C$31)*$H$27*$R$2980)</f>
        <v>0</v>
      </c>
      <c r="V3031">
        <f>IF(S3031=0,0,$V$2980*$H$26*$R$2980)</f>
        <v>0</v>
      </c>
      <c r="W3031">
        <f>(0.6*T3031+0.7*U3031)*$R$2980/2</f>
        <v>0</v>
      </c>
      <c r="X3031">
        <f>T3031*$R$2980/2</f>
        <v>0</v>
      </c>
      <c r="Z3031">
        <f>IF(S3031=0,0,$AD$2980*$AP$2967)</f>
        <v>0</v>
      </c>
      <c r="AA3031">
        <f>IFERROR(Z3031/$R$2980,0)</f>
        <v>0</v>
      </c>
      <c r="AB3031">
        <f>Z3031*($F$23+IF($F$23=0,0,($C$14+$C$15+IF($C$13="single",1.5,3)+3)/12))</f>
        <v>0</v>
      </c>
      <c r="AC3031">
        <f>AB3031-W3031</f>
        <v>0</v>
      </c>
      <c r="AD3031" cm="1">
        <f t="array" ref="AD3031">IFERROR(IF(AC3031&lt;0,0,AC3031/($R$2980-INDEX(hd_off,MATCH(AQ3031,hd_mark,0),0)/12)),0)</f>
        <v>0</v>
      </c>
      <c r="AE3031">
        <f>IF(S3031=0,0,$AD$2980*$AM$2967)</f>
        <v>0</v>
      </c>
      <c r="AF3031">
        <f>IFERROR(AE3031/$R$2980,0)</f>
        <v>0</v>
      </c>
      <c r="AG3031">
        <f>AE3031*($F$23+IF($F$23=0,0,($C$14+$C$15+IF($C$13="single",1.5,3)+3)/12))</f>
        <v>0</v>
      </c>
      <c r="AH3031">
        <f>AG3031-X3031</f>
        <v>0</v>
      </c>
      <c r="AI3031" cm="1">
        <f t="array" ref="AI3031">IFERROR(IF(AH3031&lt;0,0,AH3031/($R$2980-INDEX(hd_off,MATCH(AQ3031,hd_mark,0),0)/12)),0)</f>
        <v>0</v>
      </c>
      <c r="AJ3031">
        <f>MAX($F$23,$AA$2980)/$Q$2996</f>
        <v>0</v>
      </c>
      <c r="AK3031">
        <f t="shared" si="1875"/>
        <v>0</v>
      </c>
      <c r="AL3031" cm="1">
        <f t="array" ref="AL3031">IFERROR(INDEX(sheath_ecap_asd,MATCH(AP3031,sheath_mark,0),0)*AK3031,0)</f>
        <v>0</v>
      </c>
      <c r="AM3031" cm="1">
        <f t="array" ref="AM3031">IFERROR(INDEX(sheath_wcap_asd,MATCH(AP3031,sheath_mark,0),0)*AK3031,0)</f>
        <v>0</v>
      </c>
      <c r="AN3031" cm="1">
        <f t="array" ref="AN3031">IFERROR(INDEX(hd_cap,MATCH(AQ3031,hd_mark,0),0),0)</f>
        <v>0</v>
      </c>
      <c r="AP3031" s="19"/>
      <c r="AQ3031" s="19"/>
      <c r="AR3031" s="100"/>
      <c r="AS3031" s="93"/>
      <c r="AT3031" s="109" t="s">
        <v>491</v>
      </c>
      <c r="AU3031" t="str">
        <f>$Q$2967</f>
        <v>L4</v>
      </c>
      <c r="AV3031">
        <f>$E$23</f>
        <v>0</v>
      </c>
      <c r="AW3031" cm="1">
        <f t="array" ref="AW3031">IFERROR(IF(AV3031=0,0,(INDEX($C$33:$C$38,MATCH($AZ$2980,$B$33:$B$38,0),0)*(AV3033+$BA$2980)+$AW$2980*COUNTIF(AV3031:AV3032,"&gt;0")*$C$32+$AY$2980*$C$31)*$AU$2980),0)</f>
        <v>0</v>
      </c>
      <c r="AX3031">
        <f>IF(AV3031=0,0,-(COUNTIF(AV3031:AV3032,"&gt;0")*$AW$2980*$C$32+$AY$2980*$C$31)*$H$27*$AU$2980)</f>
        <v>0</v>
      </c>
      <c r="AY3031">
        <f>IF(AV3031=0,0,$AY$2980*$H$26*$AU$2980)</f>
        <v>0</v>
      </c>
      <c r="AZ3031">
        <f>(0.6*AW3031+0.7*AX3031)*$AU$2980/2</f>
        <v>0</v>
      </c>
      <c r="BA3031">
        <f>AW3031*$AU$2980/2</f>
        <v>0</v>
      </c>
      <c r="BC3031">
        <f>IF(AV3031=0,0,$BG$2980*$AP$2967)</f>
        <v>0</v>
      </c>
      <c r="BD3031">
        <f>IFERROR(BC3031/$AU$2980,0)</f>
        <v>0</v>
      </c>
      <c r="BE3031">
        <f>BC3031*($F$23+IF($F$23=0,0,($C$14+$C$15+IF($C$13="single",1.5,3)+3)/12))</f>
        <v>0</v>
      </c>
      <c r="BF3031">
        <f>BE3031-AZ3031</f>
        <v>0</v>
      </c>
      <c r="BG3031" cm="1">
        <f t="array" ref="BG3031">IFERROR(IF(BF3031&lt;0,0,BF3031/($AU$2980-INDEX(hd_off,MATCH(BT3031,hd_mark,0),0)/12)),0)</f>
        <v>0</v>
      </c>
      <c r="BH3031">
        <f>IF(AV3031=0,0,$BG$2980*$AM$2967)</f>
        <v>0</v>
      </c>
      <c r="BI3031">
        <f>IFERROR(BH3031/$AU$2980,0)</f>
        <v>0</v>
      </c>
      <c r="BJ3031">
        <f>BH3031*($F$23+IF($F$23=0,0,($C$14+$C$15+IF($C$13="single",1.5,3)+3)/12))</f>
        <v>0</v>
      </c>
      <c r="BK3031">
        <f>BJ3031-BA3031</f>
        <v>0</v>
      </c>
      <c r="BL3031" cm="1">
        <f t="array" ref="BL3031">IFERROR(IF(BK3031&lt;0,0,BK3031/($AU$2980-INDEX(hd_off,MATCH(BT3031,hd_mark,0),0)/12)),0)</f>
        <v>0</v>
      </c>
      <c r="BM3031">
        <f>MAX($F$23,$BD$2980)/$Q$2996</f>
        <v>0</v>
      </c>
      <c r="BN3031">
        <f t="shared" si="1876"/>
        <v>0</v>
      </c>
      <c r="BO3031" cm="1">
        <f t="array" ref="BO3031">IFERROR(INDEX(sheath_ecap_asd,MATCH(BS3031,sheath_mark,0),0)*BN3031,0)</f>
        <v>0</v>
      </c>
      <c r="BP3031" cm="1">
        <f t="array" ref="BP3031">IFERROR(INDEX(sheath_wcap_asd,MATCH(BS3031,sheath_mark,0),0)*BN3031,0)</f>
        <v>0</v>
      </c>
      <c r="BQ3031" cm="1">
        <f t="array" ref="BQ3031">IFERROR(INDEX(hd_cap,MATCH(BT3031,hd_mark,0),0),0)</f>
        <v>0</v>
      </c>
      <c r="BS3031" s="19"/>
      <c r="BT3031" s="19"/>
      <c r="BU3031" s="100"/>
    </row>
    <row r="3032" x14ac:dyDescent="0.25">
      <c r="P3032" s="93"/>
      <c r="Q3032" s="111">
        <f>$R$2980</f>
        <v>0</v>
      </c>
      <c r="R3032" t="str">
        <f>$Q$2968</f>
        <v>L5</v>
      </c>
      <c r="S3032">
        <f>$E$24</f>
        <v>0</v>
      </c>
      <c r="T3032" cm="1">
        <f t="array" ref="T3032">IFERROR(IF(S3032=0,0,(INDEX($C$33:$C$38,MATCH($W$2980,$B$33:$B$38,0),0)*(S3033+$X$2980)+$T$2980*COUNTIF(S3032:S3032,"&gt;0")*$C$32+$V$2980*$C$31)*$R$2980),0)</f>
        <v>0</v>
      </c>
      <c r="U3032">
        <f>IF(S3032=0,0,-(COUNTIF(S3032:S3032,"&gt;0")*$T$2980*$C$32+$V$2980*$C$31)*$H$27*$R$2980)</f>
        <v>0</v>
      </c>
      <c r="V3032">
        <f>IF(S3032=0,0,$V$2980*$H$26*$R$2980)</f>
        <v>0</v>
      </c>
      <c r="W3032">
        <f>(0.6*T3032+0.7*U3032)*$R$2980/2</f>
        <v>0</v>
      </c>
      <c r="X3032">
        <f>T3032*$R$2980/2</f>
        <v>0</v>
      </c>
      <c r="Z3032">
        <f>IF(S3032=0,0,$AD$2980*$AP$2968)</f>
        <v>0</v>
      </c>
      <c r="AA3032">
        <f>IFERROR(Z3032/$R$2980,0)</f>
        <v>0</v>
      </c>
      <c r="AB3032">
        <f>Z3032*($F$24+IF($F$24=0,0,($C$14+$C$15+IF($C$13="single",1.5,3)+3)/12))</f>
        <v>0</v>
      </c>
      <c r="AC3032">
        <f>AB3032-W3032</f>
        <v>0</v>
      </c>
      <c r="AD3032" cm="1">
        <f t="array" ref="AD3032">IFERROR(IF(AC3032&lt;0,0,AC3032/($R$2980-INDEX(hd_off,MATCH(AQ3032,hd_mark,0),0)/12)),0)</f>
        <v>0</v>
      </c>
      <c r="AE3032">
        <f>IF(S3032=0,0,$AD$2980*$AM$2968)</f>
        <v>0</v>
      </c>
      <c r="AF3032">
        <f>IFERROR(AE3032/$R$2980,0)</f>
        <v>0</v>
      </c>
      <c r="AG3032">
        <f>AE3032*($F$24+IF($F$24=0,0,($C$14+$C$15+IF($C$13="single",1.5,3)+3)/12))</f>
        <v>0</v>
      </c>
      <c r="AH3032">
        <f>AG3032-X3032</f>
        <v>0</v>
      </c>
      <c r="AI3032" cm="1">
        <f t="array" ref="AI3032">IFERROR(IF(AH3032&lt;0,0,AH3032/($R$2980-INDEX(hd_off,MATCH(AQ3032,hd_mark,0),0)/12)),0)</f>
        <v>0</v>
      </c>
      <c r="AJ3032">
        <f>MAX($F$24,$AB$2980)/$Q$2996</f>
        <v>0</v>
      </c>
      <c r="AK3032">
        <f t="shared" si="1875"/>
        <v>0</v>
      </c>
      <c r="AL3032" cm="1">
        <f t="array" ref="AL3032">IFERROR(INDEX(sheath_ecap_asd,MATCH(AP3032,sheath_mark,0),0)*AK3032,0)</f>
        <v>0</v>
      </c>
      <c r="AM3032" cm="1">
        <f t="array" ref="AM3032">IFERROR(INDEX(sheath_wcap_asd,MATCH(AP3032,sheath_mark,0),0)*AK3032,0)</f>
        <v>0</v>
      </c>
      <c r="AN3032" cm="1">
        <f t="array" ref="AN3032">IFERROR(INDEX(hd_cap,MATCH(AQ3032,hd_mark,0),0),0)</f>
        <v>0</v>
      </c>
      <c r="AP3032" s="19"/>
      <c r="AQ3032" s="19"/>
      <c r="AR3032" s="100"/>
      <c r="AS3032" s="93"/>
      <c r="AT3032" s="111">
        <f>$R$2980</f>
        <v>0</v>
      </c>
      <c r="AU3032" t="str">
        <f>$Q$2968</f>
        <v>L5</v>
      </c>
      <c r="AV3032">
        <f>$E$24</f>
        <v>0</v>
      </c>
      <c r="AW3032" cm="1">
        <f t="array" ref="AW3032">IFERROR(IF(AV3032=0,0,(INDEX($C$33:$C$38,MATCH($AZ$2980,$B$33:$B$38,0),0)*(AV3033+$BA$2980)+$AW$2980*COUNTIF(AV3032:AV3032,"&gt;0")*$C$32+$AY$2980*$C$31)*$AU$2980),0)</f>
        <v>0</v>
      </c>
      <c r="AX3032">
        <f>IF(AV3032=0,0,-(COUNTIF(AV3032:AV3032,"&gt;0")*$AW$2980*$C$32+$AY$2980*$C$31)*$H$27*$AU$2980)</f>
        <v>0</v>
      </c>
      <c r="AY3032">
        <f>IF(AV3032=0,0,$AY$2980*$H$26*$AU$2980)</f>
        <v>0</v>
      </c>
      <c r="AZ3032">
        <f>(0.6*AW3032+0.7*AX3032)*$AU$2980/2</f>
        <v>0</v>
      </c>
      <c r="BA3032">
        <f>AW3032*$AU$2980/2</f>
        <v>0</v>
      </c>
      <c r="BC3032">
        <f>IF(AV3032=0,0,$BG$2980*$AP$2968)</f>
        <v>0</v>
      </c>
      <c r="BD3032">
        <f>IFERROR(BC3032/$AU$2980,0)</f>
        <v>0</v>
      </c>
      <c r="BE3032">
        <f>BC3032*($F$24+IF($F$24=0,0,($C$14+$C$15+IF($C$13="single",1.5,3)+3)/12))</f>
        <v>0</v>
      </c>
      <c r="BF3032">
        <f>BE3032-AZ3032</f>
        <v>0</v>
      </c>
      <c r="BG3032" cm="1">
        <f t="array" ref="BG3032">IFERROR(IF(BF3032&lt;0,0,BF3032/($AU$2980-INDEX(hd_off,MATCH(BT3032,hd_mark,0),0)/12)),0)</f>
        <v>0</v>
      </c>
      <c r="BH3032">
        <f>IF(AV3032=0,0,$BG$2980*$AM$2968)</f>
        <v>0</v>
      </c>
      <c r="BI3032">
        <f>IFERROR(BH3032/$AU$2980,0)</f>
        <v>0</v>
      </c>
      <c r="BJ3032">
        <f>BH3032*($F$24+IF($F$24=0,0,($C$14+$C$15+IF($C$13="single",1.5,3)+3)/12))</f>
        <v>0</v>
      </c>
      <c r="BK3032">
        <f>BJ3032-BA3032</f>
        <v>0</v>
      </c>
      <c r="BL3032" cm="1">
        <f t="array" ref="BL3032">IFERROR(IF(BK3032&lt;0,0,BK3032/($AU$2980-INDEX(hd_off,MATCH(BT3032,hd_mark,0),0)/12)),0)</f>
        <v>0</v>
      </c>
      <c r="BM3032">
        <f>MAX($F$24,$BE$2980)/$Q$2996</f>
        <v>0</v>
      </c>
      <c r="BN3032">
        <f t="shared" si="1876"/>
        <v>0</v>
      </c>
      <c r="BO3032" cm="1">
        <f t="array" ref="BO3032">IFERROR(INDEX(sheath_ecap_asd,MATCH(BS3032,sheath_mark,0),0)*BN3032,0)</f>
        <v>0</v>
      </c>
      <c r="BP3032" cm="1">
        <f t="array" ref="BP3032">IFERROR(INDEX(sheath_wcap_asd,MATCH(BS3032,sheath_mark,0),0)*BN3032,0)</f>
        <v>0</v>
      </c>
      <c r="BQ3032" cm="1">
        <f t="array" ref="BQ3032">IFERROR(INDEX(hd_cap,MATCH(BT3032,hd_mark,0),0),0)</f>
        <v>0</v>
      </c>
      <c r="BS3032" s="19"/>
      <c r="BT3032" s="19"/>
      <c r="BU3032" s="100"/>
    </row>
    <row r="3033" x14ac:dyDescent="0.25">
      <c r="P3033" s="93"/>
      <c r="Q3033" s="109"/>
      <c r="R3033" t="str">
        <f>$Q$2969</f>
        <v>Roof</v>
      </c>
      <c r="S3033">
        <f>$E$25</f>
        <v>33.171875</v>
      </c>
      <c r="T3033" cm="1">
        <f t="array" ref="T3033">IFERROR(IF(S3033=0,0,(INDEX($C$33:$C$38,MATCH($W$2980,$B$33:$B$38,0),0)*(S3033+$X$2980)+$V$2980*$C$31)*$R$2980),0)</f>
        <v>0</v>
      </c>
      <c r="U3033">
        <f>IF(S3033=0,0,-$V$2980*$C$31*$H$27*$R$2980)</f>
        <v>0</v>
      </c>
      <c r="V3033">
        <f>IF(S3033=0,0,$V$2980*$H$26*$R$2980)</f>
        <v>0</v>
      </c>
      <c r="W3033">
        <f>(0.6*T3033+0.7*U3033)*$R$2980/2</f>
        <v>0</v>
      </c>
      <c r="X3033">
        <f>T3033*$R$2980/2</f>
        <v>0</v>
      </c>
      <c r="Z3033">
        <f>IF(S3033=0,0,$AD$2980*$AP$2969)</f>
        <v>0</v>
      </c>
      <c r="AA3033">
        <f>IFERROR(Z3033/$R$2980,0)</f>
        <v>0</v>
      </c>
      <c r="AB3033">
        <f>Z3033*($F$25+($C$16+$C$17+IF($C$13="single",1.5,3)+3)/12)</f>
        <v>0</v>
      </c>
      <c r="AC3033">
        <f>AB3033-W3033</f>
        <v>0</v>
      </c>
      <c r="AD3033" cm="1">
        <f t="array" ref="AD3033">IFERROR(IF(AC3033&lt;0,0,AC3033/($R$2980-INDEX(hd_off,MATCH(AQ3033,hd_mark,0),0)/12)),0)</f>
        <v>0</v>
      </c>
      <c r="AE3033">
        <f>IF(S3033=0,0,$AD$2980*$AM$2969)</f>
        <v>0</v>
      </c>
      <c r="AF3033">
        <f>IFERROR(AE3033/$R$2980,0)</f>
        <v>0</v>
      </c>
      <c r="AG3033">
        <f>AE3033*($F$25+($C$16+$C$17+IF($C$13="single",1.5,3)+3)/12)</f>
        <v>0</v>
      </c>
      <c r="AH3033">
        <f>AG3033-X3033</f>
        <v>0</v>
      </c>
      <c r="AI3033" cm="1">
        <f t="array" ref="AI3033">IFERROR(IF(AH3033&lt;0,0,AH3033/($R$2980-INDEX(hd_off,MATCH(AQ3033,hd_mark,0),0)/12)),0)</f>
        <v>0</v>
      </c>
      <c r="AJ3033">
        <f>MAX($F$25,$AC$2980)/$Q$2996</f>
        <v>0.29920977011494249</v>
      </c>
      <c r="AK3033">
        <f t="shared" si="1875"/>
        <v>1</v>
      </c>
      <c r="AL3033" cm="1">
        <f t="array" ref="AL3033">IFERROR(INDEX(sheath_ecap_asd,MATCH(AP3033,sheath_mark,0),0)*AK3033,0)</f>
        <v>0</v>
      </c>
      <c r="AM3033" cm="1">
        <f t="array" ref="AM3033">IFERROR(INDEX(sheath_wcap_asd,MATCH(AP3033,sheath_mark,0),0)*AK3033,0)</f>
        <v>0</v>
      </c>
      <c r="AN3033" cm="1">
        <f t="array" ref="AN3033">IFERROR(INDEX(hd_cap,MATCH(AQ3033,hd_mark,0),0),0)</f>
        <v>0</v>
      </c>
      <c r="AP3033" s="19"/>
      <c r="AQ3033" s="19"/>
      <c r="AR3033" s="100"/>
      <c r="AS3033" s="93"/>
      <c r="AT3033" s="109"/>
      <c r="AU3033" t="str">
        <f>$Q$2969</f>
        <v>Roof</v>
      </c>
      <c r="AV3033">
        <f>$E$25</f>
        <v>33.171875</v>
      </c>
      <c r="AW3033" cm="1">
        <f t="array" ref="AW3033">IFERROR(IF(AV3033=0,0,(INDEX($C$33:$C$38,MATCH($AZ$2980,$B$33:$B$38,0),0)*(AV3033+$BA$2980)+$AY$2980*$C$31)*$AU$2980),0)</f>
        <v>0</v>
      </c>
      <c r="AX3033">
        <f>IF(AV3033=0,0,-$AY$2980*$C$31*$H$27*$AU$2980)</f>
        <v>0</v>
      </c>
      <c r="AY3033">
        <f>IF(AV3033=0,0,$AY$2980*$H$26*$AU$2980)</f>
        <v>0</v>
      </c>
      <c r="AZ3033">
        <f>(0.6*AW3033+0.7*AX3033)*$AU$2980/2</f>
        <v>0</v>
      </c>
      <c r="BA3033">
        <f>AW3033*$AU$2980/2</f>
        <v>0</v>
      </c>
      <c r="BC3033">
        <f>IF(AV3033=0,0,$BG$2980*$AP$2969)</f>
        <v>0</v>
      </c>
      <c r="BD3033">
        <f>IFERROR(BC3033/$AU$2980,0)</f>
        <v>0</v>
      </c>
      <c r="BE3033">
        <f>BC3033*($F$25+($C$16+$C$17+IF($C$13="single",1.5,3)+3)/12)</f>
        <v>0</v>
      </c>
      <c r="BF3033">
        <f>BE3033-AZ3033</f>
        <v>0</v>
      </c>
      <c r="BG3033" cm="1">
        <f t="array" ref="BG3033">IFERROR(IF(BF3033&lt;0,0,BF3033/($AU$2980-INDEX(hd_off,MATCH(BT3033,hd_mark,0),0)/12)),0)</f>
        <v>0</v>
      </c>
      <c r="BH3033">
        <f>IF(AV3033=0,0,$BG$2980*$AM$2969)</f>
        <v>0</v>
      </c>
      <c r="BI3033">
        <f>IFERROR(BH3033/$AU$2980,0)</f>
        <v>0</v>
      </c>
      <c r="BJ3033">
        <f>BH3033*($F$25+($C$16+$C$17+IF($C$13="single",1.5,3)+3)/12)</f>
        <v>0</v>
      </c>
      <c r="BK3033">
        <f>BJ3033-BA3033</f>
        <v>0</v>
      </c>
      <c r="BL3033" cm="1">
        <f t="array" ref="BL3033">IFERROR(IF(BK3033&lt;0,0,BK3033/($AU$2980-INDEX(hd_off,MATCH(BT3033,hd_mark,0),0)/12)),0)</f>
        <v>0</v>
      </c>
      <c r="BM3033">
        <f>MAX($F$25,$BF$2980)/$Q$2996</f>
        <v>0.29920977011494249</v>
      </c>
      <c r="BN3033">
        <f t="shared" si="1876"/>
        <v>1</v>
      </c>
      <c r="BO3033" cm="1">
        <f t="array" ref="BO3033">IFERROR(INDEX(sheath_ecap_asd,MATCH(BS3033,sheath_mark,0),0)*BN3033,0)</f>
        <v>0</v>
      </c>
      <c r="BP3033" cm="1">
        <f t="array" ref="BP3033">IFERROR(INDEX(sheath_wcap_asd,MATCH(BS3033,sheath_mark,0),0)*BN3033,0)</f>
        <v>0</v>
      </c>
      <c r="BQ3033" cm="1">
        <f t="array" ref="BQ3033">IFERROR(INDEX(hd_cap,MATCH(BT3033,hd_mark,0),0),0)</f>
        <v>0</v>
      </c>
      <c r="BS3033" s="19"/>
      <c r="BT3033" s="19"/>
      <c r="BU3033" s="100"/>
    </row>
    <row r="3034" x14ac:dyDescent="0.25">
      <c r="P3034" s="93"/>
      <c r="AR3034" s="100"/>
      <c r="AS3034" s="93"/>
      <c r="BU3034" s="100"/>
    </row>
    <row r="3035" x14ac:dyDescent="0.25">
      <c r="P3035" s="93"/>
      <c r="Q3035" s="110" t="str">
        <f>$Q$2981</f>
        <v>A.08</v>
      </c>
      <c r="R3035" t="str">
        <f>$Q$2965</f>
        <v>L2</v>
      </c>
      <c r="S3035">
        <f>$E$21</f>
        <v>10.6875</v>
      </c>
      <c r="T3035" cm="1">
        <f t="array" ref="T3035">IFERROR(IF(S3035=0,0,(INDEX($C$33:$C$38,MATCH($W$2981,$B$33:$B$38,0),0)*(S3039+$X$2981)+$T$2981*COUNTIF(S3035:S3038,"&gt;0")*$C$32+$V$2981*$C$31)*$R$2981),0)</f>
        <v>0</v>
      </c>
      <c r="U3035">
        <f>IF(S3035=0,0,-(COUNTIF(S3035:S3038,"&gt;0")*$T$2981*$C$32+$V$2981*$C$31)*$H$27*$R$2981)</f>
        <v>0</v>
      </c>
      <c r="V3035">
        <f>IF(S3035=0,0,$V$2981*$H$26*$R$2981)</f>
        <v>0</v>
      </c>
      <c r="W3035">
        <f>(0.6*T3035+0.7*U3035)*$R$2981/2</f>
        <v>0</v>
      </c>
      <c r="X3035">
        <f>(0.6*T3035+0.6*V3035)*$R$2981/2</f>
        <v>0</v>
      </c>
      <c r="Z3035">
        <f>IF(S3035=0,0,$AD$2981*$AP$2965)</f>
        <v>0</v>
      </c>
      <c r="AA3035">
        <f>IFERROR(Z3035/$R$2981,0)</f>
        <v>0</v>
      </c>
      <c r="AB3035">
        <f>Z3035*($F$21+IF($F$21=0,0,($C$14+$C$15+IF($C$13="single",1.5,3)+3)/12))</f>
        <v>0</v>
      </c>
      <c r="AC3035">
        <f>AB3035-W3035</f>
        <v>0</v>
      </c>
      <c r="AD3035" cm="1">
        <f t="array" ref="AD3035">IFERROR(IF(AC3035&lt;0,0,AC3035/($R$2981-INDEX(hd_off,MATCH(AQ3035,hd_mark,0),0)/12)),0)</f>
        <v>0</v>
      </c>
      <c r="AE3035">
        <f>IF(S3035=0,0,$AD$2981*$AM$2965)</f>
        <v>0</v>
      </c>
      <c r="AF3035">
        <f>IFERROR(AE3035/$R$2981,0)</f>
        <v>0</v>
      </c>
      <c r="AG3035">
        <f>AE3035*($F$21+IF($F$21=0,0,($C$14+$C$15+IF($C$13="single",1.5,3)+3)/12))</f>
        <v>0</v>
      </c>
      <c r="AH3035">
        <f>AG3035-X3035</f>
        <v>0</v>
      </c>
      <c r="AI3035" cm="1">
        <f t="array" ref="AI3035">IFERROR(IF(AH3035&lt;0,0,AH3035/($R$2981-INDEX(hd_off,MATCH(AQ3035,hd_mark,0),0)/12)),0)</f>
        <v>0</v>
      </c>
      <c r="AJ3035">
        <f>MAX($F$21,$Y$2981)/$Q$2996</f>
        <v>0.30172413793103448</v>
      </c>
      <c r="AK3035">
        <f>IF(AJ3035=0,0,IF(AJ3035&gt;2,1.25-0.125*AJ3035,1))</f>
        <v>1</v>
      </c>
      <c r="AL3035" cm="1">
        <f t="array" ref="AL3035">IFERROR(INDEX(sheath_ecap_asd,MATCH(AP3035,sheath_mark,0),0)*AK3035,0)</f>
        <v>0</v>
      </c>
      <c r="AM3035" cm="1">
        <f t="array" ref="AM3035">IFERROR(INDEX(sheath_wcap_asd,MATCH(AP3035,sheath_mark,0),0)*AK3035,0)</f>
        <v>0</v>
      </c>
      <c r="AN3035" cm="1">
        <f t="array" ref="AN3035">IFERROR(INDEX(hd_cap,MATCH(AQ3035,hd_mark,0),0),0)</f>
        <v>0</v>
      </c>
      <c r="AP3035" s="19"/>
      <c r="AQ3035" s="19"/>
      <c r="AR3035" s="100"/>
      <c r="AS3035" s="93"/>
      <c r="AT3035" s="110" t="str">
        <f>$AT$2981</f>
        <v>1.08</v>
      </c>
      <c r="AU3035" t="str">
        <f>$Q$2965</f>
        <v>L2</v>
      </c>
      <c r="AV3035">
        <f>$E$21</f>
        <v>10.6875</v>
      </c>
      <c r="AW3035" cm="1">
        <f t="array" ref="AW3035">IFERROR(IF(AV3035=0,0,(INDEX($C$33:$C$38,MATCH($AZ$2981,$B$33:$B$38,0),0)*(AV3039+$BA$2981)+$AW$2981*COUNTIF(AV3035:AV3038,"&gt;0")*$C$32+$AY$2981*$C$31)*$AU$2981),0)</f>
        <v>0</v>
      </c>
      <c r="AX3035">
        <f>IF(AV3035=0,0,-(COUNTIF(AV3035:AV3038,"&gt;0")*$AW$2981*$C$32+$AY$2981*$C$31)*$H$27*$AU$2981)</f>
        <v>0</v>
      </c>
      <c r="AY3035">
        <f>IF(AV3035=0,0,$AY$2981*$H$26*$AU$2981)</f>
        <v>0</v>
      </c>
      <c r="AZ3035">
        <f>(0.6*AW3035+0.7*AX3035)*$AU$2981/2</f>
        <v>0</v>
      </c>
      <c r="BA3035">
        <f>(0.6*AW3035+0.6*AY3035)*$AU$2981/2</f>
        <v>0</v>
      </c>
      <c r="BC3035">
        <f>IF(AV3035=0,0,$BG$2981*$AP$2965)</f>
        <v>0</v>
      </c>
      <c r="BD3035">
        <f>IFERROR(BC3035/$AU$2981,0)</f>
        <v>0</v>
      </c>
      <c r="BE3035">
        <f>BC3035*($F$21+IF($F$21=0,0,($C$14+$C$15+IF($C$13="single",1.5,3)+3)/12))</f>
        <v>0</v>
      </c>
      <c r="BF3035">
        <f>BE3035-AZ3035</f>
        <v>0</v>
      </c>
      <c r="BG3035" cm="1">
        <f t="array" ref="BG3035">IFERROR(IF(BF3035&lt;0,0,BF3035/($AU$2981-INDEX(hd_off,MATCH(BT3035,hd_mark,0),0)/12)),0)</f>
        <v>0</v>
      </c>
      <c r="BH3035">
        <f>IF(AV3035=0,0,$BG$2981*$AM$2965)</f>
        <v>0</v>
      </c>
      <c r="BI3035">
        <f>IFERROR(BH3035/$AU$2981,0)</f>
        <v>0</v>
      </c>
      <c r="BJ3035">
        <f>BH3035*($F$21+IF($F$21=0,0,($C$14+$C$15+IF($C$13="single",1.5,3)+3)/12))</f>
        <v>0</v>
      </c>
      <c r="BK3035">
        <f>BJ3035-BA3035</f>
        <v>0</v>
      </c>
      <c r="BL3035" cm="1">
        <f t="array" ref="BL3035">IFERROR(IF(BK3035&lt;0,0,BK3035/($AU$2981-INDEX(hd_off,MATCH(BT3035,hd_mark,0),0)/12)),0)</f>
        <v>0</v>
      </c>
      <c r="BM3035">
        <f>MAX($F$21,$BB$2981)/$Q$2996</f>
        <v>0.30172413793103448</v>
      </c>
      <c r="BN3035">
        <f>IF(BM3035=0,0,IF(BM3035&gt;2,1.25-0.125*BM3035,1))</f>
        <v>1</v>
      </c>
      <c r="BO3035" cm="1">
        <f t="array" ref="BO3035">IFERROR(INDEX(sheath_ecap_asd,MATCH(BS3035,sheath_mark,0),0)*BN3035,0)</f>
        <v>0</v>
      </c>
      <c r="BP3035" cm="1">
        <f t="array" ref="BP3035">IFERROR(INDEX(sheath_wcap_asd,MATCH(BS3035,sheath_mark,0),0)*BN3035,0)</f>
        <v>0</v>
      </c>
      <c r="BQ3035" cm="1">
        <f t="array" ref="BQ3035">IFERROR(INDEX(hd_cap,MATCH(BT3035,hd_mark,0),0),0)</f>
        <v>0</v>
      </c>
      <c r="BS3035" s="19"/>
      <c r="BT3035" s="19"/>
      <c r="BU3035" s="100"/>
    </row>
    <row r="3036" x14ac:dyDescent="0.25">
      <c r="P3036" s="93"/>
      <c r="Q3036" s="109"/>
      <c r="R3036" t="str">
        <f>$Q$2966</f>
        <v>L3</v>
      </c>
      <c r="S3036">
        <f>$E$22</f>
        <v>21.375</v>
      </c>
      <c r="T3036" cm="1">
        <f t="array" ref="T3036">IFERROR(IF(S3036=0,0,(INDEX($C$33:$C$38,MATCH($W$2981,$B$33:$B$38,0),0)*(S3039+$X$2981)+$T$2981*COUNTIF(S3036:S3038,"&gt;0")*$C$32+$V$2981*$C$31)*$R$2981),0)</f>
        <v>0</v>
      </c>
      <c r="U3036">
        <f>IF(S3036=0,0,-(COUNTIF(S3036:S3038,"&gt;0")*$T$2981*$C$32+$V$2981*$C$31)*$H$27*$R$2981)</f>
        <v>0</v>
      </c>
      <c r="V3036">
        <f>IF(S3036=0,0,$V$2981*$H$26*$R$2981)</f>
        <v>0</v>
      </c>
      <c r="W3036">
        <f>(0.6*T3036+0.7*U3036)*$R$2981/2</f>
        <v>0</v>
      </c>
      <c r="X3036">
        <f>T3036*$R$2981/2</f>
        <v>0</v>
      </c>
      <c r="Z3036">
        <f>IF(S3036=0,0,$AD$2981*$AP$2966)</f>
        <v>0</v>
      </c>
      <c r="AA3036">
        <f>IFERROR(Z3036/$R$2981,0)</f>
        <v>0</v>
      </c>
      <c r="AB3036">
        <f>Z3036*($F$22+IF($F$22=0,0,($C$14+$C$15+IF($C$13="single",1.5,3)+3)/12))</f>
        <v>0</v>
      </c>
      <c r="AC3036">
        <f>AB3036-W3036</f>
        <v>0</v>
      </c>
      <c r="AD3036" cm="1">
        <f t="array" ref="AD3036">IFERROR(IF(AC3036&lt;0,0,AC3036/($R$2981-INDEX(hd_off,MATCH(AQ3036,hd_mark,0),0)/12)),0)</f>
        <v>0</v>
      </c>
      <c r="AE3036">
        <f>IF(S3036=0,0,$AD$2981*$AM$2966)</f>
        <v>0</v>
      </c>
      <c r="AF3036">
        <f>IFERROR(AE3036/$R$2981,0)</f>
        <v>0</v>
      </c>
      <c r="AG3036">
        <f>AE3036*($F$22+IF($F$22=0,0,($C$14+$C$15+IF($C$13="single",1.5,3)+3)/12))</f>
        <v>0</v>
      </c>
      <c r="AH3036">
        <f>AG3036-X3036</f>
        <v>0</v>
      </c>
      <c r="AI3036" cm="1">
        <f t="array" ref="AI3036">IFERROR(IF(AH3036&lt;0,0,AH3036/($R$2981-INDEX(hd_off,MATCH(AQ3036,hd_mark,0),0)/12)),0)</f>
        <v>0</v>
      </c>
      <c r="AJ3036">
        <f>MAX($F$22,$Z$2981)/$Q$2996</f>
        <v>0.30172413793103448</v>
      </c>
      <c r="AK3036">
        <f t="shared" ref="AK3036:AK3039" si="1877">IF(AJ3036=0,0,IF(AJ3036&gt;2,1.25-0.125*AJ3036,1))</f>
        <v>1</v>
      </c>
      <c r="AL3036" cm="1">
        <f t="array" ref="AL3036">IFERROR(INDEX(sheath_ecap_asd,MATCH(AP3036,sheath_mark,0),0)*AK3036,0)</f>
        <v>0</v>
      </c>
      <c r="AM3036" cm="1">
        <f t="array" ref="AM3036">IFERROR(INDEX(sheath_wcap_asd,MATCH(AP3036,sheath_mark,0),0)*AK3036,0)</f>
        <v>0</v>
      </c>
      <c r="AN3036" cm="1">
        <f t="array" ref="AN3036">IFERROR(INDEX(hd_cap,MATCH(AQ3036,hd_mark,0),0),0)</f>
        <v>0</v>
      </c>
      <c r="AP3036" s="19"/>
      <c r="AQ3036" s="19"/>
      <c r="AR3036" s="100"/>
      <c r="AS3036" s="93"/>
      <c r="AT3036" s="109"/>
      <c r="AU3036" t="str">
        <f>$Q$2966</f>
        <v>L3</v>
      </c>
      <c r="AV3036">
        <f>$E$22</f>
        <v>21.375</v>
      </c>
      <c r="AW3036" cm="1">
        <f t="array" ref="AW3036">IFERROR(IF(AV3036=0,0,(INDEX($C$33:$C$38,MATCH($AZ$2981,$B$33:$B$38,0),0)*(AV3039+$BA$2981)+$AW$2981*COUNTIF(AV3036:AV3038,"&gt;0")*$C$32+$AY$2981*$C$31)*$AU$2981),0)</f>
        <v>0</v>
      </c>
      <c r="AX3036">
        <f>IF(AV3036=0,0,-(COUNTIF(AV3036:AV3038,"&gt;0")*$AW$2981*$C$32+$AY$2981*$C$31)*$H$27*$AU$2981)</f>
        <v>0</v>
      </c>
      <c r="AY3036">
        <f>IF(AV3036=0,0,$AY$2981*$H$26*$AU$2981)</f>
        <v>0</v>
      </c>
      <c r="AZ3036">
        <f>(0.6*AW3036+0.7*AX3036)*$AU$2981/2</f>
        <v>0</v>
      </c>
      <c r="BA3036">
        <f>AW3036*$AU$2981/2</f>
        <v>0</v>
      </c>
      <c r="BC3036">
        <f>IF(AV3036=0,0,$BG$2981*$AP$2966)</f>
        <v>0</v>
      </c>
      <c r="BD3036">
        <f>IFERROR(BC3036/$AU$2981,0)</f>
        <v>0</v>
      </c>
      <c r="BE3036">
        <f>BC3036*($F$22+IF($F$22=0,0,($C$14+$C$15+IF($C$13="single",1.5,3)+3)/12))</f>
        <v>0</v>
      </c>
      <c r="BF3036">
        <f>BE3036-AZ3036</f>
        <v>0</v>
      </c>
      <c r="BG3036" cm="1">
        <f t="array" ref="BG3036">IFERROR(IF(BF3036&lt;0,0,BF3036/($AU$2981-INDEX(hd_off,MATCH(BT3036,hd_mark,0),0)/12)),0)</f>
        <v>0</v>
      </c>
      <c r="BH3036">
        <f>IF(AV3036=0,0,$BG$2981*$AM$2966)</f>
        <v>0</v>
      </c>
      <c r="BI3036">
        <f>IFERROR(BH3036/$AU$2981,0)</f>
        <v>0</v>
      </c>
      <c r="BJ3036">
        <f>BH3036*($F$22+IF($F$22=0,0,($C$14+$C$15+IF($C$13="single",1.5,3)+3)/12))</f>
        <v>0</v>
      </c>
      <c r="BK3036">
        <f>BJ3036-BA3036</f>
        <v>0</v>
      </c>
      <c r="BL3036" cm="1">
        <f t="array" ref="BL3036">IFERROR(IF(BK3036&lt;0,0,BK3036/($AU$2981-INDEX(hd_off,MATCH(BT3036,hd_mark,0),0)/12)),0)</f>
        <v>0</v>
      </c>
      <c r="BM3036">
        <f>MAX($F$22,$BC$2981)/$Q$2996</f>
        <v>0.30172413793103448</v>
      </c>
      <c r="BN3036">
        <f t="shared" ref="BN3036:BN3039" si="1878">IF(BM3036=0,0,IF(BM3036&gt;2,1.25-0.125*BM3036,1))</f>
        <v>1</v>
      </c>
      <c r="BO3036" cm="1">
        <f t="array" ref="BO3036">IFERROR(INDEX(sheath_ecap_asd,MATCH(BS3036,sheath_mark,0),0)*BN3036,0)</f>
        <v>0</v>
      </c>
      <c r="BP3036" cm="1">
        <f t="array" ref="BP3036">IFERROR(INDEX(sheath_wcap_asd,MATCH(BS3036,sheath_mark,0),0)*BN3036,0)</f>
        <v>0</v>
      </c>
      <c r="BQ3036" cm="1">
        <f t="array" ref="BQ3036">IFERROR(INDEX(hd_cap,MATCH(BT3036,hd_mark,0),0),0)</f>
        <v>0</v>
      </c>
      <c r="BS3036" s="19"/>
      <c r="BT3036" s="19"/>
      <c r="BU3036" s="100"/>
    </row>
    <row r="3037" x14ac:dyDescent="0.25">
      <c r="P3037" s="93"/>
      <c r="Q3037" s="109" t="s">
        <v>491</v>
      </c>
      <c r="R3037" t="str">
        <f>$Q$2967</f>
        <v>L4</v>
      </c>
      <c r="S3037">
        <f>$E$23</f>
        <v>0</v>
      </c>
      <c r="T3037" cm="1">
        <f t="array" ref="T3037">IFERROR(IF(S3037=0,0,(INDEX($C$33:$C$38,MATCH($W$2981,$B$33:$B$38,0),0)*(S3039+$X$2981)+$T$2981*COUNTIF(S3037:S3038,"&gt;0")*$C$32+$V$2981*$C$31)*$R$2981),0)</f>
        <v>0</v>
      </c>
      <c r="U3037">
        <f>IF(S3037=0,0,-(COUNTIF(S3037:S3038,"&gt;0")*$T$2981*$C$32+$V$2981*$C$31)*$H$27*$R$2981)</f>
        <v>0</v>
      </c>
      <c r="V3037">
        <f>IF(S3037=0,0,$V$2981*$H$26*$R$2981)</f>
        <v>0</v>
      </c>
      <c r="W3037">
        <f>(0.6*T3037+0.7*U3037)*$R$2981/2</f>
        <v>0</v>
      </c>
      <c r="X3037">
        <f>T3037*$R$2981/2</f>
        <v>0</v>
      </c>
      <c r="Z3037">
        <f>IF(S3037=0,0,$AD$2981*$AP$2967)</f>
        <v>0</v>
      </c>
      <c r="AA3037">
        <f>IFERROR(Z3037/$R$2981,0)</f>
        <v>0</v>
      </c>
      <c r="AB3037">
        <f>Z3037*($F$23+IF($F$23=0,0,($C$14+$C$15+IF($C$13="single",1.5,3)+3)/12))</f>
        <v>0</v>
      </c>
      <c r="AC3037">
        <f>AB3037-W3037</f>
        <v>0</v>
      </c>
      <c r="AD3037" cm="1">
        <f t="array" ref="AD3037">IFERROR(IF(AC3037&lt;0,0,AC3037/($R$2981-INDEX(hd_off,MATCH(AQ3037,hd_mark,0),0)/12)),0)</f>
        <v>0</v>
      </c>
      <c r="AE3037">
        <f>IF(S3037=0,0,$AD$2981*$AM$2967)</f>
        <v>0</v>
      </c>
      <c r="AF3037">
        <f>IFERROR(AE3037/$R$2981,0)</f>
        <v>0</v>
      </c>
      <c r="AG3037">
        <f>AE3037*($F$23+IF($F$23=0,0,($C$14+$C$15+IF($C$13="single",1.5,3)+3)/12))</f>
        <v>0</v>
      </c>
      <c r="AH3037">
        <f>AG3037-X3037</f>
        <v>0</v>
      </c>
      <c r="AI3037" cm="1">
        <f t="array" ref="AI3037">IFERROR(IF(AH3037&lt;0,0,AH3037/($R$2981-INDEX(hd_off,MATCH(AQ3037,hd_mark,0),0)/12)),0)</f>
        <v>0</v>
      </c>
      <c r="AJ3037">
        <f>MAX($F$23,$AA$2981)/$Q$2996</f>
        <v>0</v>
      </c>
      <c r="AK3037">
        <f t="shared" si="1877"/>
        <v>0</v>
      </c>
      <c r="AL3037" cm="1">
        <f t="array" ref="AL3037">IFERROR(INDEX(sheath_ecap_asd,MATCH(AP3037,sheath_mark,0),0)*AK3037,0)</f>
        <v>0</v>
      </c>
      <c r="AM3037" cm="1">
        <f t="array" ref="AM3037">IFERROR(INDEX(sheath_wcap_asd,MATCH(AP3037,sheath_mark,0),0)*AK3037,0)</f>
        <v>0</v>
      </c>
      <c r="AN3037" cm="1">
        <f t="array" ref="AN3037">IFERROR(INDEX(hd_cap,MATCH(AQ3037,hd_mark,0),0),0)</f>
        <v>0</v>
      </c>
      <c r="AP3037" s="19"/>
      <c r="AQ3037" s="19"/>
      <c r="AR3037" s="100"/>
      <c r="AS3037" s="93"/>
      <c r="AT3037" s="109" t="s">
        <v>491</v>
      </c>
      <c r="AU3037" t="str">
        <f>$Q$2967</f>
        <v>L4</v>
      </c>
      <c r="AV3037">
        <f>$E$23</f>
        <v>0</v>
      </c>
      <c r="AW3037" cm="1">
        <f t="array" ref="AW3037">IFERROR(IF(AV3037=0,0,(INDEX($C$33:$C$38,MATCH($AZ$2981,$B$33:$B$38,0),0)*(AV3039+$BA$2981)+$AW$2981*COUNTIF(AV3037:AV3038,"&gt;0")*$C$32+$AY$2981*$C$31)*$AU$2981),0)</f>
        <v>0</v>
      </c>
      <c r="AX3037">
        <f>IF(AV3037=0,0,-(COUNTIF(AV3037:AV3038,"&gt;0")*$AW$2981*$C$32+$AY$2981*$C$31)*$H$27*$AU$2981)</f>
        <v>0</v>
      </c>
      <c r="AY3037">
        <f>IF(AV3037=0,0,$AY$2981*$H$26*$AU$2981)</f>
        <v>0</v>
      </c>
      <c r="AZ3037">
        <f>(0.6*AW3037+0.7*AX3037)*$AU$2981/2</f>
        <v>0</v>
      </c>
      <c r="BA3037">
        <f>AW3037*$AU$2981/2</f>
        <v>0</v>
      </c>
      <c r="BC3037">
        <f>IF(AV3037=0,0,$BG$2981*$AP$2967)</f>
        <v>0</v>
      </c>
      <c r="BD3037">
        <f>IFERROR(BC3037/$AU$2981,0)</f>
        <v>0</v>
      </c>
      <c r="BE3037">
        <f>BC3037*($F$23+IF($F$23=0,0,($C$14+$C$15+IF($C$13="single",1.5,3)+3)/12))</f>
        <v>0</v>
      </c>
      <c r="BF3037">
        <f>BE3037-AZ3037</f>
        <v>0</v>
      </c>
      <c r="BG3037" cm="1">
        <f t="array" ref="BG3037">IFERROR(IF(BF3037&lt;0,0,BF3037/($AU$2981-INDEX(hd_off,MATCH(BT3037,hd_mark,0),0)/12)),0)</f>
        <v>0</v>
      </c>
      <c r="BH3037">
        <f>IF(AV3037=0,0,$BG$2981*$AM$2967)</f>
        <v>0</v>
      </c>
      <c r="BI3037">
        <f>IFERROR(BH3037/$AU$2981,0)</f>
        <v>0</v>
      </c>
      <c r="BJ3037">
        <f>BH3037*($F$23+IF($F$23=0,0,($C$14+$C$15+IF($C$13="single",1.5,3)+3)/12))</f>
        <v>0</v>
      </c>
      <c r="BK3037">
        <f>BJ3037-BA3037</f>
        <v>0</v>
      </c>
      <c r="BL3037" cm="1">
        <f t="array" ref="BL3037">IFERROR(IF(BK3037&lt;0,0,BK3037/($AU$2981-INDEX(hd_off,MATCH(BT3037,hd_mark,0),0)/12)),0)</f>
        <v>0</v>
      </c>
      <c r="BM3037">
        <f>MAX($F$23,$BD$2981)/$Q$2996</f>
        <v>0</v>
      </c>
      <c r="BN3037">
        <f t="shared" si="1878"/>
        <v>0</v>
      </c>
      <c r="BO3037" cm="1">
        <f t="array" ref="BO3037">IFERROR(INDEX(sheath_ecap_asd,MATCH(BS3037,sheath_mark,0),0)*BN3037,0)</f>
        <v>0</v>
      </c>
      <c r="BP3037" cm="1">
        <f t="array" ref="BP3037">IFERROR(INDEX(sheath_wcap_asd,MATCH(BS3037,sheath_mark,0),0)*BN3037,0)</f>
        <v>0</v>
      </c>
      <c r="BQ3037" cm="1">
        <f t="array" ref="BQ3037">IFERROR(INDEX(hd_cap,MATCH(BT3037,hd_mark,0),0),0)</f>
        <v>0</v>
      </c>
      <c r="BS3037" s="19"/>
      <c r="BT3037" s="19"/>
      <c r="BU3037" s="100"/>
    </row>
    <row r="3038" x14ac:dyDescent="0.25">
      <c r="P3038" s="93"/>
      <c r="Q3038" s="111">
        <f>$R$2981</f>
        <v>0</v>
      </c>
      <c r="R3038" t="str">
        <f>$Q$2968</f>
        <v>L5</v>
      </c>
      <c r="S3038">
        <f>$E$24</f>
        <v>0</v>
      </c>
      <c r="T3038" cm="1">
        <f t="array" ref="T3038">IFERROR(IF(S3038=0,0,(INDEX($C$33:$C$38,MATCH($W$2981,$B$33:$B$38,0),0)*(S3039+$X$2981)+$T$2981*COUNTIF(S3038:S3038,"&gt;0")*$C$32+$V$2981*$C$31)*$R$2981),0)</f>
        <v>0</v>
      </c>
      <c r="U3038">
        <f>IF(S3038=0,0,-(COUNTIF(S3038:S3038,"&gt;0")*$T$2981*$C$32+$V$2981*$C$31)*$H$27*$R$2981)</f>
        <v>0</v>
      </c>
      <c r="V3038">
        <f>IF(S3038=0,0,$V$2981*$H$26*$R$2981)</f>
        <v>0</v>
      </c>
      <c r="W3038">
        <f>(0.6*T3038+0.7*U3038)*$R$2981/2</f>
        <v>0</v>
      </c>
      <c r="X3038">
        <f>T3038*$R$2981/2</f>
        <v>0</v>
      </c>
      <c r="Z3038">
        <f>IF(S3038=0,0,$AD$2981*$AP$2968)</f>
        <v>0</v>
      </c>
      <c r="AA3038">
        <f>IFERROR(Z3038/$R$2981,0)</f>
        <v>0</v>
      </c>
      <c r="AB3038">
        <f>Z3038*($F$24+IF($F$24=0,0,($C$14+$C$15+IF($C$13="single",1.5,3)+3)/12))</f>
        <v>0</v>
      </c>
      <c r="AC3038">
        <f>AB3038-W3038</f>
        <v>0</v>
      </c>
      <c r="AD3038" cm="1">
        <f t="array" ref="AD3038">IFERROR(IF(AC3038&lt;0,0,AC3038/($R$2981-INDEX(hd_off,MATCH(AQ3038,hd_mark,0),0)/12)),0)</f>
        <v>0</v>
      </c>
      <c r="AE3038">
        <f>IF(S3038=0,0,$AD$2981*$AM$2968)</f>
        <v>0</v>
      </c>
      <c r="AF3038">
        <f>IFERROR(AE3038/$R$2981,0)</f>
        <v>0</v>
      </c>
      <c r="AG3038">
        <f>AE3038*($F$24+IF($F$24=0,0,($C$14+$C$15+IF($C$13="single",1.5,3)+3)/12))</f>
        <v>0</v>
      </c>
      <c r="AH3038">
        <f>AG3038-X3038</f>
        <v>0</v>
      </c>
      <c r="AI3038" cm="1">
        <f t="array" ref="AI3038">IFERROR(IF(AH3038&lt;0,0,AH3038/($R$2981-INDEX(hd_off,MATCH(AQ3038,hd_mark,0),0)/12)),0)</f>
        <v>0</v>
      </c>
      <c r="AJ3038">
        <f>MAX($F$24,$AB$2981)/$Q$2996</f>
        <v>0</v>
      </c>
      <c r="AK3038">
        <f t="shared" si="1877"/>
        <v>0</v>
      </c>
      <c r="AL3038" cm="1">
        <f t="array" ref="AL3038">IFERROR(INDEX(sheath_ecap_asd,MATCH(AP3038,sheath_mark,0),0)*AK3038,0)</f>
        <v>0</v>
      </c>
      <c r="AM3038" cm="1">
        <f t="array" ref="AM3038">IFERROR(INDEX(sheath_wcap_asd,MATCH(AP3038,sheath_mark,0),0)*AK3038,0)</f>
        <v>0</v>
      </c>
      <c r="AN3038" cm="1">
        <f t="array" ref="AN3038">IFERROR(INDEX(hd_cap,MATCH(AQ3038,hd_mark,0),0),0)</f>
        <v>0</v>
      </c>
      <c r="AP3038" s="19"/>
      <c r="AQ3038" s="19"/>
      <c r="AR3038" s="100"/>
      <c r="AS3038" s="93"/>
      <c r="AT3038" s="111">
        <f>$R$2981</f>
        <v>0</v>
      </c>
      <c r="AU3038" t="str">
        <f>$Q$2968</f>
        <v>L5</v>
      </c>
      <c r="AV3038">
        <f>$E$24</f>
        <v>0</v>
      </c>
      <c r="AW3038" cm="1">
        <f t="array" ref="AW3038">IFERROR(IF(AV3038=0,0,(INDEX($C$33:$C$38,MATCH($AZ$2981,$B$33:$B$38,0),0)*(AV3039+$BA$2981)+$AW$2981*COUNTIF(AV3038:AV3038,"&gt;0")*$C$32+$AY$2981*$C$31)*$AU$2981),0)</f>
        <v>0</v>
      </c>
      <c r="AX3038">
        <f>IF(AV3038=0,0,-(COUNTIF(AV3038:AV3038,"&gt;0")*$AW$2981*$C$32+$AY$2981*$C$31)*$H$27*$AU$2981)</f>
        <v>0</v>
      </c>
      <c r="AY3038">
        <f>IF(AV3038=0,0,$AY$2981*$H$26*$AU$2981)</f>
        <v>0</v>
      </c>
      <c r="AZ3038">
        <f>(0.6*AW3038+0.7*AX3038)*$AU$2981/2</f>
        <v>0</v>
      </c>
      <c r="BA3038">
        <f>AW3038*$AU$2981/2</f>
        <v>0</v>
      </c>
      <c r="BC3038">
        <f>IF(AV3038=0,0,$BG$2981*$AP$2968)</f>
        <v>0</v>
      </c>
      <c r="BD3038">
        <f>IFERROR(BC3038/$AU$2981,0)</f>
        <v>0</v>
      </c>
      <c r="BE3038">
        <f>BC3038*($F$24+IF($F$24=0,0,($C$14+$C$15+IF($C$13="single",1.5,3)+3)/12))</f>
        <v>0</v>
      </c>
      <c r="BF3038">
        <f>BE3038-AZ3038</f>
        <v>0</v>
      </c>
      <c r="BG3038" cm="1">
        <f t="array" ref="BG3038">IFERROR(IF(BF3038&lt;0,0,BF3038/($AU$2981-INDEX(hd_off,MATCH(BT3038,hd_mark,0),0)/12)),0)</f>
        <v>0</v>
      </c>
      <c r="BH3038">
        <f>IF(AV3038=0,0,$BG$2981*$AM$2968)</f>
        <v>0</v>
      </c>
      <c r="BI3038">
        <f>IFERROR(BH3038/$AU$2981,0)</f>
        <v>0</v>
      </c>
      <c r="BJ3038">
        <f>BH3038*($F$24+IF($F$24=0,0,($C$14+$C$15+IF($C$13="single",1.5,3)+3)/12))</f>
        <v>0</v>
      </c>
      <c r="BK3038">
        <f>BJ3038-BA3038</f>
        <v>0</v>
      </c>
      <c r="BL3038" cm="1">
        <f t="array" ref="BL3038">IFERROR(IF(BK3038&lt;0,0,BK3038/($AU$2981-INDEX(hd_off,MATCH(BT3038,hd_mark,0),0)/12)),0)</f>
        <v>0</v>
      </c>
      <c r="BM3038">
        <f>MAX($F$24,$BE$2981)/$Q$2996</f>
        <v>0</v>
      </c>
      <c r="BN3038">
        <f t="shared" si="1878"/>
        <v>0</v>
      </c>
      <c r="BO3038" cm="1">
        <f t="array" ref="BO3038">IFERROR(INDEX(sheath_ecap_asd,MATCH(BS3038,sheath_mark,0),0)*BN3038,0)</f>
        <v>0</v>
      </c>
      <c r="BP3038" cm="1">
        <f t="array" ref="BP3038">IFERROR(INDEX(sheath_wcap_asd,MATCH(BS3038,sheath_mark,0),0)*BN3038,0)</f>
        <v>0</v>
      </c>
      <c r="BQ3038" cm="1">
        <f t="array" ref="BQ3038">IFERROR(INDEX(hd_cap,MATCH(BT3038,hd_mark,0),0),0)</f>
        <v>0</v>
      </c>
      <c r="BS3038" s="19"/>
      <c r="BT3038" s="19"/>
      <c r="BU3038" s="100"/>
    </row>
    <row r="3039" x14ac:dyDescent="0.25">
      <c r="P3039" s="93"/>
      <c r="Q3039" s="109"/>
      <c r="R3039" t="str">
        <f>$Q$2969</f>
        <v>Roof</v>
      </c>
      <c r="S3039">
        <f>$E$25</f>
        <v>33.171875</v>
      </c>
      <c r="T3039" cm="1">
        <f t="array" ref="T3039">IFERROR(IF(S3039=0,0,(INDEX($C$33:$C$38,MATCH($W$2981,$B$33:$B$38,0),0)*(S3039+$X$2981)+$V$2981*$C$31)*$R$2981),0)</f>
        <v>0</v>
      </c>
      <c r="U3039">
        <f>IF(S3039=0,0,-$V$2981*$C$31*$H$27*$R$2981)</f>
        <v>0</v>
      </c>
      <c r="V3039">
        <f>IF(S3039=0,0,$V$2981*$H$26*$R$2981)</f>
        <v>0</v>
      </c>
      <c r="W3039">
        <f>(0.6*T3039+0.7*U3039)*$R$2981/2</f>
        <v>0</v>
      </c>
      <c r="X3039">
        <f>T3039*$R$2981/2</f>
        <v>0</v>
      </c>
      <c r="Z3039">
        <f>IF(S3039=0,0,$AD$2981*$AP$2969)</f>
        <v>0</v>
      </c>
      <c r="AA3039">
        <f>IFERROR(Z3039/$R$2981,0)</f>
        <v>0</v>
      </c>
      <c r="AB3039">
        <f>Z3039*($F$25+($C$16+$C$17+IF($C$13="single",1.5,3)+3)/12)</f>
        <v>0</v>
      </c>
      <c r="AC3039">
        <f>AB3039-W3039</f>
        <v>0</v>
      </c>
      <c r="AD3039" cm="1">
        <f t="array" ref="AD3039">IFERROR(IF(AC3039&lt;0,0,AC3039/($R$2981-INDEX(hd_off,MATCH(AQ3039,hd_mark,0),0)/12)),0)</f>
        <v>0</v>
      </c>
      <c r="AE3039">
        <f>IF(S3039=0,0,$AD$2981*$AM$2969)</f>
        <v>0</v>
      </c>
      <c r="AF3039">
        <f>IFERROR(AE3039/$R$2981,0)</f>
        <v>0</v>
      </c>
      <c r="AG3039">
        <f>AE3039*($F$25+($C$16+$C$17+IF($C$13="single",1.5,3)+3)/12)</f>
        <v>0</v>
      </c>
      <c r="AH3039">
        <f>AG3039-X3039</f>
        <v>0</v>
      </c>
      <c r="AI3039" cm="1">
        <f t="array" ref="AI3039">IFERROR(IF(AH3039&lt;0,0,AH3039/($R$2981-INDEX(hd_off,MATCH(AQ3039,hd_mark,0),0)/12)),0)</f>
        <v>0</v>
      </c>
      <c r="AJ3039">
        <f>MAX($F$25,$AC$2981)/$Q$2996</f>
        <v>0.29920977011494249</v>
      </c>
      <c r="AK3039">
        <f t="shared" si="1877"/>
        <v>1</v>
      </c>
      <c r="AL3039" cm="1">
        <f t="array" ref="AL3039">IFERROR(INDEX(sheath_ecap_asd,MATCH(AP3039,sheath_mark,0),0)*AK3039,0)</f>
        <v>0</v>
      </c>
      <c r="AM3039" cm="1">
        <f t="array" ref="AM3039">IFERROR(INDEX(sheath_wcap_asd,MATCH(AP3039,sheath_mark,0),0)*AK3039,0)</f>
        <v>0</v>
      </c>
      <c r="AN3039" cm="1">
        <f t="array" ref="AN3039">IFERROR(INDEX(hd_cap,MATCH(AQ3039,hd_mark,0),0),0)</f>
        <v>0</v>
      </c>
      <c r="AP3039" s="19"/>
      <c r="AQ3039" s="19"/>
      <c r="AR3039" s="100"/>
      <c r="AS3039" s="93"/>
      <c r="AT3039" s="109"/>
      <c r="AU3039" t="str">
        <f>$Q$2969</f>
        <v>Roof</v>
      </c>
      <c r="AV3039">
        <f>$E$25</f>
        <v>33.171875</v>
      </c>
      <c r="AW3039" cm="1">
        <f t="array" ref="AW3039">IFERROR(IF(AV3039=0,0,(INDEX($C$33:$C$38,MATCH($AZ$2981,$B$33:$B$38,0),0)*(AV3039+$BA$2981)+$AY$2981*$C$31)*$AU$2981),0)</f>
        <v>0</v>
      </c>
      <c r="AX3039">
        <f>IF(AV3039=0,0,-$AY$2981*$C$31*$H$27*$AU$2981)</f>
        <v>0</v>
      </c>
      <c r="AY3039">
        <f>IF(AV3039=0,0,$AY$2981*$H$26*$AU$2981)</f>
        <v>0</v>
      </c>
      <c r="AZ3039">
        <f>(0.6*AW3039+0.7*AX3039)*$AU$2981/2</f>
        <v>0</v>
      </c>
      <c r="BA3039">
        <f>AW3039*$AU$2981/2</f>
        <v>0</v>
      </c>
      <c r="BC3039">
        <f>IF(AV3039=0,0,$BG$2981*$AP$2969)</f>
        <v>0</v>
      </c>
      <c r="BD3039">
        <f>IFERROR(BC3039/$AU$2981,0)</f>
        <v>0</v>
      </c>
      <c r="BE3039">
        <f>BC3039*($F$25+($C$16+$C$17+IF($C$13="single",1.5,3)+3)/12)</f>
        <v>0</v>
      </c>
      <c r="BF3039">
        <f>BE3039-AZ3039</f>
        <v>0</v>
      </c>
      <c r="BG3039" cm="1">
        <f t="array" ref="BG3039">IFERROR(IF(BF3039&lt;0,0,BF3039/($AU$2981-INDEX(hd_off,MATCH(BT3039,hd_mark,0),0)/12)),0)</f>
        <v>0</v>
      </c>
      <c r="BH3039">
        <f>IF(AV3039=0,0,$BG$2981*$AM$2969)</f>
        <v>0</v>
      </c>
      <c r="BI3039">
        <f>IFERROR(BH3039/$AU$2981,0)</f>
        <v>0</v>
      </c>
      <c r="BJ3039">
        <f>BH3039*($F$25+($C$16+$C$17+IF($C$13="single",1.5,3)+3)/12)</f>
        <v>0</v>
      </c>
      <c r="BK3039">
        <f>BJ3039-BA3039</f>
        <v>0</v>
      </c>
      <c r="BL3039" cm="1">
        <f t="array" ref="BL3039">IFERROR(IF(BK3039&lt;0,0,BK3039/($AU$2981-INDEX(hd_off,MATCH(BT3039,hd_mark,0),0)/12)),0)</f>
        <v>0</v>
      </c>
      <c r="BM3039">
        <f>MAX($F$25,$BF$2981)/$Q$2996</f>
        <v>0.29920977011494249</v>
      </c>
      <c r="BN3039">
        <f t="shared" si="1878"/>
        <v>1</v>
      </c>
      <c r="BO3039" cm="1">
        <f t="array" ref="BO3039">IFERROR(INDEX(sheath_ecap_asd,MATCH(BS3039,sheath_mark,0),0)*BN3039,0)</f>
        <v>0</v>
      </c>
      <c r="BP3039" cm="1">
        <f t="array" ref="BP3039">IFERROR(INDEX(sheath_wcap_asd,MATCH(BS3039,sheath_mark,0),0)*BN3039,0)</f>
        <v>0</v>
      </c>
      <c r="BQ3039" cm="1">
        <f t="array" ref="BQ3039">IFERROR(INDEX(hd_cap,MATCH(BT3039,hd_mark,0),0),0)</f>
        <v>0</v>
      </c>
      <c r="BS3039" s="19"/>
      <c r="BT3039" s="19"/>
      <c r="BU3039" s="100"/>
    </row>
    <row r="3040" x14ac:dyDescent="0.25">
      <c r="P3040" s="93"/>
      <c r="AR3040" s="100"/>
      <c r="AS3040" s="93"/>
      <c r="BU3040" s="100"/>
    </row>
    <row r="3041" x14ac:dyDescent="0.25">
      <c r="P3041" s="93"/>
      <c r="Q3041" s="110" t="str">
        <f>$Q$2982</f>
        <v>A.09</v>
      </c>
      <c r="R3041" t="str">
        <f>$Q$2965</f>
        <v>L2</v>
      </c>
      <c r="S3041">
        <f>$E$21</f>
        <v>10.6875</v>
      </c>
      <c r="T3041" cm="1">
        <f t="array" ref="T3041">IFERROR(IF(S3041=0,0,(INDEX($C$33:$C$38,MATCH($W$2982,$B$33:$B$38,0),0)*(S3045+$X$2982)+$T$2982*COUNTIF(S3041:S3044,"&gt;0")*$C$32+$V$2982*$C$31)*$R$2982),0)</f>
        <v>0</v>
      </c>
      <c r="U3041">
        <f>IF(S3041=0,0,-(COUNTIF(S3041:S3044,"&gt;0")*$T$2982*$C$32+$V$2982*$C$31)*$H$27*$R$2982)</f>
        <v>0</v>
      </c>
      <c r="V3041">
        <f>IF(S3041=0,0,$V$2982*$H$26*$R$2982)</f>
        <v>0</v>
      </c>
      <c r="W3041">
        <f>(0.6*T3041+0.7*U3041)*$R$2982/2</f>
        <v>0</v>
      </c>
      <c r="X3041">
        <f>(0.6*T3041+0.6*V3041)*$R$2982/2</f>
        <v>0</v>
      </c>
      <c r="Z3041">
        <f>IF(S3041=0,0,$AD$2982*$AP$2965)</f>
        <v>0</v>
      </c>
      <c r="AA3041">
        <f>IFERROR(Z3041/$R$2982,0)</f>
        <v>0</v>
      </c>
      <c r="AB3041">
        <f>Z3041*($F$21+IF($F$21=0,0,($C$14+$C$15+IF($C$13="single",1.5,3)+3)/12))</f>
        <v>0</v>
      </c>
      <c r="AC3041">
        <f>AB3041-W3041</f>
        <v>0</v>
      </c>
      <c r="AD3041" cm="1">
        <f t="array" ref="AD3041">IFERROR(IF(AC3041&lt;0,0,AC3041/($R$2982-INDEX(hd_off,MATCH(AQ3041,hd_mark,0),0)/12)),0)</f>
        <v>0</v>
      </c>
      <c r="AE3041">
        <f>IF(S3041=0,0,$AD$2982*$AM$2965)</f>
        <v>0</v>
      </c>
      <c r="AF3041">
        <f>IFERROR(AE3041/$R$2982,0)</f>
        <v>0</v>
      </c>
      <c r="AG3041">
        <f>AE3041*($F$21+IF($F$21=0,0,($C$14+$C$15+IF($C$13="single",1.5,3)+3)/12))</f>
        <v>0</v>
      </c>
      <c r="AH3041">
        <f>AG3041-X3041</f>
        <v>0</v>
      </c>
      <c r="AI3041" cm="1">
        <f t="array" ref="AI3041">IFERROR(IF(AH3041&lt;0,0,AH3041/($R$2982-INDEX(hd_off,MATCH(AQ3041,hd_mark,0),0)/12)),0)</f>
        <v>0</v>
      </c>
      <c r="AJ3041">
        <f>MAX($F$21,$Y$2982)/$Q$2996</f>
        <v>0.30172413793103448</v>
      </c>
      <c r="AK3041">
        <f>IF(AJ3041=0,0,IF(AJ3041&gt;2,1.25-0.125*AJ3041,1))</f>
        <v>1</v>
      </c>
      <c r="AL3041" cm="1">
        <f t="array" ref="AL3041">IFERROR(INDEX(sheath_ecap_asd,MATCH(AP3041,sheath_mark,0),0)*AK3041,0)</f>
        <v>0</v>
      </c>
      <c r="AM3041" cm="1">
        <f t="array" ref="AM3041">IFERROR(INDEX(sheath_wcap_asd,MATCH(AP3041,sheath_mark,0),0)*AK3041,0)</f>
        <v>0</v>
      </c>
      <c r="AN3041" cm="1">
        <f t="array" ref="AN3041">IFERROR(INDEX(hd_cap,MATCH(AQ3041,hd_mark,0),0),0)</f>
        <v>0</v>
      </c>
      <c r="AP3041" s="19"/>
      <c r="AQ3041" s="19"/>
      <c r="AR3041" s="100"/>
      <c r="AS3041" s="93"/>
      <c r="AT3041" s="110" t="str">
        <f>$AT$2982</f>
        <v>1.09</v>
      </c>
      <c r="AU3041" t="str">
        <f>$Q$2965</f>
        <v>L2</v>
      </c>
      <c r="AV3041">
        <f>$E$21</f>
        <v>10.6875</v>
      </c>
      <c r="AW3041" cm="1">
        <f t="array" ref="AW3041">IFERROR(IF(AV3041=0,0,(INDEX($C$33:$C$38,MATCH($AZ$2982,$B$33:$B$38,0),0)*(AV3045+$BA$2982)+$AW$2982*COUNTIF(AV3041:AV3044,"&gt;0")*$C$32+$AY$2982*$C$31)*$AU$2982),0)</f>
        <v>0</v>
      </c>
      <c r="AX3041">
        <f>IF(AV3041=0,0,-(COUNTIF(AV3041:AV3044,"&gt;0")*$AW$2982*$C$32+$AY$2982*$C$31)*$H$27*$AU$2982)</f>
        <v>0</v>
      </c>
      <c r="AY3041">
        <f>IF(AV3041=0,0,$AY$2982*$H$26*$AU$2982)</f>
        <v>0</v>
      </c>
      <c r="AZ3041">
        <f>(0.6*AW3041+0.7*AX3041)*$AU$2982/2</f>
        <v>0</v>
      </c>
      <c r="BA3041">
        <f>(0.6*AW3041+0.6*AY3041)*$AU$2982/2</f>
        <v>0</v>
      </c>
      <c r="BC3041">
        <f>IF(AV3041=0,0,$BG$2982*$AP$2965)</f>
        <v>0</v>
      </c>
      <c r="BD3041">
        <f>IFERROR(BC3041/$AU$2982,0)</f>
        <v>0</v>
      </c>
      <c r="BE3041">
        <f>BC3041*($F$21+IF($F$21=0,0,($C$14+$C$15+IF($C$13="single",1.5,3)+3)/12))</f>
        <v>0</v>
      </c>
      <c r="BF3041">
        <f>BE3041-AZ3041</f>
        <v>0</v>
      </c>
      <c r="BG3041" cm="1">
        <f t="array" ref="BG3041">IFERROR(IF(BF3041&lt;0,0,BF3041/($AU$2982-INDEX(hd_off,MATCH(BT3041,hd_mark,0),0)/12)),0)</f>
        <v>0</v>
      </c>
      <c r="BH3041">
        <f>IF(AV3041=0,0,$BG$2982*$AM$2965)</f>
        <v>0</v>
      </c>
      <c r="BI3041">
        <f>IFERROR(BH3041/$AU$2982,0)</f>
        <v>0</v>
      </c>
      <c r="BJ3041">
        <f>BH3041*($F$21+IF($F$21=0,0,($C$14+$C$15+IF($C$13="single",1.5,3)+3)/12))</f>
        <v>0</v>
      </c>
      <c r="BK3041">
        <f>BJ3041-BA3041</f>
        <v>0</v>
      </c>
      <c r="BL3041" cm="1">
        <f t="array" ref="BL3041">IFERROR(IF(BK3041&lt;0,0,BK3041/($AU$2982-INDEX(hd_off,MATCH(BT3041,hd_mark,0),0)/12)),0)</f>
        <v>0</v>
      </c>
      <c r="BM3041">
        <f>MAX($F$21,$BB$2982)/$Q$2996</f>
        <v>0.30172413793103448</v>
      </c>
      <c r="BN3041">
        <f>IF(BM3041=0,0,IF(BM3041&gt;2,1.25-0.125*BM3041,1))</f>
        <v>1</v>
      </c>
      <c r="BO3041" cm="1">
        <f t="array" ref="BO3041">IFERROR(INDEX(sheath_ecap_asd,MATCH(BS3041,sheath_mark,0),0)*BN3041,0)</f>
        <v>0</v>
      </c>
      <c r="BP3041" cm="1">
        <f t="array" ref="BP3041">IFERROR(INDEX(sheath_wcap_asd,MATCH(BS3041,sheath_mark,0),0)*BN3041,0)</f>
        <v>0</v>
      </c>
      <c r="BQ3041" cm="1">
        <f t="array" ref="BQ3041">IFERROR(INDEX(hd_cap,MATCH(BT3041,hd_mark,0),0),0)</f>
        <v>0</v>
      </c>
      <c r="BS3041" s="19"/>
      <c r="BT3041" s="19"/>
      <c r="BU3041" s="100"/>
    </row>
    <row r="3042" x14ac:dyDescent="0.25">
      <c r="P3042" s="93"/>
      <c r="Q3042" s="109"/>
      <c r="R3042" t="str">
        <f>$Q$2966</f>
        <v>L3</v>
      </c>
      <c r="S3042">
        <f>$E$22</f>
        <v>21.375</v>
      </c>
      <c r="T3042" cm="1">
        <f t="array" ref="T3042">IFERROR(IF(S3042=0,0,(INDEX($C$33:$C$38,MATCH($W$2982,$B$33:$B$38,0),0)*(S3045+$X$2982)+$T$2982*COUNTIF(S3042:S3044,"&gt;0")*$C$32+$V$2982*$C$31)*$R$2982),0)</f>
        <v>0</v>
      </c>
      <c r="U3042">
        <f>IF(S3042=0,0,-(COUNTIF(S3042:S3044,"&gt;0")*$T$2982*$C$32+$V$2982*$C$31)*$H$27*$R$2982)</f>
        <v>0</v>
      </c>
      <c r="V3042">
        <f>IF(S3042=0,0,$V$2982*$H$26*$R$2982)</f>
        <v>0</v>
      </c>
      <c r="W3042">
        <f>(0.6*T3042+0.7*U3042)*$R$2982/2</f>
        <v>0</v>
      </c>
      <c r="X3042">
        <f>T3042*$R$2982/2</f>
        <v>0</v>
      </c>
      <c r="Z3042">
        <f>IF(S3042=0,0,$AD$2982*$AP$2966)</f>
        <v>0</v>
      </c>
      <c r="AA3042">
        <f>IFERROR(Z3042/$R$2982,0)</f>
        <v>0</v>
      </c>
      <c r="AB3042">
        <f>Z3042*($F$22+IF($F$22=0,0,($C$14+$C$15+IF($C$13="single",1.5,3)+3)/12))</f>
        <v>0</v>
      </c>
      <c r="AC3042">
        <f>AB3042-W3042</f>
        <v>0</v>
      </c>
      <c r="AD3042" cm="1">
        <f t="array" ref="AD3042">IFERROR(IF(AC3042&lt;0,0,AC3042/($R$2982-INDEX(hd_off,MATCH(AQ3042,hd_mark,0),0)/12)),0)</f>
        <v>0</v>
      </c>
      <c r="AE3042">
        <f>IF(S3042=0,0,$AD$2982*$AM$2966)</f>
        <v>0</v>
      </c>
      <c r="AF3042">
        <f>IFERROR(AE3042/$R$2982,0)</f>
        <v>0</v>
      </c>
      <c r="AG3042">
        <f>AE3042*($F$22+IF($F$22=0,0,($C$14+$C$15+IF($C$13="single",1.5,3)+3)/12))</f>
        <v>0</v>
      </c>
      <c r="AH3042">
        <f>AG3042-X3042</f>
        <v>0</v>
      </c>
      <c r="AI3042" cm="1">
        <f t="array" ref="AI3042">IFERROR(IF(AH3042&lt;0,0,AH3042/($R$2982-INDEX(hd_off,MATCH(AQ3042,hd_mark,0),0)/12)),0)</f>
        <v>0</v>
      </c>
      <c r="AJ3042">
        <f>MAX($F$22,$Z$2982)/$Q$2996</f>
        <v>0.30172413793103448</v>
      </c>
      <c r="AK3042">
        <f t="shared" ref="AK3042:AK3045" si="1879">IF(AJ3042=0,0,IF(AJ3042&gt;2,1.25-0.125*AJ3042,1))</f>
        <v>1</v>
      </c>
      <c r="AL3042" cm="1">
        <f t="array" ref="AL3042">IFERROR(INDEX(sheath_ecap_asd,MATCH(AP3042,sheath_mark,0),0)*AK3042,0)</f>
        <v>0</v>
      </c>
      <c r="AM3042" cm="1">
        <f t="array" ref="AM3042">IFERROR(INDEX(sheath_wcap_asd,MATCH(AP3042,sheath_mark,0),0)*AK3042,0)</f>
        <v>0</v>
      </c>
      <c r="AN3042" cm="1">
        <f t="array" ref="AN3042">IFERROR(INDEX(hd_cap,MATCH(AQ3042,hd_mark,0),0),0)</f>
        <v>0</v>
      </c>
      <c r="AP3042" s="19"/>
      <c r="AQ3042" s="19"/>
      <c r="AR3042" s="100"/>
      <c r="AS3042" s="93"/>
      <c r="AT3042" s="109"/>
      <c r="AU3042" t="str">
        <f>$Q$2966</f>
        <v>L3</v>
      </c>
      <c r="AV3042">
        <f>$E$22</f>
        <v>21.375</v>
      </c>
      <c r="AW3042" cm="1">
        <f t="array" ref="AW3042">IFERROR(IF(AV3042=0,0,(INDEX($C$33:$C$38,MATCH($AZ$2982,$B$33:$B$38,0),0)*(AV3045+$BA$2982)+$AW$2982*COUNTIF(AV3042:AV3044,"&gt;0")*$C$32+$AY$2982*$C$31)*$AU$2982),0)</f>
        <v>0</v>
      </c>
      <c r="AX3042">
        <f>IF(AV3042=0,0,-(COUNTIF(AV3042:AV3044,"&gt;0")*$AW$2982*$C$32+$AY$2982*$C$31)*$H$27*$AU$2982)</f>
        <v>0</v>
      </c>
      <c r="AY3042">
        <f>IF(AV3042=0,0,$AY$2982*$H$26*$AU$2982)</f>
        <v>0</v>
      </c>
      <c r="AZ3042">
        <f>(0.6*AW3042+0.7*AX3042)*$AU$2982/2</f>
        <v>0</v>
      </c>
      <c r="BA3042">
        <f>AW3042*$AU$2982/2</f>
        <v>0</v>
      </c>
      <c r="BC3042">
        <f>IF(AV3042=0,0,$BG$2982*$AP$2966)</f>
        <v>0</v>
      </c>
      <c r="BD3042">
        <f>IFERROR(BC3042/$AU$2982,0)</f>
        <v>0</v>
      </c>
      <c r="BE3042">
        <f>BC3042*($F$22+IF($F$22=0,0,($C$14+$C$15+IF($C$13="single",1.5,3)+3)/12))</f>
        <v>0</v>
      </c>
      <c r="BF3042">
        <f>BE3042-AZ3042</f>
        <v>0</v>
      </c>
      <c r="BG3042" cm="1">
        <f t="array" ref="BG3042">IFERROR(IF(BF3042&lt;0,0,BF3042/($AU$2982-INDEX(hd_off,MATCH(BT3042,hd_mark,0),0)/12)),0)</f>
        <v>0</v>
      </c>
      <c r="BH3042">
        <f>IF(AV3042=0,0,$BG$2982*$AM$2966)</f>
        <v>0</v>
      </c>
      <c r="BI3042">
        <f>IFERROR(BH3042/$AU$2982,0)</f>
        <v>0</v>
      </c>
      <c r="BJ3042">
        <f>BH3042*($F$22+IF($F$22=0,0,($C$14+$C$15+IF($C$13="single",1.5,3)+3)/12))</f>
        <v>0</v>
      </c>
      <c r="BK3042">
        <f>BJ3042-BA3042</f>
        <v>0</v>
      </c>
      <c r="BL3042" cm="1">
        <f t="array" ref="BL3042">IFERROR(IF(BK3042&lt;0,0,BK3042/($AU$2982-INDEX(hd_off,MATCH(BT3042,hd_mark,0),0)/12)),0)</f>
        <v>0</v>
      </c>
      <c r="BM3042">
        <f>MAX($F$22,$BC$2982)/$Q$2996</f>
        <v>0.30172413793103448</v>
      </c>
      <c r="BN3042">
        <f t="shared" ref="BN3042:BN3045" si="1880">IF(BM3042=0,0,IF(BM3042&gt;2,1.25-0.125*BM3042,1))</f>
        <v>1</v>
      </c>
      <c r="BO3042" cm="1">
        <f t="array" ref="BO3042">IFERROR(INDEX(sheath_ecap_asd,MATCH(BS3042,sheath_mark,0),0)*BN3042,0)</f>
        <v>0</v>
      </c>
      <c r="BP3042" cm="1">
        <f t="array" ref="BP3042">IFERROR(INDEX(sheath_wcap_asd,MATCH(BS3042,sheath_mark,0),0)*BN3042,0)</f>
        <v>0</v>
      </c>
      <c r="BQ3042" cm="1">
        <f t="array" ref="BQ3042">IFERROR(INDEX(hd_cap,MATCH(BT3042,hd_mark,0),0),0)</f>
        <v>0</v>
      </c>
      <c r="BS3042" s="19"/>
      <c r="BT3042" s="19"/>
      <c r="BU3042" s="100"/>
    </row>
    <row r="3043" x14ac:dyDescent="0.25">
      <c r="P3043" s="93"/>
      <c r="Q3043" s="109" t="s">
        <v>491</v>
      </c>
      <c r="R3043" t="str">
        <f>$Q$2967</f>
        <v>L4</v>
      </c>
      <c r="S3043">
        <f>$E$23</f>
        <v>0</v>
      </c>
      <c r="T3043" cm="1">
        <f t="array" ref="T3043">IFERROR(IF(S3043=0,0,(INDEX($C$33:$C$38,MATCH($W$2982,$B$33:$B$38,0),0)*(S3045+$X$2982)+$T$2982*COUNTIF(S3043:S3044,"&gt;0")*$C$32+$V$2982*$C$31)*$R$2982),0)</f>
        <v>0</v>
      </c>
      <c r="U3043">
        <f>IF(S3043=0,0,-(COUNTIF(S3043:S3044,"&gt;0")*$T$2982*$C$32+$V$2982*$C$31)*$H$27*$R$2982)</f>
        <v>0</v>
      </c>
      <c r="V3043">
        <f>IF(S3043=0,0,$V$2982*$H$26*$R$2982)</f>
        <v>0</v>
      </c>
      <c r="W3043">
        <f>(0.6*T3043+0.7*U3043)*$R$2982/2</f>
        <v>0</v>
      </c>
      <c r="X3043">
        <f>T3043*$R$2982/2</f>
        <v>0</v>
      </c>
      <c r="Z3043">
        <f>IF(S3043=0,0,$AD$2982*$AP$2967)</f>
        <v>0</v>
      </c>
      <c r="AA3043">
        <f>IFERROR(Z3043/$R$2982,0)</f>
        <v>0</v>
      </c>
      <c r="AB3043">
        <f>Z3043*($F$23+IF($F$23=0,0,($C$14+$C$15+IF($C$13="single",1.5,3)+3)/12))</f>
        <v>0</v>
      </c>
      <c r="AC3043">
        <f>AB3043-W3043</f>
        <v>0</v>
      </c>
      <c r="AD3043" cm="1">
        <f t="array" ref="AD3043">IFERROR(IF(AC3043&lt;0,0,AC3043/($R$2982-INDEX(hd_off,MATCH(AQ3043,hd_mark,0),0)/12)),0)</f>
        <v>0</v>
      </c>
      <c r="AE3043">
        <f>IF(S3043=0,0,$AD$2982*$AM$2967)</f>
        <v>0</v>
      </c>
      <c r="AF3043">
        <f>IFERROR(AE3043/$R$2982,0)</f>
        <v>0</v>
      </c>
      <c r="AG3043">
        <f>AE3043*($F$23+IF($F$23=0,0,($C$14+$C$15+IF($C$13="single",1.5,3)+3)/12))</f>
        <v>0</v>
      </c>
      <c r="AH3043">
        <f>AG3043-X3043</f>
        <v>0</v>
      </c>
      <c r="AI3043" cm="1">
        <f t="array" ref="AI3043">IFERROR(IF(AH3043&lt;0,0,AH3043/($R$2982-INDEX(hd_off,MATCH(AQ3043,hd_mark,0),0)/12)),0)</f>
        <v>0</v>
      </c>
      <c r="AJ3043">
        <f>MAX($F$23,$AA$2982)/$Q$2996</f>
        <v>0</v>
      </c>
      <c r="AK3043">
        <f t="shared" si="1879"/>
        <v>0</v>
      </c>
      <c r="AL3043" cm="1">
        <f t="array" ref="AL3043">IFERROR(INDEX(sheath_ecap_asd,MATCH(AP3043,sheath_mark,0),0)*AK3043,0)</f>
        <v>0</v>
      </c>
      <c r="AM3043" cm="1">
        <f t="array" ref="AM3043">IFERROR(INDEX(sheath_wcap_asd,MATCH(AP3043,sheath_mark,0),0)*AK3043,0)</f>
        <v>0</v>
      </c>
      <c r="AN3043" cm="1">
        <f t="array" ref="AN3043">IFERROR(INDEX(hd_cap,MATCH(AQ3043,hd_mark,0),0),0)</f>
        <v>0</v>
      </c>
      <c r="AP3043" s="19"/>
      <c r="AQ3043" s="19"/>
      <c r="AR3043" s="100"/>
      <c r="AS3043" s="93"/>
      <c r="AT3043" s="109" t="s">
        <v>491</v>
      </c>
      <c r="AU3043" t="str">
        <f>$Q$2967</f>
        <v>L4</v>
      </c>
      <c r="AV3043">
        <f>$E$23</f>
        <v>0</v>
      </c>
      <c r="AW3043" cm="1">
        <f t="array" ref="AW3043">IFERROR(IF(AV3043=0,0,(INDEX($C$33:$C$38,MATCH($AZ$2982,$B$33:$B$38,0),0)*(AV3045+$BA$2982)+$AW$2982*COUNTIF(AV3043:AV3044,"&gt;0")*$C$32+$AY$2982*$C$31)*$AU$2982),0)</f>
        <v>0</v>
      </c>
      <c r="AX3043">
        <f>IF(AV3043=0,0,-(COUNTIF(AV3043:AV3044,"&gt;0")*$AW$2982*$C$32+$AY$2982*$C$31)*$H$27*$AU$2982)</f>
        <v>0</v>
      </c>
      <c r="AY3043">
        <f>IF(AV3043=0,0,$AY$2982*$H$26*$AU$2982)</f>
        <v>0</v>
      </c>
      <c r="AZ3043">
        <f>(0.6*AW3043+0.7*AX3043)*$AU$2982/2</f>
        <v>0</v>
      </c>
      <c r="BA3043">
        <f>AW3043*$AU$2982/2</f>
        <v>0</v>
      </c>
      <c r="BC3043">
        <f>IF(AV3043=0,0,$BG$2982*$AP$2967)</f>
        <v>0</v>
      </c>
      <c r="BD3043">
        <f>IFERROR(BC3043/$AU$2982,0)</f>
        <v>0</v>
      </c>
      <c r="BE3043">
        <f>BC3043*($F$23+IF($F$23=0,0,($C$14+$C$15+IF($C$13="single",1.5,3)+3)/12))</f>
        <v>0</v>
      </c>
      <c r="BF3043">
        <f>BE3043-AZ3043</f>
        <v>0</v>
      </c>
      <c r="BG3043" cm="1">
        <f t="array" ref="BG3043">IFERROR(IF(BF3043&lt;0,0,BF3043/($AU$2982-INDEX(hd_off,MATCH(BT3043,hd_mark,0),0)/12)),0)</f>
        <v>0</v>
      </c>
      <c r="BH3043">
        <f>IF(AV3043=0,0,$BG$2982*$AM$2967)</f>
        <v>0</v>
      </c>
      <c r="BI3043">
        <f>IFERROR(BH3043/$AU$2982,0)</f>
        <v>0</v>
      </c>
      <c r="BJ3043">
        <f>BH3043*($F$23+IF($F$23=0,0,($C$14+$C$15+IF($C$13="single",1.5,3)+3)/12))</f>
        <v>0</v>
      </c>
      <c r="BK3043">
        <f>BJ3043-BA3043</f>
        <v>0</v>
      </c>
      <c r="BL3043" cm="1">
        <f t="array" ref="BL3043">IFERROR(IF(BK3043&lt;0,0,BK3043/($AU$2982-INDEX(hd_off,MATCH(BT3043,hd_mark,0),0)/12)),0)</f>
        <v>0</v>
      </c>
      <c r="BM3043">
        <f>MAX($F$23,$BD$2982)/$Q$2996</f>
        <v>0</v>
      </c>
      <c r="BN3043">
        <f t="shared" si="1880"/>
        <v>0</v>
      </c>
      <c r="BO3043" cm="1">
        <f t="array" ref="BO3043">IFERROR(INDEX(sheath_ecap_asd,MATCH(BS3043,sheath_mark,0),0)*BN3043,0)</f>
        <v>0</v>
      </c>
      <c r="BP3043" cm="1">
        <f t="array" ref="BP3043">IFERROR(INDEX(sheath_wcap_asd,MATCH(BS3043,sheath_mark,0),0)*BN3043,0)</f>
        <v>0</v>
      </c>
      <c r="BQ3043" cm="1">
        <f t="array" ref="BQ3043">IFERROR(INDEX(hd_cap,MATCH(BT3043,hd_mark,0),0),0)</f>
        <v>0</v>
      </c>
      <c r="BS3043" s="19"/>
      <c r="BT3043" s="19"/>
      <c r="BU3043" s="100"/>
    </row>
    <row r="3044" x14ac:dyDescent="0.25">
      <c r="P3044" s="93"/>
      <c r="Q3044" s="111">
        <f>$R$2982</f>
        <v>0</v>
      </c>
      <c r="R3044" t="str">
        <f>$Q$2968</f>
        <v>L5</v>
      </c>
      <c r="S3044">
        <f>$E$24</f>
        <v>0</v>
      </c>
      <c r="T3044" cm="1">
        <f t="array" ref="T3044">IFERROR(IF(S3044=0,0,(INDEX($C$33:$C$38,MATCH($W$2982,$B$33:$B$38,0),0)*(S3045+$X$2982)+$T$2982*COUNTIF(S3044:S3044,"&gt;0")*$C$32+$V$2982*$C$31)*$R$2982),0)</f>
        <v>0</v>
      </c>
      <c r="U3044">
        <f>IF(S3044=0,0,-(COUNTIF(S3044:S3044,"&gt;0")*$T$2982*$C$32+$V$2982*$C$31)*$H$27*$R$2982)</f>
        <v>0</v>
      </c>
      <c r="V3044">
        <f>IF(S3044=0,0,$V$2982*$H$26*$R$2982)</f>
        <v>0</v>
      </c>
      <c r="W3044">
        <f>(0.6*T3044+0.7*U3044)*$R$2982/2</f>
        <v>0</v>
      </c>
      <c r="X3044">
        <f>T3044*$R$2982/2</f>
        <v>0</v>
      </c>
      <c r="Z3044">
        <f>IF(S3044=0,0,$AD$2982*$AP$2968)</f>
        <v>0</v>
      </c>
      <c r="AA3044">
        <f>IFERROR(Z3044/$R$2982,0)</f>
        <v>0</v>
      </c>
      <c r="AB3044">
        <f>Z3044*($F$24+IF($F$24=0,0,($C$14+$C$15+IF($C$13="single",1.5,3)+3)/12))</f>
        <v>0</v>
      </c>
      <c r="AC3044">
        <f>AB3044-W3044</f>
        <v>0</v>
      </c>
      <c r="AD3044" cm="1">
        <f t="array" ref="AD3044">IFERROR(IF(AC3044&lt;0,0,AC3044/($R$2982-INDEX(hd_off,MATCH(AQ3044,hd_mark,0),0)/12)),0)</f>
        <v>0</v>
      </c>
      <c r="AE3044">
        <f>IF(S3044=0,0,$AD$2982*$AM$2968)</f>
        <v>0</v>
      </c>
      <c r="AF3044">
        <f>IFERROR(AE3044/$R$2982,0)</f>
        <v>0</v>
      </c>
      <c r="AG3044">
        <f>AE3044*($F$24+IF($F$24=0,0,($C$14+$C$15+IF($C$13="single",1.5,3)+3)/12))</f>
        <v>0</v>
      </c>
      <c r="AH3044">
        <f>AG3044-X3044</f>
        <v>0</v>
      </c>
      <c r="AI3044" cm="1">
        <f t="array" ref="AI3044">IFERROR(IF(AH3044&lt;0,0,AH3044/($R$2982-INDEX(hd_off,MATCH(AQ3044,hd_mark,0),0)/12)),0)</f>
        <v>0</v>
      </c>
      <c r="AJ3044">
        <f>MAX($F$24,$AB$2982)/$Q$2996</f>
        <v>0</v>
      </c>
      <c r="AK3044">
        <f t="shared" si="1879"/>
        <v>0</v>
      </c>
      <c r="AL3044" cm="1">
        <f t="array" ref="AL3044">IFERROR(INDEX(sheath_ecap_asd,MATCH(AP3044,sheath_mark,0),0)*AK3044,0)</f>
        <v>0</v>
      </c>
      <c r="AM3044" cm="1">
        <f t="array" ref="AM3044">IFERROR(INDEX(sheath_wcap_asd,MATCH(AP3044,sheath_mark,0),0)*AK3044,0)</f>
        <v>0</v>
      </c>
      <c r="AN3044" cm="1">
        <f t="array" ref="AN3044">IFERROR(INDEX(hd_cap,MATCH(AQ3044,hd_mark,0),0),0)</f>
        <v>0</v>
      </c>
      <c r="AP3044" s="19"/>
      <c r="AQ3044" s="19"/>
      <c r="AR3044" s="100"/>
      <c r="AS3044" s="93"/>
      <c r="AT3044" s="111">
        <f>$R$2982</f>
        <v>0</v>
      </c>
      <c r="AU3044" t="str">
        <f>$Q$2968</f>
        <v>L5</v>
      </c>
      <c r="AV3044">
        <f>$E$24</f>
        <v>0</v>
      </c>
      <c r="AW3044" cm="1">
        <f t="array" ref="AW3044">IFERROR(IF(AV3044=0,0,(INDEX($C$33:$C$38,MATCH($AZ$2982,$B$33:$B$38,0),0)*(AV3045+$BA$2982)+$AW$2982*COUNTIF(AV3044:AV3044,"&gt;0")*$C$32+$AY$2982*$C$31)*$AU$2982),0)</f>
        <v>0</v>
      </c>
      <c r="AX3044">
        <f>IF(AV3044=0,0,-(COUNTIF(AV3044:AV3044,"&gt;0")*$AW$2982*$C$32+$AY$2982*$C$31)*$H$27*$AU$2982)</f>
        <v>0</v>
      </c>
      <c r="AY3044">
        <f>IF(AV3044=0,0,$AY$2982*$H$26*$AU$2982)</f>
        <v>0</v>
      </c>
      <c r="AZ3044">
        <f>(0.6*AW3044+0.7*AX3044)*$AU$2982/2</f>
        <v>0</v>
      </c>
      <c r="BA3044">
        <f>AW3044*$AU$2982/2</f>
        <v>0</v>
      </c>
      <c r="BC3044">
        <f>IF(AV3044=0,0,$BG$2982*$AP$2968)</f>
        <v>0</v>
      </c>
      <c r="BD3044">
        <f>IFERROR(BC3044/$AU$2982,0)</f>
        <v>0</v>
      </c>
      <c r="BE3044">
        <f>BC3044*($F$24+IF($F$24=0,0,($C$14+$C$15+IF($C$13="single",1.5,3)+3)/12))</f>
        <v>0</v>
      </c>
      <c r="BF3044">
        <f>BE3044-AZ3044</f>
        <v>0</v>
      </c>
      <c r="BG3044" cm="1">
        <f t="array" ref="BG3044">IFERROR(IF(BF3044&lt;0,0,BF3044/($AU$2982-INDEX(hd_off,MATCH(BT3044,hd_mark,0),0)/12)),0)</f>
        <v>0</v>
      </c>
      <c r="BH3044">
        <f>IF(AV3044=0,0,$BG$2982*$AM$2968)</f>
        <v>0</v>
      </c>
      <c r="BI3044">
        <f>IFERROR(BH3044/$AU$2982,0)</f>
        <v>0</v>
      </c>
      <c r="BJ3044">
        <f>BH3044*($F$24+IF($F$24=0,0,($C$14+$C$15+IF($C$13="single",1.5,3)+3)/12))</f>
        <v>0</v>
      </c>
      <c r="BK3044">
        <f>BJ3044-BA3044</f>
        <v>0</v>
      </c>
      <c r="BL3044" cm="1">
        <f t="array" ref="BL3044">IFERROR(IF(BK3044&lt;0,0,BK3044/($AU$2982-INDEX(hd_off,MATCH(BT3044,hd_mark,0),0)/12)),0)</f>
        <v>0</v>
      </c>
      <c r="BM3044">
        <f>MAX($F$24,$BE$2982)/$Q$2996</f>
        <v>0</v>
      </c>
      <c r="BN3044">
        <f t="shared" si="1880"/>
        <v>0</v>
      </c>
      <c r="BO3044" cm="1">
        <f t="array" ref="BO3044">IFERROR(INDEX(sheath_ecap_asd,MATCH(BS3044,sheath_mark,0),0)*BN3044,0)</f>
        <v>0</v>
      </c>
      <c r="BP3044" cm="1">
        <f t="array" ref="BP3044">IFERROR(INDEX(sheath_wcap_asd,MATCH(BS3044,sheath_mark,0),0)*BN3044,0)</f>
        <v>0</v>
      </c>
      <c r="BQ3044" cm="1">
        <f t="array" ref="BQ3044">IFERROR(INDEX(hd_cap,MATCH(BT3044,hd_mark,0),0),0)</f>
        <v>0</v>
      </c>
      <c r="BS3044" s="19"/>
      <c r="BT3044" s="19"/>
      <c r="BU3044" s="100"/>
    </row>
    <row r="3045" x14ac:dyDescent="0.25">
      <c r="P3045" s="93"/>
      <c r="Q3045" s="109"/>
      <c r="R3045" t="str">
        <f>$Q$2969</f>
        <v>Roof</v>
      </c>
      <c r="S3045">
        <f>$E$25</f>
        <v>33.171875</v>
      </c>
      <c r="T3045" cm="1">
        <f t="array" ref="T3045">IFERROR(IF(S3045=0,0,(INDEX($C$33:$C$38,MATCH($W$2982,$B$33:$B$38,0),0)*(S3045+$X$2982)+$V$2982*$C$31)*$R$2982),0)</f>
        <v>0</v>
      </c>
      <c r="U3045">
        <f>IF(S3045=0,0,-$V$2982*$C$31*$H$27*$R$2982)</f>
        <v>0</v>
      </c>
      <c r="V3045">
        <f>IF(S3045=0,0,$V$2982*$H$26*$R$2982)</f>
        <v>0</v>
      </c>
      <c r="W3045">
        <f>(0.6*T3045+0.7*U3045)*$R$2982/2</f>
        <v>0</v>
      </c>
      <c r="X3045">
        <f>T3045*$R$2982/2</f>
        <v>0</v>
      </c>
      <c r="Z3045">
        <f>IF(S3045=0,0,$AD$2982*$AP$2969)</f>
        <v>0</v>
      </c>
      <c r="AA3045">
        <f>IFERROR(Z3045/$R$2982,0)</f>
        <v>0</v>
      </c>
      <c r="AB3045">
        <f>Z3045*($F$25+($C$16+$C$17+IF($C$13="single",1.5,3)+3)/12)</f>
        <v>0</v>
      </c>
      <c r="AC3045">
        <f>AB3045-W3045</f>
        <v>0</v>
      </c>
      <c r="AD3045" cm="1">
        <f t="array" ref="AD3045">IFERROR(IF(AC3045&lt;0,0,AC3045/($R$2982-INDEX(hd_off,MATCH(AQ3045,hd_mark,0),0)/12)),0)</f>
        <v>0</v>
      </c>
      <c r="AE3045">
        <f>IF(S3045=0,0,$AD$2982*$AM$2969)</f>
        <v>0</v>
      </c>
      <c r="AF3045">
        <f>IFERROR(AE3045/$R$2982,0)</f>
        <v>0</v>
      </c>
      <c r="AG3045">
        <f>AE3045*($F$25+($C$16+$C$17+IF($C$13="single",1.5,3)+3)/12)</f>
        <v>0</v>
      </c>
      <c r="AH3045">
        <f>AG3045-X3045</f>
        <v>0</v>
      </c>
      <c r="AI3045" cm="1">
        <f t="array" ref="AI3045">IFERROR(IF(AH3045&lt;0,0,AH3045/($R$2982-INDEX(hd_off,MATCH(AQ3045,hd_mark,0),0)/12)),0)</f>
        <v>0</v>
      </c>
      <c r="AJ3045">
        <f>MAX($F$25,$AC$2982)/$Q$2996</f>
        <v>0.29920977011494249</v>
      </c>
      <c r="AK3045">
        <f t="shared" si="1879"/>
        <v>1</v>
      </c>
      <c r="AL3045" cm="1">
        <f t="array" ref="AL3045">IFERROR(INDEX(sheath_ecap_asd,MATCH(AP3045,sheath_mark,0),0)*AK3045,0)</f>
        <v>0</v>
      </c>
      <c r="AM3045" cm="1">
        <f t="array" ref="AM3045">IFERROR(INDEX(sheath_wcap_asd,MATCH(AP3045,sheath_mark,0),0)*AK3045,0)</f>
        <v>0</v>
      </c>
      <c r="AN3045" cm="1">
        <f t="array" ref="AN3045">IFERROR(INDEX(hd_cap,MATCH(AQ3045,hd_mark,0),0),0)</f>
        <v>0</v>
      </c>
      <c r="AP3045" s="19"/>
      <c r="AQ3045" s="19"/>
      <c r="AR3045" s="100"/>
      <c r="AS3045" s="93"/>
      <c r="AT3045" s="109"/>
      <c r="AU3045" t="str">
        <f>$Q$2969</f>
        <v>Roof</v>
      </c>
      <c r="AV3045">
        <f>$E$25</f>
        <v>33.171875</v>
      </c>
      <c r="AW3045" cm="1">
        <f t="array" ref="AW3045">IFERROR(IF(AV3045=0,0,(INDEX($C$33:$C$38,MATCH($AZ$2982,$B$33:$B$38,0),0)*(AV3045+$BA$2982)+$AY$2982*$C$31)*$AU$2982),0)</f>
        <v>0</v>
      </c>
      <c r="AX3045">
        <f>IF(AV3045=0,0,-$AY$2982*$C$31*$H$27*$AU$2982)</f>
        <v>0</v>
      </c>
      <c r="AY3045">
        <f>IF(AV3045=0,0,$AY$2982*$H$26*$AU$2982)</f>
        <v>0</v>
      </c>
      <c r="AZ3045">
        <f>(0.6*AW3045+0.7*AX3045)*$AU$2982/2</f>
        <v>0</v>
      </c>
      <c r="BA3045">
        <f>AW3045*$AU$2982/2</f>
        <v>0</v>
      </c>
      <c r="BC3045">
        <f>IF(AV3045=0,0,$BG$2982*$AP$2969)</f>
        <v>0</v>
      </c>
      <c r="BD3045">
        <f>IFERROR(BC3045/$AU$2982,0)</f>
        <v>0</v>
      </c>
      <c r="BE3045">
        <f>BC3045*($F$25+($C$16+$C$17+IF($C$13="single",1.5,3)+3)/12)</f>
        <v>0</v>
      </c>
      <c r="BF3045">
        <f>BE3045-AZ3045</f>
        <v>0</v>
      </c>
      <c r="BG3045" cm="1">
        <f t="array" ref="BG3045">IFERROR(IF(BF3045&lt;0,0,BF3045/($AU$2982-INDEX(hd_off,MATCH(BT3045,hd_mark,0),0)/12)),0)</f>
        <v>0</v>
      </c>
      <c r="BH3045">
        <f>IF(AV3045=0,0,$BG$2982*$AM$2969)</f>
        <v>0</v>
      </c>
      <c r="BI3045">
        <f>IFERROR(BH3045/$AU$2982,0)</f>
        <v>0</v>
      </c>
      <c r="BJ3045">
        <f>BH3045*($F$25+($C$16+$C$17+IF($C$13="single",1.5,3)+3)/12)</f>
        <v>0</v>
      </c>
      <c r="BK3045">
        <f>BJ3045-BA3045</f>
        <v>0</v>
      </c>
      <c r="BL3045" cm="1">
        <f t="array" ref="BL3045">IFERROR(IF(BK3045&lt;0,0,BK3045/($AU$2982-INDEX(hd_off,MATCH(BT3045,hd_mark,0),0)/12)),0)</f>
        <v>0</v>
      </c>
      <c r="BM3045">
        <f>MAX($F$25,$BF$2982)/$Q$2996</f>
        <v>0.29920977011494249</v>
      </c>
      <c r="BN3045">
        <f t="shared" si="1880"/>
        <v>1</v>
      </c>
      <c r="BO3045" cm="1">
        <f t="array" ref="BO3045">IFERROR(INDEX(sheath_ecap_asd,MATCH(BS3045,sheath_mark,0),0)*BN3045,0)</f>
        <v>0</v>
      </c>
      <c r="BP3045" cm="1">
        <f t="array" ref="BP3045">IFERROR(INDEX(sheath_wcap_asd,MATCH(BS3045,sheath_mark,0),0)*BN3045,0)</f>
        <v>0</v>
      </c>
      <c r="BQ3045" cm="1">
        <f t="array" ref="BQ3045">IFERROR(INDEX(hd_cap,MATCH(BT3045,hd_mark,0),0),0)</f>
        <v>0</v>
      </c>
      <c r="BS3045" s="19"/>
      <c r="BT3045" s="19"/>
      <c r="BU3045" s="100"/>
    </row>
    <row r="3046" x14ac:dyDescent="0.25">
      <c r="P3046" s="93"/>
      <c r="AR3046" s="100"/>
      <c r="AS3046" s="93"/>
      <c r="BU3046" s="100"/>
    </row>
    <row r="3047" x14ac:dyDescent="0.25">
      <c r="P3047" s="93"/>
      <c r="Q3047" s="110" t="str">
        <f>$Q$2983</f>
        <v>A.10</v>
      </c>
      <c r="R3047" t="str">
        <f>$Q$2965</f>
        <v>L2</v>
      </c>
      <c r="S3047">
        <f>$E$21</f>
        <v>10.6875</v>
      </c>
      <c r="T3047" cm="1">
        <f t="array" ref="T3047">IFERROR(IF(S3047=0,0,(INDEX($C$33:$C$38,MATCH($W$2983,$B$33:$B$38,0),0)*(S3051+$X$2983)+$T$2983*COUNTIF(S3047:S3050,"&gt;0")*$C$32+$V$2983*$C$31)*$R$2983),0)</f>
        <v>0</v>
      </c>
      <c r="U3047">
        <f>IF(S3047=0,0,-(COUNTIF(S3047:S3050,"&gt;0")*$T$2983*$C$32+$V$2983*$C$31)*$H$27*$R$2983)</f>
        <v>0</v>
      </c>
      <c r="V3047">
        <f>IF(S3047=0,0,$V$2983*$H$26*$R$2983)</f>
        <v>0</v>
      </c>
      <c r="W3047">
        <f>(0.6*T3047+0.7*U3047)*$R$2983/2</f>
        <v>0</v>
      </c>
      <c r="X3047">
        <f>(0.6*T3047+0.6*V3047)*$R$2983/2</f>
        <v>0</v>
      </c>
      <c r="Z3047">
        <f>IF(S3047=0,0,$AD$2983*$AP$2965)</f>
        <v>0</v>
      </c>
      <c r="AA3047">
        <f>IFERROR(Z3047/$R$2983,0)</f>
        <v>0</v>
      </c>
      <c r="AB3047">
        <f>Z3047*($F$21+IF($F$21=0,0,($C$14+$C$15+IF($C$13="single",1.5,3)+3)/12))</f>
        <v>0</v>
      </c>
      <c r="AC3047">
        <f>AB3047-W3047</f>
        <v>0</v>
      </c>
      <c r="AD3047" cm="1">
        <f t="array" ref="AD3047">IFERROR(IF(AC3047&lt;0,0,AC3047/($R$2983-INDEX(hd_off,MATCH(AQ3047,hd_mark,0),0)/12)),0)</f>
        <v>0</v>
      </c>
      <c r="AE3047">
        <f>IF(S3047=0,0,$AD$2983*$AM$2965)</f>
        <v>0</v>
      </c>
      <c r="AF3047">
        <f>IFERROR(AE3047/$R$2983,0)</f>
        <v>0</v>
      </c>
      <c r="AG3047">
        <f>AE3047*($F$21+IF($F$21=0,0,($C$14+$C$15+IF($C$13="single",1.5,3)+3)/12))</f>
        <v>0</v>
      </c>
      <c r="AH3047">
        <f>AG3047-X3047</f>
        <v>0</v>
      </c>
      <c r="AI3047" cm="1">
        <f t="array" ref="AI3047">IFERROR(IF(AH3047&lt;0,0,AH3047/($R$2983-INDEX(hd_off,MATCH(AQ3047,hd_mark,0),0)/12)),0)</f>
        <v>0</v>
      </c>
      <c r="AJ3047">
        <f>MAX($F$21,$Y$2983)/$Q$2996</f>
        <v>0.30172413793103448</v>
      </c>
      <c r="AK3047">
        <f>IF(AJ3047=0,0,IF(AJ3047&gt;2,1.25-0.125*AJ3047,1))</f>
        <v>1</v>
      </c>
      <c r="AL3047" cm="1">
        <f t="array" ref="AL3047">IFERROR(INDEX(sheath_ecap_asd,MATCH(AP3047,sheath_mark,0),0)*AK3047,0)</f>
        <v>0</v>
      </c>
      <c r="AM3047" cm="1">
        <f t="array" ref="AM3047">IFERROR(INDEX(sheath_wcap_asd,MATCH(AP3047,sheath_mark,0),0)*AK3047,0)</f>
        <v>0</v>
      </c>
      <c r="AN3047" cm="1">
        <f t="array" ref="AN3047">IFERROR(INDEX(hd_cap,MATCH(AQ3047,hd_mark,0),0),0)</f>
        <v>0</v>
      </c>
      <c r="AP3047" s="19"/>
      <c r="AQ3047" s="19"/>
      <c r="AR3047" s="100"/>
      <c r="AS3047" s="93"/>
      <c r="AT3047" s="110" t="str">
        <f>$AT$2983</f>
        <v>1.10</v>
      </c>
      <c r="AU3047" t="str">
        <f>$Q$2965</f>
        <v>L2</v>
      </c>
      <c r="AV3047">
        <f>$E$21</f>
        <v>10.6875</v>
      </c>
      <c r="AW3047" cm="1">
        <f t="array" ref="AW3047">IFERROR(IF(AV3047=0,0,(INDEX($C$33:$C$38,MATCH($AZ$2983,$B$33:$B$38,0),0)*(AV3051+$BA$2983)+$AW$2983*COUNTIF(AV3047:AV3050,"&gt;0")*$C$32+$AY$2983*$C$31)*$AU$2983),0)</f>
        <v>0</v>
      </c>
      <c r="AX3047">
        <f>IF(AV3047=0,0,-(COUNTIF(AV3047:AV3050,"&gt;0")*$AW$2983*$C$32+$AY$2983*$C$31)*$H$27*$AU$2983)</f>
        <v>0</v>
      </c>
      <c r="AY3047">
        <f>IF(AV3047=0,0,$AY$2983*$H$26*$AU$2983)</f>
        <v>0</v>
      </c>
      <c r="AZ3047">
        <f>(0.6*AW3047+0.7*AX3047)*$AU$2983/2</f>
        <v>0</v>
      </c>
      <c r="BA3047">
        <f>(0.6*AW3047+0.6*AY3047)*$AU$2983/2</f>
        <v>0</v>
      </c>
      <c r="BC3047">
        <f>IF(AV3047=0,0,$BG$2983*$AP$2965)</f>
        <v>0</v>
      </c>
      <c r="BD3047">
        <f>IFERROR(BC3047/$AU$2983,0)</f>
        <v>0</v>
      </c>
      <c r="BE3047">
        <f>BC3047*($F$21+IF($F$21=0,0,($C$14+$C$15+IF($C$13="single",1.5,3)+3)/12))</f>
        <v>0</v>
      </c>
      <c r="BF3047">
        <f>BE3047-AZ3047</f>
        <v>0</v>
      </c>
      <c r="BG3047" cm="1">
        <f t="array" ref="BG3047">IFERROR(IF(BF3047&lt;0,0,BF3047/($AU$2983-INDEX(hd_off,MATCH(BT3047,hd_mark,0),0)/12)),0)</f>
        <v>0</v>
      </c>
      <c r="BH3047">
        <f>IF(AV3047=0,0,$BG$2983*$AM$2965)</f>
        <v>0</v>
      </c>
      <c r="BI3047">
        <f>IFERROR(BH3047/$AU$2983,0)</f>
        <v>0</v>
      </c>
      <c r="BJ3047">
        <f>BH3047*($F$21+IF($F$21=0,0,($C$14+$C$15+IF($C$13="single",1.5,3)+3)/12))</f>
        <v>0</v>
      </c>
      <c r="BK3047">
        <f>BJ3047-BA3047</f>
        <v>0</v>
      </c>
      <c r="BL3047" cm="1">
        <f t="array" ref="BL3047">IFERROR(IF(BK3047&lt;0,0,BK3047/($AU$2983-INDEX(hd_off,MATCH(BT3047,hd_mark,0),0)/12)),0)</f>
        <v>0</v>
      </c>
      <c r="BM3047">
        <f>MAX($F$21,$BB$2983)/$Q$2996</f>
        <v>0.30172413793103448</v>
      </c>
      <c r="BN3047">
        <f>IF(BM3047=0,0,IF(BM3047&gt;2,1.25-0.125*BM3047,1))</f>
        <v>1</v>
      </c>
      <c r="BO3047" cm="1">
        <f t="array" ref="BO3047">IFERROR(INDEX(sheath_ecap_asd,MATCH(BS3047,sheath_mark,0),0)*BN3047,0)</f>
        <v>0</v>
      </c>
      <c r="BP3047" cm="1">
        <f t="array" ref="BP3047">IFERROR(INDEX(sheath_wcap_asd,MATCH(BS3047,sheath_mark,0),0)*BN3047,0)</f>
        <v>0</v>
      </c>
      <c r="BQ3047" cm="1">
        <f t="array" ref="BQ3047">IFERROR(INDEX(hd_cap,MATCH(BT3047,hd_mark,0),0),0)</f>
        <v>0</v>
      </c>
      <c r="BS3047" s="19"/>
      <c r="BT3047" s="19"/>
      <c r="BU3047" s="100"/>
    </row>
    <row r="3048" x14ac:dyDescent="0.25">
      <c r="P3048" s="93"/>
      <c r="Q3048" s="109"/>
      <c r="R3048" t="str">
        <f>$Q$2966</f>
        <v>L3</v>
      </c>
      <c r="S3048">
        <f>$E$22</f>
        <v>21.375</v>
      </c>
      <c r="T3048" cm="1">
        <f t="array" ref="T3048">IFERROR(IF(S3048=0,0,(INDEX($C$33:$C$38,MATCH($W$2983,$B$33:$B$38,0),0)*(S3051+$X$2983)+$T$2983*COUNTIF(S3048:S3050,"&gt;0")*$C$32+$V$2983*$C$31)*$R$2983),0)</f>
        <v>0</v>
      </c>
      <c r="U3048">
        <f>IF(S3048=0,0,-(COUNTIF(S3048:S3050,"&gt;0")*$T$2983*$C$32+$V$2983*$C$31)*$H$27*$R$2983)</f>
        <v>0</v>
      </c>
      <c r="V3048">
        <f>IF(S3048=0,0,$V$2983*$H$26*$R$2983)</f>
        <v>0</v>
      </c>
      <c r="W3048">
        <f>(0.6*T3048+0.7*U3048)*$R$2983/2</f>
        <v>0</v>
      </c>
      <c r="X3048">
        <f>T3048*$R$2983/2</f>
        <v>0</v>
      </c>
      <c r="Z3048">
        <f>IF(S3048=0,0,$AD$2983*$AP$2966)</f>
        <v>0</v>
      </c>
      <c r="AA3048">
        <f>IFERROR(Z3048/$R$2983,0)</f>
        <v>0</v>
      </c>
      <c r="AB3048">
        <f>Z3048*($F$22+IF($F$22=0,0,($C$14+$C$15+IF($C$13="single",1.5,3)+3)/12))</f>
        <v>0</v>
      </c>
      <c r="AC3048">
        <f>AB3048-W3048</f>
        <v>0</v>
      </c>
      <c r="AD3048" cm="1">
        <f t="array" ref="AD3048">IFERROR(IF(AC3048&lt;0,0,AC3048/($R$2983-INDEX(hd_off,MATCH(AQ3048,hd_mark,0),0)/12)),0)</f>
        <v>0</v>
      </c>
      <c r="AE3048">
        <f>IF(S3048=0,0,$AD$2983*$AM$2966)</f>
        <v>0</v>
      </c>
      <c r="AF3048">
        <f>IFERROR(AE3048/$R$2983,0)</f>
        <v>0</v>
      </c>
      <c r="AG3048">
        <f>AE3048*($F$22+IF($F$22=0,0,($C$14+$C$15+IF($C$13="single",1.5,3)+3)/12))</f>
        <v>0</v>
      </c>
      <c r="AH3048">
        <f>AG3048-X3048</f>
        <v>0</v>
      </c>
      <c r="AI3048" cm="1">
        <f t="array" ref="AI3048">IFERROR(IF(AH3048&lt;0,0,AH3048/($R$2983-INDEX(hd_off,MATCH(AQ3048,hd_mark,0),0)/12)),0)</f>
        <v>0</v>
      </c>
      <c r="AJ3048">
        <f>MAX($F$22,$Z$2983)/$Q$2996</f>
        <v>0.30172413793103448</v>
      </c>
      <c r="AK3048">
        <f t="shared" ref="AK3048:AK3051" si="1881">IF(AJ3048=0,0,IF(AJ3048&gt;2,1.25-0.125*AJ3048,1))</f>
        <v>1</v>
      </c>
      <c r="AL3048" cm="1">
        <f t="array" ref="AL3048">IFERROR(INDEX(sheath_ecap_asd,MATCH(AP3048,sheath_mark,0),0)*AK3048,0)</f>
        <v>0</v>
      </c>
      <c r="AM3048" cm="1">
        <f t="array" ref="AM3048">IFERROR(INDEX(sheath_wcap_asd,MATCH(AP3048,sheath_mark,0),0)*AK3048,0)</f>
        <v>0</v>
      </c>
      <c r="AN3048" cm="1">
        <f t="array" ref="AN3048">IFERROR(INDEX(hd_cap,MATCH(AQ3048,hd_mark,0),0),0)</f>
        <v>0</v>
      </c>
      <c r="AP3048" s="19"/>
      <c r="AQ3048" s="19"/>
      <c r="AR3048" s="100"/>
      <c r="AS3048" s="93"/>
      <c r="AT3048" s="109"/>
      <c r="AU3048" t="str">
        <f>$Q$2966</f>
        <v>L3</v>
      </c>
      <c r="AV3048">
        <f>$E$22</f>
        <v>21.375</v>
      </c>
      <c r="AW3048" cm="1">
        <f t="array" ref="AW3048">IFERROR(IF(AV3048=0,0,(INDEX($C$33:$C$38,MATCH($AZ$2983,$B$33:$B$38,0),0)*(AV3051+$BA$2983)+$AW$2983*COUNTIF(AV3048:AV3050,"&gt;0")*$C$32+$AY$2983*$C$31)*$AU$2983),0)</f>
        <v>0</v>
      </c>
      <c r="AX3048">
        <f>IF(AV3048=0,0,-(COUNTIF(AV3048:AV3050,"&gt;0")*$AW$2983*$C$32+$AY$2983*$C$31)*$H$27*$AU$2983)</f>
        <v>0</v>
      </c>
      <c r="AY3048">
        <f>IF(AV3048=0,0,$AY$2983*$H$26*$AU$2983)</f>
        <v>0</v>
      </c>
      <c r="AZ3048">
        <f>(0.6*AW3048+0.7*AX3048)*$AU$2983/2</f>
        <v>0</v>
      </c>
      <c r="BA3048">
        <f>AW3048*$AU$2983/2</f>
        <v>0</v>
      </c>
      <c r="BC3048">
        <f>IF(AV3048=0,0,$BG$2983*$AP$2966)</f>
        <v>0</v>
      </c>
      <c r="BD3048">
        <f>IFERROR(BC3048/$AU$2983,0)</f>
        <v>0</v>
      </c>
      <c r="BE3048">
        <f>BC3048*($F$22+IF($F$22=0,0,($C$14+$C$15+IF($C$13="single",1.5,3)+3)/12))</f>
        <v>0</v>
      </c>
      <c r="BF3048">
        <f>BE3048-AZ3048</f>
        <v>0</v>
      </c>
      <c r="BG3048" cm="1">
        <f t="array" ref="BG3048">IFERROR(IF(BF3048&lt;0,0,BF3048/($AU$2983-INDEX(hd_off,MATCH(BT3048,hd_mark,0),0)/12)),0)</f>
        <v>0</v>
      </c>
      <c r="BH3048">
        <f>IF(AV3048=0,0,$BG$2983*$AM$2966)</f>
        <v>0</v>
      </c>
      <c r="BI3048">
        <f>IFERROR(BH3048/$AU$2983,0)</f>
        <v>0</v>
      </c>
      <c r="BJ3048">
        <f>BH3048*($F$22+IF($F$22=0,0,($C$14+$C$15+IF($C$13="single",1.5,3)+3)/12))</f>
        <v>0</v>
      </c>
      <c r="BK3048">
        <f>BJ3048-BA3048</f>
        <v>0</v>
      </c>
      <c r="BL3048" cm="1">
        <f t="array" ref="BL3048">IFERROR(IF(BK3048&lt;0,0,BK3048/($AU$2983-INDEX(hd_off,MATCH(BT3048,hd_mark,0),0)/12)),0)</f>
        <v>0</v>
      </c>
      <c r="BM3048">
        <f>MAX($F$22,$BC$2983)/$Q$2996</f>
        <v>0.30172413793103448</v>
      </c>
      <c r="BN3048">
        <f t="shared" ref="BN3048:BN3051" si="1882">IF(BM3048=0,0,IF(BM3048&gt;2,1.25-0.125*BM3048,1))</f>
        <v>1</v>
      </c>
      <c r="BO3048" cm="1">
        <f t="array" ref="BO3048">IFERROR(INDEX(sheath_ecap_asd,MATCH(BS3048,sheath_mark,0),0)*BN3048,0)</f>
        <v>0</v>
      </c>
      <c r="BP3048" cm="1">
        <f t="array" ref="BP3048">IFERROR(INDEX(sheath_wcap_asd,MATCH(BS3048,sheath_mark,0),0)*BN3048,0)</f>
        <v>0</v>
      </c>
      <c r="BQ3048" cm="1">
        <f t="array" ref="BQ3048">IFERROR(INDEX(hd_cap,MATCH(BT3048,hd_mark,0),0),0)</f>
        <v>0</v>
      </c>
      <c r="BS3048" s="19"/>
      <c r="BT3048" s="19"/>
      <c r="BU3048" s="100"/>
    </row>
    <row r="3049" x14ac:dyDescent="0.25">
      <c r="P3049" s="93"/>
      <c r="Q3049" s="109" t="s">
        <v>491</v>
      </c>
      <c r="R3049" t="str">
        <f>$Q$2967</f>
        <v>L4</v>
      </c>
      <c r="S3049">
        <f>$E$23</f>
        <v>0</v>
      </c>
      <c r="T3049" cm="1">
        <f t="array" ref="T3049">IFERROR(IF(S3049=0,0,(INDEX($C$33:$C$38,MATCH($W$2983,$B$33:$B$38,0),0)*(S3051+$X$2983)+$T$2983*COUNTIF(S3049:S3050,"&gt;0")*$C$32+$V$2983*$C$31)*$R$2983),0)</f>
        <v>0</v>
      </c>
      <c r="U3049">
        <f>IF(S3049=0,0,-(COUNTIF(S3049:S3050,"&gt;0")*$T$2983*$C$32+$V$2983*$C$31)*$H$27*$R$2983)</f>
        <v>0</v>
      </c>
      <c r="V3049">
        <f>IF(S3049=0,0,$V$2983*$H$26*$R$2983)</f>
        <v>0</v>
      </c>
      <c r="W3049">
        <f>(0.6*T3049+0.7*U3049)*$R$2983/2</f>
        <v>0</v>
      </c>
      <c r="X3049">
        <f>T3049*$R$2983/2</f>
        <v>0</v>
      </c>
      <c r="Z3049">
        <f>IF(S3049=0,0,$AD$2983*$AP$2967)</f>
        <v>0</v>
      </c>
      <c r="AA3049">
        <f>IFERROR(Z3049/$R$2983,0)</f>
        <v>0</v>
      </c>
      <c r="AB3049">
        <f>Z3049*($F$23+IF($F$23=0,0,($C$14+$C$15+IF($C$13="single",1.5,3)+3)/12))</f>
        <v>0</v>
      </c>
      <c r="AC3049">
        <f>AB3049-W3049</f>
        <v>0</v>
      </c>
      <c r="AD3049" cm="1">
        <f t="array" ref="AD3049">IFERROR(IF(AC3049&lt;0,0,AC3049/($R$2983-INDEX(hd_off,MATCH(AQ3049,hd_mark,0),0)/12)),0)</f>
        <v>0</v>
      </c>
      <c r="AE3049">
        <f>IF(S3049=0,0,$AD$2983*$AM$2967)</f>
        <v>0</v>
      </c>
      <c r="AF3049">
        <f>IFERROR(AE3049/$R$2983,0)</f>
        <v>0</v>
      </c>
      <c r="AG3049">
        <f>AE3049*($F$23+IF($F$23=0,0,($C$14+$C$15+IF($C$13="single",1.5,3)+3)/12))</f>
        <v>0</v>
      </c>
      <c r="AH3049">
        <f>AG3049-X3049</f>
        <v>0</v>
      </c>
      <c r="AI3049" cm="1">
        <f t="array" ref="AI3049">IFERROR(IF(AH3049&lt;0,0,AH3049/($R$2983-INDEX(hd_off,MATCH(AQ3049,hd_mark,0),0)/12)),0)</f>
        <v>0</v>
      </c>
      <c r="AJ3049">
        <f>MAX($F$23,$AA$2983)/$Q$2996</f>
        <v>0</v>
      </c>
      <c r="AK3049">
        <f t="shared" si="1881"/>
        <v>0</v>
      </c>
      <c r="AL3049" cm="1">
        <f t="array" ref="AL3049">IFERROR(INDEX(sheath_ecap_asd,MATCH(AP3049,sheath_mark,0),0)*AK3049,0)</f>
        <v>0</v>
      </c>
      <c r="AM3049" cm="1">
        <f t="array" ref="AM3049">IFERROR(INDEX(sheath_wcap_asd,MATCH(AP3049,sheath_mark,0),0)*AK3049,0)</f>
        <v>0</v>
      </c>
      <c r="AN3049" cm="1">
        <f t="array" ref="AN3049">IFERROR(INDEX(hd_cap,MATCH(AQ3049,hd_mark,0),0),0)</f>
        <v>0</v>
      </c>
      <c r="AP3049" s="19"/>
      <c r="AQ3049" s="19"/>
      <c r="AR3049" s="100"/>
      <c r="AS3049" s="93"/>
      <c r="AT3049" s="109" t="s">
        <v>491</v>
      </c>
      <c r="AU3049" t="str">
        <f>$Q$2967</f>
        <v>L4</v>
      </c>
      <c r="AV3049">
        <f>$E$23</f>
        <v>0</v>
      </c>
      <c r="AW3049" cm="1">
        <f t="array" ref="AW3049">IFERROR(IF(AV3049=0,0,(INDEX($C$33:$C$38,MATCH($AZ$2983,$B$33:$B$38,0),0)*(AV3051+$BA$2983)+$AW$2983*COUNTIF(AV3049:AV3050,"&gt;0")*$C$32+$AY$2983*$C$31)*$AU$2983),0)</f>
        <v>0</v>
      </c>
      <c r="AX3049">
        <f>IF(AV3049=0,0,-(COUNTIF(AV3049:AV3050,"&gt;0")*$AW$2983*$C$32+$AY$2983*$C$31)*$H$27*$AU$2983)</f>
        <v>0</v>
      </c>
      <c r="AY3049">
        <f>IF(AV3049=0,0,$AY$2983*$H$26*$AU$2983)</f>
        <v>0</v>
      </c>
      <c r="AZ3049">
        <f>(0.6*AW3049+0.7*AX3049)*$AU$2983/2</f>
        <v>0</v>
      </c>
      <c r="BA3049">
        <f>AW3049*$AU$2983/2</f>
        <v>0</v>
      </c>
      <c r="BC3049">
        <f>IF(AV3049=0,0,$BG$2983*$AP$2967)</f>
        <v>0</v>
      </c>
      <c r="BD3049">
        <f>IFERROR(BC3049/$AU$2983,0)</f>
        <v>0</v>
      </c>
      <c r="BE3049">
        <f>BC3049*($F$23+IF($F$23=0,0,($C$14+$C$15+IF($C$13="single",1.5,3)+3)/12))</f>
        <v>0</v>
      </c>
      <c r="BF3049">
        <f>BE3049-AZ3049</f>
        <v>0</v>
      </c>
      <c r="BG3049" cm="1">
        <f t="array" ref="BG3049">IFERROR(IF(BF3049&lt;0,0,BF3049/($AU$2983-INDEX(hd_off,MATCH(BT3049,hd_mark,0),0)/12)),0)</f>
        <v>0</v>
      </c>
      <c r="BH3049">
        <f>IF(AV3049=0,0,$BG$2983*$AM$2967)</f>
        <v>0</v>
      </c>
      <c r="BI3049">
        <f>IFERROR(BH3049/$AU$2983,0)</f>
        <v>0</v>
      </c>
      <c r="BJ3049">
        <f>BH3049*($F$23+IF($F$23=0,0,($C$14+$C$15+IF($C$13="single",1.5,3)+3)/12))</f>
        <v>0</v>
      </c>
      <c r="BK3049">
        <f>BJ3049-BA3049</f>
        <v>0</v>
      </c>
      <c r="BL3049" cm="1">
        <f t="array" ref="BL3049">IFERROR(IF(BK3049&lt;0,0,BK3049/($AU$2983-INDEX(hd_off,MATCH(BT3049,hd_mark,0),0)/12)),0)</f>
        <v>0</v>
      </c>
      <c r="BM3049">
        <f>MAX($F$23,$BD$2983)/$Q$2996</f>
        <v>0</v>
      </c>
      <c r="BN3049">
        <f t="shared" si="1882"/>
        <v>0</v>
      </c>
      <c r="BO3049" cm="1">
        <f t="array" ref="BO3049">IFERROR(INDEX(sheath_ecap_asd,MATCH(BS3049,sheath_mark,0),0)*BN3049,0)</f>
        <v>0</v>
      </c>
      <c r="BP3049" cm="1">
        <f t="array" ref="BP3049">IFERROR(INDEX(sheath_wcap_asd,MATCH(BS3049,sheath_mark,0),0)*BN3049,0)</f>
        <v>0</v>
      </c>
      <c r="BQ3049" cm="1">
        <f t="array" ref="BQ3049">IFERROR(INDEX(hd_cap,MATCH(BT3049,hd_mark,0),0),0)</f>
        <v>0</v>
      </c>
      <c r="BS3049" s="19"/>
      <c r="BT3049" s="19"/>
      <c r="BU3049" s="100"/>
    </row>
    <row r="3050" x14ac:dyDescent="0.25">
      <c r="P3050" s="93"/>
      <c r="Q3050" s="111">
        <f>$R$2983</f>
        <v>0</v>
      </c>
      <c r="R3050" t="str">
        <f>$Q$2968</f>
        <v>L5</v>
      </c>
      <c r="S3050">
        <f>$E$24</f>
        <v>0</v>
      </c>
      <c r="T3050" cm="1">
        <f t="array" ref="T3050">IFERROR(IF(S3050=0,0,(INDEX($C$33:$C$38,MATCH($W$2983,$B$33:$B$38,0),0)*(S3051+$X$2983)+$T$2983*COUNTIF(S3050:S3050,"&gt;0")*$C$32+$V$2983*$C$31)*$R$2983),0)</f>
        <v>0</v>
      </c>
      <c r="U3050">
        <f>IF(S3050=0,0,-(COUNTIF(S3050:S3050,"&gt;0")*$T$2983*$C$32+$V$2983*$C$31)*$H$27*$R$2983)</f>
        <v>0</v>
      </c>
      <c r="V3050">
        <f>IF(S3050=0,0,$V$2983*$H$26*$R$2983)</f>
        <v>0</v>
      </c>
      <c r="W3050">
        <f>(0.6*T3050+0.7*U3050)*$R$2983/2</f>
        <v>0</v>
      </c>
      <c r="X3050">
        <f>T3050*$R$2983/2</f>
        <v>0</v>
      </c>
      <c r="Z3050">
        <f>IF(S3050=0,0,$AD$2983*$AP$2968)</f>
        <v>0</v>
      </c>
      <c r="AA3050">
        <f>IFERROR(Z3050/$R$2983,0)</f>
        <v>0</v>
      </c>
      <c r="AB3050">
        <f>Z3050*($F$24+IF($F$24=0,0,($C$14+$C$15+IF($C$13="single",1.5,3)+3)/12))</f>
        <v>0</v>
      </c>
      <c r="AC3050">
        <f>AB3050-W3050</f>
        <v>0</v>
      </c>
      <c r="AD3050" cm="1">
        <f t="array" ref="AD3050">IFERROR(IF(AC3050&lt;0,0,AC3050/($R$2983-INDEX(hd_off,MATCH(AQ3050,hd_mark,0),0)/12)),0)</f>
        <v>0</v>
      </c>
      <c r="AE3050">
        <f>IF(S3050=0,0,$AD$2983*$AM$2968)</f>
        <v>0</v>
      </c>
      <c r="AF3050">
        <f>IFERROR(AE3050/$R$2983,0)</f>
        <v>0</v>
      </c>
      <c r="AG3050">
        <f>AE3050*($F$24+IF($F$24=0,0,($C$14+$C$15+IF($C$13="single",1.5,3)+3)/12))</f>
        <v>0</v>
      </c>
      <c r="AH3050">
        <f>AG3050-X3050</f>
        <v>0</v>
      </c>
      <c r="AI3050" cm="1">
        <f t="array" ref="AI3050">IFERROR(IF(AH3050&lt;0,0,AH3050/($R$2983-INDEX(hd_off,MATCH(AQ3050,hd_mark,0),0)/12)),0)</f>
        <v>0</v>
      </c>
      <c r="AJ3050">
        <f>MAX($F$24,$AB$2983)/$Q$2996</f>
        <v>0</v>
      </c>
      <c r="AK3050">
        <f t="shared" si="1881"/>
        <v>0</v>
      </c>
      <c r="AL3050" cm="1">
        <f t="array" ref="AL3050">IFERROR(INDEX(sheath_ecap_asd,MATCH(AP3050,sheath_mark,0),0)*AK3050,0)</f>
        <v>0</v>
      </c>
      <c r="AM3050" cm="1">
        <f t="array" ref="AM3050">IFERROR(INDEX(sheath_wcap_asd,MATCH(AP3050,sheath_mark,0),0)*AK3050,0)</f>
        <v>0</v>
      </c>
      <c r="AN3050" cm="1">
        <f t="array" ref="AN3050">IFERROR(INDEX(hd_cap,MATCH(AQ3050,hd_mark,0),0),0)</f>
        <v>0</v>
      </c>
      <c r="AP3050" s="19"/>
      <c r="AQ3050" s="19"/>
      <c r="AR3050" s="100"/>
      <c r="AS3050" s="93"/>
      <c r="AT3050" s="111">
        <f>$R$2983</f>
        <v>0</v>
      </c>
      <c r="AU3050" t="str">
        <f>$Q$2968</f>
        <v>L5</v>
      </c>
      <c r="AV3050">
        <f>$E$24</f>
        <v>0</v>
      </c>
      <c r="AW3050" cm="1">
        <f t="array" ref="AW3050">IFERROR(IF(AV3050=0,0,(INDEX($C$33:$C$38,MATCH($AZ$2983,$B$33:$B$38,0),0)*(AV3051+$BA$2983)+$AW$2983*COUNTIF(AV3050:AV3050,"&gt;0")*$C$32+$AY$2983*$C$31)*$AU$2983),0)</f>
        <v>0</v>
      </c>
      <c r="AX3050">
        <f>IF(AV3050=0,0,-(COUNTIF(AV3050:AV3050,"&gt;0")*$AW$2983*$C$32+$AY$2983*$C$31)*$H$27*$AU$2983)</f>
        <v>0</v>
      </c>
      <c r="AY3050">
        <f>IF(AV3050=0,0,$AY$2983*$H$26*$AU$2983)</f>
        <v>0</v>
      </c>
      <c r="AZ3050">
        <f>(0.6*AW3050+0.7*AX3050)*$AU$2983/2</f>
        <v>0</v>
      </c>
      <c r="BA3050">
        <f>AW3050*$AU$2983/2</f>
        <v>0</v>
      </c>
      <c r="BC3050">
        <f>IF(AV3050=0,0,$BG$2983*$AP$2968)</f>
        <v>0</v>
      </c>
      <c r="BD3050">
        <f>IFERROR(BC3050/$AU$2983,0)</f>
        <v>0</v>
      </c>
      <c r="BE3050">
        <f>BC3050*($F$24+IF($F$24=0,0,($C$14+$C$15+IF($C$13="single",1.5,3)+3)/12))</f>
        <v>0</v>
      </c>
      <c r="BF3050">
        <f>BE3050-AZ3050</f>
        <v>0</v>
      </c>
      <c r="BG3050" cm="1">
        <f t="array" ref="BG3050">IFERROR(IF(BF3050&lt;0,0,BF3050/($AU$2983-INDEX(hd_off,MATCH(BT3050,hd_mark,0),0)/12)),0)</f>
        <v>0</v>
      </c>
      <c r="BH3050">
        <f>IF(AV3050=0,0,$BG$2983*$AM$2968)</f>
        <v>0</v>
      </c>
      <c r="BI3050">
        <f>IFERROR(BH3050/$AU$2983,0)</f>
        <v>0</v>
      </c>
      <c r="BJ3050">
        <f>BH3050*($F$24+IF($F$24=0,0,($C$14+$C$15+IF($C$13="single",1.5,3)+3)/12))</f>
        <v>0</v>
      </c>
      <c r="BK3050">
        <f>BJ3050-BA3050</f>
        <v>0</v>
      </c>
      <c r="BL3050" cm="1">
        <f t="array" ref="BL3050">IFERROR(IF(BK3050&lt;0,0,BK3050/($AU$2983-INDEX(hd_off,MATCH(BT3050,hd_mark,0),0)/12)),0)</f>
        <v>0</v>
      </c>
      <c r="BM3050">
        <f>MAX($F$24,$BE$2983)/$Q$2996</f>
        <v>0</v>
      </c>
      <c r="BN3050">
        <f t="shared" si="1882"/>
        <v>0</v>
      </c>
      <c r="BO3050" cm="1">
        <f t="array" ref="BO3050">IFERROR(INDEX(sheath_ecap_asd,MATCH(BS3050,sheath_mark,0),0)*BN3050,0)</f>
        <v>0</v>
      </c>
      <c r="BP3050" cm="1">
        <f t="array" ref="BP3050">IFERROR(INDEX(sheath_wcap_asd,MATCH(BS3050,sheath_mark,0),0)*BN3050,0)</f>
        <v>0</v>
      </c>
      <c r="BQ3050" cm="1">
        <f t="array" ref="BQ3050">IFERROR(INDEX(hd_cap,MATCH(BT3050,hd_mark,0),0),0)</f>
        <v>0</v>
      </c>
      <c r="BS3050" s="19"/>
      <c r="BT3050" s="19"/>
      <c r="BU3050" s="100"/>
    </row>
    <row r="3051" x14ac:dyDescent="0.25">
      <c r="P3051" s="93"/>
      <c r="Q3051" s="109"/>
      <c r="R3051" t="str">
        <f>$Q$2969</f>
        <v>Roof</v>
      </c>
      <c r="S3051">
        <f>$E$25</f>
        <v>33.171875</v>
      </c>
      <c r="T3051" cm="1">
        <f t="array" ref="T3051">IFERROR(IF(S3051=0,0,(INDEX($C$33:$C$38,MATCH($W$2983,$B$33:$B$38,0),0)*(S3051+$X$2983)+$V$2983*$C$31)*$R$2983),0)</f>
        <v>0</v>
      </c>
      <c r="U3051">
        <f>IF(S3051=0,0,-$V$2983*$C$31*$H$27*$R$2983)</f>
        <v>0</v>
      </c>
      <c r="V3051">
        <f>IF(S3051=0,0,$V$2983*$H$26*$R$2983)</f>
        <v>0</v>
      </c>
      <c r="W3051">
        <f>(0.6*T3051+0.7*U3051)*$R$2983/2</f>
        <v>0</v>
      </c>
      <c r="X3051">
        <f>T3051*$R$2983/2</f>
        <v>0</v>
      </c>
      <c r="Z3051">
        <f>IF(S3051=0,0,$AD$2983*$AP$2969)</f>
        <v>0</v>
      </c>
      <c r="AA3051">
        <f>IFERROR(Z3051/$R$2983,0)</f>
        <v>0</v>
      </c>
      <c r="AB3051">
        <f>Z3051*($F$25+($C$16+$C$17+IF($C$13="single",1.5,3)+3)/12)</f>
        <v>0</v>
      </c>
      <c r="AC3051">
        <f>AB3051-W3051</f>
        <v>0</v>
      </c>
      <c r="AD3051" cm="1">
        <f t="array" ref="AD3051">IFERROR(IF(AC3051&lt;0,0,AC3051/($R$2983-INDEX(hd_off,MATCH(AQ3051,hd_mark,0),0)/12)),0)</f>
        <v>0</v>
      </c>
      <c r="AE3051">
        <f>IF(S3051=0,0,$AD$2983*$AM$2969)</f>
        <v>0</v>
      </c>
      <c r="AF3051">
        <f>IFERROR(AE3051/$R$2983,0)</f>
        <v>0</v>
      </c>
      <c r="AG3051">
        <f>AE3051*($F$25+($C$16+$C$17+IF($C$13="single",1.5,3)+3)/12)</f>
        <v>0</v>
      </c>
      <c r="AH3051">
        <f>AG3051-X3051</f>
        <v>0</v>
      </c>
      <c r="AI3051" cm="1">
        <f t="array" ref="AI3051">IFERROR(IF(AH3051&lt;0,0,AH3051/($R$2983-INDEX(hd_off,MATCH(AQ3051,hd_mark,0),0)/12)),0)</f>
        <v>0</v>
      </c>
      <c r="AJ3051">
        <f>MAX($F$25,$AC$2983)/$Q$2996</f>
        <v>0.29920977011494249</v>
      </c>
      <c r="AK3051">
        <f t="shared" si="1881"/>
        <v>1</v>
      </c>
      <c r="AL3051" cm="1">
        <f t="array" ref="AL3051">IFERROR(INDEX(sheath_ecap_asd,MATCH(AP3051,sheath_mark,0),0)*AK3051,0)</f>
        <v>0</v>
      </c>
      <c r="AM3051" cm="1">
        <f t="array" ref="AM3051">IFERROR(INDEX(sheath_wcap_asd,MATCH(AP3051,sheath_mark,0),0)*AK3051,0)</f>
        <v>0</v>
      </c>
      <c r="AN3051" cm="1">
        <f t="array" ref="AN3051">IFERROR(INDEX(hd_cap,MATCH(AQ3051,hd_mark,0),0),0)</f>
        <v>0</v>
      </c>
      <c r="AP3051" s="19"/>
      <c r="AQ3051" s="19"/>
      <c r="AR3051" s="100"/>
      <c r="AS3051" s="93"/>
      <c r="AT3051" s="109"/>
      <c r="AU3051" t="str">
        <f>$Q$2969</f>
        <v>Roof</v>
      </c>
      <c r="AV3051">
        <f>$E$25</f>
        <v>33.171875</v>
      </c>
      <c r="AW3051" cm="1">
        <f t="array" ref="AW3051">IFERROR(IF(AV3051=0,0,(INDEX($C$33:$C$38,MATCH($AZ$2983,$B$33:$B$38,0),0)*(AV3051+$BA$2983)+$AY$2983*$C$31)*$AU$2983),0)</f>
        <v>0</v>
      </c>
      <c r="AX3051">
        <f>IF(AV3051=0,0,-$AY$2983*$C$31*$H$27*$AU$2983)</f>
        <v>0</v>
      </c>
      <c r="AY3051">
        <f>IF(AV3051=0,0,$AY$2983*$H$26*$AU$2983)</f>
        <v>0</v>
      </c>
      <c r="AZ3051">
        <f>(0.6*AW3051+0.7*AX3051)*$AU$2983/2</f>
        <v>0</v>
      </c>
      <c r="BA3051">
        <f>AW3051*$AU$2983/2</f>
        <v>0</v>
      </c>
      <c r="BC3051">
        <f>IF(AV3051=0,0,$BG$2983*$AP$2969)</f>
        <v>0</v>
      </c>
      <c r="BD3051">
        <f>IFERROR(BC3051/$AU$2983,0)</f>
        <v>0</v>
      </c>
      <c r="BE3051">
        <f>BC3051*($F$25+($C$16+$C$17+IF($C$13="single",1.5,3)+3)/12)</f>
        <v>0</v>
      </c>
      <c r="BF3051">
        <f>BE3051-AZ3051</f>
        <v>0</v>
      </c>
      <c r="BG3051" cm="1">
        <f t="array" ref="BG3051">IFERROR(IF(BF3051&lt;0,0,BF3051/($AU$2983-INDEX(hd_off,MATCH(BT3051,hd_mark,0),0)/12)),0)</f>
        <v>0</v>
      </c>
      <c r="BH3051">
        <f>IF(AV3051=0,0,$BG$2983*$AM$2969)</f>
        <v>0</v>
      </c>
      <c r="BI3051">
        <f>IFERROR(BH3051/$AU$2983,0)</f>
        <v>0</v>
      </c>
      <c r="BJ3051">
        <f>BH3051*($F$25+($C$16+$C$17+IF($C$13="single",1.5,3)+3)/12)</f>
        <v>0</v>
      </c>
      <c r="BK3051">
        <f>BJ3051-BA3051</f>
        <v>0</v>
      </c>
      <c r="BL3051" cm="1">
        <f t="array" ref="BL3051">IFERROR(IF(BK3051&lt;0,0,BK3051/($AU$2983-INDEX(hd_off,MATCH(BT3051,hd_mark,0),0)/12)),0)</f>
        <v>0</v>
      </c>
      <c r="BM3051">
        <f>MAX($F$25,$BF$2983)/$Q$2996</f>
        <v>0.29920977011494249</v>
      </c>
      <c r="BN3051">
        <f t="shared" si="1882"/>
        <v>1</v>
      </c>
      <c r="BO3051" cm="1">
        <f t="array" ref="BO3051">IFERROR(INDEX(sheath_ecap_asd,MATCH(BS3051,sheath_mark,0),0)*BN3051,0)</f>
        <v>0</v>
      </c>
      <c r="BP3051" cm="1">
        <f t="array" ref="BP3051">IFERROR(INDEX(sheath_wcap_asd,MATCH(BS3051,sheath_mark,0),0)*BN3051,0)</f>
        <v>0</v>
      </c>
      <c r="BQ3051" cm="1">
        <f t="array" ref="BQ3051">IFERROR(INDEX(hd_cap,MATCH(BT3051,hd_mark,0),0),0)</f>
        <v>0</v>
      </c>
      <c r="BS3051" s="19"/>
      <c r="BT3051" s="19"/>
      <c r="BU3051" s="100"/>
    </row>
    <row r="3052" x14ac:dyDescent="0.25">
      <c r="P3052" s="93"/>
      <c r="AR3052" s="100"/>
      <c r="AS3052" s="93"/>
      <c r="BU3052" s="100"/>
    </row>
    <row r="3053" x14ac:dyDescent="0.25">
      <c r="P3053" s="93"/>
      <c r="Q3053" s="110" t="str">
        <f>$Q$2984</f>
        <v>A.11</v>
      </c>
      <c r="R3053" t="str">
        <f>$Q$2965</f>
        <v>L2</v>
      </c>
      <c r="S3053">
        <f>$E$21</f>
        <v>10.6875</v>
      </c>
      <c r="T3053" cm="1">
        <f t="array" ref="T3053">IFERROR(IF(S3053=0,0,(INDEX($C$33:$C$38,MATCH($W$2984,$B$33:$B$38,0),0)*(S3057+$X$2984)+$T$2984*COUNTIF(S3053:S3056,"&gt;0")*$C$32+$V$2984*$C$31)*$R$2984),0)</f>
        <v>0</v>
      </c>
      <c r="U3053">
        <f>IF(S3053=0,0,-(COUNTIF(S3053:S3056,"&gt;0")*$T$2984*$C$32+$V$2984*$C$31)*$H$27*$R$2984)</f>
        <v>0</v>
      </c>
      <c r="V3053">
        <f>IF(S3053=0,0,$V$2984*$H$26*$R$2984)</f>
        <v>0</v>
      </c>
      <c r="W3053">
        <f>(0.6*T3053+0.7*U3053)*$R$2984/2</f>
        <v>0</v>
      </c>
      <c r="X3053">
        <f>(0.6*T3053+0.6*V3053)*$R$2984/2</f>
        <v>0</v>
      </c>
      <c r="Z3053">
        <f>IF(S3053=0,0,$AD$2984*$AP$2965)</f>
        <v>0</v>
      </c>
      <c r="AA3053">
        <f>IFERROR(Z3053/$R$2984,0)</f>
        <v>0</v>
      </c>
      <c r="AB3053">
        <f>Z3053*($F$21+IF($F$21=0,0,($C$14+$C$15+IF($C$13="single",1.5,3)+3)/12))</f>
        <v>0</v>
      </c>
      <c r="AC3053">
        <f>AB3053-W3053</f>
        <v>0</v>
      </c>
      <c r="AD3053" cm="1">
        <f t="array" ref="AD3053">IFERROR(IF(AC3053&lt;0,0,AC3053/($R$2984-INDEX(hd_off,MATCH(AQ3053,hd_mark,0),0)/12)),0)</f>
        <v>0</v>
      </c>
      <c r="AE3053">
        <f>IF(S3053=0,0,$AD$2984*$AM$2965)</f>
        <v>0</v>
      </c>
      <c r="AF3053">
        <f>IFERROR(AE3053/$R$2984,0)</f>
        <v>0</v>
      </c>
      <c r="AG3053">
        <f>AE3053*($F$21+IF($F$21=0,0,($C$14+$C$15+IF($C$13="single",1.5,3)+3)/12))</f>
        <v>0</v>
      </c>
      <c r="AH3053">
        <f>AG3053-X3053</f>
        <v>0</v>
      </c>
      <c r="AI3053" cm="1">
        <f t="array" ref="AI3053">IFERROR(IF(AH3053&lt;0,0,AH3053/($R$2984-INDEX(hd_off,MATCH(AQ3053,hd_mark,0),0)/12)),0)</f>
        <v>0</v>
      </c>
      <c r="AJ3053">
        <f>MAX($F$21,$Y$2984)/$Q$2996</f>
        <v>0.30172413793103448</v>
      </c>
      <c r="AK3053">
        <f>IF(AJ3053=0,0,IF(AJ3053&gt;2,1.25-0.125*AJ3053,1))</f>
        <v>1</v>
      </c>
      <c r="AL3053" cm="1">
        <f t="array" ref="AL3053">IFERROR(INDEX(sheath_ecap_asd,MATCH(AP3053,sheath_mark,0),0)*AK3053,0)</f>
        <v>0</v>
      </c>
      <c r="AM3053" cm="1">
        <f t="array" ref="AM3053">IFERROR(INDEX(sheath_wcap_asd,MATCH(AP3053,sheath_mark,0),0)*AK3053,0)</f>
        <v>0</v>
      </c>
      <c r="AN3053" cm="1">
        <f t="array" ref="AN3053">IFERROR(INDEX(hd_cap,MATCH(AQ3053,hd_mark,0),0),0)</f>
        <v>0</v>
      </c>
      <c r="AP3053" s="19"/>
      <c r="AQ3053" s="19"/>
      <c r="AR3053" s="100"/>
      <c r="AS3053" s="93"/>
      <c r="AT3053" s="110" t="str">
        <f>$AT$2984</f>
        <v>1.11</v>
      </c>
      <c r="AU3053" t="str">
        <f>$Q$2965</f>
        <v>L2</v>
      </c>
      <c r="AV3053">
        <f>$E$21</f>
        <v>10.6875</v>
      </c>
      <c r="AW3053" cm="1">
        <f t="array" ref="AW3053">IFERROR(IF(AV3053=0,0,(INDEX($C$33:$C$38,MATCH($AZ$2984,$B$33:$B$38,0),0)*(AV3057+$BA$2984)+$AW$2984*COUNTIF(AV3053:AV3056,"&gt;0")*$C$32+$AY$2984*$C$31)*$AU$2984),0)</f>
        <v>0</v>
      </c>
      <c r="AX3053">
        <f>IF(AV3053=0,0,-(COUNTIF(AV3053:AV3056,"&gt;0")*$AW$2984*$C$32+$AY$2984*$C$31)*$H$27*$AU$2984)</f>
        <v>0</v>
      </c>
      <c r="AY3053">
        <f>IF(AV3053=0,0,$AY$2984*$H$26*$AU$2984)</f>
        <v>0</v>
      </c>
      <c r="AZ3053">
        <f>(0.6*AW3053+0.7*AX3053)*$AU$2984/2</f>
        <v>0</v>
      </c>
      <c r="BA3053">
        <f>(0.6*AW3053+0.6*AY3053)*$AU$2984/2</f>
        <v>0</v>
      </c>
      <c r="BC3053">
        <f>IF(AV3053=0,0,$BG$2984*$AP$2965)</f>
        <v>0</v>
      </c>
      <c r="BD3053">
        <f>IFERROR(BC3053/$AU$2984,0)</f>
        <v>0</v>
      </c>
      <c r="BE3053">
        <f>BC3053*($F$21+IF($F$21=0,0,($C$14+$C$15+IF($C$13="single",1.5,3)+3)/12))</f>
        <v>0</v>
      </c>
      <c r="BF3053">
        <f>BE3053-AZ3053</f>
        <v>0</v>
      </c>
      <c r="BG3053" cm="1">
        <f t="array" ref="BG3053">IFERROR(IF(BF3053&lt;0,0,BF3053/($AU$2984-INDEX(hd_off,MATCH(BT3053,hd_mark,0),0)/12)),0)</f>
        <v>0</v>
      </c>
      <c r="BH3053">
        <f>IF(AV3053=0,0,$BG$2984*$AM$2965)</f>
        <v>0</v>
      </c>
      <c r="BI3053">
        <f>IFERROR(BH3053/$AU$2984,0)</f>
        <v>0</v>
      </c>
      <c r="BJ3053">
        <f>BH3053*($F$21+IF($F$21=0,0,($C$14+$C$15+IF($C$13="single",1.5,3)+3)/12))</f>
        <v>0</v>
      </c>
      <c r="BK3053">
        <f>BJ3053-BA3053</f>
        <v>0</v>
      </c>
      <c r="BL3053" cm="1">
        <f t="array" ref="BL3053">IFERROR(IF(BK3053&lt;0,0,BK3053/($AU$2984-INDEX(hd_off,MATCH(BT3053,hd_mark,0),0)/12)),0)</f>
        <v>0</v>
      </c>
      <c r="BM3053">
        <f>MAX($F$21,$BB$2984)/$Q$2996</f>
        <v>0.30172413793103448</v>
      </c>
      <c r="BN3053">
        <f>IF(BM3053=0,0,IF(BM3053&gt;2,1.25-0.125*BM3053,1))</f>
        <v>1</v>
      </c>
      <c r="BO3053" cm="1">
        <f t="array" ref="BO3053">IFERROR(INDEX(sheath_ecap_asd,MATCH(BS3053,sheath_mark,0),0)*BN3053,0)</f>
        <v>0</v>
      </c>
      <c r="BP3053" cm="1">
        <f t="array" ref="BP3053">IFERROR(INDEX(sheath_wcap_asd,MATCH(BS3053,sheath_mark,0),0)*BN3053,0)</f>
        <v>0</v>
      </c>
      <c r="BQ3053" cm="1">
        <f t="array" ref="BQ3053">IFERROR(INDEX(hd_cap,MATCH(BT3053,hd_mark,0),0),0)</f>
        <v>0</v>
      </c>
      <c r="BS3053" s="19"/>
      <c r="BT3053" s="19"/>
      <c r="BU3053" s="100"/>
    </row>
    <row r="3054" x14ac:dyDescent="0.25">
      <c r="P3054" s="93"/>
      <c r="Q3054" s="109"/>
      <c r="R3054" t="str">
        <f>$Q$2966</f>
        <v>L3</v>
      </c>
      <c r="S3054">
        <f>$E$22</f>
        <v>21.375</v>
      </c>
      <c r="T3054" cm="1">
        <f t="array" ref="T3054">IFERROR(IF(S3054=0,0,(INDEX($C$33:$C$38,MATCH($W$2984,$B$33:$B$38,0),0)*(S3057+$X$2984)+$T$2984*COUNTIF(S3054:S3056,"&gt;0")*$C$32+$V$2984*$C$31)*$R$2984),0)</f>
        <v>0</v>
      </c>
      <c r="U3054">
        <f>IF(S3054=0,0,-(COUNTIF(S3054:S3056,"&gt;0")*$T$2984*$C$32+$V$2984*$C$31)*$H$27*$R$2984)</f>
        <v>0</v>
      </c>
      <c r="V3054">
        <f>IF(S3054=0,0,$V$2984*$H$26*$R$2984)</f>
        <v>0</v>
      </c>
      <c r="W3054">
        <f>(0.6*T3054+0.7*U3054)*$R$2984/2</f>
        <v>0</v>
      </c>
      <c r="X3054">
        <f>T3054*$R$2984/2</f>
        <v>0</v>
      </c>
      <c r="Z3054">
        <f>IF(S3054=0,0,$AD$2984*$AP$2966)</f>
        <v>0</v>
      </c>
      <c r="AA3054">
        <f>IFERROR(Z3054/$R$2984,0)</f>
        <v>0</v>
      </c>
      <c r="AB3054">
        <f>Z3054*($F$22+IF($F$22=0,0,($C$14+$C$15+IF($C$13="single",1.5,3)+3)/12))</f>
        <v>0</v>
      </c>
      <c r="AC3054">
        <f>AB3054-W3054</f>
        <v>0</v>
      </c>
      <c r="AD3054" cm="1">
        <f t="array" ref="AD3054">IFERROR(IF(AC3054&lt;0,0,AC3054/($R$2984-INDEX(hd_off,MATCH(AQ3054,hd_mark,0),0)/12)),0)</f>
        <v>0</v>
      </c>
      <c r="AE3054">
        <f>IF(S3054=0,0,$AD$2984*$AM$2966)</f>
        <v>0</v>
      </c>
      <c r="AF3054">
        <f>IFERROR(AE3054/$R$2984,0)</f>
        <v>0</v>
      </c>
      <c r="AG3054">
        <f>AE3054*($F$22+IF($F$22=0,0,($C$14+$C$15+IF($C$13="single",1.5,3)+3)/12))</f>
        <v>0</v>
      </c>
      <c r="AH3054">
        <f>AG3054-X3054</f>
        <v>0</v>
      </c>
      <c r="AI3054" cm="1">
        <f t="array" ref="AI3054">IFERROR(IF(AH3054&lt;0,0,AH3054/($R$2984-INDEX(hd_off,MATCH(AQ3054,hd_mark,0),0)/12)),0)</f>
        <v>0</v>
      </c>
      <c r="AJ3054">
        <f>MAX($F$22,$Z$2984)/$Q$2996</f>
        <v>0.30172413793103448</v>
      </c>
      <c r="AK3054">
        <f t="shared" ref="AK3054:AK3057" si="1883">IF(AJ3054=0,0,IF(AJ3054&gt;2,1.25-0.125*AJ3054,1))</f>
        <v>1</v>
      </c>
      <c r="AL3054" cm="1">
        <f t="array" ref="AL3054">IFERROR(INDEX(sheath_ecap_asd,MATCH(AP3054,sheath_mark,0),0)*AK3054,0)</f>
        <v>0</v>
      </c>
      <c r="AM3054" cm="1">
        <f t="array" ref="AM3054">IFERROR(INDEX(sheath_wcap_asd,MATCH(AP3054,sheath_mark,0),0)*AK3054,0)</f>
        <v>0</v>
      </c>
      <c r="AN3054" cm="1">
        <f t="array" ref="AN3054">IFERROR(INDEX(hd_cap,MATCH(AQ3054,hd_mark,0),0),0)</f>
        <v>0</v>
      </c>
      <c r="AP3054" s="19"/>
      <c r="AQ3054" s="19"/>
      <c r="AR3054" s="100"/>
      <c r="AS3054" s="93"/>
      <c r="AT3054" s="109"/>
      <c r="AU3054" t="str">
        <f>$Q$2966</f>
        <v>L3</v>
      </c>
      <c r="AV3054">
        <f>$E$22</f>
        <v>21.375</v>
      </c>
      <c r="AW3054" cm="1">
        <f t="array" ref="AW3054">IFERROR(IF(AV3054=0,0,(INDEX($C$33:$C$38,MATCH($AZ$2984,$B$33:$B$38,0),0)*(AV3057+$BA$2984)+$AW$2984*COUNTIF(AV3054:AV3056,"&gt;0")*$C$32+$AY$2984*$C$31)*$AU$2984),0)</f>
        <v>0</v>
      </c>
      <c r="AX3054">
        <f>IF(AV3054=0,0,-(COUNTIF(AV3054:AV3056,"&gt;0")*$AW$2984*$C$32+$AY$2984*$C$31)*$H$27*$AU$2984)</f>
        <v>0</v>
      </c>
      <c r="AY3054">
        <f>IF(AV3054=0,0,$AY$2984*$H$26*$AU$2984)</f>
        <v>0</v>
      </c>
      <c r="AZ3054">
        <f>(0.6*AW3054+0.7*AX3054)*$AU$2984/2</f>
        <v>0</v>
      </c>
      <c r="BA3054">
        <f>AW3054*$AU$2984/2</f>
        <v>0</v>
      </c>
      <c r="BC3054">
        <f>IF(AV3054=0,0,$BG$2984*$AP$2966)</f>
        <v>0</v>
      </c>
      <c r="BD3054">
        <f>IFERROR(BC3054/$AU$2984,0)</f>
        <v>0</v>
      </c>
      <c r="BE3054">
        <f>BC3054*($F$22+IF($F$22=0,0,($C$14+$C$15+IF($C$13="single",1.5,3)+3)/12))</f>
        <v>0</v>
      </c>
      <c r="BF3054">
        <f>BE3054-AZ3054</f>
        <v>0</v>
      </c>
      <c r="BG3054" cm="1">
        <f t="array" ref="BG3054">IFERROR(IF(BF3054&lt;0,0,BF3054/($AU$2984-INDEX(hd_off,MATCH(BT3054,hd_mark,0),0)/12)),0)</f>
        <v>0</v>
      </c>
      <c r="BH3054">
        <f>IF(AV3054=0,0,$BG$2984*$AM$2966)</f>
        <v>0</v>
      </c>
      <c r="BI3054">
        <f>IFERROR(BH3054/$AU$2984,0)</f>
        <v>0</v>
      </c>
      <c r="BJ3054">
        <f>BH3054*($F$22+IF($F$22=0,0,($C$14+$C$15+IF($C$13="single",1.5,3)+3)/12))</f>
        <v>0</v>
      </c>
      <c r="BK3054">
        <f>BJ3054-BA3054</f>
        <v>0</v>
      </c>
      <c r="BL3054" cm="1">
        <f t="array" ref="BL3054">IFERROR(IF(BK3054&lt;0,0,BK3054/($AU$2984-INDEX(hd_off,MATCH(BT3054,hd_mark,0),0)/12)),0)</f>
        <v>0</v>
      </c>
      <c r="BM3054">
        <f>MAX($F$22,$BC$2984)/$Q$2996</f>
        <v>0.30172413793103448</v>
      </c>
      <c r="BN3054">
        <f t="shared" ref="BN3054:BN3057" si="1884">IF(BM3054=0,0,IF(BM3054&gt;2,1.25-0.125*BM3054,1))</f>
        <v>1</v>
      </c>
      <c r="BO3054" cm="1">
        <f t="array" ref="BO3054">IFERROR(INDEX(sheath_ecap_asd,MATCH(BS3054,sheath_mark,0),0)*BN3054,0)</f>
        <v>0</v>
      </c>
      <c r="BP3054" cm="1">
        <f t="array" ref="BP3054">IFERROR(INDEX(sheath_wcap_asd,MATCH(BS3054,sheath_mark,0),0)*BN3054,0)</f>
        <v>0</v>
      </c>
      <c r="BQ3054" cm="1">
        <f t="array" ref="BQ3054">IFERROR(INDEX(hd_cap,MATCH(BT3054,hd_mark,0),0),0)</f>
        <v>0</v>
      </c>
      <c r="BS3054" s="19"/>
      <c r="BT3054" s="19"/>
      <c r="BU3054" s="100"/>
    </row>
    <row r="3055" x14ac:dyDescent="0.25">
      <c r="P3055" s="93"/>
      <c r="Q3055" s="109" t="s">
        <v>491</v>
      </c>
      <c r="R3055" t="str">
        <f>$Q$2967</f>
        <v>L4</v>
      </c>
      <c r="S3055">
        <f>$E$23</f>
        <v>0</v>
      </c>
      <c r="T3055" cm="1">
        <f t="array" ref="T3055">IFERROR(IF(S3055=0,0,(INDEX($C$33:$C$38,MATCH($W$2984,$B$33:$B$38,0),0)*(S3057+$X$2984)+$T$2984*COUNTIF(S3055:S3056,"&gt;0")*$C$32+$V$2984*$C$31)*$R$2984),0)</f>
        <v>0</v>
      </c>
      <c r="U3055">
        <f>IF(S3055=0,0,-(COUNTIF(S3055:S3056,"&gt;0")*$T$2984*$C$32+$V$2984*$C$31)*$H$27*$R$2984)</f>
        <v>0</v>
      </c>
      <c r="V3055">
        <f>IF(S3055=0,0,$V$2984*$H$26*$R$2984)</f>
        <v>0</v>
      </c>
      <c r="W3055">
        <f>(0.6*T3055+0.7*U3055)*$R$2984/2</f>
        <v>0</v>
      </c>
      <c r="X3055">
        <f>T3055*$R$2984/2</f>
        <v>0</v>
      </c>
      <c r="Z3055">
        <f>IF(S3055=0,0,$AD$2984*$AP$2967)</f>
        <v>0</v>
      </c>
      <c r="AA3055">
        <f>IFERROR(Z3055/$R$2984,0)</f>
        <v>0</v>
      </c>
      <c r="AB3055">
        <f>Z3055*($F$23+IF($F$23=0,0,($C$14+$C$15+IF($C$13="single",1.5,3)+3)/12))</f>
        <v>0</v>
      </c>
      <c r="AC3055">
        <f>AB3055-W3055</f>
        <v>0</v>
      </c>
      <c r="AD3055" cm="1">
        <f t="array" ref="AD3055">IFERROR(IF(AC3055&lt;0,0,AC3055/($R$2984-INDEX(hd_off,MATCH(AQ3055,hd_mark,0),0)/12)),0)</f>
        <v>0</v>
      </c>
      <c r="AE3055">
        <f>IF(S3055=0,0,$AD$2984*$AM$2967)</f>
        <v>0</v>
      </c>
      <c r="AF3055">
        <f>IFERROR(AE3055/$R$2984,0)</f>
        <v>0</v>
      </c>
      <c r="AG3055">
        <f>AE3055*($F$23+IF($F$23=0,0,($C$14+$C$15+IF($C$13="single",1.5,3)+3)/12))</f>
        <v>0</v>
      </c>
      <c r="AH3055">
        <f>AG3055-X3055</f>
        <v>0</v>
      </c>
      <c r="AI3055" cm="1">
        <f t="array" ref="AI3055">IFERROR(IF(AH3055&lt;0,0,AH3055/($R$2984-INDEX(hd_off,MATCH(AQ3055,hd_mark,0),0)/12)),0)</f>
        <v>0</v>
      </c>
      <c r="AJ3055">
        <f>MAX($F$23,$AA$2984)/$Q$2996</f>
        <v>0</v>
      </c>
      <c r="AK3055">
        <f t="shared" si="1883"/>
        <v>0</v>
      </c>
      <c r="AL3055" cm="1">
        <f t="array" ref="AL3055">IFERROR(INDEX(sheath_ecap_asd,MATCH(AP3055,sheath_mark,0),0)*AK3055,0)</f>
        <v>0</v>
      </c>
      <c r="AM3055" cm="1">
        <f t="array" ref="AM3055">IFERROR(INDEX(sheath_wcap_asd,MATCH(AP3055,sheath_mark,0),0)*AK3055,0)</f>
        <v>0</v>
      </c>
      <c r="AN3055" cm="1">
        <f t="array" ref="AN3055">IFERROR(INDEX(hd_cap,MATCH(AQ3055,hd_mark,0),0),0)</f>
        <v>0</v>
      </c>
      <c r="AP3055" s="19"/>
      <c r="AQ3055" s="19"/>
      <c r="AR3055" s="100"/>
      <c r="AS3055" s="93"/>
      <c r="AT3055" s="109" t="s">
        <v>491</v>
      </c>
      <c r="AU3055" t="str">
        <f>$Q$2967</f>
        <v>L4</v>
      </c>
      <c r="AV3055">
        <f>$E$23</f>
        <v>0</v>
      </c>
      <c r="AW3055" cm="1">
        <f t="array" ref="AW3055">IFERROR(IF(AV3055=0,0,(INDEX($C$33:$C$38,MATCH($AZ$2984,$B$33:$B$38,0),0)*(AV3057+$BA$2984)+$AW$2984*COUNTIF(AV3055:AV3056,"&gt;0")*$C$32+$AY$2984*$C$31)*$AU$2984),0)</f>
        <v>0</v>
      </c>
      <c r="AX3055">
        <f>IF(AV3055=0,0,-(COUNTIF(AV3055:AV3056,"&gt;0")*$AW$2984*$C$32+$AY$2984*$C$31)*$H$27*$AU$2984)</f>
        <v>0</v>
      </c>
      <c r="AY3055">
        <f>IF(AV3055=0,0,$AY$2984*$H$26*$AU$2984)</f>
        <v>0</v>
      </c>
      <c r="AZ3055">
        <f>(0.6*AW3055+0.7*AX3055)*$AU$2984/2</f>
        <v>0</v>
      </c>
      <c r="BA3055">
        <f>AW3055*$AU$2984/2</f>
        <v>0</v>
      </c>
      <c r="BC3055">
        <f>IF(AV3055=0,0,$BG$2984*$AP$2967)</f>
        <v>0</v>
      </c>
      <c r="BD3055">
        <f>IFERROR(BC3055/$AU$2984,0)</f>
        <v>0</v>
      </c>
      <c r="BE3055">
        <f>BC3055*($F$23+IF($F$23=0,0,($C$14+$C$15+IF($C$13="single",1.5,3)+3)/12))</f>
        <v>0</v>
      </c>
      <c r="BF3055">
        <f>BE3055-AZ3055</f>
        <v>0</v>
      </c>
      <c r="BG3055" cm="1">
        <f t="array" ref="BG3055">IFERROR(IF(BF3055&lt;0,0,BF3055/($AU$2984-INDEX(hd_off,MATCH(BT3055,hd_mark,0),0)/12)),0)</f>
        <v>0</v>
      </c>
      <c r="BH3055">
        <f>IF(AV3055=0,0,$BG$2984*$AM$2967)</f>
        <v>0</v>
      </c>
      <c r="BI3055">
        <f>IFERROR(BH3055/$AU$2984,0)</f>
        <v>0</v>
      </c>
      <c r="BJ3055">
        <f>BH3055*($F$23+IF($F$23=0,0,($C$14+$C$15+IF($C$13="single",1.5,3)+3)/12))</f>
        <v>0</v>
      </c>
      <c r="BK3055">
        <f>BJ3055-BA3055</f>
        <v>0</v>
      </c>
      <c r="BL3055" cm="1">
        <f t="array" ref="BL3055">IFERROR(IF(BK3055&lt;0,0,BK3055/($AU$2984-INDEX(hd_off,MATCH(BT3055,hd_mark,0),0)/12)),0)</f>
        <v>0</v>
      </c>
      <c r="BM3055">
        <f>MAX($F$23,$BD$2984)/$Q$2996</f>
        <v>0</v>
      </c>
      <c r="BN3055">
        <f t="shared" si="1884"/>
        <v>0</v>
      </c>
      <c r="BO3055" cm="1">
        <f t="array" ref="BO3055">IFERROR(INDEX(sheath_ecap_asd,MATCH(BS3055,sheath_mark,0),0)*BN3055,0)</f>
        <v>0</v>
      </c>
      <c r="BP3055" cm="1">
        <f t="array" ref="BP3055">IFERROR(INDEX(sheath_wcap_asd,MATCH(BS3055,sheath_mark,0),0)*BN3055,0)</f>
        <v>0</v>
      </c>
      <c r="BQ3055" cm="1">
        <f t="array" ref="BQ3055">IFERROR(INDEX(hd_cap,MATCH(BT3055,hd_mark,0),0),0)</f>
        <v>0</v>
      </c>
      <c r="BS3055" s="19"/>
      <c r="BT3055" s="19"/>
      <c r="BU3055" s="100"/>
    </row>
    <row r="3056" x14ac:dyDescent="0.25">
      <c r="P3056" s="93"/>
      <c r="Q3056" s="111">
        <f>$R$2984</f>
        <v>0</v>
      </c>
      <c r="R3056" t="str">
        <f>$Q$2968</f>
        <v>L5</v>
      </c>
      <c r="S3056">
        <f>$E$24</f>
        <v>0</v>
      </c>
      <c r="T3056" cm="1">
        <f t="array" ref="T3056">IFERROR(IF(S3056=0,0,(INDEX($C$33:$C$38,MATCH($W$2984,$B$33:$B$38,0),0)*(S3057+$X$2984)+$T$2984*COUNTIF(S3056:S3056,"&gt;0")*$C$32+$V$2984*$C$31)*$R$2984),0)</f>
        <v>0</v>
      </c>
      <c r="U3056">
        <f>IF(S3056=0,0,-(COUNTIF(S3056:S3056,"&gt;0")*$T$2984*$C$32+$V$2984*$C$31)*$H$27*$R$2984)</f>
        <v>0</v>
      </c>
      <c r="V3056">
        <f>IF(S3056=0,0,$V$2984*$H$26*$R$2984)</f>
        <v>0</v>
      </c>
      <c r="W3056">
        <f>(0.6*T3056+0.7*U3056)*$R$2984/2</f>
        <v>0</v>
      </c>
      <c r="X3056">
        <f>T3056*$R$2984/2</f>
        <v>0</v>
      </c>
      <c r="Z3056">
        <f>IF(S3056=0,0,$AD$2984*$AP$2968)</f>
        <v>0</v>
      </c>
      <c r="AA3056">
        <f>IFERROR(Z3056/$R$2984,0)</f>
        <v>0</v>
      </c>
      <c r="AB3056">
        <f>Z3056*($F$24+IF($F$24=0,0,($C$14+$C$15+IF($C$13="single",1.5,3)+3)/12))</f>
        <v>0</v>
      </c>
      <c r="AC3056">
        <f>AB3056-W3056</f>
        <v>0</v>
      </c>
      <c r="AD3056" cm="1">
        <f t="array" ref="AD3056">IFERROR(IF(AC3056&lt;0,0,AC3056/($R$2984-INDEX(hd_off,MATCH(AQ3056,hd_mark,0),0)/12)),0)</f>
        <v>0</v>
      </c>
      <c r="AE3056">
        <f>IF(S3056=0,0,$AD$2984*$AM$2968)</f>
        <v>0</v>
      </c>
      <c r="AF3056">
        <f>IFERROR(AE3056/$R$2984,0)</f>
        <v>0</v>
      </c>
      <c r="AG3056">
        <f>AE3056*($F$24+IF($F$24=0,0,($C$14+$C$15+IF($C$13="single",1.5,3)+3)/12))</f>
        <v>0</v>
      </c>
      <c r="AH3056">
        <f>AG3056-X3056</f>
        <v>0</v>
      </c>
      <c r="AI3056" cm="1">
        <f t="array" ref="AI3056">IFERROR(IF(AH3056&lt;0,0,AH3056/($R$2984-INDEX(hd_off,MATCH(AQ3056,hd_mark,0),0)/12)),0)</f>
        <v>0</v>
      </c>
      <c r="AJ3056">
        <f>MAX($F$24,$AB$2984)/$Q$2996</f>
        <v>0</v>
      </c>
      <c r="AK3056">
        <f t="shared" si="1883"/>
        <v>0</v>
      </c>
      <c r="AL3056" cm="1">
        <f t="array" ref="AL3056">IFERROR(INDEX(sheath_ecap_asd,MATCH(AP3056,sheath_mark,0),0)*AK3056,0)</f>
        <v>0</v>
      </c>
      <c r="AM3056" cm="1">
        <f t="array" ref="AM3056">IFERROR(INDEX(sheath_wcap_asd,MATCH(AP3056,sheath_mark,0),0)*AK3056,0)</f>
        <v>0</v>
      </c>
      <c r="AN3056" cm="1">
        <f t="array" ref="AN3056">IFERROR(INDEX(hd_cap,MATCH(AQ3056,hd_mark,0),0),0)</f>
        <v>0</v>
      </c>
      <c r="AP3056" s="19"/>
      <c r="AQ3056" s="19"/>
      <c r="AR3056" s="100"/>
      <c r="AS3056" s="93"/>
      <c r="AT3056" s="111">
        <f>$R$2984</f>
        <v>0</v>
      </c>
      <c r="AU3056" t="str">
        <f>$Q$2968</f>
        <v>L5</v>
      </c>
      <c r="AV3056">
        <f>$E$24</f>
        <v>0</v>
      </c>
      <c r="AW3056" cm="1">
        <f t="array" ref="AW3056">IFERROR(IF(AV3056=0,0,(INDEX($C$33:$C$38,MATCH($AZ$2984,$B$33:$B$38,0),0)*(AV3057+$BA$2984)+$AW$2984*COUNTIF(AV3056:AV3056,"&gt;0")*$C$32+$AY$2984*$C$31)*$AU$2984),0)</f>
        <v>0</v>
      </c>
      <c r="AX3056">
        <f>IF(AV3056=0,0,-(COUNTIF(AV3056:AV3056,"&gt;0")*$AW$2984*$C$32+$AY$2984*$C$31)*$H$27*$AU$2984)</f>
        <v>0</v>
      </c>
      <c r="AY3056">
        <f>IF(AV3056=0,0,$AY$2984*$H$26*$AU$2984)</f>
        <v>0</v>
      </c>
      <c r="AZ3056">
        <f>(0.6*AW3056+0.7*AX3056)*$AU$2984/2</f>
        <v>0</v>
      </c>
      <c r="BA3056">
        <f>AW3056*$AU$2984/2</f>
        <v>0</v>
      </c>
      <c r="BC3056">
        <f>IF(AV3056=0,0,$BG$2984*$AP$2968)</f>
        <v>0</v>
      </c>
      <c r="BD3056">
        <f>IFERROR(BC3056/$AU$2984,0)</f>
        <v>0</v>
      </c>
      <c r="BE3056">
        <f>BC3056*($F$24+IF($F$24=0,0,($C$14+$C$15+IF($C$13="single",1.5,3)+3)/12))</f>
        <v>0</v>
      </c>
      <c r="BF3056">
        <f>BE3056-AZ3056</f>
        <v>0</v>
      </c>
      <c r="BG3056" cm="1">
        <f t="array" ref="BG3056">IFERROR(IF(BF3056&lt;0,0,BF3056/($AU$2984-INDEX(hd_off,MATCH(BT3056,hd_mark,0),0)/12)),0)</f>
        <v>0</v>
      </c>
      <c r="BH3056">
        <f>IF(AV3056=0,0,$BG$2984*$AM$2968)</f>
        <v>0</v>
      </c>
      <c r="BI3056">
        <f>IFERROR(BH3056/$AU$2984,0)</f>
        <v>0</v>
      </c>
      <c r="BJ3056">
        <f>BH3056*($F$24+IF($F$24=0,0,($C$14+$C$15+IF($C$13="single",1.5,3)+3)/12))</f>
        <v>0</v>
      </c>
      <c r="BK3056">
        <f>BJ3056-BA3056</f>
        <v>0</v>
      </c>
      <c r="BL3056" cm="1">
        <f t="array" ref="BL3056">IFERROR(IF(BK3056&lt;0,0,BK3056/($AU$2984-INDEX(hd_off,MATCH(BT3056,hd_mark,0),0)/12)),0)</f>
        <v>0</v>
      </c>
      <c r="BM3056">
        <f>MAX($F$24,$BE$2984)/$Q$2996</f>
        <v>0</v>
      </c>
      <c r="BN3056">
        <f t="shared" si="1884"/>
        <v>0</v>
      </c>
      <c r="BO3056" cm="1">
        <f t="array" ref="BO3056">IFERROR(INDEX(sheath_ecap_asd,MATCH(BS3056,sheath_mark,0),0)*BN3056,0)</f>
        <v>0</v>
      </c>
      <c r="BP3056" cm="1">
        <f t="array" ref="BP3056">IFERROR(INDEX(sheath_wcap_asd,MATCH(BS3056,sheath_mark,0),0)*BN3056,0)</f>
        <v>0</v>
      </c>
      <c r="BQ3056" cm="1">
        <f t="array" ref="BQ3056">IFERROR(INDEX(hd_cap,MATCH(BT3056,hd_mark,0),0),0)</f>
        <v>0</v>
      </c>
      <c r="BS3056" s="19"/>
      <c r="BT3056" s="19"/>
      <c r="BU3056" s="100"/>
    </row>
    <row r="3057" x14ac:dyDescent="0.25">
      <c r="P3057" s="93"/>
      <c r="Q3057" s="109"/>
      <c r="R3057" t="str">
        <f>$Q$2969</f>
        <v>Roof</v>
      </c>
      <c r="S3057">
        <f>$E$25</f>
        <v>33.171875</v>
      </c>
      <c r="T3057" cm="1">
        <f t="array" ref="T3057">IFERROR(IF(S3057=0,0,(INDEX($C$33:$C$38,MATCH($W$2984,$B$33:$B$38,0),0)*(S3057+$X$2984)+$V$2984*$C$31)*$R$2984),0)</f>
        <v>0</v>
      </c>
      <c r="U3057">
        <f>IF(S3057=0,0,-$V$2984*$C$31*$H$27*$R$2984)</f>
        <v>0</v>
      </c>
      <c r="V3057">
        <f>IF(S3057=0,0,$V$2984*$H$26*$R$2984)</f>
        <v>0</v>
      </c>
      <c r="W3057">
        <f>(0.6*T3057+0.7*U3057)*$R$2984/2</f>
        <v>0</v>
      </c>
      <c r="X3057">
        <f>T3057*$R$2984/2</f>
        <v>0</v>
      </c>
      <c r="Z3057">
        <f>IF(S3057=0,0,$AD$2984*$AP$2969)</f>
        <v>0</v>
      </c>
      <c r="AA3057">
        <f>IFERROR(Z3057/$R$2984,0)</f>
        <v>0</v>
      </c>
      <c r="AB3057">
        <f>Z3057*($F$25+($C$16+$C$17+IF($C$13="single",1.5,3)+3)/12)</f>
        <v>0</v>
      </c>
      <c r="AC3057">
        <f>AB3057-W3057</f>
        <v>0</v>
      </c>
      <c r="AD3057" cm="1">
        <f t="array" ref="AD3057">IFERROR(IF(AC3057&lt;0,0,AC3057/($R$2984-INDEX(hd_off,MATCH(AQ3057,hd_mark,0),0)/12)),0)</f>
        <v>0</v>
      </c>
      <c r="AE3057">
        <f>IF(S3057=0,0,$AD$2984*$AM$2969)</f>
        <v>0</v>
      </c>
      <c r="AF3057">
        <f>IFERROR(AE3057/$R$2984,0)</f>
        <v>0</v>
      </c>
      <c r="AG3057">
        <f>AE3057*($F$25+($C$16+$C$17+IF($C$13="single",1.5,3)+3)/12)</f>
        <v>0</v>
      </c>
      <c r="AH3057">
        <f>AG3057-X3057</f>
        <v>0</v>
      </c>
      <c r="AI3057" cm="1">
        <f t="array" ref="AI3057">IFERROR(IF(AH3057&lt;0,0,AH3057/($R$2984-INDEX(hd_off,MATCH(AQ3057,hd_mark,0),0)/12)),0)</f>
        <v>0</v>
      </c>
      <c r="AJ3057">
        <f>MAX($F$25,$AC$2984)/$Q$2996</f>
        <v>0.29920977011494249</v>
      </c>
      <c r="AK3057">
        <f t="shared" si="1883"/>
        <v>1</v>
      </c>
      <c r="AL3057" cm="1">
        <f t="array" ref="AL3057">IFERROR(INDEX(sheath_ecap_asd,MATCH(AP3057,sheath_mark,0),0)*AK3057,0)</f>
        <v>0</v>
      </c>
      <c r="AM3057" cm="1">
        <f t="array" ref="AM3057">IFERROR(INDEX(sheath_wcap_asd,MATCH(AP3057,sheath_mark,0),0)*AK3057,0)</f>
        <v>0</v>
      </c>
      <c r="AN3057" cm="1">
        <f t="array" ref="AN3057">IFERROR(INDEX(hd_cap,MATCH(AQ3057,hd_mark,0),0),0)</f>
        <v>0</v>
      </c>
      <c r="AP3057" s="19"/>
      <c r="AQ3057" s="19"/>
      <c r="AR3057" s="100"/>
      <c r="AS3057" s="93"/>
      <c r="AT3057" s="109"/>
      <c r="AU3057" t="str">
        <f>$Q$2969</f>
        <v>Roof</v>
      </c>
      <c r="AV3057">
        <f>$E$25</f>
        <v>33.171875</v>
      </c>
      <c r="AW3057" cm="1">
        <f t="array" ref="AW3057">IFERROR(IF(AV3057=0,0,(INDEX($C$33:$C$38,MATCH($AZ$2984,$B$33:$B$38,0),0)*(AV3057+$BA$2984)+$AY$2984*$C$31)*$AU$2984),0)</f>
        <v>0</v>
      </c>
      <c r="AX3057">
        <f>IF(AV3057=0,0,-$AY$2984*$C$31*$H$27*$AU$2984)</f>
        <v>0</v>
      </c>
      <c r="AY3057">
        <f>IF(AV3057=0,0,$AY$2984*$H$26*$AU$2984)</f>
        <v>0</v>
      </c>
      <c r="AZ3057">
        <f>(0.6*AW3057+0.7*AX3057)*$AU$2984/2</f>
        <v>0</v>
      </c>
      <c r="BA3057">
        <f>AW3057*$AU$2984/2</f>
        <v>0</v>
      </c>
      <c r="BC3057">
        <f>IF(AV3057=0,0,$BG$2984*$AP$2969)</f>
        <v>0</v>
      </c>
      <c r="BD3057">
        <f>IFERROR(BC3057/$AU$2984,0)</f>
        <v>0</v>
      </c>
      <c r="BE3057">
        <f>BC3057*($F$25+($C$16+$C$17+IF($C$13="single",1.5,3)+3)/12)</f>
        <v>0</v>
      </c>
      <c r="BF3057">
        <f>BE3057-AZ3057</f>
        <v>0</v>
      </c>
      <c r="BG3057" cm="1">
        <f t="array" ref="BG3057">IFERROR(IF(BF3057&lt;0,0,BF3057/($AU$2984-INDEX(hd_off,MATCH(BT3057,hd_mark,0),0)/12)),0)</f>
        <v>0</v>
      </c>
      <c r="BH3057">
        <f>IF(AV3057=0,0,$BG$2984*$AM$2969)</f>
        <v>0</v>
      </c>
      <c r="BI3057">
        <f>IFERROR(BH3057/$AU$2984,0)</f>
        <v>0</v>
      </c>
      <c r="BJ3057">
        <f>BH3057*($F$25+($C$16+$C$17+IF($C$13="single",1.5,3)+3)/12)</f>
        <v>0</v>
      </c>
      <c r="BK3057">
        <f>BJ3057-BA3057</f>
        <v>0</v>
      </c>
      <c r="BL3057" cm="1">
        <f t="array" ref="BL3057">IFERROR(IF(BK3057&lt;0,0,BK3057/($AU$2984-INDEX(hd_off,MATCH(BT3057,hd_mark,0),0)/12)),0)</f>
        <v>0</v>
      </c>
      <c r="BM3057">
        <f>MAX($F$25,$BF$2984)/$Q$2996</f>
        <v>0.29920977011494249</v>
      </c>
      <c r="BN3057">
        <f t="shared" si="1884"/>
        <v>1</v>
      </c>
      <c r="BO3057" cm="1">
        <f t="array" ref="BO3057">IFERROR(INDEX(sheath_ecap_asd,MATCH(BS3057,sheath_mark,0),0)*BN3057,0)</f>
        <v>0</v>
      </c>
      <c r="BP3057" cm="1">
        <f t="array" ref="BP3057">IFERROR(INDEX(sheath_wcap_asd,MATCH(BS3057,sheath_mark,0),0)*BN3057,0)</f>
        <v>0</v>
      </c>
      <c r="BQ3057" cm="1">
        <f t="array" ref="BQ3057">IFERROR(INDEX(hd_cap,MATCH(BT3057,hd_mark,0),0),0)</f>
        <v>0</v>
      </c>
      <c r="BS3057" s="19"/>
      <c r="BT3057" s="19"/>
      <c r="BU3057" s="100"/>
    </row>
    <row r="3058" x14ac:dyDescent="0.25">
      <c r="P3058" s="93"/>
      <c r="AR3058" s="100"/>
      <c r="AS3058" s="93"/>
      <c r="BU3058" s="100"/>
    </row>
    <row r="3059" x14ac:dyDescent="0.25">
      <c r="P3059" s="93"/>
      <c r="Q3059" s="110" t="str">
        <f>$Q$2985</f>
        <v>A.12</v>
      </c>
      <c r="R3059" t="str">
        <f>$Q$2965</f>
        <v>L2</v>
      </c>
      <c r="S3059">
        <f>$E$21</f>
        <v>10.6875</v>
      </c>
      <c r="T3059" cm="1">
        <f t="array" ref="T3059">IFERROR(IF(S3059=0,0,(INDEX($C$33:$C$38,MATCH($W$2985,$B$33:$B$38,0),0)*(S3063+$X$2985)+$T$2985*COUNTIF(S3059:S3062,"&gt;0")*$C$32+$V$2985*$C$31)*$R$2985),0)</f>
        <v>0</v>
      </c>
      <c r="U3059">
        <f>IF(S3059=0,0,-(COUNTIF(S3059:S3062,"&gt;0")*$T$2985*$C$32+$V$2985*$C$31)*$H$27*$R$2985)</f>
        <v>0</v>
      </c>
      <c r="V3059">
        <f>IF(S3059=0,0,$V$2985*$H$26*$R$2985)</f>
        <v>0</v>
      </c>
      <c r="W3059">
        <f>(0.6*T3059+0.7*U3059)*$R$2985/2</f>
        <v>0</v>
      </c>
      <c r="X3059">
        <f>(0.6*T3059+0.6*V3059)*$R$2985/2</f>
        <v>0</v>
      </c>
      <c r="Z3059">
        <f>IF(S3059=0,0,$AD$2985*$AP$2965)</f>
        <v>0</v>
      </c>
      <c r="AA3059">
        <f>IFERROR(Z3059/$R$2985,0)</f>
        <v>0</v>
      </c>
      <c r="AB3059">
        <f>Z3059*($F$21+IF($F$21=0,0,($C$14+$C$15+IF($C$13="single",1.5,3)+3)/12))</f>
        <v>0</v>
      </c>
      <c r="AC3059">
        <f>AB3059-W3059</f>
        <v>0</v>
      </c>
      <c r="AD3059" cm="1">
        <f t="array" ref="AD3059">IFERROR(IF(AC3059&lt;0,0,AC3059/($R$2985-INDEX(hd_off,MATCH(AQ3059,hd_mark,0),0)/12)),0)</f>
        <v>0</v>
      </c>
      <c r="AE3059">
        <f>IF(S3059=0,0,$AD$2985*$AM$2965)</f>
        <v>0</v>
      </c>
      <c r="AF3059">
        <f>IFERROR(AE3059/$R$2985,0)</f>
        <v>0</v>
      </c>
      <c r="AG3059">
        <f>AE3059*($F$21+IF($F$21=0,0,($C$14+$C$15+IF($C$13="single",1.5,3)+3)/12))</f>
        <v>0</v>
      </c>
      <c r="AH3059">
        <f>AG3059-X3059</f>
        <v>0</v>
      </c>
      <c r="AI3059" cm="1">
        <f t="array" ref="AI3059">IFERROR(IF(AH3059&lt;0,0,AH3059/($R$2985-INDEX(hd_off,MATCH(AQ3059,hd_mark,0),0)/12)),0)</f>
        <v>0</v>
      </c>
      <c r="AJ3059">
        <f>MAX($F$21,$Y$2985)/$Q$2996</f>
        <v>0.30172413793103448</v>
      </c>
      <c r="AK3059">
        <f>IF(AJ3059=0,0,IF(AJ3059&gt;2,1.25-0.125*AJ3059,1))</f>
        <v>1</v>
      </c>
      <c r="AL3059" cm="1">
        <f t="array" ref="AL3059">IFERROR(INDEX(sheath_ecap_asd,MATCH(AP3059,sheath_mark,0),0)*AK3059,0)</f>
        <v>0</v>
      </c>
      <c r="AM3059" cm="1">
        <f t="array" ref="AM3059">IFERROR(INDEX(sheath_wcap_asd,MATCH(AP3059,sheath_mark,0),0)*AK3059,0)</f>
        <v>0</v>
      </c>
      <c r="AN3059" cm="1">
        <f t="array" ref="AN3059">IFERROR(INDEX(hd_cap,MATCH(AQ3059,hd_mark,0),0),0)</f>
        <v>0</v>
      </c>
      <c r="AP3059" s="19"/>
      <c r="AQ3059" s="19"/>
      <c r="AR3059" s="100"/>
      <c r="AS3059" s="93"/>
      <c r="AT3059" s="110" t="str">
        <f>$AT$2985</f>
        <v>1.12</v>
      </c>
      <c r="AU3059" t="str">
        <f>$Q$2965</f>
        <v>L2</v>
      </c>
      <c r="AV3059">
        <f>$E$21</f>
        <v>10.6875</v>
      </c>
      <c r="AW3059" cm="1">
        <f t="array" ref="AW3059">IFERROR(IF(AV3059=0,0,(INDEX($C$33:$C$38,MATCH($AZ$2985,$B$33:$B$38,0),0)*(AV3063+$BA$2985)+$AW$2985*COUNTIF(AV3059:AV3062,"&gt;0")*$C$32+$AY$2985*$C$31)*$AU$2985),0)</f>
        <v>0</v>
      </c>
      <c r="AX3059">
        <f>IF(AV3059=0,0,-(COUNTIF(AV3059:AV3062,"&gt;0")*$AW$2985*$C$32+$AY$2985*$C$31)*$H$27*$AU$2985)</f>
        <v>0</v>
      </c>
      <c r="AY3059">
        <f>IF(AV3059=0,0,$AY$2985*$H$26*$AU$2985)</f>
        <v>0</v>
      </c>
      <c r="AZ3059">
        <f>(0.6*AW3059+0.7*AX3059)*$AU$2985/2</f>
        <v>0</v>
      </c>
      <c r="BA3059">
        <f>(0.6*AW3059+0.6*AY3059)*$AU$2985/2</f>
        <v>0</v>
      </c>
      <c r="BC3059">
        <f>IF(AV3059=0,0,$BG$2985*$AP$2965)</f>
        <v>0</v>
      </c>
      <c r="BD3059">
        <f>IFERROR(BC3059/$AU$2985,0)</f>
        <v>0</v>
      </c>
      <c r="BE3059">
        <f>BC3059*($F$21+IF($F$21=0,0,($C$14+$C$15+IF($C$13="single",1.5,3)+3)/12))</f>
        <v>0</v>
      </c>
      <c r="BF3059">
        <f>BE3059-AZ3059</f>
        <v>0</v>
      </c>
      <c r="BG3059" cm="1">
        <f t="array" ref="BG3059">IFERROR(IF(BF3059&lt;0,0,BF3059/($AU$2985-INDEX(hd_off,MATCH(BT3059,hd_mark,0),0)/12)),0)</f>
        <v>0</v>
      </c>
      <c r="BH3059">
        <f>IF(AV3059=0,0,$BG$2985*$AM$2965)</f>
        <v>0</v>
      </c>
      <c r="BI3059">
        <f>IFERROR(BH3059/$AU$2985,0)</f>
        <v>0</v>
      </c>
      <c r="BJ3059">
        <f>BH3059*($F$21+IF($F$21=0,0,($C$14+$C$15+IF($C$13="single",1.5,3)+3)/12))</f>
        <v>0</v>
      </c>
      <c r="BK3059">
        <f>BJ3059-BA3059</f>
        <v>0</v>
      </c>
      <c r="BL3059" cm="1">
        <f t="array" ref="BL3059">IFERROR(IF(BK3059&lt;0,0,BK3059/($AU$2985-INDEX(hd_off,MATCH(BT3059,hd_mark,0),0)/12)),0)</f>
        <v>0</v>
      </c>
      <c r="BM3059">
        <f>MAX($F$21,$BB$2985)/$Q$2996</f>
        <v>0.30172413793103448</v>
      </c>
      <c r="BN3059">
        <f>IF(BM3059=0,0,IF(BM3059&gt;2,1.25-0.125*BM3059,1))</f>
        <v>1</v>
      </c>
      <c r="BO3059" cm="1">
        <f t="array" ref="BO3059">IFERROR(INDEX(sheath_ecap_asd,MATCH(BS3059,sheath_mark,0),0)*BN3059,0)</f>
        <v>0</v>
      </c>
      <c r="BP3059" cm="1">
        <f t="array" ref="BP3059">IFERROR(INDEX(sheath_wcap_asd,MATCH(BS3059,sheath_mark,0),0)*BN3059,0)</f>
        <v>0</v>
      </c>
      <c r="BQ3059" cm="1">
        <f t="array" ref="BQ3059">IFERROR(INDEX(hd_cap,MATCH(BT3059,hd_mark,0),0),0)</f>
        <v>0</v>
      </c>
      <c r="BS3059" s="19"/>
      <c r="BT3059" s="19"/>
      <c r="BU3059" s="100"/>
    </row>
    <row r="3060" x14ac:dyDescent="0.25">
      <c r="P3060" s="93"/>
      <c r="Q3060" s="109"/>
      <c r="R3060" t="str">
        <f>$Q$2966</f>
        <v>L3</v>
      </c>
      <c r="S3060">
        <f>$E$22</f>
        <v>21.375</v>
      </c>
      <c r="T3060" cm="1">
        <f t="array" ref="T3060">IFERROR(IF(S3060=0,0,(INDEX($C$33:$C$38,MATCH($W$2985,$B$33:$B$38,0),0)*(S3063+$X$2985)+$T$2985*COUNTIF(S3060:S3062,"&gt;0")*$C$32+$V$2985*$C$31)*$R$2985),0)</f>
        <v>0</v>
      </c>
      <c r="U3060">
        <f>IF(S3060=0,0,-(COUNTIF(S3060:S3062,"&gt;0")*$T$2985*$C$32+$V$2985*$C$31)*$H$27*$R$2985)</f>
        <v>0</v>
      </c>
      <c r="V3060">
        <f>IF(S3060=0,0,$V$2985*$H$26*$R$2985)</f>
        <v>0</v>
      </c>
      <c r="W3060">
        <f>(0.6*T3060+0.7*U3060)*$R$2985/2</f>
        <v>0</v>
      </c>
      <c r="X3060">
        <f>T3060*$R$2985/2</f>
        <v>0</v>
      </c>
      <c r="Z3060">
        <f>IF(S3060=0,0,$AD$2985*$AP$2966)</f>
        <v>0</v>
      </c>
      <c r="AA3060">
        <f>IFERROR(Z3060/$R$2985,0)</f>
        <v>0</v>
      </c>
      <c r="AB3060">
        <f>Z3060*($F$22+IF($F$22=0,0,($C$14+$C$15+IF($C$13="single",1.5,3)+3)/12))</f>
        <v>0</v>
      </c>
      <c r="AC3060">
        <f>AB3060-W3060</f>
        <v>0</v>
      </c>
      <c r="AD3060" cm="1">
        <f t="array" ref="AD3060">IFERROR(IF(AC3060&lt;0,0,AC3060/($R$2985-INDEX(hd_off,MATCH(AQ3060,hd_mark,0),0)/12)),0)</f>
        <v>0</v>
      </c>
      <c r="AE3060">
        <f>IF(S3060=0,0,$AD$2985*$AM$2966)</f>
        <v>0</v>
      </c>
      <c r="AF3060">
        <f>IFERROR(AE3060/$R$2985,0)</f>
        <v>0</v>
      </c>
      <c r="AG3060">
        <f>AE3060*($F$22+IF($F$22=0,0,($C$14+$C$15+IF($C$13="single",1.5,3)+3)/12))</f>
        <v>0</v>
      </c>
      <c r="AH3060">
        <f>AG3060-X3060</f>
        <v>0</v>
      </c>
      <c r="AI3060" cm="1">
        <f t="array" ref="AI3060">IFERROR(IF(AH3060&lt;0,0,AH3060/($R$2985-INDEX(hd_off,MATCH(AQ3060,hd_mark,0),0)/12)),0)</f>
        <v>0</v>
      </c>
      <c r="AJ3060">
        <f>MAX($F$22,$Z$2985)/$Q$2996</f>
        <v>0.30172413793103448</v>
      </c>
      <c r="AK3060">
        <f t="shared" ref="AK3060:AK3063" si="1885">IF(AJ3060=0,0,IF(AJ3060&gt;2,1.25-0.125*AJ3060,1))</f>
        <v>1</v>
      </c>
      <c r="AL3060" cm="1">
        <f t="array" ref="AL3060">IFERROR(INDEX(sheath_ecap_asd,MATCH(AP3060,sheath_mark,0),0)*AK3060,0)</f>
        <v>0</v>
      </c>
      <c r="AM3060" cm="1">
        <f t="array" ref="AM3060">IFERROR(INDEX(sheath_wcap_asd,MATCH(AP3060,sheath_mark,0),0)*AK3060,0)</f>
        <v>0</v>
      </c>
      <c r="AN3060" cm="1">
        <f t="array" ref="AN3060">IFERROR(INDEX(hd_cap,MATCH(AQ3060,hd_mark,0),0),0)</f>
        <v>0</v>
      </c>
      <c r="AP3060" s="19"/>
      <c r="AQ3060" s="19"/>
      <c r="AR3060" s="100"/>
      <c r="AS3060" s="93"/>
      <c r="AT3060" s="109"/>
      <c r="AU3060" t="str">
        <f>$Q$2966</f>
        <v>L3</v>
      </c>
      <c r="AV3060">
        <f>$E$22</f>
        <v>21.375</v>
      </c>
      <c r="AW3060" cm="1">
        <f t="array" ref="AW3060">IFERROR(IF(AV3060=0,0,(INDEX($C$33:$C$38,MATCH($AZ$2985,$B$33:$B$38,0),0)*(AV3063+$BA$2985)+$AW$2985*COUNTIF(AV3060:AV3062,"&gt;0")*$C$32+$AY$2985*$C$31)*$AU$2985),0)</f>
        <v>0</v>
      </c>
      <c r="AX3060">
        <f>IF(AV3060=0,0,-(COUNTIF(AV3060:AV3062,"&gt;0")*$AW$2985*$C$32+$AY$2985*$C$31)*$H$27*$AU$2985)</f>
        <v>0</v>
      </c>
      <c r="AY3060">
        <f>IF(AV3060=0,0,$AY$2985*$H$26*$AU$2985)</f>
        <v>0</v>
      </c>
      <c r="AZ3060">
        <f>(0.6*AW3060+0.7*AX3060)*$AU$2985/2</f>
        <v>0</v>
      </c>
      <c r="BA3060">
        <f>AW3060*$AU$2985/2</f>
        <v>0</v>
      </c>
      <c r="BC3060">
        <f>IF(AV3060=0,0,$BG$2985*$AP$2966)</f>
        <v>0</v>
      </c>
      <c r="BD3060">
        <f>IFERROR(BC3060/$AU$2985,0)</f>
        <v>0</v>
      </c>
      <c r="BE3060">
        <f>BC3060*($F$22+IF($F$22=0,0,($C$14+$C$15+IF($C$13="single",1.5,3)+3)/12))</f>
        <v>0</v>
      </c>
      <c r="BF3060">
        <f>BE3060-AZ3060</f>
        <v>0</v>
      </c>
      <c r="BG3060" cm="1">
        <f t="array" ref="BG3060">IFERROR(IF(BF3060&lt;0,0,BF3060/($AU$2985-INDEX(hd_off,MATCH(BT3060,hd_mark,0),0)/12)),0)</f>
        <v>0</v>
      </c>
      <c r="BH3060">
        <f>IF(AV3060=0,0,$BG$2985*$AM$2966)</f>
        <v>0</v>
      </c>
      <c r="BI3060">
        <f>IFERROR(BH3060/$AU$2985,0)</f>
        <v>0</v>
      </c>
      <c r="BJ3060">
        <f>BH3060*($F$22+IF($F$22=0,0,($C$14+$C$15+IF($C$13="single",1.5,3)+3)/12))</f>
        <v>0</v>
      </c>
      <c r="BK3060">
        <f>BJ3060-BA3060</f>
        <v>0</v>
      </c>
      <c r="BL3060" cm="1">
        <f t="array" ref="BL3060">IFERROR(IF(BK3060&lt;0,0,BK3060/($AU$2985-INDEX(hd_off,MATCH(BT3060,hd_mark,0),0)/12)),0)</f>
        <v>0</v>
      </c>
      <c r="BM3060">
        <f>MAX($F$22,$BC$2985)/$Q$2996</f>
        <v>0.30172413793103448</v>
      </c>
      <c r="BN3060">
        <f t="shared" ref="BN3060:BN3063" si="1886">IF(BM3060=0,0,IF(BM3060&gt;2,1.25-0.125*BM3060,1))</f>
        <v>1</v>
      </c>
      <c r="BO3060" cm="1">
        <f t="array" ref="BO3060">IFERROR(INDEX(sheath_ecap_asd,MATCH(BS3060,sheath_mark,0),0)*BN3060,0)</f>
        <v>0</v>
      </c>
      <c r="BP3060" cm="1">
        <f t="array" ref="BP3060">IFERROR(INDEX(sheath_wcap_asd,MATCH(BS3060,sheath_mark,0),0)*BN3060,0)</f>
        <v>0</v>
      </c>
      <c r="BQ3060" cm="1">
        <f t="array" ref="BQ3060">IFERROR(INDEX(hd_cap,MATCH(BT3060,hd_mark,0),0),0)</f>
        <v>0</v>
      </c>
      <c r="BS3060" s="19"/>
      <c r="BT3060" s="19"/>
      <c r="BU3060" s="100"/>
    </row>
    <row r="3061" x14ac:dyDescent="0.25">
      <c r="P3061" s="93"/>
      <c r="Q3061" s="109" t="s">
        <v>491</v>
      </c>
      <c r="R3061" t="str">
        <f>$Q$2967</f>
        <v>L4</v>
      </c>
      <c r="S3061">
        <f>$E$23</f>
        <v>0</v>
      </c>
      <c r="T3061" cm="1">
        <f t="array" ref="T3061">IFERROR(IF(S3061=0,0,(INDEX($C$33:$C$38,MATCH($W$2985,$B$33:$B$38,0),0)*(S3063+$X$2985)+$T$2985*COUNTIF(S3061:S3062,"&gt;0")*$C$32+$V$2985*$C$31)*$R$2985),0)</f>
        <v>0</v>
      </c>
      <c r="U3061">
        <f>IF(S3061=0,0,-(COUNTIF(S3061:S3062,"&gt;0")*$T$2985*$C$32+$V$2985*$C$31)*$H$27*$R$2985)</f>
        <v>0</v>
      </c>
      <c r="V3061">
        <f>IF(S3061=0,0,$V$2985*$H$26*$R$2985)</f>
        <v>0</v>
      </c>
      <c r="W3061">
        <f>(0.6*T3061+0.7*U3061)*$R$2985/2</f>
        <v>0</v>
      </c>
      <c r="X3061">
        <f>T3061*$R$2985/2</f>
        <v>0</v>
      </c>
      <c r="Z3061">
        <f>IF(S3061=0,0,$AD$2985*$AP$2967)</f>
        <v>0</v>
      </c>
      <c r="AA3061">
        <f>IFERROR(Z3061/$R$2985,0)</f>
        <v>0</v>
      </c>
      <c r="AB3061">
        <f>Z3061*($F$23+IF($F$23=0,0,($C$14+$C$15+IF($C$13="single",1.5,3)+3)/12))</f>
        <v>0</v>
      </c>
      <c r="AC3061">
        <f>AB3061-W3061</f>
        <v>0</v>
      </c>
      <c r="AD3061" cm="1">
        <f t="array" ref="AD3061">IFERROR(IF(AC3061&lt;0,0,AC3061/($R$2985-INDEX(hd_off,MATCH(AQ3061,hd_mark,0),0)/12)),0)</f>
        <v>0</v>
      </c>
      <c r="AE3061">
        <f>IF(S3061=0,0,$AD$2985*$AM$2967)</f>
        <v>0</v>
      </c>
      <c r="AF3061">
        <f>IFERROR(AE3061/$R$2985,0)</f>
        <v>0</v>
      </c>
      <c r="AG3061">
        <f>AE3061*($F$23+IF($F$23=0,0,($C$14+$C$15+IF($C$13="single",1.5,3)+3)/12))</f>
        <v>0</v>
      </c>
      <c r="AH3061">
        <f>AG3061-X3061</f>
        <v>0</v>
      </c>
      <c r="AI3061" cm="1">
        <f t="array" ref="AI3061">IFERROR(IF(AH3061&lt;0,0,AH3061/($R$2985-INDEX(hd_off,MATCH(AQ3061,hd_mark,0),0)/12)),0)</f>
        <v>0</v>
      </c>
      <c r="AJ3061">
        <f>MAX($F$23,$AA$2985)/$Q$2996</f>
        <v>0</v>
      </c>
      <c r="AK3061">
        <f t="shared" si="1885"/>
        <v>0</v>
      </c>
      <c r="AL3061" cm="1">
        <f t="array" ref="AL3061">IFERROR(INDEX(sheath_ecap_asd,MATCH(AP3061,sheath_mark,0),0)*AK3061,0)</f>
        <v>0</v>
      </c>
      <c r="AM3061" cm="1">
        <f t="array" ref="AM3061">IFERROR(INDEX(sheath_wcap_asd,MATCH(AP3061,sheath_mark,0),0)*AK3061,0)</f>
        <v>0</v>
      </c>
      <c r="AN3061" cm="1">
        <f t="array" ref="AN3061">IFERROR(INDEX(hd_cap,MATCH(AQ3061,hd_mark,0),0),0)</f>
        <v>0</v>
      </c>
      <c r="AP3061" s="19"/>
      <c r="AQ3061" s="19"/>
      <c r="AR3061" s="100"/>
      <c r="AS3061" s="93"/>
      <c r="AT3061" s="109" t="s">
        <v>491</v>
      </c>
      <c r="AU3061" t="str">
        <f>$Q$2967</f>
        <v>L4</v>
      </c>
      <c r="AV3061">
        <f>$E$23</f>
        <v>0</v>
      </c>
      <c r="AW3061" cm="1">
        <f t="array" ref="AW3061">IFERROR(IF(AV3061=0,0,(INDEX($C$33:$C$38,MATCH($AZ$2985,$B$33:$B$38,0),0)*(AV3063+$BA$2985)+$AW$2985*COUNTIF(AV3061:AV3062,"&gt;0")*$C$32+$AY$2985*$C$31)*$AU$2985),0)</f>
        <v>0</v>
      </c>
      <c r="AX3061">
        <f>IF(AV3061=0,0,-(COUNTIF(AV3061:AV3062,"&gt;0")*$AW$2985*$C$32+$AY$2985*$C$31)*$H$27*$AU$2985)</f>
        <v>0</v>
      </c>
      <c r="AY3061">
        <f>IF(AV3061=0,0,$AY$2985*$H$26*$AU$2985)</f>
        <v>0</v>
      </c>
      <c r="AZ3061">
        <f>(0.6*AW3061+0.7*AX3061)*$AU$2985/2</f>
        <v>0</v>
      </c>
      <c r="BA3061">
        <f>AW3061*$AU$2985/2</f>
        <v>0</v>
      </c>
      <c r="BC3061">
        <f>IF(AV3061=0,0,$BG$2985*$AP$2967)</f>
        <v>0</v>
      </c>
      <c r="BD3061">
        <f>IFERROR(BC3061/$AU$2985,0)</f>
        <v>0</v>
      </c>
      <c r="BE3061">
        <f>BC3061*($F$23+IF($F$23=0,0,($C$14+$C$15+IF($C$13="single",1.5,3)+3)/12))</f>
        <v>0</v>
      </c>
      <c r="BF3061">
        <f>BE3061-AZ3061</f>
        <v>0</v>
      </c>
      <c r="BG3061" cm="1">
        <f t="array" ref="BG3061">IFERROR(IF(BF3061&lt;0,0,BF3061/($AU$2985-INDEX(hd_off,MATCH(BT3061,hd_mark,0),0)/12)),0)</f>
        <v>0</v>
      </c>
      <c r="BH3061">
        <f>IF(AV3061=0,0,$BG$2985*$AM$2967)</f>
        <v>0</v>
      </c>
      <c r="BI3061">
        <f>IFERROR(BH3061/$AU$2985,0)</f>
        <v>0</v>
      </c>
      <c r="BJ3061">
        <f>BH3061*($F$23+IF($F$23=0,0,($C$14+$C$15+IF($C$13="single",1.5,3)+3)/12))</f>
        <v>0</v>
      </c>
      <c r="BK3061">
        <f>BJ3061-BA3061</f>
        <v>0</v>
      </c>
      <c r="BL3061" cm="1">
        <f t="array" ref="BL3061">IFERROR(IF(BK3061&lt;0,0,BK3061/($AU$2985-INDEX(hd_off,MATCH(BT3061,hd_mark,0),0)/12)),0)</f>
        <v>0</v>
      </c>
      <c r="BM3061">
        <f>MAX($F$23,$BD$2985)/$Q$2996</f>
        <v>0</v>
      </c>
      <c r="BN3061">
        <f t="shared" si="1886"/>
        <v>0</v>
      </c>
      <c r="BO3061" cm="1">
        <f t="array" ref="BO3061">IFERROR(INDEX(sheath_ecap_asd,MATCH(BS3061,sheath_mark,0),0)*BN3061,0)</f>
        <v>0</v>
      </c>
      <c r="BP3061" cm="1">
        <f t="array" ref="BP3061">IFERROR(INDEX(sheath_wcap_asd,MATCH(BS3061,sheath_mark,0),0)*BN3061,0)</f>
        <v>0</v>
      </c>
      <c r="BQ3061" cm="1">
        <f t="array" ref="BQ3061">IFERROR(INDEX(hd_cap,MATCH(BT3061,hd_mark,0),0),0)</f>
        <v>0</v>
      </c>
      <c r="BS3061" s="19"/>
      <c r="BT3061" s="19"/>
      <c r="BU3061" s="100"/>
    </row>
    <row r="3062" x14ac:dyDescent="0.25">
      <c r="P3062" s="93"/>
      <c r="Q3062" s="111">
        <f>$R$2985</f>
        <v>0</v>
      </c>
      <c r="R3062" t="str">
        <f>$Q$2968</f>
        <v>L5</v>
      </c>
      <c r="S3062">
        <f>$E$24</f>
        <v>0</v>
      </c>
      <c r="T3062" cm="1">
        <f t="array" ref="T3062">IFERROR(IF(S3062=0,0,(INDEX($C$33:$C$38,MATCH($W$2985,$B$33:$B$38,0),0)*(S3063+$X$2985)+$T$2985*COUNTIF(S3062:S3062,"&gt;0")*$C$32+$V$2985*$C$31)*$R$2985),0)</f>
        <v>0</v>
      </c>
      <c r="U3062">
        <f>IF(S3062=0,0,-(COUNTIF(S3062:S3062,"&gt;0")*$T$2985*$C$32+$V$2985*$C$31)*$H$27*$R$2985)</f>
        <v>0</v>
      </c>
      <c r="V3062">
        <f>IF(S3062=0,0,$V$2985*$H$26*$R$2985)</f>
        <v>0</v>
      </c>
      <c r="W3062">
        <f>(0.6*T3062+0.7*U3062)*$R$2985/2</f>
        <v>0</v>
      </c>
      <c r="X3062">
        <f>T3062*$R$2985/2</f>
        <v>0</v>
      </c>
      <c r="Z3062">
        <f>IF(S3062=0,0,$AD$2985*$AP$2968)</f>
        <v>0</v>
      </c>
      <c r="AA3062">
        <f>IFERROR(Z3062/$R$2985,0)</f>
        <v>0</v>
      </c>
      <c r="AB3062">
        <f>Z3062*($F$24+IF($F$24=0,0,($C$14+$C$15+IF($C$13="single",1.5,3)+3)/12))</f>
        <v>0</v>
      </c>
      <c r="AC3062">
        <f>AB3062-W3062</f>
        <v>0</v>
      </c>
      <c r="AD3062" cm="1">
        <f t="array" ref="AD3062">IFERROR(IF(AC3062&lt;0,0,AC3062/($R$2985-INDEX(hd_off,MATCH(AQ3062,hd_mark,0),0)/12)),0)</f>
        <v>0</v>
      </c>
      <c r="AE3062">
        <f>IF(S3062=0,0,$AD$2985*$AM$2968)</f>
        <v>0</v>
      </c>
      <c r="AF3062">
        <f>IFERROR(AE3062/$R$2985,0)</f>
        <v>0</v>
      </c>
      <c r="AG3062">
        <f>AE3062*($F$24+IF($F$24=0,0,($C$14+$C$15+IF($C$13="single",1.5,3)+3)/12))</f>
        <v>0</v>
      </c>
      <c r="AH3062">
        <f>AG3062-X3062</f>
        <v>0</v>
      </c>
      <c r="AI3062" cm="1">
        <f t="array" ref="AI3062">IFERROR(IF(AH3062&lt;0,0,AH3062/($R$2985-INDEX(hd_off,MATCH(AQ3062,hd_mark,0),0)/12)),0)</f>
        <v>0</v>
      </c>
      <c r="AJ3062">
        <f>MAX($F$24,$AB$2985)/$Q$2996</f>
        <v>0</v>
      </c>
      <c r="AK3062">
        <f t="shared" si="1885"/>
        <v>0</v>
      </c>
      <c r="AL3062" cm="1">
        <f t="array" ref="AL3062">IFERROR(INDEX(sheath_ecap_asd,MATCH(AP3062,sheath_mark,0),0)*AK3062,0)</f>
        <v>0</v>
      </c>
      <c r="AM3062" cm="1">
        <f t="array" ref="AM3062">IFERROR(INDEX(sheath_wcap_asd,MATCH(AP3062,sheath_mark,0),0)*AK3062,0)</f>
        <v>0</v>
      </c>
      <c r="AN3062" cm="1">
        <f t="array" ref="AN3062">IFERROR(INDEX(hd_cap,MATCH(AQ3062,hd_mark,0),0),0)</f>
        <v>0</v>
      </c>
      <c r="AP3062" s="19"/>
      <c r="AQ3062" s="19"/>
      <c r="AR3062" s="100"/>
      <c r="AS3062" s="93"/>
      <c r="AT3062" s="111">
        <f>$R$2985</f>
        <v>0</v>
      </c>
      <c r="AU3062" t="str">
        <f>$Q$2968</f>
        <v>L5</v>
      </c>
      <c r="AV3062">
        <f>$E$24</f>
        <v>0</v>
      </c>
      <c r="AW3062" cm="1">
        <f t="array" ref="AW3062">IFERROR(IF(AV3062=0,0,(INDEX($C$33:$C$38,MATCH($AZ$2985,$B$33:$B$38,0),0)*(AV3063+$BA$2985)+$AW$2985*COUNTIF(AV3062:AV3062,"&gt;0")*$C$32+$AY$2985*$C$31)*$AU$2985),0)</f>
        <v>0</v>
      </c>
      <c r="AX3062">
        <f>IF(AV3062=0,0,-(COUNTIF(AV3062:AV3062,"&gt;0")*$AW$2985*$C$32+$AY$2985*$C$31)*$H$27*$AU$2985)</f>
        <v>0</v>
      </c>
      <c r="AY3062">
        <f>IF(AV3062=0,0,$AY$2985*$H$26*$AU$2985)</f>
        <v>0</v>
      </c>
      <c r="AZ3062">
        <f>(0.6*AW3062+0.7*AX3062)*$AU$2985/2</f>
        <v>0</v>
      </c>
      <c r="BA3062">
        <f>AW3062*$AU$2985/2</f>
        <v>0</v>
      </c>
      <c r="BC3062">
        <f>IF(AV3062=0,0,$BG$2985*$AP$2968)</f>
        <v>0</v>
      </c>
      <c r="BD3062">
        <f>IFERROR(BC3062/$AU$2985,0)</f>
        <v>0</v>
      </c>
      <c r="BE3062">
        <f>BC3062*($F$24+IF($F$24=0,0,($C$14+$C$15+IF($C$13="single",1.5,3)+3)/12))</f>
        <v>0</v>
      </c>
      <c r="BF3062">
        <f>BE3062-AZ3062</f>
        <v>0</v>
      </c>
      <c r="BG3062" cm="1">
        <f t="array" ref="BG3062">IFERROR(IF(BF3062&lt;0,0,BF3062/($AU$2985-INDEX(hd_off,MATCH(BT3062,hd_mark,0),0)/12)),0)</f>
        <v>0</v>
      </c>
      <c r="BH3062">
        <f>IF(AV3062=0,0,$BG$2985*$AM$2968)</f>
        <v>0</v>
      </c>
      <c r="BI3062">
        <f>IFERROR(BH3062/$AU$2985,0)</f>
        <v>0</v>
      </c>
      <c r="BJ3062">
        <f>BH3062*($F$24+IF($F$24=0,0,($C$14+$C$15+IF($C$13="single",1.5,3)+3)/12))</f>
        <v>0</v>
      </c>
      <c r="BK3062">
        <f>BJ3062-BA3062</f>
        <v>0</v>
      </c>
      <c r="BL3062" cm="1">
        <f t="array" ref="BL3062">IFERROR(IF(BK3062&lt;0,0,BK3062/($AU$2985-INDEX(hd_off,MATCH(BT3062,hd_mark,0),0)/12)),0)</f>
        <v>0</v>
      </c>
      <c r="BM3062">
        <f>MAX($F$24,$BE$2985)/$Q$2996</f>
        <v>0</v>
      </c>
      <c r="BN3062">
        <f t="shared" si="1886"/>
        <v>0</v>
      </c>
      <c r="BO3062" cm="1">
        <f t="array" ref="BO3062">IFERROR(INDEX(sheath_ecap_asd,MATCH(BS3062,sheath_mark,0),0)*BN3062,0)</f>
        <v>0</v>
      </c>
      <c r="BP3062" cm="1">
        <f t="array" ref="BP3062">IFERROR(INDEX(sheath_wcap_asd,MATCH(BS3062,sheath_mark,0),0)*BN3062,0)</f>
        <v>0</v>
      </c>
      <c r="BQ3062" cm="1">
        <f t="array" ref="BQ3062">IFERROR(INDEX(hd_cap,MATCH(BT3062,hd_mark,0),0),0)</f>
        <v>0</v>
      </c>
      <c r="BS3062" s="19"/>
      <c r="BT3062" s="19"/>
      <c r="BU3062" s="100"/>
    </row>
    <row r="3063" x14ac:dyDescent="0.25">
      <c r="P3063" s="93"/>
      <c r="Q3063" s="109"/>
      <c r="R3063" t="str">
        <f>$Q$2969</f>
        <v>Roof</v>
      </c>
      <c r="S3063">
        <f>$E$25</f>
        <v>33.171875</v>
      </c>
      <c r="T3063" cm="1">
        <f t="array" ref="T3063">IFERROR(IF(S3063=0,0,(INDEX($C$33:$C$38,MATCH($W$2985,$B$33:$B$38,0),0)*(S3063+$X$2985)+$V$2985*$C$31)*$R$2985),0)</f>
        <v>0</v>
      </c>
      <c r="U3063">
        <f>IF(S3063=0,0,-$V$2985*$C$31*$H$27*$R$2985)</f>
        <v>0</v>
      </c>
      <c r="V3063">
        <f>IF(S3063=0,0,$V$2985*$H$26*$R$2985)</f>
        <v>0</v>
      </c>
      <c r="W3063">
        <f>(0.6*T3063+0.7*U3063)*$R$2985/2</f>
        <v>0</v>
      </c>
      <c r="X3063">
        <f>T3063*$R$2985/2</f>
        <v>0</v>
      </c>
      <c r="Z3063">
        <f>IF(S3063=0,0,$AD$2985*$AP$2969)</f>
        <v>0</v>
      </c>
      <c r="AA3063">
        <f>IFERROR(Z3063/$R$2985,0)</f>
        <v>0</v>
      </c>
      <c r="AB3063">
        <f>Z3063*($F$25+($C$16+$C$17+IF($C$13="single",1.5,3)+3)/12)</f>
        <v>0</v>
      </c>
      <c r="AC3063">
        <f>AB3063-W3063</f>
        <v>0</v>
      </c>
      <c r="AD3063" cm="1">
        <f t="array" ref="AD3063">IFERROR(IF(AC3063&lt;0,0,AC3063/($R$2985-INDEX(hd_off,MATCH(AQ3063,hd_mark,0),0)/12)),0)</f>
        <v>0</v>
      </c>
      <c r="AE3063">
        <f>IF(S3063=0,0,$AD$2985*$AM$2969)</f>
        <v>0</v>
      </c>
      <c r="AF3063">
        <f>IFERROR(AE3063/$R$2985,0)</f>
        <v>0</v>
      </c>
      <c r="AG3063">
        <f>AE3063*($F$25+($C$16+$C$17+IF($C$13="single",1.5,3)+3)/12)</f>
        <v>0</v>
      </c>
      <c r="AH3063">
        <f>AG3063-X3063</f>
        <v>0</v>
      </c>
      <c r="AI3063" cm="1">
        <f t="array" ref="AI3063">IFERROR(IF(AH3063&lt;0,0,AH3063/($R$2985-INDEX(hd_off,MATCH(AQ3063,hd_mark,0),0)/12)),0)</f>
        <v>0</v>
      </c>
      <c r="AJ3063">
        <f>MAX($F$25,$AC$2985)/$Q$2996</f>
        <v>0.29920977011494249</v>
      </c>
      <c r="AK3063">
        <f t="shared" si="1885"/>
        <v>1</v>
      </c>
      <c r="AL3063" cm="1">
        <f t="array" ref="AL3063">IFERROR(INDEX(sheath_ecap_asd,MATCH(AP3063,sheath_mark,0),0)*AK3063,0)</f>
        <v>0</v>
      </c>
      <c r="AM3063" cm="1">
        <f t="array" ref="AM3063">IFERROR(INDEX(sheath_wcap_asd,MATCH(AP3063,sheath_mark,0),0)*AK3063,0)</f>
        <v>0</v>
      </c>
      <c r="AN3063" cm="1">
        <f t="array" ref="AN3063">IFERROR(INDEX(hd_cap,MATCH(AQ3063,hd_mark,0),0),0)</f>
        <v>0</v>
      </c>
      <c r="AP3063" s="19"/>
      <c r="AQ3063" s="19"/>
      <c r="AR3063" s="100"/>
      <c r="AS3063" s="93"/>
      <c r="AT3063" s="109"/>
      <c r="AU3063" t="str">
        <f>$Q$2969</f>
        <v>Roof</v>
      </c>
      <c r="AV3063">
        <f>$E$25</f>
        <v>33.171875</v>
      </c>
      <c r="AW3063" cm="1">
        <f t="array" ref="AW3063">IFERROR(IF(AV3063=0,0,(INDEX($C$33:$C$38,MATCH($AZ$2985,$B$33:$B$38,0),0)*(AV3063+$BA$2985)+$AY$2985*$C$31)*$AU$2985),0)</f>
        <v>0</v>
      </c>
      <c r="AX3063">
        <f>IF(AV3063=0,0,-$AY$2985*$C$31*$H$27*$AU$2985)</f>
        <v>0</v>
      </c>
      <c r="AY3063">
        <f>IF(AV3063=0,0,$AY$2985*$H$26*$AU$2985)</f>
        <v>0</v>
      </c>
      <c r="AZ3063">
        <f>(0.6*AW3063+0.7*AX3063)*$AU$2985/2</f>
        <v>0</v>
      </c>
      <c r="BA3063">
        <f>AW3063*$AU$2985/2</f>
        <v>0</v>
      </c>
      <c r="BC3063">
        <f>IF(AV3063=0,0,$BG$2985*$AP$2969)</f>
        <v>0</v>
      </c>
      <c r="BD3063">
        <f>IFERROR(BC3063/$AU$2985,0)</f>
        <v>0</v>
      </c>
      <c r="BE3063">
        <f>BC3063*($F$25+($C$16+$C$17+IF($C$13="single",1.5,3)+3)/12)</f>
        <v>0</v>
      </c>
      <c r="BF3063">
        <f>BE3063-AZ3063</f>
        <v>0</v>
      </c>
      <c r="BG3063" cm="1">
        <f t="array" ref="BG3063">IFERROR(IF(BF3063&lt;0,0,BF3063/($AU$2985-INDEX(hd_off,MATCH(BT3063,hd_mark,0),0)/12)),0)</f>
        <v>0</v>
      </c>
      <c r="BH3063">
        <f>IF(AV3063=0,0,$BG$2985*$AM$2969)</f>
        <v>0</v>
      </c>
      <c r="BI3063">
        <f>IFERROR(BH3063/$AU$2985,0)</f>
        <v>0</v>
      </c>
      <c r="BJ3063">
        <f>BH3063*($F$25+($C$16+$C$17+IF($C$13="single",1.5,3)+3)/12)</f>
        <v>0</v>
      </c>
      <c r="BK3063">
        <f>BJ3063-BA3063</f>
        <v>0</v>
      </c>
      <c r="BL3063" cm="1">
        <f t="array" ref="BL3063">IFERROR(IF(BK3063&lt;0,0,BK3063/($AU$2985-INDEX(hd_off,MATCH(BT3063,hd_mark,0),0)/12)),0)</f>
        <v>0</v>
      </c>
      <c r="BM3063">
        <f>MAX($F$25,$BF$2985)/$Q$2996</f>
        <v>0.29920977011494249</v>
      </c>
      <c r="BN3063">
        <f t="shared" si="1886"/>
        <v>1</v>
      </c>
      <c r="BO3063" cm="1">
        <f t="array" ref="BO3063">IFERROR(INDEX(sheath_ecap_asd,MATCH(BS3063,sheath_mark,0),0)*BN3063,0)</f>
        <v>0</v>
      </c>
      <c r="BP3063" cm="1">
        <f t="array" ref="BP3063">IFERROR(INDEX(sheath_wcap_asd,MATCH(BS3063,sheath_mark,0),0)*BN3063,0)</f>
        <v>0</v>
      </c>
      <c r="BQ3063" cm="1">
        <f t="array" ref="BQ3063">IFERROR(INDEX(hd_cap,MATCH(BT3063,hd_mark,0),0),0)</f>
        <v>0</v>
      </c>
      <c r="BS3063" s="19"/>
      <c r="BT3063" s="19"/>
      <c r="BU3063" s="100"/>
    </row>
    <row r="3064" x14ac:dyDescent="0.25">
      <c r="P3064" s="93"/>
      <c r="AR3064" s="100"/>
      <c r="AS3064" s="93"/>
      <c r="BU3064" s="100"/>
    </row>
    <row r="3065" x14ac:dyDescent="0.25">
      <c r="P3065" s="93"/>
      <c r="Q3065" s="110" t="str">
        <f>$Q$2986</f>
        <v>A.13</v>
      </c>
      <c r="R3065" t="str">
        <f>$Q$2965</f>
        <v>L2</v>
      </c>
      <c r="S3065">
        <f>$E$21</f>
        <v>10.6875</v>
      </c>
      <c r="T3065" cm="1">
        <f t="array" ref="T3065">IFERROR(IF(S3065=0,0,(INDEX($C$33:$C$38,MATCH($W$2986,$B$33:$B$38,0),0)*(S3069+$X$2986)+$T$2986*COUNTIF(S3065:S3068,"&gt;0")*$C$32+$V$2986*$C$31)*$R$2986),0)</f>
        <v>0</v>
      </c>
      <c r="U3065">
        <f>IF(S3065=0,0,-(COUNTIF(S3065:S3068,"&gt;0")*$T$2986*$C$32+$V$2986*$C$31)*$H$27*$R$2986)</f>
        <v>0</v>
      </c>
      <c r="V3065">
        <f>IF(S3065=0,0,$V$2986*$H$26*$R$2986)</f>
        <v>0</v>
      </c>
      <c r="W3065">
        <f>(0.6*T3065+0.7*U3065)*$R$2986/2</f>
        <v>0</v>
      </c>
      <c r="X3065">
        <f>(0.6*T3065+0.6*V3065)*$R$2986/2</f>
        <v>0</v>
      </c>
      <c r="Z3065">
        <f>IF(S3065=0,0,$AD$2986*$AP$2965)</f>
        <v>0</v>
      </c>
      <c r="AA3065">
        <f>IFERROR(Z3065/$R$2986,0)</f>
        <v>0</v>
      </c>
      <c r="AB3065">
        <f>Z3065*($F$21+IF($F$21=0,0,($C$14+$C$15+IF($C$13="single",1.5,3)+3)/12))</f>
        <v>0</v>
      </c>
      <c r="AC3065">
        <f>AB3065-W3065</f>
        <v>0</v>
      </c>
      <c r="AD3065" cm="1">
        <f t="array" ref="AD3065">IFERROR(IF(AC3065&lt;0,0,AC3065/($R$2986-INDEX(hd_off,MATCH(AQ3065,hd_mark,0),0)/12)),0)</f>
        <v>0</v>
      </c>
      <c r="AE3065">
        <f>IF(S3065=0,0,$AD$2986*$AM$2965)</f>
        <v>0</v>
      </c>
      <c r="AF3065">
        <f>IFERROR(AE3065/$R$2986,0)</f>
        <v>0</v>
      </c>
      <c r="AG3065">
        <f>AE3065*($F$21+IF($F$21=0,0,($C$14+$C$15+IF($C$13="single",1.5,3)+3)/12))</f>
        <v>0</v>
      </c>
      <c r="AH3065">
        <f>AG3065-X3065</f>
        <v>0</v>
      </c>
      <c r="AI3065" cm="1">
        <f t="array" ref="AI3065">IFERROR(IF(AH3065&lt;0,0,AH3065/($R$2986-INDEX(hd_off,MATCH(AQ3065,hd_mark,0),0)/12)),0)</f>
        <v>0</v>
      </c>
      <c r="AJ3065">
        <f>MAX($F$21,$Y$2986)/$Q$2996</f>
        <v>0.30172413793103448</v>
      </c>
      <c r="AK3065">
        <f>IF(AJ3065=0,0,IF(AJ3065&gt;2,1.25-0.125*AJ3065,1))</f>
        <v>1</v>
      </c>
      <c r="AL3065" cm="1">
        <f t="array" ref="AL3065">IFERROR(INDEX(sheath_ecap_asd,MATCH(AP3065,sheath_mark,0),0)*AK3065,0)</f>
        <v>0</v>
      </c>
      <c r="AM3065" cm="1">
        <f t="array" ref="AM3065">IFERROR(INDEX(sheath_wcap_asd,MATCH(AP3065,sheath_mark,0),0)*AK3065,0)</f>
        <v>0</v>
      </c>
      <c r="AN3065" cm="1">
        <f t="array" ref="AN3065">IFERROR(INDEX(hd_cap,MATCH(AQ3065,hd_mark,0),0),0)</f>
        <v>0</v>
      </c>
      <c r="AP3065" s="19"/>
      <c r="AQ3065" s="19"/>
      <c r="AR3065" s="100"/>
      <c r="AS3065" s="93"/>
      <c r="AT3065" s="110" t="str">
        <f>$AT$2986</f>
        <v>1.13</v>
      </c>
      <c r="AU3065" t="str">
        <f>$Q$2965</f>
        <v>L2</v>
      </c>
      <c r="AV3065">
        <f>$E$21</f>
        <v>10.6875</v>
      </c>
      <c r="AW3065" cm="1">
        <f t="array" ref="AW3065">IFERROR(IF(AV3065=0,0,(INDEX($C$33:$C$38,MATCH($AZ$2986,$B$33:$B$38,0),0)*(AV3069+$BA$2986)+$AW$2986*COUNTIF(AV3065:AV3068,"&gt;0")*$C$32+$AY$2986*$C$31)*$AU$2986),0)</f>
        <v>0</v>
      </c>
      <c r="AX3065">
        <f>IF(AV3065=0,0,-(COUNTIF(AV3065:AV3068,"&gt;0")*$AW$2986*$C$32+$AY$2986*$C$31)*$H$27*$AU$2986)</f>
        <v>0</v>
      </c>
      <c r="AY3065">
        <f>IF(AV3065=0,0,$AY$2986*$H$26*$AU$2986)</f>
        <v>0</v>
      </c>
      <c r="AZ3065">
        <f>(0.6*AW3065+0.7*AX3065)*$AU$2986/2</f>
        <v>0</v>
      </c>
      <c r="BA3065">
        <f>(0.6*AW3065+0.6*AY3065)*$AU$2986/2</f>
        <v>0</v>
      </c>
      <c r="BC3065">
        <f>IF(AV3065=0,0,$BG$2986*$AP$2965)</f>
        <v>0</v>
      </c>
      <c r="BD3065">
        <f>IFERROR(BC3065/$AU$2986,0)</f>
        <v>0</v>
      </c>
      <c r="BE3065">
        <f>BC3065*($F$21+IF($F$21=0,0,($C$14+$C$15+IF($C$13="single",1.5,3)+3)/12))</f>
        <v>0</v>
      </c>
      <c r="BF3065">
        <f>BE3065-AZ3065</f>
        <v>0</v>
      </c>
      <c r="BG3065" cm="1">
        <f t="array" ref="BG3065">IFERROR(IF(BF3065&lt;0,0,BF3065/($AU$2986-INDEX(hd_off,MATCH(BT3065,hd_mark,0),0)/12)),0)</f>
        <v>0</v>
      </c>
      <c r="BH3065">
        <f>IF(AV3065=0,0,$BG$2986*$AM$2965)</f>
        <v>0</v>
      </c>
      <c r="BI3065">
        <f>IFERROR(BH3065/$AU$2986,0)</f>
        <v>0</v>
      </c>
      <c r="BJ3065">
        <f>BH3065*($F$21+IF($F$21=0,0,($C$14+$C$15+IF($C$13="single",1.5,3)+3)/12))</f>
        <v>0</v>
      </c>
      <c r="BK3065">
        <f>BJ3065-BA3065</f>
        <v>0</v>
      </c>
      <c r="BL3065" cm="1">
        <f t="array" ref="BL3065">IFERROR(IF(BK3065&lt;0,0,BK3065/($AU$2986-INDEX(hd_off,MATCH(BT3065,hd_mark,0),0)/12)),0)</f>
        <v>0</v>
      </c>
      <c r="BM3065">
        <f>MAX($F$21,$BB$2986)/$Q$2996</f>
        <v>0.30172413793103448</v>
      </c>
      <c r="BN3065">
        <f>IF(BM3065=0,0,IF(BM3065&gt;2,1.25-0.125*BM3065,1))</f>
        <v>1</v>
      </c>
      <c r="BO3065" cm="1">
        <f t="array" ref="BO3065">IFERROR(INDEX(sheath_ecap_asd,MATCH(BS3065,sheath_mark,0),0)*BN3065,0)</f>
        <v>0</v>
      </c>
      <c r="BP3065" cm="1">
        <f t="array" ref="BP3065">IFERROR(INDEX(sheath_wcap_asd,MATCH(BS3065,sheath_mark,0),0)*BN3065,0)</f>
        <v>0</v>
      </c>
      <c r="BQ3065" cm="1">
        <f t="array" ref="BQ3065">IFERROR(INDEX(hd_cap,MATCH(BT3065,hd_mark,0),0),0)</f>
        <v>0</v>
      </c>
      <c r="BS3065" s="19"/>
      <c r="BT3065" s="19"/>
      <c r="BU3065" s="100"/>
    </row>
    <row r="3066" x14ac:dyDescent="0.25">
      <c r="P3066" s="93"/>
      <c r="Q3066" s="109"/>
      <c r="R3066" t="str">
        <f>$Q$2966</f>
        <v>L3</v>
      </c>
      <c r="S3066">
        <f>$E$22</f>
        <v>21.375</v>
      </c>
      <c r="T3066" cm="1">
        <f t="array" ref="T3066">IFERROR(IF(S3066=0,0,(INDEX($C$33:$C$38,MATCH($W$2986,$B$33:$B$38,0),0)*(S3069+$X$2986)+$T$2986*COUNTIF(S3066:S3068,"&gt;0")*$C$32+$V$2986*$C$31)*$R$2986),0)</f>
        <v>0</v>
      </c>
      <c r="U3066">
        <f>IF(S3066=0,0,-(COUNTIF(S3066:S3068,"&gt;0")*$T$2986*$C$32+$V$2986*$C$31)*$H$27*$R$2986)</f>
        <v>0</v>
      </c>
      <c r="V3066">
        <f>IF(S3066=0,0,$V$2986*$H$26*$R$2986)</f>
        <v>0</v>
      </c>
      <c r="W3066">
        <f>(0.6*T3066+0.7*U3066)*$R$2986/2</f>
        <v>0</v>
      </c>
      <c r="X3066">
        <f>T3066*$R$2986/2</f>
        <v>0</v>
      </c>
      <c r="Z3066">
        <f>IF(S3066=0,0,$AD$2986*$AP$2966)</f>
        <v>0</v>
      </c>
      <c r="AA3066">
        <f>IFERROR(Z3066/$R$2986,0)</f>
        <v>0</v>
      </c>
      <c r="AB3066">
        <f>Z3066*($F$22+IF($F$22=0,0,($C$14+$C$15+IF($C$13="single",1.5,3)+3)/12))</f>
        <v>0</v>
      </c>
      <c r="AC3066">
        <f>AB3066-W3066</f>
        <v>0</v>
      </c>
      <c r="AD3066" cm="1">
        <f t="array" ref="AD3066">IFERROR(IF(AC3066&lt;0,0,AC3066/($R$2986-INDEX(hd_off,MATCH(AQ3066,hd_mark,0),0)/12)),0)</f>
        <v>0</v>
      </c>
      <c r="AE3066">
        <f>IF(S3066=0,0,$AD$2986*$AM$2966)</f>
        <v>0</v>
      </c>
      <c r="AF3066">
        <f>IFERROR(AE3066/$R$2986,0)</f>
        <v>0</v>
      </c>
      <c r="AG3066">
        <f>AE3066*($F$22+IF($F$22=0,0,($C$14+$C$15+IF($C$13="single",1.5,3)+3)/12))</f>
        <v>0</v>
      </c>
      <c r="AH3066">
        <f>AG3066-X3066</f>
        <v>0</v>
      </c>
      <c r="AI3066" cm="1">
        <f t="array" ref="AI3066">IFERROR(IF(AH3066&lt;0,0,AH3066/($R$2986-INDEX(hd_off,MATCH(AQ3066,hd_mark,0),0)/12)),0)</f>
        <v>0</v>
      </c>
      <c r="AJ3066">
        <f>MAX($F$22,$Z$2986)/$Q$2996</f>
        <v>0.30172413793103448</v>
      </c>
      <c r="AK3066">
        <f t="shared" ref="AK3066:AK3069" si="1887">IF(AJ3066=0,0,IF(AJ3066&gt;2,1.25-0.125*AJ3066,1))</f>
        <v>1</v>
      </c>
      <c r="AL3066" cm="1">
        <f t="array" ref="AL3066">IFERROR(INDEX(sheath_ecap_asd,MATCH(AP3066,sheath_mark,0),0)*AK3066,0)</f>
        <v>0</v>
      </c>
      <c r="AM3066" cm="1">
        <f t="array" ref="AM3066">IFERROR(INDEX(sheath_wcap_asd,MATCH(AP3066,sheath_mark,0),0)*AK3066,0)</f>
        <v>0</v>
      </c>
      <c r="AN3066" cm="1">
        <f t="array" ref="AN3066">IFERROR(INDEX(hd_cap,MATCH(AQ3066,hd_mark,0),0),0)</f>
        <v>0</v>
      </c>
      <c r="AP3066" s="19"/>
      <c r="AQ3066" s="19"/>
      <c r="AR3066" s="100"/>
      <c r="AS3066" s="93"/>
      <c r="AT3066" s="109"/>
      <c r="AU3066" t="str">
        <f>$Q$2966</f>
        <v>L3</v>
      </c>
      <c r="AV3066">
        <f>$E$22</f>
        <v>21.375</v>
      </c>
      <c r="AW3066" cm="1">
        <f t="array" ref="AW3066">IFERROR(IF(AV3066=0,0,(INDEX($C$33:$C$38,MATCH($AZ$2986,$B$33:$B$38,0),0)*(AV3069+$BA$2986)+$AW$2986*COUNTIF(AV3066:AV3068,"&gt;0")*$C$32+$AY$2986*$C$31)*$AU$2986),0)</f>
        <v>0</v>
      </c>
      <c r="AX3066">
        <f>IF(AV3066=0,0,-(COUNTIF(AV3066:AV3068,"&gt;0")*$AW$2986*$C$32+$AY$2986*$C$31)*$H$27*$AU$2986)</f>
        <v>0</v>
      </c>
      <c r="AY3066">
        <f>IF(AV3066=0,0,$AY$2986*$H$26*$AU$2986)</f>
        <v>0</v>
      </c>
      <c r="AZ3066">
        <f>(0.6*AW3066+0.7*AX3066)*$AU$2986/2</f>
        <v>0</v>
      </c>
      <c r="BA3066">
        <f>AW3066*$AU$2986/2</f>
        <v>0</v>
      </c>
      <c r="BC3066">
        <f>IF(AV3066=0,0,$BG$2986*$AP$2966)</f>
        <v>0</v>
      </c>
      <c r="BD3066">
        <f>IFERROR(BC3066/$AU$2986,0)</f>
        <v>0</v>
      </c>
      <c r="BE3066">
        <f>BC3066*($F$22+IF($F$22=0,0,($C$14+$C$15+IF($C$13="single",1.5,3)+3)/12))</f>
        <v>0</v>
      </c>
      <c r="BF3066">
        <f>BE3066-AZ3066</f>
        <v>0</v>
      </c>
      <c r="BG3066" cm="1">
        <f t="array" ref="BG3066">IFERROR(IF(BF3066&lt;0,0,BF3066/($AU$2986-INDEX(hd_off,MATCH(BT3066,hd_mark,0),0)/12)),0)</f>
        <v>0</v>
      </c>
      <c r="BH3066">
        <f>IF(AV3066=0,0,$BG$2986*$AM$2966)</f>
        <v>0</v>
      </c>
      <c r="BI3066">
        <f>IFERROR(BH3066/$AU$2986,0)</f>
        <v>0</v>
      </c>
      <c r="BJ3066">
        <f>BH3066*($F$22+IF($F$22=0,0,($C$14+$C$15+IF($C$13="single",1.5,3)+3)/12))</f>
        <v>0</v>
      </c>
      <c r="BK3066">
        <f>BJ3066-BA3066</f>
        <v>0</v>
      </c>
      <c r="BL3066" cm="1">
        <f t="array" ref="BL3066">IFERROR(IF(BK3066&lt;0,0,BK3066/($AU$2986-INDEX(hd_off,MATCH(BT3066,hd_mark,0),0)/12)),0)</f>
        <v>0</v>
      </c>
      <c r="BM3066">
        <f>MAX($F$22,$BC$2986)/$Q$2996</f>
        <v>0.30172413793103448</v>
      </c>
      <c r="BN3066">
        <f t="shared" ref="BN3066:BN3069" si="1888">IF(BM3066=0,0,IF(BM3066&gt;2,1.25-0.125*BM3066,1))</f>
        <v>1</v>
      </c>
      <c r="BO3066" cm="1">
        <f t="array" ref="BO3066">IFERROR(INDEX(sheath_ecap_asd,MATCH(BS3066,sheath_mark,0),0)*BN3066,0)</f>
        <v>0</v>
      </c>
      <c r="BP3066" cm="1">
        <f t="array" ref="BP3066">IFERROR(INDEX(sheath_wcap_asd,MATCH(BS3066,sheath_mark,0),0)*BN3066,0)</f>
        <v>0</v>
      </c>
      <c r="BQ3066" cm="1">
        <f t="array" ref="BQ3066">IFERROR(INDEX(hd_cap,MATCH(BT3066,hd_mark,0),0),0)</f>
        <v>0</v>
      </c>
      <c r="BS3066" s="19"/>
      <c r="BT3066" s="19"/>
      <c r="BU3066" s="100"/>
    </row>
    <row r="3067" x14ac:dyDescent="0.25">
      <c r="P3067" s="93"/>
      <c r="Q3067" s="109" t="s">
        <v>491</v>
      </c>
      <c r="R3067" t="str">
        <f>$Q$2967</f>
        <v>L4</v>
      </c>
      <c r="S3067">
        <f>$E$23</f>
        <v>0</v>
      </c>
      <c r="T3067" cm="1">
        <f t="array" ref="T3067">IFERROR(IF(S3067=0,0,(INDEX($C$33:$C$38,MATCH($W$2986,$B$33:$B$38,0),0)*(S3069+$X$2986)+$T$2986*COUNTIF(S3067:S3068,"&gt;0")*$C$32+$V$2986*$C$31)*$R$2986),0)</f>
        <v>0</v>
      </c>
      <c r="U3067">
        <f>IF(S3067=0,0,-(COUNTIF(S3067:S3068,"&gt;0")*$T$2986*$C$32+$V$2986*$C$31)*$H$27*$R$2986)</f>
        <v>0</v>
      </c>
      <c r="V3067">
        <f>IF(S3067=0,0,$V$2986*$H$26*$R$2986)</f>
        <v>0</v>
      </c>
      <c r="W3067">
        <f>(0.6*T3067+0.7*U3067)*$R$2986/2</f>
        <v>0</v>
      </c>
      <c r="X3067">
        <f>T3067*$R$2986/2</f>
        <v>0</v>
      </c>
      <c r="Z3067">
        <f>IF(S3067=0,0,$AD$2986*$AP$2967)</f>
        <v>0</v>
      </c>
      <c r="AA3067">
        <f>IFERROR(Z3067/$R$2986,0)</f>
        <v>0</v>
      </c>
      <c r="AB3067">
        <f>Z3067*($F$23+IF($F$23=0,0,($C$14+$C$15+IF($C$13="single",1.5,3)+3)/12))</f>
        <v>0</v>
      </c>
      <c r="AC3067">
        <f>AB3067-W3067</f>
        <v>0</v>
      </c>
      <c r="AD3067" cm="1">
        <f t="array" ref="AD3067">IFERROR(IF(AC3067&lt;0,0,AC3067/($R$2986-INDEX(hd_off,MATCH(AQ3067,hd_mark,0),0)/12)),0)</f>
        <v>0</v>
      </c>
      <c r="AE3067">
        <f>IF(S3067=0,0,$AD$2986*$AM$2967)</f>
        <v>0</v>
      </c>
      <c r="AF3067">
        <f>IFERROR(AE3067/$R$2986,0)</f>
        <v>0</v>
      </c>
      <c r="AG3067">
        <f>AE3067*($F$23+IF($F$23=0,0,($C$14+$C$15+IF($C$13="single",1.5,3)+3)/12))</f>
        <v>0</v>
      </c>
      <c r="AH3067">
        <f>AG3067-X3067</f>
        <v>0</v>
      </c>
      <c r="AI3067" cm="1">
        <f t="array" ref="AI3067">IFERROR(IF(AH3067&lt;0,0,AH3067/($R$2986-INDEX(hd_off,MATCH(AQ3067,hd_mark,0),0)/12)),0)</f>
        <v>0</v>
      </c>
      <c r="AJ3067">
        <f>MAX($F$23,$AA$2986)/$Q$2996</f>
        <v>0</v>
      </c>
      <c r="AK3067">
        <f t="shared" si="1887"/>
        <v>0</v>
      </c>
      <c r="AL3067" cm="1">
        <f t="array" ref="AL3067">IFERROR(INDEX(sheath_ecap_asd,MATCH(AP3067,sheath_mark,0),0)*AK3067,0)</f>
        <v>0</v>
      </c>
      <c r="AM3067" cm="1">
        <f t="array" ref="AM3067">IFERROR(INDEX(sheath_wcap_asd,MATCH(AP3067,sheath_mark,0),0)*AK3067,0)</f>
        <v>0</v>
      </c>
      <c r="AN3067" cm="1">
        <f t="array" ref="AN3067">IFERROR(INDEX(hd_cap,MATCH(AQ3067,hd_mark,0),0),0)</f>
        <v>0</v>
      </c>
      <c r="AP3067" s="19"/>
      <c r="AQ3067" s="19"/>
      <c r="AR3067" s="100"/>
      <c r="AS3067" s="93"/>
      <c r="AT3067" s="109" t="s">
        <v>491</v>
      </c>
      <c r="AU3067" t="str">
        <f>$Q$2967</f>
        <v>L4</v>
      </c>
      <c r="AV3067">
        <f>$E$23</f>
        <v>0</v>
      </c>
      <c r="AW3067" cm="1">
        <f t="array" ref="AW3067">IFERROR(IF(AV3067=0,0,(INDEX($C$33:$C$38,MATCH($AZ$2986,$B$33:$B$38,0),0)*(AV3069+$BA$2986)+$AW$2986*COUNTIF(AV3067:AV3068,"&gt;0")*$C$32+$AY$2986*$C$31)*$AU$2986),0)</f>
        <v>0</v>
      </c>
      <c r="AX3067">
        <f>IF(AV3067=0,0,-(COUNTIF(AV3067:AV3068,"&gt;0")*$AW$2986*$C$32+$AY$2986*$C$31)*$H$27*$AU$2986)</f>
        <v>0</v>
      </c>
      <c r="AY3067">
        <f>IF(AV3067=0,0,$AY$2986*$H$26*$AU$2986)</f>
        <v>0</v>
      </c>
      <c r="AZ3067">
        <f>(0.6*AW3067+0.7*AX3067)*$AU$2986/2</f>
        <v>0</v>
      </c>
      <c r="BA3067">
        <f>AW3067*$AU$2986/2</f>
        <v>0</v>
      </c>
      <c r="BC3067">
        <f>IF(AV3067=0,0,$BG$2986*$AP$2967)</f>
        <v>0</v>
      </c>
      <c r="BD3067">
        <f>IFERROR(BC3067/$AU$2986,0)</f>
        <v>0</v>
      </c>
      <c r="BE3067">
        <f>BC3067*($F$23+IF($F$23=0,0,($C$14+$C$15+IF($C$13="single",1.5,3)+3)/12))</f>
        <v>0</v>
      </c>
      <c r="BF3067">
        <f>BE3067-AZ3067</f>
        <v>0</v>
      </c>
      <c r="BG3067" cm="1">
        <f t="array" ref="BG3067">IFERROR(IF(BF3067&lt;0,0,BF3067/($AU$2986-INDEX(hd_off,MATCH(BT3067,hd_mark,0),0)/12)),0)</f>
        <v>0</v>
      </c>
      <c r="BH3067">
        <f>IF(AV3067=0,0,$BG$2986*$AM$2967)</f>
        <v>0</v>
      </c>
      <c r="BI3067">
        <f>IFERROR(BH3067/$AU$2986,0)</f>
        <v>0</v>
      </c>
      <c r="BJ3067">
        <f>BH3067*($F$23+IF($F$23=0,0,($C$14+$C$15+IF($C$13="single",1.5,3)+3)/12))</f>
        <v>0</v>
      </c>
      <c r="BK3067">
        <f>BJ3067-BA3067</f>
        <v>0</v>
      </c>
      <c r="BL3067" cm="1">
        <f t="array" ref="BL3067">IFERROR(IF(BK3067&lt;0,0,BK3067/($AU$2986-INDEX(hd_off,MATCH(BT3067,hd_mark,0),0)/12)),0)</f>
        <v>0</v>
      </c>
      <c r="BM3067">
        <f>MAX($F$23,$BD$2986)/$Q$2996</f>
        <v>0</v>
      </c>
      <c r="BN3067">
        <f t="shared" si="1888"/>
        <v>0</v>
      </c>
      <c r="BO3067" cm="1">
        <f t="array" ref="BO3067">IFERROR(INDEX(sheath_ecap_asd,MATCH(BS3067,sheath_mark,0),0)*BN3067,0)</f>
        <v>0</v>
      </c>
      <c r="BP3067" cm="1">
        <f t="array" ref="BP3067">IFERROR(INDEX(sheath_wcap_asd,MATCH(BS3067,sheath_mark,0),0)*BN3067,0)</f>
        <v>0</v>
      </c>
      <c r="BQ3067" cm="1">
        <f t="array" ref="BQ3067">IFERROR(INDEX(hd_cap,MATCH(BT3067,hd_mark,0),0),0)</f>
        <v>0</v>
      </c>
      <c r="BS3067" s="19"/>
      <c r="BT3067" s="19"/>
      <c r="BU3067" s="100"/>
    </row>
    <row r="3068" x14ac:dyDescent="0.25">
      <c r="P3068" s="93"/>
      <c r="Q3068" s="111">
        <f>$R$2986</f>
        <v>0</v>
      </c>
      <c r="R3068" t="str">
        <f>$Q$2968</f>
        <v>L5</v>
      </c>
      <c r="S3068">
        <f>$E$24</f>
        <v>0</v>
      </c>
      <c r="T3068" cm="1">
        <f t="array" ref="T3068">IFERROR(IF(S3068=0,0,(INDEX($C$33:$C$38,MATCH($W$2986,$B$33:$B$38,0),0)*(S3069+$X$2986)+$T$2986*COUNTIF(S3068:S3068,"&gt;0")*$C$32+$V$2986*$C$31)*$R$2986),0)</f>
        <v>0</v>
      </c>
      <c r="U3068">
        <f>IF(S3068=0,0,-(COUNTIF(S3068:S3068,"&gt;0")*$T$2986*$C$32+$V$2986*$C$31)*$H$27*$R$2986)</f>
        <v>0</v>
      </c>
      <c r="V3068">
        <f>IF(S3068=0,0,$V$2986*$H$26*$R$2986)</f>
        <v>0</v>
      </c>
      <c r="W3068">
        <f>(0.6*T3068+0.7*U3068)*$R$2986/2</f>
        <v>0</v>
      </c>
      <c r="X3068">
        <f>T3068*$R$2986/2</f>
        <v>0</v>
      </c>
      <c r="Z3068">
        <f>IF(S3068=0,0,$AD$2986*$AP$2968)</f>
        <v>0</v>
      </c>
      <c r="AA3068">
        <f>IFERROR(Z3068/$R$2986,0)</f>
        <v>0</v>
      </c>
      <c r="AB3068">
        <f>Z3068*($F$24+IF($F$24=0,0,($C$14+$C$15+IF($C$13="single",1.5,3)+3)/12))</f>
        <v>0</v>
      </c>
      <c r="AC3068">
        <f>AB3068-W3068</f>
        <v>0</v>
      </c>
      <c r="AD3068" cm="1">
        <f t="array" ref="AD3068">IFERROR(IF(AC3068&lt;0,0,AC3068/($R$2986-INDEX(hd_off,MATCH(AQ3068,hd_mark,0),0)/12)),0)</f>
        <v>0</v>
      </c>
      <c r="AE3068">
        <f>IF(S3068=0,0,$AD$2986*$AM$2968)</f>
        <v>0</v>
      </c>
      <c r="AF3068">
        <f>IFERROR(AE3068/$R$2986,0)</f>
        <v>0</v>
      </c>
      <c r="AG3068">
        <f>AE3068*($F$24+IF($F$24=0,0,($C$14+$C$15+IF($C$13="single",1.5,3)+3)/12))</f>
        <v>0</v>
      </c>
      <c r="AH3068">
        <f>AG3068-X3068</f>
        <v>0</v>
      </c>
      <c r="AI3068" cm="1">
        <f t="array" ref="AI3068">IFERROR(IF(AH3068&lt;0,0,AH3068/($R$2986-INDEX(hd_off,MATCH(AQ3068,hd_mark,0),0)/12)),0)</f>
        <v>0</v>
      </c>
      <c r="AJ3068">
        <f>MAX($F$24,$AB$2986)/$Q$2996</f>
        <v>0</v>
      </c>
      <c r="AK3068">
        <f t="shared" si="1887"/>
        <v>0</v>
      </c>
      <c r="AL3068" cm="1">
        <f t="array" ref="AL3068">IFERROR(INDEX(sheath_ecap_asd,MATCH(AP3068,sheath_mark,0),0)*AK3068,0)</f>
        <v>0</v>
      </c>
      <c r="AM3068" cm="1">
        <f t="array" ref="AM3068">IFERROR(INDEX(sheath_wcap_asd,MATCH(AP3068,sheath_mark,0),0)*AK3068,0)</f>
        <v>0</v>
      </c>
      <c r="AN3068" cm="1">
        <f t="array" ref="AN3068">IFERROR(INDEX(hd_cap,MATCH(AQ3068,hd_mark,0),0),0)</f>
        <v>0</v>
      </c>
      <c r="AP3068" s="19"/>
      <c r="AQ3068" s="19"/>
      <c r="AR3068" s="100"/>
      <c r="AS3068" s="93"/>
      <c r="AT3068" s="111">
        <f>$R$2986</f>
        <v>0</v>
      </c>
      <c r="AU3068" t="str">
        <f>$Q$2968</f>
        <v>L5</v>
      </c>
      <c r="AV3068">
        <f>$E$24</f>
        <v>0</v>
      </c>
      <c r="AW3068" cm="1">
        <f t="array" ref="AW3068">IFERROR(IF(AV3068=0,0,(INDEX($C$33:$C$38,MATCH($AZ$2986,$B$33:$B$38,0),0)*(AV3069+$BA$2986)+$AW$2986*COUNTIF(AV3068:AV3068,"&gt;0")*$C$32+$AY$2986*$C$31)*$AU$2986),0)</f>
        <v>0</v>
      </c>
      <c r="AX3068">
        <f>IF(AV3068=0,0,-(COUNTIF(AV3068:AV3068,"&gt;0")*$AW$2986*$C$32+$AY$2986*$C$31)*$H$27*$AU$2986)</f>
        <v>0</v>
      </c>
      <c r="AY3068">
        <f>IF(AV3068=0,0,$AY$2986*$H$26*$AU$2986)</f>
        <v>0</v>
      </c>
      <c r="AZ3068">
        <f>(0.6*AW3068+0.7*AX3068)*$AU$2986/2</f>
        <v>0</v>
      </c>
      <c r="BA3068">
        <f>AW3068*$AU$2986/2</f>
        <v>0</v>
      </c>
      <c r="BC3068">
        <f>IF(AV3068=0,0,$BG$2986*$AP$2968)</f>
        <v>0</v>
      </c>
      <c r="BD3068">
        <f>IFERROR(BC3068/$AU$2986,0)</f>
        <v>0</v>
      </c>
      <c r="BE3068">
        <f>BC3068*($F$24+IF($F$24=0,0,($C$14+$C$15+IF($C$13="single",1.5,3)+3)/12))</f>
        <v>0</v>
      </c>
      <c r="BF3068">
        <f>BE3068-AZ3068</f>
        <v>0</v>
      </c>
      <c r="BG3068" cm="1">
        <f t="array" ref="BG3068">IFERROR(IF(BF3068&lt;0,0,BF3068/($AU$2986-INDEX(hd_off,MATCH(BT3068,hd_mark,0),0)/12)),0)</f>
        <v>0</v>
      </c>
      <c r="BH3068">
        <f>IF(AV3068=0,0,$BG$2986*$AM$2968)</f>
        <v>0</v>
      </c>
      <c r="BI3068">
        <f>IFERROR(BH3068/$AU$2986,0)</f>
        <v>0</v>
      </c>
      <c r="BJ3068">
        <f>BH3068*($F$24+IF($F$24=0,0,($C$14+$C$15+IF($C$13="single",1.5,3)+3)/12))</f>
        <v>0</v>
      </c>
      <c r="BK3068">
        <f>BJ3068-BA3068</f>
        <v>0</v>
      </c>
      <c r="BL3068" cm="1">
        <f t="array" ref="BL3068">IFERROR(IF(BK3068&lt;0,0,BK3068/($AU$2986-INDEX(hd_off,MATCH(BT3068,hd_mark,0),0)/12)),0)</f>
        <v>0</v>
      </c>
      <c r="BM3068">
        <f>MAX($F$24,$BE$2986)/$Q$2996</f>
        <v>0</v>
      </c>
      <c r="BN3068">
        <f t="shared" si="1888"/>
        <v>0</v>
      </c>
      <c r="BO3068" cm="1">
        <f t="array" ref="BO3068">IFERROR(INDEX(sheath_ecap_asd,MATCH(BS3068,sheath_mark,0),0)*BN3068,0)</f>
        <v>0</v>
      </c>
      <c r="BP3068" cm="1">
        <f t="array" ref="BP3068">IFERROR(INDEX(sheath_wcap_asd,MATCH(BS3068,sheath_mark,0),0)*BN3068,0)</f>
        <v>0</v>
      </c>
      <c r="BQ3068" cm="1">
        <f t="array" ref="BQ3068">IFERROR(INDEX(hd_cap,MATCH(BT3068,hd_mark,0),0),0)</f>
        <v>0</v>
      </c>
      <c r="BS3068" s="19"/>
      <c r="BT3068" s="19"/>
      <c r="BU3068" s="100"/>
    </row>
    <row r="3069" x14ac:dyDescent="0.25">
      <c r="P3069" s="93"/>
      <c r="Q3069" s="109"/>
      <c r="R3069" t="str">
        <f>$Q$2969</f>
        <v>Roof</v>
      </c>
      <c r="S3069">
        <f>$E$25</f>
        <v>33.171875</v>
      </c>
      <c r="T3069" cm="1">
        <f t="array" ref="T3069">IFERROR(IF(S3069=0,0,(INDEX($C$33:$C$38,MATCH($W$2986,$B$33:$B$38,0),0)*(S3069+$X$2986)+$V$2986*$C$31)*$R$2986),0)</f>
        <v>0</v>
      </c>
      <c r="U3069">
        <f>IF(S3069=0,0,-$V$2986*$C$31*$H$27*$R$2986)</f>
        <v>0</v>
      </c>
      <c r="V3069">
        <f>IF(S3069=0,0,$V$2986*$H$26*$R$2986)</f>
        <v>0</v>
      </c>
      <c r="W3069">
        <f>(0.6*T3069+0.7*U3069)*$R$2986/2</f>
        <v>0</v>
      </c>
      <c r="X3069">
        <f>T3069*$R$2986/2</f>
        <v>0</v>
      </c>
      <c r="Z3069">
        <f>IF(S3069=0,0,$AD$2986*$AP$2969)</f>
        <v>0</v>
      </c>
      <c r="AA3069">
        <f>IFERROR(Z3069/$R$2986,0)</f>
        <v>0</v>
      </c>
      <c r="AB3069">
        <f>Z3069*($F$25+($C$16+$C$17+IF($C$13="single",1.5,3)+3)/12)</f>
        <v>0</v>
      </c>
      <c r="AC3069">
        <f>AB3069-W3069</f>
        <v>0</v>
      </c>
      <c r="AD3069" cm="1">
        <f t="array" ref="AD3069">IFERROR(IF(AC3069&lt;0,0,AC3069/($R$2986-INDEX(hd_off,MATCH(AQ3069,hd_mark,0),0)/12)),0)</f>
        <v>0</v>
      </c>
      <c r="AE3069">
        <f>IF(S3069=0,0,$AD$2986*$AM$2969)</f>
        <v>0</v>
      </c>
      <c r="AF3069">
        <f>IFERROR(AE3069/$R$2986,0)</f>
        <v>0</v>
      </c>
      <c r="AG3069">
        <f>AE3069*($F$25+($C$16+$C$17+IF($C$13="single",1.5,3)+3)/12)</f>
        <v>0</v>
      </c>
      <c r="AH3069">
        <f>AG3069-X3069</f>
        <v>0</v>
      </c>
      <c r="AI3069" cm="1">
        <f t="array" ref="AI3069">IFERROR(IF(AH3069&lt;0,0,AH3069/($R$2986-INDEX(hd_off,MATCH(AQ3069,hd_mark,0),0)/12)),0)</f>
        <v>0</v>
      </c>
      <c r="AJ3069">
        <f>MAX($F$25,$AC$2986)/$Q$2996</f>
        <v>0.29920977011494249</v>
      </c>
      <c r="AK3069">
        <f t="shared" si="1887"/>
        <v>1</v>
      </c>
      <c r="AL3069" cm="1">
        <f t="array" ref="AL3069">IFERROR(INDEX(sheath_ecap_asd,MATCH(AP3069,sheath_mark,0),0)*AK3069,0)</f>
        <v>0</v>
      </c>
      <c r="AM3069" cm="1">
        <f t="array" ref="AM3069">IFERROR(INDEX(sheath_wcap_asd,MATCH(AP3069,sheath_mark,0),0)*AK3069,0)</f>
        <v>0</v>
      </c>
      <c r="AN3069" cm="1">
        <f t="array" ref="AN3069">IFERROR(INDEX(hd_cap,MATCH(AQ3069,hd_mark,0),0),0)</f>
        <v>0</v>
      </c>
      <c r="AP3069" s="19"/>
      <c r="AQ3069" s="19"/>
      <c r="AR3069" s="100"/>
      <c r="AS3069" s="93"/>
      <c r="AT3069" s="109"/>
      <c r="AU3069" t="str">
        <f>$Q$2969</f>
        <v>Roof</v>
      </c>
      <c r="AV3069">
        <f>$E$25</f>
        <v>33.171875</v>
      </c>
      <c r="AW3069" cm="1">
        <f t="array" ref="AW3069">IFERROR(IF(AV3069=0,0,(INDEX($C$33:$C$38,MATCH($AZ$2986,$B$33:$B$38,0),0)*(AV3069+$BA$2986)+$AY$2986*$C$31)*$AU$2986),0)</f>
        <v>0</v>
      </c>
      <c r="AX3069">
        <f>IF(AV3069=0,0,-$AY$2986*$C$31*$H$27*$AU$2986)</f>
        <v>0</v>
      </c>
      <c r="AY3069">
        <f>IF(AV3069=0,0,$AY$2986*$H$26*$AU$2986)</f>
        <v>0</v>
      </c>
      <c r="AZ3069">
        <f>(0.6*AW3069+0.7*AX3069)*$AU$2986/2</f>
        <v>0</v>
      </c>
      <c r="BA3069">
        <f>AW3069*$AU$2986/2</f>
        <v>0</v>
      </c>
      <c r="BC3069">
        <f>IF(AV3069=0,0,$BG$2986*$AP$2969)</f>
        <v>0</v>
      </c>
      <c r="BD3069">
        <f>IFERROR(BC3069/$AU$2986,0)</f>
        <v>0</v>
      </c>
      <c r="BE3069">
        <f>BC3069*($F$25+($C$16+$C$17+IF($C$13="single",1.5,3)+3)/12)</f>
        <v>0</v>
      </c>
      <c r="BF3069">
        <f>BE3069-AZ3069</f>
        <v>0</v>
      </c>
      <c r="BG3069" cm="1">
        <f t="array" ref="BG3069">IFERROR(IF(BF3069&lt;0,0,BF3069/($AU$2986-INDEX(hd_off,MATCH(BT3069,hd_mark,0),0)/12)),0)</f>
        <v>0</v>
      </c>
      <c r="BH3069">
        <f>IF(AV3069=0,0,$BG$2986*$AM$2969)</f>
        <v>0</v>
      </c>
      <c r="BI3069">
        <f>IFERROR(BH3069/$AU$2986,0)</f>
        <v>0</v>
      </c>
      <c r="BJ3069">
        <f>BH3069*($F$25+($C$16+$C$17+IF($C$13="single",1.5,3)+3)/12)</f>
        <v>0</v>
      </c>
      <c r="BK3069">
        <f>BJ3069-BA3069</f>
        <v>0</v>
      </c>
      <c r="BL3069" cm="1">
        <f t="array" ref="BL3069">IFERROR(IF(BK3069&lt;0,0,BK3069/($AU$2986-INDEX(hd_off,MATCH(BT3069,hd_mark,0),0)/12)),0)</f>
        <v>0</v>
      </c>
      <c r="BM3069">
        <f>MAX($F$25,$BF$2986)/$Q$2996</f>
        <v>0.29920977011494249</v>
      </c>
      <c r="BN3069">
        <f t="shared" si="1888"/>
        <v>1</v>
      </c>
      <c r="BO3069" cm="1">
        <f t="array" ref="BO3069">IFERROR(INDEX(sheath_ecap_asd,MATCH(BS3069,sheath_mark,0),0)*BN3069,0)</f>
        <v>0</v>
      </c>
      <c r="BP3069" cm="1">
        <f t="array" ref="BP3069">IFERROR(INDEX(sheath_wcap_asd,MATCH(BS3069,sheath_mark,0),0)*BN3069,0)</f>
        <v>0</v>
      </c>
      <c r="BQ3069" cm="1">
        <f t="array" ref="BQ3069">IFERROR(INDEX(hd_cap,MATCH(BT3069,hd_mark,0),0),0)</f>
        <v>0</v>
      </c>
      <c r="BS3069" s="19"/>
      <c r="BT3069" s="19"/>
      <c r="BU3069" s="100"/>
    </row>
    <row r="3070" x14ac:dyDescent="0.25">
      <c r="P3070" s="93"/>
      <c r="AR3070" s="100"/>
      <c r="AS3070" s="93"/>
      <c r="BU3070" s="100"/>
    </row>
    <row r="3071" x14ac:dyDescent="0.25">
      <c r="P3071" s="93"/>
      <c r="Q3071" s="110" t="str">
        <f>$Q$2987</f>
        <v>A.14</v>
      </c>
      <c r="R3071" t="str">
        <f>$Q$2965</f>
        <v>L2</v>
      </c>
      <c r="S3071">
        <f>$E$21</f>
        <v>10.6875</v>
      </c>
      <c r="T3071" cm="1">
        <f t="array" ref="T3071">IFERROR(IF(S3071=0,0,(INDEX($C$33:$C$38,MATCH($W$2987,$B$33:$B$38,0),0)*(S3075+$X$2987)+$T$2987*COUNTIF(S3071:S3087,"&gt;0")*$C$32+$V$2987*$C$31)*$R$2987),0)</f>
        <v>0</v>
      </c>
      <c r="U3071">
        <f>IF(S3071=0,0,-(COUNTIF(S3071:S3087,"&gt;0")*$T$2987*$C$32+$V$2987*$C$31)*$H$27*$R$2987)</f>
        <v>0</v>
      </c>
      <c r="V3071">
        <f>IF(S3071=0,0,$V$2987*$H$26*$R$2987)</f>
        <v>0</v>
      </c>
      <c r="W3071">
        <f>(0.6*T3071+0.7*U3071)*$R$2987/2</f>
        <v>0</v>
      </c>
      <c r="X3071">
        <f>(0.6*T3071+0.6*V3071)*$R$2987/2</f>
        <v>0</v>
      </c>
      <c r="Z3071">
        <f>IF(S3071=0,0,$AD$2987*$AP$2965)</f>
        <v>0</v>
      </c>
      <c r="AA3071">
        <f>IFERROR(Z3071/$R$2987,0)</f>
        <v>0</v>
      </c>
      <c r="AB3071">
        <f>Z3071*($F$21+IF($F$21=0,0,($C$14+$C$15+IF($C$13="single",1.5,3)+3)/12))</f>
        <v>0</v>
      </c>
      <c r="AC3071">
        <f>AB3071-W3071</f>
        <v>0</v>
      </c>
      <c r="AD3071" cm="1">
        <f t="array" ref="AD3071">IFERROR(IF(AC3071&lt;0,0,AC3071/($R$2987-INDEX(hd_off,MATCH(AQ3071,hd_mark,0),0)/12)),0)</f>
        <v>0</v>
      </c>
      <c r="AE3071">
        <f>IF(S3071=0,0,$AD$2987*$AM$2965)</f>
        <v>0</v>
      </c>
      <c r="AF3071">
        <f>IFERROR(AE3071/$R$2987,0)</f>
        <v>0</v>
      </c>
      <c r="AG3071">
        <f>AE3071*($F$21+IF($F$21=0,0,($C$14+$C$15+IF($C$13="single",1.5,3)+3)/12))</f>
        <v>0</v>
      </c>
      <c r="AH3071">
        <f>AG3071-X3071</f>
        <v>0</v>
      </c>
      <c r="AI3071" cm="1">
        <f t="array" ref="AI3071">IFERROR(IF(AH3071&lt;0,0,AH3071/($R$2987-INDEX(hd_off,MATCH(AQ3071,hd_mark,0),0)/12)),0)</f>
        <v>0</v>
      </c>
      <c r="AJ3071">
        <f>MAX($F$21,$Y$2987)/$Q$2996</f>
        <v>0.30172413793103448</v>
      </c>
      <c r="AK3071">
        <f>IF(AJ3071=0,0,IF(AJ3071&gt;2,1.25-0.125*AJ3071,1))</f>
        <v>1</v>
      </c>
      <c r="AL3071" cm="1">
        <f t="array" ref="AL3071">IFERROR(INDEX(sheath_ecap_asd,MATCH(AP3071,sheath_mark,0),0)*AK3071,0)</f>
        <v>0</v>
      </c>
      <c r="AM3071" cm="1">
        <f t="array" ref="AM3071">IFERROR(INDEX(sheath_wcap_asd,MATCH(AP3071,sheath_mark,0),0)*AK3071,0)</f>
        <v>0</v>
      </c>
      <c r="AN3071" cm="1">
        <f t="array" ref="AN3071">IFERROR(INDEX(hd_cap,MATCH(AQ3071,hd_mark,0),0),0)</f>
        <v>0</v>
      </c>
      <c r="AP3071" s="19"/>
      <c r="AQ3071" s="19"/>
      <c r="AR3071" s="100"/>
      <c r="AS3071" s="93"/>
      <c r="AT3071" s="110" t="str">
        <f>$AT$2987</f>
        <v>1.14</v>
      </c>
      <c r="AU3071" t="str">
        <f>$Q$2965</f>
        <v>L2</v>
      </c>
      <c r="AV3071">
        <f>$E$21</f>
        <v>10.6875</v>
      </c>
      <c r="AW3071" cm="1">
        <f t="array" ref="AW3071">IFERROR(IF(AV3071=0,0,(INDEX($C$33:$C$38,MATCH($AZ$2987,$B$33:$B$38,0),0)*(AV3075+$BA$2987)+$AW$2987*COUNTIF(AV3071:AV3087,"&gt;0")*$C$32+$AY$2987*$C$31)*$AU$2987),0)</f>
        <v>0</v>
      </c>
      <c r="AX3071">
        <f>IF(AV3071=0,0,-(COUNTIF(AV3071:AV3087,"&gt;0")*$AW$2987*$C$32+$AY$2987*$C$31)*$H$27*$AU$2987)</f>
        <v>0</v>
      </c>
      <c r="AY3071">
        <f>IF(AV3071=0,0,$AY$2987*$H$26*$AU$2987)</f>
        <v>0</v>
      </c>
      <c r="AZ3071">
        <f>(0.6*AW3071+0.7*AX3071)*$AU$2987/2</f>
        <v>0</v>
      </c>
      <c r="BA3071">
        <f>(0.6*AW3071+0.6*AY3071)*$AU$2987/2</f>
        <v>0</v>
      </c>
      <c r="BC3071">
        <f>IF(AV3071=0,0,$BG$2987*$AP$2965)</f>
        <v>0</v>
      </c>
      <c r="BD3071">
        <f>IFERROR(BC3071/$AU$2987,0)</f>
        <v>0</v>
      </c>
      <c r="BE3071">
        <f>BC3071*($F$21+IF($F$21=0,0,($C$14+$C$15+IF($C$13="single",1.5,3)+3)/12))</f>
        <v>0</v>
      </c>
      <c r="BF3071">
        <f>BE3071-AZ3071</f>
        <v>0</v>
      </c>
      <c r="BG3071" cm="1">
        <f t="array" ref="BG3071">IFERROR(IF(BF3071&lt;0,0,BF3071/($AU$2987-INDEX(hd_off,MATCH(BT3071,hd_mark,0),0)/12)),0)</f>
        <v>0</v>
      </c>
      <c r="BH3071">
        <f>IF(AV3071=0,0,$BG$2987*$AM$2965)</f>
        <v>0</v>
      </c>
      <c r="BI3071">
        <f>IFERROR(BH3071/$AU$2987,0)</f>
        <v>0</v>
      </c>
      <c r="BJ3071">
        <f>BH3071*($F$21+IF($F$21=0,0,($C$14+$C$15+IF($C$13="single",1.5,3)+3)/12))</f>
        <v>0</v>
      </c>
      <c r="BK3071">
        <f>BJ3071-BA3071</f>
        <v>0</v>
      </c>
      <c r="BL3071" cm="1">
        <f t="array" ref="BL3071">IFERROR(IF(BK3071&lt;0,0,BK3071/($AU$2987-INDEX(hd_off,MATCH(BT3071,hd_mark,0),0)/12)),0)</f>
        <v>0</v>
      </c>
      <c r="BM3071">
        <f>MAX($F$21,$BB$2987)/$Q$2996</f>
        <v>0.30172413793103448</v>
      </c>
      <c r="BN3071">
        <f>IF(BM3071=0,0,IF(BM3071&gt;2,1.25-0.125*BM3071,1))</f>
        <v>1</v>
      </c>
      <c r="BO3071" cm="1">
        <f t="array" ref="BO3071">IFERROR(INDEX(sheath_ecap_asd,MATCH(BS3071,sheath_mark,0),0)*BN3071,0)</f>
        <v>0</v>
      </c>
      <c r="BP3071" cm="1">
        <f t="array" ref="BP3071">IFERROR(INDEX(sheath_wcap_asd,MATCH(BS3071,sheath_mark,0),0)*BN3071,0)</f>
        <v>0</v>
      </c>
      <c r="BQ3071" cm="1">
        <f t="array" ref="BQ3071">IFERROR(INDEX(hd_cap,MATCH(BT3071,hd_mark,0),0),0)</f>
        <v>0</v>
      </c>
      <c r="BS3071" s="19"/>
      <c r="BT3071" s="19"/>
      <c r="BU3071" s="100"/>
    </row>
    <row r="3072" x14ac:dyDescent="0.25">
      <c r="P3072" s="93"/>
      <c r="Q3072" s="109"/>
      <c r="R3072" t="str">
        <f>$Q$2966</f>
        <v>L3</v>
      </c>
      <c r="S3072">
        <f>$E$22</f>
        <v>21.375</v>
      </c>
      <c r="T3072" cm="1">
        <f t="array" ref="T3072">IFERROR(IF(S3072=0,0,(INDEX($C$33:$C$38,MATCH($W$2987,$B$33:$B$38,0),0)*(S3075+$X$2987)+$T$2987*COUNTIF(S3072:S3087,"&gt;0")*$C$32+$V$2987*$C$31)*$R$2987),0)</f>
        <v>0</v>
      </c>
      <c r="U3072">
        <f>IF(S3072=0,0,-(COUNTIF(S3072:S3087,"&gt;0")*$T$2987*$C$32+$V$2987*$C$31)*$H$27*$R$2987)</f>
        <v>0</v>
      </c>
      <c r="V3072">
        <f>IF(S3072=0,0,$V$2987*$H$26*$R$2987)</f>
        <v>0</v>
      </c>
      <c r="W3072">
        <f>(0.6*T3072+0.7*U3072)*$R$2987/2</f>
        <v>0</v>
      </c>
      <c r="X3072">
        <f>T3072*$R$2987/2</f>
        <v>0</v>
      </c>
      <c r="Z3072">
        <f>IF(S3072=0,0,$AD$2987*$AP$2966)</f>
        <v>0</v>
      </c>
      <c r="AA3072">
        <f>IFERROR(Z3072/$R$2987,0)</f>
        <v>0</v>
      </c>
      <c r="AB3072">
        <f>Z3072*($F$22+IF($F$22=0,0,($C$14+$C$15+IF($C$13="single",1.5,3)+3)/12))</f>
        <v>0</v>
      </c>
      <c r="AC3072">
        <f>AB3072-W3072</f>
        <v>0</v>
      </c>
      <c r="AD3072" cm="1">
        <f t="array" ref="AD3072">IFERROR(IF(AC3072&lt;0,0,AC3072/($R$2987-INDEX(hd_off,MATCH(AQ3072,hd_mark,0),0)/12)),0)</f>
        <v>0</v>
      </c>
      <c r="AE3072">
        <f>IF(S3072=0,0,$AD$2987*$AM$2966)</f>
        <v>0</v>
      </c>
      <c r="AF3072">
        <f>IFERROR(AE3072/$R$2987,0)</f>
        <v>0</v>
      </c>
      <c r="AG3072">
        <f>AE3072*($F$22+IF($F$22=0,0,($C$14+$C$15+IF($C$13="single",1.5,3)+3)/12))</f>
        <v>0</v>
      </c>
      <c r="AH3072">
        <f>AG3072-X3072</f>
        <v>0</v>
      </c>
      <c r="AI3072" cm="1">
        <f t="array" ref="AI3072">IFERROR(IF(AH3072&lt;0,0,AH3072/($R$2987-INDEX(hd_off,MATCH(AQ3072,hd_mark,0),0)/12)),0)</f>
        <v>0</v>
      </c>
      <c r="AJ3072">
        <f>MAX($F$22,$Z$2987)/$Q$2996</f>
        <v>0.30172413793103448</v>
      </c>
      <c r="AK3072">
        <f t="shared" ref="AK3072:AK3075" si="1889">IF(AJ3072=0,0,IF(AJ3072&gt;2,1.25-0.125*AJ3072,1))</f>
        <v>1</v>
      </c>
      <c r="AL3072" cm="1">
        <f t="array" ref="AL3072">IFERROR(INDEX(sheath_ecap_asd,MATCH(AP3072,sheath_mark,0),0)*AK3072,0)</f>
        <v>0</v>
      </c>
      <c r="AM3072" cm="1">
        <f t="array" ref="AM3072">IFERROR(INDEX(sheath_wcap_asd,MATCH(AP3072,sheath_mark,0),0)*AK3072,0)</f>
        <v>0</v>
      </c>
      <c r="AN3072" cm="1">
        <f t="array" ref="AN3072">IFERROR(INDEX(hd_cap,MATCH(AQ3072,hd_mark,0),0),0)</f>
        <v>0</v>
      </c>
      <c r="AP3072" s="19"/>
      <c r="AQ3072" s="19"/>
      <c r="AR3072" s="100"/>
      <c r="AS3072" s="93"/>
      <c r="AT3072" s="109"/>
      <c r="AU3072" t="str">
        <f>$Q$2966</f>
        <v>L3</v>
      </c>
      <c r="AV3072">
        <f>$E$22</f>
        <v>21.375</v>
      </c>
      <c r="AW3072" cm="1">
        <f t="array" ref="AW3072">IFERROR(IF(AV3072=0,0,(INDEX($C$33:$C$38,MATCH($AZ$2987,$B$33:$B$38,0),0)*(AV3075+$BA$2987)+$AW$2987*COUNTIF(AV3072:AV3087,"&gt;0")*$C$32+$AY$2987*$C$31)*$AU$2987),0)</f>
        <v>0</v>
      </c>
      <c r="AX3072">
        <f>IF(AV3072=0,0,-(COUNTIF(AV3072:AV3087,"&gt;0")*$AW$2987*$C$32+$AY$2987*$C$31)*$H$27*$AU$2987)</f>
        <v>0</v>
      </c>
      <c r="AY3072">
        <f>IF(AV3072=0,0,$AY$2987*$H$26*$AU$2987)</f>
        <v>0</v>
      </c>
      <c r="AZ3072">
        <f>(0.6*AW3072+0.7*AX3072)*$AU$2987/2</f>
        <v>0</v>
      </c>
      <c r="BA3072">
        <f>AW3072*$AU$2987/2</f>
        <v>0</v>
      </c>
      <c r="BC3072">
        <f>IF(AV3072=0,0,$BG$2987*$AP$2966)</f>
        <v>0</v>
      </c>
      <c r="BD3072">
        <f>IFERROR(BC3072/$AU$2987,0)</f>
        <v>0</v>
      </c>
      <c r="BE3072">
        <f>BC3072*($F$22+IF($F$22=0,0,($C$14+$C$15+IF($C$13="single",1.5,3)+3)/12))</f>
        <v>0</v>
      </c>
      <c r="BF3072">
        <f>BE3072-AZ3072</f>
        <v>0</v>
      </c>
      <c r="BG3072" cm="1">
        <f t="array" ref="BG3072">IFERROR(IF(BF3072&lt;0,0,BF3072/($AU$2987-INDEX(hd_off,MATCH(BT3072,hd_mark,0),0)/12)),0)</f>
        <v>0</v>
      </c>
      <c r="BH3072">
        <f>IF(AV3072=0,0,$BG$2987*$AM$2966)</f>
        <v>0</v>
      </c>
      <c r="BI3072">
        <f>IFERROR(BH3072/$AU$2987,0)</f>
        <v>0</v>
      </c>
      <c r="BJ3072">
        <f>BH3072*($F$22+IF($F$22=0,0,($C$14+$C$15+IF($C$13="single",1.5,3)+3)/12))</f>
        <v>0</v>
      </c>
      <c r="BK3072">
        <f>BJ3072-BA3072</f>
        <v>0</v>
      </c>
      <c r="BL3072" cm="1">
        <f t="array" ref="BL3072">IFERROR(IF(BK3072&lt;0,0,BK3072/($AU$2987-INDEX(hd_off,MATCH(BT3072,hd_mark,0),0)/12)),0)</f>
        <v>0</v>
      </c>
      <c r="BM3072">
        <f>MAX($F$22,$BC$2987)/$Q$2996</f>
        <v>0.30172413793103448</v>
      </c>
      <c r="BN3072">
        <f t="shared" ref="BN3072:BN3073" si="1890">IF(BM3072=0,0,IF(BM3072&gt;2,1.25-0.125*BM3072,1))</f>
        <v>1</v>
      </c>
      <c r="BO3072" cm="1">
        <f t="array" ref="BO3072">IFERROR(INDEX(sheath_ecap_asd,MATCH(BS3072,sheath_mark,0),0)*BN3072,0)</f>
        <v>0</v>
      </c>
      <c r="BP3072" cm="1">
        <f t="array" ref="BP3072">IFERROR(INDEX(sheath_wcap_asd,MATCH(BS3072,sheath_mark,0),0)*BN3072,0)</f>
        <v>0</v>
      </c>
      <c r="BQ3072" cm="1">
        <f t="array" ref="BQ3072">IFERROR(INDEX(hd_cap,MATCH(BT3072,hd_mark,0),0),0)</f>
        <v>0</v>
      </c>
      <c r="BS3072" s="19"/>
      <c r="BT3072" s="19"/>
      <c r="BU3072" s="100"/>
    </row>
    <row r="3073" x14ac:dyDescent="0.25">
      <c r="P3073" s="93"/>
      <c r="Q3073" s="109" t="s">
        <v>491</v>
      </c>
      <c r="R3073" t="str">
        <f>$Q$2967</f>
        <v>L4</v>
      </c>
      <c r="S3073">
        <f>$E$23</f>
        <v>0</v>
      </c>
      <c r="T3073" cm="1">
        <f t="array" ref="T3073">IFERROR(IF(S3073=0,0,(INDEX($C$33:$C$38,MATCH($W$2987,$B$33:$B$38,0),0)*(S3075+$X$2987)+$T$2987*COUNTIF(S3073:S3087,"&gt;0")*$C$32+$V$2987*$C$31)*$R$2987),0)</f>
        <v>0</v>
      </c>
      <c r="U3073">
        <f>IF(S3073=0,0,-(COUNTIF(S3073:S3087,"&gt;0")*$T$2987*$C$32+$V$2987*$C$31)*$H$27*$R$2987)</f>
        <v>0</v>
      </c>
      <c r="V3073">
        <f>IF(S3073=0,0,$V$2987*$H$26*$R$2987)</f>
        <v>0</v>
      </c>
      <c r="W3073">
        <f>(0.6*T3073+0.7*U3073)*$R$2987/2</f>
        <v>0</v>
      </c>
      <c r="X3073">
        <f>T3073*$R$2987/2</f>
        <v>0</v>
      </c>
      <c r="Z3073">
        <f>IF(S3073=0,0,$AD$2987*$AP$2967)</f>
        <v>0</v>
      </c>
      <c r="AA3073">
        <f>IFERROR(Z3073/$R$2987,0)</f>
        <v>0</v>
      </c>
      <c r="AB3073">
        <f>Z3073*($F$23+IF($F$23=0,0,($C$14+$C$15+IF($C$13="single",1.5,3)+3)/12))</f>
        <v>0</v>
      </c>
      <c r="AC3073">
        <f>AB3073-W3073</f>
        <v>0</v>
      </c>
      <c r="AD3073" cm="1">
        <f t="array" ref="AD3073">IFERROR(IF(AC3073&lt;0,0,AC3073/($R$2987-INDEX(hd_off,MATCH(AQ3073,hd_mark,0),0)/12)),0)</f>
        <v>0</v>
      </c>
      <c r="AE3073">
        <f>IF(S3073=0,0,$AD$2987*$AM$2967)</f>
        <v>0</v>
      </c>
      <c r="AF3073">
        <f>IFERROR(AE3073/$R$2987,0)</f>
        <v>0</v>
      </c>
      <c r="AG3073">
        <f>AE3073*($F$23+IF($F$23=0,0,($C$14+$C$15+IF($C$13="single",1.5,3)+3)/12))</f>
        <v>0</v>
      </c>
      <c r="AH3073">
        <f>AG3073-X3073</f>
        <v>0</v>
      </c>
      <c r="AI3073" cm="1">
        <f t="array" ref="AI3073">IFERROR(IF(AH3073&lt;0,0,AH3073/($R$2987-INDEX(hd_off,MATCH(AQ3073,hd_mark,0),0)/12)),0)</f>
        <v>0</v>
      </c>
      <c r="AJ3073">
        <f>MAX($F$23,$AA$2987)/$Q$2996</f>
        <v>0</v>
      </c>
      <c r="AK3073">
        <f t="shared" si="1889"/>
        <v>0</v>
      </c>
      <c r="AL3073" cm="1">
        <f t="array" ref="AL3073">IFERROR(INDEX(sheath_ecap_asd,MATCH(AP3073,sheath_mark,0),0)*AK3073,0)</f>
        <v>0</v>
      </c>
      <c r="AM3073" cm="1">
        <f t="array" ref="AM3073">IFERROR(INDEX(sheath_wcap_asd,MATCH(AP3073,sheath_mark,0),0)*AK3073,0)</f>
        <v>0</v>
      </c>
      <c r="AN3073" cm="1">
        <f t="array" ref="AN3073">IFERROR(INDEX(hd_cap,MATCH(AQ3073,hd_mark,0),0),0)</f>
        <v>0</v>
      </c>
      <c r="AP3073" s="19"/>
      <c r="AQ3073" s="19"/>
      <c r="AR3073" s="100"/>
      <c r="AS3073" s="93"/>
      <c r="AT3073" s="109" t="s">
        <v>491</v>
      </c>
      <c r="AU3073" t="str">
        <f>$Q$2967</f>
        <v>L4</v>
      </c>
      <c r="AV3073">
        <f>$E$23</f>
        <v>0</v>
      </c>
      <c r="AW3073" cm="1">
        <f t="array" ref="AW3073">IFERROR(IF(AV3073=0,0,(INDEX($C$33:$C$38,MATCH($AZ$2987,$B$33:$B$38,0),0)*(AV3075+$BA$2987)+$AW$2987*COUNTIF(AV3073:AV3087,"&gt;0")*$C$32+$AY$2987*$C$31)*$AU$2987),0)</f>
        <v>0</v>
      </c>
      <c r="AX3073">
        <f>IF(AV3073=0,0,-(COUNTIF(AV3073:AV3087,"&gt;0")*$AW$2987*$C$32+$AY$2987*$C$31)*$H$27*$AU$2987)</f>
        <v>0</v>
      </c>
      <c r="AY3073">
        <f>IF(AV3073=0,0,$AY$2987*$H$26*$AU$2987)</f>
        <v>0</v>
      </c>
      <c r="AZ3073">
        <f>(0.6*AW3073+0.7*AX3073)*$AU$2987/2</f>
        <v>0</v>
      </c>
      <c r="BA3073">
        <f>AW3073*$AU$2987/2</f>
        <v>0</v>
      </c>
      <c r="BC3073">
        <f>IF(AV3073=0,0,$BG$2987*$AP$2967)</f>
        <v>0</v>
      </c>
      <c r="BD3073">
        <f>IFERROR(BC3073/$AU$2987,0)</f>
        <v>0</v>
      </c>
      <c r="BE3073">
        <f>BC3073*($F$23+IF($F$23=0,0,($C$14+$C$15+IF($C$13="single",1.5,3)+3)/12))</f>
        <v>0</v>
      </c>
      <c r="BF3073">
        <f>BE3073-AZ3073</f>
        <v>0</v>
      </c>
      <c r="BG3073" cm="1">
        <f t="array" ref="BG3073">IFERROR(IF(BF3073&lt;0,0,BF3073/($AU$2987-INDEX(hd_off,MATCH(BT3073,hd_mark,0),0)/12)),0)</f>
        <v>0</v>
      </c>
      <c r="BH3073">
        <f>IF(AV3073=0,0,$BG$2987*$AM$2967)</f>
        <v>0</v>
      </c>
      <c r="BI3073">
        <f>IFERROR(BH3073/$AU$2987,0)</f>
        <v>0</v>
      </c>
      <c r="BJ3073">
        <f>BH3073*($F$23+IF($F$23=0,0,($C$14+$C$15+IF($C$13="single",1.5,3)+3)/12))</f>
        <v>0</v>
      </c>
      <c r="BK3073">
        <f>BJ3073-BA3073</f>
        <v>0</v>
      </c>
      <c r="BL3073" cm="1">
        <f t="array" ref="BL3073">IFERROR(IF(BK3073&lt;0,0,BK3073/($AU$2987-INDEX(hd_off,MATCH(BT3073,hd_mark,0),0)/12)),0)</f>
        <v>0</v>
      </c>
      <c r="BM3073">
        <f>MAX($F$23,$BD$2987)/$Q$2996</f>
        <v>0</v>
      </c>
      <c r="BN3073">
        <f t="shared" si="1890"/>
        <v>0</v>
      </c>
      <c r="BO3073" cm="1">
        <f t="array" ref="BO3073">IFERROR(INDEX(sheath_ecap_asd,MATCH(BS3073,sheath_mark,0),0)*BN3073,0)</f>
        <v>0</v>
      </c>
      <c r="BP3073" cm="1">
        <f t="array" ref="BP3073">IFERROR(INDEX(sheath_wcap_asd,MATCH(BS3073,sheath_mark,0),0)*BN3073,0)</f>
        <v>0</v>
      </c>
      <c r="BQ3073" cm="1">
        <f t="array" ref="BQ3073">IFERROR(INDEX(hd_cap,MATCH(BT3073,hd_mark,0),0),0)</f>
        <v>0</v>
      </c>
      <c r="BS3073" s="19"/>
      <c r="BT3073" s="19"/>
      <c r="BU3073" s="100"/>
    </row>
    <row r="3074" x14ac:dyDescent="0.25">
      <c r="P3074" s="93"/>
      <c r="Q3074" s="111">
        <f>$R$2987</f>
        <v>0</v>
      </c>
      <c r="R3074" t="str">
        <f>$Q$2968</f>
        <v>L5</v>
      </c>
      <c r="S3074">
        <f>$E$24</f>
        <v>0</v>
      </c>
      <c r="T3074" cm="1">
        <f t="array" ref="T3074">IFERROR(IF(S3087=0,0,(INDEX($C$33:$C$38,MATCH($W$2987,$B$33:$B$38,0),0)*(S3075+$X$2987)+$T$2987*COUNTIF(S3087:S3087,"&gt;0")*$C$32+$V$2987*$C$31)*$R$2987),0)</f>
        <v>0</v>
      </c>
      <c r="U3074">
        <f>IF(S3087=0,0,-(COUNTIF(S3087:S3087,"&gt;0")*$T$2987*$C$32+$V$2987*$C$31)*$H$27*$R$2987)</f>
        <v>0</v>
      </c>
      <c r="V3074">
        <f>IF(S3087=0,0,$V$2987*$H$26*$R$2987)</f>
        <v>0</v>
      </c>
      <c r="W3074">
        <f>(0.6*T3087+0.7*U3087)*$R$2987/2</f>
        <v>0</v>
      </c>
      <c r="X3074">
        <f>T3087*$R$2987/2</f>
        <v>0</v>
      </c>
      <c r="Z3074">
        <f>IF(S3087=0,0,$AD$2987*$AP$2968)</f>
        <v>0</v>
      </c>
      <c r="AA3074">
        <f>IFERROR(Z3087/$R$2987,0)</f>
        <v>0</v>
      </c>
      <c r="AB3074">
        <f>Z3087*($F$24+IF($F$24=0,0,($C$14+$C$15+IF($C$13="single",1.5,3)+3)/12))</f>
        <v>0</v>
      </c>
      <c r="AC3074">
        <f>AB3087-W3087</f>
        <v>0</v>
      </c>
      <c r="AD3074" cm="1">
        <f t="array" ref="AD3074">IFERROR(IF(AC3087&lt;0,0,AC3087/($R$2987-INDEX(hd_off,MATCH(AQ3087,hd_mark,0),0)/12)),0)</f>
        <v>0</v>
      </c>
      <c r="AE3074">
        <f>IF(S3087=0,0,$AD$2987*$AM$2968)</f>
        <v>0</v>
      </c>
      <c r="AF3074">
        <f>IFERROR(AE3087/$R$2987,0)</f>
        <v>0</v>
      </c>
      <c r="AG3074">
        <f>AE3087*($F$24+IF($F$24=0,0,($C$14+$C$15+IF($C$13="single",1.5,3)+3)/12))</f>
        <v>0</v>
      </c>
      <c r="AH3074">
        <f>AG3087-X3087</f>
        <v>0</v>
      </c>
      <c r="AI3074" cm="1">
        <f t="array" ref="AI3074">IFERROR(IF(AH3087&lt;0,0,AH3087/($R$2987-INDEX(hd_off,MATCH(AQ3087,hd_mark,0),0)/12)),0)</f>
        <v>0</v>
      </c>
      <c r="AJ3074">
        <f>MAX($F$24,$AB$2987)/$Q$2996</f>
        <v>0</v>
      </c>
      <c r="AK3074">
        <f>IF(AJ3087=0,0,IF(AJ3087&gt;2,1.25-0.125*AJ3087,1))</f>
        <v>1</v>
      </c>
      <c r="AL3074" cm="1">
        <f t="array" ref="AL3074">IFERROR(INDEX(sheath_ecap_asd,MATCH(AP3087,sheath_mark,0),0)*AK3087,0)</f>
        <v>0</v>
      </c>
      <c r="AM3074" cm="1">
        <f t="array" ref="AM3074">IFERROR(INDEX(sheath_wcap_asd,MATCH(AP3087,sheath_mark,0),0)*AK3087,0)</f>
        <v>0</v>
      </c>
      <c r="AN3074" cm="1">
        <f t="array" ref="AN3074">IFERROR(INDEX(hd_cap,MATCH(AQ3087,hd_mark,0),0),0)</f>
        <v>0</v>
      </c>
      <c r="AP3074" s="19"/>
      <c r="AQ3074" s="19"/>
      <c r="AR3074" s="100"/>
      <c r="AS3074" s="93"/>
      <c r="AT3074" s="111">
        <f>$R$2987</f>
        <v>0</v>
      </c>
      <c r="AU3074" t="str">
        <f>$Q$2968</f>
        <v>L5</v>
      </c>
      <c r="AV3074">
        <f>$E$24</f>
        <v>0</v>
      </c>
      <c r="AW3074" cm="1">
        <f t="array" ref="AW3074">IFERROR(IF(AV3087=0,0,(INDEX($C$33:$C$38,MATCH($AZ$2987,$B$33:$B$38,0),0)*(AV3075+$BA$2987)+$AW$2987*COUNTIF(AV3087:AV3087,"&gt;0")*$C$32+$AY$2987*$C$31)*$AU$2987),0)</f>
        <v>0</v>
      </c>
      <c r="AX3074">
        <f>IF(AV3087=0,0,-(COUNTIF(AV3087:AV3087,"&gt;0")*$AW$2987*$C$32+$AY$2987*$C$31)*$H$27*$AU$2987)</f>
        <v>0</v>
      </c>
      <c r="AY3074">
        <f>IF(AV3087=0,0,$AY$2987*$H$26*$AU$2987)</f>
        <v>0</v>
      </c>
      <c r="AZ3074">
        <f>(0.6*AW3087+0.7*AX3087)*$AU$2987/2</f>
        <v>0</v>
      </c>
      <c r="BA3074">
        <f>AW3087*$AU$2987/2</f>
        <v>0</v>
      </c>
      <c r="BC3074">
        <f>IF(AV3087=0,0,$BG$2987*$AP$2968)</f>
        <v>0</v>
      </c>
      <c r="BD3074">
        <f>IFERROR(BC3087/$AU$2987,0)</f>
        <v>0</v>
      </c>
      <c r="BE3074">
        <f>BC3087*($F$24+IF($F$24=0,0,($C$14+$C$15+IF($C$13="single",1.5,3)+3)/12))</f>
        <v>0</v>
      </c>
      <c r="BF3074">
        <f>BE3087-AZ3087</f>
        <v>0</v>
      </c>
      <c r="BG3074" cm="1">
        <f t="array" ref="BG3074">IFERROR(IF(BF3087&lt;0,0,BF3087/($AU$2987-INDEX(hd_off,MATCH(BT3087,hd_mark,0),0)/12)),0)</f>
        <v>0</v>
      </c>
      <c r="BH3074">
        <f>IF(AV3087=0,0,$BG$2987*$AM$2968)</f>
        <v>0</v>
      </c>
      <c r="BI3074">
        <f>IFERROR(BH3087/$AU$2987,0)</f>
        <v>0</v>
      </c>
      <c r="BJ3074">
        <f>BH3087*($F$24+IF($F$24=0,0,($C$14+$C$15+IF($C$13="single",1.5,3)+3)/12))</f>
        <v>0</v>
      </c>
      <c r="BK3074">
        <f>BJ3087-BA3087</f>
        <v>0</v>
      </c>
      <c r="BL3074" cm="1">
        <f t="array" ref="BL3074">IFERROR(IF(BK3087&lt;0,0,BK3087/($AU$2987-INDEX(hd_off,MATCH(BT3087,hd_mark,0),0)/12)),0)</f>
        <v>0</v>
      </c>
      <c r="BM3074">
        <f>MAX($F$24,$BE$2987)/$Q$2996</f>
        <v>0</v>
      </c>
      <c r="BN3074">
        <f>IF(BM3087=0,0,IF(BM3087&gt;2,1.25-0.125*BM3087,1))</f>
        <v>0</v>
      </c>
      <c r="BO3074" cm="1">
        <f t="array" ref="BO3074">IFERROR(INDEX(sheath_ecap_asd,MATCH(BS3087,sheath_mark,0),0)*BN3087,0)</f>
        <v>0</v>
      </c>
      <c r="BP3074" cm="1">
        <f t="array" ref="BP3074">IFERROR(INDEX(sheath_wcap_asd,MATCH(BS3087,sheath_mark,0),0)*BN3087,0)</f>
        <v>0</v>
      </c>
      <c r="BQ3074" cm="1">
        <f t="array" ref="BQ3074">IFERROR(INDEX(hd_cap,MATCH(BT3087,hd_mark,0),0),0)</f>
        <v>0</v>
      </c>
      <c r="BS3074" s="19"/>
      <c r="BT3074" s="19"/>
      <c r="BU3074" s="100"/>
    </row>
    <row r="3075" x14ac:dyDescent="0.25">
      <c r="P3075" s="93"/>
      <c r="Q3075" s="109"/>
      <c r="R3075" t="str">
        <f>$Q$2969</f>
        <v>Roof</v>
      </c>
      <c r="S3075">
        <f>$E$25</f>
        <v>33.171875</v>
      </c>
      <c r="T3075" cm="1">
        <f t="array" ref="T3075">IFERROR(IF(S3075=0,0,(INDEX($C$33:$C$38,MATCH($W$2987,$B$33:$B$38,0),0)*(S3075+$X$2987)+$V$2987*$C$31)*$R$2987),0)</f>
        <v>0</v>
      </c>
      <c r="U3075">
        <f>IF(S3075=0,0,-$V$2987*$C$31*$H$27*$R$2987)</f>
        <v>0</v>
      </c>
      <c r="V3075">
        <f>IF(S3075=0,0,$V$2987*$H$26*$R$2987)</f>
        <v>0</v>
      </c>
      <c r="W3075">
        <f>(0.6*T3075+0.7*U3075)*$R$2987/2</f>
        <v>0</v>
      </c>
      <c r="X3075">
        <f>T3075*$R$2987/2</f>
        <v>0</v>
      </c>
      <c r="Z3075">
        <f>IF(S3075=0,0,$AD$2987*$AP$2969)</f>
        <v>0</v>
      </c>
      <c r="AA3075">
        <f>IFERROR(Z3075/$R$2987,0)</f>
        <v>0</v>
      </c>
      <c r="AB3075">
        <f>Z3075*($F$25+($C$16+$C$17+IF($C$13="single",1.5,3)+3)/12)</f>
        <v>0</v>
      </c>
      <c r="AC3075">
        <f>AB3075-W3075</f>
        <v>0</v>
      </c>
      <c r="AD3075" cm="1">
        <f t="array" ref="AD3075">IFERROR(IF(AC3075&lt;0,0,AC3075/($R$2987-INDEX(hd_off,MATCH(AQ3075,hd_mark,0),0)/12)),0)</f>
        <v>0</v>
      </c>
      <c r="AE3075">
        <f>IF(S3075=0,0,$AD$2987*$AM$2969)</f>
        <v>0</v>
      </c>
      <c r="AF3075">
        <f>IFERROR(AE3075/$R$2987,0)</f>
        <v>0</v>
      </c>
      <c r="AG3075">
        <f>AE3075*($F$25+($C$16+$C$17+IF($C$13="single",1.5,3)+3)/12)</f>
        <v>0</v>
      </c>
      <c r="AH3075">
        <f>AG3075-X3075</f>
        <v>0</v>
      </c>
      <c r="AI3075" cm="1">
        <f t="array" ref="AI3075">IFERROR(IF(AH3075&lt;0,0,AH3075/($R$2987-INDEX(hd_off,MATCH(AQ3075,hd_mark,0),0)/12)),0)</f>
        <v>0</v>
      </c>
      <c r="AJ3075">
        <f>MAX($F$25,$AC$2987)/$Q$2996</f>
        <v>0.29920977011494249</v>
      </c>
      <c r="AK3075">
        <f t="shared" si="1889"/>
        <v>1</v>
      </c>
      <c r="AL3075" cm="1">
        <f t="array" ref="AL3075">IFERROR(INDEX(sheath_ecap_asd,MATCH(AP3075,sheath_mark,0),0)*AK3075,0)</f>
        <v>0</v>
      </c>
      <c r="AM3075" cm="1">
        <f t="array" ref="AM3075">IFERROR(INDEX(sheath_wcap_asd,MATCH(AP3075,sheath_mark,0),0)*AK3075,0)</f>
        <v>0</v>
      </c>
      <c r="AN3075" cm="1">
        <f t="array" ref="AN3075">IFERROR(INDEX(hd_cap,MATCH(AQ3075,hd_mark,0),0),0)</f>
        <v>0</v>
      </c>
      <c r="AP3075" s="19"/>
      <c r="AQ3075" s="19"/>
      <c r="AR3075" s="100"/>
      <c r="AS3075" s="93"/>
      <c r="AT3075" s="109"/>
      <c r="AU3075" t="str">
        <f>$Q$2969</f>
        <v>Roof</v>
      </c>
      <c r="AV3075">
        <f>$E$25</f>
        <v>33.171875</v>
      </c>
      <c r="AW3075" cm="1">
        <f t="array" ref="AW3075">IFERROR(IF(AV3075=0,0,(INDEX($C$33:$C$38,MATCH($AZ$2987,$B$33:$B$38,0),0)*(AV3075+$BA$2987)+$AY$2987*$C$31)*$AU$2987),0)</f>
        <v>0</v>
      </c>
      <c r="AX3075">
        <f>IF(AV3075=0,0,-$AY$2987*$C$31*$H$27*$AU$2987)</f>
        <v>0</v>
      </c>
      <c r="AY3075">
        <f>IF(AV3075=0,0,$AY$2987*$H$26*$AU$2987)</f>
        <v>0</v>
      </c>
      <c r="AZ3075">
        <f>(0.6*AW3075+0.7*AX3075)*$AU$2987/2</f>
        <v>0</v>
      </c>
      <c r="BA3075">
        <f>AW3075*$AU$2987/2</f>
        <v>0</v>
      </c>
      <c r="BC3075">
        <f>IF(AV3075=0,0,$BG$2987*$AP$2969)</f>
        <v>0</v>
      </c>
      <c r="BD3075">
        <f>IFERROR(BC3075/$AU$2987,0)</f>
        <v>0</v>
      </c>
      <c r="BE3075">
        <f>BC3075*($F$25+($C$16+$C$17+IF($C$13="single",1.5,3)+3)/12)</f>
        <v>0</v>
      </c>
      <c r="BF3075">
        <f>BE3075-AZ3075</f>
        <v>0</v>
      </c>
      <c r="BG3075" cm="1">
        <f t="array" ref="BG3075">IFERROR(IF(BF3075&lt;0,0,BF3075/($AU$2987-INDEX(hd_off,MATCH(BT3075,hd_mark,0),0)/12)),0)</f>
        <v>0</v>
      </c>
      <c r="BH3075">
        <f>IF(AV3075=0,0,$BG$2987*$AM$2969)</f>
        <v>0</v>
      </c>
      <c r="BI3075">
        <f>IFERROR(BH3075/$AU$2987,0)</f>
        <v>0</v>
      </c>
      <c r="BJ3075">
        <f>BH3075*($F$25+($C$16+$C$17+IF($C$13="single",1.5,3)+3)/12)</f>
        <v>0</v>
      </c>
      <c r="BK3075">
        <f>BJ3075-BA3075</f>
        <v>0</v>
      </c>
      <c r="BL3075" cm="1">
        <f t="array" ref="BL3075">IFERROR(IF(BK3075&lt;0,0,BK3075/($AU$2987-INDEX(hd_off,MATCH(BT3075,hd_mark,0),0)/12)),0)</f>
        <v>0</v>
      </c>
      <c r="BM3075">
        <f>MAX($F$25,$BF$2987)/$Q$2996</f>
        <v>0.29920977011494249</v>
      </c>
      <c r="BN3075">
        <f t="shared" ref="BN3075" si="1891">IF(BM3075=0,0,IF(BM3075&gt;2,1.25-0.125*BM3075,1))</f>
        <v>1</v>
      </c>
      <c r="BO3075" cm="1">
        <f t="array" ref="BO3075">IFERROR(INDEX(sheath_ecap_asd,MATCH(BS3075,sheath_mark,0),0)*BN3075,0)</f>
        <v>0</v>
      </c>
      <c r="BP3075" cm="1">
        <f t="array" ref="BP3075">IFERROR(INDEX(sheath_wcap_asd,MATCH(BS3075,sheath_mark,0),0)*BN3075,0)</f>
        <v>0</v>
      </c>
      <c r="BQ3075" cm="1">
        <f t="array" ref="BQ3075">IFERROR(INDEX(hd_cap,MATCH(BT3075,hd_mark,0),0),0)</f>
        <v>0</v>
      </c>
      <c r="BS3075" s="19"/>
      <c r="BT3075" s="19"/>
      <c r="BU3075" s="100"/>
    </row>
    <row r="3076" x14ac:dyDescent="0.25">
      <c r="P3076" s="93"/>
      <c r="AR3076" s="100"/>
      <c r="AS3076" s="93"/>
      <c r="BU3076" s="100"/>
    </row>
    <row r="3077" x14ac:dyDescent="0.25">
      <c r="P3077" s="93"/>
      <c r="Q3077" s="110" t="str">
        <f>$Q$2988</f>
        <v>A.15</v>
      </c>
      <c r="R3077" t="str">
        <f>$Q$2965</f>
        <v>L2</v>
      </c>
      <c r="S3077">
        <f>$E$21</f>
        <v>10.6875</v>
      </c>
      <c r="T3077" cm="1">
        <f t="array" ref="T3077">IFERROR(IF(S3077=0,0,(INDEX($C$33:$C$38,MATCH($W$2988,$B$33:$B$38,0),0)*(S3081+$X$2988)+$T$2988*COUNTIF(S3077:S3080,"&gt;0")*$C$32+$V$2988*$C$31)*$R$2988),0)</f>
        <v>0</v>
      </c>
      <c r="U3077">
        <f>IF(S3077=0,0,-(COUNTIF(S3077:S3080,"&gt;0")*$T$2988*$C$32+$V$2988*$C$31)*$H$27*$R$2988)</f>
        <v>0</v>
      </c>
      <c r="V3077">
        <f>IF(S3077=0,0,$V$2988*$H$26*$R$2988)</f>
        <v>0</v>
      </c>
      <c r="W3077">
        <f>(0.6*T3077+0.7*U3077)*$R$2988/2</f>
        <v>0</v>
      </c>
      <c r="X3077">
        <f>(0.6*T3077+0.6*V3077)*$R$2988/2</f>
        <v>0</v>
      </c>
      <c r="Z3077">
        <f>IF(S3077=0,0,$AD$2988*$AP$2965)</f>
        <v>0</v>
      </c>
      <c r="AA3077">
        <f>IFERROR(Z3077/$R$2988,0)</f>
        <v>0</v>
      </c>
      <c r="AB3077">
        <f>Z3077*($F$21+IF($F$21=0,0,($C$14+$C$15+IF($C$13="single",1.5,3)+3)/12))</f>
        <v>0</v>
      </c>
      <c r="AC3077">
        <f>AB3077-W3077</f>
        <v>0</v>
      </c>
      <c r="AD3077" cm="1">
        <f t="array" ref="AD3077">IFERROR(IF(AC3077&lt;0,0,AC3077/($R$2988-INDEX(hd_off,MATCH(AQ3077,hd_mark,0),0)/12)),0)</f>
        <v>0</v>
      </c>
      <c r="AE3077">
        <f>IF(S3077=0,0,$AD$2988*$AM$2965)</f>
        <v>0</v>
      </c>
      <c r="AF3077">
        <f>IFERROR(AE3077/$R$2988,0)</f>
        <v>0</v>
      </c>
      <c r="AG3077">
        <f>AE3077*($F$21+IF($F$21=0,0,($C$14+$C$15+IF($C$13="single",1.5,3)+3)/12))</f>
        <v>0</v>
      </c>
      <c r="AH3077">
        <f>AG3077-X3077</f>
        <v>0</v>
      </c>
      <c r="AI3077" cm="1">
        <f t="array" ref="AI3077">IFERROR(IF(AH3077&lt;0,0,AH3077/($R$2988-INDEX(hd_off,MATCH(AQ3077,hd_mark,0),0)/12)),0)</f>
        <v>0</v>
      </c>
      <c r="AJ3077">
        <f>MAX($F$21,$Y$2988)/$Q$2996</f>
        <v>0.30172413793103448</v>
      </c>
      <c r="AK3077">
        <f>IF(AJ3077=0,0,IF(AJ3077&gt;2,1.25-0.125*AJ3077,1))</f>
        <v>1</v>
      </c>
      <c r="AL3077" cm="1">
        <f t="array" ref="AL3077">IFERROR(INDEX(sheath_ecap_asd,MATCH(AP3077,sheath_mark,0),0)*AK3077,0)</f>
        <v>0</v>
      </c>
      <c r="AM3077" cm="1">
        <f t="array" ref="AM3077">IFERROR(INDEX(sheath_wcap_asd,MATCH(AP3077,sheath_mark,0),0)*AK3077,0)</f>
        <v>0</v>
      </c>
      <c r="AN3077" cm="1">
        <f t="array" ref="AN3077">IFERROR(INDEX(hd_cap,MATCH(AQ3077,hd_mark,0),0),0)</f>
        <v>0</v>
      </c>
      <c r="AP3077" s="19"/>
      <c r="AQ3077" s="19"/>
      <c r="AR3077" s="100"/>
      <c r="AS3077" s="93"/>
      <c r="AT3077" s="110" t="str">
        <f>$AT$2988</f>
        <v>1.15</v>
      </c>
      <c r="AU3077" t="str">
        <f>$Q$2965</f>
        <v>L2</v>
      </c>
      <c r="AV3077">
        <f>$E$21</f>
        <v>10.6875</v>
      </c>
      <c r="AW3077" cm="1">
        <f t="array" ref="AW3077">IFERROR(IF(AV3077=0,0,(INDEX($C$33:$C$38,MATCH($AZ$2988,$B$33:$B$38,0),0)*(AV3081+$BA$2988)+$AW$2988*COUNTIF(AV3077:AV3080,"&gt;0")*$C$32+$AY$2988*$C$31)*$AU$2988),0)</f>
        <v>0</v>
      </c>
      <c r="AX3077">
        <f>IF(AV3077=0,0,-(COUNTIF(AV3077:AV3080,"&gt;0")*$AW$2988*$C$32+$AY$2988*$C$31)*$H$27*$AU$2988)</f>
        <v>0</v>
      </c>
      <c r="AY3077">
        <f>IF(AV3077=0,0,$AY$2988*$H$26*$AU$2988)</f>
        <v>0</v>
      </c>
      <c r="AZ3077">
        <f>(0.6*AW3077+0.7*AX3077)*$AU$2988/2</f>
        <v>0</v>
      </c>
      <c r="BA3077">
        <f>(0.6*AW3077+0.6*AY3077)*$AU$2988/2</f>
        <v>0</v>
      </c>
      <c r="BC3077">
        <f>IF(AV3077=0,0,$BG$2988*$AP$2965)</f>
        <v>0</v>
      </c>
      <c r="BD3077">
        <f>IFERROR(BC3077/$AU$2988,0)</f>
        <v>0</v>
      </c>
      <c r="BE3077">
        <f>BC3077*($F$21+IF($F$21=0,0,($C$14+$C$15+IF($C$13="single",1.5,3)+3)/12))</f>
        <v>0</v>
      </c>
      <c r="BF3077">
        <f>BE3077-AZ3077</f>
        <v>0</v>
      </c>
      <c r="BG3077" cm="1">
        <f t="array" ref="BG3077">IFERROR(IF(BF3077&lt;0,0,BF3077/($AU$2988-INDEX(hd_off,MATCH(BT3077,hd_mark,0),0)/12)),0)</f>
        <v>0</v>
      </c>
      <c r="BH3077">
        <f>IF(AV3077=0,0,$BG$2988*$AM$2965)</f>
        <v>0</v>
      </c>
      <c r="BI3077">
        <f>IFERROR(BH3077/$AU$2988,0)</f>
        <v>0</v>
      </c>
      <c r="BJ3077">
        <f>BH3077*($F$21+IF($F$21=0,0,($C$14+$C$15+IF($C$13="single",1.5,3)+3)/12))</f>
        <v>0</v>
      </c>
      <c r="BK3077">
        <f>BJ3077-BA3077</f>
        <v>0</v>
      </c>
      <c r="BL3077" cm="1">
        <f t="array" ref="BL3077">IFERROR(IF(BK3077&lt;0,0,BK3077/($AU$2988-INDEX(hd_off,MATCH(BT3077,hd_mark,0),0)/12)),0)</f>
        <v>0</v>
      </c>
      <c r="BM3077">
        <f>MAX($F$21,$BB$2988)/$Q$2996</f>
        <v>0.30172413793103448</v>
      </c>
      <c r="BN3077">
        <f>IF(BM3077=0,0,IF(BM3077&gt;2,1.25-0.125*BM3077,1))</f>
        <v>1</v>
      </c>
      <c r="BO3077" cm="1">
        <f t="array" ref="BO3077">IFERROR(INDEX(sheath_ecap_asd,MATCH(BS3077,sheath_mark,0),0)*BN3077,0)</f>
        <v>0</v>
      </c>
      <c r="BP3077" cm="1">
        <f t="array" ref="BP3077">IFERROR(INDEX(sheath_wcap_asd,MATCH(BS3077,sheath_mark,0),0)*BN3077,0)</f>
        <v>0</v>
      </c>
      <c r="BQ3077" cm="1">
        <f t="array" ref="BQ3077">IFERROR(INDEX(hd_cap,MATCH(BT3077,hd_mark,0),0),0)</f>
        <v>0</v>
      </c>
      <c r="BS3077" s="19"/>
      <c r="BT3077" s="19"/>
      <c r="BU3077" s="100"/>
    </row>
    <row r="3078" x14ac:dyDescent="0.25">
      <c r="P3078" s="93"/>
      <c r="Q3078" s="109"/>
      <c r="R3078" t="str">
        <f>$Q$2966</f>
        <v>L3</v>
      </c>
      <c r="S3078">
        <f>$E$22</f>
        <v>21.375</v>
      </c>
      <c r="T3078" cm="1">
        <f t="array" ref="T3078">IFERROR(IF(S3078=0,0,(INDEX($C$33:$C$38,MATCH($W$2988,$B$33:$B$38,0),0)*(S3081+$X$2988)+$T$2988*COUNTIF(S3078:S3080,"&gt;0")*$C$32+$V$2988*$C$31)*$R$2988),0)</f>
        <v>0</v>
      </c>
      <c r="U3078">
        <f>IF(S3078=0,0,-(COUNTIF(S3078:S3080,"&gt;0")*$T$2988*$C$32+$V$2988*$C$31)*$H$27*$R$2988)</f>
        <v>0</v>
      </c>
      <c r="V3078">
        <f>IF(S3078=0,0,$V$2988*$H$26*$R$2988)</f>
        <v>0</v>
      </c>
      <c r="W3078">
        <f>(0.6*T3078+0.7*U3078)*$R$2988/2</f>
        <v>0</v>
      </c>
      <c r="X3078">
        <f>T3078*$R$2988/2</f>
        <v>0</v>
      </c>
      <c r="Z3078">
        <f>IF(S3078=0,0,$AD$2988*$AP$2966)</f>
        <v>0</v>
      </c>
      <c r="AA3078">
        <f>IFERROR(Z3078/$R$2988,0)</f>
        <v>0</v>
      </c>
      <c r="AB3078">
        <f>Z3078*($F$22+IF($F$22=0,0,($C$14+$C$15+IF($C$13="single",1.5,3)+3)/12))</f>
        <v>0</v>
      </c>
      <c r="AC3078">
        <f>AB3078-W3078</f>
        <v>0</v>
      </c>
      <c r="AD3078" cm="1">
        <f t="array" ref="AD3078">IFERROR(IF(AC3078&lt;0,0,AC3078/($R$2988-INDEX(hd_off,MATCH(AQ3078,hd_mark,0),0)/12)),0)</f>
        <v>0</v>
      </c>
      <c r="AE3078">
        <f>IF(S3078=0,0,$AD$2988*$AM$2966)</f>
        <v>0</v>
      </c>
      <c r="AF3078">
        <f>IFERROR(AE3078/$R$2988,0)</f>
        <v>0</v>
      </c>
      <c r="AG3078">
        <f>AE3078*($F$22+IF($F$22=0,0,($C$14+$C$15+IF($C$13="single",1.5,3)+3)/12))</f>
        <v>0</v>
      </c>
      <c r="AH3078">
        <f>AG3078-X3078</f>
        <v>0</v>
      </c>
      <c r="AI3078" cm="1">
        <f t="array" ref="AI3078">IFERROR(IF(AH3078&lt;0,0,AH3078/($R$2988-INDEX(hd_off,MATCH(AQ3078,hd_mark,0),0)/12)),0)</f>
        <v>0</v>
      </c>
      <c r="AJ3078">
        <f>MAX($F$22,$Z$2988)/$Q$2996</f>
        <v>0.30172413793103448</v>
      </c>
      <c r="AK3078">
        <f t="shared" ref="AK3078:AK3081" si="1892">IF(AJ3078=0,0,IF(AJ3078&gt;2,1.25-0.125*AJ3078,1))</f>
        <v>1</v>
      </c>
      <c r="AL3078" cm="1">
        <f t="array" ref="AL3078">IFERROR(INDEX(sheath_ecap_asd,MATCH(AP3078,sheath_mark,0),0)*AK3078,0)</f>
        <v>0</v>
      </c>
      <c r="AM3078" cm="1">
        <f t="array" ref="AM3078">IFERROR(INDEX(sheath_wcap_asd,MATCH(AP3078,sheath_mark,0),0)*AK3078,0)</f>
        <v>0</v>
      </c>
      <c r="AN3078" cm="1">
        <f t="array" ref="AN3078">IFERROR(INDEX(hd_cap,MATCH(AQ3078,hd_mark,0),0),0)</f>
        <v>0</v>
      </c>
      <c r="AP3078" s="19"/>
      <c r="AQ3078" s="19"/>
      <c r="AR3078" s="100"/>
      <c r="AS3078" s="93"/>
      <c r="AT3078" s="109"/>
      <c r="AU3078" t="str">
        <f>$Q$2966</f>
        <v>L3</v>
      </c>
      <c r="AV3078">
        <f>$E$22</f>
        <v>21.375</v>
      </c>
      <c r="AW3078" cm="1">
        <f t="array" ref="AW3078">IFERROR(IF(AV3078=0,0,(INDEX($C$33:$C$38,MATCH($AZ$2988,$B$33:$B$38,0),0)*(AV3081+$BA$2988)+$AW$2988*COUNTIF(AV3078:AV3080,"&gt;0")*$C$32+$AY$2988*$C$31)*$AU$2988),0)</f>
        <v>0</v>
      </c>
      <c r="AX3078">
        <f>IF(AV3078=0,0,-(COUNTIF(AV3078:AV3080,"&gt;0")*$AW$2988*$C$32+$AY$2988*$C$31)*$H$27*$AU$2988)</f>
        <v>0</v>
      </c>
      <c r="AY3078">
        <f>IF(AV3078=0,0,$AY$2988*$H$26*$AU$2988)</f>
        <v>0</v>
      </c>
      <c r="AZ3078">
        <f>(0.6*AW3078+0.7*AX3078)*$AU$2988/2</f>
        <v>0</v>
      </c>
      <c r="BA3078">
        <f>AW3078*$AU$2988/2</f>
        <v>0</v>
      </c>
      <c r="BC3078">
        <f>IF(AV3078=0,0,$BG$2988*$AP$2966)</f>
        <v>0</v>
      </c>
      <c r="BD3078">
        <f>IFERROR(BC3078/$AU$2988,0)</f>
        <v>0</v>
      </c>
      <c r="BE3078">
        <f>BC3078*($F$22+IF($F$22=0,0,($C$14+$C$15+IF($C$13="single",1.5,3)+3)/12))</f>
        <v>0</v>
      </c>
      <c r="BF3078">
        <f>BE3078-AZ3078</f>
        <v>0</v>
      </c>
      <c r="BG3078" cm="1">
        <f t="array" ref="BG3078">IFERROR(IF(BF3078&lt;0,0,BF3078/($AU$2988-INDEX(hd_off,MATCH(BT3078,hd_mark,0),0)/12)),0)</f>
        <v>0</v>
      </c>
      <c r="BH3078">
        <f>IF(AV3078=0,0,$BG$2988*$AM$2966)</f>
        <v>0</v>
      </c>
      <c r="BI3078">
        <f>IFERROR(BH3078/$AU$2988,0)</f>
        <v>0</v>
      </c>
      <c r="BJ3078">
        <f>BH3078*($F$22+IF($F$22=0,0,($C$14+$C$15+IF($C$13="single",1.5,3)+3)/12))</f>
        <v>0</v>
      </c>
      <c r="BK3078">
        <f>BJ3078-BA3078</f>
        <v>0</v>
      </c>
      <c r="BL3078" cm="1">
        <f t="array" ref="BL3078">IFERROR(IF(BK3078&lt;0,0,BK3078/($AU$2988-INDEX(hd_off,MATCH(BT3078,hd_mark,0),0)/12)),0)</f>
        <v>0</v>
      </c>
      <c r="BM3078">
        <f>MAX($F$22,$BC$2988)/$Q$2996</f>
        <v>0.30172413793103448</v>
      </c>
      <c r="BN3078">
        <f t="shared" ref="BN3078:BN3081" si="1893">IF(BM3078=0,0,IF(BM3078&gt;2,1.25-0.125*BM3078,1))</f>
        <v>1</v>
      </c>
      <c r="BO3078" cm="1">
        <f t="array" ref="BO3078">IFERROR(INDEX(sheath_ecap_asd,MATCH(BS3078,sheath_mark,0),0)*BN3078,0)</f>
        <v>0</v>
      </c>
      <c r="BP3078" cm="1">
        <f t="array" ref="BP3078">IFERROR(INDEX(sheath_wcap_asd,MATCH(BS3078,sheath_mark,0),0)*BN3078,0)</f>
        <v>0</v>
      </c>
      <c r="BQ3078" cm="1">
        <f t="array" ref="BQ3078">IFERROR(INDEX(hd_cap,MATCH(BT3078,hd_mark,0),0),0)</f>
        <v>0</v>
      </c>
      <c r="BS3078" s="19"/>
      <c r="BT3078" s="19"/>
      <c r="BU3078" s="100"/>
    </row>
    <row r="3079" x14ac:dyDescent="0.25">
      <c r="P3079" s="93"/>
      <c r="Q3079" s="109" t="s">
        <v>491</v>
      </c>
      <c r="R3079" t="str">
        <f>$Q$2967</f>
        <v>L4</v>
      </c>
      <c r="S3079">
        <f>$E$23</f>
        <v>0</v>
      </c>
      <c r="T3079" cm="1">
        <f t="array" ref="T3079">IFERROR(IF(S3079=0,0,(INDEX($C$33:$C$38,MATCH($W$2988,$B$33:$B$38,0),0)*(S3081+$X$2988)+$T$2988*COUNTIF(S3079:S3080,"&gt;0")*$C$32+$V$2988*$C$31)*$R$2988),0)</f>
        <v>0</v>
      </c>
      <c r="U3079">
        <f>IF(S3079=0,0,-(COUNTIF(S3079:S3080,"&gt;0")*$T$2988*$C$32+$V$2988*$C$31)*$H$27*$R$2988)</f>
        <v>0</v>
      </c>
      <c r="V3079">
        <f>IF(S3079=0,0,$V$2988*$H$26*$R$2988)</f>
        <v>0</v>
      </c>
      <c r="W3079">
        <f>(0.6*T3079+0.7*U3079)*$R$2988/2</f>
        <v>0</v>
      </c>
      <c r="X3079">
        <f>T3079*$R$2988/2</f>
        <v>0</v>
      </c>
      <c r="Z3079">
        <f>IF(S3079=0,0,$AD$2988*$AP$2967)</f>
        <v>0</v>
      </c>
      <c r="AA3079">
        <f>IFERROR(Z3079/$R$2988,0)</f>
        <v>0</v>
      </c>
      <c r="AB3079">
        <f>Z3079*($F$23+IF($F$23=0,0,($C$14+$C$15+IF($C$13="single",1.5,3)+3)/12))</f>
        <v>0</v>
      </c>
      <c r="AC3079">
        <f>AB3079-W3079</f>
        <v>0</v>
      </c>
      <c r="AD3079" cm="1">
        <f t="array" ref="AD3079">IFERROR(IF(AC3079&lt;0,0,AC3079/($R$2988-INDEX(hd_off,MATCH(AQ3079,hd_mark,0),0)/12)),0)</f>
        <v>0</v>
      </c>
      <c r="AE3079">
        <f>IF(S3079=0,0,$AD$2988*$AM$2967)</f>
        <v>0</v>
      </c>
      <c r="AF3079">
        <f>IFERROR(AE3079/$R$2988,0)</f>
        <v>0</v>
      </c>
      <c r="AG3079">
        <f>AE3079*($F$23+IF($F$23=0,0,($C$14+$C$15+IF($C$13="single",1.5,3)+3)/12))</f>
        <v>0</v>
      </c>
      <c r="AH3079">
        <f>AG3079-X3079</f>
        <v>0</v>
      </c>
      <c r="AI3079" cm="1">
        <f t="array" ref="AI3079">IFERROR(IF(AH3079&lt;0,0,AH3079/($R$2988-INDEX(hd_off,MATCH(AQ3079,hd_mark,0),0)/12)),0)</f>
        <v>0</v>
      </c>
      <c r="AJ3079">
        <f>MAX($F$23,$AA$2988)/$Q$2996</f>
        <v>0</v>
      </c>
      <c r="AK3079">
        <f t="shared" si="1892"/>
        <v>0</v>
      </c>
      <c r="AL3079" cm="1">
        <f t="array" ref="AL3079">IFERROR(INDEX(sheath_ecap_asd,MATCH(AP3079,sheath_mark,0),0)*AK3079,0)</f>
        <v>0</v>
      </c>
      <c r="AM3079" cm="1">
        <f t="array" ref="AM3079">IFERROR(INDEX(sheath_wcap_asd,MATCH(AP3079,sheath_mark,0),0)*AK3079,0)</f>
        <v>0</v>
      </c>
      <c r="AN3079" cm="1">
        <f t="array" ref="AN3079">IFERROR(INDEX(hd_cap,MATCH(AQ3079,hd_mark,0),0),0)</f>
        <v>0</v>
      </c>
      <c r="AP3079" s="19"/>
      <c r="AQ3079" s="19"/>
      <c r="AR3079" s="100"/>
      <c r="AS3079" s="93"/>
      <c r="AT3079" s="109" t="s">
        <v>491</v>
      </c>
      <c r="AU3079" t="str">
        <f>$Q$2967</f>
        <v>L4</v>
      </c>
      <c r="AV3079">
        <f>$E$23</f>
        <v>0</v>
      </c>
      <c r="AW3079" cm="1">
        <f t="array" ref="AW3079">IFERROR(IF(AV3079=0,0,(INDEX($C$33:$C$38,MATCH($AZ$2988,$B$33:$B$38,0),0)*(AV3081+$BA$2988)+$AW$2988*COUNTIF(AV3079:AV3080,"&gt;0")*$C$32+$AY$2988*$C$31)*$AU$2988),0)</f>
        <v>0</v>
      </c>
      <c r="AX3079">
        <f>IF(AV3079=0,0,-(COUNTIF(AV3079:AV3080,"&gt;0")*$AW$2988*$C$32+$AY$2988*$C$31)*$H$27*$AU$2988)</f>
        <v>0</v>
      </c>
      <c r="AY3079">
        <f>IF(AV3079=0,0,$AY$2988*$H$26*$AU$2988)</f>
        <v>0</v>
      </c>
      <c r="AZ3079">
        <f>(0.6*AW3079+0.7*AX3079)*$AU$2988/2</f>
        <v>0</v>
      </c>
      <c r="BA3079">
        <f>AW3079*$AU$2988/2</f>
        <v>0</v>
      </c>
      <c r="BC3079">
        <f>IF(AV3079=0,0,$BG$2988*$AP$2967)</f>
        <v>0</v>
      </c>
      <c r="BD3079">
        <f>IFERROR(BC3079/$AU$2988,0)</f>
        <v>0</v>
      </c>
      <c r="BE3079">
        <f>BC3079*($F$23+IF($F$23=0,0,($C$14+$C$15+IF($C$13="single",1.5,3)+3)/12))</f>
        <v>0</v>
      </c>
      <c r="BF3079">
        <f>BE3079-AZ3079</f>
        <v>0</v>
      </c>
      <c r="BG3079" cm="1">
        <f t="array" ref="BG3079">IFERROR(IF(BF3079&lt;0,0,BF3079/($AU$2988-INDEX(hd_off,MATCH(BT3079,hd_mark,0),0)/12)),0)</f>
        <v>0</v>
      </c>
      <c r="BH3079">
        <f>IF(AV3079=0,0,$BG$2988*$AM$2967)</f>
        <v>0</v>
      </c>
      <c r="BI3079">
        <f>IFERROR(BH3079/$AU$2988,0)</f>
        <v>0</v>
      </c>
      <c r="BJ3079">
        <f>BH3079*($F$23+IF($F$23=0,0,($C$14+$C$15+IF($C$13="single",1.5,3)+3)/12))</f>
        <v>0</v>
      </c>
      <c r="BK3079">
        <f>BJ3079-BA3079</f>
        <v>0</v>
      </c>
      <c r="BL3079" cm="1">
        <f t="array" ref="BL3079">IFERROR(IF(BK3079&lt;0,0,BK3079/($AU$2988-INDEX(hd_off,MATCH(BT3079,hd_mark,0),0)/12)),0)</f>
        <v>0</v>
      </c>
      <c r="BM3079">
        <f>MAX($F$23,$BD$2988)/$Q$2996</f>
        <v>0</v>
      </c>
      <c r="BN3079">
        <f t="shared" si="1893"/>
        <v>0</v>
      </c>
      <c r="BO3079" cm="1">
        <f t="array" ref="BO3079">IFERROR(INDEX(sheath_ecap_asd,MATCH(BS3079,sheath_mark,0),0)*BN3079,0)</f>
        <v>0</v>
      </c>
      <c r="BP3079" cm="1">
        <f t="array" ref="BP3079">IFERROR(INDEX(sheath_wcap_asd,MATCH(BS3079,sheath_mark,0),0)*BN3079,0)</f>
        <v>0</v>
      </c>
      <c r="BQ3079" cm="1">
        <f t="array" ref="BQ3079">IFERROR(INDEX(hd_cap,MATCH(BT3079,hd_mark,0),0),0)</f>
        <v>0</v>
      </c>
      <c r="BS3079" s="19"/>
      <c r="BT3079" s="19"/>
      <c r="BU3079" s="100"/>
    </row>
    <row r="3080" x14ac:dyDescent="0.25">
      <c r="P3080" s="93"/>
      <c r="Q3080" s="111">
        <f>$R$2988</f>
        <v>0</v>
      </c>
      <c r="R3080" t="str">
        <f>$Q$2968</f>
        <v>L5</v>
      </c>
      <c r="S3080">
        <f>$E$24</f>
        <v>0</v>
      </c>
      <c r="T3080" cm="1">
        <f t="array" ref="T3080">IFERROR(IF(S3080=0,0,(INDEX($C$33:$C$38,MATCH($W$2988,$B$33:$B$38,0),0)*(S3081+$X$2988)+$T$2988*COUNTIF(S3080:S3080,"&gt;0")*$C$32+$V$2988*$C$31)*$R$2988),0)</f>
        <v>0</v>
      </c>
      <c r="U3080">
        <f>IF(S3080=0,0,-(COUNTIF(S3080:S3080,"&gt;0")*$T$2988*$C$32+$V$2988*$C$31)*$H$27*$R$2988)</f>
        <v>0</v>
      </c>
      <c r="V3080">
        <f>IF(S3080=0,0,$V$2988*$H$26*$R$2988)</f>
        <v>0</v>
      </c>
      <c r="W3080">
        <f>(0.6*T3080+0.7*U3080)*$R$2988/2</f>
        <v>0</v>
      </c>
      <c r="X3080">
        <f>T3080*$R$2988/2</f>
        <v>0</v>
      </c>
      <c r="Z3080">
        <f>IF(S3080=0,0,$AD$2988*$AP$2968)</f>
        <v>0</v>
      </c>
      <c r="AA3080">
        <f>IFERROR(Z3080/$R$2988,0)</f>
        <v>0</v>
      </c>
      <c r="AB3080">
        <f>Z3080*($F$24+IF($F$24=0,0,($C$14+$C$15+IF($C$13="single",1.5,3)+3)/12))</f>
        <v>0</v>
      </c>
      <c r="AC3080">
        <f>AB3080-W3080</f>
        <v>0</v>
      </c>
      <c r="AD3080" cm="1">
        <f t="array" ref="AD3080">IFERROR(IF(AC3080&lt;0,0,AC3080/($R$2988-INDEX(hd_off,MATCH(AQ3080,hd_mark,0),0)/12)),0)</f>
        <v>0</v>
      </c>
      <c r="AE3080">
        <f>IF(S3080=0,0,$AD$2988*$AM$2968)</f>
        <v>0</v>
      </c>
      <c r="AF3080">
        <f>IFERROR(AE3080/$R$2988,0)</f>
        <v>0</v>
      </c>
      <c r="AG3080">
        <f>AE3080*($F$24+IF($F$24=0,0,($C$14+$C$15+IF($C$13="single",1.5,3)+3)/12))</f>
        <v>0</v>
      </c>
      <c r="AH3080">
        <f>AG3080-X3080</f>
        <v>0</v>
      </c>
      <c r="AI3080" cm="1">
        <f t="array" ref="AI3080">IFERROR(IF(AH3080&lt;0,0,AH3080/($R$2988-INDEX(hd_off,MATCH(AQ3080,hd_mark,0),0)/12)),0)</f>
        <v>0</v>
      </c>
      <c r="AJ3080">
        <f>MAX($F$24,$AB$2988)/$Q$2996</f>
        <v>0</v>
      </c>
      <c r="AK3080">
        <f t="shared" si="1892"/>
        <v>0</v>
      </c>
      <c r="AL3080" cm="1">
        <f t="array" ref="AL3080">IFERROR(INDEX(sheath_ecap_asd,MATCH(AP3080,sheath_mark,0),0)*AK3080,0)</f>
        <v>0</v>
      </c>
      <c r="AM3080" cm="1">
        <f t="array" ref="AM3080">IFERROR(INDEX(sheath_wcap_asd,MATCH(AP3080,sheath_mark,0),0)*AK3080,0)</f>
        <v>0</v>
      </c>
      <c r="AN3080" cm="1">
        <f t="array" ref="AN3080">IFERROR(INDEX(hd_cap,MATCH(AQ3080,hd_mark,0),0),0)</f>
        <v>0</v>
      </c>
      <c r="AP3080" s="19"/>
      <c r="AQ3080" s="19"/>
      <c r="AR3080" s="100"/>
      <c r="AS3080" s="93"/>
      <c r="AT3080" s="111">
        <f>$R$2988</f>
        <v>0</v>
      </c>
      <c r="AU3080" t="str">
        <f>$Q$2968</f>
        <v>L5</v>
      </c>
      <c r="AV3080">
        <f>$E$24</f>
        <v>0</v>
      </c>
      <c r="AW3080" cm="1">
        <f t="array" ref="AW3080">IFERROR(IF(AV3080=0,0,(INDEX($C$33:$C$38,MATCH($AZ$2988,$B$33:$B$38,0),0)*(AV3081+$BA$2988)+$AW$2988*COUNTIF(AV3080:AV3080,"&gt;0")*$C$32+$AY$2988*$C$31)*$AU$2988),0)</f>
        <v>0</v>
      </c>
      <c r="AX3080">
        <f>IF(AV3080=0,0,-(COUNTIF(AV3080:AV3080,"&gt;0")*$AW$2988*$C$32+$AY$2988*$C$31)*$H$27*$AU$2988)</f>
        <v>0</v>
      </c>
      <c r="AY3080">
        <f>IF(AV3080=0,0,$AY$2988*$H$26*$AU$2988)</f>
        <v>0</v>
      </c>
      <c r="AZ3080">
        <f>(0.6*AW3080+0.7*AX3080)*$AU$2988/2</f>
        <v>0</v>
      </c>
      <c r="BA3080">
        <f>AW3080*$AU$2988/2</f>
        <v>0</v>
      </c>
      <c r="BC3080">
        <f>IF(AV3080=0,0,$BG$2988*$AP$2968)</f>
        <v>0</v>
      </c>
      <c r="BD3080">
        <f>IFERROR(BC3080/$AU$2988,0)</f>
        <v>0</v>
      </c>
      <c r="BE3080">
        <f>BC3080*($F$24+IF($F$24=0,0,($C$14+$C$15+IF($C$13="single",1.5,3)+3)/12))</f>
        <v>0</v>
      </c>
      <c r="BF3080">
        <f>BE3080-AZ3080</f>
        <v>0</v>
      </c>
      <c r="BG3080" cm="1">
        <f t="array" ref="BG3080">IFERROR(IF(BF3080&lt;0,0,BF3080/($AU$2988-INDEX(hd_off,MATCH(BT3080,hd_mark,0),0)/12)),0)</f>
        <v>0</v>
      </c>
      <c r="BH3080">
        <f>IF(AV3080=0,0,$BG$2988*$AM$2968)</f>
        <v>0</v>
      </c>
      <c r="BI3080">
        <f>IFERROR(BH3080/$AU$2988,0)</f>
        <v>0</v>
      </c>
      <c r="BJ3080">
        <f>BH3080*($F$24+IF($F$24=0,0,($C$14+$C$15+IF($C$13="single",1.5,3)+3)/12))</f>
        <v>0</v>
      </c>
      <c r="BK3080">
        <f>BJ3080-BA3080</f>
        <v>0</v>
      </c>
      <c r="BL3080" cm="1">
        <f t="array" ref="BL3080">IFERROR(IF(BK3080&lt;0,0,BK3080/($AU$2988-INDEX(hd_off,MATCH(BT3080,hd_mark,0),0)/12)),0)</f>
        <v>0</v>
      </c>
      <c r="BM3080">
        <f>MAX($F$24,$BE$2988)/$Q$2996</f>
        <v>0</v>
      </c>
      <c r="BN3080">
        <f t="shared" si="1893"/>
        <v>0</v>
      </c>
      <c r="BO3080" cm="1">
        <f t="array" ref="BO3080">IFERROR(INDEX(sheath_ecap_asd,MATCH(BS3080,sheath_mark,0),0)*BN3080,0)</f>
        <v>0</v>
      </c>
      <c r="BP3080" cm="1">
        <f t="array" ref="BP3080">IFERROR(INDEX(sheath_wcap_asd,MATCH(BS3080,sheath_mark,0),0)*BN3080,0)</f>
        <v>0</v>
      </c>
      <c r="BQ3080" cm="1">
        <f t="array" ref="BQ3080">IFERROR(INDEX(hd_cap,MATCH(BT3080,hd_mark,0),0),0)</f>
        <v>0</v>
      </c>
      <c r="BS3080" s="19"/>
      <c r="BT3080" s="19"/>
      <c r="BU3080" s="100"/>
    </row>
    <row r="3081" x14ac:dyDescent="0.25">
      <c r="P3081" s="93"/>
      <c r="Q3081" s="109"/>
      <c r="R3081" t="str">
        <f>$Q$2969</f>
        <v>Roof</v>
      </c>
      <c r="S3081">
        <f>$E$25</f>
        <v>33.171875</v>
      </c>
      <c r="T3081" cm="1">
        <f t="array" ref="T3081">IFERROR(IF(S3081=0,0,(INDEX($C$33:$C$38,MATCH($W$2988,$B$33:$B$38,0),0)*(S3081+$X$2988)+$V$2988*$C$31)*$R$2988),0)</f>
        <v>0</v>
      </c>
      <c r="U3081">
        <f>IF(S3081=0,0,-$V$2988*$C$31*$H$27*$R$2988)</f>
        <v>0</v>
      </c>
      <c r="V3081">
        <f>IF(S3081=0,0,$V$2988*$H$26*$R$2988)</f>
        <v>0</v>
      </c>
      <c r="W3081">
        <f>(0.6*T3081+0.7*U3081)*$R$2988/2</f>
        <v>0</v>
      </c>
      <c r="X3081">
        <f>T3081*$R$2988/2</f>
        <v>0</v>
      </c>
      <c r="Z3081">
        <f>IF(S3081=0,0,$AD$2988*$AP$2969)</f>
        <v>0</v>
      </c>
      <c r="AA3081">
        <f>IFERROR(Z3081/$R$2988,0)</f>
        <v>0</v>
      </c>
      <c r="AB3081">
        <f>Z3081*($F$25+($C$16+$C$17+IF($C$13="single",1.5,3)+3)/12)</f>
        <v>0</v>
      </c>
      <c r="AC3081">
        <f>AB3081-W3081</f>
        <v>0</v>
      </c>
      <c r="AD3081" cm="1">
        <f t="array" ref="AD3081">IFERROR(IF(AC3081&lt;0,0,AC3081/($R$2988-INDEX(hd_off,MATCH(AQ3081,hd_mark,0),0)/12)),0)</f>
        <v>0</v>
      </c>
      <c r="AE3081">
        <f>IF(S3081=0,0,$AD$2988*$AM$2969)</f>
        <v>0</v>
      </c>
      <c r="AF3081">
        <f>IFERROR(AE3081/$R$2988,0)</f>
        <v>0</v>
      </c>
      <c r="AG3081">
        <f>AE3081*($F$25+($C$16+$C$17+IF($C$13="single",1.5,3)+3)/12)</f>
        <v>0</v>
      </c>
      <c r="AH3081">
        <f>AG3081-X3081</f>
        <v>0</v>
      </c>
      <c r="AI3081" cm="1">
        <f t="array" ref="AI3081">IFERROR(IF(AH3081&lt;0,0,AH3081/($R$2988-INDEX(hd_off,MATCH(AQ3081,hd_mark,0),0)/12)),0)</f>
        <v>0</v>
      </c>
      <c r="AJ3081">
        <f>MAX($F$25,$AC$2988)/$Q$2996</f>
        <v>0.29920977011494249</v>
      </c>
      <c r="AK3081">
        <f t="shared" si="1892"/>
        <v>1</v>
      </c>
      <c r="AL3081" cm="1">
        <f t="array" ref="AL3081">IFERROR(INDEX(sheath_ecap_asd,MATCH(AP3081,sheath_mark,0),0)*AK3081,0)</f>
        <v>0</v>
      </c>
      <c r="AM3081" cm="1">
        <f t="array" ref="AM3081">IFERROR(INDEX(sheath_wcap_asd,MATCH(AP3081,sheath_mark,0),0)*AK3081,0)</f>
        <v>0</v>
      </c>
      <c r="AN3081" cm="1">
        <f t="array" ref="AN3081">IFERROR(INDEX(hd_cap,MATCH(AQ3081,hd_mark,0),0),0)</f>
        <v>0</v>
      </c>
      <c r="AP3081" s="19"/>
      <c r="AQ3081" s="19"/>
      <c r="AR3081" s="100"/>
      <c r="AS3081" s="93"/>
      <c r="AT3081" s="109"/>
      <c r="AU3081" t="str">
        <f>$Q$2969</f>
        <v>Roof</v>
      </c>
      <c r="AV3081">
        <f>$E$25</f>
        <v>33.171875</v>
      </c>
      <c r="AW3081" cm="1">
        <f t="array" ref="AW3081">IFERROR(IF(AV3081=0,0,(INDEX($C$33:$C$38,MATCH($AZ$2988,$B$33:$B$38,0),0)*(AV3081+$BA$2988)+$AY$2988*$C$31)*$AU$2988),0)</f>
        <v>0</v>
      </c>
      <c r="AX3081">
        <f>IF(AV3081=0,0,-$AY$2988*$C$31*$H$27*$AU$2988)</f>
        <v>0</v>
      </c>
      <c r="AY3081">
        <f>IF(AV3081=0,0,$AY$2988*$H$26*$AU$2988)</f>
        <v>0</v>
      </c>
      <c r="AZ3081">
        <f>(0.6*AW3081+0.7*AX3081)*$AU$2988/2</f>
        <v>0</v>
      </c>
      <c r="BA3081">
        <f>AW3081*$AU$2988/2</f>
        <v>0</v>
      </c>
      <c r="BC3081">
        <f>IF(AV3081=0,0,$BG$2988*$AP$2969)</f>
        <v>0</v>
      </c>
      <c r="BD3081">
        <f>IFERROR(BC3081/$AU$2988,0)</f>
        <v>0</v>
      </c>
      <c r="BE3081">
        <f>BC3081*($F$25+($C$16+$C$17+IF($C$13="single",1.5,3)+3)/12)</f>
        <v>0</v>
      </c>
      <c r="BF3081">
        <f>BE3081-AZ3081</f>
        <v>0</v>
      </c>
      <c r="BG3081" cm="1">
        <f t="array" ref="BG3081">IFERROR(IF(BF3081&lt;0,0,BF3081/($AU$2988-INDEX(hd_off,MATCH(BT3081,hd_mark,0),0)/12)),0)</f>
        <v>0</v>
      </c>
      <c r="BH3081">
        <f>IF(AV3081=0,0,$BG$2988*$AM$2969)</f>
        <v>0</v>
      </c>
      <c r="BI3081">
        <f>IFERROR(BH3081/$AU$2988,0)</f>
        <v>0</v>
      </c>
      <c r="BJ3081">
        <f>BH3081*($F$25+($C$16+$C$17+IF($C$13="single",1.5,3)+3)/12)</f>
        <v>0</v>
      </c>
      <c r="BK3081">
        <f>BJ3081-BA3081</f>
        <v>0</v>
      </c>
      <c r="BL3081" cm="1">
        <f t="array" ref="BL3081">IFERROR(IF(BK3081&lt;0,0,BK3081/($AU$2988-INDEX(hd_off,MATCH(BT3081,hd_mark,0),0)/12)),0)</f>
        <v>0</v>
      </c>
      <c r="BM3081">
        <f>MAX($F$25,$BF$2988)/$Q$2996</f>
        <v>0.29920977011494249</v>
      </c>
      <c r="BN3081">
        <f t="shared" si="1893"/>
        <v>1</v>
      </c>
      <c r="BO3081" cm="1">
        <f t="array" ref="BO3081">IFERROR(INDEX(sheath_ecap_asd,MATCH(BS3081,sheath_mark,0),0)*BN3081,0)</f>
        <v>0</v>
      </c>
      <c r="BP3081" cm="1">
        <f t="array" ref="BP3081">IFERROR(INDEX(sheath_wcap_asd,MATCH(BS3081,sheath_mark,0),0)*BN3081,0)</f>
        <v>0</v>
      </c>
      <c r="BQ3081" cm="1">
        <f t="array" ref="BQ3081">IFERROR(INDEX(hd_cap,MATCH(BT3081,hd_mark,0),0),0)</f>
        <v>0</v>
      </c>
      <c r="BS3081" s="19"/>
      <c r="BT3081" s="19"/>
      <c r="BU3081" s="100"/>
    </row>
    <row r="3082" x14ac:dyDescent="0.25">
      <c r="P3082" s="93"/>
      <c r="AR3082" s="100"/>
      <c r="AS3082" s="93"/>
      <c r="BU3082" s="100"/>
    </row>
    <row r="3083" x14ac:dyDescent="0.25">
      <c r="P3083" s="93"/>
      <c r="Q3083" s="110" t="str">
        <f>$Q$2989</f>
        <v>A.16</v>
      </c>
      <c r="R3083" t="str">
        <f>$Q$2965</f>
        <v>L2</v>
      </c>
      <c r="S3083">
        <f>$E$21</f>
        <v>10.6875</v>
      </c>
      <c r="T3083" cm="1">
        <f t="array" ref="T3083">IFERROR(IF(S3083=0,0,(INDEX($C$33:$C$38,MATCH($W$2989,$B$33:$B$38,0),0)*(S3087+$X$2989)+$T$2989*COUNTIF(S3083:S3086,"&gt;0")*$C$32+$V$2989*$C$31)*$R$2989),0)</f>
        <v>0</v>
      </c>
      <c r="U3083">
        <f>IF(S3083=0,0,-(COUNTIF(S3083:S3086,"&gt;0")*$T$2989*$C$32+$V$2989*$C$31)*$H$27*$R$2989)</f>
        <v>0</v>
      </c>
      <c r="V3083">
        <f>IF(S3083=0,0,$V$2989*$H$26*$R$2989)</f>
        <v>0</v>
      </c>
      <c r="W3083">
        <f>(0.6*T3083+0.7*U3083)*$R$2989/2</f>
        <v>0</v>
      </c>
      <c r="X3083">
        <f>(0.6*T3083+0.6*V3083)*$R$2989/2</f>
        <v>0</v>
      </c>
      <c r="Z3083">
        <f>IF(S3083=0,0,$AD$2989*$AP$2965)</f>
        <v>0</v>
      </c>
      <c r="AA3083">
        <f>IFERROR(Z3083/$R$2989,0)</f>
        <v>0</v>
      </c>
      <c r="AB3083">
        <f>Z3083*($F$21+IF($F$21=0,0,($C$14+$C$15+IF($C$13="single",1.5,3)+3)/12))</f>
        <v>0</v>
      </c>
      <c r="AC3083">
        <f>AB3083-W3083</f>
        <v>0</v>
      </c>
      <c r="AD3083" cm="1">
        <f t="array" ref="AD3083">IFERROR(IF(AC3083&lt;0,0,AC3083/($R$2989-INDEX(hd_off,MATCH(AQ3083,hd_mark,0),0)/12)),0)</f>
        <v>0</v>
      </c>
      <c r="AE3083">
        <f>IF(S3083=0,0,$AD$2989*$AM$2965)</f>
        <v>0</v>
      </c>
      <c r="AF3083">
        <f>IFERROR(AE3083/$R$2989,0)</f>
        <v>0</v>
      </c>
      <c r="AG3083">
        <f>AE3083*($F$21+IF($F$21=0,0,($C$14+$C$15+IF($C$13="single",1.5,3)+3)/12))</f>
        <v>0</v>
      </c>
      <c r="AH3083">
        <f>AG3083-X3083</f>
        <v>0</v>
      </c>
      <c r="AI3083" cm="1">
        <f t="array" ref="AI3083">IFERROR(IF(AH3083&lt;0,0,AH3083/($R$2989-INDEX(hd_off,MATCH(AQ3083,hd_mark,0),0)/12)),0)</f>
        <v>0</v>
      </c>
      <c r="AJ3083">
        <f>MAX($F$21,$Y$2989)/$Q$2996</f>
        <v>0.30172413793103448</v>
      </c>
      <c r="AK3083">
        <f>IF(AJ3083=0,0,IF(AJ3083&gt;2,1.25-0.125*AJ3083,1))</f>
        <v>1</v>
      </c>
      <c r="AL3083" cm="1">
        <f t="array" ref="AL3083">IFERROR(INDEX(sheath_ecap_asd,MATCH(AP3083,sheath_mark,0),0)*AK3083,0)</f>
        <v>0</v>
      </c>
      <c r="AM3083" cm="1">
        <f t="array" ref="AM3083">IFERROR(INDEX(sheath_wcap_asd,MATCH(AP3083,sheath_mark,0),0)*AK3083,0)</f>
        <v>0</v>
      </c>
      <c r="AN3083" cm="1">
        <f t="array" ref="AN3083">IFERROR(INDEX(hd_cap,MATCH(AQ3083,hd_mark,0),0),0)</f>
        <v>0</v>
      </c>
      <c r="AP3083" s="19"/>
      <c r="AQ3083" s="19"/>
      <c r="AR3083" s="100"/>
      <c r="AS3083" s="93"/>
      <c r="AT3083" s="110" t="str">
        <f>$AT$2989</f>
        <v>1.16</v>
      </c>
      <c r="AU3083" t="str">
        <f>$Q$2965</f>
        <v>L2</v>
      </c>
      <c r="AV3083">
        <f>$E$21</f>
        <v>10.6875</v>
      </c>
      <c r="AW3083" cm="1">
        <f t="array" ref="AW3083">IFERROR(IF(AV3083=0,0,(INDEX($C$33:$C$38,MATCH($AZ$2989,$B$33:$B$38,0),0)*(AV3087+$BA$2989)+$AW$2989*COUNTIF(AV3083:AV3086,"&gt;0")*$C$32+$AY$2989*$C$31)*$AU$2989),0)</f>
        <v>0</v>
      </c>
      <c r="AX3083">
        <f>IF(AV3083=0,0,-(COUNTIF(AV3083:AV3086,"&gt;0")*$AW$2989*$C$32+$AY$2989*$C$31)*$H$27*$AU$2989)</f>
        <v>0</v>
      </c>
      <c r="AY3083">
        <f>IF(AV3083=0,0,$AY$2989*$H$26*$AU$2989)</f>
        <v>0</v>
      </c>
      <c r="AZ3083">
        <f>(0.6*AW3083+0.7*AX3083)*$AU$2989/2</f>
        <v>0</v>
      </c>
      <c r="BA3083">
        <f>(0.6*AW3083+0.6*AY3083)*$AU$2989/2</f>
        <v>0</v>
      </c>
      <c r="BC3083">
        <f>IF(AV3083=0,0,$BG$2989*$AP$2965)</f>
        <v>0</v>
      </c>
      <c r="BD3083">
        <f>IFERROR(BC3083/$AU$2989,0)</f>
        <v>0</v>
      </c>
      <c r="BE3083">
        <f>BC3083*($F$21+IF($F$21=0,0,($C$14+$C$15+IF($C$13="single",1.5,3)+3)/12))</f>
        <v>0</v>
      </c>
      <c r="BF3083">
        <f>BE3083-AZ3083</f>
        <v>0</v>
      </c>
      <c r="BG3083" cm="1">
        <f t="array" ref="BG3083">IFERROR(IF(BF3083&lt;0,0,BF3083/($AU$2989-INDEX(hd_off,MATCH(BT3083,hd_mark,0),0)/12)),0)</f>
        <v>0</v>
      </c>
      <c r="BH3083">
        <f>IF(AV3083=0,0,$BG$2989*$AM$2965)</f>
        <v>0</v>
      </c>
      <c r="BI3083">
        <f>IFERROR(BH3083/$AU$2989,0)</f>
        <v>0</v>
      </c>
      <c r="BJ3083">
        <f>BH3083*($F$21+IF($F$21=0,0,($C$14+$C$15+IF($C$13="single",1.5,3)+3)/12))</f>
        <v>0</v>
      </c>
      <c r="BK3083">
        <f>BJ3083-BA3083</f>
        <v>0</v>
      </c>
      <c r="BL3083" cm="1">
        <f t="array" ref="BL3083">IFERROR(IF(BK3083&lt;0,0,BK3083/($AU$2989-INDEX(hd_off,MATCH(BT3083,hd_mark,0),0)/12)),0)</f>
        <v>0</v>
      </c>
      <c r="BM3083">
        <f>MAX($F$21,$BB$2989)/$Q$2996</f>
        <v>0.30172413793103448</v>
      </c>
      <c r="BN3083">
        <f>IF(BM3083=0,0,IF(BM3083&gt;2,1.25-0.125*BM3083,1))</f>
        <v>1</v>
      </c>
      <c r="BO3083" cm="1">
        <f t="array" ref="BO3083">IFERROR(INDEX(sheath_ecap_asd,MATCH(BS3083,sheath_mark,0),0)*BN3083,0)</f>
        <v>0</v>
      </c>
      <c r="BP3083" cm="1">
        <f t="array" ref="BP3083">IFERROR(INDEX(sheath_wcap_asd,MATCH(BS3083,sheath_mark,0),0)*BN3083,0)</f>
        <v>0</v>
      </c>
      <c r="BQ3083" cm="1">
        <f t="array" ref="BQ3083">IFERROR(INDEX(hd_cap,MATCH(BT3083,hd_mark,0),0),0)</f>
        <v>0</v>
      </c>
      <c r="BS3083" s="19"/>
      <c r="BT3083" s="19"/>
      <c r="BU3083" s="100"/>
    </row>
    <row r="3084" x14ac:dyDescent="0.25">
      <c r="P3084" s="93"/>
      <c r="Q3084" s="109"/>
      <c r="R3084" t="str">
        <f>$Q$2966</f>
        <v>L3</v>
      </c>
      <c r="S3084">
        <f>$E$22</f>
        <v>21.375</v>
      </c>
      <c r="T3084" cm="1">
        <f t="array" ref="T3084">IFERROR(IF(S3084=0,0,(INDEX($C$33:$C$38,MATCH($W$2989,$B$33:$B$38,0),0)*(S3087+$X$2989)+$T$2989*COUNTIF(S3084:S3086,"&gt;0")*$C$32+$V$2989*$C$31)*$R$2989),0)</f>
        <v>0</v>
      </c>
      <c r="U3084">
        <f>IF(S3084=0,0,-(COUNTIF(S3084:S3086,"&gt;0")*$T$2989*$C$32+$V$2989*$C$31)*$H$27*$R$2989)</f>
        <v>0</v>
      </c>
      <c r="V3084">
        <f>IF(S3084=0,0,$V$2989*$H$26*$R$2989)</f>
        <v>0</v>
      </c>
      <c r="W3084">
        <f>(0.6*T3084+0.7*U3084)*$R$2989/2</f>
        <v>0</v>
      </c>
      <c r="X3084">
        <f>T3084*$R$2989/2</f>
        <v>0</v>
      </c>
      <c r="Z3084">
        <f>IF(S3084=0,0,$AD$2989*$AP$2966)</f>
        <v>0</v>
      </c>
      <c r="AA3084">
        <f>IFERROR(Z3084/$R$2989,0)</f>
        <v>0</v>
      </c>
      <c r="AB3084">
        <f>Z3084*($F$22+IF($F$22=0,0,($C$14+$C$15+IF($C$13="single",1.5,3)+3)/12))</f>
        <v>0</v>
      </c>
      <c r="AC3084">
        <f>AB3084-W3084</f>
        <v>0</v>
      </c>
      <c r="AD3084" cm="1">
        <f t="array" ref="AD3084">IFERROR(IF(AC3084&lt;0,0,AC3084/($R$2989-INDEX(hd_off,MATCH(AQ3084,hd_mark,0),0)/12)),0)</f>
        <v>0</v>
      </c>
      <c r="AE3084">
        <f>IF(S3084=0,0,$AD$2989*$AM$2966)</f>
        <v>0</v>
      </c>
      <c r="AF3084">
        <f>IFERROR(AE3084/$R$2989,0)</f>
        <v>0</v>
      </c>
      <c r="AG3084">
        <f>AE3084*($F$22+IF($F$22=0,0,($C$14+$C$15+IF($C$13="single",1.5,3)+3)/12))</f>
        <v>0</v>
      </c>
      <c r="AH3084">
        <f>AG3084-X3084</f>
        <v>0</v>
      </c>
      <c r="AI3084" cm="1">
        <f t="array" ref="AI3084">IFERROR(IF(AH3084&lt;0,0,AH3084/($R$2989-INDEX(hd_off,MATCH(AQ3084,hd_mark,0),0)/12)),0)</f>
        <v>0</v>
      </c>
      <c r="AJ3084">
        <f>MAX($F$22,$Z$2989)/$Q$2996</f>
        <v>0.30172413793103448</v>
      </c>
      <c r="AK3084">
        <f t="shared" ref="AK3084:AK3087" si="1894">IF(AJ3084=0,0,IF(AJ3084&gt;2,1.25-0.125*AJ3084,1))</f>
        <v>1</v>
      </c>
      <c r="AL3084" cm="1">
        <f t="array" ref="AL3084">IFERROR(INDEX(sheath_ecap_asd,MATCH(AP3084,sheath_mark,0),0)*AK3084,0)</f>
        <v>0</v>
      </c>
      <c r="AM3084" cm="1">
        <f t="array" ref="AM3084">IFERROR(INDEX(sheath_wcap_asd,MATCH(AP3084,sheath_mark,0),0)*AK3084,0)</f>
        <v>0</v>
      </c>
      <c r="AN3084" cm="1">
        <f t="array" ref="AN3084">IFERROR(INDEX(hd_cap,MATCH(AQ3084,hd_mark,0),0),0)</f>
        <v>0</v>
      </c>
      <c r="AP3084" s="19"/>
      <c r="AQ3084" s="19"/>
      <c r="AR3084" s="100"/>
      <c r="AS3084" s="93"/>
      <c r="AT3084" s="109"/>
      <c r="AU3084" t="str">
        <f>$Q$2966</f>
        <v>L3</v>
      </c>
      <c r="AV3084">
        <f>$E$22</f>
        <v>21.375</v>
      </c>
      <c r="AW3084" cm="1">
        <f t="array" ref="AW3084">IFERROR(IF(AV3084=0,0,(INDEX($C$33:$C$38,MATCH($AZ$2989,$B$33:$B$38,0),0)*(AV3087+$BA$2989)+$AW$2989*COUNTIF(AV3084:AV3086,"&gt;0")*$C$32+$AY$2989*$C$31)*$AU$2989),0)</f>
        <v>0</v>
      </c>
      <c r="AX3084">
        <f>IF(AV3084=0,0,-(COUNTIF(AV3084:AV3086,"&gt;0")*$AW$2989*$C$32+$AY$2989*$C$31)*$H$27*$AU$2989)</f>
        <v>0</v>
      </c>
      <c r="AY3084">
        <f>IF(AV3084=0,0,$AY$2989*$H$26*$AU$2989)</f>
        <v>0</v>
      </c>
      <c r="AZ3084">
        <f>(0.6*AW3084+0.7*AX3084)*$AU$2989/2</f>
        <v>0</v>
      </c>
      <c r="BA3084">
        <f>AW3084*$AU$2989/2</f>
        <v>0</v>
      </c>
      <c r="BC3084">
        <f>IF(AV3084=0,0,$BG$2989*$AP$2966)</f>
        <v>0</v>
      </c>
      <c r="BD3084">
        <f>IFERROR(BC3084/$AU$2989,0)</f>
        <v>0</v>
      </c>
      <c r="BE3084">
        <f>BC3084*($F$22+IF($F$22=0,0,($C$14+$C$15+IF($C$13="single",1.5,3)+3)/12))</f>
        <v>0</v>
      </c>
      <c r="BF3084">
        <f>BE3084-AZ3084</f>
        <v>0</v>
      </c>
      <c r="BG3084" cm="1">
        <f t="array" ref="BG3084">IFERROR(IF(BF3084&lt;0,0,BF3084/($AU$2989-INDEX(hd_off,MATCH(BT3084,hd_mark,0),0)/12)),0)</f>
        <v>0</v>
      </c>
      <c r="BH3084">
        <f>IF(AV3084=0,0,$BG$2989*$AM$2966)</f>
        <v>0</v>
      </c>
      <c r="BI3084">
        <f>IFERROR(BH3084/$AU$2989,0)</f>
        <v>0</v>
      </c>
      <c r="BJ3084">
        <f>BH3084*($F$22+IF($F$22=0,0,($C$14+$C$15+IF($C$13="single",1.5,3)+3)/12))</f>
        <v>0</v>
      </c>
      <c r="BK3084">
        <f>BJ3084-BA3084</f>
        <v>0</v>
      </c>
      <c r="BL3084" cm="1">
        <f t="array" ref="BL3084">IFERROR(IF(BK3084&lt;0,0,BK3084/($AU$2989-INDEX(hd_off,MATCH(BT3084,hd_mark,0),0)/12)),0)</f>
        <v>0</v>
      </c>
      <c r="BM3084">
        <f>MAX($F$22,$BC$2989)/$Q$2996</f>
        <v>0.30172413793103448</v>
      </c>
      <c r="BN3084">
        <f t="shared" ref="BN3084:BN3086" si="1895">IF(BM3084=0,0,IF(BM3084&gt;2,1.25-0.125*BM3084,1))</f>
        <v>1</v>
      </c>
      <c r="BO3084" cm="1">
        <f t="array" ref="BO3084">IFERROR(INDEX(sheath_ecap_asd,MATCH(BS3084,sheath_mark,0),0)*BN3084,0)</f>
        <v>0</v>
      </c>
      <c r="BP3084" cm="1">
        <f t="array" ref="BP3084">IFERROR(INDEX(sheath_wcap_asd,MATCH(BS3084,sheath_mark,0),0)*BN3084,0)</f>
        <v>0</v>
      </c>
      <c r="BQ3084" cm="1">
        <f t="array" ref="BQ3084">IFERROR(INDEX(hd_cap,MATCH(BT3084,hd_mark,0),0),0)</f>
        <v>0</v>
      </c>
      <c r="BS3084" s="19"/>
      <c r="BT3084" s="19"/>
      <c r="BU3084" s="100"/>
    </row>
    <row r="3085" x14ac:dyDescent="0.25">
      <c r="P3085" s="93"/>
      <c r="Q3085" s="109" t="s">
        <v>491</v>
      </c>
      <c r="R3085" t="str">
        <f>$Q$2967</f>
        <v>L4</v>
      </c>
      <c r="S3085">
        <f>$E$23</f>
        <v>0</v>
      </c>
      <c r="T3085" cm="1">
        <f t="array" ref="T3085">IFERROR(IF(S3085=0,0,(INDEX($C$33:$C$38,MATCH($W$2989,$B$33:$B$38,0),0)*(S3087+$X$2989)+$T$2989*COUNTIF(S3085:S3086,"&gt;0")*$C$32+$V$2989*$C$31)*$R$2989),0)</f>
        <v>0</v>
      </c>
      <c r="U3085">
        <f>IF(S3085=0,0,-(COUNTIF(S3085:S3086,"&gt;0")*$T$2989*$C$32+$V$2989*$C$31)*$H$27*$R$2989)</f>
        <v>0</v>
      </c>
      <c r="V3085">
        <f>IF(S3085=0,0,$V$2989*$H$26*$R$2989)</f>
        <v>0</v>
      </c>
      <c r="W3085">
        <f>(0.6*T3085+0.7*U3085)*$R$2989/2</f>
        <v>0</v>
      </c>
      <c r="X3085">
        <f>T3085*$R$2989/2</f>
        <v>0</v>
      </c>
      <c r="Z3085">
        <f>IF(S3085=0,0,$AD$2989*$AP$2967)</f>
        <v>0</v>
      </c>
      <c r="AA3085">
        <f>IFERROR(Z3085/$R$2989,0)</f>
        <v>0</v>
      </c>
      <c r="AB3085">
        <f>Z3085*($F$23+IF($F$23=0,0,($C$14+$C$15+IF($C$13="single",1.5,3)+3)/12))</f>
        <v>0</v>
      </c>
      <c r="AC3085">
        <f>AB3085-W3085</f>
        <v>0</v>
      </c>
      <c r="AD3085" cm="1">
        <f t="array" ref="AD3085">IFERROR(IF(AC3085&lt;0,0,AC3085/($R$2989-INDEX(hd_off,MATCH(AQ3085,hd_mark,0),0)/12)),0)</f>
        <v>0</v>
      </c>
      <c r="AE3085">
        <f>IF(S3085=0,0,$AD$2989*$AM$2967)</f>
        <v>0</v>
      </c>
      <c r="AF3085">
        <f>IFERROR(AE3085/$R$2989,0)</f>
        <v>0</v>
      </c>
      <c r="AG3085">
        <f>AE3085*($F$23+IF($F$23=0,0,($C$14+$C$15+IF($C$13="single",1.5,3)+3)/12))</f>
        <v>0</v>
      </c>
      <c r="AH3085">
        <f>AG3085-X3085</f>
        <v>0</v>
      </c>
      <c r="AI3085" cm="1">
        <f t="array" ref="AI3085">IFERROR(IF(AH3085&lt;0,0,AH3085/($R$2989-INDEX(hd_off,MATCH(AQ3085,hd_mark,0),0)/12)),0)</f>
        <v>0</v>
      </c>
      <c r="AJ3085">
        <f>MAX($F$23,$AA$2989)/$Q$2996</f>
        <v>0</v>
      </c>
      <c r="AK3085">
        <f t="shared" si="1894"/>
        <v>0</v>
      </c>
      <c r="AL3085" cm="1">
        <f t="array" ref="AL3085">IFERROR(INDEX(sheath_ecap_asd,MATCH(AP3085,sheath_mark,0),0)*AK3085,0)</f>
        <v>0</v>
      </c>
      <c r="AM3085" cm="1">
        <f t="array" ref="AM3085">IFERROR(INDEX(sheath_wcap_asd,MATCH(AP3085,sheath_mark,0),0)*AK3085,0)</f>
        <v>0</v>
      </c>
      <c r="AN3085" cm="1">
        <f t="array" ref="AN3085">IFERROR(INDEX(hd_cap,MATCH(AQ3085,hd_mark,0),0),0)</f>
        <v>0</v>
      </c>
      <c r="AP3085" s="19"/>
      <c r="AQ3085" s="19"/>
      <c r="AR3085" s="100"/>
      <c r="AS3085" s="93"/>
      <c r="AT3085" s="109" t="s">
        <v>491</v>
      </c>
      <c r="AU3085" t="str">
        <f>$Q$2967</f>
        <v>L4</v>
      </c>
      <c r="AV3085">
        <f>$E$23</f>
        <v>0</v>
      </c>
      <c r="AW3085" cm="1">
        <f t="array" ref="AW3085">IFERROR(IF(AV3085=0,0,(INDEX($C$33:$C$38,MATCH($AZ$2989,$B$33:$B$38,0),0)*(AV3087+$BA$2989)+$AW$2989*COUNTIF(AV3085:AV3086,"&gt;0")*$C$32+$AY$2989*$C$31)*$AU$2989),0)</f>
        <v>0</v>
      </c>
      <c r="AX3085">
        <f>IF(AV3085=0,0,-(COUNTIF(AV3085:AV3086,"&gt;0")*$AW$2989*$C$32+$AY$2989*$C$31)*$H$27*$AU$2989)</f>
        <v>0</v>
      </c>
      <c r="AY3085">
        <f>IF(AV3085=0,0,$AY$2989*$H$26*$AU$2989)</f>
        <v>0</v>
      </c>
      <c r="AZ3085">
        <f>(0.6*AW3085+0.7*AX3085)*$AU$2989/2</f>
        <v>0</v>
      </c>
      <c r="BA3085">
        <f>AW3085*$AU$2989/2</f>
        <v>0</v>
      </c>
      <c r="BC3085">
        <f>IF(AV3085=0,0,$BG$2989*$AP$2967)</f>
        <v>0</v>
      </c>
      <c r="BD3085">
        <f>IFERROR(BC3085/$AU$2989,0)</f>
        <v>0</v>
      </c>
      <c r="BE3085">
        <f>BC3085*($F$23+IF($F$23=0,0,($C$14+$C$15+IF($C$13="single",1.5,3)+3)/12))</f>
        <v>0</v>
      </c>
      <c r="BF3085">
        <f>BE3085-AZ3085</f>
        <v>0</v>
      </c>
      <c r="BG3085" cm="1">
        <f t="array" ref="BG3085">IFERROR(IF(BF3085&lt;0,0,BF3085/($AU$2989-INDEX(hd_off,MATCH(BT3085,hd_mark,0),0)/12)),0)</f>
        <v>0</v>
      </c>
      <c r="BH3085">
        <f>IF(AV3085=0,0,$BG$2989*$AM$2967)</f>
        <v>0</v>
      </c>
      <c r="BI3085">
        <f>IFERROR(BH3085/$AU$2989,0)</f>
        <v>0</v>
      </c>
      <c r="BJ3085">
        <f>BH3085*($F$23+IF($F$23=0,0,($C$14+$C$15+IF($C$13="single",1.5,3)+3)/12))</f>
        <v>0</v>
      </c>
      <c r="BK3085">
        <f>BJ3085-BA3085</f>
        <v>0</v>
      </c>
      <c r="BL3085" cm="1">
        <f t="array" ref="BL3085">IFERROR(IF(BK3085&lt;0,0,BK3085/($AU$2989-INDEX(hd_off,MATCH(BT3085,hd_mark,0),0)/12)),0)</f>
        <v>0</v>
      </c>
      <c r="BM3085">
        <f>MAX($F$23,$BD$2989)/$Q$2996</f>
        <v>0</v>
      </c>
      <c r="BN3085">
        <f t="shared" si="1895"/>
        <v>0</v>
      </c>
      <c r="BO3085" cm="1">
        <f t="array" ref="BO3085">IFERROR(INDEX(sheath_ecap_asd,MATCH(BS3085,sheath_mark,0),0)*BN3085,0)</f>
        <v>0</v>
      </c>
      <c r="BP3085" cm="1">
        <f t="array" ref="BP3085">IFERROR(INDEX(sheath_wcap_asd,MATCH(BS3085,sheath_mark,0),0)*BN3085,0)</f>
        <v>0</v>
      </c>
      <c r="BQ3085" cm="1">
        <f t="array" ref="BQ3085">IFERROR(INDEX(hd_cap,MATCH(BT3085,hd_mark,0),0),0)</f>
        <v>0</v>
      </c>
      <c r="BS3085" s="19"/>
      <c r="BT3085" s="19"/>
      <c r="BU3085" s="100"/>
    </row>
    <row r="3086" x14ac:dyDescent="0.25">
      <c r="P3086" s="93"/>
      <c r="Q3086" s="111">
        <f>$R$2989</f>
        <v>0</v>
      </c>
      <c r="R3086" t="str">
        <f>$Q$2968</f>
        <v>L5</v>
      </c>
      <c r="S3086">
        <f>$E$24</f>
        <v>0</v>
      </c>
      <c r="T3086" cm="1">
        <f t="array" ref="T3086">IFERROR(IF(S3086=0,0,(INDEX($C$33:$C$38,MATCH($W$2989,$B$33:$B$38,0),0)*(S3087+$X$2989)+$T$2989*COUNTIF(S3086:S3086,"&gt;0")*$C$32+$V$2989*$C$31)*$R$2989),0)</f>
        <v>0</v>
      </c>
      <c r="U3086">
        <f>IF(S3086=0,0,-(COUNTIF(S3086:S3086,"&gt;0")*$T$2989*$C$32+$V$2989*$C$31)*$H$27*$R$2989)</f>
        <v>0</v>
      </c>
      <c r="V3086">
        <f>IF(S3086=0,0,$V$2989*$H$26*$R$2989)</f>
        <v>0</v>
      </c>
      <c r="W3086">
        <f>(0.6*T3086+0.7*U3086)*$R$2989/2</f>
        <v>0</v>
      </c>
      <c r="X3086">
        <f>T3086*$R$2989/2</f>
        <v>0</v>
      </c>
      <c r="Z3086">
        <f>IF(S3086=0,0,$AD$2989*$AP$2968)</f>
        <v>0</v>
      </c>
      <c r="AA3086">
        <f>IFERROR(Z3086/$R$2989,0)</f>
        <v>0</v>
      </c>
      <c r="AB3086">
        <f>Z3086*($F$24+IF($F$24=0,0,($C$14+$C$15+IF($C$13="single",1.5,3)+3)/12))</f>
        <v>0</v>
      </c>
      <c r="AC3086">
        <f>AB3086-W3086</f>
        <v>0</v>
      </c>
      <c r="AD3086" cm="1">
        <f t="array" ref="AD3086">IFERROR(IF(AC3086&lt;0,0,AC3086/($R$2989-INDEX(hd_off,MATCH(AQ3086,hd_mark,0),0)/12)),0)</f>
        <v>0</v>
      </c>
      <c r="AE3086">
        <f>IF(S3086=0,0,$AD$2989*$AM$2968)</f>
        <v>0</v>
      </c>
      <c r="AF3086">
        <f>IFERROR(AE3086/$R$2989,0)</f>
        <v>0</v>
      </c>
      <c r="AG3086">
        <f>AE3086*($F$24+IF($F$24=0,0,($C$14+$C$15+IF($C$13="single",1.5,3)+3)/12))</f>
        <v>0</v>
      </c>
      <c r="AH3086">
        <f>AG3086-X3086</f>
        <v>0</v>
      </c>
      <c r="AI3086" cm="1">
        <f t="array" ref="AI3086">IFERROR(IF(AH3086&lt;0,0,AH3086/($R$2989-INDEX(hd_off,MATCH(AQ3086,hd_mark,0),0)/12)),0)</f>
        <v>0</v>
      </c>
      <c r="AJ3086">
        <f>MAX($F$24,$AB$2989)/$Q$2996</f>
        <v>0</v>
      </c>
      <c r="AK3086">
        <f t="shared" si="1894"/>
        <v>0</v>
      </c>
      <c r="AL3086" cm="1">
        <f t="array" ref="AL3086">IFERROR(INDEX(sheath_ecap_asd,MATCH(AP3086,sheath_mark,0),0)*AK3086,0)</f>
        <v>0</v>
      </c>
      <c r="AM3086" cm="1">
        <f t="array" ref="AM3086">IFERROR(INDEX(sheath_wcap_asd,MATCH(AP3086,sheath_mark,0),0)*AK3086,0)</f>
        <v>0</v>
      </c>
      <c r="AN3086" cm="1">
        <f t="array" ref="AN3086">IFERROR(INDEX(hd_cap,MATCH(AQ3086,hd_mark,0),0),0)</f>
        <v>0</v>
      </c>
      <c r="AP3086" s="19"/>
      <c r="AQ3086" s="19"/>
      <c r="AR3086" s="100"/>
      <c r="AS3086" s="93"/>
      <c r="AT3086" s="111">
        <f>$R$2989</f>
        <v>0</v>
      </c>
      <c r="AU3086" t="str">
        <f>$Q$2968</f>
        <v>L5</v>
      </c>
      <c r="AV3086">
        <f>$E$24</f>
        <v>0</v>
      </c>
      <c r="AW3086" cm="1">
        <f t="array" ref="AW3086">IFERROR(IF(AV3086=0,0,(INDEX($C$33:$C$38,MATCH($AZ$2989,$B$33:$B$38,0),0)*(AV3087+$BA$2989)+$AW$2989*COUNTIF(AV3086:AV3086,"&gt;0")*$C$32+$AY$2989*$C$31)*$AU$2989),0)</f>
        <v>0</v>
      </c>
      <c r="AX3086">
        <f>IF(AV3086=0,0,-(COUNTIF(AV3086:AV3086,"&gt;0")*$AW$2989*$C$32+$AY$2989*$C$31)*$H$27*$AU$2989)</f>
        <v>0</v>
      </c>
      <c r="AY3086">
        <f>IF(AV3086=0,0,$AY$2989*$H$26*$AU$2989)</f>
        <v>0</v>
      </c>
      <c r="AZ3086">
        <f>(0.6*AW3086+0.7*AX3086)*$AU$2989/2</f>
        <v>0</v>
      </c>
      <c r="BA3086">
        <f>AW3086*$AU$2989/2</f>
        <v>0</v>
      </c>
      <c r="BC3086">
        <f>IF(AV3086=0,0,$BG$2989*$AP$2968)</f>
        <v>0</v>
      </c>
      <c r="BD3086">
        <f>IFERROR(BC3086/$AU$2989,0)</f>
        <v>0</v>
      </c>
      <c r="BE3086">
        <f>BC3086*($F$24+IF($F$24=0,0,($C$14+$C$15+IF($C$13="single",1.5,3)+3)/12))</f>
        <v>0</v>
      </c>
      <c r="BF3086">
        <f>BE3086-AZ3086</f>
        <v>0</v>
      </c>
      <c r="BG3086" cm="1">
        <f t="array" ref="BG3086">IFERROR(IF(BF3086&lt;0,0,BF3086/($AU$2989-INDEX(hd_off,MATCH(BT3086,hd_mark,0),0)/12)),0)</f>
        <v>0</v>
      </c>
      <c r="BH3086">
        <f>IF(AV3086=0,0,$BG$2989*$AM$2968)</f>
        <v>0</v>
      </c>
      <c r="BI3086">
        <f>IFERROR(BH3086/$AU$2989,0)</f>
        <v>0</v>
      </c>
      <c r="BJ3086">
        <f>BH3086*($F$24+IF($F$24=0,0,($C$14+$C$15+IF($C$13="single",1.5,3)+3)/12))</f>
        <v>0</v>
      </c>
      <c r="BK3086">
        <f>BJ3086-BA3086</f>
        <v>0</v>
      </c>
      <c r="BL3086" cm="1">
        <f t="array" ref="BL3086">IFERROR(IF(BK3086&lt;0,0,BK3086/($AU$2989-INDEX(hd_off,MATCH(BT3086,hd_mark,0),0)/12)),0)</f>
        <v>0</v>
      </c>
      <c r="BM3086">
        <f>MAX($F$24,$BE$2989)/$Q$2996</f>
        <v>0</v>
      </c>
      <c r="BN3086">
        <f t="shared" si="1895"/>
        <v>0</v>
      </c>
      <c r="BO3086" cm="1">
        <f t="array" ref="BO3086">IFERROR(INDEX(sheath_ecap_asd,MATCH(BS3086,sheath_mark,0),0)*BN3086,0)</f>
        <v>0</v>
      </c>
      <c r="BP3086" cm="1">
        <f t="array" ref="BP3086">IFERROR(INDEX(sheath_wcap_asd,MATCH(BS3086,sheath_mark,0),0)*BN3086,0)</f>
        <v>0</v>
      </c>
      <c r="BQ3086" cm="1">
        <f t="array" ref="BQ3086">IFERROR(INDEX(hd_cap,MATCH(BT3086,hd_mark,0),0),0)</f>
        <v>0</v>
      </c>
      <c r="BS3086" s="19"/>
      <c r="BT3086" s="19"/>
      <c r="BU3086" s="100"/>
    </row>
    <row r="3087" x14ac:dyDescent="0.25">
      <c r="P3087" s="93"/>
      <c r="Q3087" s="109"/>
      <c r="R3087" t="str">
        <f>$Q$2969</f>
        <v>Roof</v>
      </c>
      <c r="S3087">
        <f>$E$25</f>
        <v>33.171875</v>
      </c>
      <c r="T3087" cm="1">
        <f t="array" ref="T3087">IFERROR(IF(S3087=0,0,(INDEX($C$33:$C$38,MATCH($W$2989,$B$33:$B$38,0),0)*(S3087+$X$2989)+$V$2989*$C$31)*$R$2989),0)</f>
        <v>0</v>
      </c>
      <c r="U3087">
        <f>IF(S3087=0,0,-$V$2989*$C$31*$H$27*$R$2989)</f>
        <v>0</v>
      </c>
      <c r="V3087">
        <f>IF(S3087=0,0,$V$2989*$H$26*$R$2989)</f>
        <v>0</v>
      </c>
      <c r="W3087">
        <f>(0.6*T3087+0.7*U3087)*$R$2989/2</f>
        <v>0</v>
      </c>
      <c r="X3087">
        <f>T3087*$R$2989/2</f>
        <v>0</v>
      </c>
      <c r="Z3087">
        <f>IF(S3087=0,0,$AD$2989*$AP$2969)</f>
        <v>0</v>
      </c>
      <c r="AA3087">
        <f>IFERROR(Z3087/$R$2989,0)</f>
        <v>0</v>
      </c>
      <c r="AB3087">
        <f>Z3087*($F$25+($C$16+$C$17+IF($C$13="single",1.5,3)+3)/12)</f>
        <v>0</v>
      </c>
      <c r="AC3087">
        <f>AB3087-W3087</f>
        <v>0</v>
      </c>
      <c r="AD3087" cm="1">
        <f t="array" ref="AD3087">IFERROR(IF(AC3087&lt;0,0,AC3087/($R$2989-INDEX(hd_off,MATCH(AQ3087,hd_mark,0),0)/12)),0)</f>
        <v>0</v>
      </c>
      <c r="AE3087">
        <f>IF(S3087=0,0,$AD$2989*$AM$2969)</f>
        <v>0</v>
      </c>
      <c r="AF3087">
        <f>IFERROR(AE3087/$R$2989,0)</f>
        <v>0</v>
      </c>
      <c r="AG3087">
        <f>AE3087*($F$25+($C$16+$C$17+IF($C$13="single",1.5,3)+3)/12)</f>
        <v>0</v>
      </c>
      <c r="AH3087">
        <f>AG3087-X3087</f>
        <v>0</v>
      </c>
      <c r="AI3087" cm="1">
        <f t="array" ref="AI3087">IFERROR(IF(AH3087&lt;0,0,AH3087/($R$2989-INDEX(hd_off,MATCH(AQ3087,hd_mark,0),0)/12)),0)</f>
        <v>0</v>
      </c>
      <c r="AJ3087">
        <f>MAX($F$25,$AC$2989)/$Q$2996</f>
        <v>0.29920977011494249</v>
      </c>
      <c r="AK3087">
        <f t="shared" si="1894"/>
        <v>1</v>
      </c>
      <c r="AL3087" cm="1">
        <f t="array" ref="AL3087">IFERROR(INDEX(sheath_ecap_asd,MATCH(AP3087,sheath_mark,0),0)*AK3087,0)</f>
        <v>0</v>
      </c>
      <c r="AM3087" cm="1">
        <f t="array" ref="AM3087">IFERROR(INDEX(sheath_wcap_asd,MATCH(AP3087,sheath_mark,0),0)*AK3087,0)</f>
        <v>0</v>
      </c>
      <c r="AN3087" cm="1">
        <f t="array" ref="AN3087">IFERROR(INDEX(hd_cap,MATCH(AQ3087,hd_mark,0),0),0)</f>
        <v>0</v>
      </c>
      <c r="AP3087" s="19"/>
      <c r="AQ3087" s="19"/>
      <c r="AR3087" s="100"/>
      <c r="AS3087" s="93"/>
      <c r="BU3087" s="100"/>
    </row>
    <row r="3088" x14ac:dyDescent="0.25">
      <c r="B3088" s="1" t="s">
        <v>569</v>
      </c>
      <c r="C3088">
        <f>E16+H16*12</f>
        <v>32.4375</v>
      </c>
      <c r="E3088" s="19">
        <v>24</v>
      </c>
      <c r="F3088" s="19">
        <f>32+5.625/12</f>
        <v>32.46875</v>
      </c>
      <c r="G3088" s="19">
        <f>33+10.5/12</f>
        <v>33.875</v>
      </c>
      <c r="H3088">
        <f>(G16-F16)/2</f>
        <v>0.703125</v>
      </c>
      <c r="P3088" s="93"/>
      <c r="Q3088" t="s">
        <v>524</v>
      </c>
      <c r="R3088" s="2" t="str">
        <f>$B$66</f>
        <v>A</v>
      </c>
      <c r="AR3088" s="100"/>
      <c r="AS3088" s="93"/>
      <c r="AT3088" t="s">
        <v>524</v>
      </c>
      <c r="AU3088" s="2">
        <f>H66</f>
        <v>1</v>
      </c>
      <c r="BU3088" s="100"/>
    </row>
    <row r="3089" x14ac:dyDescent="0.25">
      <c r="B3089" s="1" t="s">
        <v>500</v>
      </c>
      <c r="C3089" s="19">
        <v>0.5</v>
      </c>
      <c r="P3089" s="93"/>
      <c r="AR3089" s="100"/>
      <c r="AS3089" s="93"/>
      <c r="BU3089" s="100"/>
    </row>
    <row r="3090" x14ac:dyDescent="0.25">
      <c r="P3090" s="93"/>
      <c r="R3090" t="s">
        <v>482</v>
      </c>
      <c r="Z3090" t="s">
        <v>483</v>
      </c>
      <c r="AH3090" t="s">
        <v>502</v>
      </c>
      <c r="AJ3090" t="s">
        <v>454</v>
      </c>
      <c r="AR3090" s="100"/>
      <c r="AS3090" s="93"/>
      <c r="AU3090" t="s">
        <v>482</v>
      </c>
      <c r="BC3090" t="s">
        <v>483</v>
      </c>
      <c r="BK3090" t="s">
        <v>502</v>
      </c>
      <c r="BM3090" t="s">
        <v>454</v>
      </c>
      <c r="BU3090" s="100"/>
    </row>
    <row r="3091" x14ac:dyDescent="0.25">
      <c r="B3091" t="s">
        <v>448</v>
      </c>
      <c r="C3091" t="s">
        <v>272</v>
      </c>
      <c r="D3091" t="s">
        <v>193</v>
      </c>
      <c r="E3091" s="70" t="s">
        <v>454</v>
      </c>
      <c r="F3091" s="71" t="s">
        <v>501</v>
      </c>
      <c r="H3091" t="s">
        <v>475</v>
      </c>
      <c r="J3091" t="s">
        <v>476</v>
      </c>
      <c r="P3091" s="93"/>
      <c r="R3091" t="s">
        <v>480</v>
      </c>
      <c r="S3091" t="s">
        <v>481</v>
      </c>
      <c r="T3091" t="s">
        <v>486</v>
      </c>
      <c r="U3091" t="s">
        <v>487</v>
      </c>
      <c r="V3091" t="s">
        <v>484</v>
      </c>
      <c r="W3091" t="s">
        <v>485</v>
      </c>
      <c r="X3091" t="s">
        <v>488</v>
      </c>
      <c r="Y3091" t="s">
        <v>489</v>
      </c>
      <c r="Z3091" t="s">
        <v>480</v>
      </c>
      <c r="AA3091" t="s">
        <v>481</v>
      </c>
      <c r="AB3091" t="s">
        <v>486</v>
      </c>
      <c r="AC3091" t="s">
        <v>487</v>
      </c>
      <c r="AD3091" t="s">
        <v>484</v>
      </c>
      <c r="AE3091" t="s">
        <v>485</v>
      </c>
      <c r="AF3091" t="s">
        <v>488</v>
      </c>
      <c r="AG3091" t="s">
        <v>489</v>
      </c>
      <c r="AH3091" t="s">
        <v>312</v>
      </c>
      <c r="AI3091" t="s">
        <v>258</v>
      </c>
      <c r="AJ3091" t="s">
        <v>486</v>
      </c>
      <c r="AK3091" t="s">
        <v>490</v>
      </c>
      <c r="AL3091" t="s">
        <v>487</v>
      </c>
      <c r="AM3091" t="s">
        <v>490</v>
      </c>
      <c r="AN3091" t="s">
        <v>488</v>
      </c>
      <c r="AO3091" t="s">
        <v>490</v>
      </c>
      <c r="AP3091" t="s">
        <v>489</v>
      </c>
      <c r="AQ3091" t="s">
        <v>490</v>
      </c>
      <c r="AR3091" s="100"/>
      <c r="AS3091" s="93"/>
      <c r="AU3091" t="s">
        <v>480</v>
      </c>
      <c r="AV3091" t="s">
        <v>481</v>
      </c>
      <c r="AW3091" t="s">
        <v>486</v>
      </c>
      <c r="AX3091" t="s">
        <v>487</v>
      </c>
      <c r="AY3091" t="s">
        <v>484</v>
      </c>
      <c r="AZ3091" t="s">
        <v>485</v>
      </c>
      <c r="BA3091" t="s">
        <v>488</v>
      </c>
      <c r="BB3091" t="s">
        <v>489</v>
      </c>
      <c r="BC3091" t="s">
        <v>480</v>
      </c>
      <c r="BD3091" t="s">
        <v>481</v>
      </c>
      <c r="BE3091" t="s">
        <v>486</v>
      </c>
      <c r="BF3091" t="s">
        <v>487</v>
      </c>
      <c r="BG3091" t="s">
        <v>484</v>
      </c>
      <c r="BH3091" t="s">
        <v>485</v>
      </c>
      <c r="BI3091" t="s">
        <v>488</v>
      </c>
      <c r="BJ3091" t="s">
        <v>489</v>
      </c>
      <c r="BK3091" t="s">
        <v>312</v>
      </c>
      <c r="BL3091" t="s">
        <v>258</v>
      </c>
      <c r="BM3091" t="s">
        <v>486</v>
      </c>
      <c r="BN3091" t="s">
        <v>490</v>
      </c>
      <c r="BO3091" t="s">
        <v>487</v>
      </c>
      <c r="BP3091" t="s">
        <v>490</v>
      </c>
      <c r="BQ3091" t="s">
        <v>488</v>
      </c>
      <c r="BR3091" t="s">
        <v>490</v>
      </c>
      <c r="BS3091" t="s">
        <v>489</v>
      </c>
      <c r="BT3091" t="s">
        <v>490</v>
      </c>
      <c r="BU3091" s="100"/>
    </row>
    <row r="3092" x14ac:dyDescent="0.25">
      <c r="B3092" t="s">
        <v>449</v>
      </c>
      <c r="C3092" s="19">
        <v>0</v>
      </c>
      <c r="D3092" s="19">
        <v>0</v>
      </c>
      <c r="E3092" s="66">
        <f>C20+D20/12</f>
        <v>0</v>
      </c>
      <c r="F3092" s="67">
        <v>0</v>
      </c>
      <c r="H3092" s="19">
        <v>0</v>
      </c>
      <c r="I3092" s="64" t="s">
        <v>196</v>
      </c>
      <c r="J3092" s="19">
        <v>0</v>
      </c>
      <c r="K3092" s="19">
        <v>0</v>
      </c>
      <c r="L3092" s="19">
        <v>0</v>
      </c>
      <c r="M3092" s="19">
        <v>0</v>
      </c>
      <c r="P3092" s="93"/>
      <c r="Q3092" t="s">
        <v>449</v>
      </c>
      <c r="R3092" s="19">
        <f>$H$20</f>
        <v>0</v>
      </c>
      <c r="S3092">
        <f>R3092*0.6</f>
        <v>0</v>
      </c>
      <c r="T3092">
        <f>$C$66/2*R3092</f>
        <v>0</v>
      </c>
      <c r="U3092">
        <f>T3092*0.6</f>
        <v>0</v>
      </c>
      <c r="V3092" s="19">
        <v>0</v>
      </c>
      <c r="W3092">
        <f>V3092*0.7</f>
        <v>0</v>
      </c>
      <c r="X3092">
        <f>$C$66/2*V3092</f>
        <v>0</v>
      </c>
      <c r="Y3092">
        <f>X3092*0.7</f>
        <v>0</v>
      </c>
      <c r="Z3092" s="19">
        <f>$H$20</f>
        <v>0</v>
      </c>
      <c r="AA3092">
        <f>Z3092*0.6</f>
        <v>0</v>
      </c>
      <c r="AB3092">
        <f>$D$66/2*Z3092</f>
        <v>0</v>
      </c>
      <c r="AC3092">
        <f t="shared" ref="AC3092:AC3098" si="1896">0.6*AB3092</f>
        <v>0</v>
      </c>
      <c r="AD3092" s="19">
        <v>0</v>
      </c>
      <c r="AE3092">
        <f>AD3092*0.7</f>
        <v>0</v>
      </c>
      <c r="AF3092">
        <f>$D$66/2*AD3092</f>
        <v>0</v>
      </c>
      <c r="AG3092">
        <f>AF3092*0.7</f>
        <v>0</v>
      </c>
      <c r="AH3092" s="19">
        <v>0</v>
      </c>
      <c r="AI3092" s="19">
        <v>0</v>
      </c>
      <c r="AJ3092" s="17">
        <f>T3092+AB3092+AH3092</f>
        <v>0</v>
      </c>
      <c r="AK3092" s="17">
        <f>AK3093+AJ3092</f>
        <v>13166</v>
      </c>
      <c r="AL3092" s="17">
        <f>AJ3092*0.6</f>
        <v>0</v>
      </c>
      <c r="AM3092" s="17">
        <f>AM3093+AL3092</f>
        <v>7899.5999999999995</v>
      </c>
      <c r="AN3092" s="17">
        <f>X3092+AF3092+AI3092</f>
        <v>0</v>
      </c>
      <c r="AO3092" s="17">
        <f t="shared" ref="AO3092:AQ3095" si="1897">AN3092+AO3093</f>
        <v>1302.0999999999999</v>
      </c>
      <c r="AP3092" s="17">
        <f>AN3092*0.7</f>
        <v>0</v>
      </c>
      <c r="AQ3092" s="17">
        <f>AP3092+AQ3093</f>
        <v>911.46999999999991</v>
      </c>
      <c r="AR3092" s="100"/>
      <c r="AS3092" s="93"/>
      <c r="AT3092" t="s">
        <v>449</v>
      </c>
      <c r="AU3092" s="19">
        <f>$H$20</f>
        <v>0</v>
      </c>
      <c r="AV3092">
        <f>AU3092*0.6</f>
        <v>0</v>
      </c>
      <c r="AW3092">
        <f t="shared" ref="AW3092:AW3098" si="1898">$I$66/2*AU3092</f>
        <v>0</v>
      </c>
      <c r="AX3092">
        <f>AW3092*0.6</f>
        <v>0</v>
      </c>
      <c r="AY3092" s="19">
        <v>0</v>
      </c>
      <c r="AZ3092">
        <f>AY3092*0.7</f>
        <v>0</v>
      </c>
      <c r="BA3092">
        <f t="shared" ref="BA3092:BA3097" si="1899">$I$66/2*AY3092</f>
        <v>0</v>
      </c>
      <c r="BB3092">
        <f>BA3092*0.7</f>
        <v>0</v>
      </c>
      <c r="BC3092" s="19">
        <f>$H$20</f>
        <v>0</v>
      </c>
      <c r="BD3092">
        <f>BC3092*0.6</f>
        <v>0</v>
      </c>
      <c r="BE3092">
        <f t="shared" ref="BE3092:BE3098" si="1900">$J$66/2*BC3092</f>
        <v>0</v>
      </c>
      <c r="BF3092">
        <f t="shared" ref="BF3092:BF3098" si="1901">0.6*BE3092</f>
        <v>0</v>
      </c>
      <c r="BG3092" s="19">
        <v>0</v>
      </c>
      <c r="BH3092">
        <f>BG3092*0.7</f>
        <v>0</v>
      </c>
      <c r="BI3092">
        <f t="shared" ref="BI3092:BI3097" si="1902">$J$66/2*BG3092</f>
        <v>0</v>
      </c>
      <c r="BJ3092">
        <f>BI3092*0.7</f>
        <v>0</v>
      </c>
      <c r="BK3092" s="19">
        <v>0</v>
      </c>
      <c r="BL3092" s="19">
        <v>0</v>
      </c>
      <c r="BM3092" s="17">
        <f>AW3092+BE3092+BK3092</f>
        <v>0</v>
      </c>
      <c r="BN3092" s="17">
        <f>BN3093+BM3092</f>
        <v>12258</v>
      </c>
      <c r="BO3092" s="17">
        <f>BM3092*0.6</f>
        <v>0</v>
      </c>
      <c r="BP3092" s="17">
        <f>BP3093+BO3092</f>
        <v>7354.7999999999993</v>
      </c>
      <c r="BQ3092" s="17">
        <f>BA3092+BI3092+BL3092</f>
        <v>0</v>
      </c>
      <c r="BR3092" s="17">
        <f t="shared" ref="BR3092:BR3095" si="1903">BQ3092+BR3093</f>
        <v>1212.3</v>
      </c>
      <c r="BS3092" s="17">
        <f>BQ3092*0.7</f>
        <v>0</v>
      </c>
      <c r="BT3092" s="17">
        <f>BS3092+BT3093</f>
        <v>848.6099999999999</v>
      </c>
      <c r="BU3092" s="100"/>
    </row>
    <row r="3093" x14ac:dyDescent="0.25">
      <c r="B3093" t="s">
        <v>450</v>
      </c>
      <c r="C3093" s="19">
        <v>10</v>
      </c>
      <c r="D3093" s="19">
        <v>8.25</v>
      </c>
      <c r="E3093" s="66">
        <f>C21+D21/12</f>
        <v>10.6875</v>
      </c>
      <c r="F3093" s="67">
        <f>IF(E21&gt;0,E21-(C15+C14+2*1.5+IF(C13="single",1.5,3))/12-_xlfn.XLOOKUP(E21,E20,E20,,-1),0)</f>
        <v>8.75</v>
      </c>
      <c r="H3093" s="19">
        <v>236</v>
      </c>
      <c r="I3093" s="64" t="s">
        <v>196</v>
      </c>
      <c r="J3093" s="19">
        <v>33.799999999999997</v>
      </c>
      <c r="K3093" s="19">
        <v>65.599999999999994</v>
      </c>
      <c r="L3093" s="19">
        <v>19.3</v>
      </c>
      <c r="M3093" s="19">
        <v>119.6</v>
      </c>
      <c r="P3093" s="93"/>
      <c r="Q3093" t="s">
        <v>450</v>
      </c>
      <c r="R3093" s="19">
        <f>$H$21</f>
        <v>236</v>
      </c>
      <c r="S3093">
        <f t="shared" ref="S3093:S3098" si="1904">R3093*0.6</f>
        <v>141.6</v>
      </c>
      <c r="T3093">
        <f t="shared" ref="T3093:T3097" si="1905">$C$66/2*R3093</f>
        <v>0</v>
      </c>
      <c r="U3093">
        <f>T3093*0.6</f>
        <v>0</v>
      </c>
      <c r="V3093" s="19">
        <v>33.799999999999997</v>
      </c>
      <c r="W3093">
        <f t="shared" ref="W3093:W3097" si="1906">V3093*0.7</f>
        <v>23.659999999999997</v>
      </c>
      <c r="X3093">
        <f t="shared" ref="X3093:X3097" si="1907">$C$66/2*V3093</f>
        <v>0</v>
      </c>
      <c r="Y3093">
        <f t="shared" ref="Y3093:Y3097" si="1908">X3093*0.7</f>
        <v>0</v>
      </c>
      <c r="Z3093" s="19">
        <f>$H$21</f>
        <v>236</v>
      </c>
      <c r="AA3093">
        <f t="shared" ref="AA3093:AA3097" si="1909">Z3093*0.6</f>
        <v>141.6</v>
      </c>
      <c r="AB3093">
        <f t="shared" ref="AB3093:AB3097" si="1910">$D$66/2*Z3093</f>
        <v>3422</v>
      </c>
      <c r="AC3093">
        <f t="shared" si="1896"/>
        <v>2053.1999999999998</v>
      </c>
      <c r="AD3093" s="19">
        <v>33.799999999999997</v>
      </c>
      <c r="AE3093">
        <f t="shared" ref="AE3093:AE3097" si="1911">AD3093*0.7</f>
        <v>23.659999999999997</v>
      </c>
      <c r="AF3093">
        <f t="shared" ref="AF3093:AF3097" si="1912">$D$66/2*AD3093</f>
        <v>490.09999999999997</v>
      </c>
      <c r="AG3093">
        <f t="shared" ref="AG3093:AG3097" si="1913">AF3093*0.7</f>
        <v>343.06999999999994</v>
      </c>
      <c r="AH3093" s="19">
        <v>0</v>
      </c>
      <c r="AI3093" s="19">
        <v>0</v>
      </c>
      <c r="AJ3093" s="17">
        <f>T3093+AB3093+AH3093</f>
        <v>3422</v>
      </c>
      <c r="AK3093" s="17">
        <f>AK3094+AJ3093</f>
        <v>13166</v>
      </c>
      <c r="AL3093" s="17">
        <f t="shared" ref="AL3093:AL3097" si="1914">AJ3093*0.6</f>
        <v>2053.1999999999998</v>
      </c>
      <c r="AM3093" s="17">
        <f t="shared" ref="AM3093:AM3095" si="1915">AM3094+AL3093</f>
        <v>7899.5999999999995</v>
      </c>
      <c r="AN3093" s="17">
        <f t="shared" ref="AN3093:AN3096" si="1916">X3093+AF3093+AI3093</f>
        <v>490.09999999999997</v>
      </c>
      <c r="AO3093" s="17">
        <f t="shared" si="1897"/>
        <v>1302.0999999999999</v>
      </c>
      <c r="AP3093" s="17">
        <f t="shared" ref="AP3093:AP3096" si="1917">AN3093*0.7</f>
        <v>343.06999999999994</v>
      </c>
      <c r="AQ3093" s="17">
        <f t="shared" si="1897"/>
        <v>911.46999999999991</v>
      </c>
      <c r="AR3093" s="100"/>
      <c r="AS3093" s="93"/>
      <c r="AT3093" t="s">
        <v>450</v>
      </c>
      <c r="AU3093" s="19">
        <f>$H$21</f>
        <v>236</v>
      </c>
      <c r="AV3093">
        <f t="shared" ref="AV3093:AV3098" si="1918">AU3093*0.6</f>
        <v>141.6</v>
      </c>
      <c r="AW3093">
        <f t="shared" si="1898"/>
        <v>0</v>
      </c>
      <c r="AX3093">
        <f>AW3093*0.6</f>
        <v>0</v>
      </c>
      <c r="AY3093" s="19">
        <v>33.799999999999997</v>
      </c>
      <c r="AZ3093">
        <f t="shared" ref="AZ3093:AZ3097" si="1919">AY3093*0.7</f>
        <v>23.659999999999997</v>
      </c>
      <c r="BA3093">
        <f t="shared" si="1899"/>
        <v>0</v>
      </c>
      <c r="BB3093">
        <f t="shared" ref="BB3093:BB3097" si="1920">BA3093*0.7</f>
        <v>0</v>
      </c>
      <c r="BC3093" s="19">
        <f>$H$21</f>
        <v>236</v>
      </c>
      <c r="BD3093">
        <f t="shared" ref="BD3093:BD3097" si="1921">BC3093*0.6</f>
        <v>141.6</v>
      </c>
      <c r="BE3093">
        <f t="shared" si="1900"/>
        <v>3186</v>
      </c>
      <c r="BF3093">
        <f t="shared" si="1901"/>
        <v>1911.6</v>
      </c>
      <c r="BG3093" s="19">
        <v>33.799999999999997</v>
      </c>
      <c r="BH3093">
        <f t="shared" ref="BH3093:BH3097" si="1922">BG3093*0.7</f>
        <v>23.659999999999997</v>
      </c>
      <c r="BI3093">
        <f t="shared" si="1902"/>
        <v>456.29999999999995</v>
      </c>
      <c r="BJ3093">
        <f t="shared" ref="BJ3093:BJ3097" si="1923">BI3093*0.7</f>
        <v>319.40999999999997</v>
      </c>
      <c r="BK3093" s="19">
        <v>0</v>
      </c>
      <c r="BL3093" s="19">
        <v>0</v>
      </c>
      <c r="BM3093" s="17">
        <f>AW3093+BE3093+BK3093</f>
        <v>3186</v>
      </c>
      <c r="BN3093" s="17">
        <f>BN3094+BM3093</f>
        <v>12258</v>
      </c>
      <c r="BO3093" s="17">
        <f t="shared" ref="BO3093" si="1924">BM3093*0.6</f>
        <v>1911.6</v>
      </c>
      <c r="BP3093" s="17">
        <f t="shared" ref="BP3093:BP3095" si="1925">BP3094+BO3093</f>
        <v>7354.7999999999993</v>
      </c>
      <c r="BQ3093" s="17">
        <f t="shared" ref="BQ3093:BQ3096" si="1926">BA3093+BI3093+BL3093</f>
        <v>456.29999999999995</v>
      </c>
      <c r="BR3093" s="17">
        <f t="shared" si="1903"/>
        <v>1212.3</v>
      </c>
      <c r="BS3093" s="17">
        <f t="shared" ref="BS3093:BS3096" si="1927">BQ3093*0.7</f>
        <v>319.40999999999997</v>
      </c>
      <c r="BT3093" s="17">
        <f t="shared" ref="BT3093:BT3095" si="1928">BS3093+BT3094</f>
        <v>848.6099999999999</v>
      </c>
      <c r="BU3093" s="100"/>
    </row>
    <row r="3094" x14ac:dyDescent="0.25">
      <c r="B3094" t="s">
        <v>451</v>
      </c>
      <c r="C3094" s="19">
        <v>21</v>
      </c>
      <c r="D3094" s="19">
        <v>4.5</v>
      </c>
      <c r="E3094" s="66">
        <f t="shared" ref="E22:E25" si="1929">C22+D22/12</f>
        <v>21.375</v>
      </c>
      <c r="F3094" s="67">
        <f>IF(E22&gt;0,E22-(C15+C14+2*1.5+IF(C13="single",1.5,3))/12-_xlfn.XLOOKUP(E22,E20:E21,E20:E21,,-1),0)</f>
        <v>8.75</v>
      </c>
      <c r="H3094" s="19">
        <v>229</v>
      </c>
      <c r="I3094" s="64" t="s">
        <v>196</v>
      </c>
      <c r="J3094" s="19">
        <v>37.1</v>
      </c>
      <c r="K3094" s="19">
        <v>71.8</v>
      </c>
      <c r="L3094" s="19">
        <v>21.1</v>
      </c>
      <c r="M3094" s="19">
        <v>131.1</v>
      </c>
      <c r="P3094" s="93"/>
      <c r="Q3094" t="s">
        <v>451</v>
      </c>
      <c r="R3094" s="19">
        <f>$H$22</f>
        <v>229</v>
      </c>
      <c r="S3094">
        <f t="shared" si="1904"/>
        <v>137.4</v>
      </c>
      <c r="T3094">
        <f t="shared" si="1905"/>
        <v>0</v>
      </c>
      <c r="U3094">
        <f t="shared" ref="U3094:U3098" si="1930">T3094*0.6</f>
        <v>0</v>
      </c>
      <c r="V3094" s="19">
        <v>37.1</v>
      </c>
      <c r="W3094">
        <f t="shared" si="1906"/>
        <v>25.97</v>
      </c>
      <c r="X3094">
        <f>$C$66/2*V3094</f>
        <v>0</v>
      </c>
      <c r="Y3094">
        <f t="shared" si="1908"/>
        <v>0</v>
      </c>
      <c r="Z3094" s="19">
        <f>$H$22</f>
        <v>229</v>
      </c>
      <c r="AA3094">
        <f t="shared" si="1909"/>
        <v>137.4</v>
      </c>
      <c r="AB3094">
        <f t="shared" si="1910"/>
        <v>3320.5</v>
      </c>
      <c r="AC3094">
        <f t="shared" si="1896"/>
        <v>1992.3</v>
      </c>
      <c r="AD3094" s="19">
        <v>37.1</v>
      </c>
      <c r="AE3094">
        <f t="shared" si="1911"/>
        <v>25.97</v>
      </c>
      <c r="AF3094">
        <f t="shared" si="1912"/>
        <v>537.95000000000005</v>
      </c>
      <c r="AG3094">
        <f t="shared" si="1913"/>
        <v>376.565</v>
      </c>
      <c r="AH3094" s="19">
        <v>0</v>
      </c>
      <c r="AI3094" s="19">
        <v>0</v>
      </c>
      <c r="AJ3094" s="17">
        <f t="shared" ref="AJ3094:AJ3096" si="1931">T3094+AB3094+AH3094</f>
        <v>3320.5</v>
      </c>
      <c r="AK3094" s="17">
        <f>AK3095+AJ3094</f>
        <v>9744</v>
      </c>
      <c r="AL3094" s="17">
        <f>AJ3094*0.6</f>
        <v>1992.3</v>
      </c>
      <c r="AM3094" s="17">
        <f t="shared" si="1915"/>
        <v>5846.4</v>
      </c>
      <c r="AN3094" s="17">
        <f t="shared" si="1916"/>
        <v>537.95000000000005</v>
      </c>
      <c r="AO3094" s="17">
        <f t="shared" si="1897"/>
        <v>812</v>
      </c>
      <c r="AP3094" s="17">
        <f t="shared" si="1917"/>
        <v>376.565</v>
      </c>
      <c r="AQ3094" s="17">
        <f t="shared" si="1897"/>
        <v>568.4</v>
      </c>
      <c r="AR3094" s="100"/>
      <c r="AS3094" s="93"/>
      <c r="AT3094" t="s">
        <v>451</v>
      </c>
      <c r="AU3094" s="19">
        <f>$H$22</f>
        <v>229</v>
      </c>
      <c r="AV3094">
        <f t="shared" si="1918"/>
        <v>137.4</v>
      </c>
      <c r="AW3094">
        <f t="shared" si="1898"/>
        <v>0</v>
      </c>
      <c r="AX3094">
        <f t="shared" ref="AX3094:AX3098" si="1932">AW3094*0.6</f>
        <v>0</v>
      </c>
      <c r="AY3094" s="19">
        <v>37.1</v>
      </c>
      <c r="AZ3094">
        <f t="shared" si="1919"/>
        <v>25.97</v>
      </c>
      <c r="BA3094">
        <f t="shared" si="1899"/>
        <v>0</v>
      </c>
      <c r="BB3094">
        <f t="shared" si="1920"/>
        <v>0</v>
      </c>
      <c r="BC3094" s="19">
        <f>$H$22</f>
        <v>229</v>
      </c>
      <c r="BD3094">
        <f t="shared" si="1921"/>
        <v>137.4</v>
      </c>
      <c r="BE3094">
        <f t="shared" si="1900"/>
        <v>3091.5</v>
      </c>
      <c r="BF3094">
        <f t="shared" si="1901"/>
        <v>1854.8999999999999</v>
      </c>
      <c r="BG3094" s="19">
        <v>37.1</v>
      </c>
      <c r="BH3094">
        <f t="shared" si="1922"/>
        <v>25.97</v>
      </c>
      <c r="BI3094">
        <f t="shared" si="1902"/>
        <v>500.85</v>
      </c>
      <c r="BJ3094">
        <f t="shared" si="1923"/>
        <v>350.59499999999997</v>
      </c>
      <c r="BK3094" s="19">
        <v>0</v>
      </c>
      <c r="BL3094" s="19">
        <v>0</v>
      </c>
      <c r="BM3094" s="17">
        <f t="shared" ref="BM3094:BM3096" si="1933">AW3094+BE3094+BK3094</f>
        <v>3091.5</v>
      </c>
      <c r="BN3094" s="17">
        <f>BN3095+BM3094</f>
        <v>9072</v>
      </c>
      <c r="BO3094" s="17">
        <f>BM3094*0.6</f>
        <v>1854.8999999999999</v>
      </c>
      <c r="BP3094" s="17">
        <f t="shared" si="1925"/>
        <v>5443.2</v>
      </c>
      <c r="BQ3094" s="17">
        <f t="shared" si="1926"/>
        <v>500.85</v>
      </c>
      <c r="BR3094" s="17">
        <f t="shared" si="1903"/>
        <v>756</v>
      </c>
      <c r="BS3094" s="17">
        <f t="shared" si="1927"/>
        <v>350.59499999999997</v>
      </c>
      <c r="BT3094" s="17">
        <f t="shared" si="1928"/>
        <v>529.19999999999993</v>
      </c>
      <c r="BU3094" s="100"/>
    </row>
    <row r="3095" x14ac:dyDescent="0.25">
      <c r="B3095" t="s">
        <v>452</v>
      </c>
      <c r="C3095" s="19">
        <v>0</v>
      </c>
      <c r="D3095" s="19">
        <v>0</v>
      </c>
      <c r="E3095" s="66">
        <f t="shared" si="1929"/>
        <v>0</v>
      </c>
      <c r="F3095" s="67">
        <f>IF(E23&gt;0,E23-(C15+C14+2*1.5+IF(C13="single",1.5,3))/12-_xlfn.XLOOKUP(E23,E20:E22,E20:E22,,-1),0)</f>
        <v>0</v>
      </c>
      <c r="H3095" s="19">
        <v>0</v>
      </c>
      <c r="I3095" s="64" t="s">
        <v>196</v>
      </c>
      <c r="J3095" s="19">
        <v>0</v>
      </c>
      <c r="K3095" s="19">
        <v>0</v>
      </c>
      <c r="L3095" s="19">
        <v>0</v>
      </c>
      <c r="M3095" s="19">
        <v>0</v>
      </c>
      <c r="P3095" s="93"/>
      <c r="Q3095" t="s">
        <v>452</v>
      </c>
      <c r="R3095" s="19">
        <f>$H$23</f>
        <v>0</v>
      </c>
      <c r="S3095">
        <f t="shared" si="1904"/>
        <v>0</v>
      </c>
      <c r="T3095">
        <f t="shared" si="1905"/>
        <v>0</v>
      </c>
      <c r="U3095">
        <f t="shared" si="1930"/>
        <v>0</v>
      </c>
      <c r="V3095" s="19">
        <v>0</v>
      </c>
      <c r="W3095">
        <f t="shared" si="1906"/>
        <v>0</v>
      </c>
      <c r="X3095">
        <f t="shared" si="1907"/>
        <v>0</v>
      </c>
      <c r="Y3095">
        <f t="shared" si="1908"/>
        <v>0</v>
      </c>
      <c r="Z3095" s="19">
        <f>$H$23</f>
        <v>0</v>
      </c>
      <c r="AA3095">
        <f t="shared" si="1909"/>
        <v>0</v>
      </c>
      <c r="AB3095">
        <f t="shared" si="1910"/>
        <v>0</v>
      </c>
      <c r="AC3095">
        <f t="shared" si="1896"/>
        <v>0</v>
      </c>
      <c r="AD3095" s="19">
        <v>0</v>
      </c>
      <c r="AE3095">
        <f t="shared" si="1911"/>
        <v>0</v>
      </c>
      <c r="AF3095">
        <f t="shared" si="1912"/>
        <v>0</v>
      </c>
      <c r="AG3095">
        <f t="shared" si="1913"/>
        <v>0</v>
      </c>
      <c r="AH3095" s="19">
        <v>0</v>
      </c>
      <c r="AI3095" s="19">
        <v>0</v>
      </c>
      <c r="AJ3095" s="17">
        <f t="shared" si="1931"/>
        <v>0</v>
      </c>
      <c r="AK3095" s="17">
        <f>AK3096+AJ3095</f>
        <v>6423.5</v>
      </c>
      <c r="AL3095" s="17">
        <f>AJ3095*0.6</f>
        <v>0</v>
      </c>
      <c r="AM3095" s="17">
        <f t="shared" si="1915"/>
        <v>3854.1</v>
      </c>
      <c r="AN3095" s="17">
        <f t="shared" si="1916"/>
        <v>0</v>
      </c>
      <c r="AO3095" s="17">
        <f t="shared" si="1897"/>
        <v>274.04999999999995</v>
      </c>
      <c r="AP3095" s="17">
        <f t="shared" si="1917"/>
        <v>0</v>
      </c>
      <c r="AQ3095" s="17">
        <f t="shared" si="1897"/>
        <v>191.83499999999995</v>
      </c>
      <c r="AR3095" s="100"/>
      <c r="AS3095" s="93"/>
      <c r="AT3095" t="s">
        <v>452</v>
      </c>
      <c r="AU3095" s="19">
        <f>$H$23</f>
        <v>0</v>
      </c>
      <c r="AV3095">
        <f t="shared" si="1918"/>
        <v>0</v>
      </c>
      <c r="AW3095">
        <f t="shared" si="1898"/>
        <v>0</v>
      </c>
      <c r="AX3095">
        <f t="shared" si="1932"/>
        <v>0</v>
      </c>
      <c r="AY3095" s="19">
        <v>0</v>
      </c>
      <c r="AZ3095">
        <f t="shared" si="1919"/>
        <v>0</v>
      </c>
      <c r="BA3095">
        <f t="shared" si="1899"/>
        <v>0</v>
      </c>
      <c r="BB3095">
        <f t="shared" si="1920"/>
        <v>0</v>
      </c>
      <c r="BC3095" s="19">
        <f>$H$23</f>
        <v>0</v>
      </c>
      <c r="BD3095">
        <f t="shared" si="1921"/>
        <v>0</v>
      </c>
      <c r="BE3095">
        <f t="shared" si="1900"/>
        <v>0</v>
      </c>
      <c r="BF3095">
        <f t="shared" si="1901"/>
        <v>0</v>
      </c>
      <c r="BG3095" s="19">
        <v>0</v>
      </c>
      <c r="BH3095">
        <f t="shared" si="1922"/>
        <v>0</v>
      </c>
      <c r="BI3095">
        <f t="shared" si="1902"/>
        <v>0</v>
      </c>
      <c r="BJ3095">
        <f t="shared" si="1923"/>
        <v>0</v>
      </c>
      <c r="BK3095" s="19">
        <v>0</v>
      </c>
      <c r="BL3095" s="19">
        <v>0</v>
      </c>
      <c r="BM3095" s="17">
        <f t="shared" si="1933"/>
        <v>0</v>
      </c>
      <c r="BN3095" s="17">
        <f>BN3096+BM3095</f>
        <v>5980.5</v>
      </c>
      <c r="BO3095" s="17">
        <f>BM3095*0.6</f>
        <v>0</v>
      </c>
      <c r="BP3095" s="17">
        <f t="shared" si="1925"/>
        <v>3588.2999999999997</v>
      </c>
      <c r="BQ3095" s="17">
        <f t="shared" si="1926"/>
        <v>0</v>
      </c>
      <c r="BR3095" s="17">
        <f t="shared" si="1903"/>
        <v>255.14999999999998</v>
      </c>
      <c r="BS3095" s="17">
        <f t="shared" si="1927"/>
        <v>0</v>
      </c>
      <c r="BT3095" s="17">
        <f t="shared" si="1928"/>
        <v>178.60499999999996</v>
      </c>
      <c r="BU3095" s="100"/>
    </row>
    <row r="3096" x14ac:dyDescent="0.25">
      <c r="B3096" t="s">
        <v>453</v>
      </c>
      <c r="C3096" s="19">
        <v>0</v>
      </c>
      <c r="D3096" s="19">
        <v>0</v>
      </c>
      <c r="E3096" s="66">
        <f t="shared" si="1929"/>
        <v>0</v>
      </c>
      <c r="F3096" s="67">
        <f>IF(E24&gt;0,E24-(C15+C14+2*1.5+IF(C13="single",1.5,3))/12-_xlfn.XLOOKUP(E24,E20:E23,E20:E23,,-1),0)</f>
        <v>0</v>
      </c>
      <c r="H3096" s="19">
        <v>0</v>
      </c>
      <c r="I3096" s="64" t="s">
        <v>196</v>
      </c>
      <c r="J3096" s="19">
        <v>0</v>
      </c>
      <c r="K3096" s="19">
        <v>0</v>
      </c>
      <c r="L3096" s="19">
        <v>0</v>
      </c>
      <c r="M3096" s="19">
        <v>0</v>
      </c>
      <c r="P3096" s="93"/>
      <c r="Q3096" t="s">
        <v>453</v>
      </c>
      <c r="R3096" s="19">
        <f>$H$24</f>
        <v>0</v>
      </c>
      <c r="S3096">
        <f t="shared" si="1904"/>
        <v>0</v>
      </c>
      <c r="T3096">
        <f t="shared" si="1905"/>
        <v>0</v>
      </c>
      <c r="U3096">
        <f t="shared" si="1930"/>
        <v>0</v>
      </c>
      <c r="V3096" s="19">
        <v>0</v>
      </c>
      <c r="W3096">
        <f t="shared" si="1906"/>
        <v>0</v>
      </c>
      <c r="X3096">
        <f t="shared" si="1907"/>
        <v>0</v>
      </c>
      <c r="Y3096">
        <f t="shared" si="1908"/>
        <v>0</v>
      </c>
      <c r="Z3096" s="19">
        <f>$H$24</f>
        <v>0</v>
      </c>
      <c r="AA3096">
        <f t="shared" si="1909"/>
        <v>0</v>
      </c>
      <c r="AB3096">
        <f t="shared" si="1910"/>
        <v>0</v>
      </c>
      <c r="AC3096">
        <f t="shared" si="1896"/>
        <v>0</v>
      </c>
      <c r="AD3096" s="19">
        <v>0</v>
      </c>
      <c r="AE3096">
        <f t="shared" si="1911"/>
        <v>0</v>
      </c>
      <c r="AF3096">
        <f t="shared" si="1912"/>
        <v>0</v>
      </c>
      <c r="AG3096">
        <f t="shared" si="1913"/>
        <v>0</v>
      </c>
      <c r="AH3096" s="19">
        <v>0</v>
      </c>
      <c r="AI3096" s="19">
        <v>0</v>
      </c>
      <c r="AJ3096" s="17">
        <f t="shared" si="1931"/>
        <v>0</v>
      </c>
      <c r="AK3096" s="17">
        <f>AK3097+IF(AJ3096=0,0,AJ3096)</f>
        <v>6423.5</v>
      </c>
      <c r="AL3096" s="17">
        <f t="shared" si="1914"/>
        <v>0</v>
      </c>
      <c r="AM3096" s="17">
        <f>AM3097+AL3096</f>
        <v>3854.1</v>
      </c>
      <c r="AN3096" s="17">
        <f t="shared" si="1916"/>
        <v>0</v>
      </c>
      <c r="AO3096" s="17">
        <f>AN3096+AO3097</f>
        <v>274.04999999999995</v>
      </c>
      <c r="AP3096" s="17">
        <f t="shared" si="1917"/>
        <v>0</v>
      </c>
      <c r="AQ3096" s="17">
        <f>AP3096+AQ3097</f>
        <v>191.83499999999995</v>
      </c>
      <c r="AR3096" s="100"/>
      <c r="AS3096" s="93"/>
      <c r="AT3096" t="s">
        <v>453</v>
      </c>
      <c r="AU3096" s="19">
        <f>$H$24</f>
        <v>0</v>
      </c>
      <c r="AV3096">
        <f t="shared" si="1918"/>
        <v>0</v>
      </c>
      <c r="AW3096">
        <f t="shared" si="1898"/>
        <v>0</v>
      </c>
      <c r="AX3096">
        <f t="shared" si="1932"/>
        <v>0</v>
      </c>
      <c r="AY3096" s="19">
        <v>0</v>
      </c>
      <c r="AZ3096">
        <f t="shared" si="1919"/>
        <v>0</v>
      </c>
      <c r="BA3096">
        <f t="shared" si="1899"/>
        <v>0</v>
      </c>
      <c r="BB3096">
        <f t="shared" si="1920"/>
        <v>0</v>
      </c>
      <c r="BC3096" s="19">
        <f>$H$24</f>
        <v>0</v>
      </c>
      <c r="BD3096">
        <f t="shared" si="1921"/>
        <v>0</v>
      </c>
      <c r="BE3096">
        <f t="shared" si="1900"/>
        <v>0</v>
      </c>
      <c r="BF3096">
        <f t="shared" si="1901"/>
        <v>0</v>
      </c>
      <c r="BG3096" s="19">
        <v>0</v>
      </c>
      <c r="BH3096">
        <f t="shared" si="1922"/>
        <v>0</v>
      </c>
      <c r="BI3096">
        <f t="shared" si="1902"/>
        <v>0</v>
      </c>
      <c r="BJ3096">
        <f t="shared" si="1923"/>
        <v>0</v>
      </c>
      <c r="BK3096" s="19">
        <v>0</v>
      </c>
      <c r="BL3096" s="19">
        <v>0</v>
      </c>
      <c r="BM3096" s="17">
        <f t="shared" si="1933"/>
        <v>0</v>
      </c>
      <c r="BN3096" s="17">
        <f>BN3097+IF(BM3096=0,0,BM3096)</f>
        <v>5980.5</v>
      </c>
      <c r="BO3096" s="17">
        <f t="shared" ref="BO3096:BO3097" si="1934">BM3096*0.6</f>
        <v>0</v>
      </c>
      <c r="BP3096" s="17">
        <f>BP3097+BO3096</f>
        <v>3588.2999999999997</v>
      </c>
      <c r="BQ3096" s="17">
        <f t="shared" si="1926"/>
        <v>0</v>
      </c>
      <c r="BR3096" s="17">
        <f>BQ3096+BR3097</f>
        <v>255.14999999999998</v>
      </c>
      <c r="BS3096" s="17">
        <f t="shared" si="1927"/>
        <v>0</v>
      </c>
      <c r="BT3096" s="17">
        <f>BS3096+BT3097</f>
        <v>178.60499999999996</v>
      </c>
      <c r="BU3096" s="100"/>
    </row>
    <row r="3097" x14ac:dyDescent="0.25">
      <c r="B3097" t="s">
        <v>275</v>
      </c>
      <c r="C3097" s="19">
        <f>(33+32)/2</f>
        <v>32.5</v>
      </c>
      <c r="D3097" s="19">
        <f>(10.5+5.625)/2</f>
        <v>8.0625</v>
      </c>
      <c r="E3097" s="68">
        <f t="shared" si="1929"/>
        <v>33.171875</v>
      </c>
      <c r="F3097" s="69">
        <f>E25-(C17+C16+2*1.5+IF(C13="single",1.5,3))/12-_xlfn.XLOOKUP(E25,E20:E24,E20:E24,,-1)</f>
        <v>8.6770833333333321</v>
      </c>
      <c r="H3097" s="19">
        <v>443</v>
      </c>
      <c r="I3097" s="64" t="s">
        <v>196</v>
      </c>
      <c r="J3097" s="19">
        <v>18.899999999999999</v>
      </c>
      <c r="K3097" s="19">
        <v>36.6</v>
      </c>
      <c r="L3097" s="19">
        <v>10.8</v>
      </c>
      <c r="M3097" s="19">
        <v>66.7</v>
      </c>
      <c r="P3097" s="93"/>
      <c r="Q3097" t="s">
        <v>275</v>
      </c>
      <c r="R3097" s="19">
        <f>$H$25</f>
        <v>443</v>
      </c>
      <c r="S3097">
        <f t="shared" si="1904"/>
        <v>265.8</v>
      </c>
      <c r="T3097">
        <f t="shared" si="1905"/>
        <v>0</v>
      </c>
      <c r="U3097">
        <f t="shared" si="1930"/>
        <v>0</v>
      </c>
      <c r="V3097" s="19">
        <v>18.899999999999999</v>
      </c>
      <c r="W3097">
        <f t="shared" si="1906"/>
        <v>13.229999999999999</v>
      </c>
      <c r="X3097">
        <f t="shared" si="1907"/>
        <v>0</v>
      </c>
      <c r="Y3097">
        <f t="shared" si="1908"/>
        <v>0</v>
      </c>
      <c r="Z3097" s="19">
        <f>$H$25</f>
        <v>443</v>
      </c>
      <c r="AA3097">
        <f t="shared" si="1909"/>
        <v>265.8</v>
      </c>
      <c r="AB3097">
        <f t="shared" si="1910"/>
        <v>6423.5</v>
      </c>
      <c r="AC3097">
        <f t="shared" si="1896"/>
        <v>3854.1</v>
      </c>
      <c r="AD3097" s="19">
        <v>18.899999999999999</v>
      </c>
      <c r="AE3097">
        <f t="shared" si="1911"/>
        <v>13.229999999999999</v>
      </c>
      <c r="AF3097">
        <f t="shared" si="1912"/>
        <v>274.04999999999995</v>
      </c>
      <c r="AG3097">
        <f t="shared" si="1913"/>
        <v>191.83499999999995</v>
      </c>
      <c r="AH3097" s="19">
        <v>0</v>
      </c>
      <c r="AI3097" s="19">
        <v>0</v>
      </c>
      <c r="AJ3097" s="17">
        <f>T3097+AB3097+AH3097</f>
        <v>6423.5</v>
      </c>
      <c r="AK3097" s="17">
        <f>AJ3097</f>
        <v>6423.5</v>
      </c>
      <c r="AL3097" s="17">
        <f t="shared" si="1914"/>
        <v>3854.1</v>
      </c>
      <c r="AM3097" s="17">
        <f>AL3097</f>
        <v>3854.1</v>
      </c>
      <c r="AN3097" s="17">
        <f>X3097+AF3097+AI3097</f>
        <v>274.04999999999995</v>
      </c>
      <c r="AO3097" s="17">
        <f>AN3097</f>
        <v>274.04999999999995</v>
      </c>
      <c r="AP3097" s="17">
        <f>AN3097*0.7</f>
        <v>191.83499999999995</v>
      </c>
      <c r="AQ3097" s="17">
        <f>AP3097</f>
        <v>191.83499999999995</v>
      </c>
      <c r="AR3097" s="100"/>
      <c r="AS3097" s="93"/>
      <c r="AT3097" t="s">
        <v>275</v>
      </c>
      <c r="AU3097" s="19">
        <f>$H$25</f>
        <v>443</v>
      </c>
      <c r="AV3097">
        <f t="shared" si="1918"/>
        <v>265.8</v>
      </c>
      <c r="AW3097">
        <f t="shared" si="1898"/>
        <v>0</v>
      </c>
      <c r="AX3097">
        <f t="shared" si="1932"/>
        <v>0</v>
      </c>
      <c r="AY3097" s="19">
        <v>18.899999999999999</v>
      </c>
      <c r="AZ3097">
        <f t="shared" si="1919"/>
        <v>13.229999999999999</v>
      </c>
      <c r="BA3097">
        <f t="shared" si="1899"/>
        <v>0</v>
      </c>
      <c r="BB3097">
        <f t="shared" si="1920"/>
        <v>0</v>
      </c>
      <c r="BC3097" s="19">
        <f>$H$25</f>
        <v>443</v>
      </c>
      <c r="BD3097">
        <f t="shared" si="1921"/>
        <v>265.8</v>
      </c>
      <c r="BE3097">
        <f t="shared" si="1900"/>
        <v>5980.5</v>
      </c>
      <c r="BF3097">
        <f t="shared" si="1901"/>
        <v>3588.2999999999997</v>
      </c>
      <c r="BG3097" s="19">
        <v>18.899999999999999</v>
      </c>
      <c r="BH3097">
        <f t="shared" si="1922"/>
        <v>13.229999999999999</v>
      </c>
      <c r="BI3097">
        <f t="shared" si="1902"/>
        <v>255.14999999999998</v>
      </c>
      <c r="BJ3097">
        <f t="shared" si="1923"/>
        <v>178.60499999999996</v>
      </c>
      <c r="BK3097" s="19">
        <v>0</v>
      </c>
      <c r="BL3097" s="19">
        <v>0</v>
      </c>
      <c r="BM3097" s="17">
        <f>AW3097+BE3097+BK3097</f>
        <v>5980.5</v>
      </c>
      <c r="BN3097" s="17">
        <f>BM3097</f>
        <v>5980.5</v>
      </c>
      <c r="BO3097" s="17">
        <f t="shared" si="1934"/>
        <v>3588.2999999999997</v>
      </c>
      <c r="BP3097" s="17">
        <f>BO3097</f>
        <v>3588.2999999999997</v>
      </c>
      <c r="BQ3097" s="17">
        <f>BA3097+BI3097+BL3097</f>
        <v>255.14999999999998</v>
      </c>
      <c r="BR3097" s="17">
        <f>BQ3097</f>
        <v>255.14999999999998</v>
      </c>
      <c r="BS3097" s="17">
        <f>BQ3097*0.7</f>
        <v>178.60499999999996</v>
      </c>
      <c r="BT3097" s="17">
        <f>BS3097</f>
        <v>178.60499999999996</v>
      </c>
      <c r="BU3097" s="100"/>
    </row>
    <row r="3098" x14ac:dyDescent="0.25">
      <c r="B3098" t="s">
        <v>530</v>
      </c>
      <c r="E3098" s="73"/>
      <c r="F3098" s="73"/>
      <c r="H3098" s="19">
        <v>-22.9</v>
      </c>
      <c r="I3098" s="64" t="s">
        <v>270</v>
      </c>
      <c r="P3098" s="93"/>
      <c r="R3098" s="19">
        <f>$H$26</f>
        <v>-22.9</v>
      </c>
      <c r="S3098">
        <f t="shared" si="1904"/>
        <v>-13.739999999999998</v>
      </c>
      <c r="T3098">
        <f>$I$66/2*R3098</f>
        <v>0</v>
      </c>
      <c r="U3098">
        <f t="shared" si="1930"/>
        <v>0</v>
      </c>
      <c r="Z3098" s="19">
        <f>$H$26</f>
        <v>-22.9</v>
      </c>
      <c r="AA3098">
        <f>Z3098*0.6</f>
        <v>-13.739999999999998</v>
      </c>
      <c r="AB3098">
        <f>$J$66/2*Z3098</f>
        <v>-309.14999999999998</v>
      </c>
      <c r="AC3098">
        <f t="shared" si="1896"/>
        <v>-185.48999999999998</v>
      </c>
      <c r="AR3098" s="100"/>
      <c r="AS3098" s="93"/>
      <c r="AU3098" s="19">
        <f>$H$26</f>
        <v>-22.9</v>
      </c>
      <c r="AV3098">
        <f t="shared" si="1918"/>
        <v>-13.739999999999998</v>
      </c>
      <c r="AW3098">
        <f t="shared" si="1898"/>
        <v>0</v>
      </c>
      <c r="AX3098">
        <f t="shared" si="1932"/>
        <v>0</v>
      </c>
      <c r="BC3098" s="19">
        <f>$H$26</f>
        <v>-22.9</v>
      </c>
      <c r="BD3098">
        <f>BC3098*0.6</f>
        <v>-13.739999999999998</v>
      </c>
      <c r="BE3098">
        <f t="shared" si="1900"/>
        <v>-309.14999999999998</v>
      </c>
      <c r="BF3098">
        <f t="shared" si="1901"/>
        <v>-185.48999999999998</v>
      </c>
      <c r="BU3098" s="100"/>
    </row>
    <row r="3099" x14ac:dyDescent="0.25">
      <c r="B3099" t="s">
        <v>531</v>
      </c>
      <c r="C3099" s="1" t="s">
        <v>533</v>
      </c>
      <c r="D3099" s="19">
        <v>0.18</v>
      </c>
      <c r="E3099" s="73"/>
      <c r="F3099" s="73"/>
      <c r="H3099">
        <f>0.2*D27</f>
        <v>3.5999999999999997E-2</v>
      </c>
      <c r="I3099" s="64" t="s">
        <v>534</v>
      </c>
      <c r="P3099" s="93"/>
      <c r="Q3099" s="1"/>
      <c r="AR3099" s="100"/>
      <c r="AS3099" s="93"/>
      <c r="AT3099" s="1"/>
      <c r="BU3099" s="100"/>
    </row>
    <row r="3100" x14ac:dyDescent="0.25">
      <c r="P3100" s="93"/>
      <c r="Y3100" s="112" t="s">
        <v>752</v>
      </c>
      <c r="Z3100" s="112"/>
      <c r="AA3100" s="112"/>
      <c r="AB3100" s="112"/>
      <c r="AC3100" s="112"/>
      <c r="AR3100" s="100"/>
      <c r="AS3100" s="93"/>
      <c r="BB3100" s="112" t="s">
        <v>752</v>
      </c>
      <c r="BC3100" s="112"/>
      <c r="BD3100" s="112"/>
      <c r="BE3100" s="112"/>
      <c r="BF3100" s="112"/>
      <c r="BU3100" s="100"/>
    </row>
    <row r="3101" x14ac:dyDescent="0.25">
      <c r="B3101" t="s">
        <v>513</v>
      </c>
      <c r="P3101" s="93"/>
      <c r="Q3101" t="s">
        <v>479</v>
      </c>
      <c r="R3101" t="s">
        <v>491</v>
      </c>
      <c r="S3101" t="s">
        <v>508</v>
      </c>
      <c r="T3101" t="s">
        <v>507</v>
      </c>
      <c r="U3101" t="s">
        <v>535</v>
      </c>
      <c r="V3101" t="s">
        <v>536</v>
      </c>
      <c r="W3101" t="s">
        <v>479</v>
      </c>
      <c r="X3101" t="s">
        <v>537</v>
      </c>
      <c r="Y3101" t="s">
        <v>450</v>
      </c>
      <c r="Z3101" t="s">
        <v>451</v>
      </c>
      <c r="AA3101" t="s">
        <v>452</v>
      </c>
      <c r="AB3101" t="s">
        <v>453</v>
      </c>
      <c r="AC3101" t="s">
        <v>753</v>
      </c>
      <c r="AD3101" t="s">
        <v>519</v>
      </c>
      <c r="AR3101" s="100"/>
      <c r="AS3101" s="93"/>
      <c r="AT3101" t="s">
        <v>479</v>
      </c>
      <c r="AU3101" t="s">
        <v>491</v>
      </c>
      <c r="AV3101" t="s">
        <v>508</v>
      </c>
      <c r="AW3101" t="s">
        <v>507</v>
      </c>
      <c r="AX3101" t="s">
        <v>535</v>
      </c>
      <c r="AY3101" t="s">
        <v>536</v>
      </c>
      <c r="AZ3101" t="s">
        <v>479</v>
      </c>
      <c r="BA3101" t="s">
        <v>537</v>
      </c>
      <c r="BB3101" t="s">
        <v>450</v>
      </c>
      <c r="BC3101" t="s">
        <v>451</v>
      </c>
      <c r="BD3101" t="s">
        <v>452</v>
      </c>
      <c r="BE3101" t="s">
        <v>453</v>
      </c>
      <c r="BF3101" t="s">
        <v>753</v>
      </c>
      <c r="BG3101" t="s">
        <v>519</v>
      </c>
      <c r="BU3101" s="100"/>
    </row>
    <row r="3102" x14ac:dyDescent="0.25">
      <c r="B3102" s="1" t="s">
        <v>275</v>
      </c>
      <c r="C3102" s="19">
        <v>20</v>
      </c>
      <c r="D3102" t="s">
        <v>567</v>
      </c>
      <c r="P3102" s="93"/>
      <c r="Q3102" s="109" t="str">
        <f>R3088&amp;".01"</f>
        <v>A.01</v>
      </c>
      <c r="R3102" s="19">
        <v>29</v>
      </c>
      <c r="S3102" s="19">
        <v>12</v>
      </c>
      <c r="T3102">
        <f>S3102/2</f>
        <v>6</v>
      </c>
      <c r="U3102" s="19">
        <v>4</v>
      </c>
      <c r="V3102">
        <f>U3102/2</f>
        <v>2</v>
      </c>
      <c r="W3102" s="19" t="s">
        <v>515</v>
      </c>
      <c r="X3102" s="19">
        <v>6</v>
      </c>
      <c r="Y3102" s="19"/>
      <c r="Z3102" s="19"/>
      <c r="AA3102" s="19"/>
      <c r="AB3102" s="19"/>
      <c r="AC3102" s="19"/>
      <c r="AD3102" s="108">
        <f>R3102/R3118</f>
        <v>1</v>
      </c>
      <c r="AR3102" s="100"/>
      <c r="AS3102" s="93"/>
      <c r="AT3102" s="109" t="str">
        <f>AU$3088&amp;".01"</f>
        <v>1.01</v>
      </c>
      <c r="AU3102" s="19">
        <v>29</v>
      </c>
      <c r="AV3102" s="19">
        <v>12</v>
      </c>
      <c r="AW3102">
        <f>AV3102/2</f>
        <v>6</v>
      </c>
      <c r="AX3102" s="19">
        <v>4</v>
      </c>
      <c r="AY3102">
        <f>AX3102/2</f>
        <v>2</v>
      </c>
      <c r="AZ3102" s="19" t="s">
        <v>515</v>
      </c>
      <c r="BA3102" s="19">
        <v>6</v>
      </c>
      <c r="BB3102" s="19"/>
      <c r="BC3102" s="19"/>
      <c r="BD3102" s="19"/>
      <c r="BE3102" s="19"/>
      <c r="BF3102" s="19"/>
      <c r="BG3102" s="108">
        <f>AU3102/AU3118</f>
        <v>1</v>
      </c>
      <c r="BU3102" s="100"/>
    </row>
    <row r="3103" x14ac:dyDescent="0.25">
      <c r="B3103" s="1"/>
      <c r="C3103">
        <f>0.9*C30</f>
        <v>18</v>
      </c>
      <c r="D3103" t="s">
        <v>532</v>
      </c>
      <c r="P3103" s="93"/>
      <c r="Q3103" s="109" t="str">
        <f>R3088&amp;".02"</f>
        <v>A.02</v>
      </c>
      <c r="R3103" s="19"/>
      <c r="S3103" s="19"/>
      <c r="T3103">
        <f t="shared" ref="T3103:T3117" si="1935">S3103/2</f>
        <v>0</v>
      </c>
      <c r="U3103" s="19"/>
      <c r="V3103">
        <f t="shared" ref="V3103:V3117" si="1936">U3103/2</f>
        <v>0</v>
      </c>
      <c r="W3103" s="19"/>
      <c r="X3103" s="19"/>
      <c r="Y3103" s="19"/>
      <c r="Z3103" s="19"/>
      <c r="AA3103" s="19"/>
      <c r="AB3103" s="19"/>
      <c r="AC3103" s="19"/>
      <c r="AR3103" s="100"/>
      <c r="AS3103" s="93"/>
      <c r="AT3103" s="109" t="str">
        <f>AU$3088&amp;".02"</f>
        <v>1.02</v>
      </c>
      <c r="AU3103" s="19"/>
      <c r="AV3103" s="19"/>
      <c r="AW3103">
        <f t="shared" ref="AW3103:AW3117" si="1937">AV3103/2</f>
        <v>0</v>
      </c>
      <c r="AX3103" s="19"/>
      <c r="AY3103">
        <f t="shared" ref="AY3103:AY3117" si="1938">AX3103/2</f>
        <v>0</v>
      </c>
      <c r="AZ3103" s="19"/>
      <c r="BA3103" s="19"/>
      <c r="BB3103" s="19"/>
      <c r="BC3103" s="19"/>
      <c r="BD3103" s="19"/>
      <c r="BE3103" s="19"/>
      <c r="BF3103" s="19"/>
      <c r="BU3103" s="100"/>
    </row>
    <row r="3104" x14ac:dyDescent="0.25">
      <c r="B3104" s="1" t="s">
        <v>514</v>
      </c>
      <c r="C3104" s="19">
        <v>26</v>
      </c>
      <c r="D3104" t="s">
        <v>512</v>
      </c>
      <c r="P3104" s="93"/>
      <c r="Q3104" s="109" t="str">
        <f>R3088&amp;".03"</f>
        <v>A.03</v>
      </c>
      <c r="R3104" s="19"/>
      <c r="S3104" s="19"/>
      <c r="T3104">
        <f t="shared" si="1935"/>
        <v>0</v>
      </c>
      <c r="U3104" s="19"/>
      <c r="V3104">
        <f t="shared" si="1936"/>
        <v>0</v>
      </c>
      <c r="W3104" s="19"/>
      <c r="X3104" s="19"/>
      <c r="Y3104" s="19"/>
      <c r="Z3104" s="19"/>
      <c r="AA3104" s="19"/>
      <c r="AB3104" s="19"/>
      <c r="AC3104" s="19"/>
      <c r="AR3104" s="100"/>
      <c r="AS3104" s="93"/>
      <c r="AT3104" s="109" t="str">
        <f>AU$3088&amp;".03"</f>
        <v>1.03</v>
      </c>
      <c r="AU3104" s="19"/>
      <c r="AV3104" s="19"/>
      <c r="AW3104">
        <f t="shared" si="1937"/>
        <v>0</v>
      </c>
      <c r="AX3104" s="19"/>
      <c r="AY3104">
        <f t="shared" si="1938"/>
        <v>0</v>
      </c>
      <c r="AZ3104" s="19"/>
      <c r="BA3104" s="19"/>
      <c r="BB3104" s="19"/>
      <c r="BC3104" s="19"/>
      <c r="BD3104" s="19"/>
      <c r="BE3104" s="19"/>
      <c r="BF3104" s="19"/>
      <c r="BU3104" s="100"/>
    </row>
    <row r="3105" x14ac:dyDescent="0.25">
      <c r="B3105" s="1" t="s">
        <v>477</v>
      </c>
      <c r="C3105" s="19">
        <v>11</v>
      </c>
      <c r="D3105" t="s">
        <v>509</v>
      </c>
      <c r="P3105" s="93"/>
      <c r="Q3105" s="109" t="str">
        <f>R3088&amp;".04"</f>
        <v>A.04</v>
      </c>
      <c r="R3105" s="19"/>
      <c r="S3105" s="19"/>
      <c r="T3105">
        <f t="shared" si="1935"/>
        <v>0</v>
      </c>
      <c r="U3105" s="19"/>
      <c r="V3105">
        <f t="shared" si="1936"/>
        <v>0</v>
      </c>
      <c r="W3105" s="19"/>
      <c r="X3105" s="19"/>
      <c r="Y3105" s="19"/>
      <c r="Z3105" s="19"/>
      <c r="AA3105" s="19"/>
      <c r="AB3105" s="19"/>
      <c r="AC3105" s="19"/>
      <c r="AR3105" s="100"/>
      <c r="AS3105" s="93"/>
      <c r="AT3105" s="109" t="str">
        <f>AU$3088&amp;".04"</f>
        <v>1.04</v>
      </c>
      <c r="AU3105" s="19"/>
      <c r="AV3105" s="19"/>
      <c r="AW3105">
        <f t="shared" si="1937"/>
        <v>0</v>
      </c>
      <c r="AX3105" s="19"/>
      <c r="AY3105">
        <f t="shared" si="1938"/>
        <v>0</v>
      </c>
      <c r="AZ3105" s="19"/>
      <c r="BA3105" s="19"/>
      <c r="BB3105" s="19"/>
      <c r="BC3105" s="19"/>
      <c r="BD3105" s="19"/>
      <c r="BE3105" s="19"/>
      <c r="BF3105" s="19"/>
      <c r="BU3105" s="100"/>
    </row>
    <row r="3106" x14ac:dyDescent="0.25">
      <c r="B3106" s="1" t="s">
        <v>478</v>
      </c>
      <c r="C3106" s="19">
        <v>13</v>
      </c>
      <c r="D3106" t="s">
        <v>510</v>
      </c>
      <c r="P3106" s="93"/>
      <c r="Q3106" s="109" t="str">
        <f>R3088&amp;".05"</f>
        <v>A.05</v>
      </c>
      <c r="R3106" s="19"/>
      <c r="S3106" s="19"/>
      <c r="T3106">
        <f t="shared" si="1935"/>
        <v>0</v>
      </c>
      <c r="U3106" s="19"/>
      <c r="V3106">
        <f t="shared" si="1936"/>
        <v>0</v>
      </c>
      <c r="W3106" s="19"/>
      <c r="X3106" s="19"/>
      <c r="Y3106" s="19"/>
      <c r="Z3106" s="19"/>
      <c r="AA3106" s="19"/>
      <c r="AB3106" s="19"/>
      <c r="AC3106" s="19"/>
      <c r="AR3106" s="100"/>
      <c r="AS3106" s="93"/>
      <c r="AT3106" s="109" t="str">
        <f>AU$3088&amp;".05"</f>
        <v>1.05</v>
      </c>
      <c r="AU3106" s="19"/>
      <c r="AV3106" s="19"/>
      <c r="AW3106">
        <f t="shared" si="1937"/>
        <v>0</v>
      </c>
      <c r="AX3106" s="19"/>
      <c r="AY3106">
        <f t="shared" si="1938"/>
        <v>0</v>
      </c>
      <c r="AZ3106" s="19"/>
      <c r="BA3106" s="19"/>
      <c r="BB3106" s="19"/>
      <c r="BC3106" s="19"/>
      <c r="BD3106" s="19"/>
      <c r="BE3106" s="19"/>
      <c r="BF3106" s="19"/>
      <c r="BU3106" s="100"/>
    </row>
    <row r="3107" x14ac:dyDescent="0.25">
      <c r="B3107" s="1" t="s">
        <v>515</v>
      </c>
      <c r="C3107" s="19">
        <v>18</v>
      </c>
      <c r="D3107" t="s">
        <v>511</v>
      </c>
      <c r="P3107" s="93"/>
      <c r="Q3107" s="109" t="str">
        <f>R3088&amp;".06"</f>
        <v>A.06</v>
      </c>
      <c r="R3107" s="19"/>
      <c r="S3107" s="19"/>
      <c r="T3107">
        <f t="shared" si="1935"/>
        <v>0</v>
      </c>
      <c r="U3107" s="19"/>
      <c r="V3107">
        <f t="shared" si="1936"/>
        <v>0</v>
      </c>
      <c r="W3107" s="19"/>
      <c r="X3107" s="19"/>
      <c r="Y3107" s="19"/>
      <c r="Z3107" s="19"/>
      <c r="AA3107" s="19"/>
      <c r="AB3107" s="19"/>
      <c r="AC3107" s="19"/>
      <c r="AR3107" s="100"/>
      <c r="AS3107" s="93"/>
      <c r="AT3107" s="109" t="str">
        <f>AU$3088&amp;".06"</f>
        <v>1.06</v>
      </c>
      <c r="AU3107" s="19"/>
      <c r="AV3107" s="19"/>
      <c r="AW3107">
        <f t="shared" si="1937"/>
        <v>0</v>
      </c>
      <c r="AX3107" s="19"/>
      <c r="AY3107">
        <f t="shared" si="1938"/>
        <v>0</v>
      </c>
      <c r="AZ3107" s="19"/>
      <c r="BA3107" s="19"/>
      <c r="BB3107" s="19"/>
      <c r="BC3107" s="19"/>
      <c r="BD3107" s="19"/>
      <c r="BE3107" s="19"/>
      <c r="BF3107" s="19"/>
      <c r="BU3107" s="100"/>
    </row>
    <row r="3108" x14ac:dyDescent="0.25">
      <c r="B3108" s="1" t="s">
        <v>516</v>
      </c>
      <c r="P3108" s="93"/>
      <c r="Q3108" s="109" t="str">
        <f>R3088&amp;".07"</f>
        <v>A.07</v>
      </c>
      <c r="R3108" s="19"/>
      <c r="S3108" s="19"/>
      <c r="T3108">
        <f t="shared" si="1935"/>
        <v>0</v>
      </c>
      <c r="U3108" s="19"/>
      <c r="V3108">
        <f t="shared" si="1936"/>
        <v>0</v>
      </c>
      <c r="W3108" s="19"/>
      <c r="X3108" s="19"/>
      <c r="Y3108" s="19"/>
      <c r="Z3108" s="19"/>
      <c r="AA3108" s="19"/>
      <c r="AB3108" s="19"/>
      <c r="AC3108" s="19"/>
      <c r="AF3108" s="109"/>
      <c r="AR3108" s="100"/>
      <c r="AS3108" s="93"/>
      <c r="AT3108" s="109" t="str">
        <f>AU$3088&amp;".07"</f>
        <v>1.07</v>
      </c>
      <c r="AU3108" s="19"/>
      <c r="AV3108" s="19"/>
      <c r="AW3108">
        <f t="shared" si="1937"/>
        <v>0</v>
      </c>
      <c r="AX3108" s="19"/>
      <c r="AY3108">
        <f t="shared" si="1938"/>
        <v>0</v>
      </c>
      <c r="AZ3108" s="19"/>
      <c r="BA3108" s="19"/>
      <c r="BB3108" s="19"/>
      <c r="BC3108" s="19"/>
      <c r="BD3108" s="19"/>
      <c r="BE3108" s="19"/>
      <c r="BF3108" s="19"/>
      <c r="BI3108" s="109"/>
      <c r="BU3108" s="100"/>
    </row>
    <row r="3109" x14ac:dyDescent="0.25">
      <c r="B3109" s="1" t="s">
        <v>517</v>
      </c>
      <c r="P3109" s="93"/>
      <c r="Q3109" s="109" t="str">
        <f>R3088&amp;".08"</f>
        <v>A.08</v>
      </c>
      <c r="R3109" s="19"/>
      <c r="S3109" s="19"/>
      <c r="T3109">
        <f t="shared" si="1935"/>
        <v>0</v>
      </c>
      <c r="U3109" s="19"/>
      <c r="V3109">
        <f t="shared" si="1936"/>
        <v>0</v>
      </c>
      <c r="W3109" s="19"/>
      <c r="X3109" s="19"/>
      <c r="Y3109" s="19"/>
      <c r="Z3109" s="19"/>
      <c r="AA3109" s="19"/>
      <c r="AB3109" s="19"/>
      <c r="AC3109" s="19"/>
      <c r="AF3109" s="109"/>
      <c r="AR3109" s="100"/>
      <c r="AS3109" s="93"/>
      <c r="AT3109" s="109" t="str">
        <f>AU$3088&amp;".08"</f>
        <v>1.08</v>
      </c>
      <c r="AU3109" s="19"/>
      <c r="AV3109" s="19"/>
      <c r="AW3109">
        <f t="shared" si="1937"/>
        <v>0</v>
      </c>
      <c r="AX3109" s="19"/>
      <c r="AY3109">
        <f t="shared" si="1938"/>
        <v>0</v>
      </c>
      <c r="AZ3109" s="19"/>
      <c r="BA3109" s="19"/>
      <c r="BB3109" s="19"/>
      <c r="BC3109" s="19"/>
      <c r="BD3109" s="19"/>
      <c r="BE3109" s="19"/>
      <c r="BF3109" s="19"/>
      <c r="BI3109" s="109"/>
      <c r="BU3109" s="100"/>
    </row>
    <row r="3110" x14ac:dyDescent="0.25">
      <c r="B3110" s="1" t="s">
        <v>518</v>
      </c>
      <c r="P3110" s="93"/>
      <c r="Q3110" s="109" t="str">
        <f>R3088&amp;".09"</f>
        <v>A.09</v>
      </c>
      <c r="R3110" s="19"/>
      <c r="S3110" s="19"/>
      <c r="T3110">
        <f t="shared" si="1935"/>
        <v>0</v>
      </c>
      <c r="U3110" s="19"/>
      <c r="V3110">
        <f t="shared" si="1936"/>
        <v>0</v>
      </c>
      <c r="W3110" s="19"/>
      <c r="X3110" s="19"/>
      <c r="Y3110" s="19"/>
      <c r="Z3110" s="19"/>
      <c r="AA3110" s="19"/>
      <c r="AB3110" s="19"/>
      <c r="AC3110" s="19"/>
      <c r="AF3110" s="109"/>
      <c r="AR3110" s="100"/>
      <c r="AS3110" s="93"/>
      <c r="AT3110" s="109" t="str">
        <f>AU$3088&amp;".09"</f>
        <v>1.09</v>
      </c>
      <c r="AU3110" s="19"/>
      <c r="AV3110" s="19"/>
      <c r="AW3110">
        <f t="shared" si="1937"/>
        <v>0</v>
      </c>
      <c r="AX3110" s="19"/>
      <c r="AY3110">
        <f t="shared" si="1938"/>
        <v>0</v>
      </c>
      <c r="AZ3110" s="19"/>
      <c r="BA3110" s="19"/>
      <c r="BB3110" s="19"/>
      <c r="BC3110" s="19"/>
      <c r="BD3110" s="19"/>
      <c r="BE3110" s="19"/>
      <c r="BF3110" s="19"/>
      <c r="BI3110" s="109"/>
      <c r="BU3110" s="100"/>
    </row>
    <row r="3111" x14ac:dyDescent="0.25">
      <c r="P3111" s="93"/>
      <c r="Q3111" s="109" t="str">
        <f>R3088&amp;".10"</f>
        <v>A.10</v>
      </c>
      <c r="R3111" s="19"/>
      <c r="S3111" s="19"/>
      <c r="T3111">
        <f t="shared" si="1935"/>
        <v>0</v>
      </c>
      <c r="U3111" s="19"/>
      <c r="V3111">
        <f t="shared" si="1936"/>
        <v>0</v>
      </c>
      <c r="W3111" s="19"/>
      <c r="X3111" s="19"/>
      <c r="Y3111" s="19"/>
      <c r="Z3111" s="19"/>
      <c r="AA3111" s="19"/>
      <c r="AB3111" s="19"/>
      <c r="AC3111" s="19"/>
      <c r="AF3111" s="109"/>
      <c r="AR3111" s="100"/>
      <c r="AS3111" s="93"/>
      <c r="AT3111" s="109" t="str">
        <f>AU$3088&amp;".10"</f>
        <v>1.10</v>
      </c>
      <c r="AU3111" s="19"/>
      <c r="AV3111" s="19"/>
      <c r="AW3111">
        <f t="shared" si="1937"/>
        <v>0</v>
      </c>
      <c r="AX3111" s="19"/>
      <c r="AY3111">
        <f t="shared" si="1938"/>
        <v>0</v>
      </c>
      <c r="AZ3111" s="19"/>
      <c r="BA3111" s="19"/>
      <c r="BB3111" s="19"/>
      <c r="BC3111" s="19"/>
      <c r="BD3111" s="19"/>
      <c r="BE3111" s="19"/>
      <c r="BF3111" s="19"/>
      <c r="BI3111" s="109"/>
      <c r="BU3111" s="100"/>
    </row>
    <row r="3112" x14ac:dyDescent="0.25">
      <c r="C3112" s="112" t="s">
        <v>495</v>
      </c>
      <c r="D3112" s="112"/>
      <c r="E3112" s="112"/>
      <c r="I3112" s="112" t="s">
        <v>495</v>
      </c>
      <c r="J3112" s="112"/>
      <c r="K3112" s="112"/>
      <c r="P3112" s="93"/>
      <c r="Q3112" s="109" t="str">
        <f>R3088&amp;".11"</f>
        <v>A.11</v>
      </c>
      <c r="R3112" s="19"/>
      <c r="S3112" s="19"/>
      <c r="T3112">
        <f t="shared" si="1935"/>
        <v>0</v>
      </c>
      <c r="U3112" s="19"/>
      <c r="V3112">
        <f t="shared" si="1936"/>
        <v>0</v>
      </c>
      <c r="W3112" s="19"/>
      <c r="X3112" s="19"/>
      <c r="Y3112" s="19"/>
      <c r="Z3112" s="19"/>
      <c r="AA3112" s="19"/>
      <c r="AB3112" s="19"/>
      <c r="AC3112" s="19"/>
      <c r="AF3112" s="109"/>
      <c r="AR3112" s="100"/>
      <c r="AS3112" s="93"/>
      <c r="AT3112" s="109" t="str">
        <f>AU$3088&amp;".11"</f>
        <v>1.11</v>
      </c>
      <c r="AU3112" s="19"/>
      <c r="AV3112" s="19"/>
      <c r="AW3112">
        <f t="shared" si="1937"/>
        <v>0</v>
      </c>
      <c r="AX3112" s="19"/>
      <c r="AY3112">
        <f t="shared" si="1938"/>
        <v>0</v>
      </c>
      <c r="AZ3112" s="19"/>
      <c r="BA3112" s="19"/>
      <c r="BB3112" s="19"/>
      <c r="BC3112" s="19"/>
      <c r="BD3112" s="19"/>
      <c r="BE3112" s="19"/>
      <c r="BF3112" s="19"/>
      <c r="BI3112" s="109"/>
      <c r="BU3112" s="100"/>
    </row>
    <row r="3113" x14ac:dyDescent="0.25">
      <c r="B3113" t="s">
        <v>474</v>
      </c>
      <c r="C3113" t="s">
        <v>492</v>
      </c>
      <c r="D3113" t="s">
        <v>493</v>
      </c>
      <c r="E3113" t="s">
        <v>494</v>
      </c>
      <c r="H3113" t="s">
        <v>455</v>
      </c>
      <c r="I3113" t="s">
        <v>492</v>
      </c>
      <c r="J3113" t="s">
        <v>493</v>
      </c>
      <c r="K3113" t="s">
        <v>494</v>
      </c>
      <c r="P3113" s="93"/>
      <c r="Q3113" s="109" t="str">
        <f>R3088&amp;".12"</f>
        <v>A.12</v>
      </c>
      <c r="R3113" s="19"/>
      <c r="S3113" s="19"/>
      <c r="T3113">
        <f t="shared" si="1935"/>
        <v>0</v>
      </c>
      <c r="U3113" s="19"/>
      <c r="V3113">
        <f t="shared" si="1936"/>
        <v>0</v>
      </c>
      <c r="W3113" s="19"/>
      <c r="X3113" s="19"/>
      <c r="Y3113" s="19"/>
      <c r="Z3113" s="19"/>
      <c r="AA3113" s="19"/>
      <c r="AB3113" s="19"/>
      <c r="AC3113" s="19"/>
      <c r="AF3113" s="109"/>
      <c r="AR3113" s="100"/>
      <c r="AS3113" s="93"/>
      <c r="AT3113" s="109" t="str">
        <f>AU$3088&amp;".12"</f>
        <v>1.12</v>
      </c>
      <c r="AU3113" s="19"/>
      <c r="AV3113" s="19"/>
      <c r="AW3113">
        <f t="shared" si="1937"/>
        <v>0</v>
      </c>
      <c r="AX3113" s="19"/>
      <c r="AY3113">
        <f t="shared" si="1938"/>
        <v>0</v>
      </c>
      <c r="AZ3113" s="19"/>
      <c r="BA3113" s="19"/>
      <c r="BB3113" s="19"/>
      <c r="BC3113" s="19"/>
      <c r="BD3113" s="19"/>
      <c r="BE3113" s="19"/>
      <c r="BF3113" s="19"/>
      <c r="BI3113" s="109"/>
      <c r="BU3113" s="100"/>
    </row>
    <row r="3114" x14ac:dyDescent="0.25">
      <c r="B3114" t="s">
        <v>274</v>
      </c>
      <c r="C3114" s="19">
        <v>0</v>
      </c>
      <c r="D3114" s="19">
        <v>29</v>
      </c>
      <c r="E3114">
        <f>C66+D66</f>
        <v>29</v>
      </c>
      <c r="H3114">
        <v>1</v>
      </c>
      <c r="I3114" s="19">
        <v>0</v>
      </c>
      <c r="J3114" s="19">
        <v>27</v>
      </c>
      <c r="K3114">
        <f>I66+J66</f>
        <v>27</v>
      </c>
      <c r="P3114" s="93"/>
      <c r="Q3114" s="109" t="str">
        <f>R3088&amp;".13"</f>
        <v>A.13</v>
      </c>
      <c r="R3114" s="19"/>
      <c r="S3114" s="19"/>
      <c r="T3114">
        <f t="shared" si="1935"/>
        <v>0</v>
      </c>
      <c r="U3114" s="19"/>
      <c r="V3114">
        <f t="shared" si="1936"/>
        <v>0</v>
      </c>
      <c r="W3114" s="19"/>
      <c r="X3114" s="19"/>
      <c r="Y3114" s="19"/>
      <c r="Z3114" s="19"/>
      <c r="AA3114" s="19"/>
      <c r="AB3114" s="19"/>
      <c r="AC3114" s="19"/>
      <c r="AF3114" s="109"/>
      <c r="AR3114" s="100"/>
      <c r="AS3114" s="93"/>
      <c r="AT3114" s="109" t="str">
        <f>AU$3088&amp;".13"</f>
        <v>1.13</v>
      </c>
      <c r="AU3114" s="19"/>
      <c r="AV3114" s="19"/>
      <c r="AW3114">
        <f t="shared" si="1937"/>
        <v>0</v>
      </c>
      <c r="AX3114" s="19"/>
      <c r="AY3114">
        <f t="shared" si="1938"/>
        <v>0</v>
      </c>
      <c r="AZ3114" s="19"/>
      <c r="BA3114" s="19"/>
      <c r="BB3114" s="19"/>
      <c r="BC3114" s="19"/>
      <c r="BD3114" s="19"/>
      <c r="BE3114" s="19"/>
      <c r="BF3114" s="19"/>
      <c r="BI3114" s="109"/>
      <c r="BU3114" s="100"/>
    </row>
    <row r="3115" x14ac:dyDescent="0.25">
      <c r="B3115" t="s">
        <v>279</v>
      </c>
      <c r="C3115" s="19">
        <v>29</v>
      </c>
      <c r="D3115" s="19">
        <v>6</v>
      </c>
      <c r="E3115">
        <f t="shared" ref="E43:E67" si="1939">C43+D43</f>
        <v>35</v>
      </c>
      <c r="H3115">
        <v>2</v>
      </c>
      <c r="I3115" s="19">
        <v>27</v>
      </c>
      <c r="J3115" s="19">
        <v>14</v>
      </c>
      <c r="K3115">
        <f t="shared" ref="K43:K67" si="1940">I43+J43</f>
        <v>41</v>
      </c>
      <c r="P3115" s="93"/>
      <c r="Q3115" s="109" t="str">
        <f>R3088&amp;".14"</f>
        <v>A.14</v>
      </c>
      <c r="R3115" s="19"/>
      <c r="S3115" s="19"/>
      <c r="T3115">
        <f t="shared" si="1935"/>
        <v>0</v>
      </c>
      <c r="U3115" s="19"/>
      <c r="V3115">
        <f t="shared" si="1936"/>
        <v>0</v>
      </c>
      <c r="W3115" s="19"/>
      <c r="X3115" s="19"/>
      <c r="Y3115" s="19"/>
      <c r="Z3115" s="19"/>
      <c r="AA3115" s="19"/>
      <c r="AB3115" s="19"/>
      <c r="AC3115" s="19"/>
      <c r="AF3115" s="109"/>
      <c r="AR3115" s="100"/>
      <c r="AS3115" s="93"/>
      <c r="AT3115" s="109" t="str">
        <f>AU$3088&amp;".14"</f>
        <v>1.14</v>
      </c>
      <c r="AU3115" s="19"/>
      <c r="AV3115" s="19"/>
      <c r="AW3115">
        <f t="shared" si="1937"/>
        <v>0</v>
      </c>
      <c r="AX3115" s="19"/>
      <c r="AY3115">
        <f t="shared" si="1938"/>
        <v>0</v>
      </c>
      <c r="AZ3115" s="19"/>
      <c r="BA3115" s="19"/>
      <c r="BB3115" s="19"/>
      <c r="BC3115" s="19"/>
      <c r="BD3115" s="19"/>
      <c r="BE3115" s="19"/>
      <c r="BF3115" s="19"/>
      <c r="BI3115" s="109"/>
      <c r="BU3115" s="100"/>
    </row>
    <row r="3116" x14ac:dyDescent="0.25">
      <c r="B3116" t="s">
        <v>283</v>
      </c>
      <c r="C3116" s="19">
        <v>6</v>
      </c>
      <c r="D3116" s="19">
        <v>29</v>
      </c>
      <c r="E3116">
        <f t="shared" si="1939"/>
        <v>35</v>
      </c>
      <c r="H3116">
        <v>3</v>
      </c>
      <c r="I3116" s="19">
        <v>14</v>
      </c>
      <c r="J3116" s="19">
        <v>13</v>
      </c>
      <c r="K3116">
        <f t="shared" si="1940"/>
        <v>27</v>
      </c>
      <c r="P3116" s="93"/>
      <c r="Q3116" s="109" t="str">
        <f>R3088&amp;".15"</f>
        <v>A.15</v>
      </c>
      <c r="R3116" s="19"/>
      <c r="S3116" s="19"/>
      <c r="T3116">
        <f t="shared" si="1935"/>
        <v>0</v>
      </c>
      <c r="U3116" s="19"/>
      <c r="V3116">
        <f t="shared" si="1936"/>
        <v>0</v>
      </c>
      <c r="W3116" s="19"/>
      <c r="X3116" s="19"/>
      <c r="Y3116" s="19"/>
      <c r="Z3116" s="19"/>
      <c r="AA3116" s="19"/>
      <c r="AB3116" s="19"/>
      <c r="AC3116" s="19"/>
      <c r="AF3116" s="109"/>
      <c r="AR3116" s="100"/>
      <c r="AS3116" s="93"/>
      <c r="AT3116" s="109" t="str">
        <f>AU$3088&amp;".15"</f>
        <v>1.15</v>
      </c>
      <c r="AU3116" s="19"/>
      <c r="AV3116" s="19"/>
      <c r="AW3116">
        <f t="shared" si="1937"/>
        <v>0</v>
      </c>
      <c r="AX3116" s="19"/>
      <c r="AY3116">
        <f t="shared" si="1938"/>
        <v>0</v>
      </c>
      <c r="AZ3116" s="19"/>
      <c r="BA3116" s="19"/>
      <c r="BB3116" s="19"/>
      <c r="BC3116" s="19"/>
      <c r="BD3116" s="19"/>
      <c r="BE3116" s="19"/>
      <c r="BF3116" s="19"/>
      <c r="BI3116" s="109"/>
      <c r="BU3116" s="100"/>
    </row>
    <row r="3117" x14ac:dyDescent="0.25">
      <c r="B3117" t="s">
        <v>287</v>
      </c>
      <c r="C3117" s="19">
        <v>26</v>
      </c>
      <c r="D3117" s="19">
        <v>26</v>
      </c>
      <c r="E3117">
        <f t="shared" si="1939"/>
        <v>52</v>
      </c>
      <c r="F3117" t="s">
        <v>506</v>
      </c>
      <c r="H3117">
        <v>4</v>
      </c>
      <c r="I3117" s="19">
        <v>13</v>
      </c>
      <c r="J3117" s="19">
        <v>27</v>
      </c>
      <c r="K3117">
        <f t="shared" si="1940"/>
        <v>40</v>
      </c>
      <c r="P3117" s="93"/>
      <c r="Q3117" s="109" t="str">
        <f>R3088&amp;".16"</f>
        <v>A.16</v>
      </c>
      <c r="R3117" s="19"/>
      <c r="S3117" s="19"/>
      <c r="T3117">
        <f t="shared" si="1935"/>
        <v>0</v>
      </c>
      <c r="U3117" s="19"/>
      <c r="V3117">
        <f t="shared" si="1936"/>
        <v>0</v>
      </c>
      <c r="W3117" s="19"/>
      <c r="X3117" s="19"/>
      <c r="Y3117" s="19"/>
      <c r="Z3117" s="19"/>
      <c r="AA3117" s="19"/>
      <c r="AB3117" s="19"/>
      <c r="AC3117" s="19"/>
      <c r="AF3117" s="109"/>
      <c r="AR3117" s="100"/>
      <c r="AS3117" s="93"/>
      <c r="AT3117" s="109" t="str">
        <f>AU$3088&amp;".16"</f>
        <v>1.16</v>
      </c>
      <c r="AU3117" s="19"/>
      <c r="AV3117" s="19"/>
      <c r="AW3117">
        <f t="shared" si="1937"/>
        <v>0</v>
      </c>
      <c r="AX3117" s="19"/>
      <c r="AY3117">
        <f t="shared" si="1938"/>
        <v>0</v>
      </c>
      <c r="AZ3117" s="19"/>
      <c r="BA3117" s="19"/>
      <c r="BB3117" s="19"/>
      <c r="BC3117" s="19"/>
      <c r="BD3117" s="19"/>
      <c r="BE3117" s="19"/>
      <c r="BF3117" s="19"/>
      <c r="BI3117" s="109"/>
      <c r="BU3117" s="100"/>
    </row>
    <row r="3118" x14ac:dyDescent="0.25">
      <c r="B3118" t="s">
        <v>288</v>
      </c>
      <c r="C3118" s="19">
        <v>29</v>
      </c>
      <c r="D3118" s="19">
        <v>0</v>
      </c>
      <c r="E3118">
        <f t="shared" si="1939"/>
        <v>29</v>
      </c>
      <c r="H3118">
        <v>5</v>
      </c>
      <c r="I3118" s="19">
        <v>27</v>
      </c>
      <c r="J3118" s="19">
        <v>11</v>
      </c>
      <c r="K3118">
        <f t="shared" si="1940"/>
        <v>38</v>
      </c>
      <c r="P3118" s="93"/>
      <c r="R3118">
        <f>SUM(R3102:R3117)</f>
        <v>29</v>
      </c>
      <c r="AR3118" s="100"/>
      <c r="AS3118" s="93"/>
      <c r="AU3118">
        <f>SUM(AU3102:AU3117)</f>
        <v>29</v>
      </c>
      <c r="BU3118" s="100"/>
    </row>
    <row r="3119" x14ac:dyDescent="0.25">
      <c r="B3119" t="s">
        <v>293</v>
      </c>
      <c r="C3119" s="19">
        <v>17</v>
      </c>
      <c r="D3119" s="19">
        <v>27</v>
      </c>
      <c r="E3119">
        <f t="shared" si="1939"/>
        <v>44</v>
      </c>
      <c r="H3119">
        <v>6</v>
      </c>
      <c r="I3119" s="19">
        <v>11</v>
      </c>
      <c r="J3119" s="19">
        <v>6</v>
      </c>
      <c r="K3119">
        <f t="shared" si="1940"/>
        <v>17</v>
      </c>
      <c r="P3119" s="93"/>
      <c r="AP3119" t="s">
        <v>746</v>
      </c>
      <c r="AR3119" s="100"/>
      <c r="AS3119" s="93"/>
      <c r="BS3119" t="s">
        <v>746</v>
      </c>
      <c r="BU3119" s="100"/>
    </row>
    <row r="3120" x14ac:dyDescent="0.25">
      <c r="B3120" t="s">
        <v>456</v>
      </c>
      <c r="C3120" s="19">
        <v>27</v>
      </c>
      <c r="D3120" s="19">
        <v>27</v>
      </c>
      <c r="E3120">
        <f t="shared" si="1939"/>
        <v>54</v>
      </c>
      <c r="H3120">
        <v>7</v>
      </c>
      <c r="I3120" s="19">
        <v>6</v>
      </c>
      <c r="J3120" s="19">
        <v>11</v>
      </c>
      <c r="K3120">
        <f t="shared" si="1940"/>
        <v>17</v>
      </c>
      <c r="P3120" s="93"/>
      <c r="Q3120" t="s">
        <v>525</v>
      </c>
      <c r="R3120" t="s">
        <v>263</v>
      </c>
      <c r="S3120" t="s">
        <v>526</v>
      </c>
      <c r="T3120" t="s">
        <v>570</v>
      </c>
      <c r="U3120" t="s">
        <v>571</v>
      </c>
      <c r="V3120" t="s">
        <v>572</v>
      </c>
      <c r="W3120" t="s">
        <v>539</v>
      </c>
      <c r="X3120" t="s">
        <v>538</v>
      </c>
      <c r="Z3120" t="s">
        <v>522</v>
      </c>
      <c r="AA3120" t="s">
        <v>523</v>
      </c>
      <c r="AB3120" t="s">
        <v>541</v>
      </c>
      <c r="AC3120" t="s">
        <v>540</v>
      </c>
      <c r="AD3120" t="s">
        <v>542</v>
      </c>
      <c r="AE3120" t="s">
        <v>520</v>
      </c>
      <c r="AF3120" t="s">
        <v>521</v>
      </c>
      <c r="AG3120" t="s">
        <v>527</v>
      </c>
      <c r="AH3120" t="s">
        <v>528</v>
      </c>
      <c r="AI3120" t="s">
        <v>543</v>
      </c>
      <c r="AJ3120" t="s">
        <v>744</v>
      </c>
      <c r="AK3120" t="s">
        <v>745</v>
      </c>
      <c r="AL3120" t="s">
        <v>749</v>
      </c>
      <c r="AM3120" t="s">
        <v>750</v>
      </c>
      <c r="AN3120" t="s">
        <v>751</v>
      </c>
      <c r="AP3120" t="s">
        <v>747</v>
      </c>
      <c r="AQ3120" t="s">
        <v>748</v>
      </c>
      <c r="AR3120" s="100"/>
      <c r="AS3120" s="93"/>
      <c r="AT3120" t="s">
        <v>525</v>
      </c>
      <c r="AU3120" t="s">
        <v>263</v>
      </c>
      <c r="AV3120" t="s">
        <v>526</v>
      </c>
      <c r="AW3120" t="s">
        <v>570</v>
      </c>
      <c r="AX3120" t="s">
        <v>571</v>
      </c>
      <c r="AY3120" t="s">
        <v>572</v>
      </c>
      <c r="AZ3120" t="s">
        <v>539</v>
      </c>
      <c r="BA3120" t="s">
        <v>538</v>
      </c>
      <c r="BC3120" t="s">
        <v>522</v>
      </c>
      <c r="BD3120" t="s">
        <v>523</v>
      </c>
      <c r="BE3120" t="s">
        <v>541</v>
      </c>
      <c r="BF3120" t="s">
        <v>540</v>
      </c>
      <c r="BG3120" t="s">
        <v>542</v>
      </c>
      <c r="BH3120" t="s">
        <v>520</v>
      </c>
      <c r="BI3120" t="s">
        <v>521</v>
      </c>
      <c r="BJ3120" t="s">
        <v>527</v>
      </c>
      <c r="BK3120" t="s">
        <v>528</v>
      </c>
      <c r="BL3120" t="s">
        <v>543</v>
      </c>
      <c r="BM3120" t="s">
        <v>744</v>
      </c>
      <c r="BN3120" t="s">
        <v>745</v>
      </c>
      <c r="BO3120" t="s">
        <v>749</v>
      </c>
      <c r="BP3120" t="s">
        <v>750</v>
      </c>
      <c r="BQ3120" t="s">
        <v>751</v>
      </c>
      <c r="BS3120" t="s">
        <v>747</v>
      </c>
      <c r="BT3120" t="s">
        <v>748</v>
      </c>
      <c r="BU3120" s="100"/>
    </row>
    <row r="3121" x14ac:dyDescent="0.25">
      <c r="B3121" t="s">
        <v>457</v>
      </c>
      <c r="C3121" s="19">
        <v>27</v>
      </c>
      <c r="D3121" s="19">
        <v>27</v>
      </c>
      <c r="E3121">
        <f t="shared" si="1939"/>
        <v>54</v>
      </c>
      <c r="H3121">
        <v>8</v>
      </c>
      <c r="I3121" s="19">
        <v>20</v>
      </c>
      <c r="J3121" s="19">
        <v>0</v>
      </c>
      <c r="K3121">
        <f t="shared" si="1940"/>
        <v>20</v>
      </c>
      <c r="L3121" t="s">
        <v>506</v>
      </c>
      <c r="P3121" s="93"/>
      <c r="Q3121" s="110" t="str">
        <f>$Q$3102</f>
        <v>A.01</v>
      </c>
      <c r="R3121" t="str">
        <f>$Q$3093</f>
        <v>L2</v>
      </c>
      <c r="S3121">
        <f>$E$21</f>
        <v>10.6875</v>
      </c>
      <c r="T3121" cm="1">
        <f t="array" ref="T3121">IFERROR(IF(S3121=0,0,(INDEX($C$33:$C$38,MATCH($W$3102,$B$33:$B$38,0),0)*(S3125+$X$3102)+$T$3102*COUNTIF(S3121:S3124,"&gt;0")*$C$32+$V$3102*$C$31)*$R$3102),0)</f>
        <v>30539.71875</v>
      </c>
      <c r="U3121">
        <f>IF(S3121=0,0,-(COUNTIF(S3121:S3124,"&gt;0")*$T$3102*$C$32+$V$3102*$C$31)*$H$27*$R$3102)</f>
        <v>-363.31199999999995</v>
      </c>
      <c r="V3121">
        <f>IF(S3121=0,0,$V$3102*$H$26*$R$3102)</f>
        <v>-1328.1999999999998</v>
      </c>
      <c r="W3121">
        <f>(0.6*T3121+0.7*U3121)*$R$3102/2</f>
        <v>262007.93632499999</v>
      </c>
      <c r="X3121">
        <f>(0.6*T3121+0.6*V3121)*$R$3102/2</f>
        <v>254140.21312500001</v>
      </c>
      <c r="Z3121">
        <f>IF(S3121=0,0,$AD$3102*$AP$3093)</f>
        <v>343.06999999999994</v>
      </c>
      <c r="AA3121">
        <f>IFERROR(Z3121/$R$3102,0)</f>
        <v>11.829999999999998</v>
      </c>
      <c r="AB3121">
        <f>Z3121*($F$21+IF($F$21=0,0,($C$14+$C$15+IF($C$13="single",1.5,3)+3)/12))</f>
        <v>3666.5606249999992</v>
      </c>
      <c r="AC3121">
        <f>AB3121-W3121</f>
        <v>-258341.37569999998</v>
      </c>
      <c r="AD3121" cm="1">
        <f t="array" ref="AD3121">IFERROR(IF(AC3121&lt;0,0,AC3121/($R$3102-INDEX(hd_off,MATCH(AQ3121,hd_mark,0),0)/12)),0)</f>
        <v>0</v>
      </c>
      <c r="AE3121">
        <f>IF(S3121=0,0,$AD$3102*$AM$3093)</f>
        <v>7899.5999999999995</v>
      </c>
      <c r="AF3121">
        <f>IFERROR(AE3121/$R$3102,0)</f>
        <v>272.39999999999998</v>
      </c>
      <c r="AG3121">
        <f>AE3121*($F$21+IF($F$21=0,0,($C$14+$C$15+IF($C$13="single",1.5,3)+3)/12))</f>
        <v>84426.974999999991</v>
      </c>
      <c r="AH3121">
        <f>AG3121-X3121</f>
        <v>-169713.23812500003</v>
      </c>
      <c r="AI3121" cm="1">
        <f t="array" ref="AI3121">IFERROR(IF(AH3121&lt;0,0,AH3121/($R$3102-INDEX(hd_off,MATCH(AQ3121,hd_mark,0),0)/12)),0)</f>
        <v>0</v>
      </c>
      <c r="AJ3121">
        <f>MAX($F$21,$Y$3102)/$Q$3124</f>
        <v>0.30172413793103448</v>
      </c>
      <c r="AK3121">
        <f>IF(AJ3121=0,0,IF(AJ3121&gt;2,1.25-0.125*AJ3121,1))</f>
        <v>1</v>
      </c>
      <c r="AL3121" cm="1">
        <f t="array" ref="AL3121">IFERROR(INDEX(sheath_ecap_asd,MATCH(AP3121,sheath_mark,0),0)*AK3121,0)</f>
        <v>239.85714285714286</v>
      </c>
      <c r="AM3121" cm="1">
        <f t="array" ref="AM3121">IFERROR(INDEX(sheath_wcap_asd,MATCH(AP3121,sheath_mark,0),0)*AK3121,0)</f>
        <v>335.8</v>
      </c>
      <c r="AN3121" cm="1">
        <f t="array" ref="AN3121">IFERROR(INDEX(hd_cap,MATCH(AQ3121,hd_mark,0),0),0)</f>
        <v>0</v>
      </c>
      <c r="AP3121" s="19">
        <v>21</v>
      </c>
      <c r="AQ3121" s="19"/>
      <c r="AR3121" s="100"/>
      <c r="AS3121" s="93"/>
      <c r="AT3121" s="110" t="str">
        <f>$AT$3102</f>
        <v>1.01</v>
      </c>
      <c r="AU3121" t="str">
        <f>$Q$3093</f>
        <v>L2</v>
      </c>
      <c r="AV3121">
        <f>$E$21</f>
        <v>10.6875</v>
      </c>
      <c r="AW3121" cm="1">
        <f t="array" ref="AW3121">IFERROR(IF(AV3121=0,0,(INDEX($C$33:$C$38,MATCH($AZ$3102,$B$33:$B$38,0),0)*(AV3125+$BA$3102)+$AW$3102*COUNTIF(AV3121:AV3124,"&gt;0")*$C$32+$AY$3102*$C$31)*$AU$3102),0)</f>
        <v>30539.71875</v>
      </c>
      <c r="AX3121">
        <f>IF(AV3121=0,0,-(COUNTIF(AV3121:AV3124,"&gt;0")*$AW$3102*$C$32+$AY$3102*$C$31)*$H$27*$AU$3102)</f>
        <v>-363.31199999999995</v>
      </c>
      <c r="AY3121">
        <f>IF(AV3121=0,0,$AY$3102*$H$26*$AU$3102)</f>
        <v>-1328.1999999999998</v>
      </c>
      <c r="AZ3121">
        <f>(0.6*AW3121+0.7*AX3121)*$AU$3102/2</f>
        <v>262007.93632499999</v>
      </c>
      <c r="BA3121">
        <f>(0.6*AW3121+0.6*AY3121)*$AU$3102/2</f>
        <v>254140.21312500001</v>
      </c>
      <c r="BC3121">
        <f>IF(AV3121=0,0,$BG$3102*$AP$3093)</f>
        <v>343.06999999999994</v>
      </c>
      <c r="BD3121">
        <f>IFERROR(BC3121/$AU$3102,0)</f>
        <v>11.829999999999998</v>
      </c>
      <c r="BE3121">
        <f>BC3121*($F$21+IF($F$21=0,0,($C$14+$C$15+IF($C$13="single",1.5,3)+3)/12))</f>
        <v>3666.5606249999992</v>
      </c>
      <c r="BF3121">
        <f>BE3121-AZ3121</f>
        <v>-258341.37569999998</v>
      </c>
      <c r="BG3121" cm="1">
        <f t="array" ref="BG3121">IFERROR(IF(BF3121&lt;0,0,BF3121/($AU$3102-INDEX(hd_off,MATCH(BT3121,hd_mark,0),0)/12)),0)</f>
        <v>0</v>
      </c>
      <c r="BH3121">
        <f>IF(AV3121=0,0,$BG$3102*$AM$3093)</f>
        <v>7899.5999999999995</v>
      </c>
      <c r="BI3121">
        <f>IFERROR(BH3121/$AU$3102,0)</f>
        <v>272.39999999999998</v>
      </c>
      <c r="BJ3121">
        <f>BH3121*($F$21+IF($F$21=0,0,($C$14+$C$15+IF($C$13="single",1.5,3)+3)/12))</f>
        <v>84426.974999999991</v>
      </c>
      <c r="BK3121">
        <f>BJ3121-BA3121</f>
        <v>-169713.23812500003</v>
      </c>
      <c r="BL3121" cm="1">
        <f t="array" ref="BL3121">IFERROR(IF(BK3121&lt;0,0,BK3121/($AU$3102-INDEX(hd_off,MATCH(BT3121,hd_mark,0),0)/12)),0)</f>
        <v>0</v>
      </c>
      <c r="BM3121">
        <f>MAX($F$21,$BB$3102)/$Q$3124</f>
        <v>0.30172413793103448</v>
      </c>
      <c r="BN3121">
        <f>IF(BM3121=0,0,IF(BM3121&gt;2,1.25-0.125*BM3121,1))</f>
        <v>1</v>
      </c>
      <c r="BO3121" cm="1">
        <f t="array" ref="BO3121">IFERROR(INDEX(sheath_ecap_asd,MATCH(BS3121,sheath_mark,0),0)*BN3121,0)</f>
        <v>239.85714285714286</v>
      </c>
      <c r="BP3121" cm="1">
        <f t="array" ref="BP3121">IFERROR(INDEX(sheath_wcap_asd,MATCH(BS3121,sheath_mark,0),0)*BN3121,0)</f>
        <v>335.8</v>
      </c>
      <c r="BQ3121" cm="1">
        <f t="array" ref="BQ3121">IFERROR(INDEX(hd_cap,MATCH(BT3121,hd_mark,0),0),0)</f>
        <v>0</v>
      </c>
      <c r="BS3121" s="19">
        <v>21</v>
      </c>
      <c r="BT3121" s="19"/>
      <c r="BU3121" s="100"/>
    </row>
    <row r="3122" x14ac:dyDescent="0.25">
      <c r="B3122" t="s">
        <v>458</v>
      </c>
      <c r="C3122" s="19">
        <v>27</v>
      </c>
      <c r="D3122" s="19">
        <v>27</v>
      </c>
      <c r="E3122">
        <f t="shared" si="1939"/>
        <v>54</v>
      </c>
      <c r="H3122">
        <v>9</v>
      </c>
      <c r="I3122" s="19">
        <v>30</v>
      </c>
      <c r="J3122" s="19">
        <v>0</v>
      </c>
      <c r="K3122">
        <f t="shared" si="1940"/>
        <v>30</v>
      </c>
      <c r="P3122" s="93"/>
      <c r="Q3122" s="109"/>
      <c r="R3122" t="str">
        <f>$Q$3094</f>
        <v>L3</v>
      </c>
      <c r="S3122">
        <f>$E$22</f>
        <v>21.375</v>
      </c>
      <c r="T3122" cm="1">
        <f t="array" ref="T3122">IFERROR(IF(S3122=0,0,(INDEX($C$33:$C$38,MATCH($W$3102,$B$33:$B$38,0),0)*(S3125+$X$3102)+$T$3102*COUNTIF(S3122:S3124,"&gt;0")*$C$32+$V$3102*$C$31)*$R$3102),0)</f>
        <v>26015.71875</v>
      </c>
      <c r="U3122">
        <f>IF(S3122=0,0,-(COUNTIF(S3122:S3124,"&gt;0")*$T$3102*$C$32+$V$3102*$C$31)*$H$27*$R$3102)</f>
        <v>-200.44799999999998</v>
      </c>
      <c r="V3122">
        <f>IF(S3122=0,0,$V$3102*$H$26*$R$3102)</f>
        <v>-1328.1999999999998</v>
      </c>
      <c r="W3122">
        <f t="shared" ref="W3122:W3124" si="1941">(0.6*T3122+0.7*U3122)*$R$3102/2</f>
        <v>224302.20592500002</v>
      </c>
      <c r="X3122">
        <f>T3122*$R$3102/2</f>
        <v>377227.921875</v>
      </c>
      <c r="Z3122">
        <f>IF(S3122=0,0,$AD$3102*$AP$3094)</f>
        <v>376.565</v>
      </c>
      <c r="AA3122">
        <f>IFERROR(Z3122/$R$3102,0)</f>
        <v>12.984999999999999</v>
      </c>
      <c r="AB3122">
        <f>Z3122*($F$22+IF($F$22=0,0,($C$14+$C$15+IF($C$13="single",1.5,3)+3)/12))</f>
        <v>4024.5384374999999</v>
      </c>
      <c r="AC3122">
        <f>AB3122-W3122</f>
        <v>-220277.6674875</v>
      </c>
      <c r="AD3122" cm="1">
        <f t="array" ref="AD3122">IFERROR(IF(AC3122&lt;0,0,AC3122/($R$3102-INDEX(hd_off,MATCH(AQ3122,hd_mark,0),0)/12)),0)</f>
        <v>0</v>
      </c>
      <c r="AE3122">
        <f>IF(S3122=0,0,$AD$3102*$AM$3094)</f>
        <v>5846.4</v>
      </c>
      <c r="AF3122">
        <f>IFERROR(AE3122/$R$3102,0)</f>
        <v>201.6</v>
      </c>
      <c r="AG3122">
        <f>AE3122*($F$22+IF($F$22=0,0,($C$14+$C$15+IF($C$13="single",1.5,3)+3)/12))</f>
        <v>62483.399999999994</v>
      </c>
      <c r="AH3122">
        <f>AG3122-X3122</f>
        <v>-314744.52187499998</v>
      </c>
      <c r="AI3122" cm="1">
        <f t="array" ref="AI3122">IFERROR(IF(AH3122&lt;0,0,AH3122/($R$3102-INDEX(hd_off,MATCH(AQ3122,hd_mark,0),0)/12)),0)</f>
        <v>0</v>
      </c>
      <c r="AJ3122">
        <f>MAX($F$22,$Z$3102)/$Q$3124</f>
        <v>0.30172413793103448</v>
      </c>
      <c r="AK3122">
        <f t="shared" ref="AK3122:AK3125" si="1942">IF(AJ3122=0,0,IF(AJ3122&gt;2,1.25-0.125*AJ3122,1))</f>
        <v>1</v>
      </c>
      <c r="AL3122" cm="1">
        <f t="array" ref="AL3122">IFERROR(INDEX(sheath_ecap_asd,MATCH(AP3122,sheath_mark,0),0)*AK3122,0)</f>
        <v>239.85714285714286</v>
      </c>
      <c r="AM3122" cm="1">
        <f t="array" ref="AM3122">IFERROR(INDEX(sheath_wcap_asd,MATCH(AP3122,sheath_mark,0),0)*AK3122,0)</f>
        <v>335.8</v>
      </c>
      <c r="AN3122" cm="1">
        <f t="array" ref="AN3122">IFERROR(INDEX(hd_cap,MATCH(AQ3122,hd_mark,0),0),0)</f>
        <v>0</v>
      </c>
      <c r="AP3122" s="19">
        <v>21</v>
      </c>
      <c r="AQ3122" s="19"/>
      <c r="AR3122" s="100"/>
      <c r="AS3122" s="93"/>
      <c r="AT3122" s="109"/>
      <c r="AU3122" t="str">
        <f>$Q$3094</f>
        <v>L3</v>
      </c>
      <c r="AV3122">
        <f>$E$22</f>
        <v>21.375</v>
      </c>
      <c r="AW3122" cm="1">
        <f t="array" ref="AW3122">IFERROR(IF(AV3122=0,0,(INDEX($C$33:$C$38,MATCH($AZ$3102,$B$33:$B$38,0),0)*(AV3125+$BA$3102)+$AW$3102*COUNTIF(AV3122:AV3124,"&gt;0")*$C$32+$AY$3102*$C$31)*$AU$3102),0)</f>
        <v>26015.71875</v>
      </c>
      <c r="AX3122">
        <f>IF(AV3122=0,0,-(COUNTIF(AV3122:AV3124,"&gt;0")*$AW$3102*$C$32+$AY$3102*$C$31)*$H$27*$AU$3102)</f>
        <v>-200.44799999999998</v>
      </c>
      <c r="AY3122">
        <f>IF(AV3122=0,0,$AY$3102*$H$26*$AU$3102)</f>
        <v>-1328.1999999999998</v>
      </c>
      <c r="AZ3122">
        <f>(0.6*AW3122+0.7*AX3122)*$AU$3102/2</f>
        <v>224302.20592500002</v>
      </c>
      <c r="BA3122">
        <f>AW3122*$AU$3102/2</f>
        <v>377227.921875</v>
      </c>
      <c r="BC3122">
        <f>IF(AV3122=0,0,$BG$3102*$AP$3094)</f>
        <v>376.565</v>
      </c>
      <c r="BD3122">
        <f>IFERROR(BC3122/$AU$3102,0)</f>
        <v>12.984999999999999</v>
      </c>
      <c r="BE3122">
        <f>BC3122*($F$22+IF($F$22=0,0,($C$14+$C$15+IF($C$13="single",1.5,3)+3)/12))</f>
        <v>4024.5384374999999</v>
      </c>
      <c r="BF3122">
        <f>BE3122-AZ3122</f>
        <v>-220277.6674875</v>
      </c>
      <c r="BG3122" cm="1">
        <f t="array" ref="BG3122">IFERROR(IF(BF3122&lt;0,0,BF3122/($AU$3102-INDEX(hd_off,MATCH(BT3122,hd_mark,0),0)/12)),0)</f>
        <v>0</v>
      </c>
      <c r="BH3122">
        <f>IF(AV3122=0,0,$BG$3102*$AM$3094)</f>
        <v>5846.4</v>
      </c>
      <c r="BI3122">
        <f>IFERROR(BH3122/$AU$3102,0)</f>
        <v>201.6</v>
      </c>
      <c r="BJ3122">
        <f>BH3122*($F$22+IF($F$22=0,0,($C$14+$C$15+IF($C$13="single",1.5,3)+3)/12))</f>
        <v>62483.399999999994</v>
      </c>
      <c r="BK3122">
        <f>BJ3122-BA3122</f>
        <v>-314744.52187499998</v>
      </c>
      <c r="BL3122" cm="1">
        <f t="array" ref="BL3122">IFERROR(IF(BK3122&lt;0,0,BK3122/($AU$3102-INDEX(hd_off,MATCH(BT3122,hd_mark,0),0)/12)),0)</f>
        <v>0</v>
      </c>
      <c r="BM3122">
        <f>MAX($F$22,$BC$3102)/$Q$3124</f>
        <v>0.30172413793103448</v>
      </c>
      <c r="BN3122">
        <f t="shared" ref="BN3122:BN3125" si="1943">IF(BM3122=0,0,IF(BM3122&gt;2,1.25-0.125*BM3122,1))</f>
        <v>1</v>
      </c>
      <c r="BO3122" cm="1">
        <f t="array" ref="BO3122">IFERROR(INDEX(sheath_ecap_asd,MATCH(BS3122,sheath_mark,0),0)*BN3122,0)</f>
        <v>239.85714285714286</v>
      </c>
      <c r="BP3122" cm="1">
        <f t="array" ref="BP3122">IFERROR(INDEX(sheath_wcap_asd,MATCH(BS3122,sheath_mark,0),0)*BN3122,0)</f>
        <v>335.8</v>
      </c>
      <c r="BQ3122" cm="1">
        <f t="array" ref="BQ3122">IFERROR(INDEX(hd_cap,MATCH(BT3122,hd_mark,0),0),0)</f>
        <v>0</v>
      </c>
      <c r="BS3122" s="19">
        <v>21</v>
      </c>
      <c r="BT3122" s="19"/>
      <c r="BU3122" s="100"/>
    </row>
    <row r="3123" x14ac:dyDescent="0.25">
      <c r="B3123" t="s">
        <v>459</v>
      </c>
      <c r="C3123" s="19">
        <v>27</v>
      </c>
      <c r="D3123" s="19">
        <v>41</v>
      </c>
      <c r="E3123">
        <f t="shared" si="1939"/>
        <v>68</v>
      </c>
      <c r="F3123" t="s">
        <v>506</v>
      </c>
      <c r="H3123">
        <v>10</v>
      </c>
      <c r="I3123" s="19">
        <v>30</v>
      </c>
      <c r="J3123" s="19">
        <v>0</v>
      </c>
      <c r="K3123">
        <f t="shared" si="1940"/>
        <v>30</v>
      </c>
      <c r="P3123" s="93"/>
      <c r="Q3123" s="109" t="s">
        <v>491</v>
      </c>
      <c r="R3123" t="str">
        <f>$Q$3095</f>
        <v>L4</v>
      </c>
      <c r="S3123">
        <f>$E$23</f>
        <v>0</v>
      </c>
      <c r="T3123" cm="1">
        <f t="array" ref="T3123">IFERROR(IF(S3123=0,0,(INDEX($C$33:$C$38,MATCH($W$3102,$B$33:$B$38,0),0)*(S3125+$X$3102)+$T$3102*COUNTIF(S3123:S3124,"&gt;0")*$C$32+$V$3102*$C$31)*$R$3102),0)</f>
        <v>0</v>
      </c>
      <c r="U3123">
        <f>IF(S3123=0,0,-(COUNTIF(S3123:S3124,"&gt;0")*$T$3102*$C$32+$V$3102*$C$31)*$H$27*$R$3102)</f>
        <v>0</v>
      </c>
      <c r="V3123">
        <f>IF(S3123=0,0,$V$3102*$H$26*$R$3102)</f>
        <v>0</v>
      </c>
      <c r="W3123">
        <f t="shared" si="1941"/>
        <v>0</v>
      </c>
      <c r="X3123">
        <f>T3123*$R$3102/2</f>
        <v>0</v>
      </c>
      <c r="Z3123">
        <f>IF(S3123=0,0,$AD$3102*$AP$3095)</f>
        <v>0</v>
      </c>
      <c r="AA3123">
        <f>IFERROR(Z3123/$R$3102,0)</f>
        <v>0</v>
      </c>
      <c r="AB3123">
        <f>Z3123*($F$23+IF($F$23=0,0,($C$14+$C$15+IF($C$13="single",1.5,3)+3)/12))</f>
        <v>0</v>
      </c>
      <c r="AC3123">
        <f>AB3123-W3123</f>
        <v>0</v>
      </c>
      <c r="AD3123" cm="1">
        <f t="array" ref="AD3123">IFERROR(IF(AC3123&lt;0,0,AC3123/($R$3102-INDEX(hd_off,MATCH(AQ3123,hd_mark,0),0)/12)),0)</f>
        <v>0</v>
      </c>
      <c r="AE3123">
        <f>IF(S3123=0,0,$AD$3102*$AM$3095)</f>
        <v>0</v>
      </c>
      <c r="AF3123">
        <f>IFERROR(AE3123/$R$3102,0)</f>
        <v>0</v>
      </c>
      <c r="AG3123">
        <f>AE3123*($F$23+IF($F$23=0,0,($C$14+$C$15+IF($C$13="single",1.5,3)+3)/12))</f>
        <v>0</v>
      </c>
      <c r="AH3123">
        <f>AG3123-X3123</f>
        <v>0</v>
      </c>
      <c r="AI3123" cm="1">
        <f t="array" ref="AI3123">IFERROR(IF(AH3123&lt;0,0,AH3123/($R$3102-INDEX(hd_off,MATCH(AQ3123,hd_mark,0),0)/12)),0)</f>
        <v>0</v>
      </c>
      <c r="AJ3123">
        <f>MAX($F$23,$AA$3102)/$Q$3124</f>
        <v>0</v>
      </c>
      <c r="AK3123">
        <f t="shared" si="1942"/>
        <v>0</v>
      </c>
      <c r="AL3123" cm="1">
        <f t="array" ref="AL3123">IFERROR(INDEX(sheath_ecap_asd,MATCH(AP3123,sheath_mark,0),0)*AK3123,0)</f>
        <v>0</v>
      </c>
      <c r="AM3123" cm="1">
        <f t="array" ref="AM3123">IFERROR(INDEX(sheath_wcap_asd,MATCH(AP3123,sheath_mark,0),0)*AK3123,0)</f>
        <v>0</v>
      </c>
      <c r="AN3123" cm="1">
        <f t="array" ref="AN3123">IFERROR(INDEX(hd_cap,MATCH(AQ3123,hd_mark,0),0),0)</f>
        <v>0</v>
      </c>
      <c r="AP3123" s="19"/>
      <c r="AQ3123" s="19"/>
      <c r="AR3123" s="100"/>
      <c r="AS3123" s="93"/>
      <c r="AT3123" s="109" t="s">
        <v>491</v>
      </c>
      <c r="AU3123" t="str">
        <f>$Q$3095</f>
        <v>L4</v>
      </c>
      <c r="AV3123">
        <f>$E$23</f>
        <v>0</v>
      </c>
      <c r="AW3123" cm="1">
        <f t="array" ref="AW3123">IFERROR(IF(AV3123=0,0,(INDEX($C$33:$C$38,MATCH($AZ$3102,$B$33:$B$38,0),0)*(AV3125+$BA$3102)+$AW$3102*COUNTIF(AV3123:AV3124,"&gt;0")*$C$32+$AY$3102*$C$31)*$AU$3102),0)</f>
        <v>0</v>
      </c>
      <c r="AX3123">
        <f>IF(AV3123=0,0,-(COUNTIF(AV3123:AV3124,"&gt;0")*$AW$3102*$C$32+$AY$3102*$C$31)*$H$27*$AU$3102)</f>
        <v>0</v>
      </c>
      <c r="AY3123">
        <f>IF(AV3123=0,0,$AY$3102*$H$26*$AU$3102)</f>
        <v>0</v>
      </c>
      <c r="AZ3123">
        <f>(0.6*AW3123+0.7*AX3123)*$AU$3102/2</f>
        <v>0</v>
      </c>
      <c r="BA3123">
        <f>AW3123*$AU$3102/2</f>
        <v>0</v>
      </c>
      <c r="BC3123">
        <f>IF(AV3123=0,0,$BG$3102*$AP$3095)</f>
        <v>0</v>
      </c>
      <c r="BD3123">
        <f>IFERROR(BC3123/$AU$3102,0)</f>
        <v>0</v>
      </c>
      <c r="BE3123">
        <f>BC3123*($F$23+IF($F$23=0,0,($C$14+$C$15+IF($C$13="single",1.5,3)+3)/12))</f>
        <v>0</v>
      </c>
      <c r="BF3123">
        <f>BE3123-AZ3123</f>
        <v>0</v>
      </c>
      <c r="BG3123" cm="1">
        <f t="array" ref="BG3123">IFERROR(IF(BF3123&lt;0,0,BF3123/($AU$3102-INDEX(hd_off,MATCH(BT3123,hd_mark,0),0)/12)),0)</f>
        <v>0</v>
      </c>
      <c r="BH3123">
        <f>IF(AV3123=0,0,$BG$3102*$AM$3095)</f>
        <v>0</v>
      </c>
      <c r="BI3123">
        <f>IFERROR(BH3123/$AU$3102,0)</f>
        <v>0</v>
      </c>
      <c r="BJ3123">
        <f>BH3123*($F$23+IF($F$23=0,0,($C$14+$C$15+IF($C$13="single",1.5,3)+3)/12))</f>
        <v>0</v>
      </c>
      <c r="BK3123">
        <f>BJ3123-BA3123</f>
        <v>0</v>
      </c>
      <c r="BL3123" cm="1">
        <f t="array" ref="BL3123">IFERROR(IF(BK3123&lt;0,0,BK3123/($AU$3102-INDEX(hd_off,MATCH(BT3123,hd_mark,0),0)/12)),0)</f>
        <v>0</v>
      </c>
      <c r="BM3123">
        <f>MAX($F$23,$BD$3102)/$Q$3124</f>
        <v>0</v>
      </c>
      <c r="BN3123">
        <f t="shared" si="1943"/>
        <v>0</v>
      </c>
      <c r="BO3123" cm="1">
        <f t="array" ref="BO3123">IFERROR(INDEX(sheath_ecap_asd,MATCH(BS3123,sheath_mark,0),0)*BN3123,0)</f>
        <v>0</v>
      </c>
      <c r="BP3123" cm="1">
        <f t="array" ref="BP3123">IFERROR(INDEX(sheath_wcap_asd,MATCH(BS3123,sheath_mark,0),0)*BN3123,0)</f>
        <v>0</v>
      </c>
      <c r="BQ3123" cm="1">
        <f t="array" ref="BQ3123">IFERROR(INDEX(hd_cap,MATCH(BT3123,hd_mark,0),0),0)</f>
        <v>0</v>
      </c>
      <c r="BS3123" s="19"/>
      <c r="BT3123" s="19"/>
      <c r="BU3123" s="100"/>
    </row>
    <row r="3124" x14ac:dyDescent="0.25">
      <c r="B3124" t="s">
        <v>171</v>
      </c>
      <c r="C3124" s="19">
        <v>0</v>
      </c>
      <c r="D3124" s="19">
        <v>29</v>
      </c>
      <c r="E3124">
        <f t="shared" si="1939"/>
        <v>29</v>
      </c>
      <c r="H3124">
        <v>11</v>
      </c>
      <c r="I3124" s="19">
        <v>0</v>
      </c>
      <c r="J3124" s="19">
        <v>27</v>
      </c>
      <c r="K3124">
        <f t="shared" si="1940"/>
        <v>27</v>
      </c>
      <c r="P3124" s="93"/>
      <c r="Q3124" s="111">
        <f>$R$3102</f>
        <v>29</v>
      </c>
      <c r="R3124" t="str">
        <f>$Q$3096</f>
        <v>L5</v>
      </c>
      <c r="S3124">
        <f>$E$24</f>
        <v>0</v>
      </c>
      <c r="T3124" cm="1">
        <f t="array" ref="T3124">IFERROR(IF(S3124=0,0,(INDEX($C$33:$C$38,MATCH($W$3102,$B$33:$B$38,0),0)*(S3125+$X$3102)+$T$3102*COUNTIF(S3124:S3124,"&gt;0")*$C$32+$V$3102*$C$31)*$R$3102),0)</f>
        <v>0</v>
      </c>
      <c r="U3124">
        <f>IF(S3124=0,0,-(COUNTIF(S3124:S3124,"&gt;0")*$T$3102*$C$32+$V$3102*$C$31)*$H$27*$R$3102)</f>
        <v>0</v>
      </c>
      <c r="V3124">
        <f>IF(S3124=0,0,$V$3102*$H$26*$R$3102)</f>
        <v>0</v>
      </c>
      <c r="W3124">
        <f t="shared" si="1941"/>
        <v>0</v>
      </c>
      <c r="X3124">
        <f>T3124*$R$3102/2</f>
        <v>0</v>
      </c>
      <c r="Z3124">
        <f>IF(S3124=0,0,$AD$3102*$AP$3096)</f>
        <v>0</v>
      </c>
      <c r="AA3124">
        <f>IFERROR(Z3124/$R$3102,0)</f>
        <v>0</v>
      </c>
      <c r="AB3124">
        <f>Z3124*($F$24+IF($F$24=0,0,($C$14+$C$15+IF($C$13="single",1.5,3)+3)/12))</f>
        <v>0</v>
      </c>
      <c r="AC3124">
        <f>AB3124-W3124</f>
        <v>0</v>
      </c>
      <c r="AD3124" cm="1">
        <f t="array" ref="AD3124">IFERROR(IF(AC3124&lt;0,0,AC3124/($R$3102-INDEX(hd_off,MATCH(AQ3124,hd_mark,0),0)/12)),0)</f>
        <v>0</v>
      </c>
      <c r="AE3124">
        <f>IF(S3124=0,0,$AD$3102*$AM$3096)</f>
        <v>0</v>
      </c>
      <c r="AF3124">
        <f>IFERROR(AE3124/$R$3102,0)</f>
        <v>0</v>
      </c>
      <c r="AG3124">
        <f>AE3124*($F$24+IF($F$24=0,0,($C$14+$C$15+IF($C$13="single",1.5,3)+3)/12))</f>
        <v>0</v>
      </c>
      <c r="AH3124">
        <f>AG3124-X3124</f>
        <v>0</v>
      </c>
      <c r="AI3124" cm="1">
        <f t="array" ref="AI3124">IFERROR(IF(AH3124&lt;0,0,AH3124/($R$3102-INDEX(hd_off,MATCH(AQ3124,hd_mark,0),0)/12)),0)</f>
        <v>0</v>
      </c>
      <c r="AJ3124">
        <f>MAX($F$24,$AB$3102)/$Q$3124</f>
        <v>0</v>
      </c>
      <c r="AK3124">
        <f t="shared" si="1942"/>
        <v>0</v>
      </c>
      <c r="AL3124" cm="1">
        <f t="array" ref="AL3124">IFERROR(INDEX(sheath_ecap_asd,MATCH(AP3124,sheath_mark,0),0)*AK3124,0)</f>
        <v>0</v>
      </c>
      <c r="AM3124" cm="1">
        <f t="array" ref="AM3124">IFERROR(INDEX(sheath_wcap_asd,MATCH(AP3124,sheath_mark,0),0)*AK3124,0)</f>
        <v>0</v>
      </c>
      <c r="AN3124" cm="1">
        <f t="array" ref="AN3124">IFERROR(INDEX(hd_cap,MATCH(AQ3124,hd_mark,0),0),0)</f>
        <v>0</v>
      </c>
      <c r="AP3124" s="19"/>
      <c r="AQ3124" s="19"/>
      <c r="AR3124" s="100"/>
      <c r="AS3124" s="93"/>
      <c r="AT3124" s="111">
        <f>$R$3102</f>
        <v>29</v>
      </c>
      <c r="AU3124" t="str">
        <f>$Q$3096</f>
        <v>L5</v>
      </c>
      <c r="AV3124">
        <f>$E$24</f>
        <v>0</v>
      </c>
      <c r="AW3124" cm="1">
        <f t="array" ref="AW3124">IFERROR(IF(AV3124=0,0,(INDEX($C$33:$C$38,MATCH($AZ$3102,$B$33:$B$38,0),0)*(AV3125+$BA$3102)+$AW$3102*COUNTIF(AV3124:AV3124,"&gt;0")*$C$32+$AY$3102*$C$31)*$AU$3102),0)</f>
        <v>0</v>
      </c>
      <c r="AX3124">
        <f>IF(AV3124=0,0,-(COUNTIF(AV3124:AV3124,"&gt;0")*$AW$3102*$C$32+$AY$3102*$C$31)*$H$27*$AU$3102)</f>
        <v>0</v>
      </c>
      <c r="AY3124">
        <f>IF(AV3124=0,0,$AY$3102*$H$26*$AU$3102)</f>
        <v>0</v>
      </c>
      <c r="AZ3124">
        <f>(0.6*AW3124+0.7*AX3124)*$AU$3102/2</f>
        <v>0</v>
      </c>
      <c r="BA3124">
        <f>AW3124*$AU$3102/2</f>
        <v>0</v>
      </c>
      <c r="BC3124">
        <f>IF(AV3124=0,0,$BG$3102*$AP$3096)</f>
        <v>0</v>
      </c>
      <c r="BD3124">
        <f>IFERROR(BC3124/$AU$3102,0)</f>
        <v>0</v>
      </c>
      <c r="BE3124">
        <f>BC3124*($F$24+IF($F$24=0,0,($C$14+$C$15+IF($C$13="single",1.5,3)+3)/12))</f>
        <v>0</v>
      </c>
      <c r="BF3124">
        <f>BE3124-AZ3124</f>
        <v>0</v>
      </c>
      <c r="BG3124" cm="1">
        <f t="array" ref="BG3124">IFERROR(IF(BF3124&lt;0,0,BF3124/($AU$3102-INDEX(hd_off,MATCH(BT3124,hd_mark,0),0)/12)),0)</f>
        <v>0</v>
      </c>
      <c r="BH3124">
        <f>IF(AV3124=0,0,$BG$3102*$AM$3096)</f>
        <v>0</v>
      </c>
      <c r="BI3124">
        <f>IFERROR(BH3124/$AU$3102,0)</f>
        <v>0</v>
      </c>
      <c r="BJ3124">
        <f>BH3124*($F$24+IF($F$24=0,0,($C$14+$C$15+IF($C$13="single",1.5,3)+3)/12))</f>
        <v>0</v>
      </c>
      <c r="BK3124">
        <f>BJ3124-BA3124</f>
        <v>0</v>
      </c>
      <c r="BL3124" cm="1">
        <f t="array" ref="BL3124">IFERROR(IF(BK3124&lt;0,0,BK3124/($AU$3102-INDEX(hd_off,MATCH(BT3124,hd_mark,0),0)/12)),0)</f>
        <v>0</v>
      </c>
      <c r="BM3124">
        <f>MAX($F$24,$BE$3102)/$Q$3124</f>
        <v>0</v>
      </c>
      <c r="BN3124">
        <f t="shared" si="1943"/>
        <v>0</v>
      </c>
      <c r="BO3124" cm="1">
        <f t="array" ref="BO3124">IFERROR(INDEX(sheath_ecap_asd,MATCH(BS3124,sheath_mark,0),0)*BN3124,0)</f>
        <v>0</v>
      </c>
      <c r="BP3124" cm="1">
        <f t="array" ref="BP3124">IFERROR(INDEX(sheath_wcap_asd,MATCH(BS3124,sheath_mark,0),0)*BN3124,0)</f>
        <v>0</v>
      </c>
      <c r="BQ3124" cm="1">
        <f t="array" ref="BQ3124">IFERROR(INDEX(hd_cap,MATCH(BT3124,hd_mark,0),0),0)</f>
        <v>0</v>
      </c>
      <c r="BS3124" s="19"/>
      <c r="BT3124" s="19"/>
      <c r="BU3124" s="100"/>
    </row>
    <row r="3125" x14ac:dyDescent="0.25">
      <c r="B3125" t="s">
        <v>460</v>
      </c>
      <c r="C3125" s="19">
        <v>29</v>
      </c>
      <c r="D3125" s="19">
        <v>6</v>
      </c>
      <c r="E3125">
        <f t="shared" si="1939"/>
        <v>35</v>
      </c>
      <c r="H3125">
        <v>12</v>
      </c>
      <c r="I3125" s="19">
        <v>27</v>
      </c>
      <c r="J3125" s="19">
        <v>14</v>
      </c>
      <c r="K3125">
        <f t="shared" si="1940"/>
        <v>41</v>
      </c>
      <c r="P3125" s="93"/>
      <c r="Q3125" s="109"/>
      <c r="R3125" t="str">
        <f>$Q$3097</f>
        <v>Roof</v>
      </c>
      <c r="S3125">
        <f>$E$25</f>
        <v>33.171875</v>
      </c>
      <c r="T3125" cm="1">
        <f t="array" ref="T3125">IFERROR(IF(S3125=0,0,(INDEX($C$33:$C$38,MATCH($W$3102,$B$33:$B$38,0),0)*(S3125+$X$3102)+$V$3102*$C$31)*$R$3102),0)</f>
        <v>21491.71875</v>
      </c>
      <c r="U3125">
        <f>IF(S3125=0,0,-$V$3102*$C$31*$H$27*$R$3102)</f>
        <v>-37.583999999999996</v>
      </c>
      <c r="V3125">
        <f>IF(S3125=0,0,$V$3102*$H$26*$R$3102)</f>
        <v>-1328.1999999999998</v>
      </c>
      <c r="W3125">
        <f>(0.6*T3125+0.7*U3125)*$R$3102/2</f>
        <v>186596.47552499999</v>
      </c>
      <c r="X3125">
        <f>T3125*$R$3102/2</f>
        <v>311629.921875</v>
      </c>
      <c r="Z3125">
        <f>IF(S3125=0,0,$AD$3102*$AP$3097)</f>
        <v>191.83499999999995</v>
      </c>
      <c r="AA3125">
        <f>IFERROR(Z3125/$R$3102,0)</f>
        <v>6.6149999999999984</v>
      </c>
      <c r="AB3125">
        <f>Z3125*($F$25+($C$16+$C$17+IF($C$13="single",1.5,3)+3)/12)</f>
        <v>2263.0535156249989</v>
      </c>
      <c r="AC3125">
        <f>AB3125-W3125</f>
        <v>-184333.42200937498</v>
      </c>
      <c r="AD3125" cm="1">
        <f t="array" ref="AD3125">IFERROR(IF(AC3125&lt;0,0,AC3125/($R$3102-INDEX(hd_off,MATCH(AQ3125,hd_mark,0),0)/12)),0)</f>
        <v>0</v>
      </c>
      <c r="AE3125">
        <f>IF(S3125=0,0,$AD$3102*$AM$3097)</f>
        <v>3854.1</v>
      </c>
      <c r="AF3125">
        <f>IFERROR(AE3125/$R$3102,0)</f>
        <v>132.9</v>
      </c>
      <c r="AG3125">
        <f>AE3125*($F$25+($C$16+$C$17+IF($C$13="single",1.5,3)+3)/12)</f>
        <v>45466.335937499993</v>
      </c>
      <c r="AH3125">
        <f>AG3125-X3125</f>
        <v>-266163.5859375</v>
      </c>
      <c r="AI3125" cm="1">
        <f t="array" ref="AI3125">IFERROR(IF(AH3125&lt;0,0,AH3125/($R$3102-INDEX(hd_off,MATCH(AQ3125,hd_mark,0),0)/12)),0)</f>
        <v>0</v>
      </c>
      <c r="AJ3125">
        <f>MAX($F$25,$AC$3102)/$Q$3124</f>
        <v>0.29920977011494249</v>
      </c>
      <c r="AK3125">
        <f t="shared" si="1942"/>
        <v>1</v>
      </c>
      <c r="AL3125" cm="1">
        <f t="array" ref="AL3125">IFERROR(INDEX(sheath_ecap_asd,MATCH(AP3125,sheath_mark,0),0)*AK3125,0)</f>
        <v>95.285714285714306</v>
      </c>
      <c r="AM3125" cm="1">
        <f t="array" ref="AM3125">IFERROR(INDEX(sheath_wcap_asd,MATCH(AP3125,sheath_mark,0),0)*AK3125,0)</f>
        <v>133.4</v>
      </c>
      <c r="AN3125" cm="1">
        <f t="array" ref="AN3125">IFERROR(INDEX(hd_cap,MATCH(AQ3125,hd_mark,0),0),0)</f>
        <v>0</v>
      </c>
      <c r="AP3125" s="19">
        <v>11</v>
      </c>
      <c r="AQ3125" s="19"/>
      <c r="AR3125" s="100"/>
      <c r="AS3125" s="93"/>
      <c r="AT3125" s="109"/>
      <c r="AU3125" t="str">
        <f>$Q$3097</f>
        <v>Roof</v>
      </c>
      <c r="AV3125">
        <f>$E$25</f>
        <v>33.171875</v>
      </c>
      <c r="AW3125" cm="1">
        <f t="array" ref="AW3125">IFERROR(IF(AV3125=0,0,(INDEX($C$33:$C$38,MATCH($AZ$3102,$B$33:$B$38,0),0)*(AV3125+$BA$3102)+$AY$3102*$C$31)*$AU$3102),0)</f>
        <v>21491.71875</v>
      </c>
      <c r="AX3125">
        <f>IF(AV3125=0,0,-$AY$3102*$C$31*$H$27*$AU$3102)</f>
        <v>-37.583999999999996</v>
      </c>
      <c r="AY3125">
        <f>IF(AV3125=0,0,$AY$3102*$H$26*$AU$3102)</f>
        <v>-1328.1999999999998</v>
      </c>
      <c r="AZ3125">
        <f>(0.6*AW3125+0.7*AX3125)*$AU$3102/2</f>
        <v>186596.47552499999</v>
      </c>
      <c r="BA3125">
        <f>AW3125*$AU$3102/2</f>
        <v>311629.921875</v>
      </c>
      <c r="BC3125">
        <f>IF(AV3125=0,0,$BG$3102*$AP$3097)</f>
        <v>191.83499999999995</v>
      </c>
      <c r="BD3125">
        <f>IFERROR(BC3125/$AU$3102,0)</f>
        <v>6.6149999999999984</v>
      </c>
      <c r="BE3125">
        <f>BC3125*($F$25+($C$16+$C$17+IF($C$13="single",1.5,3)+3)/12)</f>
        <v>2263.0535156249989</v>
      </c>
      <c r="BF3125">
        <f>BE3125-AZ3125</f>
        <v>-184333.42200937498</v>
      </c>
      <c r="BG3125" cm="1">
        <f t="array" ref="BG3125">IFERROR(IF(BF3125&lt;0,0,BF3125/($AU$3102-INDEX(hd_off,MATCH(BT3125,hd_mark,0),0)/12)),0)</f>
        <v>0</v>
      </c>
      <c r="BH3125">
        <f>IF(AV3125=0,0,$BG$3102*$AM$3097)</f>
        <v>3854.1</v>
      </c>
      <c r="BI3125">
        <f>IFERROR(BH3125/$AU$3102,0)</f>
        <v>132.9</v>
      </c>
      <c r="BJ3125">
        <f>BH3125*($F$25+($C$16+$C$17+IF($C$13="single",1.5,3)+3)/12)</f>
        <v>45466.335937499993</v>
      </c>
      <c r="BK3125">
        <f>BJ3125-BA3125</f>
        <v>-266163.5859375</v>
      </c>
      <c r="BL3125" cm="1">
        <f t="array" ref="BL3125">IFERROR(IF(BK3125&lt;0,0,BK3125/($AU$3102-INDEX(hd_off,MATCH(BT3125,hd_mark,0),0)/12)),0)</f>
        <v>0</v>
      </c>
      <c r="BM3125">
        <f>MAX($F$25,$BF$3102)/$Q$3124</f>
        <v>0.29920977011494249</v>
      </c>
      <c r="BN3125">
        <f t="shared" si="1943"/>
        <v>1</v>
      </c>
      <c r="BO3125" cm="1">
        <f t="array" ref="BO3125">IFERROR(INDEX(sheath_ecap_asd,MATCH(BS3125,sheath_mark,0),0)*BN3125,0)</f>
        <v>95.285714285714306</v>
      </c>
      <c r="BP3125" cm="1">
        <f t="array" ref="BP3125">IFERROR(INDEX(sheath_wcap_asd,MATCH(BS3125,sheath_mark,0),0)*BN3125,0)</f>
        <v>133.4</v>
      </c>
      <c r="BQ3125" cm="1">
        <f t="array" ref="BQ3125">IFERROR(INDEX(hd_cap,MATCH(BT3125,hd_mark,0),0),0)</f>
        <v>0</v>
      </c>
      <c r="BS3125" s="19">
        <v>11</v>
      </c>
      <c r="BT3125" s="19"/>
      <c r="BU3125" s="100"/>
    </row>
    <row r="3126" x14ac:dyDescent="0.25">
      <c r="B3126" t="s">
        <v>461</v>
      </c>
      <c r="C3126" s="19">
        <v>6</v>
      </c>
      <c r="D3126" s="19">
        <v>29</v>
      </c>
      <c r="E3126">
        <f t="shared" si="1939"/>
        <v>35</v>
      </c>
      <c r="H3126">
        <v>13</v>
      </c>
      <c r="I3126" s="19">
        <v>14</v>
      </c>
      <c r="J3126" s="19">
        <v>12</v>
      </c>
      <c r="K3126">
        <f t="shared" si="1940"/>
        <v>26</v>
      </c>
      <c r="P3126" s="93"/>
      <c r="Q3126" s="109"/>
      <c r="AR3126" s="100"/>
      <c r="AS3126" s="93"/>
      <c r="AT3126" s="109"/>
      <c r="BU3126" s="100"/>
    </row>
    <row r="3127" x14ac:dyDescent="0.25">
      <c r="B3127" t="s">
        <v>462</v>
      </c>
      <c r="C3127" s="19">
        <v>29</v>
      </c>
      <c r="D3127" s="19">
        <v>0</v>
      </c>
      <c r="E3127">
        <f t="shared" si="1939"/>
        <v>29</v>
      </c>
      <c r="H3127">
        <v>14</v>
      </c>
      <c r="I3127" s="19">
        <v>12</v>
      </c>
      <c r="J3127" s="19">
        <v>27</v>
      </c>
      <c r="K3127">
        <f t="shared" si="1940"/>
        <v>39</v>
      </c>
      <c r="P3127" s="93"/>
      <c r="Q3127" s="110" t="str">
        <f>$Q$3103</f>
        <v>A.02</v>
      </c>
      <c r="R3127" t="str">
        <f>$Q$3093</f>
        <v>L2</v>
      </c>
      <c r="S3127">
        <f>$E$21</f>
        <v>10.6875</v>
      </c>
      <c r="T3127" cm="1">
        <f t="array" ref="T3127">IFERROR(IF(S3127=0,0,(INDEX($C$33:$C$38,MATCH($W$3103,$B$33:$B$38,0),0)*(S3131+$X$3103)+$T$3103*COUNTIF(S3127:S3130,"&gt;0")*$C$32+$V$3103*$C$31)*$R$3103),0)</f>
        <v>0</v>
      </c>
      <c r="U3127">
        <f>IF(S3127=0,0,-(COUNTIF(S3127:S3130,"&gt;0")*$T$3103*$C$32+$V$3103*$C$31)*$H$27*$R$3103)</f>
        <v>0</v>
      </c>
      <c r="V3127">
        <f>IF(S3127=0,0,$V$3103*$H$26*$R$3103)</f>
        <v>0</v>
      </c>
      <c r="W3127">
        <f>(0.6*T3127+0.7*U3127)*$R$3103/2</f>
        <v>0</v>
      </c>
      <c r="X3127">
        <f>(0.6*T3127+0.6*V3127)*$R$3103/2</f>
        <v>0</v>
      </c>
      <c r="Z3127">
        <f>IF(S3127=0,0,$AD$3103*$AP$3093)</f>
        <v>0</v>
      </c>
      <c r="AA3127">
        <f>IFERROR(Z3127/$R$3103,0)</f>
        <v>0</v>
      </c>
      <c r="AB3127">
        <f>Z3127*($F$21+IF($F$21=0,0,($C$14+$C$15+IF($C$13="single",1.5,3)+3)/12))</f>
        <v>0</v>
      </c>
      <c r="AC3127">
        <f>AB3127-W3127</f>
        <v>0</v>
      </c>
      <c r="AD3127" cm="1">
        <f t="array" ref="AD3127">IFERROR(IF(AC3127&lt;0,0,AC3127/($R$3103-INDEX(hd_off,MATCH(AQ3127,hd_mark,0),0)/12)),0)</f>
        <v>0</v>
      </c>
      <c r="AE3127">
        <f>IF(S3127=0,0,$AD$3103*$AM$3093)</f>
        <v>0</v>
      </c>
      <c r="AF3127">
        <f>IFERROR(AE3127/$R$3103,0)</f>
        <v>0</v>
      </c>
      <c r="AG3127">
        <f>AE3127*($F$21+IF($F$21=0,0,($C$14+$C$15+IF($C$13="single",1.5,3)+3)/12))</f>
        <v>0</v>
      </c>
      <c r="AH3127">
        <f>AG3127-X3127</f>
        <v>0</v>
      </c>
      <c r="AI3127" cm="1">
        <f t="array" ref="AI3127">IFERROR(IF(AH3127&lt;0,0,AH3127/($R$3103-INDEX(hd_off,MATCH(AQ3127,hd_mark,0),0)/12)),0)</f>
        <v>0</v>
      </c>
      <c r="AJ3127">
        <f>MAX($F$21,$Y$3103)/$Q$3124</f>
        <v>0.30172413793103448</v>
      </c>
      <c r="AK3127">
        <f>IF(AJ3127=0,0,IF(AJ3127&gt;2,1.25-0.125*AJ3127,1))</f>
        <v>1</v>
      </c>
      <c r="AL3127" cm="1">
        <f t="array" ref="AL3127">IFERROR(INDEX(sheath_ecap_asd,MATCH(AP3127,sheath_mark,0),0)*AK3127,0)</f>
        <v>0</v>
      </c>
      <c r="AM3127" cm="1">
        <f t="array" ref="AM3127">IFERROR(INDEX(sheath_wcap_asd,MATCH(AP3127,sheath_mark,0),0)*AK3127,0)</f>
        <v>0</v>
      </c>
      <c r="AN3127" cm="1">
        <f t="array" ref="AN3127">IFERROR(INDEX(hd_cap,MATCH(AQ3127,hd_mark,0),0),0)</f>
        <v>0</v>
      </c>
      <c r="AP3127" s="19"/>
      <c r="AQ3127" s="19"/>
      <c r="AR3127" s="100"/>
      <c r="AS3127" s="93"/>
      <c r="AT3127" s="110" t="str">
        <f>$AT$3103</f>
        <v>1.02</v>
      </c>
      <c r="AU3127" t="str">
        <f>$Q$3093</f>
        <v>L2</v>
      </c>
      <c r="AV3127">
        <f>$E$21</f>
        <v>10.6875</v>
      </c>
      <c r="AW3127" cm="1">
        <f t="array" ref="AW3127">IFERROR(IF(AV3127=0,0,(INDEX($C$33:$C$38,MATCH($AZ$3103,$B$33:$B$38,0),0)*(AV3131+$BA$3103)+$AW$3103*COUNTIF(AV3127:AV3130,"&gt;0")*$C$32+$AY$3103*$C$31)*$AU$3103),0)</f>
        <v>0</v>
      </c>
      <c r="AX3127">
        <f>IF(AV3127=0,0,-(COUNTIF(AV3127:AV3130,"&gt;0")*$AW$3103*$C$32+$AY$3103*$C$31)*$H$27*$AU$3103)</f>
        <v>0</v>
      </c>
      <c r="AY3127">
        <f>IF(AV3127=0,0,$AY$3103*$H$26*$AU$3103)</f>
        <v>0</v>
      </c>
      <c r="AZ3127">
        <f>(0.6*AW3127+0.7*AX3127)*$AU$3103/2</f>
        <v>0</v>
      </c>
      <c r="BA3127">
        <f>(0.6*AW3127+0.6*AY3127)*$AU$3103/2</f>
        <v>0</v>
      </c>
      <c r="BC3127">
        <f>IF(AV3127=0,0,$BG$3103*$AP$3093)</f>
        <v>0</v>
      </c>
      <c r="BD3127">
        <f>IFERROR(BC3127/$AU$3103,0)</f>
        <v>0</v>
      </c>
      <c r="BE3127">
        <f>BC3127*($F$21+IF($F$21=0,0,($C$14+$C$15+IF($C$13="single",1.5,3)+3)/12))</f>
        <v>0</v>
      </c>
      <c r="BF3127">
        <f>BE3127-AZ3127</f>
        <v>0</v>
      </c>
      <c r="BG3127" cm="1">
        <f t="array" ref="BG3127">IFERROR(IF(BF3127&lt;0,0,BF3127/($AU$3103-INDEX(hd_off,MATCH(BT3127,hd_mark,0),0)/12)),0)</f>
        <v>0</v>
      </c>
      <c r="BH3127">
        <f>IF(AV3127=0,0,$BG$3103*$AM$3093)</f>
        <v>0</v>
      </c>
      <c r="BI3127">
        <f>IFERROR(BH3127/$AU$3103,0)</f>
        <v>0</v>
      </c>
      <c r="BJ3127">
        <f>BH3127*($F$21+IF($F$21=0,0,($C$14+$C$15+IF($C$13="single",1.5,3)+3)/12))</f>
        <v>0</v>
      </c>
      <c r="BK3127">
        <f>BJ3127-BA3127</f>
        <v>0</v>
      </c>
      <c r="BL3127" cm="1">
        <f t="array" ref="BL3127">IFERROR(IF(BK3127&lt;0,0,BK3127/($AU$3103-INDEX(hd_off,MATCH(BT3127,hd_mark,0),0)/12)),0)</f>
        <v>0</v>
      </c>
      <c r="BM3127">
        <f>MAX($F$21,$BB$3103)/$Q$3124</f>
        <v>0.30172413793103448</v>
      </c>
      <c r="BN3127">
        <f>IF(BM3127=0,0,IF(BM3127&gt;2,1.25-0.125*BM3127,1))</f>
        <v>1</v>
      </c>
      <c r="BO3127" cm="1">
        <f t="array" ref="BO3127">IFERROR(INDEX(sheath_ecap_asd,MATCH(BS3127,sheath_mark,0),0)*BN3127,0)</f>
        <v>0</v>
      </c>
      <c r="BP3127" cm="1">
        <f t="array" ref="BP3127">IFERROR(INDEX(sheath_wcap_asd,MATCH(BS3127,sheath_mark,0),0)*BN3127,0)</f>
        <v>0</v>
      </c>
      <c r="BQ3127" cm="1">
        <f t="array" ref="BQ3127">IFERROR(INDEX(hd_cap,MATCH(BT3127,hd_mark,0),0),0)</f>
        <v>0</v>
      </c>
      <c r="BS3127" s="19"/>
      <c r="BT3127" s="19"/>
      <c r="BU3127" s="100"/>
    </row>
    <row r="3128" x14ac:dyDescent="0.25">
      <c r="B3128" t="s">
        <v>463</v>
      </c>
      <c r="C3128" s="19"/>
      <c r="D3128" s="19"/>
      <c r="E3128">
        <f t="shared" si="1939"/>
        <v>0</v>
      </c>
      <c r="H3128">
        <v>15</v>
      </c>
      <c r="I3128" s="19">
        <v>27</v>
      </c>
      <c r="J3128" s="19">
        <v>18</v>
      </c>
      <c r="K3128">
        <f t="shared" si="1940"/>
        <v>45</v>
      </c>
      <c r="P3128" s="93"/>
      <c r="Q3128" s="109"/>
      <c r="R3128" t="str">
        <f>$Q$3094</f>
        <v>L3</v>
      </c>
      <c r="S3128">
        <f>$E$22</f>
        <v>21.375</v>
      </c>
      <c r="T3128" cm="1">
        <f t="array" ref="T3128">IFERROR(IF(S3128=0,0,(INDEX($C$33:$C$38,MATCH($W$3103,$B$33:$B$38,0),0)*(S3131+$X$3103)+$T$3103*COUNTIF(S3128:S3130,"&gt;0")*$C$32+$V$3103*$C$31)*$R$3103),0)</f>
        <v>0</v>
      </c>
      <c r="U3128">
        <f>IF(S3128=0,0,-(COUNTIF(S3128:S3130,"&gt;0")*$T$3103*$C$32+$V$3103*$C$31)*$H$27*$R$3103)</f>
        <v>0</v>
      </c>
      <c r="V3128">
        <f>IF(S3128=0,0,$V$3103*$H$26*$R$3103)</f>
        <v>0</v>
      </c>
      <c r="W3128">
        <f>(0.6*T3128+0.7*U3128)*$R$3103/2</f>
        <v>0</v>
      </c>
      <c r="X3128">
        <f>T3128*$R$3103/2</f>
        <v>0</v>
      </c>
      <c r="Z3128">
        <f>IF(S3128=0,0,$AD$3103*$AP$3094)</f>
        <v>0</v>
      </c>
      <c r="AA3128">
        <f>IFERROR(Z3128/$R$3103,0)</f>
        <v>0</v>
      </c>
      <c r="AB3128">
        <f>Z3128*($F$22+IF($F$22=0,0,($C$14+$C$15+IF($C$13="single",1.5,3)+3)/12))</f>
        <v>0</v>
      </c>
      <c r="AC3128">
        <f>AB3128-W3128</f>
        <v>0</v>
      </c>
      <c r="AD3128" cm="1">
        <f t="array" ref="AD3128">IFERROR(IF(AC3128&lt;0,0,AC3128/($R$3103-INDEX(hd_off,MATCH(AQ3128,hd_mark,0),0)/12)),0)</f>
        <v>0</v>
      </c>
      <c r="AE3128">
        <f>IF(S3128=0,0,$AD$3103*$AM$3094)</f>
        <v>0</v>
      </c>
      <c r="AF3128">
        <f>IFERROR(AE3128/$R$3103,0)</f>
        <v>0</v>
      </c>
      <c r="AG3128">
        <f>AE3128*($F$22+IF($F$22=0,0,($C$14+$C$15+IF($C$13="single",1.5,3)+3)/12))</f>
        <v>0</v>
      </c>
      <c r="AH3128">
        <f>AG3128-X3128</f>
        <v>0</v>
      </c>
      <c r="AI3128" cm="1">
        <f t="array" ref="AI3128">IFERROR(IF(AH3128&lt;0,0,AH3128/($R$3103-INDEX(hd_off,MATCH(AQ3128,hd_mark,0),0)/12)),0)</f>
        <v>0</v>
      </c>
      <c r="AJ3128">
        <f>MAX($F$22,$Z$3103)/$Q$3124</f>
        <v>0.30172413793103448</v>
      </c>
      <c r="AK3128">
        <f t="shared" ref="AK3128:AK3131" si="1944">IF(AJ3128=0,0,IF(AJ3128&gt;2,1.25-0.125*AJ3128,1))</f>
        <v>1</v>
      </c>
      <c r="AL3128" cm="1">
        <f t="array" ref="AL3128">IFERROR(INDEX(sheath_ecap_asd,MATCH(AP3128,sheath_mark,0),0)*AK3128,0)</f>
        <v>0</v>
      </c>
      <c r="AM3128" cm="1">
        <f t="array" ref="AM3128">IFERROR(INDEX(sheath_wcap_asd,MATCH(AP3128,sheath_mark,0),0)*AK3128,0)</f>
        <v>0</v>
      </c>
      <c r="AN3128" cm="1">
        <f t="array" ref="AN3128">IFERROR(INDEX(hd_cap,MATCH(AQ3128,hd_mark,0),0),0)</f>
        <v>0</v>
      </c>
      <c r="AP3128" s="19"/>
      <c r="AQ3128" s="19"/>
      <c r="AR3128" s="100"/>
      <c r="AS3128" s="93"/>
      <c r="AT3128" s="109"/>
      <c r="AU3128" t="str">
        <f>$Q$3094</f>
        <v>L3</v>
      </c>
      <c r="AV3128">
        <f>$E$22</f>
        <v>21.375</v>
      </c>
      <c r="AW3128" cm="1">
        <f t="array" ref="AW3128">IFERROR(IF(AV3128=0,0,(INDEX($C$33:$C$38,MATCH($AZ$3103,$B$33:$B$38,0),0)*(AV3131+$BA$3103)+$AW$3103*COUNTIF(AV3128:AV3130,"&gt;0")*$C$32+$AY$3103*$C$31)*$AU$3103),0)</f>
        <v>0</v>
      </c>
      <c r="AX3128">
        <f>IF(AV3128=0,0,-(COUNTIF(AV3128:AV3130,"&gt;0")*$AW$3103*$C$32+$AY$3103*$C$31)*$H$27*$AU$3103)</f>
        <v>0</v>
      </c>
      <c r="AY3128">
        <f>IF(AV3128=0,0,$AY$3103*$H$26*$AU$3103)</f>
        <v>0</v>
      </c>
      <c r="AZ3128">
        <f>(0.6*AW3128+0.7*AX3128)*$AU$3103/2</f>
        <v>0</v>
      </c>
      <c r="BA3128">
        <f>AW3128*$AU$3103/2</f>
        <v>0</v>
      </c>
      <c r="BC3128">
        <f>IF(AV3128=0,0,$BG$3103*$AP$3094)</f>
        <v>0</v>
      </c>
      <c r="BD3128">
        <f>IFERROR(BC3128/$AU$3103,0)</f>
        <v>0</v>
      </c>
      <c r="BE3128">
        <f>BC3128*($F$22+IF($F$22=0,0,($C$14+$C$15+IF($C$13="single",1.5,3)+3)/12))</f>
        <v>0</v>
      </c>
      <c r="BF3128">
        <f>BE3128-AZ3128</f>
        <v>0</v>
      </c>
      <c r="BG3128" cm="1">
        <f t="array" ref="BG3128">IFERROR(IF(BF3128&lt;0,0,BF3128/($AU$3103-INDEX(hd_off,MATCH(BT3128,hd_mark,0),0)/12)),0)</f>
        <v>0</v>
      </c>
      <c r="BH3128">
        <f>IF(AV3128=0,0,$BG$3103*$AM$3094)</f>
        <v>0</v>
      </c>
      <c r="BI3128">
        <f>IFERROR(BH3128/$AU$3103,0)</f>
        <v>0</v>
      </c>
      <c r="BJ3128">
        <f>BH3128*($F$22+IF($F$22=0,0,($C$14+$C$15+IF($C$13="single",1.5,3)+3)/12))</f>
        <v>0</v>
      </c>
      <c r="BK3128">
        <f>BJ3128-BA3128</f>
        <v>0</v>
      </c>
      <c r="BL3128" cm="1">
        <f t="array" ref="BL3128">IFERROR(IF(BK3128&lt;0,0,BK3128/($AU$3103-INDEX(hd_off,MATCH(BT3128,hd_mark,0),0)/12)),0)</f>
        <v>0</v>
      </c>
      <c r="BM3128">
        <f>MAX($F$22,$BC$3103)/$Q$3124</f>
        <v>0.30172413793103448</v>
      </c>
      <c r="BN3128">
        <f t="shared" ref="BN3128:BN3131" si="1945">IF(BM3128=0,0,IF(BM3128&gt;2,1.25-0.125*BM3128,1))</f>
        <v>1</v>
      </c>
      <c r="BO3128" cm="1">
        <f t="array" ref="BO3128">IFERROR(INDEX(sheath_ecap_asd,MATCH(BS3128,sheath_mark,0),0)*BN3128,0)</f>
        <v>0</v>
      </c>
      <c r="BP3128" cm="1">
        <f t="array" ref="BP3128">IFERROR(INDEX(sheath_wcap_asd,MATCH(BS3128,sheath_mark,0),0)*BN3128,0)</f>
        <v>0</v>
      </c>
      <c r="BQ3128" cm="1">
        <f t="array" ref="BQ3128">IFERROR(INDEX(hd_cap,MATCH(BT3128,hd_mark,0),0),0)</f>
        <v>0</v>
      </c>
      <c r="BS3128" s="19"/>
      <c r="BT3128" s="19"/>
      <c r="BU3128" s="100"/>
    </row>
    <row r="3129" x14ac:dyDescent="0.25">
      <c r="B3129" t="s">
        <v>464</v>
      </c>
      <c r="C3129" s="19"/>
      <c r="D3129" s="19"/>
      <c r="E3129">
        <f t="shared" si="1939"/>
        <v>0</v>
      </c>
      <c r="H3129">
        <v>16</v>
      </c>
      <c r="I3129" s="19"/>
      <c r="J3129" s="19"/>
      <c r="K3129">
        <f t="shared" si="1940"/>
        <v>0</v>
      </c>
      <c r="P3129" s="93"/>
      <c r="Q3129" s="109" t="s">
        <v>491</v>
      </c>
      <c r="R3129" t="str">
        <f>$Q$3095</f>
        <v>L4</v>
      </c>
      <c r="S3129">
        <f>$E$23</f>
        <v>0</v>
      </c>
      <c r="T3129" cm="1">
        <f t="array" ref="T3129">IFERROR(IF(S3129=0,0,(INDEX($C$33:$C$38,MATCH($W$3103,$B$33:$B$38,0),0)*(S3131+$X$3103)+$T$3103*COUNTIF(S3129:S3130,"&gt;0")*$C$32+$V$3103*$C$31)*$R$3103),0)</f>
        <v>0</v>
      </c>
      <c r="U3129">
        <f>IF(S3129=0,0,-(COUNTIF(S3129:S3130,"&gt;0")*$T$3103*$C$32+$V$3103*$C$31)*$H$27*$R$3103)</f>
        <v>0</v>
      </c>
      <c r="V3129">
        <f>IF(S3129=0,0,$V$3103*$H$26*$R$3103)</f>
        <v>0</v>
      </c>
      <c r="W3129">
        <f>(0.6*T3129+0.7*U3129)*$R$3103/2</f>
        <v>0</v>
      </c>
      <c r="X3129">
        <f>T3129*$R$3103/2</f>
        <v>0</v>
      </c>
      <c r="Z3129">
        <f>IF(S3129=0,0,$AD$3103*$AP$3095)</f>
        <v>0</v>
      </c>
      <c r="AA3129">
        <f>IFERROR(Z3129/$R$3103,0)</f>
        <v>0</v>
      </c>
      <c r="AB3129">
        <f>Z3129*($F$23+IF($F$23=0,0,($C$14+$C$15+IF($C$13="single",1.5,3)+3)/12))</f>
        <v>0</v>
      </c>
      <c r="AC3129">
        <f>AB3129-W3129</f>
        <v>0</v>
      </c>
      <c r="AD3129" cm="1">
        <f t="array" ref="AD3129">IFERROR(IF(AC3129&lt;0,0,AC3129/($R$3103-INDEX(hd_off,MATCH(AQ3129,hd_mark,0),0)/12)),0)</f>
        <v>0</v>
      </c>
      <c r="AE3129">
        <f>IF(S3129=0,0,$AD$3103*$AM$3095)</f>
        <v>0</v>
      </c>
      <c r="AF3129">
        <f>IFERROR(AE3129/$R$3103,0)</f>
        <v>0</v>
      </c>
      <c r="AG3129">
        <f>AE3129*($F$23+IF($F$23=0,0,($C$14+$C$15+IF($C$13="single",1.5,3)+3)/12))</f>
        <v>0</v>
      </c>
      <c r="AH3129">
        <f>AG3129-X3129</f>
        <v>0</v>
      </c>
      <c r="AI3129" cm="1">
        <f t="array" ref="AI3129">IFERROR(IF(AH3129&lt;0,0,AH3129/($R$3103-INDEX(hd_off,MATCH(AQ3129,hd_mark,0),0)/12)),0)</f>
        <v>0</v>
      </c>
      <c r="AJ3129">
        <f>MAX($F$23,$AA$3103)/$Q$3124</f>
        <v>0</v>
      </c>
      <c r="AK3129">
        <f t="shared" si="1944"/>
        <v>0</v>
      </c>
      <c r="AL3129" cm="1">
        <f t="array" ref="AL3129">IFERROR(INDEX(sheath_ecap_asd,MATCH(AP3129,sheath_mark,0),0)*AK3129,0)</f>
        <v>0</v>
      </c>
      <c r="AM3129" cm="1">
        <f t="array" ref="AM3129">IFERROR(INDEX(sheath_wcap_asd,MATCH(AP3129,sheath_mark,0),0)*AK3129,0)</f>
        <v>0</v>
      </c>
      <c r="AN3129" cm="1">
        <f t="array" ref="AN3129">IFERROR(INDEX(hd_cap,MATCH(AQ3129,hd_mark,0),0),0)</f>
        <v>0</v>
      </c>
      <c r="AP3129" s="19"/>
      <c r="AQ3129" s="19"/>
      <c r="AR3129" s="100"/>
      <c r="AS3129" s="93"/>
      <c r="AT3129" s="109" t="s">
        <v>491</v>
      </c>
      <c r="AU3129" t="str">
        <f>$Q$3095</f>
        <v>L4</v>
      </c>
      <c r="AV3129">
        <f>$E$23</f>
        <v>0</v>
      </c>
      <c r="AW3129" cm="1">
        <f t="array" ref="AW3129">IFERROR(IF(AV3129=0,0,(INDEX($C$33:$C$38,MATCH($AZ$3103,$B$33:$B$38,0),0)*(AV3131+$BA$3103)+$AW$3103*COUNTIF(AV3129:AV3130,"&gt;0")*$C$32+$AY$3103*$C$31)*$AU$3103),0)</f>
        <v>0</v>
      </c>
      <c r="AX3129">
        <f>IF(AV3129=0,0,-(COUNTIF(AV3129:AV3130,"&gt;0")*$AW$3103*$C$32+$AY$3103*$C$31)*$H$27*$AU$3103)</f>
        <v>0</v>
      </c>
      <c r="AY3129">
        <f>IF(AV3129=0,0,$AY$3103*$H$26*$AU$3103)</f>
        <v>0</v>
      </c>
      <c r="AZ3129">
        <f>(0.6*AW3129+0.7*AX3129)*$AU$3103/2</f>
        <v>0</v>
      </c>
      <c r="BA3129">
        <f>AW3129*$AU$3103/2</f>
        <v>0</v>
      </c>
      <c r="BC3129">
        <f>IF(AV3129=0,0,$BG$3103*$AP$3095)</f>
        <v>0</v>
      </c>
      <c r="BD3129">
        <f>IFERROR(BC3129/$AU$3103,0)</f>
        <v>0</v>
      </c>
      <c r="BE3129">
        <f>BC3129*($F$23+IF($F$23=0,0,($C$14+$C$15+IF($C$13="single",1.5,3)+3)/12))</f>
        <v>0</v>
      </c>
      <c r="BF3129">
        <f>BE3129-AZ3129</f>
        <v>0</v>
      </c>
      <c r="BG3129" cm="1">
        <f t="array" ref="BG3129">IFERROR(IF(BF3129&lt;0,0,BF3129/($AU$3103-INDEX(hd_off,MATCH(BT3129,hd_mark,0),0)/12)),0)</f>
        <v>0</v>
      </c>
      <c r="BH3129">
        <f>IF(AV3129=0,0,$BG$3103*$AM$3095)</f>
        <v>0</v>
      </c>
      <c r="BI3129">
        <f>IFERROR(BH3129/$AU$3103,0)</f>
        <v>0</v>
      </c>
      <c r="BJ3129">
        <f>BH3129*($F$23+IF($F$23=0,0,($C$14+$C$15+IF($C$13="single",1.5,3)+3)/12))</f>
        <v>0</v>
      </c>
      <c r="BK3129">
        <f>BJ3129-BA3129</f>
        <v>0</v>
      </c>
      <c r="BL3129" cm="1">
        <f t="array" ref="BL3129">IFERROR(IF(BK3129&lt;0,0,BK3129/($AU$3103-INDEX(hd_off,MATCH(BT3129,hd_mark,0),0)/12)),0)</f>
        <v>0</v>
      </c>
      <c r="BM3129">
        <f>MAX($F$23,$BD$3103)/$Q$3124</f>
        <v>0</v>
      </c>
      <c r="BN3129">
        <f t="shared" si="1945"/>
        <v>0</v>
      </c>
      <c r="BO3129" cm="1">
        <f t="array" ref="BO3129">IFERROR(INDEX(sheath_ecap_asd,MATCH(BS3129,sheath_mark,0),0)*BN3129,0)</f>
        <v>0</v>
      </c>
      <c r="BP3129" cm="1">
        <f t="array" ref="BP3129">IFERROR(INDEX(sheath_wcap_asd,MATCH(BS3129,sheath_mark,0),0)*BN3129,0)</f>
        <v>0</v>
      </c>
      <c r="BQ3129" cm="1">
        <f t="array" ref="BQ3129">IFERROR(INDEX(hd_cap,MATCH(BT3129,hd_mark,0),0),0)</f>
        <v>0</v>
      </c>
      <c r="BS3129" s="19"/>
      <c r="BT3129" s="19"/>
      <c r="BU3129" s="100"/>
    </row>
    <row r="3130" x14ac:dyDescent="0.25">
      <c r="B3130" t="s">
        <v>465</v>
      </c>
      <c r="C3130" s="19"/>
      <c r="D3130" s="19"/>
      <c r="E3130">
        <f t="shared" si="1939"/>
        <v>0</v>
      </c>
      <c r="H3130">
        <v>17</v>
      </c>
      <c r="I3130" s="19"/>
      <c r="J3130" s="19"/>
      <c r="K3130">
        <f t="shared" si="1940"/>
        <v>0</v>
      </c>
      <c r="P3130" s="93"/>
      <c r="Q3130" s="111">
        <f>$R$3103</f>
        <v>0</v>
      </c>
      <c r="R3130" t="str">
        <f>$Q$3096</f>
        <v>L5</v>
      </c>
      <c r="S3130">
        <f>$E$24</f>
        <v>0</v>
      </c>
      <c r="T3130" cm="1">
        <f t="array" ref="T3130">IFERROR(IF(S3130=0,0,(INDEX($C$33:$C$38,MATCH($W$3103,$B$33:$B$38,0),0)*(S3131+$X$3103)+$T$3103*COUNTIF(S3130:S3130,"&gt;0")*$C$32+$V$3103*$C$31)*$R$3103),0)</f>
        <v>0</v>
      </c>
      <c r="U3130">
        <f>IF(S3130=0,0,-(COUNTIF(S3130:S3130,"&gt;0")*$T$3103*$C$32+$V$3103*$C$31)*$H$27*$R$3103)</f>
        <v>0</v>
      </c>
      <c r="V3130">
        <f>IF(S3130=0,0,$V$3103*$H$26*$R$3103)</f>
        <v>0</v>
      </c>
      <c r="W3130">
        <f>(0.6*T3130+0.7*U3130)*$R$3103/2</f>
        <v>0</v>
      </c>
      <c r="X3130">
        <f>T3130*$R$3103/2</f>
        <v>0</v>
      </c>
      <c r="Z3130">
        <f>IF(S3130=0,0,$AD$3103*$AP$3096)</f>
        <v>0</v>
      </c>
      <c r="AA3130">
        <f>IFERROR(Z3130/$R$3103,0)</f>
        <v>0</v>
      </c>
      <c r="AB3130">
        <f>Z3130*($F$24+IF($F$24=0,0,($C$14+$C$15+IF($C$13="single",1.5,3)+3)/12))</f>
        <v>0</v>
      </c>
      <c r="AC3130">
        <f>AB3130-W3130</f>
        <v>0</v>
      </c>
      <c r="AD3130" cm="1">
        <f t="array" ref="AD3130">IFERROR(IF(AC3130&lt;0,0,AC3130/($R$3103-INDEX(hd_off,MATCH(AQ3130,hd_mark,0),0)/12)),0)</f>
        <v>0</v>
      </c>
      <c r="AE3130">
        <f>IF(S3130=0,0,$AD$3103*$AM$3096)</f>
        <v>0</v>
      </c>
      <c r="AF3130">
        <f>IFERROR(AE3130/$R$3103,0)</f>
        <v>0</v>
      </c>
      <c r="AG3130">
        <f>AE3130*($F$24+IF($F$24=0,0,($C$14+$C$15+IF($C$13="single",1.5,3)+3)/12))</f>
        <v>0</v>
      </c>
      <c r="AH3130">
        <f>AG3130-X3130</f>
        <v>0</v>
      </c>
      <c r="AI3130" cm="1">
        <f t="array" ref="AI3130">IFERROR(IF(AH3130&lt;0,0,AH3130/($R$3103-INDEX(hd_off,MATCH(AQ3130,hd_mark,0),0)/12)),0)</f>
        <v>0</v>
      </c>
      <c r="AJ3130">
        <f>MAX($F$24,$AB$3103)/$Q$3124</f>
        <v>0</v>
      </c>
      <c r="AK3130">
        <f t="shared" si="1944"/>
        <v>0</v>
      </c>
      <c r="AL3130" cm="1">
        <f t="array" ref="AL3130">IFERROR(INDEX(sheath_ecap_asd,MATCH(AP3130,sheath_mark,0),0)*AK3130,0)</f>
        <v>0</v>
      </c>
      <c r="AM3130" cm="1">
        <f t="array" ref="AM3130">IFERROR(INDEX(sheath_wcap_asd,MATCH(AP3130,sheath_mark,0),0)*AK3130,0)</f>
        <v>0</v>
      </c>
      <c r="AN3130" cm="1">
        <f t="array" ref="AN3130">IFERROR(INDEX(hd_cap,MATCH(AQ3130,hd_mark,0),0),0)</f>
        <v>0</v>
      </c>
      <c r="AP3130" s="19"/>
      <c r="AQ3130" s="19"/>
      <c r="AR3130" s="100"/>
      <c r="AS3130" s="93"/>
      <c r="AT3130" s="111">
        <f>$R$3103</f>
        <v>0</v>
      </c>
      <c r="AU3130" t="str">
        <f>$Q$3096</f>
        <v>L5</v>
      </c>
      <c r="AV3130">
        <f>$E$24</f>
        <v>0</v>
      </c>
      <c r="AW3130" cm="1">
        <f t="array" ref="AW3130">IFERROR(IF(AV3130=0,0,(INDEX($C$33:$C$38,MATCH($AZ$3103,$B$33:$B$38,0),0)*(AV3131+$BA$3103)+$AW$3103*COUNTIF(AV3130:AV3130,"&gt;0")*$C$32+$AY$3103*$C$31)*$AU$3103),0)</f>
        <v>0</v>
      </c>
      <c r="AX3130">
        <f>IF(AV3130=0,0,-(COUNTIF(AV3130:AV3130,"&gt;0")*$AW$3103*$C$32+$AY$3103*$C$31)*$H$27*$AU$3103)</f>
        <v>0</v>
      </c>
      <c r="AY3130">
        <f>IF(AV3130=0,0,$AY$3103*$H$26*$AU$3103)</f>
        <v>0</v>
      </c>
      <c r="AZ3130">
        <f>(0.6*AW3130+0.7*AX3130)*$AU$3103/2</f>
        <v>0</v>
      </c>
      <c r="BA3130">
        <f>AW3130*$AU$3103/2</f>
        <v>0</v>
      </c>
      <c r="BC3130">
        <f>IF(AV3130=0,0,$BG$3103*$AP$3096)</f>
        <v>0</v>
      </c>
      <c r="BD3130">
        <f>IFERROR(BC3130/$AU$3103,0)</f>
        <v>0</v>
      </c>
      <c r="BE3130">
        <f>BC3130*($F$24+IF($F$24=0,0,($C$14+$C$15+IF($C$13="single",1.5,3)+3)/12))</f>
        <v>0</v>
      </c>
      <c r="BF3130">
        <f>BE3130-AZ3130</f>
        <v>0</v>
      </c>
      <c r="BG3130" cm="1">
        <f t="array" ref="BG3130">IFERROR(IF(BF3130&lt;0,0,BF3130/($AU$3103-INDEX(hd_off,MATCH(BT3130,hd_mark,0),0)/12)),0)</f>
        <v>0</v>
      </c>
      <c r="BH3130">
        <f>IF(AV3130=0,0,$BG$3103*$AM$3096)</f>
        <v>0</v>
      </c>
      <c r="BI3130">
        <f>IFERROR(BH3130/$AU$3103,0)</f>
        <v>0</v>
      </c>
      <c r="BJ3130">
        <f>BH3130*($F$24+IF($F$24=0,0,($C$14+$C$15+IF($C$13="single",1.5,3)+3)/12))</f>
        <v>0</v>
      </c>
      <c r="BK3130">
        <f>BJ3130-BA3130</f>
        <v>0</v>
      </c>
      <c r="BL3130" cm="1">
        <f t="array" ref="BL3130">IFERROR(IF(BK3130&lt;0,0,BK3130/($AU$3103-INDEX(hd_off,MATCH(BT3130,hd_mark,0),0)/12)),0)</f>
        <v>0</v>
      </c>
      <c r="BM3130">
        <f>MAX($F$24,$BE$3103)/$Q$3124</f>
        <v>0</v>
      </c>
      <c r="BN3130">
        <f t="shared" si="1945"/>
        <v>0</v>
      </c>
      <c r="BO3130" cm="1">
        <f t="array" ref="BO3130">IFERROR(INDEX(sheath_ecap_asd,MATCH(BS3130,sheath_mark,0),0)*BN3130,0)</f>
        <v>0</v>
      </c>
      <c r="BP3130" cm="1">
        <f t="array" ref="BP3130">IFERROR(INDEX(sheath_wcap_asd,MATCH(BS3130,sheath_mark,0),0)*BN3130,0)</f>
        <v>0</v>
      </c>
      <c r="BQ3130" cm="1">
        <f t="array" ref="BQ3130">IFERROR(INDEX(hd_cap,MATCH(BT3130,hd_mark,0),0),0)</f>
        <v>0</v>
      </c>
      <c r="BS3130" s="19"/>
      <c r="BT3130" s="19"/>
      <c r="BU3130" s="100"/>
    </row>
    <row r="3131" x14ac:dyDescent="0.25">
      <c r="B3131" t="s">
        <v>466</v>
      </c>
      <c r="C3131" s="19"/>
      <c r="D3131" s="19"/>
      <c r="E3131">
        <f t="shared" si="1939"/>
        <v>0</v>
      </c>
      <c r="H3131">
        <v>18</v>
      </c>
      <c r="I3131" s="19"/>
      <c r="J3131" s="19"/>
      <c r="K3131">
        <f t="shared" si="1940"/>
        <v>0</v>
      </c>
      <c r="P3131" s="93"/>
      <c r="Q3131" s="109"/>
      <c r="R3131" t="str">
        <f>$Q$3097</f>
        <v>Roof</v>
      </c>
      <c r="S3131">
        <f>$E$25</f>
        <v>33.171875</v>
      </c>
      <c r="T3131" cm="1">
        <f t="array" ref="T3131">IFERROR(IF(S3131=0,0,(INDEX($C$33:$C$38,MATCH($W$3103,$B$33:$B$38,0),0)*(S3131+$X$3103)+$V$3103*$C$31)*$R$3103),0)</f>
        <v>0</v>
      </c>
      <c r="U3131">
        <f>IF(S3131=0,0,-$V$3103*$C$31*$H$27*$R$3103)</f>
        <v>0</v>
      </c>
      <c r="V3131">
        <f>IF(S3131=0,0,$V$3103*$H$26*$R$3103)</f>
        <v>0</v>
      </c>
      <c r="W3131">
        <f>(0.6*T3131+0.7*U3131)*$R$3103/2</f>
        <v>0</v>
      </c>
      <c r="X3131">
        <f>T3131*$R$3103/2</f>
        <v>0</v>
      </c>
      <c r="Z3131">
        <f>IF(S3131=0,0,$AD$3103*$AP$3097)</f>
        <v>0</v>
      </c>
      <c r="AA3131">
        <f>IFERROR(Z3131/$R$3103,0)</f>
        <v>0</v>
      </c>
      <c r="AB3131">
        <f>Z3131*($F$25+($C$16+$C$17+IF($C$13="single",1.5,3)+3)/12)</f>
        <v>0</v>
      </c>
      <c r="AC3131">
        <f>AB3131-W3131</f>
        <v>0</v>
      </c>
      <c r="AD3131" cm="1">
        <f t="array" ref="AD3131">IFERROR(IF(AC3131&lt;0,0,AC3131/($R$3103-INDEX(hd_off,MATCH(AQ3131,hd_mark,0),0)/12)),0)</f>
        <v>0</v>
      </c>
      <c r="AE3131">
        <f>IF(S3131=0,0,$AD$3103*$AM$3097)</f>
        <v>0</v>
      </c>
      <c r="AF3131">
        <f>IFERROR(AE3131/$R$3103,0)</f>
        <v>0</v>
      </c>
      <c r="AG3131">
        <f>AE3131*($F$25+($C$16+$C$17+IF($C$13="single",1.5,3)+3)/12)</f>
        <v>0</v>
      </c>
      <c r="AH3131">
        <f>AG3131-X3131</f>
        <v>0</v>
      </c>
      <c r="AI3131" cm="1">
        <f t="array" ref="AI3131">IFERROR(IF(AH3131&lt;0,0,AH3131/($R$3103-INDEX(hd_off,MATCH(AQ3131,hd_mark,0),0)/12)),0)</f>
        <v>0</v>
      </c>
      <c r="AJ3131">
        <f>MAX($F$25,$AC$3103)/$Q$3124</f>
        <v>0.29920977011494249</v>
      </c>
      <c r="AK3131">
        <f t="shared" si="1944"/>
        <v>1</v>
      </c>
      <c r="AL3131" cm="1">
        <f t="array" ref="AL3131">IFERROR(INDEX(sheath_ecap_asd,MATCH(AP3131,sheath_mark,0),0)*AK3131,0)</f>
        <v>0</v>
      </c>
      <c r="AM3131" cm="1">
        <f t="array" ref="AM3131">IFERROR(INDEX(sheath_wcap_asd,MATCH(AP3131,sheath_mark,0),0)*AK3131,0)</f>
        <v>0</v>
      </c>
      <c r="AN3131" cm="1">
        <f t="array" ref="AN3131">IFERROR(INDEX(hd_cap,MATCH(AQ3131,hd_mark,0),0),0)</f>
        <v>0</v>
      </c>
      <c r="AP3131" s="19"/>
      <c r="AQ3131" s="19"/>
      <c r="AR3131" s="100"/>
      <c r="AS3131" s="93"/>
      <c r="AT3131" s="109"/>
      <c r="AU3131" t="str">
        <f>$Q$3097</f>
        <v>Roof</v>
      </c>
      <c r="AV3131">
        <f>$E$25</f>
        <v>33.171875</v>
      </c>
      <c r="AW3131" cm="1">
        <f t="array" ref="AW3131">IFERROR(IF(AV3131=0,0,(INDEX($C$33:$C$38,MATCH($AZ$3103,$B$33:$B$38,0),0)*(AV3131+$BA$3103)+$AY$3103*$C$31)*$AU$3103),0)</f>
        <v>0</v>
      </c>
      <c r="AX3131">
        <f>IF(AV3131=0,0,-$AY$3103*$C$31*$H$27*$AU$3103)</f>
        <v>0</v>
      </c>
      <c r="AY3131">
        <f>IF(AV3131=0,0,$AY$3103*$H$26*$AU$3103)</f>
        <v>0</v>
      </c>
      <c r="AZ3131">
        <f>(0.6*AW3131+0.7*AX3131)*$AU$3103/2</f>
        <v>0</v>
      </c>
      <c r="BA3131">
        <f>AW3131*$AU$3103/2</f>
        <v>0</v>
      </c>
      <c r="BC3131">
        <f>IF(AV3131=0,0,$BG$3103*$AP$3097)</f>
        <v>0</v>
      </c>
      <c r="BD3131">
        <f>IFERROR(BC3131/$AU$3103,0)</f>
        <v>0</v>
      </c>
      <c r="BE3131">
        <f>BC3131*($F$25+($C$16+$C$17+IF($C$13="single",1.5,3)+3)/12)</f>
        <v>0</v>
      </c>
      <c r="BF3131">
        <f>BE3131-AZ3131</f>
        <v>0</v>
      </c>
      <c r="BG3131" cm="1">
        <f t="array" ref="BG3131">IFERROR(IF(BF3131&lt;0,0,BF3131/($AU$3103-INDEX(hd_off,MATCH(BT3131,hd_mark,0),0)/12)),0)</f>
        <v>0</v>
      </c>
      <c r="BH3131">
        <f>IF(AV3131=0,0,$BG$3103*$AM$3097)</f>
        <v>0</v>
      </c>
      <c r="BI3131">
        <f>IFERROR(BH3131/$AU$3103,0)</f>
        <v>0</v>
      </c>
      <c r="BJ3131">
        <f>BH3131*($F$25+($C$16+$C$17+IF($C$13="single",1.5,3)+3)/12)</f>
        <v>0</v>
      </c>
      <c r="BK3131">
        <f>BJ3131-BA3131</f>
        <v>0</v>
      </c>
      <c r="BL3131" cm="1">
        <f t="array" ref="BL3131">IFERROR(IF(BK3131&lt;0,0,BK3131/($AU$3103-INDEX(hd_off,MATCH(BT3131,hd_mark,0),0)/12)),0)</f>
        <v>0</v>
      </c>
      <c r="BM3131">
        <f>MAX($F$25,$BF$3103)/$Q$3124</f>
        <v>0.29920977011494249</v>
      </c>
      <c r="BN3131">
        <f t="shared" si="1945"/>
        <v>1</v>
      </c>
      <c r="BO3131" cm="1">
        <f t="array" ref="BO3131">IFERROR(INDEX(sheath_ecap_asd,MATCH(BS3131,sheath_mark,0),0)*BN3131,0)</f>
        <v>0</v>
      </c>
      <c r="BP3131" cm="1">
        <f t="array" ref="BP3131">IFERROR(INDEX(sheath_wcap_asd,MATCH(BS3131,sheath_mark,0),0)*BN3131,0)</f>
        <v>0</v>
      </c>
      <c r="BQ3131" cm="1">
        <f t="array" ref="BQ3131">IFERROR(INDEX(hd_cap,MATCH(BT3131,hd_mark,0),0),0)</f>
        <v>0</v>
      </c>
      <c r="BS3131" s="19"/>
      <c r="BT3131" s="19"/>
      <c r="BU3131" s="100"/>
    </row>
    <row r="3132" x14ac:dyDescent="0.25">
      <c r="B3132" t="s">
        <v>467</v>
      </c>
      <c r="C3132" s="19"/>
      <c r="D3132" s="19"/>
      <c r="E3132">
        <f t="shared" si="1939"/>
        <v>0</v>
      </c>
      <c r="H3132">
        <v>19</v>
      </c>
      <c r="I3132" s="19"/>
      <c r="J3132" s="19"/>
      <c r="K3132">
        <f t="shared" si="1940"/>
        <v>0</v>
      </c>
      <c r="P3132" s="93"/>
      <c r="AR3132" s="100"/>
      <c r="AS3132" s="93"/>
      <c r="BU3132" s="100"/>
    </row>
    <row r="3133" x14ac:dyDescent="0.25">
      <c r="B3133" t="s">
        <v>468</v>
      </c>
      <c r="C3133" s="19"/>
      <c r="D3133" s="19"/>
      <c r="E3133">
        <f t="shared" si="1939"/>
        <v>0</v>
      </c>
      <c r="H3133">
        <v>20</v>
      </c>
      <c r="I3133" s="19"/>
      <c r="J3133" s="19"/>
      <c r="K3133">
        <f t="shared" si="1940"/>
        <v>0</v>
      </c>
      <c r="P3133" s="93"/>
      <c r="Q3133" s="110" t="str">
        <f>$Q$3104</f>
        <v>A.03</v>
      </c>
      <c r="R3133" t="str">
        <f>$Q$3093</f>
        <v>L2</v>
      </c>
      <c r="S3133">
        <f>$E$21</f>
        <v>10.6875</v>
      </c>
      <c r="T3133" cm="1">
        <f t="array" ref="T3133">IFERROR(IF(S3133=0,0,(INDEX($C$33:$C$38,MATCH($W$3104,$B$33:$B$38,0),0)*(S3137+$X$3104)+$T$3104*COUNTIF(S3133:S3136,"&gt;0")*$C$32+$V$3104*$C$31)*$R$3104),0)</f>
        <v>0</v>
      </c>
      <c r="U3133">
        <f>IF(S3133=0,0,-(COUNTIF(S3133:S3136,"&gt;0")*$T$3104*$C$32+$V$3104*$C$31)*$H$27*$R$3104)</f>
        <v>0</v>
      </c>
      <c r="V3133">
        <f>IF(S3133=0,0,$V$3104*$H$26*$R$3104)</f>
        <v>0</v>
      </c>
      <c r="W3133">
        <f>(0.6*T3133+0.7*U3133)*$R$3104/2</f>
        <v>0</v>
      </c>
      <c r="X3133">
        <f>(0.6*T3133+0.6*V3133)*$R$3104/2</f>
        <v>0</v>
      </c>
      <c r="Z3133">
        <f>IF(S3133=0,0,$AD$3104*$AP$3093)</f>
        <v>0</v>
      </c>
      <c r="AA3133">
        <f>IFERROR(Z3133/$R$3104,0)</f>
        <v>0</v>
      </c>
      <c r="AB3133">
        <f>Z3133*($F$21+IF($F$21=0,0,($C$14+$C$15+IF($C$13="single",1.5,3)+3)/12))</f>
        <v>0</v>
      </c>
      <c r="AC3133">
        <f>AB3133-W3133</f>
        <v>0</v>
      </c>
      <c r="AD3133" cm="1">
        <f t="array" ref="AD3133">IFERROR(IF(AC3133&lt;0,0,AC3133/($R$3104-INDEX(hd_off,MATCH(AQ3133,hd_mark,0),0)/12)),0)</f>
        <v>0</v>
      </c>
      <c r="AE3133">
        <f>IF(S3133=0,0,$AD$3104*$AM$3093)</f>
        <v>0</v>
      </c>
      <c r="AF3133">
        <f>IFERROR(AE3133/$R$3104,0)</f>
        <v>0</v>
      </c>
      <c r="AG3133">
        <f>AE3133*($F$21+IF($F$21=0,0,($C$14+$C$15+IF($C$13="single",1.5,3)+3)/12))</f>
        <v>0</v>
      </c>
      <c r="AH3133">
        <f>AG3133-X3133</f>
        <v>0</v>
      </c>
      <c r="AI3133" cm="1">
        <f t="array" ref="AI3133">IFERROR(IF(AH3133&lt;0,0,AH3133/($R$3104-INDEX(hd_off,MATCH(AQ3133,hd_mark,0),0)/12)),0)</f>
        <v>0</v>
      </c>
      <c r="AJ3133">
        <f>MAX($F$21,$Y$3104)/$Q$3124</f>
        <v>0.30172413793103448</v>
      </c>
      <c r="AK3133">
        <f>IF(AJ3133=0,0,IF(AJ3133&gt;2,1.25-0.125*AJ3133,1))</f>
        <v>1</v>
      </c>
      <c r="AL3133" cm="1">
        <f t="array" ref="AL3133">IFERROR(INDEX(sheath_ecap_asd,MATCH(AP3133,sheath_mark,0),0)*AK3133,0)</f>
        <v>0</v>
      </c>
      <c r="AM3133" cm="1">
        <f t="array" ref="AM3133">IFERROR(INDEX(sheath_wcap_asd,MATCH(AP3133,sheath_mark,0),0)*AK3133,0)</f>
        <v>0</v>
      </c>
      <c r="AN3133" cm="1">
        <f t="array" ref="AN3133">IFERROR(INDEX(hd_cap,MATCH(AQ3133,hd_mark,0),0),0)</f>
        <v>0</v>
      </c>
      <c r="AP3133" s="19"/>
      <c r="AQ3133" s="19"/>
      <c r="AR3133" s="100"/>
      <c r="AS3133" s="93"/>
      <c r="AT3133" s="110" t="str">
        <f>$AT$3104</f>
        <v>1.03</v>
      </c>
      <c r="AU3133" t="str">
        <f>$Q$3093</f>
        <v>L2</v>
      </c>
      <c r="AV3133">
        <f>$E$21</f>
        <v>10.6875</v>
      </c>
      <c r="AW3133" cm="1">
        <f t="array" ref="AW3133">IFERROR(IF(AV3133=0,0,(INDEX($C$33:$C$38,MATCH($AZ$3104,$B$33:$B$38,0),0)*(AV3137+$BA$3104)+$AW$3104*COUNTIF(AV3133:AV3136,"&gt;0")*$C$32+$AY$3104*$C$31)*$AU$3104),0)</f>
        <v>0</v>
      </c>
      <c r="AX3133">
        <f>IF(AV3133=0,0,-(COUNTIF(AV3133:AV3136,"&gt;0")*$AW$3104*$C$32+$AY$3104*$C$31)*$H$27*$AU$3104)</f>
        <v>0</v>
      </c>
      <c r="AY3133">
        <f>IF(AV3133=0,0,$AY$3104*$H$26*$AU$3104)</f>
        <v>0</v>
      </c>
      <c r="AZ3133">
        <f>(0.6*AW3133+0.7*AX3133)*$AU$3104/2</f>
        <v>0</v>
      </c>
      <c r="BA3133">
        <f>(0.6*AW3133+0.6*AY3133)*$AU$3104/2</f>
        <v>0</v>
      </c>
      <c r="BC3133">
        <f>IF(AV3133=0,0,$BG$3104*$AP$3093)</f>
        <v>0</v>
      </c>
      <c r="BD3133">
        <f>IFERROR(BC3133/$AU$3104,0)</f>
        <v>0</v>
      </c>
      <c r="BE3133">
        <f>BC3133*($F$21+IF($F$21=0,0,($C$14+$C$15+IF($C$13="single",1.5,3)+3)/12))</f>
        <v>0</v>
      </c>
      <c r="BF3133">
        <f>BE3133-AZ3133</f>
        <v>0</v>
      </c>
      <c r="BG3133" cm="1">
        <f t="array" ref="BG3133">IFERROR(IF(BF3133&lt;0,0,BF3133/($AU$3104-INDEX(hd_off,MATCH(BT3133,hd_mark,0),0)/12)),0)</f>
        <v>0</v>
      </c>
      <c r="BH3133">
        <f>IF(AV3133=0,0,$BG$3104*$AM$3093)</f>
        <v>0</v>
      </c>
      <c r="BI3133">
        <f>IFERROR(BH3133/$AU$3104,0)</f>
        <v>0</v>
      </c>
      <c r="BJ3133">
        <f>BH3133*($F$21+IF($F$21=0,0,($C$14+$C$15+IF($C$13="single",1.5,3)+3)/12))</f>
        <v>0</v>
      </c>
      <c r="BK3133">
        <f>BJ3133-BA3133</f>
        <v>0</v>
      </c>
      <c r="BL3133" cm="1">
        <f t="array" ref="BL3133">IFERROR(IF(BK3133&lt;0,0,BK3133/($AU$3104-INDEX(hd_off,MATCH(BT3133,hd_mark,0),0)/12)),0)</f>
        <v>0</v>
      </c>
      <c r="BM3133">
        <f>MAX($F$21,$BB$3104)/$Q$3124</f>
        <v>0.30172413793103448</v>
      </c>
      <c r="BN3133">
        <f>IF(BM3133=0,0,IF(BM3133&gt;2,1.25-0.125*BM3133,1))</f>
        <v>1</v>
      </c>
      <c r="BO3133" cm="1">
        <f t="array" ref="BO3133">IFERROR(INDEX(sheath_ecap_asd,MATCH(BS3133,sheath_mark,0),0)*BN3133,0)</f>
        <v>0</v>
      </c>
      <c r="BP3133" cm="1">
        <f t="array" ref="BP3133">IFERROR(INDEX(sheath_wcap_asd,MATCH(BS3133,sheath_mark,0),0)*BN3133,0)</f>
        <v>0</v>
      </c>
      <c r="BQ3133" cm="1">
        <f t="array" ref="BQ3133">IFERROR(INDEX(hd_cap,MATCH(BT3133,hd_mark,0),0),0)</f>
        <v>0</v>
      </c>
      <c r="BS3133" s="19"/>
      <c r="BT3133" s="19"/>
      <c r="BU3133" s="100"/>
    </row>
    <row r="3134" x14ac:dyDescent="0.25">
      <c r="B3134" t="s">
        <v>469</v>
      </c>
      <c r="C3134" s="19"/>
      <c r="D3134" s="19"/>
      <c r="E3134">
        <f t="shared" si="1939"/>
        <v>0</v>
      </c>
      <c r="H3134">
        <v>21</v>
      </c>
      <c r="I3134" s="19"/>
      <c r="J3134" s="19"/>
      <c r="K3134">
        <f t="shared" si="1940"/>
        <v>0</v>
      </c>
      <c r="P3134" s="93"/>
      <c r="Q3134" s="109"/>
      <c r="R3134" t="str">
        <f>$Q$3094</f>
        <v>L3</v>
      </c>
      <c r="S3134">
        <f>$E$22</f>
        <v>21.375</v>
      </c>
      <c r="T3134" cm="1">
        <f t="array" ref="T3134">IFERROR(IF(S3134=0,0,(INDEX($C$33:$C$38,MATCH($W$3104,$B$33:$B$38,0),0)*(S3137+$X$3104)+$T$3104*COUNTIF(S3134:S3136,"&gt;0")*$C$32+$V$3104*$C$31)*$R$3104),0)</f>
        <v>0</v>
      </c>
      <c r="U3134">
        <f>IF(S3134=0,0,-(COUNTIF(S3134:S3136,"&gt;0")*$T$3104*$C$32+$V$3104*$C$31)*$H$27*$R$3104)</f>
        <v>0</v>
      </c>
      <c r="V3134">
        <f>IF(S3134=0,0,$V$3104*$H$26*$R$3104)</f>
        <v>0</v>
      </c>
      <c r="W3134">
        <f>(0.6*T3134+0.7*U3134)*$R$3104/2</f>
        <v>0</v>
      </c>
      <c r="X3134">
        <f>T3134*$R$3104/2</f>
        <v>0</v>
      </c>
      <c r="Z3134">
        <f>IF(S3134=0,0,$AD$3104*$AP$3094)</f>
        <v>0</v>
      </c>
      <c r="AA3134">
        <f>IFERROR(Z3134/$R$3104,0)</f>
        <v>0</v>
      </c>
      <c r="AB3134">
        <f>Z3134*($F$22+IF($F$22=0,0,($C$14+$C$15+IF($C$13="single",1.5,3)+3)/12))</f>
        <v>0</v>
      </c>
      <c r="AC3134">
        <f>AB3134-W3134</f>
        <v>0</v>
      </c>
      <c r="AD3134" cm="1">
        <f t="array" ref="AD3134">IFERROR(IF(AC3134&lt;0,0,AC3134/($R$3104-INDEX(hd_off,MATCH(AQ3134,hd_mark,0),0)/12)),0)</f>
        <v>0</v>
      </c>
      <c r="AE3134">
        <f>IF(S3134=0,0,$AD$3104*$AM$3094)</f>
        <v>0</v>
      </c>
      <c r="AF3134">
        <f>IFERROR(AE3134/$R$3104,0)</f>
        <v>0</v>
      </c>
      <c r="AG3134">
        <f>AE3134*($F$22+IF($F$22=0,0,($C$14+$C$15+IF($C$13="single",1.5,3)+3)/12))</f>
        <v>0</v>
      </c>
      <c r="AH3134">
        <f>AG3134-X3134</f>
        <v>0</v>
      </c>
      <c r="AI3134" cm="1">
        <f t="array" ref="AI3134">IFERROR(IF(AH3134&lt;0,0,AH3134/($R$3104-INDEX(hd_off,MATCH(AQ3134,hd_mark,0),0)/12)),0)</f>
        <v>0</v>
      </c>
      <c r="AJ3134">
        <f>MAX($F$22,$Z$3104)/$Q$3124</f>
        <v>0.30172413793103448</v>
      </c>
      <c r="AK3134">
        <f t="shared" ref="AK3134:AK3137" si="1946">IF(AJ3134=0,0,IF(AJ3134&gt;2,1.25-0.125*AJ3134,1))</f>
        <v>1</v>
      </c>
      <c r="AL3134" cm="1">
        <f t="array" ref="AL3134">IFERROR(INDEX(sheath_ecap_asd,MATCH(AP3134,sheath_mark,0),0)*AK3134,0)</f>
        <v>0</v>
      </c>
      <c r="AM3134" cm="1">
        <f t="array" ref="AM3134">IFERROR(INDEX(sheath_wcap_asd,MATCH(AP3134,sheath_mark,0),0)*AK3134,0)</f>
        <v>0</v>
      </c>
      <c r="AN3134" cm="1">
        <f t="array" ref="AN3134">IFERROR(INDEX(hd_cap,MATCH(AQ3134,hd_mark,0),0),0)</f>
        <v>0</v>
      </c>
      <c r="AP3134" s="19"/>
      <c r="AQ3134" s="19"/>
      <c r="AR3134" s="100"/>
      <c r="AS3134" s="93"/>
      <c r="AT3134" s="109"/>
      <c r="AU3134" t="str">
        <f>$Q$3094</f>
        <v>L3</v>
      </c>
      <c r="AV3134">
        <f>$E$22</f>
        <v>21.375</v>
      </c>
      <c r="AW3134" cm="1">
        <f t="array" ref="AW3134">IFERROR(IF(AV3134=0,0,(INDEX($C$33:$C$38,MATCH($AZ$3104,$B$33:$B$38,0),0)*(AV3137+$BA$3104)+$AW$3104*COUNTIF(AV3134:AV3136,"&gt;0")*$C$32+$AY$3104*$C$31)*$AU$3104),0)</f>
        <v>0</v>
      </c>
      <c r="AX3134">
        <f>IF(AV3134=0,0,-(COUNTIF(AV3134:AV3136,"&gt;0")*$AW$3104*$C$32+$AY$3104*$C$31)*$H$27*$AU$3104)</f>
        <v>0</v>
      </c>
      <c r="AY3134">
        <f>IF(AV3134=0,0,$AY$3104*$H$26*$AU$3104)</f>
        <v>0</v>
      </c>
      <c r="AZ3134">
        <f>(0.6*AW3134+0.7*AX3134)*$AU$3104/2</f>
        <v>0</v>
      </c>
      <c r="BA3134">
        <f>AW3134*$AU$3104/2</f>
        <v>0</v>
      </c>
      <c r="BC3134">
        <f>IF(AV3134=0,0,$BG$3104*$AP$3094)</f>
        <v>0</v>
      </c>
      <c r="BD3134">
        <f>IFERROR(BC3134/$AU$3104,0)</f>
        <v>0</v>
      </c>
      <c r="BE3134">
        <f>BC3134*($F$22+IF($F$22=0,0,($C$14+$C$15+IF($C$13="single",1.5,3)+3)/12))</f>
        <v>0</v>
      </c>
      <c r="BF3134">
        <f>BE3134-AZ3134</f>
        <v>0</v>
      </c>
      <c r="BG3134" cm="1">
        <f t="array" ref="BG3134">IFERROR(IF(BF3134&lt;0,0,BF3134/($AU$3104-INDEX(hd_off,MATCH(BT3134,hd_mark,0),0)/12)),0)</f>
        <v>0</v>
      </c>
      <c r="BH3134">
        <f>IF(AV3134=0,0,$BG$3104*$AM$3094)</f>
        <v>0</v>
      </c>
      <c r="BI3134">
        <f>IFERROR(BH3134/$AU$3104,0)</f>
        <v>0</v>
      </c>
      <c r="BJ3134">
        <f>BH3134*($F$22+IF($F$22=0,0,($C$14+$C$15+IF($C$13="single",1.5,3)+3)/12))</f>
        <v>0</v>
      </c>
      <c r="BK3134">
        <f>BJ3134-BA3134</f>
        <v>0</v>
      </c>
      <c r="BL3134" cm="1">
        <f t="array" ref="BL3134">IFERROR(IF(BK3134&lt;0,0,BK3134/($AU$3104-INDEX(hd_off,MATCH(BT3134,hd_mark,0),0)/12)),0)</f>
        <v>0</v>
      </c>
      <c r="BM3134">
        <f>MAX($F$22,$BC$3104)/$Q$3124</f>
        <v>0.30172413793103448</v>
      </c>
      <c r="BN3134">
        <f t="shared" ref="BN3134:BN3137" si="1947">IF(BM3134=0,0,IF(BM3134&gt;2,1.25-0.125*BM3134,1))</f>
        <v>1</v>
      </c>
      <c r="BO3134" cm="1">
        <f t="array" ref="BO3134">IFERROR(INDEX(sheath_ecap_asd,MATCH(BS3134,sheath_mark,0),0)*BN3134,0)</f>
        <v>0</v>
      </c>
      <c r="BP3134" cm="1">
        <f t="array" ref="BP3134">IFERROR(INDEX(sheath_wcap_asd,MATCH(BS3134,sheath_mark,0),0)*BN3134,0)</f>
        <v>0</v>
      </c>
      <c r="BQ3134" cm="1">
        <f t="array" ref="BQ3134">IFERROR(INDEX(hd_cap,MATCH(BT3134,hd_mark,0),0),0)</f>
        <v>0</v>
      </c>
      <c r="BS3134" s="19"/>
      <c r="BT3134" s="19"/>
      <c r="BU3134" s="100"/>
    </row>
    <row r="3135" x14ac:dyDescent="0.25">
      <c r="B3135" t="s">
        <v>285</v>
      </c>
      <c r="C3135" s="19"/>
      <c r="D3135" s="19"/>
      <c r="E3135">
        <f t="shared" si="1939"/>
        <v>0</v>
      </c>
      <c r="H3135">
        <v>22</v>
      </c>
      <c r="I3135" s="19"/>
      <c r="J3135" s="19"/>
      <c r="K3135">
        <f t="shared" si="1940"/>
        <v>0</v>
      </c>
      <c r="P3135" s="93"/>
      <c r="Q3135" s="109" t="s">
        <v>491</v>
      </c>
      <c r="R3135" t="str">
        <f>$Q$3095</f>
        <v>L4</v>
      </c>
      <c r="S3135">
        <f>$E$23</f>
        <v>0</v>
      </c>
      <c r="T3135" cm="1">
        <f t="array" ref="T3135">IFERROR(IF(S3135=0,0,(INDEX($C$33:$C$38,MATCH($W$3104,$B$33:$B$38,0),0)*(S3137+$X$3104)+$T$3104*COUNTIF(S3135:S3136,"&gt;0")*$C$32+$V$3104*$C$31)*$R$3104),0)</f>
        <v>0</v>
      </c>
      <c r="U3135">
        <f>IF(S3135=0,0,-(COUNTIF(S3135:S3136,"&gt;0")*$T$3104*$C$32+$V$3104*$C$31)*$H$27*$R$3104)</f>
        <v>0</v>
      </c>
      <c r="V3135">
        <f>IF(S3135=0,0,$V$3104*$H$26*$R$3104)</f>
        <v>0</v>
      </c>
      <c r="W3135">
        <f>(0.6*T3135+0.7*U3135)*$R$3104/2</f>
        <v>0</v>
      </c>
      <c r="X3135">
        <f>T3135*$R$3104/2</f>
        <v>0</v>
      </c>
      <c r="Z3135">
        <f>IF(S3135=0,0,$AD$3104*$AP$3095)</f>
        <v>0</v>
      </c>
      <c r="AA3135">
        <f>IFERROR(Z3135/$R$3104,0)</f>
        <v>0</v>
      </c>
      <c r="AB3135">
        <f>Z3135*($F$23+IF($F$23=0,0,($C$14+$C$15+IF($C$13="single",1.5,3)+3)/12))</f>
        <v>0</v>
      </c>
      <c r="AC3135">
        <f>AB3135-W3135</f>
        <v>0</v>
      </c>
      <c r="AD3135" cm="1">
        <f t="array" ref="AD3135">IFERROR(IF(AC3135&lt;0,0,AC3135/($R$3104-INDEX(hd_off,MATCH(AQ3135,hd_mark,0),0)/12)),0)</f>
        <v>0</v>
      </c>
      <c r="AE3135">
        <f>IF(S3135=0,0,$AD$3104*$AM$3095)</f>
        <v>0</v>
      </c>
      <c r="AF3135">
        <f>IFERROR(AE3135/$R$3104,0)</f>
        <v>0</v>
      </c>
      <c r="AG3135">
        <f>AE3135*($F$23+IF($F$23=0,0,($C$14+$C$15+IF($C$13="single",1.5,3)+3)/12))</f>
        <v>0</v>
      </c>
      <c r="AH3135">
        <f>AG3135-X3135</f>
        <v>0</v>
      </c>
      <c r="AI3135" cm="1">
        <f t="array" ref="AI3135">IFERROR(IF(AH3135&lt;0,0,AH3135/($R$3104-INDEX(hd_off,MATCH(AQ3135,hd_mark,0),0)/12)),0)</f>
        <v>0</v>
      </c>
      <c r="AJ3135">
        <f>MAX($F$23,$AA$3104)/$Q$3124</f>
        <v>0</v>
      </c>
      <c r="AK3135">
        <f t="shared" si="1946"/>
        <v>0</v>
      </c>
      <c r="AL3135" cm="1">
        <f t="array" ref="AL3135">IFERROR(INDEX(sheath_ecap_asd,MATCH(AP3135,sheath_mark,0),0)*AK3135,0)</f>
        <v>0</v>
      </c>
      <c r="AM3135" cm="1">
        <f t="array" ref="AM3135">IFERROR(INDEX(sheath_wcap_asd,MATCH(AP3135,sheath_mark,0),0)*AK3135,0)</f>
        <v>0</v>
      </c>
      <c r="AN3135" cm="1">
        <f t="array" ref="AN3135">IFERROR(INDEX(hd_cap,MATCH(AQ3135,hd_mark,0),0),0)</f>
        <v>0</v>
      </c>
      <c r="AP3135" s="19"/>
      <c r="AQ3135" s="19"/>
      <c r="AR3135" s="100"/>
      <c r="AS3135" s="93"/>
      <c r="AT3135" s="109" t="s">
        <v>491</v>
      </c>
      <c r="AU3135" t="str">
        <f>$Q$3095</f>
        <v>L4</v>
      </c>
      <c r="AV3135">
        <f>$E$23</f>
        <v>0</v>
      </c>
      <c r="AW3135" cm="1">
        <f t="array" ref="AW3135">IFERROR(IF(AV3135=0,0,(INDEX($C$33:$C$38,MATCH($AZ$3104,$B$33:$B$38,0),0)*(AV3137+$BA$3104)+$AW$3104*COUNTIF(AV3135:AV3136,"&gt;0")*$C$32+$AY$3104*$C$31)*$AU$3104),0)</f>
        <v>0</v>
      </c>
      <c r="AX3135">
        <f>IF(AV3135=0,0,-(COUNTIF(AV3135:AV3136,"&gt;0")*$AW$3104*$C$32+$AY$3104*$C$31)*$H$27*$AU$3104)</f>
        <v>0</v>
      </c>
      <c r="AY3135">
        <f>IF(AV3135=0,0,$AY$3104*$H$26*$AU$3104)</f>
        <v>0</v>
      </c>
      <c r="AZ3135">
        <f>(0.6*AW3135+0.7*AX3135)*$AU$3104/2</f>
        <v>0</v>
      </c>
      <c r="BA3135">
        <f>AW3135*$AU$3104/2</f>
        <v>0</v>
      </c>
      <c r="BC3135">
        <f>IF(AV3135=0,0,$BG$3104*$AP$3095)</f>
        <v>0</v>
      </c>
      <c r="BD3135">
        <f>IFERROR(BC3135/$AU$3104,0)</f>
        <v>0</v>
      </c>
      <c r="BE3135">
        <f>BC3135*($F$23+IF($F$23=0,0,($C$14+$C$15+IF($C$13="single",1.5,3)+3)/12))</f>
        <v>0</v>
      </c>
      <c r="BF3135">
        <f>BE3135-AZ3135</f>
        <v>0</v>
      </c>
      <c r="BG3135" cm="1">
        <f t="array" ref="BG3135">IFERROR(IF(BF3135&lt;0,0,BF3135/($AU$3104-INDEX(hd_off,MATCH(BT3135,hd_mark,0),0)/12)),0)</f>
        <v>0</v>
      </c>
      <c r="BH3135">
        <f>IF(AV3135=0,0,$BG$3104*$AM$3095)</f>
        <v>0</v>
      </c>
      <c r="BI3135">
        <f>IFERROR(BH3135/$AU$3104,0)</f>
        <v>0</v>
      </c>
      <c r="BJ3135">
        <f>BH3135*($F$23+IF($F$23=0,0,($C$14+$C$15+IF($C$13="single",1.5,3)+3)/12))</f>
        <v>0</v>
      </c>
      <c r="BK3135">
        <f>BJ3135-BA3135</f>
        <v>0</v>
      </c>
      <c r="BL3135" cm="1">
        <f t="array" ref="BL3135">IFERROR(IF(BK3135&lt;0,0,BK3135/($AU$3104-INDEX(hd_off,MATCH(BT3135,hd_mark,0),0)/12)),0)</f>
        <v>0</v>
      </c>
      <c r="BM3135">
        <f>MAX($F$23,$BD$3104)/$Q$3124</f>
        <v>0</v>
      </c>
      <c r="BN3135">
        <f t="shared" si="1947"/>
        <v>0</v>
      </c>
      <c r="BO3135" cm="1">
        <f t="array" ref="BO3135">IFERROR(INDEX(sheath_ecap_asd,MATCH(BS3135,sheath_mark,0),0)*BN3135,0)</f>
        <v>0</v>
      </c>
      <c r="BP3135" cm="1">
        <f t="array" ref="BP3135">IFERROR(INDEX(sheath_wcap_asd,MATCH(BS3135,sheath_mark,0),0)*BN3135,0)</f>
        <v>0</v>
      </c>
      <c r="BQ3135" cm="1">
        <f t="array" ref="BQ3135">IFERROR(INDEX(hd_cap,MATCH(BT3135,hd_mark,0),0),0)</f>
        <v>0</v>
      </c>
      <c r="BS3135" s="19"/>
      <c r="BT3135" s="19"/>
      <c r="BU3135" s="100"/>
    </row>
    <row r="3136" x14ac:dyDescent="0.25">
      <c r="B3136" t="s">
        <v>470</v>
      </c>
      <c r="C3136" s="19"/>
      <c r="D3136" s="19"/>
      <c r="E3136">
        <f t="shared" si="1939"/>
        <v>0</v>
      </c>
      <c r="H3136">
        <v>23</v>
      </c>
      <c r="I3136" s="19"/>
      <c r="J3136" s="19"/>
      <c r="K3136">
        <f t="shared" si="1940"/>
        <v>0</v>
      </c>
      <c r="P3136" s="93"/>
      <c r="Q3136" s="111">
        <f>$R$3104</f>
        <v>0</v>
      </c>
      <c r="R3136" t="str">
        <f>$Q$3096</f>
        <v>L5</v>
      </c>
      <c r="S3136">
        <f>$E$24</f>
        <v>0</v>
      </c>
      <c r="T3136" cm="1">
        <f t="array" ref="T3136">IFERROR(IF(S3136=0,0,(INDEX($C$33:$C$38,MATCH($W$3104,$B$33:$B$38,0),0)*(S3137+$X$3104)+$T$3104*COUNTIF(S3136:S3136,"&gt;0")*$C$32+$V$3104*$C$31)*$R$3104),0)</f>
        <v>0</v>
      </c>
      <c r="U3136">
        <f>IF(S3136=0,0,-(COUNTIF(S3136:S3136,"&gt;0")*$T$3104*$C$32+$V$3104*$C$31)*$H$27*$R$3104)</f>
        <v>0</v>
      </c>
      <c r="V3136">
        <f>IF(S3136=0,0,$V$3104*$H$26*$R$3104)</f>
        <v>0</v>
      </c>
      <c r="W3136">
        <f>(0.6*T3136+0.7*U3136)*$R$3104/2</f>
        <v>0</v>
      </c>
      <c r="X3136">
        <f>T3136*$R$3104/2</f>
        <v>0</v>
      </c>
      <c r="Z3136">
        <f>IF(S3136=0,0,$AD$3104*$AP$3096)</f>
        <v>0</v>
      </c>
      <c r="AA3136">
        <f>IFERROR(Z3136/$R$3104,0)</f>
        <v>0</v>
      </c>
      <c r="AB3136">
        <f>Z3136*($F$24+IF($F$24=0,0,($C$14+$C$15+IF($C$13="single",1.5,3)+3)/12))</f>
        <v>0</v>
      </c>
      <c r="AC3136">
        <f>AB3136-W3136</f>
        <v>0</v>
      </c>
      <c r="AD3136" cm="1">
        <f t="array" ref="AD3136">IFERROR(IF(AC3136&lt;0,0,AC3136/($R$3104-INDEX(hd_off,MATCH(AQ3136,hd_mark,0),0)/12)),0)</f>
        <v>0</v>
      </c>
      <c r="AE3136">
        <f>IF(S3136=0,0,$AD$3104*$AM$3096)</f>
        <v>0</v>
      </c>
      <c r="AF3136">
        <f>IFERROR(AE3136/$R$3104,0)</f>
        <v>0</v>
      </c>
      <c r="AG3136">
        <f>AE3136*($F$24+IF($F$24=0,0,($C$14+$C$15+IF($C$13="single",1.5,3)+3)/12))</f>
        <v>0</v>
      </c>
      <c r="AH3136">
        <f>AG3136-X3136</f>
        <v>0</v>
      </c>
      <c r="AI3136" cm="1">
        <f t="array" ref="AI3136">IFERROR(IF(AH3136&lt;0,0,AH3136/($R$3104-INDEX(hd_off,MATCH(AQ3136,hd_mark,0),0)/12)),0)</f>
        <v>0</v>
      </c>
      <c r="AJ3136">
        <f>MAX($F$24,$AB$3104)/$Q$3124</f>
        <v>0</v>
      </c>
      <c r="AK3136">
        <f t="shared" si="1946"/>
        <v>0</v>
      </c>
      <c r="AL3136" cm="1">
        <f t="array" ref="AL3136">IFERROR(INDEX(sheath_ecap_asd,MATCH(AP3136,sheath_mark,0),0)*AK3136,0)</f>
        <v>0</v>
      </c>
      <c r="AM3136" cm="1">
        <f t="array" ref="AM3136">IFERROR(INDEX(sheath_wcap_asd,MATCH(AP3136,sheath_mark,0),0)*AK3136,0)</f>
        <v>0</v>
      </c>
      <c r="AN3136" cm="1">
        <f t="array" ref="AN3136">IFERROR(INDEX(hd_cap,MATCH(AQ3136,hd_mark,0),0),0)</f>
        <v>0</v>
      </c>
      <c r="AP3136" s="19"/>
      <c r="AQ3136" s="19"/>
      <c r="AR3136" s="100"/>
      <c r="AS3136" s="93"/>
      <c r="AT3136" s="111">
        <f>$R$3104</f>
        <v>0</v>
      </c>
      <c r="AU3136" t="str">
        <f>$Q$3096</f>
        <v>L5</v>
      </c>
      <c r="AV3136">
        <f>$E$24</f>
        <v>0</v>
      </c>
      <c r="AW3136" cm="1">
        <f t="array" ref="AW3136">IFERROR(IF(AV3136=0,0,(INDEX($C$33:$C$38,MATCH($AZ$3104,$B$33:$B$38,0),0)*(AV3137+$BA$3104)+$AW$3104*COUNTIF(AV3136:AV3136,"&gt;0")*$C$32+$AY$3104*$C$31)*$AU$3104),0)</f>
        <v>0</v>
      </c>
      <c r="AX3136">
        <f>IF(AV3136=0,0,-(COUNTIF(AV3136:AV3136,"&gt;0")*$AW$3104*$C$32+$AY$3104*$C$31)*$H$27*$AU$3104)</f>
        <v>0</v>
      </c>
      <c r="AY3136">
        <f>IF(AV3136=0,0,$AY$3104*$H$26*$AU$3104)</f>
        <v>0</v>
      </c>
      <c r="AZ3136">
        <f>(0.6*AW3136+0.7*AX3136)*$AU$3104/2</f>
        <v>0</v>
      </c>
      <c r="BA3136">
        <f>AW3136*$AU$3104/2</f>
        <v>0</v>
      </c>
      <c r="BC3136">
        <f>IF(AV3136=0,0,$BG$3104*$AP$3096)</f>
        <v>0</v>
      </c>
      <c r="BD3136">
        <f>IFERROR(BC3136/$AU$3104,0)</f>
        <v>0</v>
      </c>
      <c r="BE3136">
        <f>BC3136*($F$24+IF($F$24=0,0,($C$14+$C$15+IF($C$13="single",1.5,3)+3)/12))</f>
        <v>0</v>
      </c>
      <c r="BF3136">
        <f>BE3136-AZ3136</f>
        <v>0</v>
      </c>
      <c r="BG3136" cm="1">
        <f t="array" ref="BG3136">IFERROR(IF(BF3136&lt;0,0,BF3136/($AU$3104-INDEX(hd_off,MATCH(BT3136,hd_mark,0),0)/12)),0)</f>
        <v>0</v>
      </c>
      <c r="BH3136">
        <f>IF(AV3136=0,0,$BG$3104*$AM$3096)</f>
        <v>0</v>
      </c>
      <c r="BI3136">
        <f>IFERROR(BH3136/$AU$3104,0)</f>
        <v>0</v>
      </c>
      <c r="BJ3136">
        <f>BH3136*($F$24+IF($F$24=0,0,($C$14+$C$15+IF($C$13="single",1.5,3)+3)/12))</f>
        <v>0</v>
      </c>
      <c r="BK3136">
        <f>BJ3136-BA3136</f>
        <v>0</v>
      </c>
      <c r="BL3136" cm="1">
        <f t="array" ref="BL3136">IFERROR(IF(BK3136&lt;0,0,BK3136/($AU$3104-INDEX(hd_off,MATCH(BT3136,hd_mark,0),0)/12)),0)</f>
        <v>0</v>
      </c>
      <c r="BM3136">
        <f>MAX($F$24,$BE$3104)/$Q$3124</f>
        <v>0</v>
      </c>
      <c r="BN3136">
        <f t="shared" si="1947"/>
        <v>0</v>
      </c>
      <c r="BO3136" cm="1">
        <f t="array" ref="BO3136">IFERROR(INDEX(sheath_ecap_asd,MATCH(BS3136,sheath_mark,0),0)*BN3136,0)</f>
        <v>0</v>
      </c>
      <c r="BP3136" cm="1">
        <f t="array" ref="BP3136">IFERROR(INDEX(sheath_wcap_asd,MATCH(BS3136,sheath_mark,0),0)*BN3136,0)</f>
        <v>0</v>
      </c>
      <c r="BQ3136" cm="1">
        <f t="array" ref="BQ3136">IFERROR(INDEX(hd_cap,MATCH(BT3136,hd_mark,0),0),0)</f>
        <v>0</v>
      </c>
      <c r="BS3136" s="19"/>
      <c r="BT3136" s="19"/>
      <c r="BU3136" s="100"/>
    </row>
    <row r="3137" x14ac:dyDescent="0.25">
      <c r="B3137" t="s">
        <v>471</v>
      </c>
      <c r="C3137" s="19"/>
      <c r="D3137" s="19"/>
      <c r="E3137">
        <f t="shared" si="1939"/>
        <v>0</v>
      </c>
      <c r="H3137">
        <v>24</v>
      </c>
      <c r="I3137" s="19"/>
      <c r="J3137" s="19"/>
      <c r="K3137">
        <f t="shared" si="1940"/>
        <v>0</v>
      </c>
      <c r="P3137" s="93"/>
      <c r="Q3137" s="109"/>
      <c r="R3137" t="str">
        <f>$Q$3097</f>
        <v>Roof</v>
      </c>
      <c r="S3137">
        <f>$E$25</f>
        <v>33.171875</v>
      </c>
      <c r="T3137" cm="1">
        <f t="array" ref="T3137">IFERROR(IF(S3137=0,0,(INDEX($C$33:$C$38,MATCH($W$3104,$B$33:$B$38,0),0)*(S3137+$X$3104)+$V$3104*$C$31)*$R$3104),0)</f>
        <v>0</v>
      </c>
      <c r="U3137">
        <f>IF(S3137=0,0,-$V$3104*$C$31*$H$27*$R$3104)</f>
        <v>0</v>
      </c>
      <c r="V3137">
        <f>IF(S3137=0,0,$V$3104*$H$26*$R$3104)</f>
        <v>0</v>
      </c>
      <c r="W3137">
        <f>(0.6*T3137+0.7*U3137)*$R$3104/2</f>
        <v>0</v>
      </c>
      <c r="X3137">
        <f>T3137*$R$3104/2</f>
        <v>0</v>
      </c>
      <c r="Z3137">
        <f>IF(S3137=0,0,$AD$3104*$AP$3097)</f>
        <v>0</v>
      </c>
      <c r="AA3137">
        <f>IFERROR(Z3137/$R$3104,0)</f>
        <v>0</v>
      </c>
      <c r="AB3137">
        <f>Z3137*($F$25+($C$16+$C$17+IF($C$13="single",1.5,3)+3)/12)</f>
        <v>0</v>
      </c>
      <c r="AC3137">
        <f>AB3137-W3137</f>
        <v>0</v>
      </c>
      <c r="AD3137" cm="1">
        <f t="array" ref="AD3137">IFERROR(IF(AC3137&lt;0,0,AC3137/($R$3104-INDEX(hd_off,MATCH(AQ3137,hd_mark,0),0)/12)),0)</f>
        <v>0</v>
      </c>
      <c r="AE3137">
        <f>IF(S3137=0,0,$AD$3104*$AM$3097)</f>
        <v>0</v>
      </c>
      <c r="AF3137">
        <f>IFERROR(AE3137/$R$3104,0)</f>
        <v>0</v>
      </c>
      <c r="AG3137">
        <f>AE3137*($F$25+($C$16+$C$17+IF($C$13="single",1.5,3)+3)/12)</f>
        <v>0</v>
      </c>
      <c r="AH3137">
        <f>AG3137-X3137</f>
        <v>0</v>
      </c>
      <c r="AI3137" cm="1">
        <f t="array" ref="AI3137">IFERROR(IF(AH3137&lt;0,0,AH3137/($R$3104-INDEX(hd_off,MATCH(AQ3137,hd_mark,0),0)/12)),0)</f>
        <v>0</v>
      </c>
      <c r="AJ3137">
        <f>MAX($F$25,$AC$3104)/$Q$3124</f>
        <v>0.29920977011494249</v>
      </c>
      <c r="AK3137">
        <f t="shared" si="1946"/>
        <v>1</v>
      </c>
      <c r="AL3137" cm="1">
        <f t="array" ref="AL3137">IFERROR(INDEX(sheath_ecap_asd,MATCH(AP3137,sheath_mark,0),0)*AK3137,0)</f>
        <v>0</v>
      </c>
      <c r="AM3137" cm="1">
        <f t="array" ref="AM3137">IFERROR(INDEX(sheath_wcap_asd,MATCH(AP3137,sheath_mark,0),0)*AK3137,0)</f>
        <v>0</v>
      </c>
      <c r="AN3137" cm="1">
        <f t="array" ref="AN3137">IFERROR(INDEX(hd_cap,MATCH(AQ3137,hd_mark,0),0),0)</f>
        <v>0</v>
      </c>
      <c r="AP3137" s="19"/>
      <c r="AQ3137" s="19"/>
      <c r="AR3137" s="100"/>
      <c r="AS3137" s="93"/>
      <c r="AT3137" s="109"/>
      <c r="AU3137" t="str">
        <f>$Q$3097</f>
        <v>Roof</v>
      </c>
      <c r="AV3137">
        <f>$E$25</f>
        <v>33.171875</v>
      </c>
      <c r="AW3137" cm="1">
        <f t="array" ref="AW3137">IFERROR(IF(AV3137=0,0,(INDEX($C$33:$C$38,MATCH($AZ$3104,$B$33:$B$38,0),0)*(AV3137+$BA$3104)+$AY$3104*$C$31)*$AU$3104),0)</f>
        <v>0</v>
      </c>
      <c r="AX3137">
        <f>IF(AV3137=0,0,-$AY$3104*$C$31*$H$27*$AU$3104)</f>
        <v>0</v>
      </c>
      <c r="AY3137">
        <f>IF(AV3137=0,0,$AY$3104*$H$26*$AU$3104)</f>
        <v>0</v>
      </c>
      <c r="AZ3137">
        <f>(0.6*AW3137+0.7*AX3137)*$AU$3104/2</f>
        <v>0</v>
      </c>
      <c r="BA3137">
        <f>AW3137*$AU$3104/2</f>
        <v>0</v>
      </c>
      <c r="BC3137">
        <f>IF(AV3137=0,0,$BG$3104*$AP$3097)</f>
        <v>0</v>
      </c>
      <c r="BD3137">
        <f>IFERROR(BC3137/$AU$3104,0)</f>
        <v>0</v>
      </c>
      <c r="BE3137">
        <f>BC3137*($F$25+($C$16+$C$17+IF($C$13="single",1.5,3)+3)/12)</f>
        <v>0</v>
      </c>
      <c r="BF3137">
        <f>BE3137-AZ3137</f>
        <v>0</v>
      </c>
      <c r="BG3137" cm="1">
        <f t="array" ref="BG3137">IFERROR(IF(BF3137&lt;0,0,BF3137/($AU$3104-INDEX(hd_off,MATCH(BT3137,hd_mark,0),0)/12)),0)</f>
        <v>0</v>
      </c>
      <c r="BH3137">
        <f>IF(AV3137=0,0,$BG$3104*$AM$3097)</f>
        <v>0</v>
      </c>
      <c r="BI3137">
        <f>IFERROR(BH3137/$AU$3104,0)</f>
        <v>0</v>
      </c>
      <c r="BJ3137">
        <f>BH3137*($F$25+($C$16+$C$17+IF($C$13="single",1.5,3)+3)/12)</f>
        <v>0</v>
      </c>
      <c r="BK3137">
        <f>BJ3137-BA3137</f>
        <v>0</v>
      </c>
      <c r="BL3137" cm="1">
        <f t="array" ref="BL3137">IFERROR(IF(BK3137&lt;0,0,BK3137/($AU$3104-INDEX(hd_off,MATCH(BT3137,hd_mark,0),0)/12)),0)</f>
        <v>0</v>
      </c>
      <c r="BM3137">
        <f>MAX($F$25,$BF$3104)/$Q$3124</f>
        <v>0.29920977011494249</v>
      </c>
      <c r="BN3137">
        <f t="shared" si="1947"/>
        <v>1</v>
      </c>
      <c r="BO3137" cm="1">
        <f t="array" ref="BO3137">IFERROR(INDEX(sheath_ecap_asd,MATCH(BS3137,sheath_mark,0),0)*BN3137,0)</f>
        <v>0</v>
      </c>
      <c r="BP3137" cm="1">
        <f t="array" ref="BP3137">IFERROR(INDEX(sheath_wcap_asd,MATCH(BS3137,sheath_mark,0),0)*BN3137,0)</f>
        <v>0</v>
      </c>
      <c r="BQ3137" cm="1">
        <f t="array" ref="BQ3137">IFERROR(INDEX(hd_cap,MATCH(BT3137,hd_mark,0),0),0)</f>
        <v>0</v>
      </c>
      <c r="BS3137" s="19"/>
      <c r="BT3137" s="19"/>
      <c r="BU3137" s="100"/>
    </row>
    <row r="3138" x14ac:dyDescent="0.25">
      <c r="B3138" t="s">
        <v>472</v>
      </c>
      <c r="C3138" s="19"/>
      <c r="D3138" s="19"/>
      <c r="E3138">
        <f t="shared" si="1939"/>
        <v>0</v>
      </c>
      <c r="H3138">
        <v>25</v>
      </c>
      <c r="I3138" s="19"/>
      <c r="J3138" s="19"/>
      <c r="K3138">
        <f t="shared" si="1940"/>
        <v>0</v>
      </c>
      <c r="P3138" s="93"/>
      <c r="AR3138" s="100"/>
      <c r="AS3138" s="93"/>
      <c r="BU3138" s="100"/>
    </row>
    <row r="3139" x14ac:dyDescent="0.25">
      <c r="B3139" t="s">
        <v>473</v>
      </c>
      <c r="C3139" s="19"/>
      <c r="D3139" s="19"/>
      <c r="E3139">
        <f t="shared" si="1939"/>
        <v>0</v>
      </c>
      <c r="H3139">
        <v>26</v>
      </c>
      <c r="I3139" s="19"/>
      <c r="J3139" s="19"/>
      <c r="K3139">
        <f t="shared" si="1940"/>
        <v>0</v>
      </c>
      <c r="P3139" s="93"/>
      <c r="Q3139" s="110" t="str">
        <f>$Q$3105</f>
        <v>A.04</v>
      </c>
      <c r="R3139" t="str">
        <f>$Q$3093</f>
        <v>L2</v>
      </c>
      <c r="S3139">
        <f>$E$21</f>
        <v>10.6875</v>
      </c>
      <c r="T3139" cm="1">
        <f t="array" ref="T3139">IFERROR(IF(S3139=0,0,(INDEX($C$33:$C$38,MATCH($W$3105,$B$33:$B$38,0),0)*(S3143+$X$3105)+$T$3105*COUNTIF(S3139:S3142,"&gt;0")*$C$32+$V$3105*$C$31)*$R$3105),0)</f>
        <v>0</v>
      </c>
      <c r="U3139">
        <f>IF(S3139=0,0,-(COUNTIF(S3139:S3142,"&gt;0")*$T$3105*$C$32+$V$3105*$C$31)*$H$27*$R$3105)</f>
        <v>0</v>
      </c>
      <c r="V3139">
        <f>IF(S3139=0,0,$V$3105*$H$26*$R$3105)</f>
        <v>0</v>
      </c>
      <c r="W3139">
        <f>(0.6*T3139+0.7*U3139)*$R$3105/2</f>
        <v>0</v>
      </c>
      <c r="X3139">
        <f>(0.6*T3139+0.6*V3139)*$R$3105/2</f>
        <v>0</v>
      </c>
      <c r="Z3139">
        <f>IF(S3139=0,0,$AD$3105*$AP$3093)</f>
        <v>0</v>
      </c>
      <c r="AA3139">
        <f>IFERROR(Z3139/$R$3105,0)</f>
        <v>0</v>
      </c>
      <c r="AB3139">
        <f>Z3139*($F$21+IF($F$21=0,0,($C$14+$C$15+IF($C$13="single",1.5,3)+3)/12))</f>
        <v>0</v>
      </c>
      <c r="AC3139">
        <f>AB3139-W3139</f>
        <v>0</v>
      </c>
      <c r="AD3139" cm="1">
        <f t="array" ref="AD3139">IFERROR(IF(AC3139&lt;0,0,AC3139/($R$3105-INDEX(hd_off,MATCH(AQ3139,hd_mark,0),0)/12)),0)</f>
        <v>0</v>
      </c>
      <c r="AE3139">
        <f>IF(S3139=0,0,$AD$3105*$AM$3093)</f>
        <v>0</v>
      </c>
      <c r="AF3139">
        <f>IFERROR(AE3139/$R$3105,0)</f>
        <v>0</v>
      </c>
      <c r="AG3139">
        <f>AE3139*($F$21+IF($F$21=0,0,($C$14+$C$15+IF($C$13="single",1.5,3)+3)/12))</f>
        <v>0</v>
      </c>
      <c r="AH3139">
        <f>AG3139-X3139</f>
        <v>0</v>
      </c>
      <c r="AI3139" cm="1">
        <f t="array" ref="AI3139">IFERROR(IF(AH3139&lt;0,0,AH3139/($R$3105-INDEX(hd_off,MATCH(AQ3139,hd_mark,0),0)/12)),0)</f>
        <v>0</v>
      </c>
      <c r="AJ3139">
        <f>MAX($F$21,$Y$3105)/$Q$3124</f>
        <v>0.30172413793103448</v>
      </c>
      <c r="AK3139">
        <f>IF(AJ3139=0,0,IF(AJ3139&gt;2,1.25-0.125*AJ3139,1))</f>
        <v>1</v>
      </c>
      <c r="AL3139" cm="1">
        <f t="array" ref="AL3139">IFERROR(INDEX(sheath_ecap_asd,MATCH(AP3139,sheath_mark,0),0)*AK3139,0)</f>
        <v>0</v>
      </c>
      <c r="AM3139" cm="1">
        <f t="array" ref="AM3139">IFERROR(INDEX(sheath_wcap_asd,MATCH(AP3139,sheath_mark,0),0)*AK3139,0)</f>
        <v>0</v>
      </c>
      <c r="AN3139" cm="1">
        <f t="array" ref="AN3139">IFERROR(INDEX(hd_cap,MATCH(AQ3139,hd_mark,0),0),0)</f>
        <v>0</v>
      </c>
      <c r="AP3139" s="19"/>
      <c r="AQ3139" s="19"/>
      <c r="AR3139" s="100"/>
      <c r="AS3139" s="93"/>
      <c r="AT3139" s="110" t="str">
        <f>$AT$3105</f>
        <v>1.04</v>
      </c>
      <c r="AU3139" t="str">
        <f>$Q$3093</f>
        <v>L2</v>
      </c>
      <c r="AV3139">
        <f>$E$21</f>
        <v>10.6875</v>
      </c>
      <c r="AW3139" cm="1">
        <f t="array" ref="AW3139">IFERROR(IF(AV3139=0,0,(INDEX($C$33:$C$38,MATCH($AZ$3105,$B$33:$B$38,0),0)*(AV3143+$BA$3105)+$AW$3105*COUNTIF(AV3139:AV3142,"&gt;0")*$C$32+$AY$3105*$C$31)*$AU$3105),0)</f>
        <v>0</v>
      </c>
      <c r="AX3139">
        <f>IF(AV3139=0,0,-(COUNTIF(AV3139:AV3142,"&gt;0")*$AW$3105*$C$32+$AY$3105*$C$31)*$H$27*$AU$3105)</f>
        <v>0</v>
      </c>
      <c r="AY3139">
        <f>IF(AV3139=0,0,$AY$3105*$H$26*$AU$3105)</f>
        <v>0</v>
      </c>
      <c r="AZ3139">
        <f>(0.6*AW3139+0.7*AX3139)*$AU$3105/2</f>
        <v>0</v>
      </c>
      <c r="BA3139">
        <f>(0.6*AW3139+0.6*AY3139)*$AU$3105/2</f>
        <v>0</v>
      </c>
      <c r="BC3139">
        <f>IF(AV3139=0,0,$BG$3105*$AP$3093)</f>
        <v>0</v>
      </c>
      <c r="BD3139">
        <f>IFERROR(BC3139/$AU$3105,0)</f>
        <v>0</v>
      </c>
      <c r="BE3139">
        <f>BC3139*($F$21+IF($F$21=0,0,($C$14+$C$15+IF($C$13="single",1.5,3)+3)/12))</f>
        <v>0</v>
      </c>
      <c r="BF3139">
        <f>BE3139-AZ3139</f>
        <v>0</v>
      </c>
      <c r="BG3139" cm="1">
        <f t="array" ref="BG3139">IFERROR(IF(BF3139&lt;0,0,BF3139/($AU$3105-INDEX(hd_off,MATCH(BT3139,hd_mark,0),0)/12)),0)</f>
        <v>0</v>
      </c>
      <c r="BH3139">
        <f>IF(AV3139=0,0,$BG$3105*$AM$3093)</f>
        <v>0</v>
      </c>
      <c r="BI3139">
        <f>IFERROR(BH3139/$AU$3105,0)</f>
        <v>0</v>
      </c>
      <c r="BJ3139">
        <f>BH3139*($F$21+IF($F$21=0,0,($C$14+$C$15+IF($C$13="single",1.5,3)+3)/12))</f>
        <v>0</v>
      </c>
      <c r="BK3139">
        <f>BJ3139-BA3139</f>
        <v>0</v>
      </c>
      <c r="BL3139" cm="1">
        <f t="array" ref="BL3139">IFERROR(IF(BK3139&lt;0,0,BK3139/($AU$3105-INDEX(hd_off,MATCH(BT3139,hd_mark,0),0)/12)),0)</f>
        <v>0</v>
      </c>
      <c r="BM3139">
        <f>MAX($F$21,$BB$3105)/$Q$3124</f>
        <v>0.30172413793103448</v>
      </c>
      <c r="BN3139">
        <f>IF(BM3139=0,0,IF(BM3139&gt;2,1.25-0.125*BM3139,1))</f>
        <v>1</v>
      </c>
      <c r="BO3139" cm="1">
        <f t="array" ref="BO3139">IFERROR(INDEX(sheath_ecap_asd,MATCH(BS3139,sheath_mark,0),0)*BN3139,0)</f>
        <v>0</v>
      </c>
      <c r="BP3139" cm="1">
        <f t="array" ref="BP3139">IFERROR(INDEX(sheath_wcap_asd,MATCH(BS3139,sheath_mark,0),0)*BN3139,0)</f>
        <v>0</v>
      </c>
      <c r="BQ3139" cm="1">
        <f t="array" ref="BQ3139">IFERROR(INDEX(hd_cap,MATCH(BT3139,hd_mark,0),0),0)</f>
        <v>0</v>
      </c>
      <c r="BS3139" s="19"/>
      <c r="BT3139" s="19"/>
      <c r="BU3139" s="100"/>
    </row>
    <row r="3140" x14ac:dyDescent="0.25">
      <c r="P3140" s="93"/>
      <c r="Q3140" s="109"/>
      <c r="R3140" t="str">
        <f>$Q$3094</f>
        <v>L3</v>
      </c>
      <c r="S3140">
        <f>$E$22</f>
        <v>21.375</v>
      </c>
      <c r="T3140" cm="1">
        <f t="array" ref="T3140">IFERROR(IF(S3140=0,0,(INDEX($C$33:$C$38,MATCH($W$3105,$B$33:$B$38,0),0)*(S3143+$X$3105)+$T$3105*COUNTIF(S3140:S3142,"&gt;0")*$C$32+$V$3105*$C$31)*$R$3105),0)</f>
        <v>0</v>
      </c>
      <c r="U3140">
        <f>IF(S3140=0,0,-(COUNTIF(S3140:S3142,"&gt;0")*$T$3105*$C$32+$V$3105*$C$31)*$H$27*$R$3105)</f>
        <v>0</v>
      </c>
      <c r="V3140">
        <f>IF(S3140=0,0,$V$3105*$H$26*$R$3105)</f>
        <v>0</v>
      </c>
      <c r="W3140">
        <f>(0.6*T3140+0.7*U3140)*$R$3105/2</f>
        <v>0</v>
      </c>
      <c r="X3140">
        <f>T3140*$R$3105/2</f>
        <v>0</v>
      </c>
      <c r="Z3140">
        <f>IF(S3140=0,0,$AD$3105*$AP$3094)</f>
        <v>0</v>
      </c>
      <c r="AA3140">
        <f>IFERROR(Z3140/$R$3105,0)</f>
        <v>0</v>
      </c>
      <c r="AB3140">
        <f>Z3140*($F$22+IF($F$22=0,0,($C$14+$C$15+IF($C$13="single",1.5,3)+3)/12))</f>
        <v>0</v>
      </c>
      <c r="AC3140">
        <f>AB3140-W3140</f>
        <v>0</v>
      </c>
      <c r="AD3140" cm="1">
        <f t="array" ref="AD3140">IFERROR(IF(AC3140&lt;0,0,AC3140/($R$3105-INDEX(hd_off,MATCH(AQ3140,hd_mark,0),0)/12)),0)</f>
        <v>0</v>
      </c>
      <c r="AE3140">
        <f>IF(S3140=0,0,$AD$3105*$AM$3094)</f>
        <v>0</v>
      </c>
      <c r="AF3140">
        <f>IFERROR(AE3140/$R$3105,0)</f>
        <v>0</v>
      </c>
      <c r="AG3140">
        <f>AE3140*($F$22+IF($F$22=0,0,($C$14+$C$15+IF($C$13="single",1.5,3)+3)/12))</f>
        <v>0</v>
      </c>
      <c r="AH3140">
        <f>AG3140-X3140</f>
        <v>0</v>
      </c>
      <c r="AI3140" cm="1">
        <f t="array" ref="AI3140">IFERROR(IF(AH3140&lt;0,0,AH3140/($R$3105-INDEX(hd_off,MATCH(AQ3140,hd_mark,0),0)/12)),0)</f>
        <v>0</v>
      </c>
      <c r="AJ3140">
        <f>MAX($F$22,$Z$3105)/$Q$3124</f>
        <v>0.30172413793103448</v>
      </c>
      <c r="AK3140">
        <f t="shared" ref="AK3140:AK3143" si="1948">IF(AJ3140=0,0,IF(AJ3140&gt;2,1.25-0.125*AJ3140,1))</f>
        <v>1</v>
      </c>
      <c r="AL3140" cm="1">
        <f t="array" ref="AL3140">IFERROR(INDEX(sheath_ecap_asd,MATCH(AP3140,sheath_mark,0),0)*AK3140,0)</f>
        <v>0</v>
      </c>
      <c r="AM3140" cm="1">
        <f t="array" ref="AM3140">IFERROR(INDEX(sheath_wcap_asd,MATCH(AP3140,sheath_mark,0),0)*AK3140,0)</f>
        <v>0</v>
      </c>
      <c r="AN3140" cm="1">
        <f t="array" ref="AN3140">IFERROR(INDEX(hd_cap,MATCH(AQ3140,hd_mark,0),0),0)</f>
        <v>0</v>
      </c>
      <c r="AP3140" s="19"/>
      <c r="AQ3140" s="19"/>
      <c r="AR3140" s="100"/>
      <c r="AS3140" s="93"/>
      <c r="AT3140" s="109"/>
      <c r="AU3140" t="str">
        <f>$Q$3094</f>
        <v>L3</v>
      </c>
      <c r="AV3140">
        <f>$E$22</f>
        <v>21.375</v>
      </c>
      <c r="AW3140" cm="1">
        <f t="array" ref="AW3140">IFERROR(IF(AV3140=0,0,(INDEX($C$33:$C$38,MATCH($AZ$3105,$B$33:$B$38,0),0)*(AV3143+$BA$3105)+$AW$3105*COUNTIF(AV3140:AV3142,"&gt;0")*$C$32+$AY$3105*$C$31)*$AU$3105),0)</f>
        <v>0</v>
      </c>
      <c r="AX3140">
        <f>IF(AV3140=0,0,-(COUNTIF(AV3140:AV3142,"&gt;0")*$AW$3105*$C$32+$AY$3105*$C$31)*$H$27*$AU$3105)</f>
        <v>0</v>
      </c>
      <c r="AY3140">
        <f>IF(AV3140=0,0,$AY$3105*$H$26*$AU$3105)</f>
        <v>0</v>
      </c>
      <c r="AZ3140">
        <f>(0.6*AW3140+0.7*AX3140)*$AU$3105/2</f>
        <v>0</v>
      </c>
      <c r="BA3140">
        <f>AW3140*$AU$3105/2</f>
        <v>0</v>
      </c>
      <c r="BC3140">
        <f>IF(AV3140=0,0,$BG$3105*$AP$3094)</f>
        <v>0</v>
      </c>
      <c r="BD3140">
        <f>IFERROR(BC3140/$AU$3105,0)</f>
        <v>0</v>
      </c>
      <c r="BE3140">
        <f>BC3140*($F$22+IF($F$22=0,0,($C$14+$C$15+IF($C$13="single",1.5,3)+3)/12))</f>
        <v>0</v>
      </c>
      <c r="BF3140">
        <f>BE3140-AZ3140</f>
        <v>0</v>
      </c>
      <c r="BG3140" cm="1">
        <f t="array" ref="BG3140">IFERROR(IF(BF3140&lt;0,0,BF3140/($AU$3105-INDEX(hd_off,MATCH(BT3140,hd_mark,0),0)/12)),0)</f>
        <v>0</v>
      </c>
      <c r="BH3140">
        <f>IF(AV3140=0,0,$BG$3105*$AM$3094)</f>
        <v>0</v>
      </c>
      <c r="BI3140">
        <f>IFERROR(BH3140/$AU$3105,0)</f>
        <v>0</v>
      </c>
      <c r="BJ3140">
        <f>BH3140*($F$22+IF($F$22=0,0,($C$14+$C$15+IF($C$13="single",1.5,3)+3)/12))</f>
        <v>0</v>
      </c>
      <c r="BK3140">
        <f>BJ3140-BA3140</f>
        <v>0</v>
      </c>
      <c r="BL3140" cm="1">
        <f t="array" ref="BL3140">IFERROR(IF(BK3140&lt;0,0,BK3140/($AU$3105-INDEX(hd_off,MATCH(BT3140,hd_mark,0),0)/12)),0)</f>
        <v>0</v>
      </c>
      <c r="BM3140">
        <f>MAX($F$22,$BC$3105)/$Q$3124</f>
        <v>0.30172413793103448</v>
      </c>
      <c r="BN3140">
        <f t="shared" ref="BN3140:BN3143" si="1949">IF(BM3140=0,0,IF(BM3140&gt;2,1.25-0.125*BM3140,1))</f>
        <v>1</v>
      </c>
      <c r="BO3140" cm="1">
        <f t="array" ref="BO3140">IFERROR(INDEX(sheath_ecap_asd,MATCH(BS3140,sheath_mark,0),0)*BN3140,0)</f>
        <v>0</v>
      </c>
      <c r="BP3140" cm="1">
        <f t="array" ref="BP3140">IFERROR(INDEX(sheath_wcap_asd,MATCH(BS3140,sheath_mark,0),0)*BN3140,0)</f>
        <v>0</v>
      </c>
      <c r="BQ3140" cm="1">
        <f t="array" ref="BQ3140">IFERROR(INDEX(hd_cap,MATCH(BT3140,hd_mark,0),0),0)</f>
        <v>0</v>
      </c>
      <c r="BS3140" s="19"/>
      <c r="BT3140" s="19"/>
      <c r="BU3140" s="100"/>
    </row>
    <row r="3141" x14ac:dyDescent="0.25">
      <c r="B3141" s="1"/>
      <c r="P3141" s="93"/>
      <c r="Q3141" s="109" t="s">
        <v>491</v>
      </c>
      <c r="R3141" t="str">
        <f>$Q$3095</f>
        <v>L4</v>
      </c>
      <c r="S3141">
        <f>$E$23</f>
        <v>0</v>
      </c>
      <c r="T3141" cm="1">
        <f t="array" ref="T3141">IFERROR(IF(S3141=0,0,(INDEX($C$33:$C$38,MATCH($W$3105,$B$33:$B$38,0),0)*(S3143+$X$3105)+$T$3105*COUNTIF(S3141:S3142,"&gt;0")*$C$32+$V$3105*$C$31)*$R$3105),0)</f>
        <v>0</v>
      </c>
      <c r="U3141">
        <f>IF(S3141=0,0,-(COUNTIF(S3141:S3142,"&gt;0")*$T$3105*$C$32+$V$3105*$C$31)*$H$27*$R$3105)</f>
        <v>0</v>
      </c>
      <c r="V3141">
        <f>IF(S3141=0,0,$V$3105*$H$26*$R$3105)</f>
        <v>0</v>
      </c>
      <c r="W3141">
        <f>(0.6*T3141+0.7*U3141)*$R$3105/2</f>
        <v>0</v>
      </c>
      <c r="X3141">
        <f>T3141*$R$3105/2</f>
        <v>0</v>
      </c>
      <c r="Z3141">
        <f>IF(S3141=0,0,$AD$3105*$AP$3095)</f>
        <v>0</v>
      </c>
      <c r="AA3141">
        <f>IFERROR(Z3141/$R$3105,0)</f>
        <v>0</v>
      </c>
      <c r="AB3141">
        <f>Z3141*($F$23+IF($F$23=0,0,($C$14+$C$15+IF($C$13="single",1.5,3)+3)/12))</f>
        <v>0</v>
      </c>
      <c r="AC3141">
        <f>AB3141-W3141</f>
        <v>0</v>
      </c>
      <c r="AD3141" cm="1">
        <f t="array" ref="AD3141">IFERROR(IF(AC3141&lt;0,0,AC3141/($R$3105-INDEX(hd_off,MATCH(AQ3141,hd_mark,0),0)/12)),0)</f>
        <v>0</v>
      </c>
      <c r="AE3141">
        <f>IF(S3141=0,0,$AD$3105*$AM$3095)</f>
        <v>0</v>
      </c>
      <c r="AF3141">
        <f>IFERROR(AE3141/$R$3105,0)</f>
        <v>0</v>
      </c>
      <c r="AG3141">
        <f>AE3141*($F$23+IF($F$23=0,0,($C$14+$C$15+IF($C$13="single",1.5,3)+3)/12))</f>
        <v>0</v>
      </c>
      <c r="AH3141">
        <f>AG3141-X3141</f>
        <v>0</v>
      </c>
      <c r="AI3141" cm="1">
        <f t="array" ref="AI3141">IFERROR(IF(AH3141&lt;0,0,AH3141/($R$3105-INDEX(hd_off,MATCH(AQ3141,hd_mark,0),0)/12)),0)</f>
        <v>0</v>
      </c>
      <c r="AJ3141">
        <f>MAX($F$23,$AA$3105)/$Q$3124</f>
        <v>0</v>
      </c>
      <c r="AK3141">
        <f t="shared" si="1948"/>
        <v>0</v>
      </c>
      <c r="AL3141" cm="1">
        <f t="array" ref="AL3141">IFERROR(INDEX(sheath_ecap_asd,MATCH(AP3141,sheath_mark,0),0)*AK3141,0)</f>
        <v>0</v>
      </c>
      <c r="AM3141" cm="1">
        <f t="array" ref="AM3141">IFERROR(INDEX(sheath_wcap_asd,MATCH(AP3141,sheath_mark,0),0)*AK3141,0)</f>
        <v>0</v>
      </c>
      <c r="AN3141" cm="1">
        <f t="array" ref="AN3141">IFERROR(INDEX(hd_cap,MATCH(AQ3141,hd_mark,0),0),0)</f>
        <v>0</v>
      </c>
      <c r="AP3141" s="19"/>
      <c r="AQ3141" s="19"/>
      <c r="AR3141" s="100"/>
      <c r="AS3141" s="93"/>
      <c r="AT3141" s="109" t="s">
        <v>491</v>
      </c>
      <c r="AU3141" t="str">
        <f>$Q$3095</f>
        <v>L4</v>
      </c>
      <c r="AV3141">
        <f>$E$23</f>
        <v>0</v>
      </c>
      <c r="AW3141" cm="1">
        <f t="array" ref="AW3141">IFERROR(IF(AV3141=0,0,(INDEX($C$33:$C$38,MATCH($AZ$3105,$B$33:$B$38,0),0)*(AV3143+$BA$3105)+$AW$3105*COUNTIF(AV3141:AV3142,"&gt;0")*$C$32+$AY$3105*$C$31)*$AU$3105),0)</f>
        <v>0</v>
      </c>
      <c r="AX3141">
        <f>IF(AV3141=0,0,-(COUNTIF(AV3141:AV3142,"&gt;0")*$AW$3105*$C$32+$AY$3105*$C$31)*$H$27*$AU$3105)</f>
        <v>0</v>
      </c>
      <c r="AY3141">
        <f>IF(AV3141=0,0,$AY$3105*$H$26*$AU$3105)</f>
        <v>0</v>
      </c>
      <c r="AZ3141">
        <f>(0.6*AW3141+0.7*AX3141)*$AU$3105/2</f>
        <v>0</v>
      </c>
      <c r="BA3141">
        <f>AW3141*$AU$3105/2</f>
        <v>0</v>
      </c>
      <c r="BC3141">
        <f>IF(AV3141=0,0,$BG$3105*$AP$3095)</f>
        <v>0</v>
      </c>
      <c r="BD3141">
        <f>IFERROR(BC3141/$AU$3105,0)</f>
        <v>0</v>
      </c>
      <c r="BE3141">
        <f>BC3141*($F$23+IF($F$23=0,0,($C$14+$C$15+IF($C$13="single",1.5,3)+3)/12))</f>
        <v>0</v>
      </c>
      <c r="BF3141">
        <f>BE3141-AZ3141</f>
        <v>0</v>
      </c>
      <c r="BG3141" cm="1">
        <f t="array" ref="BG3141">IFERROR(IF(BF3141&lt;0,0,BF3141/($AU$3105-INDEX(hd_off,MATCH(BT3141,hd_mark,0),0)/12)),0)</f>
        <v>0</v>
      </c>
      <c r="BH3141">
        <f>IF(AV3141=0,0,$BG$3105*$AM$3095)</f>
        <v>0</v>
      </c>
      <c r="BI3141">
        <f>IFERROR(BH3141/$AU$3105,0)</f>
        <v>0</v>
      </c>
      <c r="BJ3141">
        <f>BH3141*($F$23+IF($F$23=0,0,($C$14+$C$15+IF($C$13="single",1.5,3)+3)/12))</f>
        <v>0</v>
      </c>
      <c r="BK3141">
        <f>BJ3141-BA3141</f>
        <v>0</v>
      </c>
      <c r="BL3141" cm="1">
        <f t="array" ref="BL3141">IFERROR(IF(BK3141&lt;0,0,BK3141/($AU$3105-INDEX(hd_off,MATCH(BT3141,hd_mark,0),0)/12)),0)</f>
        <v>0</v>
      </c>
      <c r="BM3141">
        <f>MAX($F$23,$BD$3105)/$Q$3124</f>
        <v>0</v>
      </c>
      <c r="BN3141">
        <f t="shared" si="1949"/>
        <v>0</v>
      </c>
      <c r="BO3141" cm="1">
        <f t="array" ref="BO3141">IFERROR(INDEX(sheath_ecap_asd,MATCH(BS3141,sheath_mark,0),0)*BN3141,0)</f>
        <v>0</v>
      </c>
      <c r="BP3141" cm="1">
        <f t="array" ref="BP3141">IFERROR(INDEX(sheath_wcap_asd,MATCH(BS3141,sheath_mark,0),0)*BN3141,0)</f>
        <v>0</v>
      </c>
      <c r="BQ3141" cm="1">
        <f t="array" ref="BQ3141">IFERROR(INDEX(hd_cap,MATCH(BT3141,hd_mark,0),0),0)</f>
        <v>0</v>
      </c>
      <c r="BS3141" s="19"/>
      <c r="BT3141" s="19"/>
      <c r="BU3141" s="100"/>
    </row>
    <row r="3142" x14ac:dyDescent="0.25">
      <c r="P3142" s="93"/>
      <c r="Q3142" s="111">
        <f>$R$3105</f>
        <v>0</v>
      </c>
      <c r="R3142" t="str">
        <f>$Q$3096</f>
        <v>L5</v>
      </c>
      <c r="S3142">
        <f>$E$24</f>
        <v>0</v>
      </c>
      <c r="T3142" cm="1">
        <f t="array" ref="T3142">IFERROR(IF(S3142=0,0,(INDEX($C$33:$C$38,MATCH($W$3105,$B$33:$B$38,0),0)*(S3143+$X$3105)+$T$3105*COUNTIF(S3142:S3142,"&gt;0")*$C$32+$V$3105*$C$31)*$R$3105),0)</f>
        <v>0</v>
      </c>
      <c r="U3142">
        <f>IF(S3142=0,0,-(COUNTIF(S3142:S3142,"&gt;0")*$T$3105*$C$32+$V$3105*$C$31)*$H$27*$R$3105)</f>
        <v>0</v>
      </c>
      <c r="V3142">
        <f>IF(S3142=0,0,$V$3105*$H$26*$R$3105)</f>
        <v>0</v>
      </c>
      <c r="W3142">
        <f>(0.6*T3142+0.7*U3142)*$R$3105/2</f>
        <v>0</v>
      </c>
      <c r="X3142">
        <f>T3142*$R$3105/2</f>
        <v>0</v>
      </c>
      <c r="Z3142">
        <f>IF(S3142=0,0,$AD$3105*$AP$3096)</f>
        <v>0</v>
      </c>
      <c r="AA3142">
        <f>IFERROR(Z3142/$R$3105,0)</f>
        <v>0</v>
      </c>
      <c r="AB3142">
        <f>Z3142*($F$24+IF($F$24=0,0,($C$14+$C$15+IF($C$13="single",1.5,3)+3)/12))</f>
        <v>0</v>
      </c>
      <c r="AC3142">
        <f>AB3142-W3142</f>
        <v>0</v>
      </c>
      <c r="AD3142" cm="1">
        <f t="array" ref="AD3142">IFERROR(IF(AC3142&lt;0,0,AC3142/($R$3105-INDEX(hd_off,MATCH(AQ3142,hd_mark,0),0)/12)),0)</f>
        <v>0</v>
      </c>
      <c r="AE3142">
        <f>IF(S3142=0,0,$AD$3105*$AM$3096)</f>
        <v>0</v>
      </c>
      <c r="AF3142">
        <f>IFERROR(AE3142/$R$3105,0)</f>
        <v>0</v>
      </c>
      <c r="AG3142">
        <f>AE3142*($F$24+IF($F$24=0,0,($C$14+$C$15+IF($C$13="single",1.5,3)+3)/12))</f>
        <v>0</v>
      </c>
      <c r="AH3142">
        <f>AG3142-X3142</f>
        <v>0</v>
      </c>
      <c r="AI3142" cm="1">
        <f t="array" ref="AI3142">IFERROR(IF(AH3142&lt;0,0,AH3142/($R$3105-INDEX(hd_off,MATCH(AQ3142,hd_mark,0),0)/12)),0)</f>
        <v>0</v>
      </c>
      <c r="AJ3142">
        <f>MAX($F$24,$AB$3105)/$Q$3124</f>
        <v>0</v>
      </c>
      <c r="AK3142">
        <f t="shared" si="1948"/>
        <v>0</v>
      </c>
      <c r="AL3142" cm="1">
        <f t="array" ref="AL3142">IFERROR(INDEX(sheath_ecap_asd,MATCH(AP3142,sheath_mark,0),0)*AK3142,0)</f>
        <v>0</v>
      </c>
      <c r="AM3142" cm="1">
        <f t="array" ref="AM3142">IFERROR(INDEX(sheath_wcap_asd,MATCH(AP3142,sheath_mark,0),0)*AK3142,0)</f>
        <v>0</v>
      </c>
      <c r="AN3142" cm="1">
        <f t="array" ref="AN3142">IFERROR(INDEX(hd_cap,MATCH(AQ3142,hd_mark,0),0),0)</f>
        <v>0</v>
      </c>
      <c r="AP3142" s="19"/>
      <c r="AQ3142" s="19"/>
      <c r="AR3142" s="100"/>
      <c r="AS3142" s="93"/>
      <c r="AT3142" s="111">
        <f>$R$3105</f>
        <v>0</v>
      </c>
      <c r="AU3142" t="str">
        <f>$Q$3096</f>
        <v>L5</v>
      </c>
      <c r="AV3142">
        <f>$E$24</f>
        <v>0</v>
      </c>
      <c r="AW3142" cm="1">
        <f t="array" ref="AW3142">IFERROR(IF(AV3142=0,0,(INDEX($C$33:$C$38,MATCH($AZ$3105,$B$33:$B$38,0),0)*(AV3143+$BA$3105)+$AW$3105*COUNTIF(AV3142:AV3142,"&gt;0")*$C$32+$AY$3105*$C$31)*$AU$3105),0)</f>
        <v>0</v>
      </c>
      <c r="AX3142">
        <f>IF(AV3142=0,0,-(COUNTIF(AV3142:AV3142,"&gt;0")*$AW$3105*$C$32+$AY$3105*$C$31)*$H$27*$AU$3105)</f>
        <v>0</v>
      </c>
      <c r="AY3142">
        <f>IF(AV3142=0,0,$AY$3105*$H$26*$AU$3105)</f>
        <v>0</v>
      </c>
      <c r="AZ3142">
        <f>(0.6*AW3142+0.7*AX3142)*$AU$3105/2</f>
        <v>0</v>
      </c>
      <c r="BA3142">
        <f>AW3142*$AU$3105/2</f>
        <v>0</v>
      </c>
      <c r="BC3142">
        <f>IF(AV3142=0,0,$BG$3105*$AP$3096)</f>
        <v>0</v>
      </c>
      <c r="BD3142">
        <f>IFERROR(BC3142/$AU$3105,0)</f>
        <v>0</v>
      </c>
      <c r="BE3142">
        <f>BC3142*($F$24+IF($F$24=0,0,($C$14+$C$15+IF($C$13="single",1.5,3)+3)/12))</f>
        <v>0</v>
      </c>
      <c r="BF3142">
        <f>BE3142-AZ3142</f>
        <v>0</v>
      </c>
      <c r="BG3142" cm="1">
        <f t="array" ref="BG3142">IFERROR(IF(BF3142&lt;0,0,BF3142/($AU$3105-INDEX(hd_off,MATCH(BT3142,hd_mark,0),0)/12)),0)</f>
        <v>0</v>
      </c>
      <c r="BH3142">
        <f>IF(AV3142=0,0,$BG$3105*$AM$3096)</f>
        <v>0</v>
      </c>
      <c r="BI3142">
        <f>IFERROR(BH3142/$AU$3105,0)</f>
        <v>0</v>
      </c>
      <c r="BJ3142">
        <f>BH3142*($F$24+IF($F$24=0,0,($C$14+$C$15+IF($C$13="single",1.5,3)+3)/12))</f>
        <v>0</v>
      </c>
      <c r="BK3142">
        <f>BJ3142-BA3142</f>
        <v>0</v>
      </c>
      <c r="BL3142" cm="1">
        <f t="array" ref="BL3142">IFERROR(IF(BK3142&lt;0,0,BK3142/($AU$3105-INDEX(hd_off,MATCH(BT3142,hd_mark,0),0)/12)),0)</f>
        <v>0</v>
      </c>
      <c r="BM3142">
        <f>MAX($F$24,$BE$3105)/$Q$3124</f>
        <v>0</v>
      </c>
      <c r="BN3142">
        <f t="shared" si="1949"/>
        <v>0</v>
      </c>
      <c r="BO3142" cm="1">
        <f t="array" ref="BO3142">IFERROR(INDEX(sheath_ecap_asd,MATCH(BS3142,sheath_mark,0),0)*BN3142,0)</f>
        <v>0</v>
      </c>
      <c r="BP3142" cm="1">
        <f t="array" ref="BP3142">IFERROR(INDEX(sheath_wcap_asd,MATCH(BS3142,sheath_mark,0),0)*BN3142,0)</f>
        <v>0</v>
      </c>
      <c r="BQ3142" cm="1">
        <f t="array" ref="BQ3142">IFERROR(INDEX(hd_cap,MATCH(BT3142,hd_mark,0),0),0)</f>
        <v>0</v>
      </c>
      <c r="BS3142" s="19"/>
      <c r="BT3142" s="19"/>
      <c r="BU3142" s="100"/>
    </row>
    <row r="3143" x14ac:dyDescent="0.25">
      <c r="P3143" s="93"/>
      <c r="Q3143" s="109"/>
      <c r="R3143" t="str">
        <f>$Q$3097</f>
        <v>Roof</v>
      </c>
      <c r="S3143">
        <f>$E$25</f>
        <v>33.171875</v>
      </c>
      <c r="T3143" cm="1">
        <f t="array" ref="T3143">IFERROR(IF(S3143=0,0,(INDEX($C$33:$C$38,MATCH($W$3105,$B$33:$B$38,0),0)*(S3143+$X$3105)+$V$3105*$C$31)*$R$3105),0)</f>
        <v>0</v>
      </c>
      <c r="U3143">
        <f>IF(S3143=0,0,-$V$3105*$C$31*$H$27*$R$3105)</f>
        <v>0</v>
      </c>
      <c r="V3143">
        <f>IF(S3143=0,0,$V$3105*$H$26*$R$3105)</f>
        <v>0</v>
      </c>
      <c r="W3143">
        <f>(0.6*T3143+0.7*U3143)*$R$3105/2</f>
        <v>0</v>
      </c>
      <c r="X3143">
        <f>T3143*$R$3105/2</f>
        <v>0</v>
      </c>
      <c r="Z3143">
        <f>IF(S3143=0,0,$AD$3105*$AP$3097)</f>
        <v>0</v>
      </c>
      <c r="AA3143">
        <f>IFERROR(Z3143/$R$3105,0)</f>
        <v>0</v>
      </c>
      <c r="AB3143">
        <f>Z3143*($F$25+($C$16+$C$17+IF($C$13="single",1.5,3)+3)/12)</f>
        <v>0</v>
      </c>
      <c r="AC3143">
        <f>AB3143-W3143</f>
        <v>0</v>
      </c>
      <c r="AD3143" cm="1">
        <f t="array" ref="AD3143">IFERROR(IF(AC3143&lt;0,0,AC3143/($R$3105-INDEX(hd_off,MATCH(AQ3143,hd_mark,0),0)/12)),0)</f>
        <v>0</v>
      </c>
      <c r="AE3143">
        <f>IF(S3143=0,0,$AD$3105*$AM$3097)</f>
        <v>0</v>
      </c>
      <c r="AF3143">
        <f>IFERROR(AE3143/$R$3105,0)</f>
        <v>0</v>
      </c>
      <c r="AG3143">
        <f>AE3143*($F$25+($C$16+$C$17+IF($C$13="single",1.5,3)+3)/12)</f>
        <v>0</v>
      </c>
      <c r="AH3143">
        <f>AG3143-X3143</f>
        <v>0</v>
      </c>
      <c r="AI3143" cm="1">
        <f t="array" ref="AI3143">IFERROR(IF(AH3143&lt;0,0,AH3143/($R$3105-INDEX(hd_off,MATCH(AQ3143,hd_mark,0),0)/12)),0)</f>
        <v>0</v>
      </c>
      <c r="AJ3143">
        <f>MAX($F$25,$AC$3105)/$Q$3124</f>
        <v>0.29920977011494249</v>
      </c>
      <c r="AK3143">
        <f t="shared" si="1948"/>
        <v>1</v>
      </c>
      <c r="AL3143" cm="1">
        <f t="array" ref="AL3143">IFERROR(INDEX(sheath_ecap_asd,MATCH(AP3143,sheath_mark,0),0)*AK3143,0)</f>
        <v>0</v>
      </c>
      <c r="AM3143" cm="1">
        <f t="array" ref="AM3143">IFERROR(INDEX(sheath_wcap_asd,MATCH(AP3143,sheath_mark,0),0)*AK3143,0)</f>
        <v>0</v>
      </c>
      <c r="AN3143" cm="1">
        <f t="array" ref="AN3143">IFERROR(INDEX(hd_cap,MATCH(AQ3143,hd_mark,0),0),0)</f>
        <v>0</v>
      </c>
      <c r="AP3143" s="19"/>
      <c r="AQ3143" s="19"/>
      <c r="AR3143" s="100"/>
      <c r="AS3143" s="93"/>
      <c r="AT3143" s="109"/>
      <c r="AU3143" t="str">
        <f>$Q$3097</f>
        <v>Roof</v>
      </c>
      <c r="AV3143">
        <f>$E$25</f>
        <v>33.171875</v>
      </c>
      <c r="AW3143" cm="1">
        <f t="array" ref="AW3143">IFERROR(IF(AV3143=0,0,(INDEX($C$33:$C$38,MATCH($AZ$3105,$B$33:$B$38,0),0)*(AV3143+$BA$3105)+$AY$3105*$C$31)*$AU$3105),0)</f>
        <v>0</v>
      </c>
      <c r="AX3143">
        <f>IF(AV3143=0,0,-$AY$3105*$C$31*$H$27*$AU$3105)</f>
        <v>0</v>
      </c>
      <c r="AY3143">
        <f>IF(AV3143=0,0,$AY$3105*$H$26*$AU$3105)</f>
        <v>0</v>
      </c>
      <c r="AZ3143">
        <f>(0.6*AW3143+0.7*AX3143)*$AU$3105/2</f>
        <v>0</v>
      </c>
      <c r="BA3143">
        <f>AW3143*$AU$3105/2</f>
        <v>0</v>
      </c>
      <c r="BC3143">
        <f>IF(AV3143=0,0,$BG$3105*$AP$3097)</f>
        <v>0</v>
      </c>
      <c r="BD3143">
        <f>IFERROR(BC3143/$AU$3105,0)</f>
        <v>0</v>
      </c>
      <c r="BE3143">
        <f>BC3143*($F$25+($C$16+$C$17+IF($C$13="single",1.5,3)+3)/12)</f>
        <v>0</v>
      </c>
      <c r="BF3143">
        <f>BE3143-AZ3143</f>
        <v>0</v>
      </c>
      <c r="BG3143" cm="1">
        <f t="array" ref="BG3143">IFERROR(IF(BF3143&lt;0,0,BF3143/($AU$3105-INDEX(hd_off,MATCH(BT3143,hd_mark,0),0)/12)),0)</f>
        <v>0</v>
      </c>
      <c r="BH3143">
        <f>IF(AV3143=0,0,$BG$3105*$AM$3097)</f>
        <v>0</v>
      </c>
      <c r="BI3143">
        <f>IFERROR(BH3143/$AU$3105,0)</f>
        <v>0</v>
      </c>
      <c r="BJ3143">
        <f>BH3143*($F$25+($C$16+$C$17+IF($C$13="single",1.5,3)+3)/12)</f>
        <v>0</v>
      </c>
      <c r="BK3143">
        <f>BJ3143-BA3143</f>
        <v>0</v>
      </c>
      <c r="BL3143" cm="1">
        <f t="array" ref="BL3143">IFERROR(IF(BK3143&lt;0,0,BK3143/($AU$3105-INDEX(hd_off,MATCH(BT3143,hd_mark,0),0)/12)),0)</f>
        <v>0</v>
      </c>
      <c r="BM3143">
        <f>MAX($F$25,$BF$3105)/$Q$3124</f>
        <v>0.29920977011494249</v>
      </c>
      <c r="BN3143">
        <f t="shared" si="1949"/>
        <v>1</v>
      </c>
      <c r="BO3143" cm="1">
        <f t="array" ref="BO3143">IFERROR(INDEX(sheath_ecap_asd,MATCH(BS3143,sheath_mark,0),0)*BN3143,0)</f>
        <v>0</v>
      </c>
      <c r="BP3143" cm="1">
        <f t="array" ref="BP3143">IFERROR(INDEX(sheath_wcap_asd,MATCH(BS3143,sheath_mark,0),0)*BN3143,0)</f>
        <v>0</v>
      </c>
      <c r="BQ3143" cm="1">
        <f t="array" ref="BQ3143">IFERROR(INDEX(hd_cap,MATCH(BT3143,hd_mark,0),0),0)</f>
        <v>0</v>
      </c>
      <c r="BS3143" s="19"/>
      <c r="BT3143" s="19"/>
      <c r="BU3143" s="100"/>
    </row>
    <row r="3144" x14ac:dyDescent="0.25">
      <c r="P3144" s="93"/>
      <c r="AR3144" s="100"/>
      <c r="AS3144" s="93"/>
      <c r="BU3144" s="100"/>
    </row>
    <row r="3145" x14ac:dyDescent="0.25">
      <c r="P3145" s="93"/>
      <c r="Q3145" s="110" t="str">
        <f>$Q$3106</f>
        <v>A.05</v>
      </c>
      <c r="R3145" t="str">
        <f>$Q$3093</f>
        <v>L2</v>
      </c>
      <c r="S3145">
        <f>$E$21</f>
        <v>10.6875</v>
      </c>
      <c r="T3145" cm="1">
        <f t="array" ref="T3145">IFERROR(IF(S3145=0,0,(INDEX($C$33:$C$38,MATCH($W$3106,$B$33:$B$38,0),0)*(S3149+$X$3106)+$T$3106*COUNTIF(S3145:S3148,"&gt;0")*$C$32+$V$3106*$C$31)*$R$3106),0)</f>
        <v>0</v>
      </c>
      <c r="U3145">
        <f>IF(S3145=0,0,-(COUNTIF(S3145:S3148,"&gt;0")*$T$3106*$C$32+$V$3106*$C$31)*$H$27*$R$3106)</f>
        <v>0</v>
      </c>
      <c r="V3145">
        <f>IF(S3145=0,0,$V$3106*$H$26*$R$3106)</f>
        <v>0</v>
      </c>
      <c r="W3145">
        <f>(0.6*T3145+0.7*U3145)*$R$3106/2</f>
        <v>0</v>
      </c>
      <c r="X3145">
        <f>(0.6*T3145+0.6*V3145)*$R$3106/2</f>
        <v>0</v>
      </c>
      <c r="Z3145">
        <f>IF(S3145=0,0,$AD$3106*$AP$3093)</f>
        <v>0</v>
      </c>
      <c r="AA3145">
        <f>IFERROR(Z3145/$R$3106,0)</f>
        <v>0</v>
      </c>
      <c r="AB3145">
        <f>Z3145*($F$21+IF($F$21=0,0,($C$14+$C$15+IF($C$13="single",1.5,3)+3)/12))</f>
        <v>0</v>
      </c>
      <c r="AC3145">
        <f>AB3145-W3145</f>
        <v>0</v>
      </c>
      <c r="AD3145" cm="1">
        <f t="array" ref="AD3145">IFERROR(IF(AC3145&lt;0,0,AC3145/($R$3106-INDEX(hd_off,MATCH(AQ3145,hd_mark,0),0)/12)),0)</f>
        <v>0</v>
      </c>
      <c r="AE3145">
        <f>IF(S3145=0,0,$AD$3106*$AM$3093)</f>
        <v>0</v>
      </c>
      <c r="AF3145">
        <f>IFERROR(AE3145/$R$3106,0)</f>
        <v>0</v>
      </c>
      <c r="AG3145">
        <f>AE3145*($F$21+IF($F$21=0,0,($C$14+$C$15+IF($C$13="single",1.5,3)+3)/12))</f>
        <v>0</v>
      </c>
      <c r="AH3145">
        <f>AG3145-X3145</f>
        <v>0</v>
      </c>
      <c r="AI3145" cm="1">
        <f t="array" ref="AI3145">IFERROR(IF(AH3145&lt;0,0,AH3145/($R$3106-INDEX(hd_off,MATCH(AQ3145,hd_mark,0),0)/12)),0)</f>
        <v>0</v>
      </c>
      <c r="AJ3145">
        <f>MAX($F$21,$Y$3106)/$Q$3124</f>
        <v>0.30172413793103448</v>
      </c>
      <c r="AK3145">
        <f>IF(AJ3145=0,0,IF(AJ3145&gt;2,1.25-0.125*AJ3145,1))</f>
        <v>1</v>
      </c>
      <c r="AL3145" cm="1">
        <f t="array" ref="AL3145">IFERROR(INDEX(sheath_ecap_asd,MATCH(AP3145,sheath_mark,0),0)*AK3145,0)</f>
        <v>0</v>
      </c>
      <c r="AM3145" cm="1">
        <f t="array" ref="AM3145">IFERROR(INDEX(sheath_wcap_asd,MATCH(AP3145,sheath_mark,0),0)*AK3145,0)</f>
        <v>0</v>
      </c>
      <c r="AN3145" cm="1">
        <f t="array" ref="AN3145">IFERROR(INDEX(hd_cap,MATCH(AQ3145,hd_mark,0),0),0)</f>
        <v>0</v>
      </c>
      <c r="AP3145" s="19"/>
      <c r="AQ3145" s="19"/>
      <c r="AR3145" s="100"/>
      <c r="AS3145" s="93"/>
      <c r="AT3145" s="110" t="str">
        <f>$AT$3106</f>
        <v>1.05</v>
      </c>
      <c r="AU3145" t="str">
        <f>$Q$3093</f>
        <v>L2</v>
      </c>
      <c r="AV3145">
        <f>$E$21</f>
        <v>10.6875</v>
      </c>
      <c r="AW3145" cm="1">
        <f t="array" ref="AW3145">IFERROR(IF(AV3145=0,0,(INDEX($C$33:$C$38,MATCH($AZ$3106,$B$33:$B$38,0),0)*(AV3149+$BA$3106)+$AW$3106*COUNTIF(AV3145:AV3148,"&gt;0")*$C$32+$AY$3106*$C$31)*$AU$3106),0)</f>
        <v>0</v>
      </c>
      <c r="AX3145">
        <f>IF(AV3145=0,0,-(COUNTIF(AV3145:AV3148,"&gt;0")*$AW$3106*$C$32+$AY$3106*$C$31)*$H$27*$AU$3106)</f>
        <v>0</v>
      </c>
      <c r="AY3145">
        <f>IF(AV3145=0,0,$AY$3106*$H$26*$AU$3106)</f>
        <v>0</v>
      </c>
      <c r="AZ3145">
        <f>(0.6*AW3145+0.7*AX3145)*$AU$3106/2</f>
        <v>0</v>
      </c>
      <c r="BA3145">
        <f>(0.6*AW3145+0.6*AY3145)*$AU$3106/2</f>
        <v>0</v>
      </c>
      <c r="BC3145">
        <f>IF(AV3145=0,0,$BG$3106*$AP$3093)</f>
        <v>0</v>
      </c>
      <c r="BD3145">
        <f>IFERROR(BC3145/$AU$3106,0)</f>
        <v>0</v>
      </c>
      <c r="BE3145">
        <f>BC3145*($F$21+IF($F$21=0,0,($C$14+$C$15+IF($C$13="single",1.5,3)+3)/12))</f>
        <v>0</v>
      </c>
      <c r="BF3145">
        <f>BE3145-AZ3145</f>
        <v>0</v>
      </c>
      <c r="BG3145" cm="1">
        <f t="array" ref="BG3145">IFERROR(IF(BF3145&lt;0,0,BF3145/($AU$3106-INDEX(hd_off,MATCH(BT3145,hd_mark,0),0)/12)),0)</f>
        <v>0</v>
      </c>
      <c r="BH3145">
        <f>IF(AV3145=0,0,$BG$3106*$AM$3093)</f>
        <v>0</v>
      </c>
      <c r="BI3145">
        <f>IFERROR(BH3145/$AU$3106,0)</f>
        <v>0</v>
      </c>
      <c r="BJ3145">
        <f>BH3145*($F$21+IF($F$21=0,0,($C$14+$C$15+IF($C$13="single",1.5,3)+3)/12))</f>
        <v>0</v>
      </c>
      <c r="BK3145">
        <f>BJ3145-BA3145</f>
        <v>0</v>
      </c>
      <c r="BL3145" cm="1">
        <f t="array" ref="BL3145">IFERROR(IF(BK3145&lt;0,0,BK3145/($AU$3106-INDEX(hd_off,MATCH(BT3145,hd_mark,0),0)/12)),0)</f>
        <v>0</v>
      </c>
      <c r="BM3145">
        <f>MAX($F$21,$BB$3106)/$Q$3124</f>
        <v>0.30172413793103448</v>
      </c>
      <c r="BN3145">
        <f>IF(BM3145=0,0,IF(BM3145&gt;2,1.25-0.125*BM3145,1))</f>
        <v>1</v>
      </c>
      <c r="BO3145" cm="1">
        <f t="array" ref="BO3145">IFERROR(INDEX(sheath_ecap_asd,MATCH(BS3145,sheath_mark,0),0)*BN3145,0)</f>
        <v>0</v>
      </c>
      <c r="BP3145" cm="1">
        <f t="array" ref="BP3145">IFERROR(INDEX(sheath_wcap_asd,MATCH(BS3145,sheath_mark,0),0)*BN3145,0)</f>
        <v>0</v>
      </c>
      <c r="BQ3145" cm="1">
        <f t="array" ref="BQ3145">IFERROR(INDEX(hd_cap,MATCH(BT3145,hd_mark,0),0),0)</f>
        <v>0</v>
      </c>
      <c r="BS3145" s="19"/>
      <c r="BT3145" s="19"/>
      <c r="BU3145" s="100"/>
    </row>
    <row r="3146" x14ac:dyDescent="0.25">
      <c r="B3146" s="1"/>
      <c r="P3146" s="93"/>
      <c r="Q3146" s="109"/>
      <c r="R3146" t="str">
        <f>$Q$3094</f>
        <v>L3</v>
      </c>
      <c r="S3146">
        <f>$E$22</f>
        <v>21.375</v>
      </c>
      <c r="T3146" cm="1">
        <f t="array" ref="T3146">IFERROR(IF(S3146=0,0,(INDEX($C$33:$C$38,MATCH($W$3106,$B$33:$B$38,0),0)*(S3149+$X$3106)+$T$3106*COUNTIF(S3146:S3148,"&gt;0")*$C$32+$V$3106*$C$31)*$R$3106),0)</f>
        <v>0</v>
      </c>
      <c r="U3146">
        <f>IF(S3146=0,0,-(COUNTIF(S3146:S3148,"&gt;0")*$T$3106*$C$32+$V$3106*$C$31)*$H$27*$R$3106)</f>
        <v>0</v>
      </c>
      <c r="V3146">
        <f>IF(S3146=0,0,$V$3106*$H$26*$R$3106)</f>
        <v>0</v>
      </c>
      <c r="W3146">
        <f>(0.6*T3146+0.7*U3146)*$R$3106/2</f>
        <v>0</v>
      </c>
      <c r="X3146">
        <f>T3146*$R$3106/2</f>
        <v>0</v>
      </c>
      <c r="Z3146">
        <f>IF(S3146=0,0,$AD$3106*$AP$3094)</f>
        <v>0</v>
      </c>
      <c r="AA3146">
        <f>IFERROR(Z3146/$R$3106,0)</f>
        <v>0</v>
      </c>
      <c r="AB3146">
        <f>Z3146*($F$22+IF($F$22=0,0,($C$14+$C$15+IF($C$13="single",1.5,3)+3)/12))</f>
        <v>0</v>
      </c>
      <c r="AC3146">
        <f>AB3146-W3146</f>
        <v>0</v>
      </c>
      <c r="AD3146" cm="1">
        <f t="array" ref="AD3146">IFERROR(IF(AC3146&lt;0,0,AC3146/($R$3106-INDEX(hd_off,MATCH(AQ3146,hd_mark,0),0)/12)),0)</f>
        <v>0</v>
      </c>
      <c r="AE3146">
        <f>IF(S3146=0,0,$AD$3106*$AM$3094)</f>
        <v>0</v>
      </c>
      <c r="AF3146">
        <f>IFERROR(AE3146/$R$3106,0)</f>
        <v>0</v>
      </c>
      <c r="AG3146">
        <f>AE3146*($F$22+IF($F$22=0,0,($C$14+$C$15+IF($C$13="single",1.5,3)+3)/12))</f>
        <v>0</v>
      </c>
      <c r="AH3146">
        <f>AG3146-X3146</f>
        <v>0</v>
      </c>
      <c r="AI3146" cm="1">
        <f t="array" ref="AI3146">IFERROR(IF(AH3146&lt;0,0,AH3146/($R$3106-INDEX(hd_off,MATCH(AQ3146,hd_mark,0),0)/12)),0)</f>
        <v>0</v>
      </c>
      <c r="AJ3146">
        <f>MAX($F$22,$Z$3106)/$Q$3124</f>
        <v>0.30172413793103448</v>
      </c>
      <c r="AK3146">
        <f t="shared" ref="AK3146:AK3149" si="1950">IF(AJ3146=0,0,IF(AJ3146&gt;2,1.25-0.125*AJ3146,1))</f>
        <v>1</v>
      </c>
      <c r="AL3146" cm="1">
        <f t="array" ref="AL3146">IFERROR(INDEX(sheath_ecap_asd,MATCH(AP3146,sheath_mark,0),0)*AK3146,0)</f>
        <v>0</v>
      </c>
      <c r="AM3146" cm="1">
        <f t="array" ref="AM3146">IFERROR(INDEX(sheath_wcap_asd,MATCH(AP3146,sheath_mark,0),0)*AK3146,0)</f>
        <v>0</v>
      </c>
      <c r="AN3146" cm="1">
        <f t="array" ref="AN3146">IFERROR(INDEX(hd_cap,MATCH(AQ3146,hd_mark,0),0),0)</f>
        <v>0</v>
      </c>
      <c r="AP3146" s="19"/>
      <c r="AQ3146" s="19"/>
      <c r="AR3146" s="100"/>
      <c r="AS3146" s="93"/>
      <c r="AT3146" s="109"/>
      <c r="AU3146" t="str">
        <f>$Q$3094</f>
        <v>L3</v>
      </c>
      <c r="AV3146">
        <f>$E$22</f>
        <v>21.375</v>
      </c>
      <c r="AW3146" cm="1">
        <f t="array" ref="AW3146">IFERROR(IF(AV3146=0,0,(INDEX($C$33:$C$38,MATCH($AZ$3106,$B$33:$B$38,0),0)*(AV3149+$BA$3106)+$AW$3106*COUNTIF(AV3146:AV3148,"&gt;0")*$C$32+$AY$3106*$C$31)*$AU$3106),0)</f>
        <v>0</v>
      </c>
      <c r="AX3146">
        <f>IF(AV3146=0,0,-(COUNTIF(AV3146:AV3148,"&gt;0")*$AW$3106*$C$32+$AY$3106*$C$31)*$H$27*$AU$3106)</f>
        <v>0</v>
      </c>
      <c r="AY3146">
        <f>IF(AV3146=0,0,$AY$3106*$H$26*$AU$3106)</f>
        <v>0</v>
      </c>
      <c r="AZ3146">
        <f>(0.6*AW3146+0.7*AX3146)*$AU$3106/2</f>
        <v>0</v>
      </c>
      <c r="BA3146">
        <f>AW3146*$AU$3106/2</f>
        <v>0</v>
      </c>
      <c r="BC3146">
        <f>IF(AV3146=0,0,$BG$3106*$AP$3094)</f>
        <v>0</v>
      </c>
      <c r="BD3146">
        <f>IFERROR(BC3146/$AU$3106,0)</f>
        <v>0</v>
      </c>
      <c r="BE3146">
        <f>BC3146*($F$22+IF($F$22=0,0,($C$14+$C$15+IF($C$13="single",1.5,3)+3)/12))</f>
        <v>0</v>
      </c>
      <c r="BF3146">
        <f>BE3146-AZ3146</f>
        <v>0</v>
      </c>
      <c r="BG3146" cm="1">
        <f t="array" ref="BG3146">IFERROR(IF(BF3146&lt;0,0,BF3146/($AU$3106-INDEX(hd_off,MATCH(BT3146,hd_mark,0),0)/12)),0)</f>
        <v>0</v>
      </c>
      <c r="BH3146">
        <f>IF(AV3146=0,0,$BG$3106*$AM$3094)</f>
        <v>0</v>
      </c>
      <c r="BI3146">
        <f>IFERROR(BH3146/$AU$3106,0)</f>
        <v>0</v>
      </c>
      <c r="BJ3146">
        <f>BH3146*($F$22+IF($F$22=0,0,($C$14+$C$15+IF($C$13="single",1.5,3)+3)/12))</f>
        <v>0</v>
      </c>
      <c r="BK3146">
        <f>BJ3146-BA3146</f>
        <v>0</v>
      </c>
      <c r="BL3146" cm="1">
        <f t="array" ref="BL3146">IFERROR(IF(BK3146&lt;0,0,BK3146/($AU$3106-INDEX(hd_off,MATCH(BT3146,hd_mark,0),0)/12)),0)</f>
        <v>0</v>
      </c>
      <c r="BM3146">
        <f>MAX($F$22,$BC$3106)/$Q$3124</f>
        <v>0.30172413793103448</v>
      </c>
      <c r="BN3146">
        <f t="shared" ref="BN3146:BN3149" si="1951">IF(BM3146=0,0,IF(BM3146&gt;2,1.25-0.125*BM3146,1))</f>
        <v>1</v>
      </c>
      <c r="BO3146" cm="1">
        <f t="array" ref="BO3146">IFERROR(INDEX(sheath_ecap_asd,MATCH(BS3146,sheath_mark,0),0)*BN3146,0)</f>
        <v>0</v>
      </c>
      <c r="BP3146" cm="1">
        <f t="array" ref="BP3146">IFERROR(INDEX(sheath_wcap_asd,MATCH(BS3146,sheath_mark,0),0)*BN3146,0)</f>
        <v>0</v>
      </c>
      <c r="BQ3146" cm="1">
        <f t="array" ref="BQ3146">IFERROR(INDEX(hd_cap,MATCH(BT3146,hd_mark,0),0),0)</f>
        <v>0</v>
      </c>
      <c r="BS3146" s="19"/>
      <c r="BT3146" s="19"/>
      <c r="BU3146" s="100"/>
    </row>
    <row r="3147" x14ac:dyDescent="0.25">
      <c r="P3147" s="93"/>
      <c r="Q3147" s="109" t="s">
        <v>491</v>
      </c>
      <c r="R3147" t="str">
        <f>$Q$3095</f>
        <v>L4</v>
      </c>
      <c r="S3147">
        <f>$E$23</f>
        <v>0</v>
      </c>
      <c r="T3147" cm="1">
        <f t="array" ref="T3147">IFERROR(IF(S3147=0,0,(INDEX($C$33:$C$38,MATCH($W$3106,$B$33:$B$38,0),0)*(S3149+$X$3106)+$T$3106*COUNTIF(S3147:S3148,"&gt;0")*$C$32+$V$3106*$C$31)*$R$3106),0)</f>
        <v>0</v>
      </c>
      <c r="U3147">
        <f>IF(S3147=0,0,-(COUNTIF(S3147:S3148,"&gt;0")*$T$3106*$C$32+$V$3106*$C$31)*$H$27*$R$3106)</f>
        <v>0</v>
      </c>
      <c r="V3147">
        <f>IF(S3147=0,0,$V$3106*$H$26*$R$3106)</f>
        <v>0</v>
      </c>
      <c r="W3147">
        <f>(0.6*T3147+0.7*U3147)*$R$3106/2</f>
        <v>0</v>
      </c>
      <c r="X3147">
        <f>T3147*$R$3106/2</f>
        <v>0</v>
      </c>
      <c r="Z3147">
        <f>IF(S3147=0,0,$AD$3106*$AP$3095)</f>
        <v>0</v>
      </c>
      <c r="AA3147">
        <f>IFERROR(Z3147/$R$3106,0)</f>
        <v>0</v>
      </c>
      <c r="AB3147">
        <f>Z3147*($F$23+IF($F$23=0,0,($C$14+$C$15+IF($C$13="single",1.5,3)+3)/12))</f>
        <v>0</v>
      </c>
      <c r="AC3147">
        <f>AB3147-W3147</f>
        <v>0</v>
      </c>
      <c r="AD3147" cm="1">
        <f t="array" ref="AD3147">IFERROR(IF(AC3147&lt;0,0,AC3147/($R$3106-INDEX(hd_off,MATCH(AQ3147,hd_mark,0),0)/12)),0)</f>
        <v>0</v>
      </c>
      <c r="AE3147">
        <f>IF(S3147=0,0,$AD$3106*$AM$3095)</f>
        <v>0</v>
      </c>
      <c r="AF3147">
        <f>IFERROR(AE3147/$R$3106,0)</f>
        <v>0</v>
      </c>
      <c r="AG3147">
        <f>AE3147*($F$23+IF($F$23=0,0,($C$14+$C$15+IF($C$13="single",1.5,3)+3)/12))</f>
        <v>0</v>
      </c>
      <c r="AH3147">
        <f>AG3147-X3147</f>
        <v>0</v>
      </c>
      <c r="AI3147" cm="1">
        <f t="array" ref="AI3147">IFERROR(IF(AH3147&lt;0,0,AH3147/($R$3106-INDEX(hd_off,MATCH(AQ3147,hd_mark,0),0)/12)),0)</f>
        <v>0</v>
      </c>
      <c r="AJ3147">
        <f>MAX($F$23,$AA$3106)/$Q$3124</f>
        <v>0</v>
      </c>
      <c r="AK3147">
        <f t="shared" si="1950"/>
        <v>0</v>
      </c>
      <c r="AL3147" cm="1">
        <f t="array" ref="AL3147">IFERROR(INDEX(sheath_ecap_asd,MATCH(AP3147,sheath_mark,0),0)*AK3147,0)</f>
        <v>0</v>
      </c>
      <c r="AM3147" cm="1">
        <f t="array" ref="AM3147">IFERROR(INDEX(sheath_wcap_asd,MATCH(AP3147,sheath_mark,0),0)*AK3147,0)</f>
        <v>0</v>
      </c>
      <c r="AN3147" cm="1">
        <f t="array" ref="AN3147">IFERROR(INDEX(hd_cap,MATCH(AQ3147,hd_mark,0),0),0)</f>
        <v>0</v>
      </c>
      <c r="AP3147" s="19"/>
      <c r="AQ3147" s="19"/>
      <c r="AR3147" s="100"/>
      <c r="AS3147" s="93"/>
      <c r="AT3147" s="109" t="s">
        <v>491</v>
      </c>
      <c r="AU3147" t="str">
        <f>$Q$3095</f>
        <v>L4</v>
      </c>
      <c r="AV3147">
        <f>$E$23</f>
        <v>0</v>
      </c>
      <c r="AW3147" cm="1">
        <f t="array" ref="AW3147">IFERROR(IF(AV3147=0,0,(INDEX($C$33:$C$38,MATCH($AZ$3106,$B$33:$B$38,0),0)*(AV3149+$BA$3106)+$AW$3106*COUNTIF(AV3147:AV3148,"&gt;0")*$C$32+$AY$3106*$C$31)*$AU$3106),0)</f>
        <v>0</v>
      </c>
      <c r="AX3147">
        <f>IF(AV3147=0,0,-(COUNTIF(AV3147:AV3148,"&gt;0")*$AW$3106*$C$32+$AY$3106*$C$31)*$H$27*$AU$3106)</f>
        <v>0</v>
      </c>
      <c r="AY3147">
        <f>IF(AV3147=0,0,$AY$3106*$H$26*$AU$3106)</f>
        <v>0</v>
      </c>
      <c r="AZ3147">
        <f>(0.6*AW3147+0.7*AX3147)*$AU$3106/2</f>
        <v>0</v>
      </c>
      <c r="BA3147">
        <f>AW3147*$AU$3106/2</f>
        <v>0</v>
      </c>
      <c r="BC3147">
        <f>IF(AV3147=0,0,$BG$3106*$AP$3095)</f>
        <v>0</v>
      </c>
      <c r="BD3147">
        <f>IFERROR(BC3147/$AU$3106,0)</f>
        <v>0</v>
      </c>
      <c r="BE3147">
        <f>BC3147*($F$23+IF($F$23=0,0,($C$14+$C$15+IF($C$13="single",1.5,3)+3)/12))</f>
        <v>0</v>
      </c>
      <c r="BF3147">
        <f>BE3147-AZ3147</f>
        <v>0</v>
      </c>
      <c r="BG3147" cm="1">
        <f t="array" ref="BG3147">IFERROR(IF(BF3147&lt;0,0,BF3147/($AU$3106-INDEX(hd_off,MATCH(BT3147,hd_mark,0),0)/12)),0)</f>
        <v>0</v>
      </c>
      <c r="BH3147">
        <f>IF(AV3147=0,0,$BG$3106*$AM$3095)</f>
        <v>0</v>
      </c>
      <c r="BI3147">
        <f>IFERROR(BH3147/$AU$3106,0)</f>
        <v>0</v>
      </c>
      <c r="BJ3147">
        <f>BH3147*($F$23+IF($F$23=0,0,($C$14+$C$15+IF($C$13="single",1.5,3)+3)/12))</f>
        <v>0</v>
      </c>
      <c r="BK3147">
        <f>BJ3147-BA3147</f>
        <v>0</v>
      </c>
      <c r="BL3147" cm="1">
        <f t="array" ref="BL3147">IFERROR(IF(BK3147&lt;0,0,BK3147/($AU$3106-INDEX(hd_off,MATCH(BT3147,hd_mark,0),0)/12)),0)</f>
        <v>0</v>
      </c>
      <c r="BM3147">
        <f>MAX($F$23,$BD$3106)/$Q$3124</f>
        <v>0</v>
      </c>
      <c r="BN3147">
        <f t="shared" si="1951"/>
        <v>0</v>
      </c>
      <c r="BO3147" cm="1">
        <f t="array" ref="BO3147">IFERROR(INDEX(sheath_ecap_asd,MATCH(BS3147,sheath_mark,0),0)*BN3147,0)</f>
        <v>0</v>
      </c>
      <c r="BP3147" cm="1">
        <f t="array" ref="BP3147">IFERROR(INDEX(sheath_wcap_asd,MATCH(BS3147,sheath_mark,0),0)*BN3147,0)</f>
        <v>0</v>
      </c>
      <c r="BQ3147" cm="1">
        <f t="array" ref="BQ3147">IFERROR(INDEX(hd_cap,MATCH(BT3147,hd_mark,0),0),0)</f>
        <v>0</v>
      </c>
      <c r="BS3147" s="19"/>
      <c r="BT3147" s="19"/>
      <c r="BU3147" s="100"/>
    </row>
    <row r="3148" x14ac:dyDescent="0.25">
      <c r="P3148" s="93"/>
      <c r="Q3148" s="111">
        <f>$R$3106</f>
        <v>0</v>
      </c>
      <c r="R3148" t="str">
        <f>$Q$3096</f>
        <v>L5</v>
      </c>
      <c r="S3148">
        <f>$E$24</f>
        <v>0</v>
      </c>
      <c r="T3148" cm="1">
        <f t="array" ref="T3148">IFERROR(IF(S3148=0,0,(INDEX($C$33:$C$38,MATCH($W$3106,$B$33:$B$38,0),0)*(S3149+$X$3106)+$T$3106*COUNTIF(S3148:S3148,"&gt;0")*$C$32+$V$3106*$C$31)*$R$3106),0)</f>
        <v>0</v>
      </c>
      <c r="U3148">
        <f>IF(S3148=0,0,-(COUNTIF(S3148:S3148,"&gt;0")*$T$3106*$C$32+$V$3106*$C$31)*$H$27*$R$3106)</f>
        <v>0</v>
      </c>
      <c r="V3148">
        <f>IF(S3148=0,0,$V$3106*$H$26*$R$3106)</f>
        <v>0</v>
      </c>
      <c r="W3148">
        <f>(0.6*T3148+0.7*U3148)*$R$3106/2</f>
        <v>0</v>
      </c>
      <c r="X3148">
        <f>T3148*$R$3106/2</f>
        <v>0</v>
      </c>
      <c r="Z3148">
        <f>IF(S3148=0,0,$AD$3106*$AP$3096)</f>
        <v>0</v>
      </c>
      <c r="AA3148">
        <f>IFERROR(Z3148/$R$3106,0)</f>
        <v>0</v>
      </c>
      <c r="AB3148">
        <f>Z3148*($F$24+IF($F$24=0,0,($C$14+$C$15+IF($C$13="single",1.5,3)+3)/12))</f>
        <v>0</v>
      </c>
      <c r="AC3148">
        <f>AB3148-W3148</f>
        <v>0</v>
      </c>
      <c r="AD3148" cm="1">
        <f t="array" ref="AD3148">IFERROR(IF(AC3148&lt;0,0,AC3148/($R$3106-INDEX(hd_off,MATCH(AQ3148,hd_mark,0),0)/12)),0)</f>
        <v>0</v>
      </c>
      <c r="AE3148">
        <f>IF(S3148=0,0,$AD$3106*$AM$3096)</f>
        <v>0</v>
      </c>
      <c r="AF3148">
        <f>IFERROR(AE3148/$R$3106,0)</f>
        <v>0</v>
      </c>
      <c r="AG3148">
        <f>AE3148*($F$24+IF($F$24=0,0,($C$14+$C$15+IF($C$13="single",1.5,3)+3)/12))</f>
        <v>0</v>
      </c>
      <c r="AH3148">
        <f>AG3148-X3148</f>
        <v>0</v>
      </c>
      <c r="AI3148" cm="1">
        <f t="array" ref="AI3148">IFERROR(IF(AH3148&lt;0,0,AH3148/($R$3106-INDEX(hd_off,MATCH(AQ3148,hd_mark,0),0)/12)),0)</f>
        <v>0</v>
      </c>
      <c r="AJ3148">
        <f>MAX($F$24,$AB$3106)/$Q$3124</f>
        <v>0</v>
      </c>
      <c r="AK3148">
        <f t="shared" si="1950"/>
        <v>0</v>
      </c>
      <c r="AL3148" cm="1">
        <f t="array" ref="AL3148">IFERROR(INDEX(sheath_ecap_asd,MATCH(AP3148,sheath_mark,0),0)*AK3148,0)</f>
        <v>0</v>
      </c>
      <c r="AM3148" cm="1">
        <f t="array" ref="AM3148">IFERROR(INDEX(sheath_wcap_asd,MATCH(AP3148,sheath_mark,0),0)*AK3148,0)</f>
        <v>0</v>
      </c>
      <c r="AN3148" cm="1">
        <f t="array" ref="AN3148">IFERROR(INDEX(hd_cap,MATCH(AQ3148,hd_mark,0),0),0)</f>
        <v>0</v>
      </c>
      <c r="AP3148" s="19"/>
      <c r="AQ3148" s="19"/>
      <c r="AR3148" s="100"/>
      <c r="AS3148" s="93"/>
      <c r="AT3148" s="111">
        <f>$R$3106</f>
        <v>0</v>
      </c>
      <c r="AU3148" t="str">
        <f>$Q$3096</f>
        <v>L5</v>
      </c>
      <c r="AV3148">
        <f>$E$24</f>
        <v>0</v>
      </c>
      <c r="AW3148" cm="1">
        <f t="array" ref="AW3148">IFERROR(IF(AV3148=0,0,(INDEX($C$33:$C$38,MATCH($AZ$3106,$B$33:$B$38,0),0)*(AV3149+$BA$3106)+$AW$3106*COUNTIF(AV3148:AV3148,"&gt;0")*$C$32+$AY$3106*$C$31)*$AU$3106),0)</f>
        <v>0</v>
      </c>
      <c r="AX3148">
        <f>IF(AV3148=0,0,-(COUNTIF(AV3148:AV3148,"&gt;0")*$AW$3106*$C$32+$AY$3106*$C$31)*$H$27*$AU$3106)</f>
        <v>0</v>
      </c>
      <c r="AY3148">
        <f>IF(AV3148=0,0,$AY$3106*$H$26*$AU$3106)</f>
        <v>0</v>
      </c>
      <c r="AZ3148">
        <f>(0.6*AW3148+0.7*AX3148)*$AU$3106/2</f>
        <v>0</v>
      </c>
      <c r="BA3148">
        <f>AW3148*$AU$3106/2</f>
        <v>0</v>
      </c>
      <c r="BC3148">
        <f>IF(AV3148=0,0,$BG$3106*$AP$3096)</f>
        <v>0</v>
      </c>
      <c r="BD3148">
        <f>IFERROR(BC3148/$AU$3106,0)</f>
        <v>0</v>
      </c>
      <c r="BE3148">
        <f>BC3148*($F$24+IF($F$24=0,0,($C$14+$C$15+IF($C$13="single",1.5,3)+3)/12))</f>
        <v>0</v>
      </c>
      <c r="BF3148">
        <f>BE3148-AZ3148</f>
        <v>0</v>
      </c>
      <c r="BG3148" cm="1">
        <f t="array" ref="BG3148">IFERROR(IF(BF3148&lt;0,0,BF3148/($AU$3106-INDEX(hd_off,MATCH(BT3148,hd_mark,0),0)/12)),0)</f>
        <v>0</v>
      </c>
      <c r="BH3148">
        <f>IF(AV3148=0,0,$BG$3106*$AM$3096)</f>
        <v>0</v>
      </c>
      <c r="BI3148">
        <f>IFERROR(BH3148/$AU$3106,0)</f>
        <v>0</v>
      </c>
      <c r="BJ3148">
        <f>BH3148*($F$24+IF($F$24=0,0,($C$14+$C$15+IF($C$13="single",1.5,3)+3)/12))</f>
        <v>0</v>
      </c>
      <c r="BK3148">
        <f>BJ3148-BA3148</f>
        <v>0</v>
      </c>
      <c r="BL3148" cm="1">
        <f t="array" ref="BL3148">IFERROR(IF(BK3148&lt;0,0,BK3148/($AU$3106-INDEX(hd_off,MATCH(BT3148,hd_mark,0),0)/12)),0)</f>
        <v>0</v>
      </c>
      <c r="BM3148">
        <f>MAX($F$24,$BE$3106)/$Q$3124</f>
        <v>0</v>
      </c>
      <c r="BN3148">
        <f t="shared" si="1951"/>
        <v>0</v>
      </c>
      <c r="BO3148" cm="1">
        <f t="array" ref="BO3148">IFERROR(INDEX(sheath_ecap_asd,MATCH(BS3148,sheath_mark,0),0)*BN3148,0)</f>
        <v>0</v>
      </c>
      <c r="BP3148" cm="1">
        <f t="array" ref="BP3148">IFERROR(INDEX(sheath_wcap_asd,MATCH(BS3148,sheath_mark,0),0)*BN3148,0)</f>
        <v>0</v>
      </c>
      <c r="BQ3148" cm="1">
        <f t="array" ref="BQ3148">IFERROR(INDEX(hd_cap,MATCH(BT3148,hd_mark,0),0),0)</f>
        <v>0</v>
      </c>
      <c r="BS3148" s="19"/>
      <c r="BT3148" s="19"/>
      <c r="BU3148" s="100"/>
    </row>
    <row r="3149" x14ac:dyDescent="0.25">
      <c r="P3149" s="93"/>
      <c r="Q3149" s="109"/>
      <c r="R3149" t="str">
        <f>$Q$3097</f>
        <v>Roof</v>
      </c>
      <c r="S3149">
        <f>$E$25</f>
        <v>33.171875</v>
      </c>
      <c r="T3149" cm="1">
        <f t="array" ref="T3149">IFERROR(IF(S3149=0,0,(INDEX($C$33:$C$38,MATCH($W$3106,$B$33:$B$38,0),0)*(S3149+$X$3106)+$V$3106*$C$31)*$R$3106),0)</f>
        <v>0</v>
      </c>
      <c r="U3149">
        <f>IF(S3149=0,0,-$V$3106*$C$31*$H$27*$R$3106)</f>
        <v>0</v>
      </c>
      <c r="V3149">
        <f>IF(S3149=0,0,$V$3106*$H$26*$R$3106)</f>
        <v>0</v>
      </c>
      <c r="W3149">
        <f>(0.6*T3149+0.7*U3149)*$R$3106/2</f>
        <v>0</v>
      </c>
      <c r="X3149">
        <f>T3149*$R$3106/2</f>
        <v>0</v>
      </c>
      <c r="Z3149">
        <f>IF(S3149=0,0,$AD$3106*$AP$3097)</f>
        <v>0</v>
      </c>
      <c r="AA3149">
        <f>IFERROR(Z3149/$R$3106,0)</f>
        <v>0</v>
      </c>
      <c r="AB3149">
        <f>Z3149*($F$25+($C$16+$C$17+IF($C$13="single",1.5,3)+3)/12)</f>
        <v>0</v>
      </c>
      <c r="AC3149">
        <f>AB3149-W3149</f>
        <v>0</v>
      </c>
      <c r="AD3149" cm="1">
        <f t="array" ref="AD3149">IFERROR(IF(AC3149&lt;0,0,AC3149/($R$3106-INDEX(hd_off,MATCH(AQ3149,hd_mark,0),0)/12)),0)</f>
        <v>0</v>
      </c>
      <c r="AE3149">
        <f>IF(S3149=0,0,$AD$3106*$AM$3097)</f>
        <v>0</v>
      </c>
      <c r="AF3149">
        <f>IFERROR(AE3149/$R$3106,0)</f>
        <v>0</v>
      </c>
      <c r="AG3149">
        <f>AE3149*($F$25+($C$16+$C$17+IF($C$13="single",1.5,3)+3)/12)</f>
        <v>0</v>
      </c>
      <c r="AH3149">
        <f>AG3149-X3149</f>
        <v>0</v>
      </c>
      <c r="AI3149" cm="1">
        <f t="array" ref="AI3149">IFERROR(IF(AH3149&lt;0,0,AH3149/($R$3106-INDEX(hd_off,MATCH(AQ3149,hd_mark,0),0)/12)),0)</f>
        <v>0</v>
      </c>
      <c r="AJ3149">
        <f>MAX($F$25,$AC$3106)/$Q$3124</f>
        <v>0.29920977011494249</v>
      </c>
      <c r="AK3149">
        <f t="shared" si="1950"/>
        <v>1</v>
      </c>
      <c r="AL3149" cm="1">
        <f t="array" ref="AL3149">IFERROR(INDEX(sheath_ecap_asd,MATCH(AP3149,sheath_mark,0),0)*AK3149,0)</f>
        <v>0</v>
      </c>
      <c r="AM3149" cm="1">
        <f t="array" ref="AM3149">IFERROR(INDEX(sheath_wcap_asd,MATCH(AP3149,sheath_mark,0),0)*AK3149,0)</f>
        <v>0</v>
      </c>
      <c r="AN3149" cm="1">
        <f t="array" ref="AN3149">IFERROR(INDEX(hd_cap,MATCH(AQ3149,hd_mark,0),0),0)</f>
        <v>0</v>
      </c>
      <c r="AP3149" s="19"/>
      <c r="AQ3149" s="19"/>
      <c r="AR3149" s="100"/>
      <c r="AS3149" s="93"/>
      <c r="AT3149" s="109"/>
      <c r="AU3149" t="str">
        <f>$Q$3097</f>
        <v>Roof</v>
      </c>
      <c r="AV3149">
        <f>$E$25</f>
        <v>33.171875</v>
      </c>
      <c r="AW3149" cm="1">
        <f t="array" ref="AW3149">IFERROR(IF(AV3149=0,0,(INDEX($C$33:$C$38,MATCH($AZ$3106,$B$33:$B$38,0),0)*(AV3149+$BA$3106)+$AY$3106*$C$31)*$AU$3106),0)</f>
        <v>0</v>
      </c>
      <c r="AX3149">
        <f>IF(AV3149=0,0,-$AY$3106*$C$31*$H$27*$AU$3106)</f>
        <v>0</v>
      </c>
      <c r="AY3149">
        <f>IF(AV3149=0,0,$AY$3106*$H$26*$AU$3106)</f>
        <v>0</v>
      </c>
      <c r="AZ3149">
        <f>(0.6*AW3149+0.7*AX3149)*$AU$3106/2</f>
        <v>0</v>
      </c>
      <c r="BA3149">
        <f>AW3149*$AU$3106/2</f>
        <v>0</v>
      </c>
      <c r="BC3149">
        <f>IF(AV3149=0,0,$BG$3106*$AP$3097)</f>
        <v>0</v>
      </c>
      <c r="BD3149">
        <f>IFERROR(BC3149/$AU$3106,0)</f>
        <v>0</v>
      </c>
      <c r="BE3149">
        <f>BC3149*($F$25+($C$16+$C$17+IF($C$13="single",1.5,3)+3)/12)</f>
        <v>0</v>
      </c>
      <c r="BF3149">
        <f>BE3149-AZ3149</f>
        <v>0</v>
      </c>
      <c r="BG3149" cm="1">
        <f t="array" ref="BG3149">IFERROR(IF(BF3149&lt;0,0,BF3149/($AU$3106-INDEX(hd_off,MATCH(BT3149,hd_mark,0),0)/12)),0)</f>
        <v>0</v>
      </c>
      <c r="BH3149">
        <f>IF(AV3149=0,0,$BG$3106*$AM$3097)</f>
        <v>0</v>
      </c>
      <c r="BI3149">
        <f>IFERROR(BH3149/$AU$3106,0)</f>
        <v>0</v>
      </c>
      <c r="BJ3149">
        <f>BH3149*($F$25+($C$16+$C$17+IF($C$13="single",1.5,3)+3)/12)</f>
        <v>0</v>
      </c>
      <c r="BK3149">
        <f>BJ3149-BA3149</f>
        <v>0</v>
      </c>
      <c r="BL3149" cm="1">
        <f t="array" ref="BL3149">IFERROR(IF(BK3149&lt;0,0,BK3149/($AU$3106-INDEX(hd_off,MATCH(BT3149,hd_mark,0),0)/12)),0)</f>
        <v>0</v>
      </c>
      <c r="BM3149">
        <f>MAX($F$25,$BF$3106)/$Q$3124</f>
        <v>0.29920977011494249</v>
      </c>
      <c r="BN3149">
        <f t="shared" si="1951"/>
        <v>1</v>
      </c>
      <c r="BO3149" cm="1">
        <f t="array" ref="BO3149">IFERROR(INDEX(sheath_ecap_asd,MATCH(BS3149,sheath_mark,0),0)*BN3149,0)</f>
        <v>0</v>
      </c>
      <c r="BP3149" cm="1">
        <f t="array" ref="BP3149">IFERROR(INDEX(sheath_wcap_asd,MATCH(BS3149,sheath_mark,0),0)*BN3149,0)</f>
        <v>0</v>
      </c>
      <c r="BQ3149" cm="1">
        <f t="array" ref="BQ3149">IFERROR(INDEX(hd_cap,MATCH(BT3149,hd_mark,0),0),0)</f>
        <v>0</v>
      </c>
      <c r="BS3149" s="19"/>
      <c r="BT3149" s="19"/>
      <c r="BU3149" s="100"/>
    </row>
    <row r="3150" x14ac:dyDescent="0.25">
      <c r="P3150" s="93"/>
      <c r="AR3150" s="100"/>
      <c r="AS3150" s="93"/>
      <c r="BU3150" s="100"/>
    </row>
    <row r="3151" x14ac:dyDescent="0.25">
      <c r="P3151" s="93"/>
      <c r="Q3151" s="110" t="str">
        <f>$Q$3107</f>
        <v>A.06</v>
      </c>
      <c r="R3151" t="str">
        <f>$Q$3093</f>
        <v>L2</v>
      </c>
      <c r="S3151">
        <f>$E$21</f>
        <v>10.6875</v>
      </c>
      <c r="T3151" cm="1">
        <f t="array" ref="T3151">IFERROR(IF(S3151=0,0,(INDEX($C$33:$C$38,MATCH($W$3107,$B$33:$B$38,0),0)*(S3155+$X$3107)+$T$3107*COUNTIF(S3151:S3154,"&gt;0")*$C$32+$V$3107*$C$31)*$R$3107),0)</f>
        <v>0</v>
      </c>
      <c r="U3151">
        <f>IF(S3151=0,0,-(COUNTIF(S3151:S3154,"&gt;0")*$T$3107*$C$32+$V$3107*$C$31)*$H$27*$R$3107)</f>
        <v>0</v>
      </c>
      <c r="V3151">
        <f>IF(S3151=0,0,$V$3107*$H$26*$R$3107)</f>
        <v>0</v>
      </c>
      <c r="W3151">
        <f>(0.6*T3151+0.7*U3151)*$R$3107/2</f>
        <v>0</v>
      </c>
      <c r="X3151">
        <f>(0.6*T3151+0.6*V3151)*$R$3107/2</f>
        <v>0</v>
      </c>
      <c r="Z3151">
        <f>IF(S3151=0,0,$AD$3107*$AP$3093)</f>
        <v>0</v>
      </c>
      <c r="AA3151">
        <f>IFERROR(Z3151/$R$3107,0)</f>
        <v>0</v>
      </c>
      <c r="AB3151">
        <f>Z3151*($F$21+IF($F$21=0,0,($C$14+$C$15+IF($C$13="single",1.5,3)+3)/12))</f>
        <v>0</v>
      </c>
      <c r="AC3151">
        <f>AB3151-W3151</f>
        <v>0</v>
      </c>
      <c r="AD3151" cm="1">
        <f t="array" ref="AD3151">IFERROR(IF(AC3151&lt;0,0,AC3151/($R$3107-INDEX(hd_off,MATCH(AQ3151,hd_mark,0),0)/12)),0)</f>
        <v>0</v>
      </c>
      <c r="AE3151">
        <f>IF(S3151=0,0,$AD$3107*$AM$3093)</f>
        <v>0</v>
      </c>
      <c r="AF3151">
        <f>IFERROR(AE3151/$R$3107,0)</f>
        <v>0</v>
      </c>
      <c r="AG3151">
        <f>AE3151*($F$21+IF($F$21=0,0,($C$14+$C$15+IF($C$13="single",1.5,3)+3)/12))</f>
        <v>0</v>
      </c>
      <c r="AH3151">
        <f>AG3151-X3151</f>
        <v>0</v>
      </c>
      <c r="AI3151" cm="1">
        <f t="array" ref="AI3151">IFERROR(IF(AH3151&lt;0,0,AH3151/($R$3107-INDEX(hd_off,MATCH(AQ3151,hd_mark,0),0)/12)),0)</f>
        <v>0</v>
      </c>
      <c r="AJ3151">
        <f>MAX($F$21,$Y$3107)/$Q$3124</f>
        <v>0.30172413793103448</v>
      </c>
      <c r="AK3151">
        <f>IF(AJ3151=0,0,IF(AJ3151&gt;2,1.25-0.125*AJ3151,1))</f>
        <v>1</v>
      </c>
      <c r="AL3151" cm="1">
        <f t="array" ref="AL3151">IFERROR(INDEX(sheath_ecap_asd,MATCH(AP3151,sheath_mark,0),0)*AK3151,0)</f>
        <v>0</v>
      </c>
      <c r="AM3151" cm="1">
        <f t="array" ref="AM3151">IFERROR(INDEX(sheath_wcap_asd,MATCH(AP3151,sheath_mark,0),0)*AK3151,0)</f>
        <v>0</v>
      </c>
      <c r="AN3151" cm="1">
        <f t="array" ref="AN3151">IFERROR(INDEX(hd_cap,MATCH(AQ3151,hd_mark,0),0),0)</f>
        <v>0</v>
      </c>
      <c r="AP3151" s="19"/>
      <c r="AQ3151" s="19"/>
      <c r="AR3151" s="100"/>
      <c r="AS3151" s="93"/>
      <c r="AT3151" s="110" t="str">
        <f>$AT$3107</f>
        <v>1.06</v>
      </c>
      <c r="AU3151" t="str">
        <f>$Q$3093</f>
        <v>L2</v>
      </c>
      <c r="AV3151">
        <f>$E$21</f>
        <v>10.6875</v>
      </c>
      <c r="AW3151" cm="1">
        <f t="array" ref="AW3151">IFERROR(IF(AV3151=0,0,(INDEX($C$33:$C$38,MATCH($AZ$3107,$B$33:$B$38,0),0)*(AV3155+$BA$3107)+$AW$3107*COUNTIF(AV3151:AV3154,"&gt;0")*$C$32+$AY$3107*$C$31)*$AU$3107),0)</f>
        <v>0</v>
      </c>
      <c r="AX3151">
        <f>IF(AV3151=0,0,-(COUNTIF(AV3151:AV3154,"&gt;0")*$AW$3107*$C$32+$AY$3107*$C$31)*$H$27*$AU$3107)</f>
        <v>0</v>
      </c>
      <c r="AY3151">
        <f>IF(AV3151=0,0,$AY$3107*$H$26*$AU$3107)</f>
        <v>0</v>
      </c>
      <c r="AZ3151">
        <f>(0.6*AW3151+0.7*AX3151)*$AU$3107/2</f>
        <v>0</v>
      </c>
      <c r="BA3151">
        <f>(0.6*AW3151+0.6*AY3151)*$AU$3107/2</f>
        <v>0</v>
      </c>
      <c r="BC3151">
        <f>IF(AV3151=0,0,$BG$3107*$AP$3093)</f>
        <v>0</v>
      </c>
      <c r="BD3151">
        <f>IFERROR(BC3151/$AU$3107,0)</f>
        <v>0</v>
      </c>
      <c r="BE3151">
        <f>BC3151*($F$21+IF($F$21=0,0,($C$14+$C$15+IF($C$13="single",1.5,3)+3)/12))</f>
        <v>0</v>
      </c>
      <c r="BF3151">
        <f>BE3151-AZ3151</f>
        <v>0</v>
      </c>
      <c r="BG3151" cm="1">
        <f t="array" ref="BG3151">IFERROR(IF(BF3151&lt;0,0,BF3151/($AU$3107-INDEX(hd_off,MATCH(BT3151,hd_mark,0),0)/12)),0)</f>
        <v>0</v>
      </c>
      <c r="BH3151">
        <f>IF(AV3151=0,0,$BG$3107*$AM$3093)</f>
        <v>0</v>
      </c>
      <c r="BI3151">
        <f>IFERROR(BH3151/$AU$3107,0)</f>
        <v>0</v>
      </c>
      <c r="BJ3151">
        <f>BH3151*($F$21+IF($F$21=0,0,($C$14+$C$15+IF($C$13="single",1.5,3)+3)/12))</f>
        <v>0</v>
      </c>
      <c r="BK3151">
        <f>BJ3151-BA3151</f>
        <v>0</v>
      </c>
      <c r="BL3151" cm="1">
        <f t="array" ref="BL3151">IFERROR(IF(BK3151&lt;0,0,BK3151/($AU$3107-INDEX(hd_off,MATCH(BT3151,hd_mark,0),0)/12)),0)</f>
        <v>0</v>
      </c>
      <c r="BM3151">
        <f>MAX($F$21,$BB$3107)/$Q$3124</f>
        <v>0.30172413793103448</v>
      </c>
      <c r="BN3151">
        <f>IF(BM3151=0,0,IF(BM3151&gt;2,1.25-0.125*BM3151,1))</f>
        <v>1</v>
      </c>
      <c r="BO3151" cm="1">
        <f t="array" ref="BO3151">IFERROR(INDEX(sheath_ecap_asd,MATCH(BS3151,sheath_mark,0),0)*BN3151,0)</f>
        <v>0</v>
      </c>
      <c r="BP3151" cm="1">
        <f t="array" ref="BP3151">IFERROR(INDEX(sheath_wcap_asd,MATCH(BS3151,sheath_mark,0),0)*BN3151,0)</f>
        <v>0</v>
      </c>
      <c r="BQ3151" cm="1">
        <f t="array" ref="BQ3151">IFERROR(INDEX(hd_cap,MATCH(BT3151,hd_mark,0),0),0)</f>
        <v>0</v>
      </c>
      <c r="BS3151" s="19"/>
      <c r="BT3151" s="19"/>
      <c r="BU3151" s="100"/>
    </row>
    <row r="3152" x14ac:dyDescent="0.25">
      <c r="P3152" s="93"/>
      <c r="Q3152" s="109"/>
      <c r="R3152" t="str">
        <f>$Q$3094</f>
        <v>L3</v>
      </c>
      <c r="S3152">
        <f>$E$22</f>
        <v>21.375</v>
      </c>
      <c r="T3152" cm="1">
        <f t="array" ref="T3152">IFERROR(IF(S3152=0,0,(INDEX($C$33:$C$38,MATCH($W$3107,$B$33:$B$38,0),0)*(S3155+$X$3107)+$T$3107*COUNTIF(S3152:S3154,"&gt;0")*$C$32+$V$3107*$C$31)*$R$3107),0)</f>
        <v>0</v>
      </c>
      <c r="U3152">
        <f>IF(S3152=0,0,-(COUNTIF(S3152:S3154,"&gt;0")*$T$3107*$C$32+$V$3107*$C$31)*$H$27*$R$3107)</f>
        <v>0</v>
      </c>
      <c r="V3152">
        <f>IF(S3152=0,0,$V$3107*$H$26*$R$3107)</f>
        <v>0</v>
      </c>
      <c r="W3152">
        <f>(0.6*T3152+0.7*U3152)*$R$3107/2</f>
        <v>0</v>
      </c>
      <c r="X3152">
        <f>T3152*$R$3107/2</f>
        <v>0</v>
      </c>
      <c r="Z3152">
        <f>IF(S3152=0,0,$AD$3107*$AP$3094)</f>
        <v>0</v>
      </c>
      <c r="AA3152">
        <f>IFERROR(Z3152/$R$3107,0)</f>
        <v>0</v>
      </c>
      <c r="AB3152">
        <f>Z3152*($F$22+IF($F$22=0,0,($C$14+$C$15+IF($C$13="single",1.5,3)+3)/12))</f>
        <v>0</v>
      </c>
      <c r="AC3152">
        <f>AB3152-W3152</f>
        <v>0</v>
      </c>
      <c r="AD3152" cm="1">
        <f t="array" ref="AD3152">IFERROR(IF(AC3152&lt;0,0,AC3152/($R$3107-INDEX(hd_off,MATCH(AQ3152,hd_mark,0),0)/12)),0)</f>
        <v>0</v>
      </c>
      <c r="AE3152">
        <f>IF(S3152=0,0,$AD$3107*$AM$3094)</f>
        <v>0</v>
      </c>
      <c r="AF3152">
        <f>IFERROR(AE3152/$R$3107,0)</f>
        <v>0</v>
      </c>
      <c r="AG3152">
        <f>AE3152*($F$22+IF($F$22=0,0,($C$14+$C$15+IF($C$13="single",1.5,3)+3)/12))</f>
        <v>0</v>
      </c>
      <c r="AH3152">
        <f>AG3152-X3152</f>
        <v>0</v>
      </c>
      <c r="AI3152" cm="1">
        <f t="array" ref="AI3152">IFERROR(IF(AH3152&lt;0,0,AH3152/($R$3107-INDEX(hd_off,MATCH(AQ3152,hd_mark,0),0)/12)),0)</f>
        <v>0</v>
      </c>
      <c r="AJ3152">
        <f>MAX($F$22,$Z$3107)/$Q$3124</f>
        <v>0.30172413793103448</v>
      </c>
      <c r="AK3152">
        <f t="shared" ref="AK3152:AK3155" si="1952">IF(AJ3152=0,0,IF(AJ3152&gt;2,1.25-0.125*AJ3152,1))</f>
        <v>1</v>
      </c>
      <c r="AL3152" cm="1">
        <f t="array" ref="AL3152">IFERROR(INDEX(sheath_ecap_asd,MATCH(AP3152,sheath_mark,0),0)*AK3152,0)</f>
        <v>0</v>
      </c>
      <c r="AM3152" cm="1">
        <f t="array" ref="AM3152">IFERROR(INDEX(sheath_wcap_asd,MATCH(AP3152,sheath_mark,0),0)*AK3152,0)</f>
        <v>0</v>
      </c>
      <c r="AN3152" cm="1">
        <f t="array" ref="AN3152">IFERROR(INDEX(hd_cap,MATCH(AQ3152,hd_mark,0),0),0)</f>
        <v>0</v>
      </c>
      <c r="AP3152" s="19"/>
      <c r="AQ3152" s="19"/>
      <c r="AR3152" s="100"/>
      <c r="AS3152" s="93"/>
      <c r="AT3152" s="109"/>
      <c r="AU3152" t="str">
        <f>$Q$3094</f>
        <v>L3</v>
      </c>
      <c r="AV3152">
        <f>$E$22</f>
        <v>21.375</v>
      </c>
      <c r="AW3152" cm="1">
        <f t="array" ref="AW3152">IFERROR(IF(AV3152=0,0,(INDEX($C$33:$C$38,MATCH($AZ$3107,$B$33:$B$38,0),0)*(AV3155+$BA$3107)+$AW$3107*COUNTIF(AV3152:AV3154,"&gt;0")*$C$32+$AY$3107*$C$31)*$AU$3107),0)</f>
        <v>0</v>
      </c>
      <c r="AX3152">
        <f>IF(AV3152=0,0,-(COUNTIF(AV3152:AV3154,"&gt;0")*$AW$3107*$C$32+$AY$3107*$C$31)*$H$27*$AU$3107)</f>
        <v>0</v>
      </c>
      <c r="AY3152">
        <f>IF(AV3152=0,0,$AY$3107*$H$26*$AU$3107)</f>
        <v>0</v>
      </c>
      <c r="AZ3152">
        <f>(0.6*AW3152+0.7*AX3152)*$AU$3107/2</f>
        <v>0</v>
      </c>
      <c r="BA3152">
        <f>AW3152*$AU$3107/2</f>
        <v>0</v>
      </c>
      <c r="BC3152">
        <f>IF(AV3152=0,0,$BG$3107*$AP$3094)</f>
        <v>0</v>
      </c>
      <c r="BD3152">
        <f>IFERROR(BC3152/$AU$3107,0)</f>
        <v>0</v>
      </c>
      <c r="BE3152">
        <f>BC3152*($F$22+IF($F$22=0,0,($C$14+$C$15+IF($C$13="single",1.5,3)+3)/12))</f>
        <v>0</v>
      </c>
      <c r="BF3152">
        <f>BE3152-AZ3152</f>
        <v>0</v>
      </c>
      <c r="BG3152" cm="1">
        <f t="array" ref="BG3152">IFERROR(IF(BF3152&lt;0,0,BF3152/($AU$3107-INDEX(hd_off,MATCH(BT3152,hd_mark,0),0)/12)),0)</f>
        <v>0</v>
      </c>
      <c r="BH3152">
        <f>IF(AV3152=0,0,$BG$3107*$AM$3094)</f>
        <v>0</v>
      </c>
      <c r="BI3152">
        <f>IFERROR(BH3152/$AU$3107,0)</f>
        <v>0</v>
      </c>
      <c r="BJ3152">
        <f>BH3152*($F$22+IF($F$22=0,0,($C$14+$C$15+IF($C$13="single",1.5,3)+3)/12))</f>
        <v>0</v>
      </c>
      <c r="BK3152">
        <f>BJ3152-BA3152</f>
        <v>0</v>
      </c>
      <c r="BL3152" cm="1">
        <f t="array" ref="BL3152">IFERROR(IF(BK3152&lt;0,0,BK3152/($AU$3107-INDEX(hd_off,MATCH(BT3152,hd_mark,0),0)/12)),0)</f>
        <v>0</v>
      </c>
      <c r="BM3152">
        <f>MAX($F$22,$BC$3107)/$Q$3124</f>
        <v>0.30172413793103448</v>
      </c>
      <c r="BN3152">
        <f t="shared" ref="BN3152:BN3155" si="1953">IF(BM3152=0,0,IF(BM3152&gt;2,1.25-0.125*BM3152,1))</f>
        <v>1</v>
      </c>
      <c r="BO3152" cm="1">
        <f t="array" ref="BO3152">IFERROR(INDEX(sheath_ecap_asd,MATCH(BS3152,sheath_mark,0),0)*BN3152,0)</f>
        <v>0</v>
      </c>
      <c r="BP3152" cm="1">
        <f t="array" ref="BP3152">IFERROR(INDEX(sheath_wcap_asd,MATCH(BS3152,sheath_mark,0),0)*BN3152,0)</f>
        <v>0</v>
      </c>
      <c r="BQ3152" cm="1">
        <f t="array" ref="BQ3152">IFERROR(INDEX(hd_cap,MATCH(BT3152,hd_mark,0),0),0)</f>
        <v>0</v>
      </c>
      <c r="BS3152" s="19"/>
      <c r="BT3152" s="19"/>
      <c r="BU3152" s="100"/>
    </row>
    <row r="3153" x14ac:dyDescent="0.25">
      <c r="P3153" s="93"/>
      <c r="Q3153" s="109" t="s">
        <v>491</v>
      </c>
      <c r="R3153" t="str">
        <f>$Q$3095</f>
        <v>L4</v>
      </c>
      <c r="S3153">
        <f>$E$23</f>
        <v>0</v>
      </c>
      <c r="T3153" cm="1">
        <f t="array" ref="T3153">IFERROR(IF(S3153=0,0,(INDEX($C$33:$C$38,MATCH($W$3107,$B$33:$B$38,0),0)*(S3155+$X$3107)+$T$3107*COUNTIF(S3153:S3154,"&gt;0")*$C$32+$V$3107*$C$31)*$R$3107),0)</f>
        <v>0</v>
      </c>
      <c r="U3153">
        <f>IF(S3153=0,0,-(COUNTIF(S3153:S3154,"&gt;0")*$T$3107*$C$32+$V$3107*$C$31)*$H$27*$R$3107)</f>
        <v>0</v>
      </c>
      <c r="V3153">
        <f>IF(S3153=0,0,$V$3107*$H$26*$R$3107)</f>
        <v>0</v>
      </c>
      <c r="W3153">
        <f>(0.6*T3153+0.7*U3153)*$R$3107/2</f>
        <v>0</v>
      </c>
      <c r="X3153">
        <f>T3153*$R$3107/2</f>
        <v>0</v>
      </c>
      <c r="Z3153">
        <f>IF(S3153=0,0,$AD$3107*$AP$3095)</f>
        <v>0</v>
      </c>
      <c r="AA3153">
        <f>IFERROR(Z3153/$R$3107,0)</f>
        <v>0</v>
      </c>
      <c r="AB3153">
        <f>Z3153*($F$23+IF($F$23=0,0,($C$14+$C$15+IF($C$13="single",1.5,3)+3)/12))</f>
        <v>0</v>
      </c>
      <c r="AC3153">
        <f>AB3153-W3153</f>
        <v>0</v>
      </c>
      <c r="AD3153" cm="1">
        <f t="array" ref="AD3153">IFERROR(IF(AC3153&lt;0,0,AC3153/($R$3107-INDEX(hd_off,MATCH(AQ3153,hd_mark,0),0)/12)),0)</f>
        <v>0</v>
      </c>
      <c r="AE3153">
        <f>IF(S3153=0,0,$AD$3107*$AM$3095)</f>
        <v>0</v>
      </c>
      <c r="AF3153">
        <f>IFERROR(AE3153/$R$3107,0)</f>
        <v>0</v>
      </c>
      <c r="AG3153">
        <f>AE3153*($F$23+IF($F$23=0,0,($C$14+$C$15+IF($C$13="single",1.5,3)+3)/12))</f>
        <v>0</v>
      </c>
      <c r="AH3153">
        <f>AG3153-X3153</f>
        <v>0</v>
      </c>
      <c r="AI3153" cm="1">
        <f t="array" ref="AI3153">IFERROR(IF(AH3153&lt;0,0,AH3153/($R$3107-INDEX(hd_off,MATCH(AQ3153,hd_mark,0),0)/12)),0)</f>
        <v>0</v>
      </c>
      <c r="AJ3153">
        <f>MAX($F$23,$AA$3107)/$Q$3124</f>
        <v>0</v>
      </c>
      <c r="AK3153">
        <f t="shared" si="1952"/>
        <v>0</v>
      </c>
      <c r="AL3153" cm="1">
        <f t="array" ref="AL3153">IFERROR(INDEX(sheath_ecap_asd,MATCH(AP3153,sheath_mark,0),0)*AK3153,0)</f>
        <v>0</v>
      </c>
      <c r="AM3153" cm="1">
        <f t="array" ref="AM3153">IFERROR(INDEX(sheath_wcap_asd,MATCH(AP3153,sheath_mark,0),0)*AK3153,0)</f>
        <v>0</v>
      </c>
      <c r="AN3153" cm="1">
        <f t="array" ref="AN3153">IFERROR(INDEX(hd_cap,MATCH(AQ3153,hd_mark,0),0),0)</f>
        <v>0</v>
      </c>
      <c r="AP3153" s="19"/>
      <c r="AQ3153" s="19"/>
      <c r="AR3153" s="100"/>
      <c r="AS3153" s="93"/>
      <c r="AT3153" s="109" t="s">
        <v>491</v>
      </c>
      <c r="AU3153" t="str">
        <f>$Q$3095</f>
        <v>L4</v>
      </c>
      <c r="AV3153">
        <f>$E$23</f>
        <v>0</v>
      </c>
      <c r="AW3153" cm="1">
        <f t="array" ref="AW3153">IFERROR(IF(AV3153=0,0,(INDEX($C$33:$C$38,MATCH($AZ$3107,$B$33:$B$38,0),0)*(AV3155+$BA$3107)+$AW$3107*COUNTIF(AV3153:AV3154,"&gt;0")*$C$32+$AY$3107*$C$31)*$AU$3107),0)</f>
        <v>0</v>
      </c>
      <c r="AX3153">
        <f>IF(AV3153=0,0,-(COUNTIF(AV3153:AV3154,"&gt;0")*$AW$3107*$C$32+$AY$3107*$C$31)*$H$27*$AU$3107)</f>
        <v>0</v>
      </c>
      <c r="AY3153">
        <f>IF(AV3153=0,0,$AY$3107*$H$26*$AU$3107)</f>
        <v>0</v>
      </c>
      <c r="AZ3153">
        <f>(0.6*AW3153+0.7*AX3153)*$AU$3107/2</f>
        <v>0</v>
      </c>
      <c r="BA3153">
        <f>AW3153*$AU$3107/2</f>
        <v>0</v>
      </c>
      <c r="BC3153">
        <f>IF(AV3153=0,0,$BG$3107*$AP$3095)</f>
        <v>0</v>
      </c>
      <c r="BD3153">
        <f>IFERROR(BC3153/$AU$3107,0)</f>
        <v>0</v>
      </c>
      <c r="BE3153">
        <f>BC3153*($F$23+IF($F$23=0,0,($C$14+$C$15+IF($C$13="single",1.5,3)+3)/12))</f>
        <v>0</v>
      </c>
      <c r="BF3153">
        <f>BE3153-AZ3153</f>
        <v>0</v>
      </c>
      <c r="BG3153" cm="1">
        <f t="array" ref="BG3153">IFERROR(IF(BF3153&lt;0,0,BF3153/($AU$3107-INDEX(hd_off,MATCH(BT3153,hd_mark,0),0)/12)),0)</f>
        <v>0</v>
      </c>
      <c r="BH3153">
        <f>IF(AV3153=0,0,$BG$3107*$AM$3095)</f>
        <v>0</v>
      </c>
      <c r="BI3153">
        <f>IFERROR(BH3153/$AU$3107,0)</f>
        <v>0</v>
      </c>
      <c r="BJ3153">
        <f>BH3153*($F$23+IF($F$23=0,0,($C$14+$C$15+IF($C$13="single",1.5,3)+3)/12))</f>
        <v>0</v>
      </c>
      <c r="BK3153">
        <f>BJ3153-BA3153</f>
        <v>0</v>
      </c>
      <c r="BL3153" cm="1">
        <f t="array" ref="BL3153">IFERROR(IF(BK3153&lt;0,0,BK3153/($AU$3107-INDEX(hd_off,MATCH(BT3153,hd_mark,0),0)/12)),0)</f>
        <v>0</v>
      </c>
      <c r="BM3153">
        <f>MAX($F$23,$BD$3107)/$Q$3124</f>
        <v>0</v>
      </c>
      <c r="BN3153">
        <f t="shared" si="1953"/>
        <v>0</v>
      </c>
      <c r="BO3153" cm="1">
        <f t="array" ref="BO3153">IFERROR(INDEX(sheath_ecap_asd,MATCH(BS3153,sheath_mark,0),0)*BN3153,0)</f>
        <v>0</v>
      </c>
      <c r="BP3153" cm="1">
        <f t="array" ref="BP3153">IFERROR(INDEX(sheath_wcap_asd,MATCH(BS3153,sheath_mark,0),0)*BN3153,0)</f>
        <v>0</v>
      </c>
      <c r="BQ3153" cm="1">
        <f t="array" ref="BQ3153">IFERROR(INDEX(hd_cap,MATCH(BT3153,hd_mark,0),0),0)</f>
        <v>0</v>
      </c>
      <c r="BS3153" s="19"/>
      <c r="BT3153" s="19"/>
      <c r="BU3153" s="100"/>
    </row>
    <row r="3154" x14ac:dyDescent="0.25">
      <c r="P3154" s="93"/>
      <c r="Q3154" s="111">
        <f>$R$3107</f>
        <v>0</v>
      </c>
      <c r="R3154" t="str">
        <f>$Q$3096</f>
        <v>L5</v>
      </c>
      <c r="S3154">
        <f>$E$24</f>
        <v>0</v>
      </c>
      <c r="T3154" cm="1">
        <f t="array" ref="T3154">IFERROR(IF(S3154=0,0,(INDEX($C$33:$C$38,MATCH($W$3107,$B$33:$B$38,0),0)*(S3155+$X$3107)+$T$3107*COUNTIF(S3154:S3154,"&gt;0")*$C$32+$V$3107*$C$31)*$R$3107),0)</f>
        <v>0</v>
      </c>
      <c r="U3154">
        <f>IF(S3154=0,0,-(COUNTIF(S3154:S3154,"&gt;0")*$T$3107*$C$32+$V$3107*$C$31)*$H$27*$R$3107)</f>
        <v>0</v>
      </c>
      <c r="V3154">
        <f>IF(S3154=0,0,$V$3107*$H$26*$R$3107)</f>
        <v>0</v>
      </c>
      <c r="W3154">
        <f>(0.6*T3154+0.7*U3154)*$R$3107/2</f>
        <v>0</v>
      </c>
      <c r="X3154">
        <f>T3154*$R$3107/2</f>
        <v>0</v>
      </c>
      <c r="Z3154">
        <f>IF(S3154=0,0,$AD$3107*$AP$3096)</f>
        <v>0</v>
      </c>
      <c r="AA3154">
        <f>IFERROR(Z3154/$R$3107,0)</f>
        <v>0</v>
      </c>
      <c r="AB3154">
        <f>Z3154*($F$24+IF($F$24=0,0,($C$14+$C$15+IF($C$13="single",1.5,3)+3)/12))</f>
        <v>0</v>
      </c>
      <c r="AC3154">
        <f>AB3154-W3154</f>
        <v>0</v>
      </c>
      <c r="AD3154" cm="1">
        <f t="array" ref="AD3154">IFERROR(IF(AC3154&lt;0,0,AC3154/($R$3107-INDEX(hd_off,MATCH(AQ3154,hd_mark,0),0)/12)),0)</f>
        <v>0</v>
      </c>
      <c r="AE3154">
        <f>IF(S3154=0,0,$AD$3107*$AM$3096)</f>
        <v>0</v>
      </c>
      <c r="AF3154">
        <f>IFERROR(AE3154/$R$3107,0)</f>
        <v>0</v>
      </c>
      <c r="AG3154">
        <f>AE3154*($F$24+IF($F$24=0,0,($C$14+$C$15+IF($C$13="single",1.5,3)+3)/12))</f>
        <v>0</v>
      </c>
      <c r="AH3154">
        <f>AG3154-X3154</f>
        <v>0</v>
      </c>
      <c r="AI3154" cm="1">
        <f t="array" ref="AI3154">IFERROR(IF(AH3154&lt;0,0,AH3154/($R$3107-INDEX(hd_off,MATCH(AQ3154,hd_mark,0),0)/12)),0)</f>
        <v>0</v>
      </c>
      <c r="AJ3154">
        <f>MAX($F$24,$AB$3107)/$Q$3124</f>
        <v>0</v>
      </c>
      <c r="AK3154">
        <f t="shared" si="1952"/>
        <v>0</v>
      </c>
      <c r="AL3154" cm="1">
        <f t="array" ref="AL3154">IFERROR(INDEX(sheath_ecap_asd,MATCH(AP3154,sheath_mark,0),0)*AK3154,0)</f>
        <v>0</v>
      </c>
      <c r="AM3154" cm="1">
        <f t="array" ref="AM3154">IFERROR(INDEX(sheath_wcap_asd,MATCH(AP3154,sheath_mark,0),0)*AK3154,0)</f>
        <v>0</v>
      </c>
      <c r="AN3154" cm="1">
        <f t="array" ref="AN3154">IFERROR(INDEX(hd_cap,MATCH(AQ3154,hd_mark,0),0),0)</f>
        <v>0</v>
      </c>
      <c r="AP3154" s="19"/>
      <c r="AQ3154" s="19"/>
      <c r="AR3154" s="100"/>
      <c r="AS3154" s="93"/>
      <c r="AT3154" s="111">
        <f>$R$3107</f>
        <v>0</v>
      </c>
      <c r="AU3154" t="str">
        <f>$Q$3096</f>
        <v>L5</v>
      </c>
      <c r="AV3154">
        <f>$E$24</f>
        <v>0</v>
      </c>
      <c r="AW3154" cm="1">
        <f t="array" ref="AW3154">IFERROR(IF(AV3154=0,0,(INDEX($C$33:$C$38,MATCH($AZ$3107,$B$33:$B$38,0),0)*(AV3155+$BA$3107)+$AW$3107*COUNTIF(AV3154:AV3154,"&gt;0")*$C$32+$AY$3107*$C$31)*$AU$3107),0)</f>
        <v>0</v>
      </c>
      <c r="AX3154">
        <f>IF(AV3154=0,0,-(COUNTIF(AV3154:AV3154,"&gt;0")*$AW$3107*$C$32+$AY$3107*$C$31)*$H$27*$AU$3107)</f>
        <v>0</v>
      </c>
      <c r="AY3154">
        <f>IF(AV3154=0,0,$AY$3107*$H$26*$AU$3107)</f>
        <v>0</v>
      </c>
      <c r="AZ3154">
        <f>(0.6*AW3154+0.7*AX3154)*$AU$3107/2</f>
        <v>0</v>
      </c>
      <c r="BA3154">
        <f>AW3154*$AU$3107/2</f>
        <v>0</v>
      </c>
      <c r="BC3154">
        <f>IF(AV3154=0,0,$BG$3107*$AP$3096)</f>
        <v>0</v>
      </c>
      <c r="BD3154">
        <f>IFERROR(BC3154/$AU$3107,0)</f>
        <v>0</v>
      </c>
      <c r="BE3154">
        <f>BC3154*($F$24+IF($F$24=0,0,($C$14+$C$15+IF($C$13="single",1.5,3)+3)/12))</f>
        <v>0</v>
      </c>
      <c r="BF3154">
        <f>BE3154-AZ3154</f>
        <v>0</v>
      </c>
      <c r="BG3154" cm="1">
        <f t="array" ref="BG3154">IFERROR(IF(BF3154&lt;0,0,BF3154/($AU$3107-INDEX(hd_off,MATCH(BT3154,hd_mark,0),0)/12)),0)</f>
        <v>0</v>
      </c>
      <c r="BH3154">
        <f>IF(AV3154=0,0,$BG$3107*$AM$3096)</f>
        <v>0</v>
      </c>
      <c r="BI3154">
        <f>IFERROR(BH3154/$AU$3107,0)</f>
        <v>0</v>
      </c>
      <c r="BJ3154">
        <f>BH3154*($F$24+IF($F$24=0,0,($C$14+$C$15+IF($C$13="single",1.5,3)+3)/12))</f>
        <v>0</v>
      </c>
      <c r="BK3154">
        <f>BJ3154-BA3154</f>
        <v>0</v>
      </c>
      <c r="BL3154" cm="1">
        <f t="array" ref="BL3154">IFERROR(IF(BK3154&lt;0,0,BK3154/($AU$3107-INDEX(hd_off,MATCH(BT3154,hd_mark,0),0)/12)),0)</f>
        <v>0</v>
      </c>
      <c r="BM3154">
        <f>MAX($F$24,$BE$3107)/$Q$3124</f>
        <v>0</v>
      </c>
      <c r="BN3154">
        <f t="shared" si="1953"/>
        <v>0</v>
      </c>
      <c r="BO3154" cm="1">
        <f t="array" ref="BO3154">IFERROR(INDEX(sheath_ecap_asd,MATCH(BS3154,sheath_mark,0),0)*BN3154,0)</f>
        <v>0</v>
      </c>
      <c r="BP3154" cm="1">
        <f t="array" ref="BP3154">IFERROR(INDEX(sheath_wcap_asd,MATCH(BS3154,sheath_mark,0),0)*BN3154,0)</f>
        <v>0</v>
      </c>
      <c r="BQ3154" cm="1">
        <f t="array" ref="BQ3154">IFERROR(INDEX(hd_cap,MATCH(BT3154,hd_mark,0),0),0)</f>
        <v>0</v>
      </c>
      <c r="BS3154" s="19"/>
      <c r="BT3154" s="19"/>
      <c r="BU3154" s="100"/>
    </row>
    <row r="3155" x14ac:dyDescent="0.25">
      <c r="P3155" s="93"/>
      <c r="Q3155" s="109"/>
      <c r="R3155" t="str">
        <f>$Q$3097</f>
        <v>Roof</v>
      </c>
      <c r="S3155">
        <f>$E$25</f>
        <v>33.171875</v>
      </c>
      <c r="T3155" cm="1">
        <f t="array" ref="T3155">IFERROR(IF(S3155=0,0,(INDEX($C$33:$C$38,MATCH($W$3107,$B$33:$B$38,0),0)*(S3155+$X$3107)+$V$3107*$C$31)*$R$3107),0)</f>
        <v>0</v>
      </c>
      <c r="U3155">
        <f>IF(S3155=0,0,-$V$3107*$C$31*$H$27*$R$3107)</f>
        <v>0</v>
      </c>
      <c r="V3155">
        <f>IF(S3155=0,0,$V$3107*$H$26*$R$3107)</f>
        <v>0</v>
      </c>
      <c r="W3155">
        <f>(0.6*T3155+0.7*U3155)*$R$3107/2</f>
        <v>0</v>
      </c>
      <c r="X3155">
        <f>T3155*$R$3107/2</f>
        <v>0</v>
      </c>
      <c r="Z3155">
        <f>IF(S3155=0,0,$AD$3107*$AP$3097)</f>
        <v>0</v>
      </c>
      <c r="AA3155">
        <f>IFERROR(Z3155/$R$3107,0)</f>
        <v>0</v>
      </c>
      <c r="AB3155">
        <f>Z3155*($F$25+($C$16+$C$17+IF($C$13="single",1.5,3)+3)/12)</f>
        <v>0</v>
      </c>
      <c r="AC3155">
        <f>AB3155-W3155</f>
        <v>0</v>
      </c>
      <c r="AD3155" cm="1">
        <f t="array" ref="AD3155">IFERROR(IF(AC3155&lt;0,0,AC3155/($R$3107-INDEX(hd_off,MATCH(AQ3155,hd_mark,0),0)/12)),0)</f>
        <v>0</v>
      </c>
      <c r="AE3155">
        <f>IF(S3155=0,0,$AD$3107*$AM$3097)</f>
        <v>0</v>
      </c>
      <c r="AF3155">
        <f>IFERROR(AE3155/$R$3107,0)</f>
        <v>0</v>
      </c>
      <c r="AG3155">
        <f>AE3155*($F$25+($C$16+$C$17+IF($C$13="single",1.5,3)+3)/12)</f>
        <v>0</v>
      </c>
      <c r="AH3155">
        <f>AG3155-X3155</f>
        <v>0</v>
      </c>
      <c r="AI3155" cm="1">
        <f t="array" ref="AI3155">IFERROR(IF(AH3155&lt;0,0,AH3155/($R$3107-INDEX(hd_off,MATCH(AQ3155,hd_mark,0),0)/12)),0)</f>
        <v>0</v>
      </c>
      <c r="AJ3155">
        <f>MAX($F$25,$AC$3107)/$Q$3124</f>
        <v>0.29920977011494249</v>
      </c>
      <c r="AK3155">
        <f t="shared" si="1952"/>
        <v>1</v>
      </c>
      <c r="AL3155" cm="1">
        <f t="array" ref="AL3155">IFERROR(INDEX(sheath_ecap_asd,MATCH(AP3155,sheath_mark,0),0)*AK3155,0)</f>
        <v>0</v>
      </c>
      <c r="AM3155" cm="1">
        <f t="array" ref="AM3155">IFERROR(INDEX(sheath_wcap_asd,MATCH(AP3155,sheath_mark,0),0)*AK3155,0)</f>
        <v>0</v>
      </c>
      <c r="AN3155" cm="1">
        <f t="array" ref="AN3155">IFERROR(INDEX(hd_cap,MATCH(AQ3155,hd_mark,0),0),0)</f>
        <v>0</v>
      </c>
      <c r="AP3155" s="19"/>
      <c r="AQ3155" s="19"/>
      <c r="AR3155" s="100"/>
      <c r="AS3155" s="93"/>
      <c r="AT3155" s="109"/>
      <c r="AU3155" t="str">
        <f>$Q$3097</f>
        <v>Roof</v>
      </c>
      <c r="AV3155">
        <f>$E$25</f>
        <v>33.171875</v>
      </c>
      <c r="AW3155" cm="1">
        <f t="array" ref="AW3155">IFERROR(IF(AV3155=0,0,(INDEX($C$33:$C$38,MATCH($AZ$3107,$B$33:$B$38,0),0)*(AV3155+$BA$3107)+$AY$3107*$C$31)*$AU$3107),0)</f>
        <v>0</v>
      </c>
      <c r="AX3155">
        <f>IF(AV3155=0,0,-$AY$3107*$C$31*$H$27*$AU$3107)</f>
        <v>0</v>
      </c>
      <c r="AY3155">
        <f>IF(AV3155=0,0,$AY$3107*$H$26*$AU$3107)</f>
        <v>0</v>
      </c>
      <c r="AZ3155">
        <f>(0.6*AW3155+0.7*AX3155)*$AU$3107/2</f>
        <v>0</v>
      </c>
      <c r="BA3155">
        <f>AW3155*$AU$3107/2</f>
        <v>0</v>
      </c>
      <c r="BC3155">
        <f>IF(AV3155=0,0,$BG$3107*$AP$3097)</f>
        <v>0</v>
      </c>
      <c r="BD3155">
        <f>IFERROR(BC3155/$AU$3107,0)</f>
        <v>0</v>
      </c>
      <c r="BE3155">
        <f>BC3155*($F$25+($C$16+$C$17+IF($C$13="single",1.5,3)+3)/12)</f>
        <v>0</v>
      </c>
      <c r="BF3155">
        <f>BE3155-AZ3155</f>
        <v>0</v>
      </c>
      <c r="BG3155" cm="1">
        <f t="array" ref="BG3155">IFERROR(IF(BF3155&lt;0,0,BF3155/($AU$3107-INDEX(hd_off,MATCH(BT3155,hd_mark,0),0)/12)),0)</f>
        <v>0</v>
      </c>
      <c r="BH3155">
        <f>IF(AV3155=0,0,$BG$3107*$AM$3097)</f>
        <v>0</v>
      </c>
      <c r="BI3155">
        <f>IFERROR(BH3155/$AU$3107,0)</f>
        <v>0</v>
      </c>
      <c r="BJ3155">
        <f>BH3155*($F$25+($C$16+$C$17+IF($C$13="single",1.5,3)+3)/12)</f>
        <v>0</v>
      </c>
      <c r="BK3155">
        <f>BJ3155-BA3155</f>
        <v>0</v>
      </c>
      <c r="BL3155" cm="1">
        <f t="array" ref="BL3155">IFERROR(IF(BK3155&lt;0,0,BK3155/($AU$3107-INDEX(hd_off,MATCH(BT3155,hd_mark,0),0)/12)),0)</f>
        <v>0</v>
      </c>
      <c r="BM3155">
        <f>MAX($F$25,$BF$3107)/$Q$3124</f>
        <v>0.29920977011494249</v>
      </c>
      <c r="BN3155">
        <f t="shared" si="1953"/>
        <v>1</v>
      </c>
      <c r="BO3155" cm="1">
        <f t="array" ref="BO3155">IFERROR(INDEX(sheath_ecap_asd,MATCH(BS3155,sheath_mark,0),0)*BN3155,0)</f>
        <v>0</v>
      </c>
      <c r="BP3155" cm="1">
        <f t="array" ref="BP3155">IFERROR(INDEX(sheath_wcap_asd,MATCH(BS3155,sheath_mark,0),0)*BN3155,0)</f>
        <v>0</v>
      </c>
      <c r="BQ3155" cm="1">
        <f t="array" ref="BQ3155">IFERROR(INDEX(hd_cap,MATCH(BT3155,hd_mark,0),0),0)</f>
        <v>0</v>
      </c>
      <c r="BS3155" s="19"/>
      <c r="BT3155" s="19"/>
      <c r="BU3155" s="100"/>
    </row>
    <row r="3156" x14ac:dyDescent="0.25">
      <c r="P3156" s="93"/>
      <c r="AR3156" s="100"/>
      <c r="AS3156" s="93"/>
      <c r="BU3156" s="100"/>
    </row>
    <row r="3157" x14ac:dyDescent="0.25">
      <c r="P3157" s="93"/>
      <c r="Q3157" s="110" t="str">
        <f>$Q$3108</f>
        <v>A.07</v>
      </c>
      <c r="R3157" t="str">
        <f>$Q$3093</f>
        <v>L2</v>
      </c>
      <c r="S3157">
        <f>$E$21</f>
        <v>10.6875</v>
      </c>
      <c r="T3157" cm="1">
        <f t="array" ref="T3157">IFERROR(IF(S3157=0,0,(INDEX($C$33:$C$38,MATCH($W$3108,$B$33:$B$38,0),0)*(S3161+$X$3108)+$T$3108*COUNTIF(S3157:S3160,"&gt;0")*$C$32+$V$3108*$C$31)*$R$3108),0)</f>
        <v>0</v>
      </c>
      <c r="U3157">
        <f>IF(S3157=0,0,-(COUNTIF(S3157:S3160,"&gt;0")*$T$3108*$C$32+$V$3108*$C$31)*$H$27*$R$3108)</f>
        <v>0</v>
      </c>
      <c r="V3157">
        <f>IF(S3157=0,0,$V$3108*$H$26*$R$3108)</f>
        <v>0</v>
      </c>
      <c r="W3157">
        <f>(0.6*T3157+0.7*U3157)*$R$3108/2</f>
        <v>0</v>
      </c>
      <c r="X3157">
        <f>(0.6*T3157+0.6*V3157)*$R$3108/2</f>
        <v>0</v>
      </c>
      <c r="Z3157">
        <f>IF(S3157=0,0,$AD$3108*$AP$3093)</f>
        <v>0</v>
      </c>
      <c r="AA3157">
        <f>IFERROR(Z3157/$R$3108,0)</f>
        <v>0</v>
      </c>
      <c r="AB3157">
        <f>Z3157*($F$21+IF($F$21=0,0,($C$14+$C$15+IF($C$13="single",1.5,3)+3)/12))</f>
        <v>0</v>
      </c>
      <c r="AC3157">
        <f>AB3157-W3157</f>
        <v>0</v>
      </c>
      <c r="AD3157" cm="1">
        <f t="array" ref="AD3157">IFERROR(IF(AC3157&lt;0,0,AC3157/($R$3108-INDEX(hd_off,MATCH(AQ3157,hd_mark,0),0)/12)),0)</f>
        <v>0</v>
      </c>
      <c r="AE3157">
        <f>IF(S3157=0,0,$AD$3108*$AM$3093)</f>
        <v>0</v>
      </c>
      <c r="AF3157">
        <f>IFERROR(AE3157/$R$3108,0)</f>
        <v>0</v>
      </c>
      <c r="AG3157">
        <f>AE3157*($F$21+IF($F$21=0,0,($C$14+$C$15+IF($C$13="single",1.5,3)+3)/12))</f>
        <v>0</v>
      </c>
      <c r="AH3157">
        <f>AG3157-X3157</f>
        <v>0</v>
      </c>
      <c r="AI3157" cm="1">
        <f t="array" ref="AI3157">IFERROR(IF(AH3157&lt;0,0,AH3157/($R$3108-INDEX(hd_off,MATCH(AQ3157,hd_mark,0),0)/12)),0)</f>
        <v>0</v>
      </c>
      <c r="AJ3157">
        <f>MAX($F$21,$Y$3108)/$Q$3124</f>
        <v>0.30172413793103448</v>
      </c>
      <c r="AK3157">
        <f>IF(AJ3157=0,0,IF(AJ3157&gt;2,1.25-0.125*AJ3157,1))</f>
        <v>1</v>
      </c>
      <c r="AL3157" cm="1">
        <f t="array" ref="AL3157">IFERROR(INDEX(sheath_ecap_asd,MATCH(AP3157,sheath_mark,0),0)*AK3157,0)</f>
        <v>0</v>
      </c>
      <c r="AM3157" cm="1">
        <f t="array" ref="AM3157">IFERROR(INDEX(sheath_wcap_asd,MATCH(AP3157,sheath_mark,0),0)*AK3157,0)</f>
        <v>0</v>
      </c>
      <c r="AN3157" cm="1">
        <f t="array" ref="AN3157">IFERROR(INDEX(hd_cap,MATCH(AQ3157,hd_mark,0),0),0)</f>
        <v>0</v>
      </c>
      <c r="AP3157" s="19"/>
      <c r="AQ3157" s="19"/>
      <c r="AR3157" s="100"/>
      <c r="AS3157" s="93"/>
      <c r="AT3157" s="110" t="str">
        <f>$AT$3108</f>
        <v>1.07</v>
      </c>
      <c r="AU3157" t="str">
        <f>$Q$3093</f>
        <v>L2</v>
      </c>
      <c r="AV3157">
        <f>$E$21</f>
        <v>10.6875</v>
      </c>
      <c r="AW3157" cm="1">
        <f t="array" ref="AW3157">IFERROR(IF(AV3157=0,0,(INDEX($C$33:$C$38,MATCH($AZ$3108,$B$33:$B$38,0),0)*(AV3161+$BA$3108)+$AW$3108*COUNTIF(AV3157:AV3160,"&gt;0")*$C$32+$AY$3108*$C$31)*$AU$3108),0)</f>
        <v>0</v>
      </c>
      <c r="AX3157">
        <f>IF(AV3157=0,0,-(COUNTIF(AV3157:AV3160,"&gt;0")*$AW$3108*$C$32+$AY$3108*$C$31)*$H$27*$AU$3108)</f>
        <v>0</v>
      </c>
      <c r="AY3157">
        <f>IF(AV3157=0,0,$AY$3108*$H$26*$AU$3108)</f>
        <v>0</v>
      </c>
      <c r="AZ3157">
        <f>(0.6*AW3157+0.7*AX3157)*$AU$3108/2</f>
        <v>0</v>
      </c>
      <c r="BA3157">
        <f>(0.6*AW3157+0.6*AY3157)*$AU$3108/2</f>
        <v>0</v>
      </c>
      <c r="BC3157">
        <f>IF(AV3157=0,0,$BG$3108*$AP$3093)</f>
        <v>0</v>
      </c>
      <c r="BD3157">
        <f>IFERROR(BC3157/$AU$3108,0)</f>
        <v>0</v>
      </c>
      <c r="BE3157">
        <f>BC3157*($F$21+IF($F$21=0,0,($C$14+$C$15+IF($C$13="single",1.5,3)+3)/12))</f>
        <v>0</v>
      </c>
      <c r="BF3157">
        <f>BE3157-AZ3157</f>
        <v>0</v>
      </c>
      <c r="BG3157" cm="1">
        <f t="array" ref="BG3157">IFERROR(IF(BF3157&lt;0,0,BF3157/($AU$3108-INDEX(hd_off,MATCH(BT3157,hd_mark,0),0)/12)),0)</f>
        <v>0</v>
      </c>
      <c r="BH3157">
        <f>IF(AV3157=0,0,$BG$3108*$AM$3093)</f>
        <v>0</v>
      </c>
      <c r="BI3157">
        <f>IFERROR(BH3157/$AU$3108,0)</f>
        <v>0</v>
      </c>
      <c r="BJ3157">
        <f>BH3157*($F$21+IF($F$21=0,0,($C$14+$C$15+IF($C$13="single",1.5,3)+3)/12))</f>
        <v>0</v>
      </c>
      <c r="BK3157">
        <f>BJ3157-BA3157</f>
        <v>0</v>
      </c>
      <c r="BL3157" cm="1">
        <f t="array" ref="BL3157">IFERROR(IF(BK3157&lt;0,0,BK3157/($AU$3108-INDEX(hd_off,MATCH(BT3157,hd_mark,0),0)/12)),0)</f>
        <v>0</v>
      </c>
      <c r="BM3157">
        <f>MAX($F$21,$BB$3108)/$Q$3124</f>
        <v>0.30172413793103448</v>
      </c>
      <c r="BN3157">
        <f>IF(BM3157=0,0,IF(BM3157&gt;2,1.25-0.125*BM3157,1))</f>
        <v>1</v>
      </c>
      <c r="BO3157" cm="1">
        <f t="array" ref="BO3157">IFERROR(INDEX(sheath_ecap_asd,MATCH(BS3157,sheath_mark,0),0)*BN3157,0)</f>
        <v>0</v>
      </c>
      <c r="BP3157" cm="1">
        <f t="array" ref="BP3157">IFERROR(INDEX(sheath_wcap_asd,MATCH(BS3157,sheath_mark,0),0)*BN3157,0)</f>
        <v>0</v>
      </c>
      <c r="BQ3157" cm="1">
        <f t="array" ref="BQ3157">IFERROR(INDEX(hd_cap,MATCH(BT3157,hd_mark,0),0),0)</f>
        <v>0</v>
      </c>
      <c r="BS3157" s="19"/>
      <c r="BT3157" s="19"/>
      <c r="BU3157" s="100"/>
    </row>
    <row r="3158" x14ac:dyDescent="0.25">
      <c r="P3158" s="93"/>
      <c r="Q3158" s="109"/>
      <c r="R3158" t="str">
        <f>$Q$3094</f>
        <v>L3</v>
      </c>
      <c r="S3158">
        <f>$E$22</f>
        <v>21.375</v>
      </c>
      <c r="T3158" cm="1">
        <f t="array" ref="T3158">IFERROR(IF(S3158=0,0,(INDEX($C$33:$C$38,MATCH($W$3108,$B$33:$B$38,0),0)*(S3161+$X$3108)+$T$3108*COUNTIF(S3158:S3160,"&gt;0")*$C$32+$V$3108*$C$31)*$R$3108),0)</f>
        <v>0</v>
      </c>
      <c r="U3158">
        <f>IF(S3158=0,0,-(COUNTIF(S3158:S3160,"&gt;0")*$T$3108*$C$32+$V$3108*$C$31)*$H$27*$R$3108)</f>
        <v>0</v>
      </c>
      <c r="V3158">
        <f>IF(S3158=0,0,$V$3108*$H$26*$R$3108)</f>
        <v>0</v>
      </c>
      <c r="W3158">
        <f>(0.6*T3158+0.7*U3158)*$R$3108/2</f>
        <v>0</v>
      </c>
      <c r="X3158">
        <f>T3158*$R$3108/2</f>
        <v>0</v>
      </c>
      <c r="Z3158">
        <f>IF(S3158=0,0,$AD$3108*$AP$3094)</f>
        <v>0</v>
      </c>
      <c r="AA3158">
        <f>IFERROR(Z3158/$R$3108,0)</f>
        <v>0</v>
      </c>
      <c r="AB3158">
        <f>Z3158*($F$22+IF($F$22=0,0,($C$14+$C$15+IF($C$13="single",1.5,3)+3)/12))</f>
        <v>0</v>
      </c>
      <c r="AC3158">
        <f>AB3158-W3158</f>
        <v>0</v>
      </c>
      <c r="AD3158" cm="1">
        <f t="array" ref="AD3158">IFERROR(IF(AC3158&lt;0,0,AC3158/($R$3108-INDEX(hd_off,MATCH(AQ3158,hd_mark,0),0)/12)),0)</f>
        <v>0</v>
      </c>
      <c r="AE3158">
        <f>IF(S3158=0,0,$AD$3108*$AM$3094)</f>
        <v>0</v>
      </c>
      <c r="AF3158">
        <f>IFERROR(AE3158/$R$3108,0)</f>
        <v>0</v>
      </c>
      <c r="AG3158">
        <f>AE3158*($F$22+IF($F$22=0,0,($C$14+$C$15+IF($C$13="single",1.5,3)+3)/12))</f>
        <v>0</v>
      </c>
      <c r="AH3158">
        <f>AG3158-X3158</f>
        <v>0</v>
      </c>
      <c r="AI3158" cm="1">
        <f t="array" ref="AI3158">IFERROR(IF(AH3158&lt;0,0,AH3158/($R$3108-INDEX(hd_off,MATCH(AQ3158,hd_mark,0),0)/12)),0)</f>
        <v>0</v>
      </c>
      <c r="AJ3158">
        <f>MAX($F$22,$Z$3108)/$Q$3124</f>
        <v>0.30172413793103448</v>
      </c>
      <c r="AK3158">
        <f t="shared" ref="AK3158:AK3161" si="1954">IF(AJ3158=0,0,IF(AJ3158&gt;2,1.25-0.125*AJ3158,1))</f>
        <v>1</v>
      </c>
      <c r="AL3158" cm="1">
        <f t="array" ref="AL3158">IFERROR(INDEX(sheath_ecap_asd,MATCH(AP3158,sheath_mark,0),0)*AK3158,0)</f>
        <v>0</v>
      </c>
      <c r="AM3158" cm="1">
        <f t="array" ref="AM3158">IFERROR(INDEX(sheath_wcap_asd,MATCH(AP3158,sheath_mark,0),0)*AK3158,0)</f>
        <v>0</v>
      </c>
      <c r="AN3158" cm="1">
        <f t="array" ref="AN3158">IFERROR(INDEX(hd_cap,MATCH(AQ3158,hd_mark,0),0),0)</f>
        <v>0</v>
      </c>
      <c r="AP3158" s="19"/>
      <c r="AQ3158" s="19"/>
      <c r="AR3158" s="100"/>
      <c r="AS3158" s="93"/>
      <c r="AT3158" s="109"/>
      <c r="AU3158" t="str">
        <f>$Q$3094</f>
        <v>L3</v>
      </c>
      <c r="AV3158">
        <f>$E$22</f>
        <v>21.375</v>
      </c>
      <c r="AW3158" cm="1">
        <f t="array" ref="AW3158">IFERROR(IF(AV3158=0,0,(INDEX($C$33:$C$38,MATCH($AZ$3108,$B$33:$B$38,0),0)*(AV3161+$BA$3108)+$AW$3108*COUNTIF(AV3158:AV3160,"&gt;0")*$C$32+$AY$3108*$C$31)*$AU$3108),0)</f>
        <v>0</v>
      </c>
      <c r="AX3158">
        <f>IF(AV3158=0,0,-(COUNTIF(AV3158:AV3160,"&gt;0")*$AW$3108*$C$32+$AY$3108*$C$31)*$H$27*$AU$3108)</f>
        <v>0</v>
      </c>
      <c r="AY3158">
        <f>IF(AV3158=0,0,$AY$3108*$H$26*$AU$3108)</f>
        <v>0</v>
      </c>
      <c r="AZ3158">
        <f>(0.6*AW3158+0.7*AX3158)*$AU$3108/2</f>
        <v>0</v>
      </c>
      <c r="BA3158">
        <f>AW3158*$AU$3108/2</f>
        <v>0</v>
      </c>
      <c r="BC3158">
        <f>IF(AV3158=0,0,$BG$3108*$AP$3094)</f>
        <v>0</v>
      </c>
      <c r="BD3158">
        <f>IFERROR(BC3158/$AU$3108,0)</f>
        <v>0</v>
      </c>
      <c r="BE3158">
        <f>BC3158*($F$22+IF($F$22=0,0,($C$14+$C$15+IF($C$13="single",1.5,3)+3)/12))</f>
        <v>0</v>
      </c>
      <c r="BF3158">
        <f>BE3158-AZ3158</f>
        <v>0</v>
      </c>
      <c r="BG3158" cm="1">
        <f t="array" ref="BG3158">IFERROR(IF(BF3158&lt;0,0,BF3158/($AU$3108-INDEX(hd_off,MATCH(BT3158,hd_mark,0),0)/12)),0)</f>
        <v>0</v>
      </c>
      <c r="BH3158">
        <f>IF(AV3158=0,0,$BG$3108*$AM$3094)</f>
        <v>0</v>
      </c>
      <c r="BI3158">
        <f>IFERROR(BH3158/$AU$3108,0)</f>
        <v>0</v>
      </c>
      <c r="BJ3158">
        <f>BH3158*($F$22+IF($F$22=0,0,($C$14+$C$15+IF($C$13="single",1.5,3)+3)/12))</f>
        <v>0</v>
      </c>
      <c r="BK3158">
        <f>BJ3158-BA3158</f>
        <v>0</v>
      </c>
      <c r="BL3158" cm="1">
        <f t="array" ref="BL3158">IFERROR(IF(BK3158&lt;0,0,BK3158/($AU$3108-INDEX(hd_off,MATCH(BT3158,hd_mark,0),0)/12)),0)</f>
        <v>0</v>
      </c>
      <c r="BM3158">
        <f>MAX($F$22,$BC$3108)/$Q$3124</f>
        <v>0.30172413793103448</v>
      </c>
      <c r="BN3158">
        <f t="shared" ref="BN3158:BN3161" si="1955">IF(BM3158=0,0,IF(BM3158&gt;2,1.25-0.125*BM3158,1))</f>
        <v>1</v>
      </c>
      <c r="BO3158" cm="1">
        <f t="array" ref="BO3158">IFERROR(INDEX(sheath_ecap_asd,MATCH(BS3158,sheath_mark,0),0)*BN3158,0)</f>
        <v>0</v>
      </c>
      <c r="BP3158" cm="1">
        <f t="array" ref="BP3158">IFERROR(INDEX(sheath_wcap_asd,MATCH(BS3158,sheath_mark,0),0)*BN3158,0)</f>
        <v>0</v>
      </c>
      <c r="BQ3158" cm="1">
        <f t="array" ref="BQ3158">IFERROR(INDEX(hd_cap,MATCH(BT3158,hd_mark,0),0),0)</f>
        <v>0</v>
      </c>
      <c r="BS3158" s="19"/>
      <c r="BT3158" s="19"/>
      <c r="BU3158" s="100"/>
    </row>
    <row r="3159" x14ac:dyDescent="0.25">
      <c r="P3159" s="93"/>
      <c r="Q3159" s="109" t="s">
        <v>491</v>
      </c>
      <c r="R3159" t="str">
        <f>$Q$3095</f>
        <v>L4</v>
      </c>
      <c r="S3159">
        <f>$E$23</f>
        <v>0</v>
      </c>
      <c r="T3159" cm="1">
        <f t="array" ref="T3159">IFERROR(IF(S3159=0,0,(INDEX($C$33:$C$38,MATCH($W$3108,$B$33:$B$38,0),0)*(S3161+$X$3108)+$T$3108*COUNTIF(S3159:S3160,"&gt;0")*$C$32+$V$3108*$C$31)*$R$3108),0)</f>
        <v>0</v>
      </c>
      <c r="U3159">
        <f>IF(S3159=0,0,-(COUNTIF(S3159:S3160,"&gt;0")*$T$3108*$C$32+$V$3108*$C$31)*$H$27*$R$3108)</f>
        <v>0</v>
      </c>
      <c r="V3159">
        <f>IF(S3159=0,0,$V$3108*$H$26*$R$3108)</f>
        <v>0</v>
      </c>
      <c r="W3159">
        <f>(0.6*T3159+0.7*U3159)*$R$3108/2</f>
        <v>0</v>
      </c>
      <c r="X3159">
        <f>T3159*$R$3108/2</f>
        <v>0</v>
      </c>
      <c r="Z3159">
        <f>IF(S3159=0,0,$AD$3108*$AP$3095)</f>
        <v>0</v>
      </c>
      <c r="AA3159">
        <f>IFERROR(Z3159/$R$3108,0)</f>
        <v>0</v>
      </c>
      <c r="AB3159">
        <f>Z3159*($F$23+IF($F$23=0,0,($C$14+$C$15+IF($C$13="single",1.5,3)+3)/12))</f>
        <v>0</v>
      </c>
      <c r="AC3159">
        <f>AB3159-W3159</f>
        <v>0</v>
      </c>
      <c r="AD3159" cm="1">
        <f t="array" ref="AD3159">IFERROR(IF(AC3159&lt;0,0,AC3159/($R$3108-INDEX(hd_off,MATCH(AQ3159,hd_mark,0),0)/12)),0)</f>
        <v>0</v>
      </c>
      <c r="AE3159">
        <f>IF(S3159=0,0,$AD$3108*$AM$3095)</f>
        <v>0</v>
      </c>
      <c r="AF3159">
        <f>IFERROR(AE3159/$R$3108,0)</f>
        <v>0</v>
      </c>
      <c r="AG3159">
        <f>AE3159*($F$23+IF($F$23=0,0,($C$14+$C$15+IF($C$13="single",1.5,3)+3)/12))</f>
        <v>0</v>
      </c>
      <c r="AH3159">
        <f>AG3159-X3159</f>
        <v>0</v>
      </c>
      <c r="AI3159" cm="1">
        <f t="array" ref="AI3159">IFERROR(IF(AH3159&lt;0,0,AH3159/($R$3108-INDEX(hd_off,MATCH(AQ3159,hd_mark,0),0)/12)),0)</f>
        <v>0</v>
      </c>
      <c r="AJ3159">
        <f>MAX($F$23,$AA$3108)/$Q$3124</f>
        <v>0</v>
      </c>
      <c r="AK3159">
        <f t="shared" si="1954"/>
        <v>0</v>
      </c>
      <c r="AL3159" cm="1">
        <f t="array" ref="AL3159">IFERROR(INDEX(sheath_ecap_asd,MATCH(AP3159,sheath_mark,0),0)*AK3159,0)</f>
        <v>0</v>
      </c>
      <c r="AM3159" cm="1">
        <f t="array" ref="AM3159">IFERROR(INDEX(sheath_wcap_asd,MATCH(AP3159,sheath_mark,0),0)*AK3159,0)</f>
        <v>0</v>
      </c>
      <c r="AN3159" cm="1">
        <f t="array" ref="AN3159">IFERROR(INDEX(hd_cap,MATCH(AQ3159,hd_mark,0),0),0)</f>
        <v>0</v>
      </c>
      <c r="AP3159" s="19"/>
      <c r="AQ3159" s="19"/>
      <c r="AR3159" s="100"/>
      <c r="AS3159" s="93"/>
      <c r="AT3159" s="109" t="s">
        <v>491</v>
      </c>
      <c r="AU3159" t="str">
        <f>$Q$3095</f>
        <v>L4</v>
      </c>
      <c r="AV3159">
        <f>$E$23</f>
        <v>0</v>
      </c>
      <c r="AW3159" cm="1">
        <f t="array" ref="AW3159">IFERROR(IF(AV3159=0,0,(INDEX($C$33:$C$38,MATCH($AZ$3108,$B$33:$B$38,0),0)*(AV3161+$BA$3108)+$AW$3108*COUNTIF(AV3159:AV3160,"&gt;0")*$C$32+$AY$3108*$C$31)*$AU$3108),0)</f>
        <v>0</v>
      </c>
      <c r="AX3159">
        <f>IF(AV3159=0,0,-(COUNTIF(AV3159:AV3160,"&gt;0")*$AW$3108*$C$32+$AY$3108*$C$31)*$H$27*$AU$3108)</f>
        <v>0</v>
      </c>
      <c r="AY3159">
        <f>IF(AV3159=0,0,$AY$3108*$H$26*$AU$3108)</f>
        <v>0</v>
      </c>
      <c r="AZ3159">
        <f>(0.6*AW3159+0.7*AX3159)*$AU$3108/2</f>
        <v>0</v>
      </c>
      <c r="BA3159">
        <f>AW3159*$AU$3108/2</f>
        <v>0</v>
      </c>
      <c r="BC3159">
        <f>IF(AV3159=0,0,$BG$3108*$AP$3095)</f>
        <v>0</v>
      </c>
      <c r="BD3159">
        <f>IFERROR(BC3159/$AU$3108,0)</f>
        <v>0</v>
      </c>
      <c r="BE3159">
        <f>BC3159*($F$23+IF($F$23=0,0,($C$14+$C$15+IF($C$13="single",1.5,3)+3)/12))</f>
        <v>0</v>
      </c>
      <c r="BF3159">
        <f>BE3159-AZ3159</f>
        <v>0</v>
      </c>
      <c r="BG3159" cm="1">
        <f t="array" ref="BG3159">IFERROR(IF(BF3159&lt;0,0,BF3159/($AU$3108-INDEX(hd_off,MATCH(BT3159,hd_mark,0),0)/12)),0)</f>
        <v>0</v>
      </c>
      <c r="BH3159">
        <f>IF(AV3159=0,0,$BG$3108*$AM$3095)</f>
        <v>0</v>
      </c>
      <c r="BI3159">
        <f>IFERROR(BH3159/$AU$3108,0)</f>
        <v>0</v>
      </c>
      <c r="BJ3159">
        <f>BH3159*($F$23+IF($F$23=0,0,($C$14+$C$15+IF($C$13="single",1.5,3)+3)/12))</f>
        <v>0</v>
      </c>
      <c r="BK3159">
        <f>BJ3159-BA3159</f>
        <v>0</v>
      </c>
      <c r="BL3159" cm="1">
        <f t="array" ref="BL3159">IFERROR(IF(BK3159&lt;0,0,BK3159/($AU$3108-INDEX(hd_off,MATCH(BT3159,hd_mark,0),0)/12)),0)</f>
        <v>0</v>
      </c>
      <c r="BM3159">
        <f>MAX($F$23,$BD$3108)/$Q$3124</f>
        <v>0</v>
      </c>
      <c r="BN3159">
        <f t="shared" si="1955"/>
        <v>0</v>
      </c>
      <c r="BO3159" cm="1">
        <f t="array" ref="BO3159">IFERROR(INDEX(sheath_ecap_asd,MATCH(BS3159,sheath_mark,0),0)*BN3159,0)</f>
        <v>0</v>
      </c>
      <c r="BP3159" cm="1">
        <f t="array" ref="BP3159">IFERROR(INDEX(sheath_wcap_asd,MATCH(BS3159,sheath_mark,0),0)*BN3159,0)</f>
        <v>0</v>
      </c>
      <c r="BQ3159" cm="1">
        <f t="array" ref="BQ3159">IFERROR(INDEX(hd_cap,MATCH(BT3159,hd_mark,0),0),0)</f>
        <v>0</v>
      </c>
      <c r="BS3159" s="19"/>
      <c r="BT3159" s="19"/>
      <c r="BU3159" s="100"/>
    </row>
    <row r="3160" x14ac:dyDescent="0.25">
      <c r="P3160" s="93"/>
      <c r="Q3160" s="111">
        <f>$R$3108</f>
        <v>0</v>
      </c>
      <c r="R3160" t="str">
        <f>$Q$3096</f>
        <v>L5</v>
      </c>
      <c r="S3160">
        <f>$E$24</f>
        <v>0</v>
      </c>
      <c r="T3160" cm="1">
        <f t="array" ref="T3160">IFERROR(IF(S3160=0,0,(INDEX($C$33:$C$38,MATCH($W$3108,$B$33:$B$38,0),0)*(S3161+$X$3108)+$T$3108*COUNTIF(S3160:S3160,"&gt;0")*$C$32+$V$3108*$C$31)*$R$3108),0)</f>
        <v>0</v>
      </c>
      <c r="U3160">
        <f>IF(S3160=0,0,-(COUNTIF(S3160:S3160,"&gt;0")*$T$3108*$C$32+$V$3108*$C$31)*$H$27*$R$3108)</f>
        <v>0</v>
      </c>
      <c r="V3160">
        <f>IF(S3160=0,0,$V$3108*$H$26*$R$3108)</f>
        <v>0</v>
      </c>
      <c r="W3160">
        <f>(0.6*T3160+0.7*U3160)*$R$3108/2</f>
        <v>0</v>
      </c>
      <c r="X3160">
        <f>T3160*$R$3108/2</f>
        <v>0</v>
      </c>
      <c r="Z3160">
        <f>IF(S3160=0,0,$AD$3108*$AP$3096)</f>
        <v>0</v>
      </c>
      <c r="AA3160">
        <f>IFERROR(Z3160/$R$3108,0)</f>
        <v>0</v>
      </c>
      <c r="AB3160">
        <f>Z3160*($F$24+IF($F$24=0,0,($C$14+$C$15+IF($C$13="single",1.5,3)+3)/12))</f>
        <v>0</v>
      </c>
      <c r="AC3160">
        <f>AB3160-W3160</f>
        <v>0</v>
      </c>
      <c r="AD3160" cm="1">
        <f t="array" ref="AD3160">IFERROR(IF(AC3160&lt;0,0,AC3160/($R$3108-INDEX(hd_off,MATCH(AQ3160,hd_mark,0),0)/12)),0)</f>
        <v>0</v>
      </c>
      <c r="AE3160">
        <f>IF(S3160=0,0,$AD$3108*$AM$3096)</f>
        <v>0</v>
      </c>
      <c r="AF3160">
        <f>IFERROR(AE3160/$R$3108,0)</f>
        <v>0</v>
      </c>
      <c r="AG3160">
        <f>AE3160*($F$24+IF($F$24=0,0,($C$14+$C$15+IF($C$13="single",1.5,3)+3)/12))</f>
        <v>0</v>
      </c>
      <c r="AH3160">
        <f>AG3160-X3160</f>
        <v>0</v>
      </c>
      <c r="AI3160" cm="1">
        <f t="array" ref="AI3160">IFERROR(IF(AH3160&lt;0,0,AH3160/($R$3108-INDEX(hd_off,MATCH(AQ3160,hd_mark,0),0)/12)),0)</f>
        <v>0</v>
      </c>
      <c r="AJ3160">
        <f>MAX($F$24,$AB$3108)/$Q$3124</f>
        <v>0</v>
      </c>
      <c r="AK3160">
        <f t="shared" si="1954"/>
        <v>0</v>
      </c>
      <c r="AL3160" cm="1">
        <f t="array" ref="AL3160">IFERROR(INDEX(sheath_ecap_asd,MATCH(AP3160,sheath_mark,0),0)*AK3160,0)</f>
        <v>0</v>
      </c>
      <c r="AM3160" cm="1">
        <f t="array" ref="AM3160">IFERROR(INDEX(sheath_wcap_asd,MATCH(AP3160,sheath_mark,0),0)*AK3160,0)</f>
        <v>0</v>
      </c>
      <c r="AN3160" cm="1">
        <f t="array" ref="AN3160">IFERROR(INDEX(hd_cap,MATCH(AQ3160,hd_mark,0),0),0)</f>
        <v>0</v>
      </c>
      <c r="AP3160" s="19"/>
      <c r="AQ3160" s="19"/>
      <c r="AR3160" s="100"/>
      <c r="AS3160" s="93"/>
      <c r="AT3160" s="111">
        <f>$R$3108</f>
        <v>0</v>
      </c>
      <c r="AU3160" t="str">
        <f>$Q$3096</f>
        <v>L5</v>
      </c>
      <c r="AV3160">
        <f>$E$24</f>
        <v>0</v>
      </c>
      <c r="AW3160" cm="1">
        <f t="array" ref="AW3160">IFERROR(IF(AV3160=0,0,(INDEX($C$33:$C$38,MATCH($AZ$3108,$B$33:$B$38,0),0)*(AV3161+$BA$3108)+$AW$3108*COUNTIF(AV3160:AV3160,"&gt;0")*$C$32+$AY$3108*$C$31)*$AU$3108),0)</f>
        <v>0</v>
      </c>
      <c r="AX3160">
        <f>IF(AV3160=0,0,-(COUNTIF(AV3160:AV3160,"&gt;0")*$AW$3108*$C$32+$AY$3108*$C$31)*$H$27*$AU$3108)</f>
        <v>0</v>
      </c>
      <c r="AY3160">
        <f>IF(AV3160=0,0,$AY$3108*$H$26*$AU$3108)</f>
        <v>0</v>
      </c>
      <c r="AZ3160">
        <f>(0.6*AW3160+0.7*AX3160)*$AU$3108/2</f>
        <v>0</v>
      </c>
      <c r="BA3160">
        <f>AW3160*$AU$3108/2</f>
        <v>0</v>
      </c>
      <c r="BC3160">
        <f>IF(AV3160=0,0,$BG$3108*$AP$3096)</f>
        <v>0</v>
      </c>
      <c r="BD3160">
        <f>IFERROR(BC3160/$AU$3108,0)</f>
        <v>0</v>
      </c>
      <c r="BE3160">
        <f>BC3160*($F$24+IF($F$24=0,0,($C$14+$C$15+IF($C$13="single",1.5,3)+3)/12))</f>
        <v>0</v>
      </c>
      <c r="BF3160">
        <f>BE3160-AZ3160</f>
        <v>0</v>
      </c>
      <c r="BG3160" cm="1">
        <f t="array" ref="BG3160">IFERROR(IF(BF3160&lt;0,0,BF3160/($AU$3108-INDEX(hd_off,MATCH(BT3160,hd_mark,0),0)/12)),0)</f>
        <v>0</v>
      </c>
      <c r="BH3160">
        <f>IF(AV3160=0,0,$BG$3108*$AM$3096)</f>
        <v>0</v>
      </c>
      <c r="BI3160">
        <f>IFERROR(BH3160/$AU$3108,0)</f>
        <v>0</v>
      </c>
      <c r="BJ3160">
        <f>BH3160*($F$24+IF($F$24=0,0,($C$14+$C$15+IF($C$13="single",1.5,3)+3)/12))</f>
        <v>0</v>
      </c>
      <c r="BK3160">
        <f>BJ3160-BA3160</f>
        <v>0</v>
      </c>
      <c r="BL3160" cm="1">
        <f t="array" ref="BL3160">IFERROR(IF(BK3160&lt;0,0,BK3160/($AU$3108-INDEX(hd_off,MATCH(BT3160,hd_mark,0),0)/12)),0)</f>
        <v>0</v>
      </c>
      <c r="BM3160">
        <f>MAX($F$24,$BE$3108)/$Q$3124</f>
        <v>0</v>
      </c>
      <c r="BN3160">
        <f t="shared" si="1955"/>
        <v>0</v>
      </c>
      <c r="BO3160" cm="1">
        <f t="array" ref="BO3160">IFERROR(INDEX(sheath_ecap_asd,MATCH(BS3160,sheath_mark,0),0)*BN3160,0)</f>
        <v>0</v>
      </c>
      <c r="BP3160" cm="1">
        <f t="array" ref="BP3160">IFERROR(INDEX(sheath_wcap_asd,MATCH(BS3160,sheath_mark,0),0)*BN3160,0)</f>
        <v>0</v>
      </c>
      <c r="BQ3160" cm="1">
        <f t="array" ref="BQ3160">IFERROR(INDEX(hd_cap,MATCH(BT3160,hd_mark,0),0),0)</f>
        <v>0</v>
      </c>
      <c r="BS3160" s="19"/>
      <c r="BT3160" s="19"/>
      <c r="BU3160" s="100"/>
    </row>
    <row r="3161" x14ac:dyDescent="0.25">
      <c r="P3161" s="93"/>
      <c r="Q3161" s="109"/>
      <c r="R3161" t="str">
        <f>$Q$3097</f>
        <v>Roof</v>
      </c>
      <c r="S3161">
        <f>$E$25</f>
        <v>33.171875</v>
      </c>
      <c r="T3161" cm="1">
        <f t="array" ref="T3161">IFERROR(IF(S3161=0,0,(INDEX($C$33:$C$38,MATCH($W$3108,$B$33:$B$38,0),0)*(S3161+$X$3108)+$V$3108*$C$31)*$R$3108),0)</f>
        <v>0</v>
      </c>
      <c r="U3161">
        <f>IF(S3161=0,0,-$V$3108*$C$31*$H$27*$R$3108)</f>
        <v>0</v>
      </c>
      <c r="V3161">
        <f>IF(S3161=0,0,$V$3108*$H$26*$R$3108)</f>
        <v>0</v>
      </c>
      <c r="W3161">
        <f>(0.6*T3161+0.7*U3161)*$R$3108/2</f>
        <v>0</v>
      </c>
      <c r="X3161">
        <f>T3161*$R$3108/2</f>
        <v>0</v>
      </c>
      <c r="Z3161">
        <f>IF(S3161=0,0,$AD$3108*$AP$3097)</f>
        <v>0</v>
      </c>
      <c r="AA3161">
        <f>IFERROR(Z3161/$R$3108,0)</f>
        <v>0</v>
      </c>
      <c r="AB3161">
        <f>Z3161*($F$25+($C$16+$C$17+IF($C$13="single",1.5,3)+3)/12)</f>
        <v>0</v>
      </c>
      <c r="AC3161">
        <f>AB3161-W3161</f>
        <v>0</v>
      </c>
      <c r="AD3161" cm="1">
        <f t="array" ref="AD3161">IFERROR(IF(AC3161&lt;0,0,AC3161/($R$3108-INDEX(hd_off,MATCH(AQ3161,hd_mark,0),0)/12)),0)</f>
        <v>0</v>
      </c>
      <c r="AE3161">
        <f>IF(S3161=0,0,$AD$3108*$AM$3097)</f>
        <v>0</v>
      </c>
      <c r="AF3161">
        <f>IFERROR(AE3161/$R$3108,0)</f>
        <v>0</v>
      </c>
      <c r="AG3161">
        <f>AE3161*($F$25+($C$16+$C$17+IF($C$13="single",1.5,3)+3)/12)</f>
        <v>0</v>
      </c>
      <c r="AH3161">
        <f>AG3161-X3161</f>
        <v>0</v>
      </c>
      <c r="AI3161" cm="1">
        <f t="array" ref="AI3161">IFERROR(IF(AH3161&lt;0,0,AH3161/($R$3108-INDEX(hd_off,MATCH(AQ3161,hd_mark,0),0)/12)),0)</f>
        <v>0</v>
      </c>
      <c r="AJ3161">
        <f>MAX($F$25,$AC$3108)/$Q$3124</f>
        <v>0.29920977011494249</v>
      </c>
      <c r="AK3161">
        <f t="shared" si="1954"/>
        <v>1</v>
      </c>
      <c r="AL3161" cm="1">
        <f t="array" ref="AL3161">IFERROR(INDEX(sheath_ecap_asd,MATCH(AP3161,sheath_mark,0),0)*AK3161,0)</f>
        <v>0</v>
      </c>
      <c r="AM3161" cm="1">
        <f t="array" ref="AM3161">IFERROR(INDEX(sheath_wcap_asd,MATCH(AP3161,sheath_mark,0),0)*AK3161,0)</f>
        <v>0</v>
      </c>
      <c r="AN3161" cm="1">
        <f t="array" ref="AN3161">IFERROR(INDEX(hd_cap,MATCH(AQ3161,hd_mark,0),0),0)</f>
        <v>0</v>
      </c>
      <c r="AP3161" s="19"/>
      <c r="AQ3161" s="19"/>
      <c r="AR3161" s="100"/>
      <c r="AS3161" s="93"/>
      <c r="AT3161" s="109"/>
      <c r="AU3161" t="str">
        <f>$Q$3097</f>
        <v>Roof</v>
      </c>
      <c r="AV3161">
        <f>$E$25</f>
        <v>33.171875</v>
      </c>
      <c r="AW3161" cm="1">
        <f t="array" ref="AW3161">IFERROR(IF(AV3161=0,0,(INDEX($C$33:$C$38,MATCH($AZ$3108,$B$33:$B$38,0),0)*(AV3161+$BA$3108)+$AY$3108*$C$31)*$AU$3108),0)</f>
        <v>0</v>
      </c>
      <c r="AX3161">
        <f>IF(AV3161=0,0,-$AY$3108*$C$31*$H$27*$AU$3108)</f>
        <v>0</v>
      </c>
      <c r="AY3161">
        <f>IF(AV3161=0,0,$AY$3108*$H$26*$AU$3108)</f>
        <v>0</v>
      </c>
      <c r="AZ3161">
        <f>(0.6*AW3161+0.7*AX3161)*$AU$3108/2</f>
        <v>0</v>
      </c>
      <c r="BA3161">
        <f>AW3161*$AU$3108/2</f>
        <v>0</v>
      </c>
      <c r="BC3161">
        <f>IF(AV3161=0,0,$BG$3108*$AP$3097)</f>
        <v>0</v>
      </c>
      <c r="BD3161">
        <f>IFERROR(BC3161/$AU$3108,0)</f>
        <v>0</v>
      </c>
      <c r="BE3161">
        <f>BC3161*($F$25+($C$16+$C$17+IF($C$13="single",1.5,3)+3)/12)</f>
        <v>0</v>
      </c>
      <c r="BF3161">
        <f>BE3161-AZ3161</f>
        <v>0</v>
      </c>
      <c r="BG3161" cm="1">
        <f t="array" ref="BG3161">IFERROR(IF(BF3161&lt;0,0,BF3161/($AU$3108-INDEX(hd_off,MATCH(BT3161,hd_mark,0),0)/12)),0)</f>
        <v>0</v>
      </c>
      <c r="BH3161">
        <f>IF(AV3161=0,0,$BG$3108*$AM$3097)</f>
        <v>0</v>
      </c>
      <c r="BI3161">
        <f>IFERROR(BH3161/$AU$3108,0)</f>
        <v>0</v>
      </c>
      <c r="BJ3161">
        <f>BH3161*($F$25+($C$16+$C$17+IF($C$13="single",1.5,3)+3)/12)</f>
        <v>0</v>
      </c>
      <c r="BK3161">
        <f>BJ3161-BA3161</f>
        <v>0</v>
      </c>
      <c r="BL3161" cm="1">
        <f t="array" ref="BL3161">IFERROR(IF(BK3161&lt;0,0,BK3161/($AU$3108-INDEX(hd_off,MATCH(BT3161,hd_mark,0),0)/12)),0)</f>
        <v>0</v>
      </c>
      <c r="BM3161">
        <f>MAX($F$25,$BF$3108)/$Q$3124</f>
        <v>0.29920977011494249</v>
      </c>
      <c r="BN3161">
        <f t="shared" si="1955"/>
        <v>1</v>
      </c>
      <c r="BO3161" cm="1">
        <f t="array" ref="BO3161">IFERROR(INDEX(sheath_ecap_asd,MATCH(BS3161,sheath_mark,0),0)*BN3161,0)</f>
        <v>0</v>
      </c>
      <c r="BP3161" cm="1">
        <f t="array" ref="BP3161">IFERROR(INDEX(sheath_wcap_asd,MATCH(BS3161,sheath_mark,0),0)*BN3161,0)</f>
        <v>0</v>
      </c>
      <c r="BQ3161" cm="1">
        <f t="array" ref="BQ3161">IFERROR(INDEX(hd_cap,MATCH(BT3161,hd_mark,0),0),0)</f>
        <v>0</v>
      </c>
      <c r="BS3161" s="19"/>
      <c r="BT3161" s="19"/>
      <c r="BU3161" s="100"/>
    </row>
    <row r="3162" x14ac:dyDescent="0.25">
      <c r="P3162" s="93"/>
      <c r="AR3162" s="100"/>
      <c r="AS3162" s="93"/>
      <c r="BU3162" s="100"/>
    </row>
    <row r="3163" x14ac:dyDescent="0.25">
      <c r="P3163" s="93"/>
      <c r="Q3163" s="110" t="str">
        <f>$Q$3109</f>
        <v>A.08</v>
      </c>
      <c r="R3163" t="str">
        <f>$Q$3093</f>
        <v>L2</v>
      </c>
      <c r="S3163">
        <f>$E$21</f>
        <v>10.6875</v>
      </c>
      <c r="T3163" cm="1">
        <f t="array" ref="T3163">IFERROR(IF(S3163=0,0,(INDEX($C$33:$C$38,MATCH($W$3109,$B$33:$B$38,0),0)*(S3167+$X$3109)+$T$3109*COUNTIF(S3163:S3166,"&gt;0")*$C$32+$V$3109*$C$31)*$R$3109),0)</f>
        <v>0</v>
      </c>
      <c r="U3163">
        <f>IF(S3163=0,0,-(COUNTIF(S3163:S3166,"&gt;0")*$T$3109*$C$32+$V$3109*$C$31)*$H$27*$R$3109)</f>
        <v>0</v>
      </c>
      <c r="V3163">
        <f>IF(S3163=0,0,$V$3109*$H$26*$R$3109)</f>
        <v>0</v>
      </c>
      <c r="W3163">
        <f>(0.6*T3163+0.7*U3163)*$R$3109/2</f>
        <v>0</v>
      </c>
      <c r="X3163">
        <f>(0.6*T3163+0.6*V3163)*$R$3109/2</f>
        <v>0</v>
      </c>
      <c r="Z3163">
        <f>IF(S3163=0,0,$AD$3109*$AP$3093)</f>
        <v>0</v>
      </c>
      <c r="AA3163">
        <f>IFERROR(Z3163/$R$3109,0)</f>
        <v>0</v>
      </c>
      <c r="AB3163">
        <f>Z3163*($F$21+IF($F$21=0,0,($C$14+$C$15+IF($C$13="single",1.5,3)+3)/12))</f>
        <v>0</v>
      </c>
      <c r="AC3163">
        <f>AB3163-W3163</f>
        <v>0</v>
      </c>
      <c r="AD3163" cm="1">
        <f t="array" ref="AD3163">IFERROR(IF(AC3163&lt;0,0,AC3163/($R$3109-INDEX(hd_off,MATCH(AQ3163,hd_mark,0),0)/12)),0)</f>
        <v>0</v>
      </c>
      <c r="AE3163">
        <f>IF(S3163=0,0,$AD$3109*$AM$3093)</f>
        <v>0</v>
      </c>
      <c r="AF3163">
        <f>IFERROR(AE3163/$R$3109,0)</f>
        <v>0</v>
      </c>
      <c r="AG3163">
        <f>AE3163*($F$21+IF($F$21=0,0,($C$14+$C$15+IF($C$13="single",1.5,3)+3)/12))</f>
        <v>0</v>
      </c>
      <c r="AH3163">
        <f>AG3163-X3163</f>
        <v>0</v>
      </c>
      <c r="AI3163" cm="1">
        <f t="array" ref="AI3163">IFERROR(IF(AH3163&lt;0,0,AH3163/($R$3109-INDEX(hd_off,MATCH(AQ3163,hd_mark,0),0)/12)),0)</f>
        <v>0</v>
      </c>
      <c r="AJ3163">
        <f>MAX($F$21,$Y$3109)/$Q$3124</f>
        <v>0.30172413793103448</v>
      </c>
      <c r="AK3163">
        <f>IF(AJ3163=0,0,IF(AJ3163&gt;2,1.25-0.125*AJ3163,1))</f>
        <v>1</v>
      </c>
      <c r="AL3163" cm="1">
        <f t="array" ref="AL3163">IFERROR(INDEX(sheath_ecap_asd,MATCH(AP3163,sheath_mark,0),0)*AK3163,0)</f>
        <v>0</v>
      </c>
      <c r="AM3163" cm="1">
        <f t="array" ref="AM3163">IFERROR(INDEX(sheath_wcap_asd,MATCH(AP3163,sheath_mark,0),0)*AK3163,0)</f>
        <v>0</v>
      </c>
      <c r="AN3163" cm="1">
        <f t="array" ref="AN3163">IFERROR(INDEX(hd_cap,MATCH(AQ3163,hd_mark,0),0),0)</f>
        <v>0</v>
      </c>
      <c r="AP3163" s="19"/>
      <c r="AQ3163" s="19"/>
      <c r="AR3163" s="100"/>
      <c r="AS3163" s="93"/>
      <c r="AT3163" s="110" t="str">
        <f>$AT$3109</f>
        <v>1.08</v>
      </c>
      <c r="AU3163" t="str">
        <f>$Q$3093</f>
        <v>L2</v>
      </c>
      <c r="AV3163">
        <f>$E$21</f>
        <v>10.6875</v>
      </c>
      <c r="AW3163" cm="1">
        <f t="array" ref="AW3163">IFERROR(IF(AV3163=0,0,(INDEX($C$33:$C$38,MATCH($AZ$3109,$B$33:$B$38,0),0)*(AV3167+$BA$3109)+$AW$3109*COUNTIF(AV3163:AV3166,"&gt;0")*$C$32+$AY$3109*$C$31)*$AU$3109),0)</f>
        <v>0</v>
      </c>
      <c r="AX3163">
        <f>IF(AV3163=0,0,-(COUNTIF(AV3163:AV3166,"&gt;0")*$AW$3109*$C$32+$AY$3109*$C$31)*$H$27*$AU$3109)</f>
        <v>0</v>
      </c>
      <c r="AY3163">
        <f>IF(AV3163=0,0,$AY$3109*$H$26*$AU$3109)</f>
        <v>0</v>
      </c>
      <c r="AZ3163">
        <f>(0.6*AW3163+0.7*AX3163)*$AU$3109/2</f>
        <v>0</v>
      </c>
      <c r="BA3163">
        <f>(0.6*AW3163+0.6*AY3163)*$AU$3109/2</f>
        <v>0</v>
      </c>
      <c r="BC3163">
        <f>IF(AV3163=0,0,$BG$3109*$AP$3093)</f>
        <v>0</v>
      </c>
      <c r="BD3163">
        <f>IFERROR(BC3163/$AU$3109,0)</f>
        <v>0</v>
      </c>
      <c r="BE3163">
        <f>BC3163*($F$21+IF($F$21=0,0,($C$14+$C$15+IF($C$13="single",1.5,3)+3)/12))</f>
        <v>0</v>
      </c>
      <c r="BF3163">
        <f>BE3163-AZ3163</f>
        <v>0</v>
      </c>
      <c r="BG3163" cm="1">
        <f t="array" ref="BG3163">IFERROR(IF(BF3163&lt;0,0,BF3163/($AU$3109-INDEX(hd_off,MATCH(BT3163,hd_mark,0),0)/12)),0)</f>
        <v>0</v>
      </c>
      <c r="BH3163">
        <f>IF(AV3163=0,0,$BG$3109*$AM$3093)</f>
        <v>0</v>
      </c>
      <c r="BI3163">
        <f>IFERROR(BH3163/$AU$3109,0)</f>
        <v>0</v>
      </c>
      <c r="BJ3163">
        <f>BH3163*($F$21+IF($F$21=0,0,($C$14+$C$15+IF($C$13="single",1.5,3)+3)/12))</f>
        <v>0</v>
      </c>
      <c r="BK3163">
        <f>BJ3163-BA3163</f>
        <v>0</v>
      </c>
      <c r="BL3163" cm="1">
        <f t="array" ref="BL3163">IFERROR(IF(BK3163&lt;0,0,BK3163/($AU$3109-INDEX(hd_off,MATCH(BT3163,hd_mark,0),0)/12)),0)</f>
        <v>0</v>
      </c>
      <c r="BM3163">
        <f>MAX($F$21,$BB$3109)/$Q$3124</f>
        <v>0.30172413793103448</v>
      </c>
      <c r="BN3163">
        <f>IF(BM3163=0,0,IF(BM3163&gt;2,1.25-0.125*BM3163,1))</f>
        <v>1</v>
      </c>
      <c r="BO3163" cm="1">
        <f t="array" ref="BO3163">IFERROR(INDEX(sheath_ecap_asd,MATCH(BS3163,sheath_mark,0),0)*BN3163,0)</f>
        <v>0</v>
      </c>
      <c r="BP3163" cm="1">
        <f t="array" ref="BP3163">IFERROR(INDEX(sheath_wcap_asd,MATCH(BS3163,sheath_mark,0),0)*BN3163,0)</f>
        <v>0</v>
      </c>
      <c r="BQ3163" cm="1">
        <f t="array" ref="BQ3163">IFERROR(INDEX(hd_cap,MATCH(BT3163,hd_mark,0),0),0)</f>
        <v>0</v>
      </c>
      <c r="BS3163" s="19"/>
      <c r="BT3163" s="19"/>
      <c r="BU3163" s="100"/>
    </row>
    <row r="3164" x14ac:dyDescent="0.25">
      <c r="P3164" s="93"/>
      <c r="Q3164" s="109"/>
      <c r="R3164" t="str">
        <f>$Q$3094</f>
        <v>L3</v>
      </c>
      <c r="S3164">
        <f>$E$22</f>
        <v>21.375</v>
      </c>
      <c r="T3164" cm="1">
        <f t="array" ref="T3164">IFERROR(IF(S3164=0,0,(INDEX($C$33:$C$38,MATCH($W$3109,$B$33:$B$38,0),0)*(S3167+$X$3109)+$T$3109*COUNTIF(S3164:S3166,"&gt;0")*$C$32+$V$3109*$C$31)*$R$3109),0)</f>
        <v>0</v>
      </c>
      <c r="U3164">
        <f>IF(S3164=0,0,-(COUNTIF(S3164:S3166,"&gt;0")*$T$3109*$C$32+$V$3109*$C$31)*$H$27*$R$3109)</f>
        <v>0</v>
      </c>
      <c r="V3164">
        <f>IF(S3164=0,0,$V$3109*$H$26*$R$3109)</f>
        <v>0</v>
      </c>
      <c r="W3164">
        <f>(0.6*T3164+0.7*U3164)*$R$3109/2</f>
        <v>0</v>
      </c>
      <c r="X3164">
        <f>T3164*$R$3109/2</f>
        <v>0</v>
      </c>
      <c r="Z3164">
        <f>IF(S3164=0,0,$AD$3109*$AP$3094)</f>
        <v>0</v>
      </c>
      <c r="AA3164">
        <f>IFERROR(Z3164/$R$3109,0)</f>
        <v>0</v>
      </c>
      <c r="AB3164">
        <f>Z3164*($F$22+IF($F$22=0,0,($C$14+$C$15+IF($C$13="single",1.5,3)+3)/12))</f>
        <v>0</v>
      </c>
      <c r="AC3164">
        <f>AB3164-W3164</f>
        <v>0</v>
      </c>
      <c r="AD3164" cm="1">
        <f t="array" ref="AD3164">IFERROR(IF(AC3164&lt;0,0,AC3164/($R$3109-INDEX(hd_off,MATCH(AQ3164,hd_mark,0),0)/12)),0)</f>
        <v>0</v>
      </c>
      <c r="AE3164">
        <f>IF(S3164=0,0,$AD$3109*$AM$3094)</f>
        <v>0</v>
      </c>
      <c r="AF3164">
        <f>IFERROR(AE3164/$R$3109,0)</f>
        <v>0</v>
      </c>
      <c r="AG3164">
        <f>AE3164*($F$22+IF($F$22=0,0,($C$14+$C$15+IF($C$13="single",1.5,3)+3)/12))</f>
        <v>0</v>
      </c>
      <c r="AH3164">
        <f>AG3164-X3164</f>
        <v>0</v>
      </c>
      <c r="AI3164" cm="1">
        <f t="array" ref="AI3164">IFERROR(IF(AH3164&lt;0,0,AH3164/($R$3109-INDEX(hd_off,MATCH(AQ3164,hd_mark,0),0)/12)),0)</f>
        <v>0</v>
      </c>
      <c r="AJ3164">
        <f>MAX($F$22,$Z$3109)/$Q$3124</f>
        <v>0.30172413793103448</v>
      </c>
      <c r="AK3164">
        <f t="shared" ref="AK3164:AK3167" si="1956">IF(AJ3164=0,0,IF(AJ3164&gt;2,1.25-0.125*AJ3164,1))</f>
        <v>1</v>
      </c>
      <c r="AL3164" cm="1">
        <f t="array" ref="AL3164">IFERROR(INDEX(sheath_ecap_asd,MATCH(AP3164,sheath_mark,0),0)*AK3164,0)</f>
        <v>0</v>
      </c>
      <c r="AM3164" cm="1">
        <f t="array" ref="AM3164">IFERROR(INDEX(sheath_wcap_asd,MATCH(AP3164,sheath_mark,0),0)*AK3164,0)</f>
        <v>0</v>
      </c>
      <c r="AN3164" cm="1">
        <f t="array" ref="AN3164">IFERROR(INDEX(hd_cap,MATCH(AQ3164,hd_mark,0),0),0)</f>
        <v>0</v>
      </c>
      <c r="AP3164" s="19"/>
      <c r="AQ3164" s="19"/>
      <c r="AR3164" s="100"/>
      <c r="AS3164" s="93"/>
      <c r="AT3164" s="109"/>
      <c r="AU3164" t="str">
        <f>$Q$3094</f>
        <v>L3</v>
      </c>
      <c r="AV3164">
        <f>$E$22</f>
        <v>21.375</v>
      </c>
      <c r="AW3164" cm="1">
        <f t="array" ref="AW3164">IFERROR(IF(AV3164=0,0,(INDEX($C$33:$C$38,MATCH($AZ$3109,$B$33:$B$38,0),0)*(AV3167+$BA$3109)+$AW$3109*COUNTIF(AV3164:AV3166,"&gt;0")*$C$32+$AY$3109*$C$31)*$AU$3109),0)</f>
        <v>0</v>
      </c>
      <c r="AX3164">
        <f>IF(AV3164=0,0,-(COUNTIF(AV3164:AV3166,"&gt;0")*$AW$3109*$C$32+$AY$3109*$C$31)*$H$27*$AU$3109)</f>
        <v>0</v>
      </c>
      <c r="AY3164">
        <f>IF(AV3164=0,0,$AY$3109*$H$26*$AU$3109)</f>
        <v>0</v>
      </c>
      <c r="AZ3164">
        <f>(0.6*AW3164+0.7*AX3164)*$AU$3109/2</f>
        <v>0</v>
      </c>
      <c r="BA3164">
        <f>AW3164*$AU$3109/2</f>
        <v>0</v>
      </c>
      <c r="BC3164">
        <f>IF(AV3164=0,0,$BG$3109*$AP$3094)</f>
        <v>0</v>
      </c>
      <c r="BD3164">
        <f>IFERROR(BC3164/$AU$3109,0)</f>
        <v>0</v>
      </c>
      <c r="BE3164">
        <f>BC3164*($F$22+IF($F$22=0,0,($C$14+$C$15+IF($C$13="single",1.5,3)+3)/12))</f>
        <v>0</v>
      </c>
      <c r="BF3164">
        <f>BE3164-AZ3164</f>
        <v>0</v>
      </c>
      <c r="BG3164" cm="1">
        <f t="array" ref="BG3164">IFERROR(IF(BF3164&lt;0,0,BF3164/($AU$3109-INDEX(hd_off,MATCH(BT3164,hd_mark,0),0)/12)),0)</f>
        <v>0</v>
      </c>
      <c r="BH3164">
        <f>IF(AV3164=0,0,$BG$3109*$AM$3094)</f>
        <v>0</v>
      </c>
      <c r="BI3164">
        <f>IFERROR(BH3164/$AU$3109,0)</f>
        <v>0</v>
      </c>
      <c r="BJ3164">
        <f>BH3164*($F$22+IF($F$22=0,0,($C$14+$C$15+IF($C$13="single",1.5,3)+3)/12))</f>
        <v>0</v>
      </c>
      <c r="BK3164">
        <f>BJ3164-BA3164</f>
        <v>0</v>
      </c>
      <c r="BL3164" cm="1">
        <f t="array" ref="BL3164">IFERROR(IF(BK3164&lt;0,0,BK3164/($AU$3109-INDEX(hd_off,MATCH(BT3164,hd_mark,0),0)/12)),0)</f>
        <v>0</v>
      </c>
      <c r="BM3164">
        <f>MAX($F$22,$BC$3109)/$Q$3124</f>
        <v>0.30172413793103448</v>
      </c>
      <c r="BN3164">
        <f t="shared" ref="BN3164:BN3167" si="1957">IF(BM3164=0,0,IF(BM3164&gt;2,1.25-0.125*BM3164,1))</f>
        <v>1</v>
      </c>
      <c r="BO3164" cm="1">
        <f t="array" ref="BO3164">IFERROR(INDEX(sheath_ecap_asd,MATCH(BS3164,sheath_mark,0),0)*BN3164,0)</f>
        <v>0</v>
      </c>
      <c r="BP3164" cm="1">
        <f t="array" ref="BP3164">IFERROR(INDEX(sheath_wcap_asd,MATCH(BS3164,sheath_mark,0),0)*BN3164,0)</f>
        <v>0</v>
      </c>
      <c r="BQ3164" cm="1">
        <f t="array" ref="BQ3164">IFERROR(INDEX(hd_cap,MATCH(BT3164,hd_mark,0),0),0)</f>
        <v>0</v>
      </c>
      <c r="BS3164" s="19"/>
      <c r="BT3164" s="19"/>
      <c r="BU3164" s="100"/>
    </row>
    <row r="3165" x14ac:dyDescent="0.25">
      <c r="P3165" s="93"/>
      <c r="Q3165" s="109" t="s">
        <v>491</v>
      </c>
      <c r="R3165" t="str">
        <f>$Q$3095</f>
        <v>L4</v>
      </c>
      <c r="S3165">
        <f>$E$23</f>
        <v>0</v>
      </c>
      <c r="T3165" cm="1">
        <f t="array" ref="T3165">IFERROR(IF(S3165=0,0,(INDEX($C$33:$C$38,MATCH($W$3109,$B$33:$B$38,0),0)*(S3167+$X$3109)+$T$3109*COUNTIF(S3165:S3166,"&gt;0")*$C$32+$V$3109*$C$31)*$R$3109),0)</f>
        <v>0</v>
      </c>
      <c r="U3165">
        <f>IF(S3165=0,0,-(COUNTIF(S3165:S3166,"&gt;0")*$T$3109*$C$32+$V$3109*$C$31)*$H$27*$R$3109)</f>
        <v>0</v>
      </c>
      <c r="V3165">
        <f>IF(S3165=0,0,$V$3109*$H$26*$R$3109)</f>
        <v>0</v>
      </c>
      <c r="W3165">
        <f>(0.6*T3165+0.7*U3165)*$R$3109/2</f>
        <v>0</v>
      </c>
      <c r="X3165">
        <f>T3165*$R$3109/2</f>
        <v>0</v>
      </c>
      <c r="Z3165">
        <f>IF(S3165=0,0,$AD$3109*$AP$3095)</f>
        <v>0</v>
      </c>
      <c r="AA3165">
        <f>IFERROR(Z3165/$R$3109,0)</f>
        <v>0</v>
      </c>
      <c r="AB3165">
        <f>Z3165*($F$23+IF($F$23=0,0,($C$14+$C$15+IF($C$13="single",1.5,3)+3)/12))</f>
        <v>0</v>
      </c>
      <c r="AC3165">
        <f>AB3165-W3165</f>
        <v>0</v>
      </c>
      <c r="AD3165" cm="1">
        <f t="array" ref="AD3165">IFERROR(IF(AC3165&lt;0,0,AC3165/($R$3109-INDEX(hd_off,MATCH(AQ3165,hd_mark,0),0)/12)),0)</f>
        <v>0</v>
      </c>
      <c r="AE3165">
        <f>IF(S3165=0,0,$AD$3109*$AM$3095)</f>
        <v>0</v>
      </c>
      <c r="AF3165">
        <f>IFERROR(AE3165/$R$3109,0)</f>
        <v>0</v>
      </c>
      <c r="AG3165">
        <f>AE3165*($F$23+IF($F$23=0,0,($C$14+$C$15+IF($C$13="single",1.5,3)+3)/12))</f>
        <v>0</v>
      </c>
      <c r="AH3165">
        <f>AG3165-X3165</f>
        <v>0</v>
      </c>
      <c r="AI3165" cm="1">
        <f t="array" ref="AI3165">IFERROR(IF(AH3165&lt;0,0,AH3165/($R$3109-INDEX(hd_off,MATCH(AQ3165,hd_mark,0),0)/12)),0)</f>
        <v>0</v>
      </c>
      <c r="AJ3165">
        <f>MAX($F$23,$AA$3109)/$Q$3124</f>
        <v>0</v>
      </c>
      <c r="AK3165">
        <f t="shared" si="1956"/>
        <v>0</v>
      </c>
      <c r="AL3165" cm="1">
        <f t="array" ref="AL3165">IFERROR(INDEX(sheath_ecap_asd,MATCH(AP3165,sheath_mark,0),0)*AK3165,0)</f>
        <v>0</v>
      </c>
      <c r="AM3165" cm="1">
        <f t="array" ref="AM3165">IFERROR(INDEX(sheath_wcap_asd,MATCH(AP3165,sheath_mark,0),0)*AK3165,0)</f>
        <v>0</v>
      </c>
      <c r="AN3165" cm="1">
        <f t="array" ref="AN3165">IFERROR(INDEX(hd_cap,MATCH(AQ3165,hd_mark,0),0),0)</f>
        <v>0</v>
      </c>
      <c r="AP3165" s="19"/>
      <c r="AQ3165" s="19"/>
      <c r="AR3165" s="100"/>
      <c r="AS3165" s="93"/>
      <c r="AT3165" s="109" t="s">
        <v>491</v>
      </c>
      <c r="AU3165" t="str">
        <f>$Q$3095</f>
        <v>L4</v>
      </c>
      <c r="AV3165">
        <f>$E$23</f>
        <v>0</v>
      </c>
      <c r="AW3165" cm="1">
        <f t="array" ref="AW3165">IFERROR(IF(AV3165=0,0,(INDEX($C$33:$C$38,MATCH($AZ$3109,$B$33:$B$38,0),0)*(AV3167+$BA$3109)+$AW$3109*COUNTIF(AV3165:AV3166,"&gt;0")*$C$32+$AY$3109*$C$31)*$AU$3109),0)</f>
        <v>0</v>
      </c>
      <c r="AX3165">
        <f>IF(AV3165=0,0,-(COUNTIF(AV3165:AV3166,"&gt;0")*$AW$3109*$C$32+$AY$3109*$C$31)*$H$27*$AU$3109)</f>
        <v>0</v>
      </c>
      <c r="AY3165">
        <f>IF(AV3165=0,0,$AY$3109*$H$26*$AU$3109)</f>
        <v>0</v>
      </c>
      <c r="AZ3165">
        <f>(0.6*AW3165+0.7*AX3165)*$AU$3109/2</f>
        <v>0</v>
      </c>
      <c r="BA3165">
        <f>AW3165*$AU$3109/2</f>
        <v>0</v>
      </c>
      <c r="BC3165">
        <f>IF(AV3165=0,0,$BG$3109*$AP$3095)</f>
        <v>0</v>
      </c>
      <c r="BD3165">
        <f>IFERROR(BC3165/$AU$3109,0)</f>
        <v>0</v>
      </c>
      <c r="BE3165">
        <f>BC3165*($F$23+IF($F$23=0,0,($C$14+$C$15+IF($C$13="single",1.5,3)+3)/12))</f>
        <v>0</v>
      </c>
      <c r="BF3165">
        <f>BE3165-AZ3165</f>
        <v>0</v>
      </c>
      <c r="BG3165" cm="1">
        <f t="array" ref="BG3165">IFERROR(IF(BF3165&lt;0,0,BF3165/($AU$3109-INDEX(hd_off,MATCH(BT3165,hd_mark,0),0)/12)),0)</f>
        <v>0</v>
      </c>
      <c r="BH3165">
        <f>IF(AV3165=0,0,$BG$3109*$AM$3095)</f>
        <v>0</v>
      </c>
      <c r="BI3165">
        <f>IFERROR(BH3165/$AU$3109,0)</f>
        <v>0</v>
      </c>
      <c r="BJ3165">
        <f>BH3165*($F$23+IF($F$23=0,0,($C$14+$C$15+IF($C$13="single",1.5,3)+3)/12))</f>
        <v>0</v>
      </c>
      <c r="BK3165">
        <f>BJ3165-BA3165</f>
        <v>0</v>
      </c>
      <c r="BL3165" cm="1">
        <f t="array" ref="BL3165">IFERROR(IF(BK3165&lt;0,0,BK3165/($AU$3109-INDEX(hd_off,MATCH(BT3165,hd_mark,0),0)/12)),0)</f>
        <v>0</v>
      </c>
      <c r="BM3165">
        <f>MAX($F$23,$BD$3109)/$Q$3124</f>
        <v>0</v>
      </c>
      <c r="BN3165">
        <f t="shared" si="1957"/>
        <v>0</v>
      </c>
      <c r="BO3165" cm="1">
        <f t="array" ref="BO3165">IFERROR(INDEX(sheath_ecap_asd,MATCH(BS3165,sheath_mark,0),0)*BN3165,0)</f>
        <v>0</v>
      </c>
      <c r="BP3165" cm="1">
        <f t="array" ref="BP3165">IFERROR(INDEX(sheath_wcap_asd,MATCH(BS3165,sheath_mark,0),0)*BN3165,0)</f>
        <v>0</v>
      </c>
      <c r="BQ3165" cm="1">
        <f t="array" ref="BQ3165">IFERROR(INDEX(hd_cap,MATCH(BT3165,hd_mark,0),0),0)</f>
        <v>0</v>
      </c>
      <c r="BS3165" s="19"/>
      <c r="BT3165" s="19"/>
      <c r="BU3165" s="100"/>
    </row>
    <row r="3166" x14ac:dyDescent="0.25">
      <c r="P3166" s="93"/>
      <c r="Q3166" s="111">
        <f>$R$3109</f>
        <v>0</v>
      </c>
      <c r="R3166" t="str">
        <f>$Q$3096</f>
        <v>L5</v>
      </c>
      <c r="S3166">
        <f>$E$24</f>
        <v>0</v>
      </c>
      <c r="T3166" cm="1">
        <f t="array" ref="T3166">IFERROR(IF(S3166=0,0,(INDEX($C$33:$C$38,MATCH($W$3109,$B$33:$B$38,0),0)*(S3167+$X$3109)+$T$3109*COUNTIF(S3166:S3166,"&gt;0")*$C$32+$V$3109*$C$31)*$R$3109),0)</f>
        <v>0</v>
      </c>
      <c r="U3166">
        <f>IF(S3166=0,0,-(COUNTIF(S3166:S3166,"&gt;0")*$T$3109*$C$32+$V$3109*$C$31)*$H$27*$R$3109)</f>
        <v>0</v>
      </c>
      <c r="V3166">
        <f>IF(S3166=0,0,$V$3109*$H$26*$R$3109)</f>
        <v>0</v>
      </c>
      <c r="W3166">
        <f>(0.6*T3166+0.7*U3166)*$R$3109/2</f>
        <v>0</v>
      </c>
      <c r="X3166">
        <f>T3166*$R$3109/2</f>
        <v>0</v>
      </c>
      <c r="Z3166">
        <f>IF(S3166=0,0,$AD$3109*$AP$3096)</f>
        <v>0</v>
      </c>
      <c r="AA3166">
        <f>IFERROR(Z3166/$R$3109,0)</f>
        <v>0</v>
      </c>
      <c r="AB3166">
        <f>Z3166*($F$24+IF($F$24=0,0,($C$14+$C$15+IF($C$13="single",1.5,3)+3)/12))</f>
        <v>0</v>
      </c>
      <c r="AC3166">
        <f>AB3166-W3166</f>
        <v>0</v>
      </c>
      <c r="AD3166" cm="1">
        <f t="array" ref="AD3166">IFERROR(IF(AC3166&lt;0,0,AC3166/($R$3109-INDEX(hd_off,MATCH(AQ3166,hd_mark,0),0)/12)),0)</f>
        <v>0</v>
      </c>
      <c r="AE3166">
        <f>IF(S3166=0,0,$AD$3109*$AM$3096)</f>
        <v>0</v>
      </c>
      <c r="AF3166">
        <f>IFERROR(AE3166/$R$3109,0)</f>
        <v>0</v>
      </c>
      <c r="AG3166">
        <f>AE3166*($F$24+IF($F$24=0,0,($C$14+$C$15+IF($C$13="single",1.5,3)+3)/12))</f>
        <v>0</v>
      </c>
      <c r="AH3166">
        <f>AG3166-X3166</f>
        <v>0</v>
      </c>
      <c r="AI3166" cm="1">
        <f t="array" ref="AI3166">IFERROR(IF(AH3166&lt;0,0,AH3166/($R$3109-INDEX(hd_off,MATCH(AQ3166,hd_mark,0),0)/12)),0)</f>
        <v>0</v>
      </c>
      <c r="AJ3166">
        <f>MAX($F$24,$AB$3109)/$Q$3124</f>
        <v>0</v>
      </c>
      <c r="AK3166">
        <f t="shared" si="1956"/>
        <v>0</v>
      </c>
      <c r="AL3166" cm="1">
        <f t="array" ref="AL3166">IFERROR(INDEX(sheath_ecap_asd,MATCH(AP3166,sheath_mark,0),0)*AK3166,0)</f>
        <v>0</v>
      </c>
      <c r="AM3166" cm="1">
        <f t="array" ref="AM3166">IFERROR(INDEX(sheath_wcap_asd,MATCH(AP3166,sheath_mark,0),0)*AK3166,0)</f>
        <v>0</v>
      </c>
      <c r="AN3166" cm="1">
        <f t="array" ref="AN3166">IFERROR(INDEX(hd_cap,MATCH(AQ3166,hd_mark,0),0),0)</f>
        <v>0</v>
      </c>
      <c r="AP3166" s="19"/>
      <c r="AQ3166" s="19"/>
      <c r="AR3166" s="100"/>
      <c r="AS3166" s="93"/>
      <c r="AT3166" s="111">
        <f>$R$3109</f>
        <v>0</v>
      </c>
      <c r="AU3166" t="str">
        <f>$Q$3096</f>
        <v>L5</v>
      </c>
      <c r="AV3166">
        <f>$E$24</f>
        <v>0</v>
      </c>
      <c r="AW3166" cm="1">
        <f t="array" ref="AW3166">IFERROR(IF(AV3166=0,0,(INDEX($C$33:$C$38,MATCH($AZ$3109,$B$33:$B$38,0),0)*(AV3167+$BA$3109)+$AW$3109*COUNTIF(AV3166:AV3166,"&gt;0")*$C$32+$AY$3109*$C$31)*$AU$3109),0)</f>
        <v>0</v>
      </c>
      <c r="AX3166">
        <f>IF(AV3166=0,0,-(COUNTIF(AV3166:AV3166,"&gt;0")*$AW$3109*$C$32+$AY$3109*$C$31)*$H$27*$AU$3109)</f>
        <v>0</v>
      </c>
      <c r="AY3166">
        <f>IF(AV3166=0,0,$AY$3109*$H$26*$AU$3109)</f>
        <v>0</v>
      </c>
      <c r="AZ3166">
        <f>(0.6*AW3166+0.7*AX3166)*$AU$3109/2</f>
        <v>0</v>
      </c>
      <c r="BA3166">
        <f>AW3166*$AU$3109/2</f>
        <v>0</v>
      </c>
      <c r="BC3166">
        <f>IF(AV3166=0,0,$BG$3109*$AP$3096)</f>
        <v>0</v>
      </c>
      <c r="BD3166">
        <f>IFERROR(BC3166/$AU$3109,0)</f>
        <v>0</v>
      </c>
      <c r="BE3166">
        <f>BC3166*($F$24+IF($F$24=0,0,($C$14+$C$15+IF($C$13="single",1.5,3)+3)/12))</f>
        <v>0</v>
      </c>
      <c r="BF3166">
        <f>BE3166-AZ3166</f>
        <v>0</v>
      </c>
      <c r="BG3166" cm="1">
        <f t="array" ref="BG3166">IFERROR(IF(BF3166&lt;0,0,BF3166/($AU$3109-INDEX(hd_off,MATCH(BT3166,hd_mark,0),0)/12)),0)</f>
        <v>0</v>
      </c>
      <c r="BH3166">
        <f>IF(AV3166=0,0,$BG$3109*$AM$3096)</f>
        <v>0</v>
      </c>
      <c r="BI3166">
        <f>IFERROR(BH3166/$AU$3109,0)</f>
        <v>0</v>
      </c>
      <c r="BJ3166">
        <f>BH3166*($F$24+IF($F$24=0,0,($C$14+$C$15+IF($C$13="single",1.5,3)+3)/12))</f>
        <v>0</v>
      </c>
      <c r="BK3166">
        <f>BJ3166-BA3166</f>
        <v>0</v>
      </c>
      <c r="BL3166" cm="1">
        <f t="array" ref="BL3166">IFERROR(IF(BK3166&lt;0,0,BK3166/($AU$3109-INDEX(hd_off,MATCH(BT3166,hd_mark,0),0)/12)),0)</f>
        <v>0</v>
      </c>
      <c r="BM3166">
        <f>MAX($F$24,$BE$3109)/$Q$3124</f>
        <v>0</v>
      </c>
      <c r="BN3166">
        <f t="shared" si="1957"/>
        <v>0</v>
      </c>
      <c r="BO3166" cm="1">
        <f t="array" ref="BO3166">IFERROR(INDEX(sheath_ecap_asd,MATCH(BS3166,sheath_mark,0),0)*BN3166,0)</f>
        <v>0</v>
      </c>
      <c r="BP3166" cm="1">
        <f t="array" ref="BP3166">IFERROR(INDEX(sheath_wcap_asd,MATCH(BS3166,sheath_mark,0),0)*BN3166,0)</f>
        <v>0</v>
      </c>
      <c r="BQ3166" cm="1">
        <f t="array" ref="BQ3166">IFERROR(INDEX(hd_cap,MATCH(BT3166,hd_mark,0),0),0)</f>
        <v>0</v>
      </c>
      <c r="BS3166" s="19"/>
      <c r="BT3166" s="19"/>
      <c r="BU3166" s="100"/>
    </row>
    <row r="3167" x14ac:dyDescent="0.25">
      <c r="P3167" s="93"/>
      <c r="Q3167" s="109"/>
      <c r="R3167" t="str">
        <f>$Q$3097</f>
        <v>Roof</v>
      </c>
      <c r="S3167">
        <f>$E$25</f>
        <v>33.171875</v>
      </c>
      <c r="T3167" cm="1">
        <f t="array" ref="T3167">IFERROR(IF(S3167=0,0,(INDEX($C$33:$C$38,MATCH($W$3109,$B$33:$B$38,0),0)*(S3167+$X$3109)+$V$3109*$C$31)*$R$3109),0)</f>
        <v>0</v>
      </c>
      <c r="U3167">
        <f>IF(S3167=0,0,-$V$3109*$C$31*$H$27*$R$3109)</f>
        <v>0</v>
      </c>
      <c r="V3167">
        <f>IF(S3167=0,0,$V$3109*$H$26*$R$3109)</f>
        <v>0</v>
      </c>
      <c r="W3167">
        <f>(0.6*T3167+0.7*U3167)*$R$3109/2</f>
        <v>0</v>
      </c>
      <c r="X3167">
        <f>T3167*$R$3109/2</f>
        <v>0</v>
      </c>
      <c r="Z3167">
        <f>IF(S3167=0,0,$AD$3109*$AP$3097)</f>
        <v>0</v>
      </c>
      <c r="AA3167">
        <f>IFERROR(Z3167/$R$3109,0)</f>
        <v>0</v>
      </c>
      <c r="AB3167">
        <f>Z3167*($F$25+($C$16+$C$17+IF($C$13="single",1.5,3)+3)/12)</f>
        <v>0</v>
      </c>
      <c r="AC3167">
        <f>AB3167-W3167</f>
        <v>0</v>
      </c>
      <c r="AD3167" cm="1">
        <f t="array" ref="AD3167">IFERROR(IF(AC3167&lt;0,0,AC3167/($R$3109-INDEX(hd_off,MATCH(AQ3167,hd_mark,0),0)/12)),0)</f>
        <v>0</v>
      </c>
      <c r="AE3167">
        <f>IF(S3167=0,0,$AD$3109*$AM$3097)</f>
        <v>0</v>
      </c>
      <c r="AF3167">
        <f>IFERROR(AE3167/$R$3109,0)</f>
        <v>0</v>
      </c>
      <c r="AG3167">
        <f>AE3167*($F$25+($C$16+$C$17+IF($C$13="single",1.5,3)+3)/12)</f>
        <v>0</v>
      </c>
      <c r="AH3167">
        <f>AG3167-X3167</f>
        <v>0</v>
      </c>
      <c r="AI3167" cm="1">
        <f t="array" ref="AI3167">IFERROR(IF(AH3167&lt;0,0,AH3167/($R$3109-INDEX(hd_off,MATCH(AQ3167,hd_mark,0),0)/12)),0)</f>
        <v>0</v>
      </c>
      <c r="AJ3167">
        <f>MAX($F$25,$AC$3109)/$Q$3124</f>
        <v>0.29920977011494249</v>
      </c>
      <c r="AK3167">
        <f t="shared" si="1956"/>
        <v>1</v>
      </c>
      <c r="AL3167" cm="1">
        <f t="array" ref="AL3167">IFERROR(INDEX(sheath_ecap_asd,MATCH(AP3167,sheath_mark,0),0)*AK3167,0)</f>
        <v>0</v>
      </c>
      <c r="AM3167" cm="1">
        <f t="array" ref="AM3167">IFERROR(INDEX(sheath_wcap_asd,MATCH(AP3167,sheath_mark,0),0)*AK3167,0)</f>
        <v>0</v>
      </c>
      <c r="AN3167" cm="1">
        <f t="array" ref="AN3167">IFERROR(INDEX(hd_cap,MATCH(AQ3167,hd_mark,0),0),0)</f>
        <v>0</v>
      </c>
      <c r="AP3167" s="19"/>
      <c r="AQ3167" s="19"/>
      <c r="AR3167" s="100"/>
      <c r="AS3167" s="93"/>
      <c r="AT3167" s="109"/>
      <c r="AU3167" t="str">
        <f>$Q$3097</f>
        <v>Roof</v>
      </c>
      <c r="AV3167">
        <f>$E$25</f>
        <v>33.171875</v>
      </c>
      <c r="AW3167" cm="1">
        <f t="array" ref="AW3167">IFERROR(IF(AV3167=0,0,(INDEX($C$33:$C$38,MATCH($AZ$3109,$B$33:$B$38,0),0)*(AV3167+$BA$3109)+$AY$3109*$C$31)*$AU$3109),0)</f>
        <v>0</v>
      </c>
      <c r="AX3167">
        <f>IF(AV3167=0,0,-$AY$3109*$C$31*$H$27*$AU$3109)</f>
        <v>0</v>
      </c>
      <c r="AY3167">
        <f>IF(AV3167=0,0,$AY$3109*$H$26*$AU$3109)</f>
        <v>0</v>
      </c>
      <c r="AZ3167">
        <f>(0.6*AW3167+0.7*AX3167)*$AU$3109/2</f>
        <v>0</v>
      </c>
      <c r="BA3167">
        <f>AW3167*$AU$3109/2</f>
        <v>0</v>
      </c>
      <c r="BC3167">
        <f>IF(AV3167=0,0,$BG$3109*$AP$3097)</f>
        <v>0</v>
      </c>
      <c r="BD3167">
        <f>IFERROR(BC3167/$AU$3109,0)</f>
        <v>0</v>
      </c>
      <c r="BE3167">
        <f>BC3167*($F$25+($C$16+$C$17+IF($C$13="single",1.5,3)+3)/12)</f>
        <v>0</v>
      </c>
      <c r="BF3167">
        <f>BE3167-AZ3167</f>
        <v>0</v>
      </c>
      <c r="BG3167" cm="1">
        <f t="array" ref="BG3167">IFERROR(IF(BF3167&lt;0,0,BF3167/($AU$3109-INDEX(hd_off,MATCH(BT3167,hd_mark,0),0)/12)),0)</f>
        <v>0</v>
      </c>
      <c r="BH3167">
        <f>IF(AV3167=0,0,$BG$3109*$AM$3097)</f>
        <v>0</v>
      </c>
      <c r="BI3167">
        <f>IFERROR(BH3167/$AU$3109,0)</f>
        <v>0</v>
      </c>
      <c r="BJ3167">
        <f>BH3167*($F$25+($C$16+$C$17+IF($C$13="single",1.5,3)+3)/12)</f>
        <v>0</v>
      </c>
      <c r="BK3167">
        <f>BJ3167-BA3167</f>
        <v>0</v>
      </c>
      <c r="BL3167" cm="1">
        <f t="array" ref="BL3167">IFERROR(IF(BK3167&lt;0,0,BK3167/($AU$3109-INDEX(hd_off,MATCH(BT3167,hd_mark,0),0)/12)),0)</f>
        <v>0</v>
      </c>
      <c r="BM3167">
        <f>MAX($F$25,$BF$3109)/$Q$3124</f>
        <v>0.29920977011494249</v>
      </c>
      <c r="BN3167">
        <f t="shared" si="1957"/>
        <v>1</v>
      </c>
      <c r="BO3167" cm="1">
        <f t="array" ref="BO3167">IFERROR(INDEX(sheath_ecap_asd,MATCH(BS3167,sheath_mark,0),0)*BN3167,0)</f>
        <v>0</v>
      </c>
      <c r="BP3167" cm="1">
        <f t="array" ref="BP3167">IFERROR(INDEX(sheath_wcap_asd,MATCH(BS3167,sheath_mark,0),0)*BN3167,0)</f>
        <v>0</v>
      </c>
      <c r="BQ3167" cm="1">
        <f t="array" ref="BQ3167">IFERROR(INDEX(hd_cap,MATCH(BT3167,hd_mark,0),0),0)</f>
        <v>0</v>
      </c>
      <c r="BS3167" s="19"/>
      <c r="BT3167" s="19"/>
      <c r="BU3167" s="100"/>
    </row>
    <row r="3168" x14ac:dyDescent="0.25">
      <c r="P3168" s="93"/>
      <c r="AR3168" s="100"/>
      <c r="AS3168" s="93"/>
      <c r="BU3168" s="100"/>
    </row>
    <row r="3169" x14ac:dyDescent="0.25">
      <c r="P3169" s="93"/>
      <c r="Q3169" s="110" t="str">
        <f>$Q$3110</f>
        <v>A.09</v>
      </c>
      <c r="R3169" t="str">
        <f>$Q$3093</f>
        <v>L2</v>
      </c>
      <c r="S3169">
        <f>$E$21</f>
        <v>10.6875</v>
      </c>
      <c r="T3169" cm="1">
        <f t="array" ref="T3169">IFERROR(IF(S3169=0,0,(INDEX($C$33:$C$38,MATCH($W$3110,$B$33:$B$38,0),0)*(S3173+$X$3110)+$T$3110*COUNTIF(S3169:S3172,"&gt;0")*$C$32+$V$3110*$C$31)*$R$3110),0)</f>
        <v>0</v>
      </c>
      <c r="U3169">
        <f>IF(S3169=0,0,-(COUNTIF(S3169:S3172,"&gt;0")*$T$3110*$C$32+$V$3110*$C$31)*$H$27*$R$3110)</f>
        <v>0</v>
      </c>
      <c r="V3169">
        <f>IF(S3169=0,0,$V$3110*$H$26*$R$3110)</f>
        <v>0</v>
      </c>
      <c r="W3169">
        <f>(0.6*T3169+0.7*U3169)*$R$3110/2</f>
        <v>0</v>
      </c>
      <c r="X3169">
        <f>(0.6*T3169+0.6*V3169)*$R$3110/2</f>
        <v>0</v>
      </c>
      <c r="Z3169">
        <f>IF(S3169=0,0,$AD$3110*$AP$3093)</f>
        <v>0</v>
      </c>
      <c r="AA3169">
        <f>IFERROR(Z3169/$R$3110,0)</f>
        <v>0</v>
      </c>
      <c r="AB3169">
        <f>Z3169*($F$21+IF($F$21=0,0,($C$14+$C$15+IF($C$13="single",1.5,3)+3)/12))</f>
        <v>0</v>
      </c>
      <c r="AC3169">
        <f>AB3169-W3169</f>
        <v>0</v>
      </c>
      <c r="AD3169" cm="1">
        <f t="array" ref="AD3169">IFERROR(IF(AC3169&lt;0,0,AC3169/($R$3110-INDEX(hd_off,MATCH(AQ3169,hd_mark,0),0)/12)),0)</f>
        <v>0</v>
      </c>
      <c r="AE3169">
        <f>IF(S3169=0,0,$AD$3110*$AM$3093)</f>
        <v>0</v>
      </c>
      <c r="AF3169">
        <f>IFERROR(AE3169/$R$3110,0)</f>
        <v>0</v>
      </c>
      <c r="AG3169">
        <f>AE3169*($F$21+IF($F$21=0,0,($C$14+$C$15+IF($C$13="single",1.5,3)+3)/12))</f>
        <v>0</v>
      </c>
      <c r="AH3169">
        <f>AG3169-X3169</f>
        <v>0</v>
      </c>
      <c r="AI3169" cm="1">
        <f t="array" ref="AI3169">IFERROR(IF(AH3169&lt;0,0,AH3169/($R$3110-INDEX(hd_off,MATCH(AQ3169,hd_mark,0),0)/12)),0)</f>
        <v>0</v>
      </c>
      <c r="AJ3169">
        <f>MAX($F$21,$Y$3110)/$Q$3124</f>
        <v>0.30172413793103448</v>
      </c>
      <c r="AK3169">
        <f>IF(AJ3169=0,0,IF(AJ3169&gt;2,1.25-0.125*AJ3169,1))</f>
        <v>1</v>
      </c>
      <c r="AL3169" cm="1">
        <f t="array" ref="AL3169">IFERROR(INDEX(sheath_ecap_asd,MATCH(AP3169,sheath_mark,0),0)*AK3169,0)</f>
        <v>0</v>
      </c>
      <c r="AM3169" cm="1">
        <f t="array" ref="AM3169">IFERROR(INDEX(sheath_wcap_asd,MATCH(AP3169,sheath_mark,0),0)*AK3169,0)</f>
        <v>0</v>
      </c>
      <c r="AN3169" cm="1">
        <f t="array" ref="AN3169">IFERROR(INDEX(hd_cap,MATCH(AQ3169,hd_mark,0),0),0)</f>
        <v>0</v>
      </c>
      <c r="AP3169" s="19"/>
      <c r="AQ3169" s="19"/>
      <c r="AR3169" s="100"/>
      <c r="AS3169" s="93"/>
      <c r="AT3169" s="110" t="str">
        <f>$AT$3110</f>
        <v>1.09</v>
      </c>
      <c r="AU3169" t="str">
        <f>$Q$3093</f>
        <v>L2</v>
      </c>
      <c r="AV3169">
        <f>$E$21</f>
        <v>10.6875</v>
      </c>
      <c r="AW3169" cm="1">
        <f t="array" ref="AW3169">IFERROR(IF(AV3169=0,0,(INDEX($C$33:$C$38,MATCH($AZ$3110,$B$33:$B$38,0),0)*(AV3173+$BA$3110)+$AW$3110*COUNTIF(AV3169:AV3172,"&gt;0")*$C$32+$AY$3110*$C$31)*$AU$3110),0)</f>
        <v>0</v>
      </c>
      <c r="AX3169">
        <f>IF(AV3169=0,0,-(COUNTIF(AV3169:AV3172,"&gt;0")*$AW$3110*$C$32+$AY$3110*$C$31)*$H$27*$AU$3110)</f>
        <v>0</v>
      </c>
      <c r="AY3169">
        <f>IF(AV3169=0,0,$AY$3110*$H$26*$AU$3110)</f>
        <v>0</v>
      </c>
      <c r="AZ3169">
        <f>(0.6*AW3169+0.7*AX3169)*$AU$3110/2</f>
        <v>0</v>
      </c>
      <c r="BA3169">
        <f>(0.6*AW3169+0.6*AY3169)*$AU$3110/2</f>
        <v>0</v>
      </c>
      <c r="BC3169">
        <f>IF(AV3169=0,0,$BG$3110*$AP$3093)</f>
        <v>0</v>
      </c>
      <c r="BD3169">
        <f>IFERROR(BC3169/$AU$3110,0)</f>
        <v>0</v>
      </c>
      <c r="BE3169">
        <f>BC3169*($F$21+IF($F$21=0,0,($C$14+$C$15+IF($C$13="single",1.5,3)+3)/12))</f>
        <v>0</v>
      </c>
      <c r="BF3169">
        <f>BE3169-AZ3169</f>
        <v>0</v>
      </c>
      <c r="BG3169" cm="1">
        <f t="array" ref="BG3169">IFERROR(IF(BF3169&lt;0,0,BF3169/($AU$3110-INDEX(hd_off,MATCH(BT3169,hd_mark,0),0)/12)),0)</f>
        <v>0</v>
      </c>
      <c r="BH3169">
        <f>IF(AV3169=0,0,$BG$3110*$AM$3093)</f>
        <v>0</v>
      </c>
      <c r="BI3169">
        <f>IFERROR(BH3169/$AU$3110,0)</f>
        <v>0</v>
      </c>
      <c r="BJ3169">
        <f>BH3169*($F$21+IF($F$21=0,0,($C$14+$C$15+IF($C$13="single",1.5,3)+3)/12))</f>
        <v>0</v>
      </c>
      <c r="BK3169">
        <f>BJ3169-BA3169</f>
        <v>0</v>
      </c>
      <c r="BL3169" cm="1">
        <f t="array" ref="BL3169">IFERROR(IF(BK3169&lt;0,0,BK3169/($AU$3110-INDEX(hd_off,MATCH(BT3169,hd_mark,0),0)/12)),0)</f>
        <v>0</v>
      </c>
      <c r="BM3169">
        <f>MAX($F$21,$BB$3110)/$Q$3124</f>
        <v>0.30172413793103448</v>
      </c>
      <c r="BN3169">
        <f>IF(BM3169=0,0,IF(BM3169&gt;2,1.25-0.125*BM3169,1))</f>
        <v>1</v>
      </c>
      <c r="BO3169" cm="1">
        <f t="array" ref="BO3169">IFERROR(INDEX(sheath_ecap_asd,MATCH(BS3169,sheath_mark,0),0)*BN3169,0)</f>
        <v>0</v>
      </c>
      <c r="BP3169" cm="1">
        <f t="array" ref="BP3169">IFERROR(INDEX(sheath_wcap_asd,MATCH(BS3169,sheath_mark,0),0)*BN3169,0)</f>
        <v>0</v>
      </c>
      <c r="BQ3169" cm="1">
        <f t="array" ref="BQ3169">IFERROR(INDEX(hd_cap,MATCH(BT3169,hd_mark,0),0),0)</f>
        <v>0</v>
      </c>
      <c r="BS3169" s="19"/>
      <c r="BT3169" s="19"/>
      <c r="BU3169" s="100"/>
    </row>
    <row r="3170" x14ac:dyDescent="0.25">
      <c r="P3170" s="93"/>
      <c r="Q3170" s="109"/>
      <c r="R3170" t="str">
        <f>$Q$3094</f>
        <v>L3</v>
      </c>
      <c r="S3170">
        <f>$E$22</f>
        <v>21.375</v>
      </c>
      <c r="T3170" cm="1">
        <f t="array" ref="T3170">IFERROR(IF(S3170=0,0,(INDEX($C$33:$C$38,MATCH($W$3110,$B$33:$B$38,0),0)*(S3173+$X$3110)+$T$3110*COUNTIF(S3170:S3172,"&gt;0")*$C$32+$V$3110*$C$31)*$R$3110),0)</f>
        <v>0</v>
      </c>
      <c r="U3170">
        <f>IF(S3170=0,0,-(COUNTIF(S3170:S3172,"&gt;0")*$T$3110*$C$32+$V$3110*$C$31)*$H$27*$R$3110)</f>
        <v>0</v>
      </c>
      <c r="V3170">
        <f>IF(S3170=0,0,$V$3110*$H$26*$R$3110)</f>
        <v>0</v>
      </c>
      <c r="W3170">
        <f>(0.6*T3170+0.7*U3170)*$R$3110/2</f>
        <v>0</v>
      </c>
      <c r="X3170">
        <f>T3170*$R$3110/2</f>
        <v>0</v>
      </c>
      <c r="Z3170">
        <f>IF(S3170=0,0,$AD$3110*$AP$3094)</f>
        <v>0</v>
      </c>
      <c r="AA3170">
        <f>IFERROR(Z3170/$R$3110,0)</f>
        <v>0</v>
      </c>
      <c r="AB3170">
        <f>Z3170*($F$22+IF($F$22=0,0,($C$14+$C$15+IF($C$13="single",1.5,3)+3)/12))</f>
        <v>0</v>
      </c>
      <c r="AC3170">
        <f>AB3170-W3170</f>
        <v>0</v>
      </c>
      <c r="AD3170" cm="1">
        <f t="array" ref="AD3170">IFERROR(IF(AC3170&lt;0,0,AC3170/($R$3110-INDEX(hd_off,MATCH(AQ3170,hd_mark,0),0)/12)),0)</f>
        <v>0</v>
      </c>
      <c r="AE3170">
        <f>IF(S3170=0,0,$AD$3110*$AM$3094)</f>
        <v>0</v>
      </c>
      <c r="AF3170">
        <f>IFERROR(AE3170/$R$3110,0)</f>
        <v>0</v>
      </c>
      <c r="AG3170">
        <f>AE3170*($F$22+IF($F$22=0,0,($C$14+$C$15+IF($C$13="single",1.5,3)+3)/12))</f>
        <v>0</v>
      </c>
      <c r="AH3170">
        <f>AG3170-X3170</f>
        <v>0</v>
      </c>
      <c r="AI3170" cm="1">
        <f t="array" ref="AI3170">IFERROR(IF(AH3170&lt;0,0,AH3170/($R$3110-INDEX(hd_off,MATCH(AQ3170,hd_mark,0),0)/12)),0)</f>
        <v>0</v>
      </c>
      <c r="AJ3170">
        <f>MAX($F$22,$Z$3110)/$Q$3124</f>
        <v>0.30172413793103448</v>
      </c>
      <c r="AK3170">
        <f t="shared" ref="AK3170:AK3173" si="1958">IF(AJ3170=0,0,IF(AJ3170&gt;2,1.25-0.125*AJ3170,1))</f>
        <v>1</v>
      </c>
      <c r="AL3170" cm="1">
        <f t="array" ref="AL3170">IFERROR(INDEX(sheath_ecap_asd,MATCH(AP3170,sheath_mark,0),0)*AK3170,0)</f>
        <v>0</v>
      </c>
      <c r="AM3170" cm="1">
        <f t="array" ref="AM3170">IFERROR(INDEX(sheath_wcap_asd,MATCH(AP3170,sheath_mark,0),0)*AK3170,0)</f>
        <v>0</v>
      </c>
      <c r="AN3170" cm="1">
        <f t="array" ref="AN3170">IFERROR(INDEX(hd_cap,MATCH(AQ3170,hd_mark,0),0),0)</f>
        <v>0</v>
      </c>
      <c r="AP3170" s="19"/>
      <c r="AQ3170" s="19"/>
      <c r="AR3170" s="100"/>
      <c r="AS3170" s="93"/>
      <c r="AT3170" s="109"/>
      <c r="AU3170" t="str">
        <f>$Q$3094</f>
        <v>L3</v>
      </c>
      <c r="AV3170">
        <f>$E$22</f>
        <v>21.375</v>
      </c>
      <c r="AW3170" cm="1">
        <f t="array" ref="AW3170">IFERROR(IF(AV3170=0,0,(INDEX($C$33:$C$38,MATCH($AZ$3110,$B$33:$B$38,0),0)*(AV3173+$BA$3110)+$AW$3110*COUNTIF(AV3170:AV3172,"&gt;0")*$C$32+$AY$3110*$C$31)*$AU$3110),0)</f>
        <v>0</v>
      </c>
      <c r="AX3170">
        <f>IF(AV3170=0,0,-(COUNTIF(AV3170:AV3172,"&gt;0")*$AW$3110*$C$32+$AY$3110*$C$31)*$H$27*$AU$3110)</f>
        <v>0</v>
      </c>
      <c r="AY3170">
        <f>IF(AV3170=0,0,$AY$3110*$H$26*$AU$3110)</f>
        <v>0</v>
      </c>
      <c r="AZ3170">
        <f>(0.6*AW3170+0.7*AX3170)*$AU$3110/2</f>
        <v>0</v>
      </c>
      <c r="BA3170">
        <f>AW3170*$AU$3110/2</f>
        <v>0</v>
      </c>
      <c r="BC3170">
        <f>IF(AV3170=0,0,$BG$3110*$AP$3094)</f>
        <v>0</v>
      </c>
      <c r="BD3170">
        <f>IFERROR(BC3170/$AU$3110,0)</f>
        <v>0</v>
      </c>
      <c r="BE3170">
        <f>BC3170*($F$22+IF($F$22=0,0,($C$14+$C$15+IF($C$13="single",1.5,3)+3)/12))</f>
        <v>0</v>
      </c>
      <c r="BF3170">
        <f>BE3170-AZ3170</f>
        <v>0</v>
      </c>
      <c r="BG3170" cm="1">
        <f t="array" ref="BG3170">IFERROR(IF(BF3170&lt;0,0,BF3170/($AU$3110-INDEX(hd_off,MATCH(BT3170,hd_mark,0),0)/12)),0)</f>
        <v>0</v>
      </c>
      <c r="BH3170">
        <f>IF(AV3170=0,0,$BG$3110*$AM$3094)</f>
        <v>0</v>
      </c>
      <c r="BI3170">
        <f>IFERROR(BH3170/$AU$3110,0)</f>
        <v>0</v>
      </c>
      <c r="BJ3170">
        <f>BH3170*($F$22+IF($F$22=0,0,($C$14+$C$15+IF($C$13="single",1.5,3)+3)/12))</f>
        <v>0</v>
      </c>
      <c r="BK3170">
        <f>BJ3170-BA3170</f>
        <v>0</v>
      </c>
      <c r="BL3170" cm="1">
        <f t="array" ref="BL3170">IFERROR(IF(BK3170&lt;0,0,BK3170/($AU$3110-INDEX(hd_off,MATCH(BT3170,hd_mark,0),0)/12)),0)</f>
        <v>0</v>
      </c>
      <c r="BM3170">
        <f>MAX($F$22,$BC$3110)/$Q$3124</f>
        <v>0.30172413793103448</v>
      </c>
      <c r="BN3170">
        <f t="shared" ref="BN3170:BN3173" si="1959">IF(BM3170=0,0,IF(BM3170&gt;2,1.25-0.125*BM3170,1))</f>
        <v>1</v>
      </c>
      <c r="BO3170" cm="1">
        <f t="array" ref="BO3170">IFERROR(INDEX(sheath_ecap_asd,MATCH(BS3170,sheath_mark,0),0)*BN3170,0)</f>
        <v>0</v>
      </c>
      <c r="BP3170" cm="1">
        <f t="array" ref="BP3170">IFERROR(INDEX(sheath_wcap_asd,MATCH(BS3170,sheath_mark,0),0)*BN3170,0)</f>
        <v>0</v>
      </c>
      <c r="BQ3170" cm="1">
        <f t="array" ref="BQ3170">IFERROR(INDEX(hd_cap,MATCH(BT3170,hd_mark,0),0),0)</f>
        <v>0</v>
      </c>
      <c r="BS3170" s="19"/>
      <c r="BT3170" s="19"/>
      <c r="BU3170" s="100"/>
    </row>
    <row r="3171" x14ac:dyDescent="0.25">
      <c r="P3171" s="93"/>
      <c r="Q3171" s="109" t="s">
        <v>491</v>
      </c>
      <c r="R3171" t="str">
        <f>$Q$3095</f>
        <v>L4</v>
      </c>
      <c r="S3171">
        <f>$E$23</f>
        <v>0</v>
      </c>
      <c r="T3171" cm="1">
        <f t="array" ref="T3171">IFERROR(IF(S3171=0,0,(INDEX($C$33:$C$38,MATCH($W$3110,$B$33:$B$38,0),0)*(S3173+$X$3110)+$T$3110*COUNTIF(S3171:S3172,"&gt;0")*$C$32+$V$3110*$C$31)*$R$3110),0)</f>
        <v>0</v>
      </c>
      <c r="U3171">
        <f>IF(S3171=0,0,-(COUNTIF(S3171:S3172,"&gt;0")*$T$3110*$C$32+$V$3110*$C$31)*$H$27*$R$3110)</f>
        <v>0</v>
      </c>
      <c r="V3171">
        <f>IF(S3171=0,0,$V$3110*$H$26*$R$3110)</f>
        <v>0</v>
      </c>
      <c r="W3171">
        <f>(0.6*T3171+0.7*U3171)*$R$3110/2</f>
        <v>0</v>
      </c>
      <c r="X3171">
        <f>T3171*$R$3110/2</f>
        <v>0</v>
      </c>
      <c r="Z3171">
        <f>IF(S3171=0,0,$AD$3110*$AP$3095)</f>
        <v>0</v>
      </c>
      <c r="AA3171">
        <f>IFERROR(Z3171/$R$3110,0)</f>
        <v>0</v>
      </c>
      <c r="AB3171">
        <f>Z3171*($F$23+IF($F$23=0,0,($C$14+$C$15+IF($C$13="single",1.5,3)+3)/12))</f>
        <v>0</v>
      </c>
      <c r="AC3171">
        <f>AB3171-W3171</f>
        <v>0</v>
      </c>
      <c r="AD3171" cm="1">
        <f t="array" ref="AD3171">IFERROR(IF(AC3171&lt;0,0,AC3171/($R$3110-INDEX(hd_off,MATCH(AQ3171,hd_mark,0),0)/12)),0)</f>
        <v>0</v>
      </c>
      <c r="AE3171">
        <f>IF(S3171=0,0,$AD$3110*$AM$3095)</f>
        <v>0</v>
      </c>
      <c r="AF3171">
        <f>IFERROR(AE3171/$R$3110,0)</f>
        <v>0</v>
      </c>
      <c r="AG3171">
        <f>AE3171*($F$23+IF($F$23=0,0,($C$14+$C$15+IF($C$13="single",1.5,3)+3)/12))</f>
        <v>0</v>
      </c>
      <c r="AH3171">
        <f>AG3171-X3171</f>
        <v>0</v>
      </c>
      <c r="AI3171" cm="1">
        <f t="array" ref="AI3171">IFERROR(IF(AH3171&lt;0,0,AH3171/($R$3110-INDEX(hd_off,MATCH(AQ3171,hd_mark,0),0)/12)),0)</f>
        <v>0</v>
      </c>
      <c r="AJ3171">
        <f>MAX($F$23,$AA$3110)/$Q$3124</f>
        <v>0</v>
      </c>
      <c r="AK3171">
        <f t="shared" si="1958"/>
        <v>0</v>
      </c>
      <c r="AL3171" cm="1">
        <f t="array" ref="AL3171">IFERROR(INDEX(sheath_ecap_asd,MATCH(AP3171,sheath_mark,0),0)*AK3171,0)</f>
        <v>0</v>
      </c>
      <c r="AM3171" cm="1">
        <f t="array" ref="AM3171">IFERROR(INDEX(sheath_wcap_asd,MATCH(AP3171,sheath_mark,0),0)*AK3171,0)</f>
        <v>0</v>
      </c>
      <c r="AN3171" cm="1">
        <f t="array" ref="AN3171">IFERROR(INDEX(hd_cap,MATCH(AQ3171,hd_mark,0),0),0)</f>
        <v>0</v>
      </c>
      <c r="AP3171" s="19"/>
      <c r="AQ3171" s="19"/>
      <c r="AR3171" s="100"/>
      <c r="AS3171" s="93"/>
      <c r="AT3171" s="109" t="s">
        <v>491</v>
      </c>
      <c r="AU3171" t="str">
        <f>$Q$3095</f>
        <v>L4</v>
      </c>
      <c r="AV3171">
        <f>$E$23</f>
        <v>0</v>
      </c>
      <c r="AW3171" cm="1">
        <f t="array" ref="AW3171">IFERROR(IF(AV3171=0,0,(INDEX($C$33:$C$38,MATCH($AZ$3110,$B$33:$B$38,0),0)*(AV3173+$BA$3110)+$AW$3110*COUNTIF(AV3171:AV3172,"&gt;0")*$C$32+$AY$3110*$C$31)*$AU$3110),0)</f>
        <v>0</v>
      </c>
      <c r="AX3171">
        <f>IF(AV3171=0,0,-(COUNTIF(AV3171:AV3172,"&gt;0")*$AW$3110*$C$32+$AY$3110*$C$31)*$H$27*$AU$3110)</f>
        <v>0</v>
      </c>
      <c r="AY3171">
        <f>IF(AV3171=0,0,$AY$3110*$H$26*$AU$3110)</f>
        <v>0</v>
      </c>
      <c r="AZ3171">
        <f>(0.6*AW3171+0.7*AX3171)*$AU$3110/2</f>
        <v>0</v>
      </c>
      <c r="BA3171">
        <f>AW3171*$AU$3110/2</f>
        <v>0</v>
      </c>
      <c r="BC3171">
        <f>IF(AV3171=0,0,$BG$3110*$AP$3095)</f>
        <v>0</v>
      </c>
      <c r="BD3171">
        <f>IFERROR(BC3171/$AU$3110,0)</f>
        <v>0</v>
      </c>
      <c r="BE3171">
        <f>BC3171*($F$23+IF($F$23=0,0,($C$14+$C$15+IF($C$13="single",1.5,3)+3)/12))</f>
        <v>0</v>
      </c>
      <c r="BF3171">
        <f>BE3171-AZ3171</f>
        <v>0</v>
      </c>
      <c r="BG3171" cm="1">
        <f t="array" ref="BG3171">IFERROR(IF(BF3171&lt;0,0,BF3171/($AU$3110-INDEX(hd_off,MATCH(BT3171,hd_mark,0),0)/12)),0)</f>
        <v>0</v>
      </c>
      <c r="BH3171">
        <f>IF(AV3171=0,0,$BG$3110*$AM$3095)</f>
        <v>0</v>
      </c>
      <c r="BI3171">
        <f>IFERROR(BH3171/$AU$3110,0)</f>
        <v>0</v>
      </c>
      <c r="BJ3171">
        <f>BH3171*($F$23+IF($F$23=0,0,($C$14+$C$15+IF($C$13="single",1.5,3)+3)/12))</f>
        <v>0</v>
      </c>
      <c r="BK3171">
        <f>BJ3171-BA3171</f>
        <v>0</v>
      </c>
      <c r="BL3171" cm="1">
        <f t="array" ref="BL3171">IFERROR(IF(BK3171&lt;0,0,BK3171/($AU$3110-INDEX(hd_off,MATCH(BT3171,hd_mark,0),0)/12)),0)</f>
        <v>0</v>
      </c>
      <c r="BM3171">
        <f>MAX($F$23,$BD$3110)/$Q$3124</f>
        <v>0</v>
      </c>
      <c r="BN3171">
        <f t="shared" si="1959"/>
        <v>0</v>
      </c>
      <c r="BO3171" cm="1">
        <f t="array" ref="BO3171">IFERROR(INDEX(sheath_ecap_asd,MATCH(BS3171,sheath_mark,0),0)*BN3171,0)</f>
        <v>0</v>
      </c>
      <c r="BP3171" cm="1">
        <f t="array" ref="BP3171">IFERROR(INDEX(sheath_wcap_asd,MATCH(BS3171,sheath_mark,0),0)*BN3171,0)</f>
        <v>0</v>
      </c>
      <c r="BQ3171" cm="1">
        <f t="array" ref="BQ3171">IFERROR(INDEX(hd_cap,MATCH(BT3171,hd_mark,0),0),0)</f>
        <v>0</v>
      </c>
      <c r="BS3171" s="19"/>
      <c r="BT3171" s="19"/>
      <c r="BU3171" s="100"/>
    </row>
    <row r="3172" x14ac:dyDescent="0.25">
      <c r="P3172" s="93"/>
      <c r="Q3172" s="111">
        <f>$R$3110</f>
        <v>0</v>
      </c>
      <c r="R3172" t="str">
        <f>$Q$3096</f>
        <v>L5</v>
      </c>
      <c r="S3172">
        <f>$E$24</f>
        <v>0</v>
      </c>
      <c r="T3172" cm="1">
        <f t="array" ref="T3172">IFERROR(IF(S3172=0,0,(INDEX($C$33:$C$38,MATCH($W$3110,$B$33:$B$38,0),0)*(S3173+$X$3110)+$T$3110*COUNTIF(S3172:S3172,"&gt;0")*$C$32+$V$3110*$C$31)*$R$3110),0)</f>
        <v>0</v>
      </c>
      <c r="U3172">
        <f>IF(S3172=0,0,-(COUNTIF(S3172:S3172,"&gt;0")*$T$3110*$C$32+$V$3110*$C$31)*$H$27*$R$3110)</f>
        <v>0</v>
      </c>
      <c r="V3172">
        <f>IF(S3172=0,0,$V$3110*$H$26*$R$3110)</f>
        <v>0</v>
      </c>
      <c r="W3172">
        <f>(0.6*T3172+0.7*U3172)*$R$3110/2</f>
        <v>0</v>
      </c>
      <c r="X3172">
        <f>T3172*$R$3110/2</f>
        <v>0</v>
      </c>
      <c r="Z3172">
        <f>IF(S3172=0,0,$AD$3110*$AP$3096)</f>
        <v>0</v>
      </c>
      <c r="AA3172">
        <f>IFERROR(Z3172/$R$3110,0)</f>
        <v>0</v>
      </c>
      <c r="AB3172">
        <f>Z3172*($F$24+IF($F$24=0,0,($C$14+$C$15+IF($C$13="single",1.5,3)+3)/12))</f>
        <v>0</v>
      </c>
      <c r="AC3172">
        <f>AB3172-W3172</f>
        <v>0</v>
      </c>
      <c r="AD3172" cm="1">
        <f t="array" ref="AD3172">IFERROR(IF(AC3172&lt;0,0,AC3172/($R$3110-INDEX(hd_off,MATCH(AQ3172,hd_mark,0),0)/12)),0)</f>
        <v>0</v>
      </c>
      <c r="AE3172">
        <f>IF(S3172=0,0,$AD$3110*$AM$3096)</f>
        <v>0</v>
      </c>
      <c r="AF3172">
        <f>IFERROR(AE3172/$R$3110,0)</f>
        <v>0</v>
      </c>
      <c r="AG3172">
        <f>AE3172*($F$24+IF($F$24=0,0,($C$14+$C$15+IF($C$13="single",1.5,3)+3)/12))</f>
        <v>0</v>
      </c>
      <c r="AH3172">
        <f>AG3172-X3172</f>
        <v>0</v>
      </c>
      <c r="AI3172" cm="1">
        <f t="array" ref="AI3172">IFERROR(IF(AH3172&lt;0,0,AH3172/($R$3110-INDEX(hd_off,MATCH(AQ3172,hd_mark,0),0)/12)),0)</f>
        <v>0</v>
      </c>
      <c r="AJ3172">
        <f>MAX($F$24,$AB$3110)/$Q$3124</f>
        <v>0</v>
      </c>
      <c r="AK3172">
        <f t="shared" si="1958"/>
        <v>0</v>
      </c>
      <c r="AL3172" cm="1">
        <f t="array" ref="AL3172">IFERROR(INDEX(sheath_ecap_asd,MATCH(AP3172,sheath_mark,0),0)*AK3172,0)</f>
        <v>0</v>
      </c>
      <c r="AM3172" cm="1">
        <f t="array" ref="AM3172">IFERROR(INDEX(sheath_wcap_asd,MATCH(AP3172,sheath_mark,0),0)*AK3172,0)</f>
        <v>0</v>
      </c>
      <c r="AN3172" cm="1">
        <f t="array" ref="AN3172">IFERROR(INDEX(hd_cap,MATCH(AQ3172,hd_mark,0),0),0)</f>
        <v>0</v>
      </c>
      <c r="AP3172" s="19"/>
      <c r="AQ3172" s="19"/>
      <c r="AR3172" s="100"/>
      <c r="AS3172" s="93"/>
      <c r="AT3172" s="111">
        <f>$R$3110</f>
        <v>0</v>
      </c>
      <c r="AU3172" t="str">
        <f>$Q$3096</f>
        <v>L5</v>
      </c>
      <c r="AV3172">
        <f>$E$24</f>
        <v>0</v>
      </c>
      <c r="AW3172" cm="1">
        <f t="array" ref="AW3172">IFERROR(IF(AV3172=0,0,(INDEX($C$33:$C$38,MATCH($AZ$3110,$B$33:$B$38,0),0)*(AV3173+$BA$3110)+$AW$3110*COUNTIF(AV3172:AV3172,"&gt;0")*$C$32+$AY$3110*$C$31)*$AU$3110),0)</f>
        <v>0</v>
      </c>
      <c r="AX3172">
        <f>IF(AV3172=0,0,-(COUNTIF(AV3172:AV3172,"&gt;0")*$AW$3110*$C$32+$AY$3110*$C$31)*$H$27*$AU$3110)</f>
        <v>0</v>
      </c>
      <c r="AY3172">
        <f>IF(AV3172=0,0,$AY$3110*$H$26*$AU$3110)</f>
        <v>0</v>
      </c>
      <c r="AZ3172">
        <f>(0.6*AW3172+0.7*AX3172)*$AU$3110/2</f>
        <v>0</v>
      </c>
      <c r="BA3172">
        <f>AW3172*$AU$3110/2</f>
        <v>0</v>
      </c>
      <c r="BC3172">
        <f>IF(AV3172=0,0,$BG$3110*$AP$3096)</f>
        <v>0</v>
      </c>
      <c r="BD3172">
        <f>IFERROR(BC3172/$AU$3110,0)</f>
        <v>0</v>
      </c>
      <c r="BE3172">
        <f>BC3172*($F$24+IF($F$24=0,0,($C$14+$C$15+IF($C$13="single",1.5,3)+3)/12))</f>
        <v>0</v>
      </c>
      <c r="BF3172">
        <f>BE3172-AZ3172</f>
        <v>0</v>
      </c>
      <c r="BG3172" cm="1">
        <f t="array" ref="BG3172">IFERROR(IF(BF3172&lt;0,0,BF3172/($AU$3110-INDEX(hd_off,MATCH(BT3172,hd_mark,0),0)/12)),0)</f>
        <v>0</v>
      </c>
      <c r="BH3172">
        <f>IF(AV3172=0,0,$BG$3110*$AM$3096)</f>
        <v>0</v>
      </c>
      <c r="BI3172">
        <f>IFERROR(BH3172/$AU$3110,0)</f>
        <v>0</v>
      </c>
      <c r="BJ3172">
        <f>BH3172*($F$24+IF($F$24=0,0,($C$14+$C$15+IF($C$13="single",1.5,3)+3)/12))</f>
        <v>0</v>
      </c>
      <c r="BK3172">
        <f>BJ3172-BA3172</f>
        <v>0</v>
      </c>
      <c r="BL3172" cm="1">
        <f t="array" ref="BL3172">IFERROR(IF(BK3172&lt;0,0,BK3172/($AU$3110-INDEX(hd_off,MATCH(BT3172,hd_mark,0),0)/12)),0)</f>
        <v>0</v>
      </c>
      <c r="BM3172">
        <f>MAX($F$24,$BE$3110)/$Q$3124</f>
        <v>0</v>
      </c>
      <c r="BN3172">
        <f t="shared" si="1959"/>
        <v>0</v>
      </c>
      <c r="BO3172" cm="1">
        <f t="array" ref="BO3172">IFERROR(INDEX(sheath_ecap_asd,MATCH(BS3172,sheath_mark,0),0)*BN3172,0)</f>
        <v>0</v>
      </c>
      <c r="BP3172" cm="1">
        <f t="array" ref="BP3172">IFERROR(INDEX(sheath_wcap_asd,MATCH(BS3172,sheath_mark,0),0)*BN3172,0)</f>
        <v>0</v>
      </c>
      <c r="BQ3172" cm="1">
        <f t="array" ref="BQ3172">IFERROR(INDEX(hd_cap,MATCH(BT3172,hd_mark,0),0),0)</f>
        <v>0</v>
      </c>
      <c r="BS3172" s="19"/>
      <c r="BT3172" s="19"/>
      <c r="BU3172" s="100"/>
    </row>
    <row r="3173" x14ac:dyDescent="0.25">
      <c r="P3173" s="93"/>
      <c r="Q3173" s="109"/>
      <c r="R3173" t="str">
        <f>$Q$3097</f>
        <v>Roof</v>
      </c>
      <c r="S3173">
        <f>$E$25</f>
        <v>33.171875</v>
      </c>
      <c r="T3173" cm="1">
        <f t="array" ref="T3173">IFERROR(IF(S3173=0,0,(INDEX($C$33:$C$38,MATCH($W$3110,$B$33:$B$38,0),0)*(S3173+$X$3110)+$V$3110*$C$31)*$R$3110),0)</f>
        <v>0</v>
      </c>
      <c r="U3173">
        <f>IF(S3173=0,0,-$V$3110*$C$31*$H$27*$R$3110)</f>
        <v>0</v>
      </c>
      <c r="V3173">
        <f>IF(S3173=0,0,$V$3110*$H$26*$R$3110)</f>
        <v>0</v>
      </c>
      <c r="W3173">
        <f>(0.6*T3173+0.7*U3173)*$R$3110/2</f>
        <v>0</v>
      </c>
      <c r="X3173">
        <f>T3173*$R$3110/2</f>
        <v>0</v>
      </c>
      <c r="Z3173">
        <f>IF(S3173=0,0,$AD$3110*$AP$3097)</f>
        <v>0</v>
      </c>
      <c r="AA3173">
        <f>IFERROR(Z3173/$R$3110,0)</f>
        <v>0</v>
      </c>
      <c r="AB3173">
        <f>Z3173*($F$25+($C$16+$C$17+IF($C$13="single",1.5,3)+3)/12)</f>
        <v>0</v>
      </c>
      <c r="AC3173">
        <f>AB3173-W3173</f>
        <v>0</v>
      </c>
      <c r="AD3173" cm="1">
        <f t="array" ref="AD3173">IFERROR(IF(AC3173&lt;0,0,AC3173/($R$3110-INDEX(hd_off,MATCH(AQ3173,hd_mark,0),0)/12)),0)</f>
        <v>0</v>
      </c>
      <c r="AE3173">
        <f>IF(S3173=0,0,$AD$3110*$AM$3097)</f>
        <v>0</v>
      </c>
      <c r="AF3173">
        <f>IFERROR(AE3173/$R$3110,0)</f>
        <v>0</v>
      </c>
      <c r="AG3173">
        <f>AE3173*($F$25+($C$16+$C$17+IF($C$13="single",1.5,3)+3)/12)</f>
        <v>0</v>
      </c>
      <c r="AH3173">
        <f>AG3173-X3173</f>
        <v>0</v>
      </c>
      <c r="AI3173" cm="1">
        <f t="array" ref="AI3173">IFERROR(IF(AH3173&lt;0,0,AH3173/($R$3110-INDEX(hd_off,MATCH(AQ3173,hd_mark,0),0)/12)),0)</f>
        <v>0</v>
      </c>
      <c r="AJ3173">
        <f>MAX($F$25,$AC$3110)/$Q$3124</f>
        <v>0.29920977011494249</v>
      </c>
      <c r="AK3173">
        <f t="shared" si="1958"/>
        <v>1</v>
      </c>
      <c r="AL3173" cm="1">
        <f t="array" ref="AL3173">IFERROR(INDEX(sheath_ecap_asd,MATCH(AP3173,sheath_mark,0),0)*AK3173,0)</f>
        <v>0</v>
      </c>
      <c r="AM3173" cm="1">
        <f t="array" ref="AM3173">IFERROR(INDEX(sheath_wcap_asd,MATCH(AP3173,sheath_mark,0),0)*AK3173,0)</f>
        <v>0</v>
      </c>
      <c r="AN3173" cm="1">
        <f t="array" ref="AN3173">IFERROR(INDEX(hd_cap,MATCH(AQ3173,hd_mark,0),0),0)</f>
        <v>0</v>
      </c>
      <c r="AP3173" s="19"/>
      <c r="AQ3173" s="19"/>
      <c r="AR3173" s="100"/>
      <c r="AS3173" s="93"/>
      <c r="AT3173" s="109"/>
      <c r="AU3173" t="str">
        <f>$Q$3097</f>
        <v>Roof</v>
      </c>
      <c r="AV3173">
        <f>$E$25</f>
        <v>33.171875</v>
      </c>
      <c r="AW3173" cm="1">
        <f t="array" ref="AW3173">IFERROR(IF(AV3173=0,0,(INDEX($C$33:$C$38,MATCH($AZ$3110,$B$33:$B$38,0),0)*(AV3173+$BA$3110)+$AY$3110*$C$31)*$AU$3110),0)</f>
        <v>0</v>
      </c>
      <c r="AX3173">
        <f>IF(AV3173=0,0,-$AY$3110*$C$31*$H$27*$AU$3110)</f>
        <v>0</v>
      </c>
      <c r="AY3173">
        <f>IF(AV3173=0,0,$AY$3110*$H$26*$AU$3110)</f>
        <v>0</v>
      </c>
      <c r="AZ3173">
        <f>(0.6*AW3173+0.7*AX3173)*$AU$3110/2</f>
        <v>0</v>
      </c>
      <c r="BA3173">
        <f>AW3173*$AU$3110/2</f>
        <v>0</v>
      </c>
      <c r="BC3173">
        <f>IF(AV3173=0,0,$BG$3110*$AP$3097)</f>
        <v>0</v>
      </c>
      <c r="BD3173">
        <f>IFERROR(BC3173/$AU$3110,0)</f>
        <v>0</v>
      </c>
      <c r="BE3173">
        <f>BC3173*($F$25+($C$16+$C$17+IF($C$13="single",1.5,3)+3)/12)</f>
        <v>0</v>
      </c>
      <c r="BF3173">
        <f>BE3173-AZ3173</f>
        <v>0</v>
      </c>
      <c r="BG3173" cm="1">
        <f t="array" ref="BG3173">IFERROR(IF(BF3173&lt;0,0,BF3173/($AU$3110-INDEX(hd_off,MATCH(BT3173,hd_mark,0),0)/12)),0)</f>
        <v>0</v>
      </c>
      <c r="BH3173">
        <f>IF(AV3173=0,0,$BG$3110*$AM$3097)</f>
        <v>0</v>
      </c>
      <c r="BI3173">
        <f>IFERROR(BH3173/$AU$3110,0)</f>
        <v>0</v>
      </c>
      <c r="BJ3173">
        <f>BH3173*($F$25+($C$16+$C$17+IF($C$13="single",1.5,3)+3)/12)</f>
        <v>0</v>
      </c>
      <c r="BK3173">
        <f>BJ3173-BA3173</f>
        <v>0</v>
      </c>
      <c r="BL3173" cm="1">
        <f t="array" ref="BL3173">IFERROR(IF(BK3173&lt;0,0,BK3173/($AU$3110-INDEX(hd_off,MATCH(BT3173,hd_mark,0),0)/12)),0)</f>
        <v>0</v>
      </c>
      <c r="BM3173">
        <f>MAX($F$25,$BF$3110)/$Q$3124</f>
        <v>0.29920977011494249</v>
      </c>
      <c r="BN3173">
        <f t="shared" si="1959"/>
        <v>1</v>
      </c>
      <c r="BO3173" cm="1">
        <f t="array" ref="BO3173">IFERROR(INDEX(sheath_ecap_asd,MATCH(BS3173,sheath_mark,0),0)*BN3173,0)</f>
        <v>0</v>
      </c>
      <c r="BP3173" cm="1">
        <f t="array" ref="BP3173">IFERROR(INDEX(sheath_wcap_asd,MATCH(BS3173,sheath_mark,0),0)*BN3173,0)</f>
        <v>0</v>
      </c>
      <c r="BQ3173" cm="1">
        <f t="array" ref="BQ3173">IFERROR(INDEX(hd_cap,MATCH(BT3173,hd_mark,0),0),0)</f>
        <v>0</v>
      </c>
      <c r="BS3173" s="19"/>
      <c r="BT3173" s="19"/>
      <c r="BU3173" s="100"/>
    </row>
    <row r="3174" x14ac:dyDescent="0.25">
      <c r="P3174" s="93"/>
      <c r="AR3174" s="100"/>
      <c r="AS3174" s="93"/>
      <c r="BU3174" s="100"/>
    </row>
    <row r="3175" x14ac:dyDescent="0.25">
      <c r="P3175" s="93"/>
      <c r="Q3175" s="110" t="str">
        <f>$Q$3111</f>
        <v>A.10</v>
      </c>
      <c r="R3175" t="str">
        <f>$Q$3093</f>
        <v>L2</v>
      </c>
      <c r="S3175">
        <f>$E$21</f>
        <v>10.6875</v>
      </c>
      <c r="T3175" cm="1">
        <f t="array" ref="T3175">IFERROR(IF(S3175=0,0,(INDEX($C$33:$C$38,MATCH($W$3111,$B$33:$B$38,0),0)*(S3179+$X$3111)+$T$3111*COUNTIF(S3175:S3178,"&gt;0")*$C$32+$V$3111*$C$31)*$R$3111),0)</f>
        <v>0</v>
      </c>
      <c r="U3175">
        <f>IF(S3175=0,0,-(COUNTIF(S3175:S3178,"&gt;0")*$T$3111*$C$32+$V$3111*$C$31)*$H$27*$R$3111)</f>
        <v>0</v>
      </c>
      <c r="V3175">
        <f>IF(S3175=0,0,$V$3111*$H$26*$R$3111)</f>
        <v>0</v>
      </c>
      <c r="W3175">
        <f>(0.6*T3175+0.7*U3175)*$R$3111/2</f>
        <v>0</v>
      </c>
      <c r="X3175">
        <f>(0.6*T3175+0.6*V3175)*$R$3111/2</f>
        <v>0</v>
      </c>
      <c r="Z3175">
        <f>IF(S3175=0,0,$AD$3111*$AP$3093)</f>
        <v>0</v>
      </c>
      <c r="AA3175">
        <f>IFERROR(Z3175/$R$3111,0)</f>
        <v>0</v>
      </c>
      <c r="AB3175">
        <f>Z3175*($F$21+IF($F$21=0,0,($C$14+$C$15+IF($C$13="single",1.5,3)+3)/12))</f>
        <v>0</v>
      </c>
      <c r="AC3175">
        <f>AB3175-W3175</f>
        <v>0</v>
      </c>
      <c r="AD3175" cm="1">
        <f t="array" ref="AD3175">IFERROR(IF(AC3175&lt;0,0,AC3175/($R$3111-INDEX(hd_off,MATCH(AQ3175,hd_mark,0),0)/12)),0)</f>
        <v>0</v>
      </c>
      <c r="AE3175">
        <f>IF(S3175=0,0,$AD$3111*$AM$3093)</f>
        <v>0</v>
      </c>
      <c r="AF3175">
        <f>IFERROR(AE3175/$R$3111,0)</f>
        <v>0</v>
      </c>
      <c r="AG3175">
        <f>AE3175*($F$21+IF($F$21=0,0,($C$14+$C$15+IF($C$13="single",1.5,3)+3)/12))</f>
        <v>0</v>
      </c>
      <c r="AH3175">
        <f>AG3175-X3175</f>
        <v>0</v>
      </c>
      <c r="AI3175" cm="1">
        <f t="array" ref="AI3175">IFERROR(IF(AH3175&lt;0,0,AH3175/($R$3111-INDEX(hd_off,MATCH(AQ3175,hd_mark,0),0)/12)),0)</f>
        <v>0</v>
      </c>
      <c r="AJ3175">
        <f>MAX($F$21,$Y$3111)/$Q$3124</f>
        <v>0.30172413793103448</v>
      </c>
      <c r="AK3175">
        <f>IF(AJ3175=0,0,IF(AJ3175&gt;2,1.25-0.125*AJ3175,1))</f>
        <v>1</v>
      </c>
      <c r="AL3175" cm="1">
        <f t="array" ref="AL3175">IFERROR(INDEX(sheath_ecap_asd,MATCH(AP3175,sheath_mark,0),0)*AK3175,0)</f>
        <v>0</v>
      </c>
      <c r="AM3175" cm="1">
        <f t="array" ref="AM3175">IFERROR(INDEX(sheath_wcap_asd,MATCH(AP3175,sheath_mark,0),0)*AK3175,0)</f>
        <v>0</v>
      </c>
      <c r="AN3175" cm="1">
        <f t="array" ref="AN3175">IFERROR(INDEX(hd_cap,MATCH(AQ3175,hd_mark,0),0),0)</f>
        <v>0</v>
      </c>
      <c r="AP3175" s="19"/>
      <c r="AQ3175" s="19"/>
      <c r="AR3175" s="100"/>
      <c r="AS3175" s="93"/>
      <c r="AT3175" s="110" t="str">
        <f>$AT$3111</f>
        <v>1.10</v>
      </c>
      <c r="AU3175" t="str">
        <f>$Q$3093</f>
        <v>L2</v>
      </c>
      <c r="AV3175">
        <f>$E$21</f>
        <v>10.6875</v>
      </c>
      <c r="AW3175" cm="1">
        <f t="array" ref="AW3175">IFERROR(IF(AV3175=0,0,(INDEX($C$33:$C$38,MATCH($AZ$3111,$B$33:$B$38,0),0)*(AV3179+$BA$3111)+$AW$3111*COUNTIF(AV3175:AV3178,"&gt;0")*$C$32+$AY$3111*$C$31)*$AU$3111),0)</f>
        <v>0</v>
      </c>
      <c r="AX3175">
        <f>IF(AV3175=0,0,-(COUNTIF(AV3175:AV3178,"&gt;0")*$AW$3111*$C$32+$AY$3111*$C$31)*$H$27*$AU$3111)</f>
        <v>0</v>
      </c>
      <c r="AY3175">
        <f>IF(AV3175=0,0,$AY$3111*$H$26*$AU$3111)</f>
        <v>0</v>
      </c>
      <c r="AZ3175">
        <f>(0.6*AW3175+0.7*AX3175)*$AU$3111/2</f>
        <v>0</v>
      </c>
      <c r="BA3175">
        <f>(0.6*AW3175+0.6*AY3175)*$AU$3111/2</f>
        <v>0</v>
      </c>
      <c r="BC3175">
        <f>IF(AV3175=0,0,$BG$3111*$AP$3093)</f>
        <v>0</v>
      </c>
      <c r="BD3175">
        <f>IFERROR(BC3175/$AU$3111,0)</f>
        <v>0</v>
      </c>
      <c r="BE3175">
        <f>BC3175*($F$21+IF($F$21=0,0,($C$14+$C$15+IF($C$13="single",1.5,3)+3)/12))</f>
        <v>0</v>
      </c>
      <c r="BF3175">
        <f>BE3175-AZ3175</f>
        <v>0</v>
      </c>
      <c r="BG3175" cm="1">
        <f t="array" ref="BG3175">IFERROR(IF(BF3175&lt;0,0,BF3175/($AU$3111-INDEX(hd_off,MATCH(BT3175,hd_mark,0),0)/12)),0)</f>
        <v>0</v>
      </c>
      <c r="BH3175">
        <f>IF(AV3175=0,0,$BG$3111*$AM$3093)</f>
        <v>0</v>
      </c>
      <c r="BI3175">
        <f>IFERROR(BH3175/$AU$3111,0)</f>
        <v>0</v>
      </c>
      <c r="BJ3175">
        <f>BH3175*($F$21+IF($F$21=0,0,($C$14+$C$15+IF($C$13="single",1.5,3)+3)/12))</f>
        <v>0</v>
      </c>
      <c r="BK3175">
        <f>BJ3175-BA3175</f>
        <v>0</v>
      </c>
      <c r="BL3175" cm="1">
        <f t="array" ref="BL3175">IFERROR(IF(BK3175&lt;0,0,BK3175/($AU$3111-INDEX(hd_off,MATCH(BT3175,hd_mark,0),0)/12)),0)</f>
        <v>0</v>
      </c>
      <c r="BM3175">
        <f>MAX($F$21,$BB$3111)/$Q$3124</f>
        <v>0.30172413793103448</v>
      </c>
      <c r="BN3175">
        <f>IF(BM3175=0,0,IF(BM3175&gt;2,1.25-0.125*BM3175,1))</f>
        <v>1</v>
      </c>
      <c r="BO3175" cm="1">
        <f t="array" ref="BO3175">IFERROR(INDEX(sheath_ecap_asd,MATCH(BS3175,sheath_mark,0),0)*BN3175,0)</f>
        <v>0</v>
      </c>
      <c r="BP3175" cm="1">
        <f t="array" ref="BP3175">IFERROR(INDEX(sheath_wcap_asd,MATCH(BS3175,sheath_mark,0),0)*BN3175,0)</f>
        <v>0</v>
      </c>
      <c r="BQ3175" cm="1">
        <f t="array" ref="BQ3175">IFERROR(INDEX(hd_cap,MATCH(BT3175,hd_mark,0),0),0)</f>
        <v>0</v>
      </c>
      <c r="BS3175" s="19"/>
      <c r="BT3175" s="19"/>
      <c r="BU3175" s="100"/>
    </row>
    <row r="3176" x14ac:dyDescent="0.25">
      <c r="P3176" s="93"/>
      <c r="Q3176" s="109"/>
      <c r="R3176" t="str">
        <f>$Q$3094</f>
        <v>L3</v>
      </c>
      <c r="S3176">
        <f>$E$22</f>
        <v>21.375</v>
      </c>
      <c r="T3176" cm="1">
        <f t="array" ref="T3176">IFERROR(IF(S3176=0,0,(INDEX($C$33:$C$38,MATCH($W$3111,$B$33:$B$38,0),0)*(S3179+$X$3111)+$T$3111*COUNTIF(S3176:S3178,"&gt;0")*$C$32+$V$3111*$C$31)*$R$3111),0)</f>
        <v>0</v>
      </c>
      <c r="U3176">
        <f>IF(S3176=0,0,-(COUNTIF(S3176:S3178,"&gt;0")*$T$3111*$C$32+$V$3111*$C$31)*$H$27*$R$3111)</f>
        <v>0</v>
      </c>
      <c r="V3176">
        <f>IF(S3176=0,0,$V$3111*$H$26*$R$3111)</f>
        <v>0</v>
      </c>
      <c r="W3176">
        <f>(0.6*T3176+0.7*U3176)*$R$3111/2</f>
        <v>0</v>
      </c>
      <c r="X3176">
        <f>T3176*$R$3111/2</f>
        <v>0</v>
      </c>
      <c r="Z3176">
        <f>IF(S3176=0,0,$AD$3111*$AP$3094)</f>
        <v>0</v>
      </c>
      <c r="AA3176">
        <f>IFERROR(Z3176/$R$3111,0)</f>
        <v>0</v>
      </c>
      <c r="AB3176">
        <f>Z3176*($F$22+IF($F$22=0,0,($C$14+$C$15+IF($C$13="single",1.5,3)+3)/12))</f>
        <v>0</v>
      </c>
      <c r="AC3176">
        <f>AB3176-W3176</f>
        <v>0</v>
      </c>
      <c r="AD3176" cm="1">
        <f t="array" ref="AD3176">IFERROR(IF(AC3176&lt;0,0,AC3176/($R$3111-INDEX(hd_off,MATCH(AQ3176,hd_mark,0),0)/12)),0)</f>
        <v>0</v>
      </c>
      <c r="AE3176">
        <f>IF(S3176=0,0,$AD$3111*$AM$3094)</f>
        <v>0</v>
      </c>
      <c r="AF3176">
        <f>IFERROR(AE3176/$R$3111,0)</f>
        <v>0</v>
      </c>
      <c r="AG3176">
        <f>AE3176*($F$22+IF($F$22=0,0,($C$14+$C$15+IF($C$13="single",1.5,3)+3)/12))</f>
        <v>0</v>
      </c>
      <c r="AH3176">
        <f>AG3176-X3176</f>
        <v>0</v>
      </c>
      <c r="AI3176" cm="1">
        <f t="array" ref="AI3176">IFERROR(IF(AH3176&lt;0,0,AH3176/($R$3111-INDEX(hd_off,MATCH(AQ3176,hd_mark,0),0)/12)),0)</f>
        <v>0</v>
      </c>
      <c r="AJ3176">
        <f>MAX($F$22,$Z$3111)/$Q$3124</f>
        <v>0.30172413793103448</v>
      </c>
      <c r="AK3176">
        <f t="shared" ref="AK3176:AK3179" si="1960">IF(AJ3176=0,0,IF(AJ3176&gt;2,1.25-0.125*AJ3176,1))</f>
        <v>1</v>
      </c>
      <c r="AL3176" cm="1">
        <f t="array" ref="AL3176">IFERROR(INDEX(sheath_ecap_asd,MATCH(AP3176,sheath_mark,0),0)*AK3176,0)</f>
        <v>0</v>
      </c>
      <c r="AM3176" cm="1">
        <f t="array" ref="AM3176">IFERROR(INDEX(sheath_wcap_asd,MATCH(AP3176,sheath_mark,0),0)*AK3176,0)</f>
        <v>0</v>
      </c>
      <c r="AN3176" cm="1">
        <f t="array" ref="AN3176">IFERROR(INDEX(hd_cap,MATCH(AQ3176,hd_mark,0),0),0)</f>
        <v>0</v>
      </c>
      <c r="AP3176" s="19"/>
      <c r="AQ3176" s="19"/>
      <c r="AR3176" s="100"/>
      <c r="AS3176" s="93"/>
      <c r="AT3176" s="109"/>
      <c r="AU3176" t="str">
        <f>$Q$3094</f>
        <v>L3</v>
      </c>
      <c r="AV3176">
        <f>$E$22</f>
        <v>21.375</v>
      </c>
      <c r="AW3176" cm="1">
        <f t="array" ref="AW3176">IFERROR(IF(AV3176=0,0,(INDEX($C$33:$C$38,MATCH($AZ$3111,$B$33:$B$38,0),0)*(AV3179+$BA$3111)+$AW$3111*COUNTIF(AV3176:AV3178,"&gt;0")*$C$32+$AY$3111*$C$31)*$AU$3111),0)</f>
        <v>0</v>
      </c>
      <c r="AX3176">
        <f>IF(AV3176=0,0,-(COUNTIF(AV3176:AV3178,"&gt;0")*$AW$3111*$C$32+$AY$3111*$C$31)*$H$27*$AU$3111)</f>
        <v>0</v>
      </c>
      <c r="AY3176">
        <f>IF(AV3176=0,0,$AY$3111*$H$26*$AU$3111)</f>
        <v>0</v>
      </c>
      <c r="AZ3176">
        <f>(0.6*AW3176+0.7*AX3176)*$AU$3111/2</f>
        <v>0</v>
      </c>
      <c r="BA3176">
        <f>AW3176*$AU$3111/2</f>
        <v>0</v>
      </c>
      <c r="BC3176">
        <f>IF(AV3176=0,0,$BG$3111*$AP$3094)</f>
        <v>0</v>
      </c>
      <c r="BD3176">
        <f>IFERROR(BC3176/$AU$3111,0)</f>
        <v>0</v>
      </c>
      <c r="BE3176">
        <f>BC3176*($F$22+IF($F$22=0,0,($C$14+$C$15+IF($C$13="single",1.5,3)+3)/12))</f>
        <v>0</v>
      </c>
      <c r="BF3176">
        <f>BE3176-AZ3176</f>
        <v>0</v>
      </c>
      <c r="BG3176" cm="1">
        <f t="array" ref="BG3176">IFERROR(IF(BF3176&lt;0,0,BF3176/($AU$3111-INDEX(hd_off,MATCH(BT3176,hd_mark,0),0)/12)),0)</f>
        <v>0</v>
      </c>
      <c r="BH3176">
        <f>IF(AV3176=0,0,$BG$3111*$AM$3094)</f>
        <v>0</v>
      </c>
      <c r="BI3176">
        <f>IFERROR(BH3176/$AU$3111,0)</f>
        <v>0</v>
      </c>
      <c r="BJ3176">
        <f>BH3176*($F$22+IF($F$22=0,0,($C$14+$C$15+IF($C$13="single",1.5,3)+3)/12))</f>
        <v>0</v>
      </c>
      <c r="BK3176">
        <f>BJ3176-BA3176</f>
        <v>0</v>
      </c>
      <c r="BL3176" cm="1">
        <f t="array" ref="BL3176">IFERROR(IF(BK3176&lt;0,0,BK3176/($AU$3111-INDEX(hd_off,MATCH(BT3176,hd_mark,0),0)/12)),0)</f>
        <v>0</v>
      </c>
      <c r="BM3176">
        <f>MAX($F$22,$BC$3111)/$Q$3124</f>
        <v>0.30172413793103448</v>
      </c>
      <c r="BN3176">
        <f t="shared" ref="BN3176:BN3179" si="1961">IF(BM3176=0,0,IF(BM3176&gt;2,1.25-0.125*BM3176,1))</f>
        <v>1</v>
      </c>
      <c r="BO3176" cm="1">
        <f t="array" ref="BO3176">IFERROR(INDEX(sheath_ecap_asd,MATCH(BS3176,sheath_mark,0),0)*BN3176,0)</f>
        <v>0</v>
      </c>
      <c r="BP3176" cm="1">
        <f t="array" ref="BP3176">IFERROR(INDEX(sheath_wcap_asd,MATCH(BS3176,sheath_mark,0),0)*BN3176,0)</f>
        <v>0</v>
      </c>
      <c r="BQ3176" cm="1">
        <f t="array" ref="BQ3176">IFERROR(INDEX(hd_cap,MATCH(BT3176,hd_mark,0),0),0)</f>
        <v>0</v>
      </c>
      <c r="BS3176" s="19"/>
      <c r="BT3176" s="19"/>
      <c r="BU3176" s="100"/>
    </row>
    <row r="3177" x14ac:dyDescent="0.25">
      <c r="P3177" s="93"/>
      <c r="Q3177" s="109" t="s">
        <v>491</v>
      </c>
      <c r="R3177" t="str">
        <f>$Q$3095</f>
        <v>L4</v>
      </c>
      <c r="S3177">
        <f>$E$23</f>
        <v>0</v>
      </c>
      <c r="T3177" cm="1">
        <f t="array" ref="T3177">IFERROR(IF(S3177=0,0,(INDEX($C$33:$C$38,MATCH($W$3111,$B$33:$B$38,0),0)*(S3179+$X$3111)+$T$3111*COUNTIF(S3177:S3178,"&gt;0")*$C$32+$V$3111*$C$31)*$R$3111),0)</f>
        <v>0</v>
      </c>
      <c r="U3177">
        <f>IF(S3177=0,0,-(COUNTIF(S3177:S3178,"&gt;0")*$T$3111*$C$32+$V$3111*$C$31)*$H$27*$R$3111)</f>
        <v>0</v>
      </c>
      <c r="V3177">
        <f>IF(S3177=0,0,$V$3111*$H$26*$R$3111)</f>
        <v>0</v>
      </c>
      <c r="W3177">
        <f>(0.6*T3177+0.7*U3177)*$R$3111/2</f>
        <v>0</v>
      </c>
      <c r="X3177">
        <f>T3177*$R$3111/2</f>
        <v>0</v>
      </c>
      <c r="Z3177">
        <f>IF(S3177=0,0,$AD$3111*$AP$3095)</f>
        <v>0</v>
      </c>
      <c r="AA3177">
        <f>IFERROR(Z3177/$R$3111,0)</f>
        <v>0</v>
      </c>
      <c r="AB3177">
        <f>Z3177*($F$23+IF($F$23=0,0,($C$14+$C$15+IF($C$13="single",1.5,3)+3)/12))</f>
        <v>0</v>
      </c>
      <c r="AC3177">
        <f>AB3177-W3177</f>
        <v>0</v>
      </c>
      <c r="AD3177" cm="1">
        <f t="array" ref="AD3177">IFERROR(IF(AC3177&lt;0,0,AC3177/($R$3111-INDEX(hd_off,MATCH(AQ3177,hd_mark,0),0)/12)),0)</f>
        <v>0</v>
      </c>
      <c r="AE3177">
        <f>IF(S3177=0,0,$AD$3111*$AM$3095)</f>
        <v>0</v>
      </c>
      <c r="AF3177">
        <f>IFERROR(AE3177/$R$3111,0)</f>
        <v>0</v>
      </c>
      <c r="AG3177">
        <f>AE3177*($F$23+IF($F$23=0,0,($C$14+$C$15+IF($C$13="single",1.5,3)+3)/12))</f>
        <v>0</v>
      </c>
      <c r="AH3177">
        <f>AG3177-X3177</f>
        <v>0</v>
      </c>
      <c r="AI3177" cm="1">
        <f t="array" ref="AI3177">IFERROR(IF(AH3177&lt;0,0,AH3177/($R$3111-INDEX(hd_off,MATCH(AQ3177,hd_mark,0),0)/12)),0)</f>
        <v>0</v>
      </c>
      <c r="AJ3177">
        <f>MAX($F$23,$AA$3111)/$Q$3124</f>
        <v>0</v>
      </c>
      <c r="AK3177">
        <f t="shared" si="1960"/>
        <v>0</v>
      </c>
      <c r="AL3177" cm="1">
        <f t="array" ref="AL3177">IFERROR(INDEX(sheath_ecap_asd,MATCH(AP3177,sheath_mark,0),0)*AK3177,0)</f>
        <v>0</v>
      </c>
      <c r="AM3177" cm="1">
        <f t="array" ref="AM3177">IFERROR(INDEX(sheath_wcap_asd,MATCH(AP3177,sheath_mark,0),0)*AK3177,0)</f>
        <v>0</v>
      </c>
      <c r="AN3177" cm="1">
        <f t="array" ref="AN3177">IFERROR(INDEX(hd_cap,MATCH(AQ3177,hd_mark,0),0),0)</f>
        <v>0</v>
      </c>
      <c r="AP3177" s="19"/>
      <c r="AQ3177" s="19"/>
      <c r="AR3177" s="100"/>
      <c r="AS3177" s="93"/>
      <c r="AT3177" s="109" t="s">
        <v>491</v>
      </c>
      <c r="AU3177" t="str">
        <f>$Q$3095</f>
        <v>L4</v>
      </c>
      <c r="AV3177">
        <f>$E$23</f>
        <v>0</v>
      </c>
      <c r="AW3177" cm="1">
        <f t="array" ref="AW3177">IFERROR(IF(AV3177=0,0,(INDEX($C$33:$C$38,MATCH($AZ$3111,$B$33:$B$38,0),0)*(AV3179+$BA$3111)+$AW$3111*COUNTIF(AV3177:AV3178,"&gt;0")*$C$32+$AY$3111*$C$31)*$AU$3111),0)</f>
        <v>0</v>
      </c>
      <c r="AX3177">
        <f>IF(AV3177=0,0,-(COUNTIF(AV3177:AV3178,"&gt;0")*$AW$3111*$C$32+$AY$3111*$C$31)*$H$27*$AU$3111)</f>
        <v>0</v>
      </c>
      <c r="AY3177">
        <f>IF(AV3177=0,0,$AY$3111*$H$26*$AU$3111)</f>
        <v>0</v>
      </c>
      <c r="AZ3177">
        <f>(0.6*AW3177+0.7*AX3177)*$AU$3111/2</f>
        <v>0</v>
      </c>
      <c r="BA3177">
        <f>AW3177*$AU$3111/2</f>
        <v>0</v>
      </c>
      <c r="BC3177">
        <f>IF(AV3177=0,0,$BG$3111*$AP$3095)</f>
        <v>0</v>
      </c>
      <c r="BD3177">
        <f>IFERROR(BC3177/$AU$3111,0)</f>
        <v>0</v>
      </c>
      <c r="BE3177">
        <f>BC3177*($F$23+IF($F$23=0,0,($C$14+$C$15+IF($C$13="single",1.5,3)+3)/12))</f>
        <v>0</v>
      </c>
      <c r="BF3177">
        <f>BE3177-AZ3177</f>
        <v>0</v>
      </c>
      <c r="BG3177" cm="1">
        <f t="array" ref="BG3177">IFERROR(IF(BF3177&lt;0,0,BF3177/($AU$3111-INDEX(hd_off,MATCH(BT3177,hd_mark,0),0)/12)),0)</f>
        <v>0</v>
      </c>
      <c r="BH3177">
        <f>IF(AV3177=0,0,$BG$3111*$AM$3095)</f>
        <v>0</v>
      </c>
      <c r="BI3177">
        <f>IFERROR(BH3177/$AU$3111,0)</f>
        <v>0</v>
      </c>
      <c r="BJ3177">
        <f>BH3177*($F$23+IF($F$23=0,0,($C$14+$C$15+IF($C$13="single",1.5,3)+3)/12))</f>
        <v>0</v>
      </c>
      <c r="BK3177">
        <f>BJ3177-BA3177</f>
        <v>0</v>
      </c>
      <c r="BL3177" cm="1">
        <f t="array" ref="BL3177">IFERROR(IF(BK3177&lt;0,0,BK3177/($AU$3111-INDEX(hd_off,MATCH(BT3177,hd_mark,0),0)/12)),0)</f>
        <v>0</v>
      </c>
      <c r="BM3177">
        <f>MAX($F$23,$BD$3111)/$Q$3124</f>
        <v>0</v>
      </c>
      <c r="BN3177">
        <f t="shared" si="1961"/>
        <v>0</v>
      </c>
      <c r="BO3177" cm="1">
        <f t="array" ref="BO3177">IFERROR(INDEX(sheath_ecap_asd,MATCH(BS3177,sheath_mark,0),0)*BN3177,0)</f>
        <v>0</v>
      </c>
      <c r="BP3177" cm="1">
        <f t="array" ref="BP3177">IFERROR(INDEX(sheath_wcap_asd,MATCH(BS3177,sheath_mark,0),0)*BN3177,0)</f>
        <v>0</v>
      </c>
      <c r="BQ3177" cm="1">
        <f t="array" ref="BQ3177">IFERROR(INDEX(hd_cap,MATCH(BT3177,hd_mark,0),0),0)</f>
        <v>0</v>
      </c>
      <c r="BS3177" s="19"/>
      <c r="BT3177" s="19"/>
      <c r="BU3177" s="100"/>
    </row>
    <row r="3178" x14ac:dyDescent="0.25">
      <c r="P3178" s="93"/>
      <c r="Q3178" s="111">
        <f>$R$3111</f>
        <v>0</v>
      </c>
      <c r="R3178" t="str">
        <f>$Q$3096</f>
        <v>L5</v>
      </c>
      <c r="S3178">
        <f>$E$24</f>
        <v>0</v>
      </c>
      <c r="T3178" cm="1">
        <f t="array" ref="T3178">IFERROR(IF(S3178=0,0,(INDEX($C$33:$C$38,MATCH($W$3111,$B$33:$B$38,0),0)*(S3179+$X$3111)+$T$3111*COUNTIF(S3178:S3178,"&gt;0")*$C$32+$V$3111*$C$31)*$R$3111),0)</f>
        <v>0</v>
      </c>
      <c r="U3178">
        <f>IF(S3178=0,0,-(COUNTIF(S3178:S3178,"&gt;0")*$T$3111*$C$32+$V$3111*$C$31)*$H$27*$R$3111)</f>
        <v>0</v>
      </c>
      <c r="V3178">
        <f>IF(S3178=0,0,$V$3111*$H$26*$R$3111)</f>
        <v>0</v>
      </c>
      <c r="W3178">
        <f>(0.6*T3178+0.7*U3178)*$R$3111/2</f>
        <v>0</v>
      </c>
      <c r="X3178">
        <f>T3178*$R$3111/2</f>
        <v>0</v>
      </c>
      <c r="Z3178">
        <f>IF(S3178=0,0,$AD$3111*$AP$3096)</f>
        <v>0</v>
      </c>
      <c r="AA3178">
        <f>IFERROR(Z3178/$R$3111,0)</f>
        <v>0</v>
      </c>
      <c r="AB3178">
        <f>Z3178*($F$24+IF($F$24=0,0,($C$14+$C$15+IF($C$13="single",1.5,3)+3)/12))</f>
        <v>0</v>
      </c>
      <c r="AC3178">
        <f>AB3178-W3178</f>
        <v>0</v>
      </c>
      <c r="AD3178" cm="1">
        <f t="array" ref="AD3178">IFERROR(IF(AC3178&lt;0,0,AC3178/($R$3111-INDEX(hd_off,MATCH(AQ3178,hd_mark,0),0)/12)),0)</f>
        <v>0</v>
      </c>
      <c r="AE3178">
        <f>IF(S3178=0,0,$AD$3111*$AM$3096)</f>
        <v>0</v>
      </c>
      <c r="AF3178">
        <f>IFERROR(AE3178/$R$3111,0)</f>
        <v>0</v>
      </c>
      <c r="AG3178">
        <f>AE3178*($F$24+IF($F$24=0,0,($C$14+$C$15+IF($C$13="single",1.5,3)+3)/12))</f>
        <v>0</v>
      </c>
      <c r="AH3178">
        <f>AG3178-X3178</f>
        <v>0</v>
      </c>
      <c r="AI3178" cm="1">
        <f t="array" ref="AI3178">IFERROR(IF(AH3178&lt;0,0,AH3178/($R$3111-INDEX(hd_off,MATCH(AQ3178,hd_mark,0),0)/12)),0)</f>
        <v>0</v>
      </c>
      <c r="AJ3178">
        <f>MAX($F$24,$AB$3111)/$Q$3124</f>
        <v>0</v>
      </c>
      <c r="AK3178">
        <f t="shared" si="1960"/>
        <v>0</v>
      </c>
      <c r="AL3178" cm="1">
        <f t="array" ref="AL3178">IFERROR(INDEX(sheath_ecap_asd,MATCH(AP3178,sheath_mark,0),0)*AK3178,0)</f>
        <v>0</v>
      </c>
      <c r="AM3178" cm="1">
        <f t="array" ref="AM3178">IFERROR(INDEX(sheath_wcap_asd,MATCH(AP3178,sheath_mark,0),0)*AK3178,0)</f>
        <v>0</v>
      </c>
      <c r="AN3178" cm="1">
        <f t="array" ref="AN3178">IFERROR(INDEX(hd_cap,MATCH(AQ3178,hd_mark,0),0),0)</f>
        <v>0</v>
      </c>
      <c r="AP3178" s="19"/>
      <c r="AQ3178" s="19"/>
      <c r="AR3178" s="100"/>
      <c r="AS3178" s="93"/>
      <c r="AT3178" s="111">
        <f>$R$3111</f>
        <v>0</v>
      </c>
      <c r="AU3178" t="str">
        <f>$Q$3096</f>
        <v>L5</v>
      </c>
      <c r="AV3178">
        <f>$E$24</f>
        <v>0</v>
      </c>
      <c r="AW3178" cm="1">
        <f t="array" ref="AW3178">IFERROR(IF(AV3178=0,0,(INDEX($C$33:$C$38,MATCH($AZ$3111,$B$33:$B$38,0),0)*(AV3179+$BA$3111)+$AW$3111*COUNTIF(AV3178:AV3178,"&gt;0")*$C$32+$AY$3111*$C$31)*$AU$3111),0)</f>
        <v>0</v>
      </c>
      <c r="AX3178">
        <f>IF(AV3178=0,0,-(COUNTIF(AV3178:AV3178,"&gt;0")*$AW$3111*$C$32+$AY$3111*$C$31)*$H$27*$AU$3111)</f>
        <v>0</v>
      </c>
      <c r="AY3178">
        <f>IF(AV3178=0,0,$AY$3111*$H$26*$AU$3111)</f>
        <v>0</v>
      </c>
      <c r="AZ3178">
        <f>(0.6*AW3178+0.7*AX3178)*$AU$3111/2</f>
        <v>0</v>
      </c>
      <c r="BA3178">
        <f>AW3178*$AU$3111/2</f>
        <v>0</v>
      </c>
      <c r="BC3178">
        <f>IF(AV3178=0,0,$BG$3111*$AP$3096)</f>
        <v>0</v>
      </c>
      <c r="BD3178">
        <f>IFERROR(BC3178/$AU$3111,0)</f>
        <v>0</v>
      </c>
      <c r="BE3178">
        <f>BC3178*($F$24+IF($F$24=0,0,($C$14+$C$15+IF($C$13="single",1.5,3)+3)/12))</f>
        <v>0</v>
      </c>
      <c r="BF3178">
        <f>BE3178-AZ3178</f>
        <v>0</v>
      </c>
      <c r="BG3178" cm="1">
        <f t="array" ref="BG3178">IFERROR(IF(BF3178&lt;0,0,BF3178/($AU$3111-INDEX(hd_off,MATCH(BT3178,hd_mark,0),0)/12)),0)</f>
        <v>0</v>
      </c>
      <c r="BH3178">
        <f>IF(AV3178=0,0,$BG$3111*$AM$3096)</f>
        <v>0</v>
      </c>
      <c r="BI3178">
        <f>IFERROR(BH3178/$AU$3111,0)</f>
        <v>0</v>
      </c>
      <c r="BJ3178">
        <f>BH3178*($F$24+IF($F$24=0,0,($C$14+$C$15+IF($C$13="single",1.5,3)+3)/12))</f>
        <v>0</v>
      </c>
      <c r="BK3178">
        <f>BJ3178-BA3178</f>
        <v>0</v>
      </c>
      <c r="BL3178" cm="1">
        <f t="array" ref="BL3178">IFERROR(IF(BK3178&lt;0,0,BK3178/($AU$3111-INDEX(hd_off,MATCH(BT3178,hd_mark,0),0)/12)),0)</f>
        <v>0</v>
      </c>
      <c r="BM3178">
        <f>MAX($F$24,$BE$3111)/$Q$3124</f>
        <v>0</v>
      </c>
      <c r="BN3178">
        <f t="shared" si="1961"/>
        <v>0</v>
      </c>
      <c r="BO3178" cm="1">
        <f t="array" ref="BO3178">IFERROR(INDEX(sheath_ecap_asd,MATCH(BS3178,sheath_mark,0),0)*BN3178,0)</f>
        <v>0</v>
      </c>
      <c r="BP3178" cm="1">
        <f t="array" ref="BP3178">IFERROR(INDEX(sheath_wcap_asd,MATCH(BS3178,sheath_mark,0),0)*BN3178,0)</f>
        <v>0</v>
      </c>
      <c r="BQ3178" cm="1">
        <f t="array" ref="BQ3178">IFERROR(INDEX(hd_cap,MATCH(BT3178,hd_mark,0),0),0)</f>
        <v>0</v>
      </c>
      <c r="BS3178" s="19"/>
      <c r="BT3178" s="19"/>
      <c r="BU3178" s="100"/>
    </row>
    <row r="3179" x14ac:dyDescent="0.25">
      <c r="P3179" s="93"/>
      <c r="Q3179" s="109"/>
      <c r="R3179" t="str">
        <f>$Q$3097</f>
        <v>Roof</v>
      </c>
      <c r="S3179">
        <f>$E$25</f>
        <v>33.171875</v>
      </c>
      <c r="T3179" cm="1">
        <f t="array" ref="T3179">IFERROR(IF(S3179=0,0,(INDEX($C$33:$C$38,MATCH($W$3111,$B$33:$B$38,0),0)*(S3179+$X$3111)+$V$3111*$C$31)*$R$3111),0)</f>
        <v>0</v>
      </c>
      <c r="U3179">
        <f>IF(S3179=0,0,-$V$3111*$C$31*$H$27*$R$3111)</f>
        <v>0</v>
      </c>
      <c r="V3179">
        <f>IF(S3179=0,0,$V$3111*$H$26*$R$3111)</f>
        <v>0</v>
      </c>
      <c r="W3179">
        <f>(0.6*T3179+0.7*U3179)*$R$3111/2</f>
        <v>0</v>
      </c>
      <c r="X3179">
        <f>T3179*$R$3111/2</f>
        <v>0</v>
      </c>
      <c r="Z3179">
        <f>IF(S3179=0,0,$AD$3111*$AP$3097)</f>
        <v>0</v>
      </c>
      <c r="AA3179">
        <f>IFERROR(Z3179/$R$3111,0)</f>
        <v>0</v>
      </c>
      <c r="AB3179">
        <f>Z3179*($F$25+($C$16+$C$17+IF($C$13="single",1.5,3)+3)/12)</f>
        <v>0</v>
      </c>
      <c r="AC3179">
        <f>AB3179-W3179</f>
        <v>0</v>
      </c>
      <c r="AD3179" cm="1">
        <f t="array" ref="AD3179">IFERROR(IF(AC3179&lt;0,0,AC3179/($R$3111-INDEX(hd_off,MATCH(AQ3179,hd_mark,0),0)/12)),0)</f>
        <v>0</v>
      </c>
      <c r="AE3179">
        <f>IF(S3179=0,0,$AD$3111*$AM$3097)</f>
        <v>0</v>
      </c>
      <c r="AF3179">
        <f>IFERROR(AE3179/$R$3111,0)</f>
        <v>0</v>
      </c>
      <c r="AG3179">
        <f>AE3179*($F$25+($C$16+$C$17+IF($C$13="single",1.5,3)+3)/12)</f>
        <v>0</v>
      </c>
      <c r="AH3179">
        <f>AG3179-X3179</f>
        <v>0</v>
      </c>
      <c r="AI3179" cm="1">
        <f t="array" ref="AI3179">IFERROR(IF(AH3179&lt;0,0,AH3179/($R$3111-INDEX(hd_off,MATCH(AQ3179,hd_mark,0),0)/12)),0)</f>
        <v>0</v>
      </c>
      <c r="AJ3179">
        <f>MAX($F$25,$AC$3111)/$Q$3124</f>
        <v>0.29920977011494249</v>
      </c>
      <c r="AK3179">
        <f t="shared" si="1960"/>
        <v>1</v>
      </c>
      <c r="AL3179" cm="1">
        <f t="array" ref="AL3179">IFERROR(INDEX(sheath_ecap_asd,MATCH(AP3179,sheath_mark,0),0)*AK3179,0)</f>
        <v>0</v>
      </c>
      <c r="AM3179" cm="1">
        <f t="array" ref="AM3179">IFERROR(INDEX(sheath_wcap_asd,MATCH(AP3179,sheath_mark,0),0)*AK3179,0)</f>
        <v>0</v>
      </c>
      <c r="AN3179" cm="1">
        <f t="array" ref="AN3179">IFERROR(INDEX(hd_cap,MATCH(AQ3179,hd_mark,0),0),0)</f>
        <v>0</v>
      </c>
      <c r="AP3179" s="19"/>
      <c r="AQ3179" s="19"/>
      <c r="AR3179" s="100"/>
      <c r="AS3179" s="93"/>
      <c r="AT3179" s="109"/>
      <c r="AU3179" t="str">
        <f>$Q$3097</f>
        <v>Roof</v>
      </c>
      <c r="AV3179">
        <f>$E$25</f>
        <v>33.171875</v>
      </c>
      <c r="AW3179" cm="1">
        <f t="array" ref="AW3179">IFERROR(IF(AV3179=0,0,(INDEX($C$33:$C$38,MATCH($AZ$3111,$B$33:$B$38,0),0)*(AV3179+$BA$3111)+$AY$3111*$C$31)*$AU$3111),0)</f>
        <v>0</v>
      </c>
      <c r="AX3179">
        <f>IF(AV3179=0,0,-$AY$3111*$C$31*$H$27*$AU$3111)</f>
        <v>0</v>
      </c>
      <c r="AY3179">
        <f>IF(AV3179=0,0,$AY$3111*$H$26*$AU$3111)</f>
        <v>0</v>
      </c>
      <c r="AZ3179">
        <f>(0.6*AW3179+0.7*AX3179)*$AU$3111/2</f>
        <v>0</v>
      </c>
      <c r="BA3179">
        <f>AW3179*$AU$3111/2</f>
        <v>0</v>
      </c>
      <c r="BC3179">
        <f>IF(AV3179=0,0,$BG$3111*$AP$3097)</f>
        <v>0</v>
      </c>
      <c r="BD3179">
        <f>IFERROR(BC3179/$AU$3111,0)</f>
        <v>0</v>
      </c>
      <c r="BE3179">
        <f>BC3179*($F$25+($C$16+$C$17+IF($C$13="single",1.5,3)+3)/12)</f>
        <v>0</v>
      </c>
      <c r="BF3179">
        <f>BE3179-AZ3179</f>
        <v>0</v>
      </c>
      <c r="BG3179" cm="1">
        <f t="array" ref="BG3179">IFERROR(IF(BF3179&lt;0,0,BF3179/($AU$3111-INDEX(hd_off,MATCH(BT3179,hd_mark,0),0)/12)),0)</f>
        <v>0</v>
      </c>
      <c r="BH3179">
        <f>IF(AV3179=0,0,$BG$3111*$AM$3097)</f>
        <v>0</v>
      </c>
      <c r="BI3179">
        <f>IFERROR(BH3179/$AU$3111,0)</f>
        <v>0</v>
      </c>
      <c r="BJ3179">
        <f>BH3179*($F$25+($C$16+$C$17+IF($C$13="single",1.5,3)+3)/12)</f>
        <v>0</v>
      </c>
      <c r="BK3179">
        <f>BJ3179-BA3179</f>
        <v>0</v>
      </c>
      <c r="BL3179" cm="1">
        <f t="array" ref="BL3179">IFERROR(IF(BK3179&lt;0,0,BK3179/($AU$3111-INDEX(hd_off,MATCH(BT3179,hd_mark,0),0)/12)),0)</f>
        <v>0</v>
      </c>
      <c r="BM3179">
        <f>MAX($F$25,$BF$3111)/$Q$3124</f>
        <v>0.29920977011494249</v>
      </c>
      <c r="BN3179">
        <f t="shared" si="1961"/>
        <v>1</v>
      </c>
      <c r="BO3179" cm="1">
        <f t="array" ref="BO3179">IFERROR(INDEX(sheath_ecap_asd,MATCH(BS3179,sheath_mark,0),0)*BN3179,0)</f>
        <v>0</v>
      </c>
      <c r="BP3179" cm="1">
        <f t="array" ref="BP3179">IFERROR(INDEX(sheath_wcap_asd,MATCH(BS3179,sheath_mark,0),0)*BN3179,0)</f>
        <v>0</v>
      </c>
      <c r="BQ3179" cm="1">
        <f t="array" ref="BQ3179">IFERROR(INDEX(hd_cap,MATCH(BT3179,hd_mark,0),0),0)</f>
        <v>0</v>
      </c>
      <c r="BS3179" s="19"/>
      <c r="BT3179" s="19"/>
      <c r="BU3179" s="100"/>
    </row>
    <row r="3180" x14ac:dyDescent="0.25">
      <c r="P3180" s="93"/>
      <c r="AR3180" s="100"/>
      <c r="AS3180" s="93"/>
      <c r="BU3180" s="100"/>
    </row>
    <row r="3181" x14ac:dyDescent="0.25">
      <c r="P3181" s="93"/>
      <c r="Q3181" s="110" t="str">
        <f>$Q$3112</f>
        <v>A.11</v>
      </c>
      <c r="R3181" t="str">
        <f>$Q$3093</f>
        <v>L2</v>
      </c>
      <c r="S3181">
        <f>$E$21</f>
        <v>10.6875</v>
      </c>
      <c r="T3181" cm="1">
        <f t="array" ref="T3181">IFERROR(IF(S3181=0,0,(INDEX($C$33:$C$38,MATCH($W$3112,$B$33:$B$38,0),0)*(S3185+$X$3112)+$T$3112*COUNTIF(S3181:S3184,"&gt;0")*$C$32+$V$3112*$C$31)*$R$3112),0)</f>
        <v>0</v>
      </c>
      <c r="U3181">
        <f>IF(S3181=0,0,-(COUNTIF(S3181:S3184,"&gt;0")*$T$3112*$C$32+$V$3112*$C$31)*$H$27*$R$3112)</f>
        <v>0</v>
      </c>
      <c r="V3181">
        <f>IF(S3181=0,0,$V$3112*$H$26*$R$3112)</f>
        <v>0</v>
      </c>
      <c r="W3181">
        <f>(0.6*T3181+0.7*U3181)*$R$3112/2</f>
        <v>0</v>
      </c>
      <c r="X3181">
        <f>(0.6*T3181+0.6*V3181)*$R$3112/2</f>
        <v>0</v>
      </c>
      <c r="Z3181">
        <f>IF(S3181=0,0,$AD$3112*$AP$3093)</f>
        <v>0</v>
      </c>
      <c r="AA3181">
        <f>IFERROR(Z3181/$R$3112,0)</f>
        <v>0</v>
      </c>
      <c r="AB3181">
        <f>Z3181*($F$21+IF($F$21=0,0,($C$14+$C$15+IF($C$13="single",1.5,3)+3)/12))</f>
        <v>0</v>
      </c>
      <c r="AC3181">
        <f>AB3181-W3181</f>
        <v>0</v>
      </c>
      <c r="AD3181" cm="1">
        <f t="array" ref="AD3181">IFERROR(IF(AC3181&lt;0,0,AC3181/($R$3112-INDEX(hd_off,MATCH(AQ3181,hd_mark,0),0)/12)),0)</f>
        <v>0</v>
      </c>
      <c r="AE3181">
        <f>IF(S3181=0,0,$AD$3112*$AM$3093)</f>
        <v>0</v>
      </c>
      <c r="AF3181">
        <f>IFERROR(AE3181/$R$3112,0)</f>
        <v>0</v>
      </c>
      <c r="AG3181">
        <f>AE3181*($F$21+IF($F$21=0,0,($C$14+$C$15+IF($C$13="single",1.5,3)+3)/12))</f>
        <v>0</v>
      </c>
      <c r="AH3181">
        <f>AG3181-X3181</f>
        <v>0</v>
      </c>
      <c r="AI3181" cm="1">
        <f t="array" ref="AI3181">IFERROR(IF(AH3181&lt;0,0,AH3181/($R$3112-INDEX(hd_off,MATCH(AQ3181,hd_mark,0),0)/12)),0)</f>
        <v>0</v>
      </c>
      <c r="AJ3181">
        <f>MAX($F$21,$Y$3112)/$Q$3124</f>
        <v>0.30172413793103448</v>
      </c>
      <c r="AK3181">
        <f>IF(AJ3181=0,0,IF(AJ3181&gt;2,1.25-0.125*AJ3181,1))</f>
        <v>1</v>
      </c>
      <c r="AL3181" cm="1">
        <f t="array" ref="AL3181">IFERROR(INDEX(sheath_ecap_asd,MATCH(AP3181,sheath_mark,0),0)*AK3181,0)</f>
        <v>0</v>
      </c>
      <c r="AM3181" cm="1">
        <f t="array" ref="AM3181">IFERROR(INDEX(sheath_wcap_asd,MATCH(AP3181,sheath_mark,0),0)*AK3181,0)</f>
        <v>0</v>
      </c>
      <c r="AN3181" cm="1">
        <f t="array" ref="AN3181">IFERROR(INDEX(hd_cap,MATCH(AQ3181,hd_mark,0),0),0)</f>
        <v>0</v>
      </c>
      <c r="AP3181" s="19"/>
      <c r="AQ3181" s="19"/>
      <c r="AR3181" s="100"/>
      <c r="AS3181" s="93"/>
      <c r="AT3181" s="110" t="str">
        <f>$AT$3112</f>
        <v>1.11</v>
      </c>
      <c r="AU3181" t="str">
        <f>$Q$3093</f>
        <v>L2</v>
      </c>
      <c r="AV3181">
        <f>$E$21</f>
        <v>10.6875</v>
      </c>
      <c r="AW3181" cm="1">
        <f t="array" ref="AW3181">IFERROR(IF(AV3181=0,0,(INDEX($C$33:$C$38,MATCH($AZ$3112,$B$33:$B$38,0),0)*(AV3185+$BA$3112)+$AW$3112*COUNTIF(AV3181:AV3184,"&gt;0")*$C$32+$AY$3112*$C$31)*$AU$3112),0)</f>
        <v>0</v>
      </c>
      <c r="AX3181">
        <f>IF(AV3181=0,0,-(COUNTIF(AV3181:AV3184,"&gt;0")*$AW$3112*$C$32+$AY$3112*$C$31)*$H$27*$AU$3112)</f>
        <v>0</v>
      </c>
      <c r="AY3181">
        <f>IF(AV3181=0,0,$AY$3112*$H$26*$AU$3112)</f>
        <v>0</v>
      </c>
      <c r="AZ3181">
        <f>(0.6*AW3181+0.7*AX3181)*$AU$3112/2</f>
        <v>0</v>
      </c>
      <c r="BA3181">
        <f>(0.6*AW3181+0.6*AY3181)*$AU$3112/2</f>
        <v>0</v>
      </c>
      <c r="BC3181">
        <f>IF(AV3181=0,0,$BG$3112*$AP$3093)</f>
        <v>0</v>
      </c>
      <c r="BD3181">
        <f>IFERROR(BC3181/$AU$3112,0)</f>
        <v>0</v>
      </c>
      <c r="BE3181">
        <f>BC3181*($F$21+IF($F$21=0,0,($C$14+$C$15+IF($C$13="single",1.5,3)+3)/12))</f>
        <v>0</v>
      </c>
      <c r="BF3181">
        <f>BE3181-AZ3181</f>
        <v>0</v>
      </c>
      <c r="BG3181" cm="1">
        <f t="array" ref="BG3181">IFERROR(IF(BF3181&lt;0,0,BF3181/($AU$3112-INDEX(hd_off,MATCH(BT3181,hd_mark,0),0)/12)),0)</f>
        <v>0</v>
      </c>
      <c r="BH3181">
        <f>IF(AV3181=0,0,$BG$3112*$AM$3093)</f>
        <v>0</v>
      </c>
      <c r="BI3181">
        <f>IFERROR(BH3181/$AU$3112,0)</f>
        <v>0</v>
      </c>
      <c r="BJ3181">
        <f>BH3181*($F$21+IF($F$21=0,0,($C$14+$C$15+IF($C$13="single",1.5,3)+3)/12))</f>
        <v>0</v>
      </c>
      <c r="BK3181">
        <f>BJ3181-BA3181</f>
        <v>0</v>
      </c>
      <c r="BL3181" cm="1">
        <f t="array" ref="BL3181">IFERROR(IF(BK3181&lt;0,0,BK3181/($AU$3112-INDEX(hd_off,MATCH(BT3181,hd_mark,0),0)/12)),0)</f>
        <v>0</v>
      </c>
      <c r="BM3181">
        <f>MAX($F$21,$BB$3112)/$Q$3124</f>
        <v>0.30172413793103448</v>
      </c>
      <c r="BN3181">
        <f>IF(BM3181=0,0,IF(BM3181&gt;2,1.25-0.125*BM3181,1))</f>
        <v>1</v>
      </c>
      <c r="BO3181" cm="1">
        <f t="array" ref="BO3181">IFERROR(INDEX(sheath_ecap_asd,MATCH(BS3181,sheath_mark,0),0)*BN3181,0)</f>
        <v>0</v>
      </c>
      <c r="BP3181" cm="1">
        <f t="array" ref="BP3181">IFERROR(INDEX(sheath_wcap_asd,MATCH(BS3181,sheath_mark,0),0)*BN3181,0)</f>
        <v>0</v>
      </c>
      <c r="BQ3181" cm="1">
        <f t="array" ref="BQ3181">IFERROR(INDEX(hd_cap,MATCH(BT3181,hd_mark,0),0),0)</f>
        <v>0</v>
      </c>
      <c r="BS3181" s="19"/>
      <c r="BT3181" s="19"/>
      <c r="BU3181" s="100"/>
    </row>
    <row r="3182" x14ac:dyDescent="0.25">
      <c r="P3182" s="93"/>
      <c r="Q3182" s="109"/>
      <c r="R3182" t="str">
        <f>$Q$3094</f>
        <v>L3</v>
      </c>
      <c r="S3182">
        <f>$E$22</f>
        <v>21.375</v>
      </c>
      <c r="T3182" cm="1">
        <f t="array" ref="T3182">IFERROR(IF(S3182=0,0,(INDEX($C$33:$C$38,MATCH($W$3112,$B$33:$B$38,0),0)*(S3185+$X$3112)+$T$3112*COUNTIF(S3182:S3184,"&gt;0")*$C$32+$V$3112*$C$31)*$R$3112),0)</f>
        <v>0</v>
      </c>
      <c r="U3182">
        <f>IF(S3182=0,0,-(COUNTIF(S3182:S3184,"&gt;0")*$T$3112*$C$32+$V$3112*$C$31)*$H$27*$R$3112)</f>
        <v>0</v>
      </c>
      <c r="V3182">
        <f>IF(S3182=0,0,$V$3112*$H$26*$R$3112)</f>
        <v>0</v>
      </c>
      <c r="W3182">
        <f>(0.6*T3182+0.7*U3182)*$R$3112/2</f>
        <v>0</v>
      </c>
      <c r="X3182">
        <f>T3182*$R$3112/2</f>
        <v>0</v>
      </c>
      <c r="Z3182">
        <f>IF(S3182=0,0,$AD$3112*$AP$3094)</f>
        <v>0</v>
      </c>
      <c r="AA3182">
        <f>IFERROR(Z3182/$R$3112,0)</f>
        <v>0</v>
      </c>
      <c r="AB3182">
        <f>Z3182*($F$22+IF($F$22=0,0,($C$14+$C$15+IF($C$13="single",1.5,3)+3)/12))</f>
        <v>0</v>
      </c>
      <c r="AC3182">
        <f>AB3182-W3182</f>
        <v>0</v>
      </c>
      <c r="AD3182" cm="1">
        <f t="array" ref="AD3182">IFERROR(IF(AC3182&lt;0,0,AC3182/($R$3112-INDEX(hd_off,MATCH(AQ3182,hd_mark,0),0)/12)),0)</f>
        <v>0</v>
      </c>
      <c r="AE3182">
        <f>IF(S3182=0,0,$AD$3112*$AM$3094)</f>
        <v>0</v>
      </c>
      <c r="AF3182">
        <f>IFERROR(AE3182/$R$3112,0)</f>
        <v>0</v>
      </c>
      <c r="AG3182">
        <f>AE3182*($F$22+IF($F$22=0,0,($C$14+$C$15+IF($C$13="single",1.5,3)+3)/12))</f>
        <v>0</v>
      </c>
      <c r="AH3182">
        <f>AG3182-X3182</f>
        <v>0</v>
      </c>
      <c r="AI3182" cm="1">
        <f t="array" ref="AI3182">IFERROR(IF(AH3182&lt;0,0,AH3182/($R$3112-INDEX(hd_off,MATCH(AQ3182,hd_mark,0),0)/12)),0)</f>
        <v>0</v>
      </c>
      <c r="AJ3182">
        <f>MAX($F$22,$Z$3112)/$Q$3124</f>
        <v>0.30172413793103448</v>
      </c>
      <c r="AK3182">
        <f t="shared" ref="AK3182:AK3185" si="1962">IF(AJ3182=0,0,IF(AJ3182&gt;2,1.25-0.125*AJ3182,1))</f>
        <v>1</v>
      </c>
      <c r="AL3182" cm="1">
        <f t="array" ref="AL3182">IFERROR(INDEX(sheath_ecap_asd,MATCH(AP3182,sheath_mark,0),0)*AK3182,0)</f>
        <v>0</v>
      </c>
      <c r="AM3182" cm="1">
        <f t="array" ref="AM3182">IFERROR(INDEX(sheath_wcap_asd,MATCH(AP3182,sheath_mark,0),0)*AK3182,0)</f>
        <v>0</v>
      </c>
      <c r="AN3182" cm="1">
        <f t="array" ref="AN3182">IFERROR(INDEX(hd_cap,MATCH(AQ3182,hd_mark,0),0),0)</f>
        <v>0</v>
      </c>
      <c r="AP3182" s="19"/>
      <c r="AQ3182" s="19"/>
      <c r="AR3182" s="100"/>
      <c r="AS3182" s="93"/>
      <c r="AT3182" s="109"/>
      <c r="AU3182" t="str">
        <f>$Q$3094</f>
        <v>L3</v>
      </c>
      <c r="AV3182">
        <f>$E$22</f>
        <v>21.375</v>
      </c>
      <c r="AW3182" cm="1">
        <f t="array" ref="AW3182">IFERROR(IF(AV3182=0,0,(INDEX($C$33:$C$38,MATCH($AZ$3112,$B$33:$B$38,0),0)*(AV3185+$BA$3112)+$AW$3112*COUNTIF(AV3182:AV3184,"&gt;0")*$C$32+$AY$3112*$C$31)*$AU$3112),0)</f>
        <v>0</v>
      </c>
      <c r="AX3182">
        <f>IF(AV3182=0,0,-(COUNTIF(AV3182:AV3184,"&gt;0")*$AW$3112*$C$32+$AY$3112*$C$31)*$H$27*$AU$3112)</f>
        <v>0</v>
      </c>
      <c r="AY3182">
        <f>IF(AV3182=0,0,$AY$3112*$H$26*$AU$3112)</f>
        <v>0</v>
      </c>
      <c r="AZ3182">
        <f>(0.6*AW3182+0.7*AX3182)*$AU$3112/2</f>
        <v>0</v>
      </c>
      <c r="BA3182">
        <f>AW3182*$AU$3112/2</f>
        <v>0</v>
      </c>
      <c r="BC3182">
        <f>IF(AV3182=0,0,$BG$3112*$AP$3094)</f>
        <v>0</v>
      </c>
      <c r="BD3182">
        <f>IFERROR(BC3182/$AU$3112,0)</f>
        <v>0</v>
      </c>
      <c r="BE3182">
        <f>BC3182*($F$22+IF($F$22=0,0,($C$14+$C$15+IF($C$13="single",1.5,3)+3)/12))</f>
        <v>0</v>
      </c>
      <c r="BF3182">
        <f>BE3182-AZ3182</f>
        <v>0</v>
      </c>
      <c r="BG3182" cm="1">
        <f t="array" ref="BG3182">IFERROR(IF(BF3182&lt;0,0,BF3182/($AU$3112-INDEX(hd_off,MATCH(BT3182,hd_mark,0),0)/12)),0)</f>
        <v>0</v>
      </c>
      <c r="BH3182">
        <f>IF(AV3182=0,0,$BG$3112*$AM$3094)</f>
        <v>0</v>
      </c>
      <c r="BI3182">
        <f>IFERROR(BH3182/$AU$3112,0)</f>
        <v>0</v>
      </c>
      <c r="BJ3182">
        <f>BH3182*($F$22+IF($F$22=0,0,($C$14+$C$15+IF($C$13="single",1.5,3)+3)/12))</f>
        <v>0</v>
      </c>
      <c r="BK3182">
        <f>BJ3182-BA3182</f>
        <v>0</v>
      </c>
      <c r="BL3182" cm="1">
        <f t="array" ref="BL3182">IFERROR(IF(BK3182&lt;0,0,BK3182/($AU$3112-INDEX(hd_off,MATCH(BT3182,hd_mark,0),0)/12)),0)</f>
        <v>0</v>
      </c>
      <c r="BM3182">
        <f>MAX($F$22,$BC$3112)/$Q$3124</f>
        <v>0.30172413793103448</v>
      </c>
      <c r="BN3182">
        <f t="shared" ref="BN3182:BN3185" si="1963">IF(BM3182=0,0,IF(BM3182&gt;2,1.25-0.125*BM3182,1))</f>
        <v>1</v>
      </c>
      <c r="BO3182" cm="1">
        <f t="array" ref="BO3182">IFERROR(INDEX(sheath_ecap_asd,MATCH(BS3182,sheath_mark,0),0)*BN3182,0)</f>
        <v>0</v>
      </c>
      <c r="BP3182" cm="1">
        <f t="array" ref="BP3182">IFERROR(INDEX(sheath_wcap_asd,MATCH(BS3182,sheath_mark,0),0)*BN3182,0)</f>
        <v>0</v>
      </c>
      <c r="BQ3182" cm="1">
        <f t="array" ref="BQ3182">IFERROR(INDEX(hd_cap,MATCH(BT3182,hd_mark,0),0),0)</f>
        <v>0</v>
      </c>
      <c r="BS3182" s="19"/>
      <c r="BT3182" s="19"/>
      <c r="BU3182" s="100"/>
    </row>
    <row r="3183" x14ac:dyDescent="0.25">
      <c r="P3183" s="93"/>
      <c r="Q3183" s="109" t="s">
        <v>491</v>
      </c>
      <c r="R3183" t="str">
        <f>$Q$3095</f>
        <v>L4</v>
      </c>
      <c r="S3183">
        <f>$E$23</f>
        <v>0</v>
      </c>
      <c r="T3183" cm="1">
        <f t="array" ref="T3183">IFERROR(IF(S3183=0,0,(INDEX($C$33:$C$38,MATCH($W$3112,$B$33:$B$38,0),0)*(S3185+$X$3112)+$T$3112*COUNTIF(S3183:S3184,"&gt;0")*$C$32+$V$3112*$C$31)*$R$3112),0)</f>
        <v>0</v>
      </c>
      <c r="U3183">
        <f>IF(S3183=0,0,-(COUNTIF(S3183:S3184,"&gt;0")*$T$3112*$C$32+$V$3112*$C$31)*$H$27*$R$3112)</f>
        <v>0</v>
      </c>
      <c r="V3183">
        <f>IF(S3183=0,0,$V$3112*$H$26*$R$3112)</f>
        <v>0</v>
      </c>
      <c r="W3183">
        <f>(0.6*T3183+0.7*U3183)*$R$3112/2</f>
        <v>0</v>
      </c>
      <c r="X3183">
        <f>T3183*$R$3112/2</f>
        <v>0</v>
      </c>
      <c r="Z3183">
        <f>IF(S3183=0,0,$AD$3112*$AP$3095)</f>
        <v>0</v>
      </c>
      <c r="AA3183">
        <f>IFERROR(Z3183/$R$3112,0)</f>
        <v>0</v>
      </c>
      <c r="AB3183">
        <f>Z3183*($F$23+IF($F$23=0,0,($C$14+$C$15+IF($C$13="single",1.5,3)+3)/12))</f>
        <v>0</v>
      </c>
      <c r="AC3183">
        <f>AB3183-W3183</f>
        <v>0</v>
      </c>
      <c r="AD3183" cm="1">
        <f t="array" ref="AD3183">IFERROR(IF(AC3183&lt;0,0,AC3183/($R$3112-INDEX(hd_off,MATCH(AQ3183,hd_mark,0),0)/12)),0)</f>
        <v>0</v>
      </c>
      <c r="AE3183">
        <f>IF(S3183=0,0,$AD$3112*$AM$3095)</f>
        <v>0</v>
      </c>
      <c r="AF3183">
        <f>IFERROR(AE3183/$R$3112,0)</f>
        <v>0</v>
      </c>
      <c r="AG3183">
        <f>AE3183*($F$23+IF($F$23=0,0,($C$14+$C$15+IF($C$13="single",1.5,3)+3)/12))</f>
        <v>0</v>
      </c>
      <c r="AH3183">
        <f>AG3183-X3183</f>
        <v>0</v>
      </c>
      <c r="AI3183" cm="1">
        <f t="array" ref="AI3183">IFERROR(IF(AH3183&lt;0,0,AH3183/($R$3112-INDEX(hd_off,MATCH(AQ3183,hd_mark,0),0)/12)),0)</f>
        <v>0</v>
      </c>
      <c r="AJ3183">
        <f>MAX($F$23,$AA$3112)/$Q$3124</f>
        <v>0</v>
      </c>
      <c r="AK3183">
        <f t="shared" si="1962"/>
        <v>0</v>
      </c>
      <c r="AL3183" cm="1">
        <f t="array" ref="AL3183">IFERROR(INDEX(sheath_ecap_asd,MATCH(AP3183,sheath_mark,0),0)*AK3183,0)</f>
        <v>0</v>
      </c>
      <c r="AM3183" cm="1">
        <f t="array" ref="AM3183">IFERROR(INDEX(sheath_wcap_asd,MATCH(AP3183,sheath_mark,0),0)*AK3183,0)</f>
        <v>0</v>
      </c>
      <c r="AN3183" cm="1">
        <f t="array" ref="AN3183">IFERROR(INDEX(hd_cap,MATCH(AQ3183,hd_mark,0),0),0)</f>
        <v>0</v>
      </c>
      <c r="AP3183" s="19"/>
      <c r="AQ3183" s="19"/>
      <c r="AR3183" s="100"/>
      <c r="AS3183" s="93"/>
      <c r="AT3183" s="109" t="s">
        <v>491</v>
      </c>
      <c r="AU3183" t="str">
        <f>$Q$3095</f>
        <v>L4</v>
      </c>
      <c r="AV3183">
        <f>$E$23</f>
        <v>0</v>
      </c>
      <c r="AW3183" cm="1">
        <f t="array" ref="AW3183">IFERROR(IF(AV3183=0,0,(INDEX($C$33:$C$38,MATCH($AZ$3112,$B$33:$B$38,0),0)*(AV3185+$BA$3112)+$AW$3112*COUNTIF(AV3183:AV3184,"&gt;0")*$C$32+$AY$3112*$C$31)*$AU$3112),0)</f>
        <v>0</v>
      </c>
      <c r="AX3183">
        <f>IF(AV3183=0,0,-(COUNTIF(AV3183:AV3184,"&gt;0")*$AW$3112*$C$32+$AY$3112*$C$31)*$H$27*$AU$3112)</f>
        <v>0</v>
      </c>
      <c r="AY3183">
        <f>IF(AV3183=0,0,$AY$3112*$H$26*$AU$3112)</f>
        <v>0</v>
      </c>
      <c r="AZ3183">
        <f>(0.6*AW3183+0.7*AX3183)*$AU$3112/2</f>
        <v>0</v>
      </c>
      <c r="BA3183">
        <f>AW3183*$AU$3112/2</f>
        <v>0</v>
      </c>
      <c r="BC3183">
        <f>IF(AV3183=0,0,$BG$3112*$AP$3095)</f>
        <v>0</v>
      </c>
      <c r="BD3183">
        <f>IFERROR(BC3183/$AU$3112,0)</f>
        <v>0</v>
      </c>
      <c r="BE3183">
        <f>BC3183*($F$23+IF($F$23=0,0,($C$14+$C$15+IF($C$13="single",1.5,3)+3)/12))</f>
        <v>0</v>
      </c>
      <c r="BF3183">
        <f>BE3183-AZ3183</f>
        <v>0</v>
      </c>
      <c r="BG3183" cm="1">
        <f t="array" ref="BG3183">IFERROR(IF(BF3183&lt;0,0,BF3183/($AU$3112-INDEX(hd_off,MATCH(BT3183,hd_mark,0),0)/12)),0)</f>
        <v>0</v>
      </c>
      <c r="BH3183">
        <f>IF(AV3183=0,0,$BG$3112*$AM$3095)</f>
        <v>0</v>
      </c>
      <c r="BI3183">
        <f>IFERROR(BH3183/$AU$3112,0)</f>
        <v>0</v>
      </c>
      <c r="BJ3183">
        <f>BH3183*($F$23+IF($F$23=0,0,($C$14+$C$15+IF($C$13="single",1.5,3)+3)/12))</f>
        <v>0</v>
      </c>
      <c r="BK3183">
        <f>BJ3183-BA3183</f>
        <v>0</v>
      </c>
      <c r="BL3183" cm="1">
        <f t="array" ref="BL3183">IFERROR(IF(BK3183&lt;0,0,BK3183/($AU$3112-INDEX(hd_off,MATCH(BT3183,hd_mark,0),0)/12)),0)</f>
        <v>0</v>
      </c>
      <c r="BM3183">
        <f>MAX($F$23,$BD$3112)/$Q$3124</f>
        <v>0</v>
      </c>
      <c r="BN3183">
        <f t="shared" si="1963"/>
        <v>0</v>
      </c>
      <c r="BO3183" cm="1">
        <f t="array" ref="BO3183">IFERROR(INDEX(sheath_ecap_asd,MATCH(BS3183,sheath_mark,0),0)*BN3183,0)</f>
        <v>0</v>
      </c>
      <c r="BP3183" cm="1">
        <f t="array" ref="BP3183">IFERROR(INDEX(sheath_wcap_asd,MATCH(BS3183,sheath_mark,0),0)*BN3183,0)</f>
        <v>0</v>
      </c>
      <c r="BQ3183" cm="1">
        <f t="array" ref="BQ3183">IFERROR(INDEX(hd_cap,MATCH(BT3183,hd_mark,0),0),0)</f>
        <v>0</v>
      </c>
      <c r="BS3183" s="19"/>
      <c r="BT3183" s="19"/>
      <c r="BU3183" s="100"/>
    </row>
    <row r="3184" x14ac:dyDescent="0.25">
      <c r="P3184" s="93"/>
      <c r="Q3184" s="111">
        <f>$R$3112</f>
        <v>0</v>
      </c>
      <c r="R3184" t="str">
        <f>$Q$3096</f>
        <v>L5</v>
      </c>
      <c r="S3184">
        <f>$E$24</f>
        <v>0</v>
      </c>
      <c r="T3184" cm="1">
        <f t="array" ref="T3184">IFERROR(IF(S3184=0,0,(INDEX($C$33:$C$38,MATCH($W$3112,$B$33:$B$38,0),0)*(S3185+$X$3112)+$T$3112*COUNTIF(S3184:S3184,"&gt;0")*$C$32+$V$3112*$C$31)*$R$3112),0)</f>
        <v>0</v>
      </c>
      <c r="U3184">
        <f>IF(S3184=0,0,-(COUNTIF(S3184:S3184,"&gt;0")*$T$3112*$C$32+$V$3112*$C$31)*$H$27*$R$3112)</f>
        <v>0</v>
      </c>
      <c r="V3184">
        <f>IF(S3184=0,0,$V$3112*$H$26*$R$3112)</f>
        <v>0</v>
      </c>
      <c r="W3184">
        <f>(0.6*T3184+0.7*U3184)*$R$3112/2</f>
        <v>0</v>
      </c>
      <c r="X3184">
        <f>T3184*$R$3112/2</f>
        <v>0</v>
      </c>
      <c r="Z3184">
        <f>IF(S3184=0,0,$AD$3112*$AP$3096)</f>
        <v>0</v>
      </c>
      <c r="AA3184">
        <f>IFERROR(Z3184/$R$3112,0)</f>
        <v>0</v>
      </c>
      <c r="AB3184">
        <f>Z3184*($F$24+IF($F$24=0,0,($C$14+$C$15+IF($C$13="single",1.5,3)+3)/12))</f>
        <v>0</v>
      </c>
      <c r="AC3184">
        <f>AB3184-W3184</f>
        <v>0</v>
      </c>
      <c r="AD3184" cm="1">
        <f t="array" ref="AD3184">IFERROR(IF(AC3184&lt;0,0,AC3184/($R$3112-INDEX(hd_off,MATCH(AQ3184,hd_mark,0),0)/12)),0)</f>
        <v>0</v>
      </c>
      <c r="AE3184">
        <f>IF(S3184=0,0,$AD$3112*$AM$3096)</f>
        <v>0</v>
      </c>
      <c r="AF3184">
        <f>IFERROR(AE3184/$R$3112,0)</f>
        <v>0</v>
      </c>
      <c r="AG3184">
        <f>AE3184*($F$24+IF($F$24=0,0,($C$14+$C$15+IF($C$13="single",1.5,3)+3)/12))</f>
        <v>0</v>
      </c>
      <c r="AH3184">
        <f>AG3184-X3184</f>
        <v>0</v>
      </c>
      <c r="AI3184" cm="1">
        <f t="array" ref="AI3184">IFERROR(IF(AH3184&lt;0,0,AH3184/($R$3112-INDEX(hd_off,MATCH(AQ3184,hd_mark,0),0)/12)),0)</f>
        <v>0</v>
      </c>
      <c r="AJ3184">
        <f>MAX($F$24,$AB$3112)/$Q$3124</f>
        <v>0</v>
      </c>
      <c r="AK3184">
        <f t="shared" si="1962"/>
        <v>0</v>
      </c>
      <c r="AL3184" cm="1">
        <f t="array" ref="AL3184">IFERROR(INDEX(sheath_ecap_asd,MATCH(AP3184,sheath_mark,0),0)*AK3184,0)</f>
        <v>0</v>
      </c>
      <c r="AM3184" cm="1">
        <f t="array" ref="AM3184">IFERROR(INDEX(sheath_wcap_asd,MATCH(AP3184,sheath_mark,0),0)*AK3184,0)</f>
        <v>0</v>
      </c>
      <c r="AN3184" cm="1">
        <f t="array" ref="AN3184">IFERROR(INDEX(hd_cap,MATCH(AQ3184,hd_mark,0),0),0)</f>
        <v>0</v>
      </c>
      <c r="AP3184" s="19"/>
      <c r="AQ3184" s="19"/>
      <c r="AR3184" s="100"/>
      <c r="AS3184" s="93"/>
      <c r="AT3184" s="111">
        <f>$R$3112</f>
        <v>0</v>
      </c>
      <c r="AU3184" t="str">
        <f>$Q$3096</f>
        <v>L5</v>
      </c>
      <c r="AV3184">
        <f>$E$24</f>
        <v>0</v>
      </c>
      <c r="AW3184" cm="1">
        <f t="array" ref="AW3184">IFERROR(IF(AV3184=0,0,(INDEX($C$33:$C$38,MATCH($AZ$3112,$B$33:$B$38,0),0)*(AV3185+$BA$3112)+$AW$3112*COUNTIF(AV3184:AV3184,"&gt;0")*$C$32+$AY$3112*$C$31)*$AU$3112),0)</f>
        <v>0</v>
      </c>
      <c r="AX3184">
        <f>IF(AV3184=0,0,-(COUNTIF(AV3184:AV3184,"&gt;0")*$AW$3112*$C$32+$AY$3112*$C$31)*$H$27*$AU$3112)</f>
        <v>0</v>
      </c>
      <c r="AY3184">
        <f>IF(AV3184=0,0,$AY$3112*$H$26*$AU$3112)</f>
        <v>0</v>
      </c>
      <c r="AZ3184">
        <f>(0.6*AW3184+0.7*AX3184)*$AU$3112/2</f>
        <v>0</v>
      </c>
      <c r="BA3184">
        <f>AW3184*$AU$3112/2</f>
        <v>0</v>
      </c>
      <c r="BC3184">
        <f>IF(AV3184=0,0,$BG$3112*$AP$3096)</f>
        <v>0</v>
      </c>
      <c r="BD3184">
        <f>IFERROR(BC3184/$AU$3112,0)</f>
        <v>0</v>
      </c>
      <c r="BE3184">
        <f>BC3184*($F$24+IF($F$24=0,0,($C$14+$C$15+IF($C$13="single",1.5,3)+3)/12))</f>
        <v>0</v>
      </c>
      <c r="BF3184">
        <f>BE3184-AZ3184</f>
        <v>0</v>
      </c>
      <c r="BG3184" cm="1">
        <f t="array" ref="BG3184">IFERROR(IF(BF3184&lt;0,0,BF3184/($AU$3112-INDEX(hd_off,MATCH(BT3184,hd_mark,0),0)/12)),0)</f>
        <v>0</v>
      </c>
      <c r="BH3184">
        <f>IF(AV3184=0,0,$BG$3112*$AM$3096)</f>
        <v>0</v>
      </c>
      <c r="BI3184">
        <f>IFERROR(BH3184/$AU$3112,0)</f>
        <v>0</v>
      </c>
      <c r="BJ3184">
        <f>BH3184*($F$24+IF($F$24=0,0,($C$14+$C$15+IF($C$13="single",1.5,3)+3)/12))</f>
        <v>0</v>
      </c>
      <c r="BK3184">
        <f>BJ3184-BA3184</f>
        <v>0</v>
      </c>
      <c r="BL3184" cm="1">
        <f t="array" ref="BL3184">IFERROR(IF(BK3184&lt;0,0,BK3184/($AU$3112-INDEX(hd_off,MATCH(BT3184,hd_mark,0),0)/12)),0)</f>
        <v>0</v>
      </c>
      <c r="BM3184">
        <f>MAX($F$24,$BE$3112)/$Q$3124</f>
        <v>0</v>
      </c>
      <c r="BN3184">
        <f t="shared" si="1963"/>
        <v>0</v>
      </c>
      <c r="BO3184" cm="1">
        <f t="array" ref="BO3184">IFERROR(INDEX(sheath_ecap_asd,MATCH(BS3184,sheath_mark,0),0)*BN3184,0)</f>
        <v>0</v>
      </c>
      <c r="BP3184" cm="1">
        <f t="array" ref="BP3184">IFERROR(INDEX(sheath_wcap_asd,MATCH(BS3184,sheath_mark,0),0)*BN3184,0)</f>
        <v>0</v>
      </c>
      <c r="BQ3184" cm="1">
        <f t="array" ref="BQ3184">IFERROR(INDEX(hd_cap,MATCH(BT3184,hd_mark,0),0),0)</f>
        <v>0</v>
      </c>
      <c r="BS3184" s="19"/>
      <c r="BT3184" s="19"/>
      <c r="BU3184" s="100"/>
    </row>
    <row r="3185" x14ac:dyDescent="0.25">
      <c r="P3185" s="93"/>
      <c r="Q3185" s="109"/>
      <c r="R3185" t="str">
        <f>$Q$3097</f>
        <v>Roof</v>
      </c>
      <c r="S3185">
        <f>$E$25</f>
        <v>33.171875</v>
      </c>
      <c r="T3185" cm="1">
        <f t="array" ref="T3185">IFERROR(IF(S3185=0,0,(INDEX($C$33:$C$38,MATCH($W$3112,$B$33:$B$38,0),0)*(S3185+$X$3112)+$V$3112*$C$31)*$R$3112),0)</f>
        <v>0</v>
      </c>
      <c r="U3185">
        <f>IF(S3185=0,0,-$V$3112*$C$31*$H$27*$R$3112)</f>
        <v>0</v>
      </c>
      <c r="V3185">
        <f>IF(S3185=0,0,$V$3112*$H$26*$R$3112)</f>
        <v>0</v>
      </c>
      <c r="W3185">
        <f>(0.6*T3185+0.7*U3185)*$R$3112/2</f>
        <v>0</v>
      </c>
      <c r="X3185">
        <f>T3185*$R$3112/2</f>
        <v>0</v>
      </c>
      <c r="Z3185">
        <f>IF(S3185=0,0,$AD$3112*$AP$3097)</f>
        <v>0</v>
      </c>
      <c r="AA3185">
        <f>IFERROR(Z3185/$R$3112,0)</f>
        <v>0</v>
      </c>
      <c r="AB3185">
        <f>Z3185*($F$25+($C$16+$C$17+IF($C$13="single",1.5,3)+3)/12)</f>
        <v>0</v>
      </c>
      <c r="AC3185">
        <f>AB3185-W3185</f>
        <v>0</v>
      </c>
      <c r="AD3185" cm="1">
        <f t="array" ref="AD3185">IFERROR(IF(AC3185&lt;0,0,AC3185/($R$3112-INDEX(hd_off,MATCH(AQ3185,hd_mark,0),0)/12)),0)</f>
        <v>0</v>
      </c>
      <c r="AE3185">
        <f>IF(S3185=0,0,$AD$3112*$AM$3097)</f>
        <v>0</v>
      </c>
      <c r="AF3185">
        <f>IFERROR(AE3185/$R$3112,0)</f>
        <v>0</v>
      </c>
      <c r="AG3185">
        <f>AE3185*($F$25+($C$16+$C$17+IF($C$13="single",1.5,3)+3)/12)</f>
        <v>0</v>
      </c>
      <c r="AH3185">
        <f>AG3185-X3185</f>
        <v>0</v>
      </c>
      <c r="AI3185" cm="1">
        <f t="array" ref="AI3185">IFERROR(IF(AH3185&lt;0,0,AH3185/($R$3112-INDEX(hd_off,MATCH(AQ3185,hd_mark,0),0)/12)),0)</f>
        <v>0</v>
      </c>
      <c r="AJ3185">
        <f>MAX($F$25,$AC$3112)/$Q$3124</f>
        <v>0.29920977011494249</v>
      </c>
      <c r="AK3185">
        <f t="shared" si="1962"/>
        <v>1</v>
      </c>
      <c r="AL3185" cm="1">
        <f t="array" ref="AL3185">IFERROR(INDEX(sheath_ecap_asd,MATCH(AP3185,sheath_mark,0),0)*AK3185,0)</f>
        <v>0</v>
      </c>
      <c r="AM3185" cm="1">
        <f t="array" ref="AM3185">IFERROR(INDEX(sheath_wcap_asd,MATCH(AP3185,sheath_mark,0),0)*AK3185,0)</f>
        <v>0</v>
      </c>
      <c r="AN3185" cm="1">
        <f t="array" ref="AN3185">IFERROR(INDEX(hd_cap,MATCH(AQ3185,hd_mark,0),0),0)</f>
        <v>0</v>
      </c>
      <c r="AP3185" s="19"/>
      <c r="AQ3185" s="19"/>
      <c r="AR3185" s="100"/>
      <c r="AS3185" s="93"/>
      <c r="AT3185" s="109"/>
      <c r="AU3185" t="str">
        <f>$Q$3097</f>
        <v>Roof</v>
      </c>
      <c r="AV3185">
        <f>$E$25</f>
        <v>33.171875</v>
      </c>
      <c r="AW3185" cm="1">
        <f t="array" ref="AW3185">IFERROR(IF(AV3185=0,0,(INDEX($C$33:$C$38,MATCH($AZ$3112,$B$33:$B$38,0),0)*(AV3185+$BA$3112)+$AY$3112*$C$31)*$AU$3112),0)</f>
        <v>0</v>
      </c>
      <c r="AX3185">
        <f>IF(AV3185=0,0,-$AY$3112*$C$31*$H$27*$AU$3112)</f>
        <v>0</v>
      </c>
      <c r="AY3185">
        <f>IF(AV3185=0,0,$AY$3112*$H$26*$AU$3112)</f>
        <v>0</v>
      </c>
      <c r="AZ3185">
        <f>(0.6*AW3185+0.7*AX3185)*$AU$3112/2</f>
        <v>0</v>
      </c>
      <c r="BA3185">
        <f>AW3185*$AU$3112/2</f>
        <v>0</v>
      </c>
      <c r="BC3185">
        <f>IF(AV3185=0,0,$BG$3112*$AP$3097)</f>
        <v>0</v>
      </c>
      <c r="BD3185">
        <f>IFERROR(BC3185/$AU$3112,0)</f>
        <v>0</v>
      </c>
      <c r="BE3185">
        <f>BC3185*($F$25+($C$16+$C$17+IF($C$13="single",1.5,3)+3)/12)</f>
        <v>0</v>
      </c>
      <c r="BF3185">
        <f>BE3185-AZ3185</f>
        <v>0</v>
      </c>
      <c r="BG3185" cm="1">
        <f t="array" ref="BG3185">IFERROR(IF(BF3185&lt;0,0,BF3185/($AU$3112-INDEX(hd_off,MATCH(BT3185,hd_mark,0),0)/12)),0)</f>
        <v>0</v>
      </c>
      <c r="BH3185">
        <f>IF(AV3185=0,0,$BG$3112*$AM$3097)</f>
        <v>0</v>
      </c>
      <c r="BI3185">
        <f>IFERROR(BH3185/$AU$3112,0)</f>
        <v>0</v>
      </c>
      <c r="BJ3185">
        <f>BH3185*($F$25+($C$16+$C$17+IF($C$13="single",1.5,3)+3)/12)</f>
        <v>0</v>
      </c>
      <c r="BK3185">
        <f>BJ3185-BA3185</f>
        <v>0</v>
      </c>
      <c r="BL3185" cm="1">
        <f t="array" ref="BL3185">IFERROR(IF(BK3185&lt;0,0,BK3185/($AU$3112-INDEX(hd_off,MATCH(BT3185,hd_mark,0),0)/12)),0)</f>
        <v>0</v>
      </c>
      <c r="BM3185">
        <f>MAX($F$25,$BF$3112)/$Q$3124</f>
        <v>0.29920977011494249</v>
      </c>
      <c r="BN3185">
        <f t="shared" si="1963"/>
        <v>1</v>
      </c>
      <c r="BO3185" cm="1">
        <f t="array" ref="BO3185">IFERROR(INDEX(sheath_ecap_asd,MATCH(BS3185,sheath_mark,0),0)*BN3185,0)</f>
        <v>0</v>
      </c>
      <c r="BP3185" cm="1">
        <f t="array" ref="BP3185">IFERROR(INDEX(sheath_wcap_asd,MATCH(BS3185,sheath_mark,0),0)*BN3185,0)</f>
        <v>0</v>
      </c>
      <c r="BQ3185" cm="1">
        <f t="array" ref="BQ3185">IFERROR(INDEX(hd_cap,MATCH(BT3185,hd_mark,0),0),0)</f>
        <v>0</v>
      </c>
      <c r="BS3185" s="19"/>
      <c r="BT3185" s="19"/>
      <c r="BU3185" s="100"/>
    </row>
    <row r="3186" x14ac:dyDescent="0.25">
      <c r="P3186" s="93"/>
      <c r="AR3186" s="100"/>
      <c r="AS3186" s="93"/>
      <c r="BU3186" s="100"/>
    </row>
    <row r="3187" x14ac:dyDescent="0.25">
      <c r="P3187" s="93"/>
      <c r="Q3187" s="110" t="str">
        <f>$Q$3113</f>
        <v>A.12</v>
      </c>
      <c r="R3187" t="str">
        <f>$Q$3093</f>
        <v>L2</v>
      </c>
      <c r="S3187">
        <f>$E$21</f>
        <v>10.6875</v>
      </c>
      <c r="T3187" cm="1">
        <f t="array" ref="T3187">IFERROR(IF(S3187=0,0,(INDEX($C$33:$C$38,MATCH($W$3113,$B$33:$B$38,0),0)*(S3191+$X$3113)+$T$3113*COUNTIF(S3187:S3190,"&gt;0")*$C$32+$V$3113*$C$31)*$R$3113),0)</f>
        <v>0</v>
      </c>
      <c r="U3187">
        <f>IF(S3187=0,0,-(COUNTIF(S3187:S3190,"&gt;0")*$T$3113*$C$32+$V$3113*$C$31)*$H$27*$R$3113)</f>
        <v>0</v>
      </c>
      <c r="V3187">
        <f>IF(S3187=0,0,$V$3113*$H$26*$R$3113)</f>
        <v>0</v>
      </c>
      <c r="W3187">
        <f>(0.6*T3187+0.7*U3187)*$R$3113/2</f>
        <v>0</v>
      </c>
      <c r="X3187">
        <f>(0.6*T3187+0.6*V3187)*$R$3113/2</f>
        <v>0</v>
      </c>
      <c r="Z3187">
        <f>IF(S3187=0,0,$AD$3113*$AP$3093)</f>
        <v>0</v>
      </c>
      <c r="AA3187">
        <f>IFERROR(Z3187/$R$3113,0)</f>
        <v>0</v>
      </c>
      <c r="AB3187">
        <f>Z3187*($F$21+IF($F$21=0,0,($C$14+$C$15+IF($C$13="single",1.5,3)+3)/12))</f>
        <v>0</v>
      </c>
      <c r="AC3187">
        <f>AB3187-W3187</f>
        <v>0</v>
      </c>
      <c r="AD3187" cm="1">
        <f t="array" ref="AD3187">IFERROR(IF(AC3187&lt;0,0,AC3187/($R$3113-INDEX(hd_off,MATCH(AQ3187,hd_mark,0),0)/12)),0)</f>
        <v>0</v>
      </c>
      <c r="AE3187">
        <f>IF(S3187=0,0,$AD$3113*$AM$3093)</f>
        <v>0</v>
      </c>
      <c r="AF3187">
        <f>IFERROR(AE3187/$R$3113,0)</f>
        <v>0</v>
      </c>
      <c r="AG3187">
        <f>AE3187*($F$21+IF($F$21=0,0,($C$14+$C$15+IF($C$13="single",1.5,3)+3)/12))</f>
        <v>0</v>
      </c>
      <c r="AH3187">
        <f>AG3187-X3187</f>
        <v>0</v>
      </c>
      <c r="AI3187" cm="1">
        <f t="array" ref="AI3187">IFERROR(IF(AH3187&lt;0,0,AH3187/($R$3113-INDEX(hd_off,MATCH(AQ3187,hd_mark,0),0)/12)),0)</f>
        <v>0</v>
      </c>
      <c r="AJ3187">
        <f>MAX($F$21,$Y$3113)/$Q$3124</f>
        <v>0.30172413793103448</v>
      </c>
      <c r="AK3187">
        <f>IF(AJ3187=0,0,IF(AJ3187&gt;2,1.25-0.125*AJ3187,1))</f>
        <v>1</v>
      </c>
      <c r="AL3187" cm="1">
        <f t="array" ref="AL3187">IFERROR(INDEX(sheath_ecap_asd,MATCH(AP3187,sheath_mark,0),0)*AK3187,0)</f>
        <v>0</v>
      </c>
      <c r="AM3187" cm="1">
        <f t="array" ref="AM3187">IFERROR(INDEX(sheath_wcap_asd,MATCH(AP3187,sheath_mark,0),0)*AK3187,0)</f>
        <v>0</v>
      </c>
      <c r="AN3187" cm="1">
        <f t="array" ref="AN3187">IFERROR(INDEX(hd_cap,MATCH(AQ3187,hd_mark,0),0),0)</f>
        <v>0</v>
      </c>
      <c r="AP3187" s="19"/>
      <c r="AQ3187" s="19"/>
      <c r="AR3187" s="100"/>
      <c r="AS3187" s="93"/>
      <c r="AT3187" s="110" t="str">
        <f>$AT$3113</f>
        <v>1.12</v>
      </c>
      <c r="AU3187" t="str">
        <f>$Q$3093</f>
        <v>L2</v>
      </c>
      <c r="AV3187">
        <f>$E$21</f>
        <v>10.6875</v>
      </c>
      <c r="AW3187" cm="1">
        <f t="array" ref="AW3187">IFERROR(IF(AV3187=0,0,(INDEX($C$33:$C$38,MATCH($AZ$3113,$B$33:$B$38,0),0)*(AV3191+$BA$3113)+$AW$3113*COUNTIF(AV3187:AV3190,"&gt;0")*$C$32+$AY$3113*$C$31)*$AU$3113),0)</f>
        <v>0</v>
      </c>
      <c r="AX3187">
        <f>IF(AV3187=0,0,-(COUNTIF(AV3187:AV3190,"&gt;0")*$AW$3113*$C$32+$AY$3113*$C$31)*$H$27*$AU$3113)</f>
        <v>0</v>
      </c>
      <c r="AY3187">
        <f>IF(AV3187=0,0,$AY$3113*$H$26*$AU$3113)</f>
        <v>0</v>
      </c>
      <c r="AZ3187">
        <f>(0.6*AW3187+0.7*AX3187)*$AU$3113/2</f>
        <v>0</v>
      </c>
      <c r="BA3187">
        <f>(0.6*AW3187+0.6*AY3187)*$AU$3113/2</f>
        <v>0</v>
      </c>
      <c r="BC3187">
        <f>IF(AV3187=0,0,$BG$3113*$AP$3093)</f>
        <v>0</v>
      </c>
      <c r="BD3187">
        <f>IFERROR(BC3187/$AU$3113,0)</f>
        <v>0</v>
      </c>
      <c r="BE3187">
        <f>BC3187*($F$21+IF($F$21=0,0,($C$14+$C$15+IF($C$13="single",1.5,3)+3)/12))</f>
        <v>0</v>
      </c>
      <c r="BF3187">
        <f>BE3187-AZ3187</f>
        <v>0</v>
      </c>
      <c r="BG3187" cm="1">
        <f t="array" ref="BG3187">IFERROR(IF(BF3187&lt;0,0,BF3187/($AU$3113-INDEX(hd_off,MATCH(BT3187,hd_mark,0),0)/12)),0)</f>
        <v>0</v>
      </c>
      <c r="BH3187">
        <f>IF(AV3187=0,0,$BG$3113*$AM$3093)</f>
        <v>0</v>
      </c>
      <c r="BI3187">
        <f>IFERROR(BH3187/$AU$3113,0)</f>
        <v>0</v>
      </c>
      <c r="BJ3187">
        <f>BH3187*($F$21+IF($F$21=0,0,($C$14+$C$15+IF($C$13="single",1.5,3)+3)/12))</f>
        <v>0</v>
      </c>
      <c r="BK3187">
        <f>BJ3187-BA3187</f>
        <v>0</v>
      </c>
      <c r="BL3187" cm="1">
        <f t="array" ref="BL3187">IFERROR(IF(BK3187&lt;0,0,BK3187/($AU$3113-INDEX(hd_off,MATCH(BT3187,hd_mark,0),0)/12)),0)</f>
        <v>0</v>
      </c>
      <c r="BM3187">
        <f>MAX($F$21,$BB$3113)/$Q$3124</f>
        <v>0.30172413793103448</v>
      </c>
      <c r="BN3187">
        <f>IF(BM3187=0,0,IF(BM3187&gt;2,1.25-0.125*BM3187,1))</f>
        <v>1</v>
      </c>
      <c r="BO3187" cm="1">
        <f t="array" ref="BO3187">IFERROR(INDEX(sheath_ecap_asd,MATCH(BS3187,sheath_mark,0),0)*BN3187,0)</f>
        <v>0</v>
      </c>
      <c r="BP3187" cm="1">
        <f t="array" ref="BP3187">IFERROR(INDEX(sheath_wcap_asd,MATCH(BS3187,sheath_mark,0),0)*BN3187,0)</f>
        <v>0</v>
      </c>
      <c r="BQ3187" cm="1">
        <f t="array" ref="BQ3187">IFERROR(INDEX(hd_cap,MATCH(BT3187,hd_mark,0),0),0)</f>
        <v>0</v>
      </c>
      <c r="BS3187" s="19"/>
      <c r="BT3187" s="19"/>
      <c r="BU3187" s="100"/>
    </row>
    <row r="3188" x14ac:dyDescent="0.25">
      <c r="P3188" s="93"/>
      <c r="Q3188" s="109"/>
      <c r="R3188" t="str">
        <f>$Q$3094</f>
        <v>L3</v>
      </c>
      <c r="S3188">
        <f>$E$22</f>
        <v>21.375</v>
      </c>
      <c r="T3188" cm="1">
        <f t="array" ref="T3188">IFERROR(IF(S3188=0,0,(INDEX($C$33:$C$38,MATCH($W$3113,$B$33:$B$38,0),0)*(S3191+$X$3113)+$T$3113*COUNTIF(S3188:S3190,"&gt;0")*$C$32+$V$3113*$C$31)*$R$3113),0)</f>
        <v>0</v>
      </c>
      <c r="U3188">
        <f>IF(S3188=0,0,-(COUNTIF(S3188:S3190,"&gt;0")*$T$3113*$C$32+$V$3113*$C$31)*$H$27*$R$3113)</f>
        <v>0</v>
      </c>
      <c r="V3188">
        <f>IF(S3188=0,0,$V$3113*$H$26*$R$3113)</f>
        <v>0</v>
      </c>
      <c r="W3188">
        <f>(0.6*T3188+0.7*U3188)*$R$3113/2</f>
        <v>0</v>
      </c>
      <c r="X3188">
        <f>T3188*$R$3113/2</f>
        <v>0</v>
      </c>
      <c r="Z3188">
        <f>IF(S3188=0,0,$AD$3113*$AP$3094)</f>
        <v>0</v>
      </c>
      <c r="AA3188">
        <f>IFERROR(Z3188/$R$3113,0)</f>
        <v>0</v>
      </c>
      <c r="AB3188">
        <f>Z3188*($F$22+IF($F$22=0,0,($C$14+$C$15+IF($C$13="single",1.5,3)+3)/12))</f>
        <v>0</v>
      </c>
      <c r="AC3188">
        <f>AB3188-W3188</f>
        <v>0</v>
      </c>
      <c r="AD3188" cm="1">
        <f t="array" ref="AD3188">IFERROR(IF(AC3188&lt;0,0,AC3188/($R$3113-INDEX(hd_off,MATCH(AQ3188,hd_mark,0),0)/12)),0)</f>
        <v>0</v>
      </c>
      <c r="AE3188">
        <f>IF(S3188=0,0,$AD$3113*$AM$3094)</f>
        <v>0</v>
      </c>
      <c r="AF3188">
        <f>IFERROR(AE3188/$R$3113,0)</f>
        <v>0</v>
      </c>
      <c r="AG3188">
        <f>AE3188*($F$22+IF($F$22=0,0,($C$14+$C$15+IF($C$13="single",1.5,3)+3)/12))</f>
        <v>0</v>
      </c>
      <c r="AH3188">
        <f>AG3188-X3188</f>
        <v>0</v>
      </c>
      <c r="AI3188" cm="1">
        <f t="array" ref="AI3188">IFERROR(IF(AH3188&lt;0,0,AH3188/($R$3113-INDEX(hd_off,MATCH(AQ3188,hd_mark,0),0)/12)),0)</f>
        <v>0</v>
      </c>
      <c r="AJ3188">
        <f>MAX($F$22,$Z$3113)/$Q$3124</f>
        <v>0.30172413793103448</v>
      </c>
      <c r="AK3188">
        <f t="shared" ref="AK3188:AK3191" si="1964">IF(AJ3188=0,0,IF(AJ3188&gt;2,1.25-0.125*AJ3188,1))</f>
        <v>1</v>
      </c>
      <c r="AL3188" cm="1">
        <f t="array" ref="AL3188">IFERROR(INDEX(sheath_ecap_asd,MATCH(AP3188,sheath_mark,0),0)*AK3188,0)</f>
        <v>0</v>
      </c>
      <c r="AM3188" cm="1">
        <f t="array" ref="AM3188">IFERROR(INDEX(sheath_wcap_asd,MATCH(AP3188,sheath_mark,0),0)*AK3188,0)</f>
        <v>0</v>
      </c>
      <c r="AN3188" cm="1">
        <f t="array" ref="AN3188">IFERROR(INDEX(hd_cap,MATCH(AQ3188,hd_mark,0),0),0)</f>
        <v>0</v>
      </c>
      <c r="AP3188" s="19"/>
      <c r="AQ3188" s="19"/>
      <c r="AR3188" s="100"/>
      <c r="AS3188" s="93"/>
      <c r="AT3188" s="109"/>
      <c r="AU3188" t="str">
        <f>$Q$3094</f>
        <v>L3</v>
      </c>
      <c r="AV3188">
        <f>$E$22</f>
        <v>21.375</v>
      </c>
      <c r="AW3188" cm="1">
        <f t="array" ref="AW3188">IFERROR(IF(AV3188=0,0,(INDEX($C$33:$C$38,MATCH($AZ$3113,$B$33:$B$38,0),0)*(AV3191+$BA$3113)+$AW$3113*COUNTIF(AV3188:AV3190,"&gt;0")*$C$32+$AY$3113*$C$31)*$AU$3113),0)</f>
        <v>0</v>
      </c>
      <c r="AX3188">
        <f>IF(AV3188=0,0,-(COUNTIF(AV3188:AV3190,"&gt;0")*$AW$3113*$C$32+$AY$3113*$C$31)*$H$27*$AU$3113)</f>
        <v>0</v>
      </c>
      <c r="AY3188">
        <f>IF(AV3188=0,0,$AY$3113*$H$26*$AU$3113)</f>
        <v>0</v>
      </c>
      <c r="AZ3188">
        <f>(0.6*AW3188+0.7*AX3188)*$AU$3113/2</f>
        <v>0</v>
      </c>
      <c r="BA3188">
        <f>AW3188*$AU$3113/2</f>
        <v>0</v>
      </c>
      <c r="BC3188">
        <f>IF(AV3188=0,0,$BG$3113*$AP$3094)</f>
        <v>0</v>
      </c>
      <c r="BD3188">
        <f>IFERROR(BC3188/$AU$3113,0)</f>
        <v>0</v>
      </c>
      <c r="BE3188">
        <f>BC3188*($F$22+IF($F$22=0,0,($C$14+$C$15+IF($C$13="single",1.5,3)+3)/12))</f>
        <v>0</v>
      </c>
      <c r="BF3188">
        <f>BE3188-AZ3188</f>
        <v>0</v>
      </c>
      <c r="BG3188" cm="1">
        <f t="array" ref="BG3188">IFERROR(IF(BF3188&lt;0,0,BF3188/($AU$3113-INDEX(hd_off,MATCH(BT3188,hd_mark,0),0)/12)),0)</f>
        <v>0</v>
      </c>
      <c r="BH3188">
        <f>IF(AV3188=0,0,$BG$3113*$AM$3094)</f>
        <v>0</v>
      </c>
      <c r="BI3188">
        <f>IFERROR(BH3188/$AU$3113,0)</f>
        <v>0</v>
      </c>
      <c r="BJ3188">
        <f>BH3188*($F$22+IF($F$22=0,0,($C$14+$C$15+IF($C$13="single",1.5,3)+3)/12))</f>
        <v>0</v>
      </c>
      <c r="BK3188">
        <f>BJ3188-BA3188</f>
        <v>0</v>
      </c>
      <c r="BL3188" cm="1">
        <f t="array" ref="BL3188">IFERROR(IF(BK3188&lt;0,0,BK3188/($AU$3113-INDEX(hd_off,MATCH(BT3188,hd_mark,0),0)/12)),0)</f>
        <v>0</v>
      </c>
      <c r="BM3188">
        <f>MAX($F$22,$BC$3113)/$Q$3124</f>
        <v>0.30172413793103448</v>
      </c>
      <c r="BN3188">
        <f t="shared" ref="BN3188:BN3191" si="1965">IF(BM3188=0,0,IF(BM3188&gt;2,1.25-0.125*BM3188,1))</f>
        <v>1</v>
      </c>
      <c r="BO3188" cm="1">
        <f t="array" ref="BO3188">IFERROR(INDEX(sheath_ecap_asd,MATCH(BS3188,sheath_mark,0),0)*BN3188,0)</f>
        <v>0</v>
      </c>
      <c r="BP3188" cm="1">
        <f t="array" ref="BP3188">IFERROR(INDEX(sheath_wcap_asd,MATCH(BS3188,sheath_mark,0),0)*BN3188,0)</f>
        <v>0</v>
      </c>
      <c r="BQ3188" cm="1">
        <f t="array" ref="BQ3188">IFERROR(INDEX(hd_cap,MATCH(BT3188,hd_mark,0),0),0)</f>
        <v>0</v>
      </c>
      <c r="BS3188" s="19"/>
      <c r="BT3188" s="19"/>
      <c r="BU3188" s="100"/>
    </row>
    <row r="3189" x14ac:dyDescent="0.25">
      <c r="P3189" s="93"/>
      <c r="Q3189" s="109" t="s">
        <v>491</v>
      </c>
      <c r="R3189" t="str">
        <f>$Q$3095</f>
        <v>L4</v>
      </c>
      <c r="S3189">
        <f>$E$23</f>
        <v>0</v>
      </c>
      <c r="T3189" cm="1">
        <f t="array" ref="T3189">IFERROR(IF(S3189=0,0,(INDEX($C$33:$C$38,MATCH($W$3113,$B$33:$B$38,0),0)*(S3191+$X$3113)+$T$3113*COUNTIF(S3189:S3190,"&gt;0")*$C$32+$V$3113*$C$31)*$R$3113),0)</f>
        <v>0</v>
      </c>
      <c r="U3189">
        <f>IF(S3189=0,0,-(COUNTIF(S3189:S3190,"&gt;0")*$T$3113*$C$32+$V$3113*$C$31)*$H$27*$R$3113)</f>
        <v>0</v>
      </c>
      <c r="V3189">
        <f>IF(S3189=0,0,$V$3113*$H$26*$R$3113)</f>
        <v>0</v>
      </c>
      <c r="W3189">
        <f>(0.6*T3189+0.7*U3189)*$R$3113/2</f>
        <v>0</v>
      </c>
      <c r="X3189">
        <f>T3189*$R$3113/2</f>
        <v>0</v>
      </c>
      <c r="Z3189">
        <f>IF(S3189=0,0,$AD$3113*$AP$3095)</f>
        <v>0</v>
      </c>
      <c r="AA3189">
        <f>IFERROR(Z3189/$R$3113,0)</f>
        <v>0</v>
      </c>
      <c r="AB3189">
        <f>Z3189*($F$23+IF($F$23=0,0,($C$14+$C$15+IF($C$13="single",1.5,3)+3)/12))</f>
        <v>0</v>
      </c>
      <c r="AC3189">
        <f>AB3189-W3189</f>
        <v>0</v>
      </c>
      <c r="AD3189" cm="1">
        <f t="array" ref="AD3189">IFERROR(IF(AC3189&lt;0,0,AC3189/($R$3113-INDEX(hd_off,MATCH(AQ3189,hd_mark,0),0)/12)),0)</f>
        <v>0</v>
      </c>
      <c r="AE3189">
        <f>IF(S3189=0,0,$AD$3113*$AM$3095)</f>
        <v>0</v>
      </c>
      <c r="AF3189">
        <f>IFERROR(AE3189/$R$3113,0)</f>
        <v>0</v>
      </c>
      <c r="AG3189">
        <f>AE3189*($F$23+IF($F$23=0,0,($C$14+$C$15+IF($C$13="single",1.5,3)+3)/12))</f>
        <v>0</v>
      </c>
      <c r="AH3189">
        <f>AG3189-X3189</f>
        <v>0</v>
      </c>
      <c r="AI3189" cm="1">
        <f t="array" ref="AI3189">IFERROR(IF(AH3189&lt;0,0,AH3189/($R$3113-INDEX(hd_off,MATCH(AQ3189,hd_mark,0),0)/12)),0)</f>
        <v>0</v>
      </c>
      <c r="AJ3189">
        <f>MAX($F$23,$AA$3113)/$Q$3124</f>
        <v>0</v>
      </c>
      <c r="AK3189">
        <f t="shared" si="1964"/>
        <v>0</v>
      </c>
      <c r="AL3189" cm="1">
        <f t="array" ref="AL3189">IFERROR(INDEX(sheath_ecap_asd,MATCH(AP3189,sheath_mark,0),0)*AK3189,0)</f>
        <v>0</v>
      </c>
      <c r="AM3189" cm="1">
        <f t="array" ref="AM3189">IFERROR(INDEX(sheath_wcap_asd,MATCH(AP3189,sheath_mark,0),0)*AK3189,0)</f>
        <v>0</v>
      </c>
      <c r="AN3189" cm="1">
        <f t="array" ref="AN3189">IFERROR(INDEX(hd_cap,MATCH(AQ3189,hd_mark,0),0),0)</f>
        <v>0</v>
      </c>
      <c r="AP3189" s="19"/>
      <c r="AQ3189" s="19"/>
      <c r="AR3189" s="100"/>
      <c r="AS3189" s="93"/>
      <c r="AT3189" s="109" t="s">
        <v>491</v>
      </c>
      <c r="AU3189" t="str">
        <f>$Q$3095</f>
        <v>L4</v>
      </c>
      <c r="AV3189">
        <f>$E$23</f>
        <v>0</v>
      </c>
      <c r="AW3189" cm="1">
        <f t="array" ref="AW3189">IFERROR(IF(AV3189=0,0,(INDEX($C$33:$C$38,MATCH($AZ$3113,$B$33:$B$38,0),0)*(AV3191+$BA$3113)+$AW$3113*COUNTIF(AV3189:AV3190,"&gt;0")*$C$32+$AY$3113*$C$31)*$AU$3113),0)</f>
        <v>0</v>
      </c>
      <c r="AX3189">
        <f>IF(AV3189=0,0,-(COUNTIF(AV3189:AV3190,"&gt;0")*$AW$3113*$C$32+$AY$3113*$C$31)*$H$27*$AU$3113)</f>
        <v>0</v>
      </c>
      <c r="AY3189">
        <f>IF(AV3189=0,0,$AY$3113*$H$26*$AU$3113)</f>
        <v>0</v>
      </c>
      <c r="AZ3189">
        <f>(0.6*AW3189+0.7*AX3189)*$AU$3113/2</f>
        <v>0</v>
      </c>
      <c r="BA3189">
        <f>AW3189*$AU$3113/2</f>
        <v>0</v>
      </c>
      <c r="BC3189">
        <f>IF(AV3189=0,0,$BG$3113*$AP$3095)</f>
        <v>0</v>
      </c>
      <c r="BD3189">
        <f>IFERROR(BC3189/$AU$3113,0)</f>
        <v>0</v>
      </c>
      <c r="BE3189">
        <f>BC3189*($F$23+IF($F$23=0,0,($C$14+$C$15+IF($C$13="single",1.5,3)+3)/12))</f>
        <v>0</v>
      </c>
      <c r="BF3189">
        <f>BE3189-AZ3189</f>
        <v>0</v>
      </c>
      <c r="BG3189" cm="1">
        <f t="array" ref="BG3189">IFERROR(IF(BF3189&lt;0,0,BF3189/($AU$3113-INDEX(hd_off,MATCH(BT3189,hd_mark,0),0)/12)),0)</f>
        <v>0</v>
      </c>
      <c r="BH3189">
        <f>IF(AV3189=0,0,$BG$3113*$AM$3095)</f>
        <v>0</v>
      </c>
      <c r="BI3189">
        <f>IFERROR(BH3189/$AU$3113,0)</f>
        <v>0</v>
      </c>
      <c r="BJ3189">
        <f>BH3189*($F$23+IF($F$23=0,0,($C$14+$C$15+IF($C$13="single",1.5,3)+3)/12))</f>
        <v>0</v>
      </c>
      <c r="BK3189">
        <f>BJ3189-BA3189</f>
        <v>0</v>
      </c>
      <c r="BL3189" cm="1">
        <f t="array" ref="BL3189">IFERROR(IF(BK3189&lt;0,0,BK3189/($AU$3113-INDEX(hd_off,MATCH(BT3189,hd_mark,0),0)/12)),0)</f>
        <v>0</v>
      </c>
      <c r="BM3189">
        <f>MAX($F$23,$BD$3113)/$Q$3124</f>
        <v>0</v>
      </c>
      <c r="BN3189">
        <f t="shared" si="1965"/>
        <v>0</v>
      </c>
      <c r="BO3189" cm="1">
        <f t="array" ref="BO3189">IFERROR(INDEX(sheath_ecap_asd,MATCH(BS3189,sheath_mark,0),0)*BN3189,0)</f>
        <v>0</v>
      </c>
      <c r="BP3189" cm="1">
        <f t="array" ref="BP3189">IFERROR(INDEX(sheath_wcap_asd,MATCH(BS3189,sheath_mark,0),0)*BN3189,0)</f>
        <v>0</v>
      </c>
      <c r="BQ3189" cm="1">
        <f t="array" ref="BQ3189">IFERROR(INDEX(hd_cap,MATCH(BT3189,hd_mark,0),0),0)</f>
        <v>0</v>
      </c>
      <c r="BS3189" s="19"/>
      <c r="BT3189" s="19"/>
      <c r="BU3189" s="100"/>
    </row>
    <row r="3190" x14ac:dyDescent="0.25">
      <c r="P3190" s="93"/>
      <c r="Q3190" s="111">
        <f>$R$3113</f>
        <v>0</v>
      </c>
      <c r="R3190" t="str">
        <f>$Q$3096</f>
        <v>L5</v>
      </c>
      <c r="S3190">
        <f>$E$24</f>
        <v>0</v>
      </c>
      <c r="T3190" cm="1">
        <f t="array" ref="T3190">IFERROR(IF(S3190=0,0,(INDEX($C$33:$C$38,MATCH($W$3113,$B$33:$B$38,0),0)*(S3191+$X$3113)+$T$3113*COUNTIF(S3190:S3190,"&gt;0")*$C$32+$V$3113*$C$31)*$R$3113),0)</f>
        <v>0</v>
      </c>
      <c r="U3190">
        <f>IF(S3190=0,0,-(COUNTIF(S3190:S3190,"&gt;0")*$T$3113*$C$32+$V$3113*$C$31)*$H$27*$R$3113)</f>
        <v>0</v>
      </c>
      <c r="V3190">
        <f>IF(S3190=0,0,$V$3113*$H$26*$R$3113)</f>
        <v>0</v>
      </c>
      <c r="W3190">
        <f>(0.6*T3190+0.7*U3190)*$R$3113/2</f>
        <v>0</v>
      </c>
      <c r="X3190">
        <f>T3190*$R$3113/2</f>
        <v>0</v>
      </c>
      <c r="Z3190">
        <f>IF(S3190=0,0,$AD$3113*$AP$3096)</f>
        <v>0</v>
      </c>
      <c r="AA3190">
        <f>IFERROR(Z3190/$R$3113,0)</f>
        <v>0</v>
      </c>
      <c r="AB3190">
        <f>Z3190*($F$24+IF($F$24=0,0,($C$14+$C$15+IF($C$13="single",1.5,3)+3)/12))</f>
        <v>0</v>
      </c>
      <c r="AC3190">
        <f>AB3190-W3190</f>
        <v>0</v>
      </c>
      <c r="AD3190" cm="1">
        <f t="array" ref="AD3190">IFERROR(IF(AC3190&lt;0,0,AC3190/($R$3113-INDEX(hd_off,MATCH(AQ3190,hd_mark,0),0)/12)),0)</f>
        <v>0</v>
      </c>
      <c r="AE3190">
        <f>IF(S3190=0,0,$AD$3113*$AM$3096)</f>
        <v>0</v>
      </c>
      <c r="AF3190">
        <f>IFERROR(AE3190/$R$3113,0)</f>
        <v>0</v>
      </c>
      <c r="AG3190">
        <f>AE3190*($F$24+IF($F$24=0,0,($C$14+$C$15+IF($C$13="single",1.5,3)+3)/12))</f>
        <v>0</v>
      </c>
      <c r="AH3190">
        <f>AG3190-X3190</f>
        <v>0</v>
      </c>
      <c r="AI3190" cm="1">
        <f t="array" ref="AI3190">IFERROR(IF(AH3190&lt;0,0,AH3190/($R$3113-INDEX(hd_off,MATCH(AQ3190,hd_mark,0),0)/12)),0)</f>
        <v>0</v>
      </c>
      <c r="AJ3190">
        <f>MAX($F$24,$AB$3113)/$Q$3124</f>
        <v>0</v>
      </c>
      <c r="AK3190">
        <f t="shared" si="1964"/>
        <v>0</v>
      </c>
      <c r="AL3190" cm="1">
        <f t="array" ref="AL3190">IFERROR(INDEX(sheath_ecap_asd,MATCH(AP3190,sheath_mark,0),0)*AK3190,0)</f>
        <v>0</v>
      </c>
      <c r="AM3190" cm="1">
        <f t="array" ref="AM3190">IFERROR(INDEX(sheath_wcap_asd,MATCH(AP3190,sheath_mark,0),0)*AK3190,0)</f>
        <v>0</v>
      </c>
      <c r="AN3190" cm="1">
        <f t="array" ref="AN3190">IFERROR(INDEX(hd_cap,MATCH(AQ3190,hd_mark,0),0),0)</f>
        <v>0</v>
      </c>
      <c r="AP3190" s="19"/>
      <c r="AQ3190" s="19"/>
      <c r="AR3190" s="100"/>
      <c r="AS3190" s="93"/>
      <c r="AT3190" s="111">
        <f>$R$3113</f>
        <v>0</v>
      </c>
      <c r="AU3190" t="str">
        <f>$Q$3096</f>
        <v>L5</v>
      </c>
      <c r="AV3190">
        <f>$E$24</f>
        <v>0</v>
      </c>
      <c r="AW3190" cm="1">
        <f t="array" ref="AW3190">IFERROR(IF(AV3190=0,0,(INDEX($C$33:$C$38,MATCH($AZ$3113,$B$33:$B$38,0),0)*(AV3191+$BA$3113)+$AW$3113*COUNTIF(AV3190:AV3190,"&gt;0")*$C$32+$AY$3113*$C$31)*$AU$3113),0)</f>
        <v>0</v>
      </c>
      <c r="AX3190">
        <f>IF(AV3190=0,0,-(COUNTIF(AV3190:AV3190,"&gt;0")*$AW$3113*$C$32+$AY$3113*$C$31)*$H$27*$AU$3113)</f>
        <v>0</v>
      </c>
      <c r="AY3190">
        <f>IF(AV3190=0,0,$AY$3113*$H$26*$AU$3113)</f>
        <v>0</v>
      </c>
      <c r="AZ3190">
        <f>(0.6*AW3190+0.7*AX3190)*$AU$3113/2</f>
        <v>0</v>
      </c>
      <c r="BA3190">
        <f>AW3190*$AU$3113/2</f>
        <v>0</v>
      </c>
      <c r="BC3190">
        <f>IF(AV3190=0,0,$BG$3113*$AP$3096)</f>
        <v>0</v>
      </c>
      <c r="BD3190">
        <f>IFERROR(BC3190/$AU$3113,0)</f>
        <v>0</v>
      </c>
      <c r="BE3190">
        <f>BC3190*($F$24+IF($F$24=0,0,($C$14+$C$15+IF($C$13="single",1.5,3)+3)/12))</f>
        <v>0</v>
      </c>
      <c r="BF3190">
        <f>BE3190-AZ3190</f>
        <v>0</v>
      </c>
      <c r="BG3190" cm="1">
        <f t="array" ref="BG3190">IFERROR(IF(BF3190&lt;0,0,BF3190/($AU$3113-INDEX(hd_off,MATCH(BT3190,hd_mark,0),0)/12)),0)</f>
        <v>0</v>
      </c>
      <c r="BH3190">
        <f>IF(AV3190=0,0,$BG$3113*$AM$3096)</f>
        <v>0</v>
      </c>
      <c r="BI3190">
        <f>IFERROR(BH3190/$AU$3113,0)</f>
        <v>0</v>
      </c>
      <c r="BJ3190">
        <f>BH3190*($F$24+IF($F$24=0,0,($C$14+$C$15+IF($C$13="single",1.5,3)+3)/12))</f>
        <v>0</v>
      </c>
      <c r="BK3190">
        <f>BJ3190-BA3190</f>
        <v>0</v>
      </c>
      <c r="BL3190" cm="1">
        <f t="array" ref="BL3190">IFERROR(IF(BK3190&lt;0,0,BK3190/($AU$3113-INDEX(hd_off,MATCH(BT3190,hd_mark,0),0)/12)),0)</f>
        <v>0</v>
      </c>
      <c r="BM3190">
        <f>MAX($F$24,$BE$3113)/$Q$3124</f>
        <v>0</v>
      </c>
      <c r="BN3190">
        <f t="shared" si="1965"/>
        <v>0</v>
      </c>
      <c r="BO3190" cm="1">
        <f t="array" ref="BO3190">IFERROR(INDEX(sheath_ecap_asd,MATCH(BS3190,sheath_mark,0),0)*BN3190,0)</f>
        <v>0</v>
      </c>
      <c r="BP3190" cm="1">
        <f t="array" ref="BP3190">IFERROR(INDEX(sheath_wcap_asd,MATCH(BS3190,sheath_mark,0),0)*BN3190,0)</f>
        <v>0</v>
      </c>
      <c r="BQ3190" cm="1">
        <f t="array" ref="BQ3190">IFERROR(INDEX(hd_cap,MATCH(BT3190,hd_mark,0),0),0)</f>
        <v>0</v>
      </c>
      <c r="BS3190" s="19"/>
      <c r="BT3190" s="19"/>
      <c r="BU3190" s="100"/>
    </row>
    <row r="3191" x14ac:dyDescent="0.25">
      <c r="P3191" s="93"/>
      <c r="Q3191" s="109"/>
      <c r="R3191" t="str">
        <f>$Q$3097</f>
        <v>Roof</v>
      </c>
      <c r="S3191">
        <f>$E$25</f>
        <v>33.171875</v>
      </c>
      <c r="T3191" cm="1">
        <f t="array" ref="T3191">IFERROR(IF(S3191=0,0,(INDEX($C$33:$C$38,MATCH($W$3113,$B$33:$B$38,0),0)*(S3191+$X$3113)+$V$3113*$C$31)*$R$3113),0)</f>
        <v>0</v>
      </c>
      <c r="U3191">
        <f>IF(S3191=0,0,-$V$3113*$C$31*$H$27*$R$3113)</f>
        <v>0</v>
      </c>
      <c r="V3191">
        <f>IF(S3191=0,0,$V$3113*$H$26*$R$3113)</f>
        <v>0</v>
      </c>
      <c r="W3191">
        <f>(0.6*T3191+0.7*U3191)*$R$3113/2</f>
        <v>0</v>
      </c>
      <c r="X3191">
        <f>T3191*$R$3113/2</f>
        <v>0</v>
      </c>
      <c r="Z3191">
        <f>IF(S3191=0,0,$AD$3113*$AP$3097)</f>
        <v>0</v>
      </c>
      <c r="AA3191">
        <f>IFERROR(Z3191/$R$3113,0)</f>
        <v>0</v>
      </c>
      <c r="AB3191">
        <f>Z3191*($F$25+($C$16+$C$17+IF($C$13="single",1.5,3)+3)/12)</f>
        <v>0</v>
      </c>
      <c r="AC3191">
        <f>AB3191-W3191</f>
        <v>0</v>
      </c>
      <c r="AD3191" cm="1">
        <f t="array" ref="AD3191">IFERROR(IF(AC3191&lt;0,0,AC3191/($R$3113-INDEX(hd_off,MATCH(AQ3191,hd_mark,0),0)/12)),0)</f>
        <v>0</v>
      </c>
      <c r="AE3191">
        <f>IF(S3191=0,0,$AD$3113*$AM$3097)</f>
        <v>0</v>
      </c>
      <c r="AF3191">
        <f>IFERROR(AE3191/$R$3113,0)</f>
        <v>0</v>
      </c>
      <c r="AG3191">
        <f>AE3191*($F$25+($C$16+$C$17+IF($C$13="single",1.5,3)+3)/12)</f>
        <v>0</v>
      </c>
      <c r="AH3191">
        <f>AG3191-X3191</f>
        <v>0</v>
      </c>
      <c r="AI3191" cm="1">
        <f t="array" ref="AI3191">IFERROR(IF(AH3191&lt;0,0,AH3191/($R$3113-INDEX(hd_off,MATCH(AQ3191,hd_mark,0),0)/12)),0)</f>
        <v>0</v>
      </c>
      <c r="AJ3191">
        <f>MAX($F$25,$AC$3113)/$Q$3124</f>
        <v>0.29920977011494249</v>
      </c>
      <c r="AK3191">
        <f t="shared" si="1964"/>
        <v>1</v>
      </c>
      <c r="AL3191" cm="1">
        <f t="array" ref="AL3191">IFERROR(INDEX(sheath_ecap_asd,MATCH(AP3191,sheath_mark,0),0)*AK3191,0)</f>
        <v>0</v>
      </c>
      <c r="AM3191" cm="1">
        <f t="array" ref="AM3191">IFERROR(INDEX(sheath_wcap_asd,MATCH(AP3191,sheath_mark,0),0)*AK3191,0)</f>
        <v>0</v>
      </c>
      <c r="AN3191" cm="1">
        <f t="array" ref="AN3191">IFERROR(INDEX(hd_cap,MATCH(AQ3191,hd_mark,0),0),0)</f>
        <v>0</v>
      </c>
      <c r="AP3191" s="19"/>
      <c r="AQ3191" s="19"/>
      <c r="AR3191" s="100"/>
      <c r="AS3191" s="93"/>
      <c r="AT3191" s="109"/>
      <c r="AU3191" t="str">
        <f>$Q$3097</f>
        <v>Roof</v>
      </c>
      <c r="AV3191">
        <f>$E$25</f>
        <v>33.171875</v>
      </c>
      <c r="AW3191" cm="1">
        <f t="array" ref="AW3191">IFERROR(IF(AV3191=0,0,(INDEX($C$33:$C$38,MATCH($AZ$3113,$B$33:$B$38,0),0)*(AV3191+$BA$3113)+$AY$3113*$C$31)*$AU$3113),0)</f>
        <v>0</v>
      </c>
      <c r="AX3191">
        <f>IF(AV3191=0,0,-$AY$3113*$C$31*$H$27*$AU$3113)</f>
        <v>0</v>
      </c>
      <c r="AY3191">
        <f>IF(AV3191=0,0,$AY$3113*$H$26*$AU$3113)</f>
        <v>0</v>
      </c>
      <c r="AZ3191">
        <f>(0.6*AW3191+0.7*AX3191)*$AU$3113/2</f>
        <v>0</v>
      </c>
      <c r="BA3191">
        <f>AW3191*$AU$3113/2</f>
        <v>0</v>
      </c>
      <c r="BC3191">
        <f>IF(AV3191=0,0,$BG$3113*$AP$3097)</f>
        <v>0</v>
      </c>
      <c r="BD3191">
        <f>IFERROR(BC3191/$AU$3113,0)</f>
        <v>0</v>
      </c>
      <c r="BE3191">
        <f>BC3191*($F$25+($C$16+$C$17+IF($C$13="single",1.5,3)+3)/12)</f>
        <v>0</v>
      </c>
      <c r="BF3191">
        <f>BE3191-AZ3191</f>
        <v>0</v>
      </c>
      <c r="BG3191" cm="1">
        <f t="array" ref="BG3191">IFERROR(IF(BF3191&lt;0,0,BF3191/($AU$3113-INDEX(hd_off,MATCH(BT3191,hd_mark,0),0)/12)),0)</f>
        <v>0</v>
      </c>
      <c r="BH3191">
        <f>IF(AV3191=0,0,$BG$3113*$AM$3097)</f>
        <v>0</v>
      </c>
      <c r="BI3191">
        <f>IFERROR(BH3191/$AU$3113,0)</f>
        <v>0</v>
      </c>
      <c r="BJ3191">
        <f>BH3191*($F$25+($C$16+$C$17+IF($C$13="single",1.5,3)+3)/12)</f>
        <v>0</v>
      </c>
      <c r="BK3191">
        <f>BJ3191-BA3191</f>
        <v>0</v>
      </c>
      <c r="BL3191" cm="1">
        <f t="array" ref="BL3191">IFERROR(IF(BK3191&lt;0,0,BK3191/($AU$3113-INDEX(hd_off,MATCH(BT3191,hd_mark,0),0)/12)),0)</f>
        <v>0</v>
      </c>
      <c r="BM3191">
        <f>MAX($F$25,$BF$3113)/$Q$3124</f>
        <v>0.29920977011494249</v>
      </c>
      <c r="BN3191">
        <f t="shared" si="1965"/>
        <v>1</v>
      </c>
      <c r="BO3191" cm="1">
        <f t="array" ref="BO3191">IFERROR(INDEX(sheath_ecap_asd,MATCH(BS3191,sheath_mark,0),0)*BN3191,0)</f>
        <v>0</v>
      </c>
      <c r="BP3191" cm="1">
        <f t="array" ref="BP3191">IFERROR(INDEX(sheath_wcap_asd,MATCH(BS3191,sheath_mark,0),0)*BN3191,0)</f>
        <v>0</v>
      </c>
      <c r="BQ3191" cm="1">
        <f t="array" ref="BQ3191">IFERROR(INDEX(hd_cap,MATCH(BT3191,hd_mark,0),0),0)</f>
        <v>0</v>
      </c>
      <c r="BS3191" s="19"/>
      <c r="BT3191" s="19"/>
      <c r="BU3191" s="100"/>
    </row>
    <row r="3192" x14ac:dyDescent="0.25">
      <c r="P3192" s="93"/>
      <c r="AR3192" s="100"/>
      <c r="AS3192" s="93"/>
      <c r="BU3192" s="100"/>
    </row>
    <row r="3193" x14ac:dyDescent="0.25">
      <c r="P3193" s="93"/>
      <c r="Q3193" s="110" t="str">
        <f>$Q$3114</f>
        <v>A.13</v>
      </c>
      <c r="R3193" t="str">
        <f>$Q$3093</f>
        <v>L2</v>
      </c>
      <c r="S3193">
        <f>$E$21</f>
        <v>10.6875</v>
      </c>
      <c r="T3193" cm="1">
        <f t="array" ref="T3193">IFERROR(IF(S3193=0,0,(INDEX($C$33:$C$38,MATCH($W$3114,$B$33:$B$38,0),0)*(S3197+$X$3114)+$T$3114*COUNTIF(S3193:S3196,"&gt;0")*$C$32+$V$3114*$C$31)*$R$3114),0)</f>
        <v>0</v>
      </c>
      <c r="U3193">
        <f>IF(S3193=0,0,-(COUNTIF(S3193:S3196,"&gt;0")*$T$3114*$C$32+$V$3114*$C$31)*$H$27*$R$3114)</f>
        <v>0</v>
      </c>
      <c r="V3193">
        <f>IF(S3193=0,0,$V$3114*$H$26*$R$3114)</f>
        <v>0</v>
      </c>
      <c r="W3193">
        <f>(0.6*T3193+0.7*U3193)*$R$3114/2</f>
        <v>0</v>
      </c>
      <c r="X3193">
        <f>(0.6*T3193+0.6*V3193)*$R$3114/2</f>
        <v>0</v>
      </c>
      <c r="Z3193">
        <f>IF(S3193=0,0,$AD$3114*$AP$3093)</f>
        <v>0</v>
      </c>
      <c r="AA3193">
        <f>IFERROR(Z3193/$R$3114,0)</f>
        <v>0</v>
      </c>
      <c r="AB3193">
        <f>Z3193*($F$21+IF($F$21=0,0,($C$14+$C$15+IF($C$13="single",1.5,3)+3)/12))</f>
        <v>0</v>
      </c>
      <c r="AC3193">
        <f>AB3193-W3193</f>
        <v>0</v>
      </c>
      <c r="AD3193" cm="1">
        <f t="array" ref="AD3193">IFERROR(IF(AC3193&lt;0,0,AC3193/($R$3114-INDEX(hd_off,MATCH(AQ3193,hd_mark,0),0)/12)),0)</f>
        <v>0</v>
      </c>
      <c r="AE3193">
        <f>IF(S3193=0,0,$AD$3114*$AM$3093)</f>
        <v>0</v>
      </c>
      <c r="AF3193">
        <f>IFERROR(AE3193/$R$3114,0)</f>
        <v>0</v>
      </c>
      <c r="AG3193">
        <f>AE3193*($F$21+IF($F$21=0,0,($C$14+$C$15+IF($C$13="single",1.5,3)+3)/12))</f>
        <v>0</v>
      </c>
      <c r="AH3193">
        <f>AG3193-X3193</f>
        <v>0</v>
      </c>
      <c r="AI3193" cm="1">
        <f t="array" ref="AI3193">IFERROR(IF(AH3193&lt;0,0,AH3193/($R$3114-INDEX(hd_off,MATCH(AQ3193,hd_mark,0),0)/12)),0)</f>
        <v>0</v>
      </c>
      <c r="AJ3193">
        <f>MAX($F$21,$Y$3114)/$Q$3124</f>
        <v>0.30172413793103448</v>
      </c>
      <c r="AK3193">
        <f>IF(AJ3193=0,0,IF(AJ3193&gt;2,1.25-0.125*AJ3193,1))</f>
        <v>1</v>
      </c>
      <c r="AL3193" cm="1">
        <f t="array" ref="AL3193">IFERROR(INDEX(sheath_ecap_asd,MATCH(AP3193,sheath_mark,0),0)*AK3193,0)</f>
        <v>0</v>
      </c>
      <c r="AM3193" cm="1">
        <f t="array" ref="AM3193">IFERROR(INDEX(sheath_wcap_asd,MATCH(AP3193,sheath_mark,0),0)*AK3193,0)</f>
        <v>0</v>
      </c>
      <c r="AN3193" cm="1">
        <f t="array" ref="AN3193">IFERROR(INDEX(hd_cap,MATCH(AQ3193,hd_mark,0),0),0)</f>
        <v>0</v>
      </c>
      <c r="AP3193" s="19"/>
      <c r="AQ3193" s="19"/>
      <c r="AR3193" s="100"/>
      <c r="AS3193" s="93"/>
      <c r="AT3193" s="110" t="str">
        <f>$AT$3114</f>
        <v>1.13</v>
      </c>
      <c r="AU3193" t="str">
        <f>$Q$3093</f>
        <v>L2</v>
      </c>
      <c r="AV3193">
        <f>$E$21</f>
        <v>10.6875</v>
      </c>
      <c r="AW3193" cm="1">
        <f t="array" ref="AW3193">IFERROR(IF(AV3193=0,0,(INDEX($C$33:$C$38,MATCH($AZ$3114,$B$33:$B$38,0),0)*(AV3197+$BA$3114)+$AW$3114*COUNTIF(AV3193:AV3196,"&gt;0")*$C$32+$AY$3114*$C$31)*$AU$3114),0)</f>
        <v>0</v>
      </c>
      <c r="AX3193">
        <f>IF(AV3193=0,0,-(COUNTIF(AV3193:AV3196,"&gt;0")*$AW$3114*$C$32+$AY$3114*$C$31)*$H$27*$AU$3114)</f>
        <v>0</v>
      </c>
      <c r="AY3193">
        <f>IF(AV3193=0,0,$AY$3114*$H$26*$AU$3114)</f>
        <v>0</v>
      </c>
      <c r="AZ3193">
        <f>(0.6*AW3193+0.7*AX3193)*$AU$3114/2</f>
        <v>0</v>
      </c>
      <c r="BA3193">
        <f>(0.6*AW3193+0.6*AY3193)*$AU$3114/2</f>
        <v>0</v>
      </c>
      <c r="BC3193">
        <f>IF(AV3193=0,0,$BG$3114*$AP$3093)</f>
        <v>0</v>
      </c>
      <c r="BD3193">
        <f>IFERROR(BC3193/$AU$3114,0)</f>
        <v>0</v>
      </c>
      <c r="BE3193">
        <f>BC3193*($F$21+IF($F$21=0,0,($C$14+$C$15+IF($C$13="single",1.5,3)+3)/12))</f>
        <v>0</v>
      </c>
      <c r="BF3193">
        <f>BE3193-AZ3193</f>
        <v>0</v>
      </c>
      <c r="BG3193" cm="1">
        <f t="array" ref="BG3193">IFERROR(IF(BF3193&lt;0,0,BF3193/($AU$3114-INDEX(hd_off,MATCH(BT3193,hd_mark,0),0)/12)),0)</f>
        <v>0</v>
      </c>
      <c r="BH3193">
        <f>IF(AV3193=0,0,$BG$3114*$AM$3093)</f>
        <v>0</v>
      </c>
      <c r="BI3193">
        <f>IFERROR(BH3193/$AU$3114,0)</f>
        <v>0</v>
      </c>
      <c r="BJ3193">
        <f>BH3193*($F$21+IF($F$21=0,0,($C$14+$C$15+IF($C$13="single",1.5,3)+3)/12))</f>
        <v>0</v>
      </c>
      <c r="BK3193">
        <f>BJ3193-BA3193</f>
        <v>0</v>
      </c>
      <c r="BL3193" cm="1">
        <f t="array" ref="BL3193">IFERROR(IF(BK3193&lt;0,0,BK3193/($AU$3114-INDEX(hd_off,MATCH(BT3193,hd_mark,0),0)/12)),0)</f>
        <v>0</v>
      </c>
      <c r="BM3193">
        <f>MAX($F$21,$BB$3114)/$Q$3124</f>
        <v>0.30172413793103448</v>
      </c>
      <c r="BN3193">
        <f>IF(BM3193=0,0,IF(BM3193&gt;2,1.25-0.125*BM3193,1))</f>
        <v>1</v>
      </c>
      <c r="BO3193" cm="1">
        <f t="array" ref="BO3193">IFERROR(INDEX(sheath_ecap_asd,MATCH(BS3193,sheath_mark,0),0)*BN3193,0)</f>
        <v>0</v>
      </c>
      <c r="BP3193" cm="1">
        <f t="array" ref="BP3193">IFERROR(INDEX(sheath_wcap_asd,MATCH(BS3193,sheath_mark,0),0)*BN3193,0)</f>
        <v>0</v>
      </c>
      <c r="BQ3193" cm="1">
        <f t="array" ref="BQ3193">IFERROR(INDEX(hd_cap,MATCH(BT3193,hd_mark,0),0),0)</f>
        <v>0</v>
      </c>
      <c r="BS3193" s="19"/>
      <c r="BT3193" s="19"/>
      <c r="BU3193" s="100"/>
    </row>
    <row r="3194" x14ac:dyDescent="0.25">
      <c r="P3194" s="93"/>
      <c r="Q3194" s="109"/>
      <c r="R3194" t="str">
        <f>$Q$3094</f>
        <v>L3</v>
      </c>
      <c r="S3194">
        <f>$E$22</f>
        <v>21.375</v>
      </c>
      <c r="T3194" cm="1">
        <f t="array" ref="T3194">IFERROR(IF(S3194=0,0,(INDEX($C$33:$C$38,MATCH($W$3114,$B$33:$B$38,0),0)*(S3197+$X$3114)+$T$3114*COUNTIF(S3194:S3196,"&gt;0")*$C$32+$V$3114*$C$31)*$R$3114),0)</f>
        <v>0</v>
      </c>
      <c r="U3194">
        <f>IF(S3194=0,0,-(COUNTIF(S3194:S3196,"&gt;0")*$T$3114*$C$32+$V$3114*$C$31)*$H$27*$R$3114)</f>
        <v>0</v>
      </c>
      <c r="V3194">
        <f>IF(S3194=0,0,$V$3114*$H$26*$R$3114)</f>
        <v>0</v>
      </c>
      <c r="W3194">
        <f>(0.6*T3194+0.7*U3194)*$R$3114/2</f>
        <v>0</v>
      </c>
      <c r="X3194">
        <f>T3194*$R$3114/2</f>
        <v>0</v>
      </c>
      <c r="Z3194">
        <f>IF(S3194=0,0,$AD$3114*$AP$3094)</f>
        <v>0</v>
      </c>
      <c r="AA3194">
        <f>IFERROR(Z3194/$R$3114,0)</f>
        <v>0</v>
      </c>
      <c r="AB3194">
        <f>Z3194*($F$22+IF($F$22=0,0,($C$14+$C$15+IF($C$13="single",1.5,3)+3)/12))</f>
        <v>0</v>
      </c>
      <c r="AC3194">
        <f>AB3194-W3194</f>
        <v>0</v>
      </c>
      <c r="AD3194" cm="1">
        <f t="array" ref="AD3194">IFERROR(IF(AC3194&lt;0,0,AC3194/($R$3114-INDEX(hd_off,MATCH(AQ3194,hd_mark,0),0)/12)),0)</f>
        <v>0</v>
      </c>
      <c r="AE3194">
        <f>IF(S3194=0,0,$AD$3114*$AM$3094)</f>
        <v>0</v>
      </c>
      <c r="AF3194">
        <f>IFERROR(AE3194/$R$3114,0)</f>
        <v>0</v>
      </c>
      <c r="AG3194">
        <f>AE3194*($F$22+IF($F$22=0,0,($C$14+$C$15+IF($C$13="single",1.5,3)+3)/12))</f>
        <v>0</v>
      </c>
      <c r="AH3194">
        <f>AG3194-X3194</f>
        <v>0</v>
      </c>
      <c r="AI3194" cm="1">
        <f t="array" ref="AI3194">IFERROR(IF(AH3194&lt;0,0,AH3194/($R$3114-INDEX(hd_off,MATCH(AQ3194,hd_mark,0),0)/12)),0)</f>
        <v>0</v>
      </c>
      <c r="AJ3194">
        <f>MAX($F$22,$Z$3114)/$Q$3124</f>
        <v>0.30172413793103448</v>
      </c>
      <c r="AK3194">
        <f t="shared" ref="AK3194:AK3197" si="1966">IF(AJ3194=0,0,IF(AJ3194&gt;2,1.25-0.125*AJ3194,1))</f>
        <v>1</v>
      </c>
      <c r="AL3194" cm="1">
        <f t="array" ref="AL3194">IFERROR(INDEX(sheath_ecap_asd,MATCH(AP3194,sheath_mark,0),0)*AK3194,0)</f>
        <v>0</v>
      </c>
      <c r="AM3194" cm="1">
        <f t="array" ref="AM3194">IFERROR(INDEX(sheath_wcap_asd,MATCH(AP3194,sheath_mark,0),0)*AK3194,0)</f>
        <v>0</v>
      </c>
      <c r="AN3194" cm="1">
        <f t="array" ref="AN3194">IFERROR(INDEX(hd_cap,MATCH(AQ3194,hd_mark,0),0),0)</f>
        <v>0</v>
      </c>
      <c r="AP3194" s="19"/>
      <c r="AQ3194" s="19"/>
      <c r="AR3194" s="100"/>
      <c r="AS3194" s="93"/>
      <c r="AT3194" s="109"/>
      <c r="AU3194" t="str">
        <f>$Q$3094</f>
        <v>L3</v>
      </c>
      <c r="AV3194">
        <f>$E$22</f>
        <v>21.375</v>
      </c>
      <c r="AW3194" cm="1">
        <f t="array" ref="AW3194">IFERROR(IF(AV3194=0,0,(INDEX($C$33:$C$38,MATCH($AZ$3114,$B$33:$B$38,0),0)*(AV3197+$BA$3114)+$AW$3114*COUNTIF(AV3194:AV3196,"&gt;0")*$C$32+$AY$3114*$C$31)*$AU$3114),0)</f>
        <v>0</v>
      </c>
      <c r="AX3194">
        <f>IF(AV3194=0,0,-(COUNTIF(AV3194:AV3196,"&gt;0")*$AW$3114*$C$32+$AY$3114*$C$31)*$H$27*$AU$3114)</f>
        <v>0</v>
      </c>
      <c r="AY3194">
        <f>IF(AV3194=0,0,$AY$3114*$H$26*$AU$3114)</f>
        <v>0</v>
      </c>
      <c r="AZ3194">
        <f>(0.6*AW3194+0.7*AX3194)*$AU$3114/2</f>
        <v>0</v>
      </c>
      <c r="BA3194">
        <f>AW3194*$AU$3114/2</f>
        <v>0</v>
      </c>
      <c r="BC3194">
        <f>IF(AV3194=0,0,$BG$3114*$AP$3094)</f>
        <v>0</v>
      </c>
      <c r="BD3194">
        <f>IFERROR(BC3194/$AU$3114,0)</f>
        <v>0</v>
      </c>
      <c r="BE3194">
        <f>BC3194*($F$22+IF($F$22=0,0,($C$14+$C$15+IF($C$13="single",1.5,3)+3)/12))</f>
        <v>0</v>
      </c>
      <c r="BF3194">
        <f>BE3194-AZ3194</f>
        <v>0</v>
      </c>
      <c r="BG3194" cm="1">
        <f t="array" ref="BG3194">IFERROR(IF(BF3194&lt;0,0,BF3194/($AU$3114-INDEX(hd_off,MATCH(BT3194,hd_mark,0),0)/12)),0)</f>
        <v>0</v>
      </c>
      <c r="BH3194">
        <f>IF(AV3194=0,0,$BG$3114*$AM$3094)</f>
        <v>0</v>
      </c>
      <c r="BI3194">
        <f>IFERROR(BH3194/$AU$3114,0)</f>
        <v>0</v>
      </c>
      <c r="BJ3194">
        <f>BH3194*($F$22+IF($F$22=0,0,($C$14+$C$15+IF($C$13="single",1.5,3)+3)/12))</f>
        <v>0</v>
      </c>
      <c r="BK3194">
        <f>BJ3194-BA3194</f>
        <v>0</v>
      </c>
      <c r="BL3194" cm="1">
        <f t="array" ref="BL3194">IFERROR(IF(BK3194&lt;0,0,BK3194/($AU$3114-INDEX(hd_off,MATCH(BT3194,hd_mark,0),0)/12)),0)</f>
        <v>0</v>
      </c>
      <c r="BM3194">
        <f>MAX($F$22,$BC$3114)/$Q$3124</f>
        <v>0.30172413793103448</v>
      </c>
      <c r="BN3194">
        <f t="shared" ref="BN3194:BN3197" si="1967">IF(BM3194=0,0,IF(BM3194&gt;2,1.25-0.125*BM3194,1))</f>
        <v>1</v>
      </c>
      <c r="BO3194" cm="1">
        <f t="array" ref="BO3194">IFERROR(INDEX(sheath_ecap_asd,MATCH(BS3194,sheath_mark,0),0)*BN3194,0)</f>
        <v>0</v>
      </c>
      <c r="BP3194" cm="1">
        <f t="array" ref="BP3194">IFERROR(INDEX(sheath_wcap_asd,MATCH(BS3194,sheath_mark,0),0)*BN3194,0)</f>
        <v>0</v>
      </c>
      <c r="BQ3194" cm="1">
        <f t="array" ref="BQ3194">IFERROR(INDEX(hd_cap,MATCH(BT3194,hd_mark,0),0),0)</f>
        <v>0</v>
      </c>
      <c r="BS3194" s="19"/>
      <c r="BT3194" s="19"/>
      <c r="BU3194" s="100"/>
    </row>
    <row r="3195" x14ac:dyDescent="0.25">
      <c r="P3195" s="93"/>
      <c r="Q3195" s="109" t="s">
        <v>491</v>
      </c>
      <c r="R3195" t="str">
        <f>$Q$3095</f>
        <v>L4</v>
      </c>
      <c r="S3195">
        <f>$E$23</f>
        <v>0</v>
      </c>
      <c r="T3195" cm="1">
        <f t="array" ref="T3195">IFERROR(IF(S3195=0,0,(INDEX($C$33:$C$38,MATCH($W$3114,$B$33:$B$38,0),0)*(S3197+$X$3114)+$T$3114*COUNTIF(S3195:S3196,"&gt;0")*$C$32+$V$3114*$C$31)*$R$3114),0)</f>
        <v>0</v>
      </c>
      <c r="U3195">
        <f>IF(S3195=0,0,-(COUNTIF(S3195:S3196,"&gt;0")*$T$3114*$C$32+$V$3114*$C$31)*$H$27*$R$3114)</f>
        <v>0</v>
      </c>
      <c r="V3195">
        <f>IF(S3195=0,0,$V$3114*$H$26*$R$3114)</f>
        <v>0</v>
      </c>
      <c r="W3195">
        <f>(0.6*T3195+0.7*U3195)*$R$3114/2</f>
        <v>0</v>
      </c>
      <c r="X3195">
        <f>T3195*$R$3114/2</f>
        <v>0</v>
      </c>
      <c r="Z3195">
        <f>IF(S3195=0,0,$AD$3114*$AP$3095)</f>
        <v>0</v>
      </c>
      <c r="AA3195">
        <f>IFERROR(Z3195/$R$3114,0)</f>
        <v>0</v>
      </c>
      <c r="AB3195">
        <f>Z3195*($F$23+IF($F$23=0,0,($C$14+$C$15+IF($C$13="single",1.5,3)+3)/12))</f>
        <v>0</v>
      </c>
      <c r="AC3195">
        <f>AB3195-W3195</f>
        <v>0</v>
      </c>
      <c r="AD3195" cm="1">
        <f t="array" ref="AD3195">IFERROR(IF(AC3195&lt;0,0,AC3195/($R$3114-INDEX(hd_off,MATCH(AQ3195,hd_mark,0),0)/12)),0)</f>
        <v>0</v>
      </c>
      <c r="AE3195">
        <f>IF(S3195=0,0,$AD$3114*$AM$3095)</f>
        <v>0</v>
      </c>
      <c r="AF3195">
        <f>IFERROR(AE3195/$R$3114,0)</f>
        <v>0</v>
      </c>
      <c r="AG3195">
        <f>AE3195*($F$23+IF($F$23=0,0,($C$14+$C$15+IF($C$13="single",1.5,3)+3)/12))</f>
        <v>0</v>
      </c>
      <c r="AH3195">
        <f>AG3195-X3195</f>
        <v>0</v>
      </c>
      <c r="AI3195" cm="1">
        <f t="array" ref="AI3195">IFERROR(IF(AH3195&lt;0,0,AH3195/($R$3114-INDEX(hd_off,MATCH(AQ3195,hd_mark,0),0)/12)),0)</f>
        <v>0</v>
      </c>
      <c r="AJ3195">
        <f>MAX($F$23,$AA$3114)/$Q$3124</f>
        <v>0</v>
      </c>
      <c r="AK3195">
        <f t="shared" si="1966"/>
        <v>0</v>
      </c>
      <c r="AL3195" cm="1">
        <f t="array" ref="AL3195">IFERROR(INDEX(sheath_ecap_asd,MATCH(AP3195,sheath_mark,0),0)*AK3195,0)</f>
        <v>0</v>
      </c>
      <c r="AM3195" cm="1">
        <f t="array" ref="AM3195">IFERROR(INDEX(sheath_wcap_asd,MATCH(AP3195,sheath_mark,0),0)*AK3195,0)</f>
        <v>0</v>
      </c>
      <c r="AN3195" cm="1">
        <f t="array" ref="AN3195">IFERROR(INDEX(hd_cap,MATCH(AQ3195,hd_mark,0),0),0)</f>
        <v>0</v>
      </c>
      <c r="AP3195" s="19"/>
      <c r="AQ3195" s="19"/>
      <c r="AR3195" s="100"/>
      <c r="AS3195" s="93"/>
      <c r="AT3195" s="109" t="s">
        <v>491</v>
      </c>
      <c r="AU3195" t="str">
        <f>$Q$3095</f>
        <v>L4</v>
      </c>
      <c r="AV3195">
        <f>$E$23</f>
        <v>0</v>
      </c>
      <c r="AW3195" cm="1">
        <f t="array" ref="AW3195">IFERROR(IF(AV3195=0,0,(INDEX($C$33:$C$38,MATCH($AZ$3114,$B$33:$B$38,0),0)*(AV3197+$BA$3114)+$AW$3114*COUNTIF(AV3195:AV3196,"&gt;0")*$C$32+$AY$3114*$C$31)*$AU$3114),0)</f>
        <v>0</v>
      </c>
      <c r="AX3195">
        <f>IF(AV3195=0,0,-(COUNTIF(AV3195:AV3196,"&gt;0")*$AW$3114*$C$32+$AY$3114*$C$31)*$H$27*$AU$3114)</f>
        <v>0</v>
      </c>
      <c r="AY3195">
        <f>IF(AV3195=0,0,$AY$3114*$H$26*$AU$3114)</f>
        <v>0</v>
      </c>
      <c r="AZ3195">
        <f>(0.6*AW3195+0.7*AX3195)*$AU$3114/2</f>
        <v>0</v>
      </c>
      <c r="BA3195">
        <f>AW3195*$AU$3114/2</f>
        <v>0</v>
      </c>
      <c r="BC3195">
        <f>IF(AV3195=0,0,$BG$3114*$AP$3095)</f>
        <v>0</v>
      </c>
      <c r="BD3195">
        <f>IFERROR(BC3195/$AU$3114,0)</f>
        <v>0</v>
      </c>
      <c r="BE3195">
        <f>BC3195*($F$23+IF($F$23=0,0,($C$14+$C$15+IF($C$13="single",1.5,3)+3)/12))</f>
        <v>0</v>
      </c>
      <c r="BF3195">
        <f>BE3195-AZ3195</f>
        <v>0</v>
      </c>
      <c r="BG3195" cm="1">
        <f t="array" ref="BG3195">IFERROR(IF(BF3195&lt;0,0,BF3195/($AU$3114-INDEX(hd_off,MATCH(BT3195,hd_mark,0),0)/12)),0)</f>
        <v>0</v>
      </c>
      <c r="BH3195">
        <f>IF(AV3195=0,0,$BG$3114*$AM$3095)</f>
        <v>0</v>
      </c>
      <c r="BI3195">
        <f>IFERROR(BH3195/$AU$3114,0)</f>
        <v>0</v>
      </c>
      <c r="BJ3195">
        <f>BH3195*($F$23+IF($F$23=0,0,($C$14+$C$15+IF($C$13="single",1.5,3)+3)/12))</f>
        <v>0</v>
      </c>
      <c r="BK3195">
        <f>BJ3195-BA3195</f>
        <v>0</v>
      </c>
      <c r="BL3195" cm="1">
        <f t="array" ref="BL3195">IFERROR(IF(BK3195&lt;0,0,BK3195/($AU$3114-INDEX(hd_off,MATCH(BT3195,hd_mark,0),0)/12)),0)</f>
        <v>0</v>
      </c>
      <c r="BM3195">
        <f>MAX($F$23,$BD$3114)/$Q$3124</f>
        <v>0</v>
      </c>
      <c r="BN3195">
        <f t="shared" si="1967"/>
        <v>0</v>
      </c>
      <c r="BO3195" cm="1">
        <f t="array" ref="BO3195">IFERROR(INDEX(sheath_ecap_asd,MATCH(BS3195,sheath_mark,0),0)*BN3195,0)</f>
        <v>0</v>
      </c>
      <c r="BP3195" cm="1">
        <f t="array" ref="BP3195">IFERROR(INDEX(sheath_wcap_asd,MATCH(BS3195,sheath_mark,0),0)*BN3195,0)</f>
        <v>0</v>
      </c>
      <c r="BQ3195" cm="1">
        <f t="array" ref="BQ3195">IFERROR(INDEX(hd_cap,MATCH(BT3195,hd_mark,0),0),0)</f>
        <v>0</v>
      </c>
      <c r="BS3195" s="19"/>
      <c r="BT3195" s="19"/>
      <c r="BU3195" s="100"/>
    </row>
    <row r="3196" x14ac:dyDescent="0.25">
      <c r="P3196" s="93"/>
      <c r="Q3196" s="111">
        <f>$R$3114</f>
        <v>0</v>
      </c>
      <c r="R3196" t="str">
        <f>$Q$3096</f>
        <v>L5</v>
      </c>
      <c r="S3196">
        <f>$E$24</f>
        <v>0</v>
      </c>
      <c r="T3196" cm="1">
        <f t="array" ref="T3196">IFERROR(IF(S3196=0,0,(INDEX($C$33:$C$38,MATCH($W$3114,$B$33:$B$38,0),0)*(S3197+$X$3114)+$T$3114*COUNTIF(S3196:S3196,"&gt;0")*$C$32+$V$3114*$C$31)*$R$3114),0)</f>
        <v>0</v>
      </c>
      <c r="U3196">
        <f>IF(S3196=0,0,-(COUNTIF(S3196:S3196,"&gt;0")*$T$3114*$C$32+$V$3114*$C$31)*$H$27*$R$3114)</f>
        <v>0</v>
      </c>
      <c r="V3196">
        <f>IF(S3196=0,0,$V$3114*$H$26*$R$3114)</f>
        <v>0</v>
      </c>
      <c r="W3196">
        <f>(0.6*T3196+0.7*U3196)*$R$3114/2</f>
        <v>0</v>
      </c>
      <c r="X3196">
        <f>T3196*$R$3114/2</f>
        <v>0</v>
      </c>
      <c r="Z3196">
        <f>IF(S3196=0,0,$AD$3114*$AP$3096)</f>
        <v>0</v>
      </c>
      <c r="AA3196">
        <f>IFERROR(Z3196/$R$3114,0)</f>
        <v>0</v>
      </c>
      <c r="AB3196">
        <f>Z3196*($F$24+IF($F$24=0,0,($C$14+$C$15+IF($C$13="single",1.5,3)+3)/12))</f>
        <v>0</v>
      </c>
      <c r="AC3196">
        <f>AB3196-W3196</f>
        <v>0</v>
      </c>
      <c r="AD3196" cm="1">
        <f t="array" ref="AD3196">IFERROR(IF(AC3196&lt;0,0,AC3196/($R$3114-INDEX(hd_off,MATCH(AQ3196,hd_mark,0),0)/12)),0)</f>
        <v>0</v>
      </c>
      <c r="AE3196">
        <f>IF(S3196=0,0,$AD$3114*$AM$3096)</f>
        <v>0</v>
      </c>
      <c r="AF3196">
        <f>IFERROR(AE3196/$R$3114,0)</f>
        <v>0</v>
      </c>
      <c r="AG3196">
        <f>AE3196*($F$24+IF($F$24=0,0,($C$14+$C$15+IF($C$13="single",1.5,3)+3)/12))</f>
        <v>0</v>
      </c>
      <c r="AH3196">
        <f>AG3196-X3196</f>
        <v>0</v>
      </c>
      <c r="AI3196" cm="1">
        <f t="array" ref="AI3196">IFERROR(IF(AH3196&lt;0,0,AH3196/($R$3114-INDEX(hd_off,MATCH(AQ3196,hd_mark,0),0)/12)),0)</f>
        <v>0</v>
      </c>
      <c r="AJ3196">
        <f>MAX($F$24,$AB$3114)/$Q$3124</f>
        <v>0</v>
      </c>
      <c r="AK3196">
        <f t="shared" si="1966"/>
        <v>0</v>
      </c>
      <c r="AL3196" cm="1">
        <f t="array" ref="AL3196">IFERROR(INDEX(sheath_ecap_asd,MATCH(AP3196,sheath_mark,0),0)*AK3196,0)</f>
        <v>0</v>
      </c>
      <c r="AM3196" cm="1">
        <f t="array" ref="AM3196">IFERROR(INDEX(sheath_wcap_asd,MATCH(AP3196,sheath_mark,0),0)*AK3196,0)</f>
        <v>0</v>
      </c>
      <c r="AN3196" cm="1">
        <f t="array" ref="AN3196">IFERROR(INDEX(hd_cap,MATCH(AQ3196,hd_mark,0),0),0)</f>
        <v>0</v>
      </c>
      <c r="AP3196" s="19"/>
      <c r="AQ3196" s="19"/>
      <c r="AR3196" s="100"/>
      <c r="AS3196" s="93"/>
      <c r="AT3196" s="111">
        <f>$R$3114</f>
        <v>0</v>
      </c>
      <c r="AU3196" t="str">
        <f>$Q$3096</f>
        <v>L5</v>
      </c>
      <c r="AV3196">
        <f>$E$24</f>
        <v>0</v>
      </c>
      <c r="AW3196" cm="1">
        <f t="array" ref="AW3196">IFERROR(IF(AV3196=0,0,(INDEX($C$33:$C$38,MATCH($AZ$3114,$B$33:$B$38,0),0)*(AV3197+$BA$3114)+$AW$3114*COUNTIF(AV3196:AV3196,"&gt;0")*$C$32+$AY$3114*$C$31)*$AU$3114),0)</f>
        <v>0</v>
      </c>
      <c r="AX3196">
        <f>IF(AV3196=0,0,-(COUNTIF(AV3196:AV3196,"&gt;0")*$AW$3114*$C$32+$AY$3114*$C$31)*$H$27*$AU$3114)</f>
        <v>0</v>
      </c>
      <c r="AY3196">
        <f>IF(AV3196=0,0,$AY$3114*$H$26*$AU$3114)</f>
        <v>0</v>
      </c>
      <c r="AZ3196">
        <f>(0.6*AW3196+0.7*AX3196)*$AU$3114/2</f>
        <v>0</v>
      </c>
      <c r="BA3196">
        <f>AW3196*$AU$3114/2</f>
        <v>0</v>
      </c>
      <c r="BC3196">
        <f>IF(AV3196=0,0,$BG$3114*$AP$3096)</f>
        <v>0</v>
      </c>
      <c r="BD3196">
        <f>IFERROR(BC3196/$AU$3114,0)</f>
        <v>0</v>
      </c>
      <c r="BE3196">
        <f>BC3196*($F$24+IF($F$24=0,0,($C$14+$C$15+IF($C$13="single",1.5,3)+3)/12))</f>
        <v>0</v>
      </c>
      <c r="BF3196">
        <f>BE3196-AZ3196</f>
        <v>0</v>
      </c>
      <c r="BG3196" cm="1">
        <f t="array" ref="BG3196">IFERROR(IF(BF3196&lt;0,0,BF3196/($AU$3114-INDEX(hd_off,MATCH(BT3196,hd_mark,0),0)/12)),0)</f>
        <v>0</v>
      </c>
      <c r="BH3196">
        <f>IF(AV3196=0,0,$BG$3114*$AM$3096)</f>
        <v>0</v>
      </c>
      <c r="BI3196">
        <f>IFERROR(BH3196/$AU$3114,0)</f>
        <v>0</v>
      </c>
      <c r="BJ3196">
        <f>BH3196*($F$24+IF($F$24=0,0,($C$14+$C$15+IF($C$13="single",1.5,3)+3)/12))</f>
        <v>0</v>
      </c>
      <c r="BK3196">
        <f>BJ3196-BA3196</f>
        <v>0</v>
      </c>
      <c r="BL3196" cm="1">
        <f t="array" ref="BL3196">IFERROR(IF(BK3196&lt;0,0,BK3196/($AU$3114-INDEX(hd_off,MATCH(BT3196,hd_mark,0),0)/12)),0)</f>
        <v>0</v>
      </c>
      <c r="BM3196">
        <f>MAX($F$24,$BE$3114)/$Q$3124</f>
        <v>0</v>
      </c>
      <c r="BN3196">
        <f t="shared" si="1967"/>
        <v>0</v>
      </c>
      <c r="BO3196" cm="1">
        <f t="array" ref="BO3196">IFERROR(INDEX(sheath_ecap_asd,MATCH(BS3196,sheath_mark,0),0)*BN3196,0)</f>
        <v>0</v>
      </c>
      <c r="BP3196" cm="1">
        <f t="array" ref="BP3196">IFERROR(INDEX(sheath_wcap_asd,MATCH(BS3196,sheath_mark,0),0)*BN3196,0)</f>
        <v>0</v>
      </c>
      <c r="BQ3196" cm="1">
        <f t="array" ref="BQ3196">IFERROR(INDEX(hd_cap,MATCH(BT3196,hd_mark,0),0),0)</f>
        <v>0</v>
      </c>
      <c r="BS3196" s="19"/>
      <c r="BT3196" s="19"/>
      <c r="BU3196" s="100"/>
    </row>
    <row r="3197" x14ac:dyDescent="0.25">
      <c r="P3197" s="93"/>
      <c r="Q3197" s="109"/>
      <c r="R3197" t="str">
        <f>$Q$3097</f>
        <v>Roof</v>
      </c>
      <c r="S3197">
        <f>$E$25</f>
        <v>33.171875</v>
      </c>
      <c r="T3197" cm="1">
        <f t="array" ref="T3197">IFERROR(IF(S3197=0,0,(INDEX($C$33:$C$38,MATCH($W$3114,$B$33:$B$38,0),0)*(S3197+$X$3114)+$V$3114*$C$31)*$R$3114),0)</f>
        <v>0</v>
      </c>
      <c r="U3197">
        <f>IF(S3197=0,0,-$V$3114*$C$31*$H$27*$R$3114)</f>
        <v>0</v>
      </c>
      <c r="V3197">
        <f>IF(S3197=0,0,$V$3114*$H$26*$R$3114)</f>
        <v>0</v>
      </c>
      <c r="W3197">
        <f>(0.6*T3197+0.7*U3197)*$R$3114/2</f>
        <v>0</v>
      </c>
      <c r="X3197">
        <f>T3197*$R$3114/2</f>
        <v>0</v>
      </c>
      <c r="Z3197">
        <f>IF(S3197=0,0,$AD$3114*$AP$3097)</f>
        <v>0</v>
      </c>
      <c r="AA3197">
        <f>IFERROR(Z3197/$R$3114,0)</f>
        <v>0</v>
      </c>
      <c r="AB3197">
        <f>Z3197*($F$25+($C$16+$C$17+IF($C$13="single",1.5,3)+3)/12)</f>
        <v>0</v>
      </c>
      <c r="AC3197">
        <f>AB3197-W3197</f>
        <v>0</v>
      </c>
      <c r="AD3197" cm="1">
        <f t="array" ref="AD3197">IFERROR(IF(AC3197&lt;0,0,AC3197/($R$3114-INDEX(hd_off,MATCH(AQ3197,hd_mark,0),0)/12)),0)</f>
        <v>0</v>
      </c>
      <c r="AE3197">
        <f>IF(S3197=0,0,$AD$3114*$AM$3097)</f>
        <v>0</v>
      </c>
      <c r="AF3197">
        <f>IFERROR(AE3197/$R$3114,0)</f>
        <v>0</v>
      </c>
      <c r="AG3197">
        <f>AE3197*($F$25+($C$16+$C$17+IF($C$13="single",1.5,3)+3)/12)</f>
        <v>0</v>
      </c>
      <c r="AH3197">
        <f>AG3197-X3197</f>
        <v>0</v>
      </c>
      <c r="AI3197" cm="1">
        <f t="array" ref="AI3197">IFERROR(IF(AH3197&lt;0,0,AH3197/($R$3114-INDEX(hd_off,MATCH(AQ3197,hd_mark,0),0)/12)),0)</f>
        <v>0</v>
      </c>
      <c r="AJ3197">
        <f>MAX($F$25,$AC$3114)/$Q$3124</f>
        <v>0.29920977011494249</v>
      </c>
      <c r="AK3197">
        <f t="shared" si="1966"/>
        <v>1</v>
      </c>
      <c r="AL3197" cm="1">
        <f t="array" ref="AL3197">IFERROR(INDEX(sheath_ecap_asd,MATCH(AP3197,sheath_mark,0),0)*AK3197,0)</f>
        <v>0</v>
      </c>
      <c r="AM3197" cm="1">
        <f t="array" ref="AM3197">IFERROR(INDEX(sheath_wcap_asd,MATCH(AP3197,sheath_mark,0),0)*AK3197,0)</f>
        <v>0</v>
      </c>
      <c r="AN3197" cm="1">
        <f t="array" ref="AN3197">IFERROR(INDEX(hd_cap,MATCH(AQ3197,hd_mark,0),0),0)</f>
        <v>0</v>
      </c>
      <c r="AP3197" s="19"/>
      <c r="AQ3197" s="19"/>
      <c r="AR3197" s="100"/>
      <c r="AS3197" s="93"/>
      <c r="AT3197" s="109"/>
      <c r="AU3197" t="str">
        <f>$Q$3097</f>
        <v>Roof</v>
      </c>
      <c r="AV3197">
        <f>$E$25</f>
        <v>33.171875</v>
      </c>
      <c r="AW3197" cm="1">
        <f t="array" ref="AW3197">IFERROR(IF(AV3197=0,0,(INDEX($C$33:$C$38,MATCH($AZ$3114,$B$33:$B$38,0),0)*(AV3197+$BA$3114)+$AY$3114*$C$31)*$AU$3114),0)</f>
        <v>0</v>
      </c>
      <c r="AX3197">
        <f>IF(AV3197=0,0,-$AY$3114*$C$31*$H$27*$AU$3114)</f>
        <v>0</v>
      </c>
      <c r="AY3197">
        <f>IF(AV3197=0,0,$AY$3114*$H$26*$AU$3114)</f>
        <v>0</v>
      </c>
      <c r="AZ3197">
        <f>(0.6*AW3197+0.7*AX3197)*$AU$3114/2</f>
        <v>0</v>
      </c>
      <c r="BA3197">
        <f>AW3197*$AU$3114/2</f>
        <v>0</v>
      </c>
      <c r="BC3197">
        <f>IF(AV3197=0,0,$BG$3114*$AP$3097)</f>
        <v>0</v>
      </c>
      <c r="BD3197">
        <f>IFERROR(BC3197/$AU$3114,0)</f>
        <v>0</v>
      </c>
      <c r="BE3197">
        <f>BC3197*($F$25+($C$16+$C$17+IF($C$13="single",1.5,3)+3)/12)</f>
        <v>0</v>
      </c>
      <c r="BF3197">
        <f>BE3197-AZ3197</f>
        <v>0</v>
      </c>
      <c r="BG3197" cm="1">
        <f t="array" ref="BG3197">IFERROR(IF(BF3197&lt;0,0,BF3197/($AU$3114-INDEX(hd_off,MATCH(BT3197,hd_mark,0),0)/12)),0)</f>
        <v>0</v>
      </c>
      <c r="BH3197">
        <f>IF(AV3197=0,0,$BG$3114*$AM$3097)</f>
        <v>0</v>
      </c>
      <c r="BI3197">
        <f>IFERROR(BH3197/$AU$3114,0)</f>
        <v>0</v>
      </c>
      <c r="BJ3197">
        <f>BH3197*($F$25+($C$16+$C$17+IF($C$13="single",1.5,3)+3)/12)</f>
        <v>0</v>
      </c>
      <c r="BK3197">
        <f>BJ3197-BA3197</f>
        <v>0</v>
      </c>
      <c r="BL3197" cm="1">
        <f t="array" ref="BL3197">IFERROR(IF(BK3197&lt;0,0,BK3197/($AU$3114-INDEX(hd_off,MATCH(BT3197,hd_mark,0),0)/12)),0)</f>
        <v>0</v>
      </c>
      <c r="BM3197">
        <f>MAX($F$25,$BF$3114)/$Q$3124</f>
        <v>0.29920977011494249</v>
      </c>
      <c r="BN3197">
        <f t="shared" si="1967"/>
        <v>1</v>
      </c>
      <c r="BO3197" cm="1">
        <f t="array" ref="BO3197">IFERROR(INDEX(sheath_ecap_asd,MATCH(BS3197,sheath_mark,0),0)*BN3197,0)</f>
        <v>0</v>
      </c>
      <c r="BP3197" cm="1">
        <f t="array" ref="BP3197">IFERROR(INDEX(sheath_wcap_asd,MATCH(BS3197,sheath_mark,0),0)*BN3197,0)</f>
        <v>0</v>
      </c>
      <c r="BQ3197" cm="1">
        <f t="array" ref="BQ3197">IFERROR(INDEX(hd_cap,MATCH(BT3197,hd_mark,0),0),0)</f>
        <v>0</v>
      </c>
      <c r="BS3197" s="19"/>
      <c r="BT3197" s="19"/>
      <c r="BU3197" s="100"/>
    </row>
    <row r="3198" x14ac:dyDescent="0.25">
      <c r="P3198" s="93"/>
      <c r="AR3198" s="100"/>
      <c r="AS3198" s="93"/>
      <c r="BU3198" s="100"/>
    </row>
    <row r="3199" x14ac:dyDescent="0.25">
      <c r="P3199" s="93"/>
      <c r="Q3199" s="110" t="str">
        <f>$Q$3115</f>
        <v>A.14</v>
      </c>
      <c r="R3199" t="str">
        <f>$Q$3093</f>
        <v>L2</v>
      </c>
      <c r="S3199">
        <f>$E$21</f>
        <v>10.6875</v>
      </c>
      <c r="T3199" cm="1">
        <f t="array" ref="T3199">IFERROR(IF(S3199=0,0,(INDEX($C$33:$C$38,MATCH($W$3115,$B$33:$B$38,0),0)*(S3203+$X$3115)+$T$3115*COUNTIF(S3199:S3215,"&gt;0")*$C$32+$V$3115*$C$31)*$R$3115),0)</f>
        <v>0</v>
      </c>
      <c r="U3199">
        <f>IF(S3199=0,0,-(COUNTIF(S3199:S3215,"&gt;0")*$T$3115*$C$32+$V$3115*$C$31)*$H$27*$R$3115)</f>
        <v>0</v>
      </c>
      <c r="V3199">
        <f>IF(S3199=0,0,$V$3115*$H$26*$R$3115)</f>
        <v>0</v>
      </c>
      <c r="W3199">
        <f>(0.6*T3199+0.7*U3199)*$R$3115/2</f>
        <v>0</v>
      </c>
      <c r="X3199">
        <f>(0.6*T3199+0.6*V3199)*$R$3115/2</f>
        <v>0</v>
      </c>
      <c r="Z3199">
        <f>IF(S3199=0,0,$AD$3115*$AP$3093)</f>
        <v>0</v>
      </c>
      <c r="AA3199">
        <f>IFERROR(Z3199/$R$3115,0)</f>
        <v>0</v>
      </c>
      <c r="AB3199">
        <f>Z3199*($F$21+IF($F$21=0,0,($C$14+$C$15+IF($C$13="single",1.5,3)+3)/12))</f>
        <v>0</v>
      </c>
      <c r="AC3199">
        <f>AB3199-W3199</f>
        <v>0</v>
      </c>
      <c r="AD3199" cm="1">
        <f t="array" ref="AD3199">IFERROR(IF(AC3199&lt;0,0,AC3199/($R$3115-INDEX(hd_off,MATCH(AQ3199,hd_mark,0),0)/12)),0)</f>
        <v>0</v>
      </c>
      <c r="AE3199">
        <f>IF(S3199=0,0,$AD$3115*$AM$3093)</f>
        <v>0</v>
      </c>
      <c r="AF3199">
        <f>IFERROR(AE3199/$R$3115,0)</f>
        <v>0</v>
      </c>
      <c r="AG3199">
        <f>AE3199*($F$21+IF($F$21=0,0,($C$14+$C$15+IF($C$13="single",1.5,3)+3)/12))</f>
        <v>0</v>
      </c>
      <c r="AH3199">
        <f>AG3199-X3199</f>
        <v>0</v>
      </c>
      <c r="AI3199" cm="1">
        <f t="array" ref="AI3199">IFERROR(IF(AH3199&lt;0,0,AH3199/($R$3115-INDEX(hd_off,MATCH(AQ3199,hd_mark,0),0)/12)),0)</f>
        <v>0</v>
      </c>
      <c r="AJ3199">
        <f>MAX($F$21,$Y$3115)/$Q$3124</f>
        <v>0.30172413793103448</v>
      </c>
      <c r="AK3199">
        <f>IF(AJ3199=0,0,IF(AJ3199&gt;2,1.25-0.125*AJ3199,1))</f>
        <v>1</v>
      </c>
      <c r="AL3199" cm="1">
        <f t="array" ref="AL3199">IFERROR(INDEX(sheath_ecap_asd,MATCH(AP3199,sheath_mark,0),0)*AK3199,0)</f>
        <v>0</v>
      </c>
      <c r="AM3199" cm="1">
        <f t="array" ref="AM3199">IFERROR(INDEX(sheath_wcap_asd,MATCH(AP3199,sheath_mark,0),0)*AK3199,0)</f>
        <v>0</v>
      </c>
      <c r="AN3199" cm="1">
        <f t="array" ref="AN3199">IFERROR(INDEX(hd_cap,MATCH(AQ3199,hd_mark,0),0),0)</f>
        <v>0</v>
      </c>
      <c r="AP3199" s="19"/>
      <c r="AQ3199" s="19"/>
      <c r="AR3199" s="100"/>
      <c r="AS3199" s="93"/>
      <c r="AT3199" s="110" t="str">
        <f>$AT$3115</f>
        <v>1.14</v>
      </c>
      <c r="AU3199" t="str">
        <f>$Q$3093</f>
        <v>L2</v>
      </c>
      <c r="AV3199">
        <f>$E$21</f>
        <v>10.6875</v>
      </c>
      <c r="AW3199" cm="1">
        <f t="array" ref="AW3199">IFERROR(IF(AV3199=0,0,(INDEX($C$33:$C$38,MATCH($AZ$3115,$B$33:$B$38,0),0)*(AV3203+$BA$3115)+$AW$3115*COUNTIF(AV3199:AV3215,"&gt;0")*$C$32+$AY$3115*$C$31)*$AU$3115),0)</f>
        <v>0</v>
      </c>
      <c r="AX3199">
        <f>IF(AV3199=0,0,-(COUNTIF(AV3199:AV3215,"&gt;0")*$AW$3115*$C$32+$AY$3115*$C$31)*$H$27*$AU$3115)</f>
        <v>0</v>
      </c>
      <c r="AY3199">
        <f>IF(AV3199=0,0,$AY$3115*$H$26*$AU$3115)</f>
        <v>0</v>
      </c>
      <c r="AZ3199">
        <f>(0.6*AW3199+0.7*AX3199)*$AU$3115/2</f>
        <v>0</v>
      </c>
      <c r="BA3199">
        <f>(0.6*AW3199+0.6*AY3199)*$AU$3115/2</f>
        <v>0</v>
      </c>
      <c r="BC3199">
        <f>IF(AV3199=0,0,$BG$3115*$AP$3093)</f>
        <v>0</v>
      </c>
      <c r="BD3199">
        <f>IFERROR(BC3199/$AU$3115,0)</f>
        <v>0</v>
      </c>
      <c r="BE3199">
        <f>BC3199*($F$21+IF($F$21=0,0,($C$14+$C$15+IF($C$13="single",1.5,3)+3)/12))</f>
        <v>0</v>
      </c>
      <c r="BF3199">
        <f>BE3199-AZ3199</f>
        <v>0</v>
      </c>
      <c r="BG3199" cm="1">
        <f t="array" ref="BG3199">IFERROR(IF(BF3199&lt;0,0,BF3199/($AU$3115-INDEX(hd_off,MATCH(BT3199,hd_mark,0),0)/12)),0)</f>
        <v>0</v>
      </c>
      <c r="BH3199">
        <f>IF(AV3199=0,0,$BG$3115*$AM$3093)</f>
        <v>0</v>
      </c>
      <c r="BI3199">
        <f>IFERROR(BH3199/$AU$3115,0)</f>
        <v>0</v>
      </c>
      <c r="BJ3199">
        <f>BH3199*($F$21+IF($F$21=0,0,($C$14+$C$15+IF($C$13="single",1.5,3)+3)/12))</f>
        <v>0</v>
      </c>
      <c r="BK3199">
        <f>BJ3199-BA3199</f>
        <v>0</v>
      </c>
      <c r="BL3199" cm="1">
        <f t="array" ref="BL3199">IFERROR(IF(BK3199&lt;0,0,BK3199/($AU$3115-INDEX(hd_off,MATCH(BT3199,hd_mark,0),0)/12)),0)</f>
        <v>0</v>
      </c>
      <c r="BM3199">
        <f>MAX($F$21,$BB$3115)/$Q$3124</f>
        <v>0.30172413793103448</v>
      </c>
      <c r="BN3199">
        <f>IF(BM3199=0,0,IF(BM3199&gt;2,1.25-0.125*BM3199,1))</f>
        <v>1</v>
      </c>
      <c r="BO3199" cm="1">
        <f t="array" ref="BO3199">IFERROR(INDEX(sheath_ecap_asd,MATCH(BS3199,sheath_mark,0),0)*BN3199,0)</f>
        <v>0</v>
      </c>
      <c r="BP3199" cm="1">
        <f t="array" ref="BP3199">IFERROR(INDEX(sheath_wcap_asd,MATCH(BS3199,sheath_mark,0),0)*BN3199,0)</f>
        <v>0</v>
      </c>
      <c r="BQ3199" cm="1">
        <f t="array" ref="BQ3199">IFERROR(INDEX(hd_cap,MATCH(BT3199,hd_mark,0),0),0)</f>
        <v>0</v>
      </c>
      <c r="BS3199" s="19"/>
      <c r="BT3199" s="19"/>
      <c r="BU3199" s="100"/>
    </row>
    <row r="3200" x14ac:dyDescent="0.25">
      <c r="P3200" s="93"/>
      <c r="Q3200" s="109"/>
      <c r="R3200" t="str">
        <f>$Q$3094</f>
        <v>L3</v>
      </c>
      <c r="S3200">
        <f>$E$22</f>
        <v>21.375</v>
      </c>
      <c r="T3200" cm="1">
        <f t="array" ref="T3200">IFERROR(IF(S3200=0,0,(INDEX($C$33:$C$38,MATCH($W$3115,$B$33:$B$38,0),0)*(S3203+$X$3115)+$T$3115*COUNTIF(S3200:S3215,"&gt;0")*$C$32+$V$3115*$C$31)*$R$3115),0)</f>
        <v>0</v>
      </c>
      <c r="U3200">
        <f>IF(S3200=0,0,-(COUNTIF(S3200:S3215,"&gt;0")*$T$3115*$C$32+$V$3115*$C$31)*$H$27*$R$3115)</f>
        <v>0</v>
      </c>
      <c r="V3200">
        <f>IF(S3200=0,0,$V$3115*$H$26*$R$3115)</f>
        <v>0</v>
      </c>
      <c r="W3200">
        <f>(0.6*T3200+0.7*U3200)*$R$3115/2</f>
        <v>0</v>
      </c>
      <c r="X3200">
        <f>T3200*$R$3115/2</f>
        <v>0</v>
      </c>
      <c r="Z3200">
        <f>IF(S3200=0,0,$AD$3115*$AP$3094)</f>
        <v>0</v>
      </c>
      <c r="AA3200">
        <f>IFERROR(Z3200/$R$3115,0)</f>
        <v>0</v>
      </c>
      <c r="AB3200">
        <f>Z3200*($F$22+IF($F$22=0,0,($C$14+$C$15+IF($C$13="single",1.5,3)+3)/12))</f>
        <v>0</v>
      </c>
      <c r="AC3200">
        <f>AB3200-W3200</f>
        <v>0</v>
      </c>
      <c r="AD3200" cm="1">
        <f t="array" ref="AD3200">IFERROR(IF(AC3200&lt;0,0,AC3200/($R$3115-INDEX(hd_off,MATCH(AQ3200,hd_mark,0),0)/12)),0)</f>
        <v>0</v>
      </c>
      <c r="AE3200">
        <f>IF(S3200=0,0,$AD$3115*$AM$3094)</f>
        <v>0</v>
      </c>
      <c r="AF3200">
        <f>IFERROR(AE3200/$R$3115,0)</f>
        <v>0</v>
      </c>
      <c r="AG3200">
        <f>AE3200*($F$22+IF($F$22=0,0,($C$14+$C$15+IF($C$13="single",1.5,3)+3)/12))</f>
        <v>0</v>
      </c>
      <c r="AH3200">
        <f>AG3200-X3200</f>
        <v>0</v>
      </c>
      <c r="AI3200" cm="1">
        <f t="array" ref="AI3200">IFERROR(IF(AH3200&lt;0,0,AH3200/($R$3115-INDEX(hd_off,MATCH(AQ3200,hd_mark,0),0)/12)),0)</f>
        <v>0</v>
      </c>
      <c r="AJ3200">
        <f>MAX($F$22,$Z$3115)/$Q$3124</f>
        <v>0.30172413793103448</v>
      </c>
      <c r="AK3200">
        <f t="shared" ref="AK3200:AK3203" si="1968">IF(AJ3200=0,0,IF(AJ3200&gt;2,1.25-0.125*AJ3200,1))</f>
        <v>1</v>
      </c>
      <c r="AL3200" cm="1">
        <f t="array" ref="AL3200">IFERROR(INDEX(sheath_ecap_asd,MATCH(AP3200,sheath_mark,0),0)*AK3200,0)</f>
        <v>0</v>
      </c>
      <c r="AM3200" cm="1">
        <f t="array" ref="AM3200">IFERROR(INDEX(sheath_wcap_asd,MATCH(AP3200,sheath_mark,0),0)*AK3200,0)</f>
        <v>0</v>
      </c>
      <c r="AN3200" cm="1">
        <f t="array" ref="AN3200">IFERROR(INDEX(hd_cap,MATCH(AQ3200,hd_mark,0),0),0)</f>
        <v>0</v>
      </c>
      <c r="AP3200" s="19"/>
      <c r="AQ3200" s="19"/>
      <c r="AR3200" s="100"/>
      <c r="AS3200" s="93"/>
      <c r="AT3200" s="109"/>
      <c r="AU3200" t="str">
        <f>$Q$3094</f>
        <v>L3</v>
      </c>
      <c r="AV3200">
        <f>$E$22</f>
        <v>21.375</v>
      </c>
      <c r="AW3200" cm="1">
        <f t="array" ref="AW3200">IFERROR(IF(AV3200=0,0,(INDEX($C$33:$C$38,MATCH($AZ$3115,$B$33:$B$38,0),0)*(AV3203+$BA$3115)+$AW$3115*COUNTIF(AV3200:AV3215,"&gt;0")*$C$32+$AY$3115*$C$31)*$AU$3115),0)</f>
        <v>0</v>
      </c>
      <c r="AX3200">
        <f>IF(AV3200=0,0,-(COUNTIF(AV3200:AV3215,"&gt;0")*$AW$3115*$C$32+$AY$3115*$C$31)*$H$27*$AU$3115)</f>
        <v>0</v>
      </c>
      <c r="AY3200">
        <f>IF(AV3200=0,0,$AY$3115*$H$26*$AU$3115)</f>
        <v>0</v>
      </c>
      <c r="AZ3200">
        <f>(0.6*AW3200+0.7*AX3200)*$AU$3115/2</f>
        <v>0</v>
      </c>
      <c r="BA3200">
        <f>AW3200*$AU$3115/2</f>
        <v>0</v>
      </c>
      <c r="BC3200">
        <f>IF(AV3200=0,0,$BG$3115*$AP$3094)</f>
        <v>0</v>
      </c>
      <c r="BD3200">
        <f>IFERROR(BC3200/$AU$3115,0)</f>
        <v>0</v>
      </c>
      <c r="BE3200">
        <f>BC3200*($F$22+IF($F$22=0,0,($C$14+$C$15+IF($C$13="single",1.5,3)+3)/12))</f>
        <v>0</v>
      </c>
      <c r="BF3200">
        <f>BE3200-AZ3200</f>
        <v>0</v>
      </c>
      <c r="BG3200" cm="1">
        <f t="array" ref="BG3200">IFERROR(IF(BF3200&lt;0,0,BF3200/($AU$3115-INDEX(hd_off,MATCH(BT3200,hd_mark,0),0)/12)),0)</f>
        <v>0</v>
      </c>
      <c r="BH3200">
        <f>IF(AV3200=0,0,$BG$3115*$AM$3094)</f>
        <v>0</v>
      </c>
      <c r="BI3200">
        <f>IFERROR(BH3200/$AU$3115,0)</f>
        <v>0</v>
      </c>
      <c r="BJ3200">
        <f>BH3200*($F$22+IF($F$22=0,0,($C$14+$C$15+IF($C$13="single",1.5,3)+3)/12))</f>
        <v>0</v>
      </c>
      <c r="BK3200">
        <f>BJ3200-BA3200</f>
        <v>0</v>
      </c>
      <c r="BL3200" cm="1">
        <f t="array" ref="BL3200">IFERROR(IF(BK3200&lt;0,0,BK3200/($AU$3115-INDEX(hd_off,MATCH(BT3200,hd_mark,0),0)/12)),0)</f>
        <v>0</v>
      </c>
      <c r="BM3200">
        <f>MAX($F$22,$BC$3115)/$Q$3124</f>
        <v>0.30172413793103448</v>
      </c>
      <c r="BN3200">
        <f t="shared" ref="BN3200:BN3201" si="1969">IF(BM3200=0,0,IF(BM3200&gt;2,1.25-0.125*BM3200,1))</f>
        <v>1</v>
      </c>
      <c r="BO3200" cm="1">
        <f t="array" ref="BO3200">IFERROR(INDEX(sheath_ecap_asd,MATCH(BS3200,sheath_mark,0),0)*BN3200,0)</f>
        <v>0</v>
      </c>
      <c r="BP3200" cm="1">
        <f t="array" ref="BP3200">IFERROR(INDEX(sheath_wcap_asd,MATCH(BS3200,sheath_mark,0),0)*BN3200,0)</f>
        <v>0</v>
      </c>
      <c r="BQ3200" cm="1">
        <f t="array" ref="BQ3200">IFERROR(INDEX(hd_cap,MATCH(BT3200,hd_mark,0),0),0)</f>
        <v>0</v>
      </c>
      <c r="BS3200" s="19"/>
      <c r="BT3200" s="19"/>
      <c r="BU3200" s="100"/>
    </row>
    <row r="3201" x14ac:dyDescent="0.25">
      <c r="P3201" s="93"/>
      <c r="Q3201" s="109" t="s">
        <v>491</v>
      </c>
      <c r="R3201" t="str">
        <f>$Q$3095</f>
        <v>L4</v>
      </c>
      <c r="S3201">
        <f>$E$23</f>
        <v>0</v>
      </c>
      <c r="T3201" cm="1">
        <f t="array" ref="T3201">IFERROR(IF(S3201=0,0,(INDEX($C$33:$C$38,MATCH($W$3115,$B$33:$B$38,0),0)*(S3203+$X$3115)+$T$3115*COUNTIF(S3201:S3215,"&gt;0")*$C$32+$V$3115*$C$31)*$R$3115),0)</f>
        <v>0</v>
      </c>
      <c r="U3201">
        <f>IF(S3201=0,0,-(COUNTIF(S3201:S3215,"&gt;0")*$T$3115*$C$32+$V$3115*$C$31)*$H$27*$R$3115)</f>
        <v>0</v>
      </c>
      <c r="V3201">
        <f>IF(S3201=0,0,$V$3115*$H$26*$R$3115)</f>
        <v>0</v>
      </c>
      <c r="W3201">
        <f>(0.6*T3201+0.7*U3201)*$R$3115/2</f>
        <v>0</v>
      </c>
      <c r="X3201">
        <f>T3201*$R$3115/2</f>
        <v>0</v>
      </c>
      <c r="Z3201">
        <f>IF(S3201=0,0,$AD$3115*$AP$3095)</f>
        <v>0</v>
      </c>
      <c r="AA3201">
        <f>IFERROR(Z3201/$R$3115,0)</f>
        <v>0</v>
      </c>
      <c r="AB3201">
        <f>Z3201*($F$23+IF($F$23=0,0,($C$14+$C$15+IF($C$13="single",1.5,3)+3)/12))</f>
        <v>0</v>
      </c>
      <c r="AC3201">
        <f>AB3201-W3201</f>
        <v>0</v>
      </c>
      <c r="AD3201" cm="1">
        <f t="array" ref="AD3201">IFERROR(IF(AC3201&lt;0,0,AC3201/($R$3115-INDEX(hd_off,MATCH(AQ3201,hd_mark,0),0)/12)),0)</f>
        <v>0</v>
      </c>
      <c r="AE3201">
        <f>IF(S3201=0,0,$AD$3115*$AM$3095)</f>
        <v>0</v>
      </c>
      <c r="AF3201">
        <f>IFERROR(AE3201/$R$3115,0)</f>
        <v>0</v>
      </c>
      <c r="AG3201">
        <f>AE3201*($F$23+IF($F$23=0,0,($C$14+$C$15+IF($C$13="single",1.5,3)+3)/12))</f>
        <v>0</v>
      </c>
      <c r="AH3201">
        <f>AG3201-X3201</f>
        <v>0</v>
      </c>
      <c r="AI3201" cm="1">
        <f t="array" ref="AI3201">IFERROR(IF(AH3201&lt;0,0,AH3201/($R$3115-INDEX(hd_off,MATCH(AQ3201,hd_mark,0),0)/12)),0)</f>
        <v>0</v>
      </c>
      <c r="AJ3201">
        <f>MAX($F$23,$AA$3115)/$Q$3124</f>
        <v>0</v>
      </c>
      <c r="AK3201">
        <f t="shared" si="1968"/>
        <v>0</v>
      </c>
      <c r="AL3201" cm="1">
        <f t="array" ref="AL3201">IFERROR(INDEX(sheath_ecap_asd,MATCH(AP3201,sheath_mark,0),0)*AK3201,0)</f>
        <v>0</v>
      </c>
      <c r="AM3201" cm="1">
        <f t="array" ref="AM3201">IFERROR(INDEX(sheath_wcap_asd,MATCH(AP3201,sheath_mark,0),0)*AK3201,0)</f>
        <v>0</v>
      </c>
      <c r="AN3201" cm="1">
        <f t="array" ref="AN3201">IFERROR(INDEX(hd_cap,MATCH(AQ3201,hd_mark,0),0),0)</f>
        <v>0</v>
      </c>
      <c r="AP3201" s="19"/>
      <c r="AQ3201" s="19"/>
      <c r="AR3201" s="100"/>
      <c r="AS3201" s="93"/>
      <c r="AT3201" s="109" t="s">
        <v>491</v>
      </c>
      <c r="AU3201" t="str">
        <f>$Q$3095</f>
        <v>L4</v>
      </c>
      <c r="AV3201">
        <f>$E$23</f>
        <v>0</v>
      </c>
      <c r="AW3201" cm="1">
        <f t="array" ref="AW3201">IFERROR(IF(AV3201=0,0,(INDEX($C$33:$C$38,MATCH($AZ$3115,$B$33:$B$38,0),0)*(AV3203+$BA$3115)+$AW$3115*COUNTIF(AV3201:AV3215,"&gt;0")*$C$32+$AY$3115*$C$31)*$AU$3115),0)</f>
        <v>0</v>
      </c>
      <c r="AX3201">
        <f>IF(AV3201=0,0,-(COUNTIF(AV3201:AV3215,"&gt;0")*$AW$3115*$C$32+$AY$3115*$C$31)*$H$27*$AU$3115)</f>
        <v>0</v>
      </c>
      <c r="AY3201">
        <f>IF(AV3201=0,0,$AY$3115*$H$26*$AU$3115)</f>
        <v>0</v>
      </c>
      <c r="AZ3201">
        <f>(0.6*AW3201+0.7*AX3201)*$AU$3115/2</f>
        <v>0</v>
      </c>
      <c r="BA3201">
        <f>AW3201*$AU$3115/2</f>
        <v>0</v>
      </c>
      <c r="BC3201">
        <f>IF(AV3201=0,0,$BG$3115*$AP$3095)</f>
        <v>0</v>
      </c>
      <c r="BD3201">
        <f>IFERROR(BC3201/$AU$3115,0)</f>
        <v>0</v>
      </c>
      <c r="BE3201">
        <f>BC3201*($F$23+IF($F$23=0,0,($C$14+$C$15+IF($C$13="single",1.5,3)+3)/12))</f>
        <v>0</v>
      </c>
      <c r="BF3201">
        <f>BE3201-AZ3201</f>
        <v>0</v>
      </c>
      <c r="BG3201" cm="1">
        <f t="array" ref="BG3201">IFERROR(IF(BF3201&lt;0,0,BF3201/($AU$3115-INDEX(hd_off,MATCH(BT3201,hd_mark,0),0)/12)),0)</f>
        <v>0</v>
      </c>
      <c r="BH3201">
        <f>IF(AV3201=0,0,$BG$3115*$AM$3095)</f>
        <v>0</v>
      </c>
      <c r="BI3201">
        <f>IFERROR(BH3201/$AU$3115,0)</f>
        <v>0</v>
      </c>
      <c r="BJ3201">
        <f>BH3201*($F$23+IF($F$23=0,0,($C$14+$C$15+IF($C$13="single",1.5,3)+3)/12))</f>
        <v>0</v>
      </c>
      <c r="BK3201">
        <f>BJ3201-BA3201</f>
        <v>0</v>
      </c>
      <c r="BL3201" cm="1">
        <f t="array" ref="BL3201">IFERROR(IF(BK3201&lt;0,0,BK3201/($AU$3115-INDEX(hd_off,MATCH(BT3201,hd_mark,0),0)/12)),0)</f>
        <v>0</v>
      </c>
      <c r="BM3201">
        <f>MAX($F$23,$BD$3115)/$Q$3124</f>
        <v>0</v>
      </c>
      <c r="BN3201">
        <f t="shared" si="1969"/>
        <v>0</v>
      </c>
      <c r="BO3201" cm="1">
        <f t="array" ref="BO3201">IFERROR(INDEX(sheath_ecap_asd,MATCH(BS3201,sheath_mark,0),0)*BN3201,0)</f>
        <v>0</v>
      </c>
      <c r="BP3201" cm="1">
        <f t="array" ref="BP3201">IFERROR(INDEX(sheath_wcap_asd,MATCH(BS3201,sheath_mark,0),0)*BN3201,0)</f>
        <v>0</v>
      </c>
      <c r="BQ3201" cm="1">
        <f t="array" ref="BQ3201">IFERROR(INDEX(hd_cap,MATCH(BT3201,hd_mark,0),0),0)</f>
        <v>0</v>
      </c>
      <c r="BS3201" s="19"/>
      <c r="BT3201" s="19"/>
      <c r="BU3201" s="100"/>
    </row>
    <row r="3202" x14ac:dyDescent="0.25">
      <c r="P3202" s="93"/>
      <c r="Q3202" s="111">
        <f>$R$3115</f>
        <v>0</v>
      </c>
      <c r="R3202" t="str">
        <f>$Q$3096</f>
        <v>L5</v>
      </c>
      <c r="S3202">
        <f>$E$24</f>
        <v>0</v>
      </c>
      <c r="T3202" cm="1">
        <f t="array" ref="T3202">IFERROR(IF(S3215=0,0,(INDEX($C$33:$C$38,MATCH($W$3115,$B$33:$B$38,0),0)*(S3203+$X$3115)+$T$3115*COUNTIF(S3215:S3215,"&gt;0")*$C$32+$V$3115*$C$31)*$R$3115),0)</f>
        <v>0</v>
      </c>
      <c r="U3202">
        <f>IF(S3215=0,0,-(COUNTIF(S3215:S3215,"&gt;0")*$T$3115*$C$32+$V$3115*$C$31)*$H$27*$R$3115)</f>
        <v>0</v>
      </c>
      <c r="V3202">
        <f>IF(S3215=0,0,$V$3115*$H$26*$R$3115)</f>
        <v>0</v>
      </c>
      <c r="W3202">
        <f>(0.6*T3215+0.7*U3215)*$R$3115/2</f>
        <v>0</v>
      </c>
      <c r="X3202">
        <f>T3215*$R$3115/2</f>
        <v>0</v>
      </c>
      <c r="Z3202">
        <f>IF(S3215=0,0,$AD$3115*$AP$3096)</f>
        <v>0</v>
      </c>
      <c r="AA3202">
        <f>IFERROR(Z3215/$R$3115,0)</f>
        <v>0</v>
      </c>
      <c r="AB3202">
        <f>Z3215*($F$24+IF($F$24=0,0,($C$14+$C$15+IF($C$13="single",1.5,3)+3)/12))</f>
        <v>0</v>
      </c>
      <c r="AC3202">
        <f>AB3215-W3215</f>
        <v>0</v>
      </c>
      <c r="AD3202" cm="1">
        <f t="array" ref="AD3202">IFERROR(IF(AC3215&lt;0,0,AC3215/($R$3115-INDEX(hd_off,MATCH(AQ3215,hd_mark,0),0)/12)),0)</f>
        <v>0</v>
      </c>
      <c r="AE3202">
        <f>IF(S3215=0,0,$AD$3115*$AM$3096)</f>
        <v>0</v>
      </c>
      <c r="AF3202">
        <f>IFERROR(AE3215/$R$3115,0)</f>
        <v>0</v>
      </c>
      <c r="AG3202">
        <f>AE3215*($F$24+IF($F$24=0,0,($C$14+$C$15+IF($C$13="single",1.5,3)+3)/12))</f>
        <v>0</v>
      </c>
      <c r="AH3202">
        <f>AG3215-X3215</f>
        <v>0</v>
      </c>
      <c r="AI3202" cm="1">
        <f t="array" ref="AI3202">IFERROR(IF(AH3215&lt;0,0,AH3215/($R$3115-INDEX(hd_off,MATCH(AQ3215,hd_mark,0),0)/12)),0)</f>
        <v>0</v>
      </c>
      <c r="AJ3202">
        <f>MAX($F$24,$AB$3115)/$Q$3124</f>
        <v>0</v>
      </c>
      <c r="AK3202">
        <f>IF(AJ3215=0,0,IF(AJ3215&gt;2,1.25-0.125*AJ3215,1))</f>
        <v>1</v>
      </c>
      <c r="AL3202" cm="1">
        <f t="array" ref="AL3202">IFERROR(INDEX(sheath_ecap_asd,MATCH(AP3215,sheath_mark,0),0)*AK3215,0)</f>
        <v>0</v>
      </c>
      <c r="AM3202" cm="1">
        <f t="array" ref="AM3202">IFERROR(INDEX(sheath_wcap_asd,MATCH(AP3215,sheath_mark,0),0)*AK3215,0)</f>
        <v>0</v>
      </c>
      <c r="AN3202" cm="1">
        <f t="array" ref="AN3202">IFERROR(INDEX(hd_cap,MATCH(AQ3215,hd_mark,0),0),0)</f>
        <v>0</v>
      </c>
      <c r="AP3202" s="19"/>
      <c r="AQ3202" s="19"/>
      <c r="AR3202" s="100"/>
      <c r="AS3202" s="93"/>
      <c r="AT3202" s="111">
        <f>$R$3115</f>
        <v>0</v>
      </c>
      <c r="AU3202" t="str">
        <f>$Q$3096</f>
        <v>L5</v>
      </c>
      <c r="AV3202">
        <f>$E$24</f>
        <v>0</v>
      </c>
      <c r="AW3202" cm="1">
        <f t="array" ref="AW3202">IFERROR(IF(AV3215=0,0,(INDEX($C$33:$C$38,MATCH($AZ$3115,$B$33:$B$38,0),0)*(AV3203+$BA$3115)+$AW$3115*COUNTIF(AV3215:AV3215,"&gt;0")*$C$32+$AY$3115*$C$31)*$AU$3115),0)</f>
        <v>0</v>
      </c>
      <c r="AX3202">
        <f>IF(AV3215=0,0,-(COUNTIF(AV3215:AV3215,"&gt;0")*$AW$3115*$C$32+$AY$3115*$C$31)*$H$27*$AU$3115)</f>
        <v>0</v>
      </c>
      <c r="AY3202">
        <f>IF(AV3215=0,0,$AY$3115*$H$26*$AU$3115)</f>
        <v>0</v>
      </c>
      <c r="AZ3202">
        <f>(0.6*AW3215+0.7*AX3215)*$AU$3115/2</f>
        <v>0</v>
      </c>
      <c r="BA3202">
        <f>AW3215*$AU$3115/2</f>
        <v>0</v>
      </c>
      <c r="BC3202">
        <f>IF(AV3215=0,0,$BG$3115*$AP$3096)</f>
        <v>0</v>
      </c>
      <c r="BD3202">
        <f>IFERROR(BC3215/$AU$3115,0)</f>
        <v>0</v>
      </c>
      <c r="BE3202">
        <f>BC3215*($F$24+IF($F$24=0,0,($C$14+$C$15+IF($C$13="single",1.5,3)+3)/12))</f>
        <v>0</v>
      </c>
      <c r="BF3202">
        <f>BE3215-AZ3215</f>
        <v>0</v>
      </c>
      <c r="BG3202" cm="1">
        <f t="array" ref="BG3202">IFERROR(IF(BF3215&lt;0,0,BF3215/($AU$3115-INDEX(hd_off,MATCH(BT3215,hd_mark,0),0)/12)),0)</f>
        <v>0</v>
      </c>
      <c r="BH3202">
        <f>IF(AV3215=0,0,$BG$3115*$AM$3096)</f>
        <v>0</v>
      </c>
      <c r="BI3202">
        <f>IFERROR(BH3215/$AU$3115,0)</f>
        <v>0</v>
      </c>
      <c r="BJ3202">
        <f>BH3215*($F$24+IF($F$24=0,0,($C$14+$C$15+IF($C$13="single",1.5,3)+3)/12))</f>
        <v>0</v>
      </c>
      <c r="BK3202">
        <f>BJ3215-BA3215</f>
        <v>0</v>
      </c>
      <c r="BL3202" cm="1">
        <f t="array" ref="BL3202">IFERROR(IF(BK3215&lt;0,0,BK3215/($AU$3115-INDEX(hd_off,MATCH(BT3215,hd_mark,0),0)/12)),0)</f>
        <v>0</v>
      </c>
      <c r="BM3202">
        <f>MAX($F$24,$BE$3115)/$Q$3124</f>
        <v>0</v>
      </c>
      <c r="BN3202">
        <f>IF(BM3215=0,0,IF(BM3215&gt;2,1.25-0.125*BM3215,1))</f>
        <v>0</v>
      </c>
      <c r="BO3202" cm="1">
        <f t="array" ref="BO3202">IFERROR(INDEX(sheath_ecap_asd,MATCH(BS3215,sheath_mark,0),0)*BN3215,0)</f>
        <v>0</v>
      </c>
      <c r="BP3202" cm="1">
        <f t="array" ref="BP3202">IFERROR(INDEX(sheath_wcap_asd,MATCH(BS3215,sheath_mark,0),0)*BN3215,0)</f>
        <v>0</v>
      </c>
      <c r="BQ3202" cm="1">
        <f t="array" ref="BQ3202">IFERROR(INDEX(hd_cap,MATCH(BT3215,hd_mark,0),0),0)</f>
        <v>0</v>
      </c>
      <c r="BS3202" s="19"/>
      <c r="BT3202" s="19"/>
      <c r="BU3202" s="100"/>
    </row>
    <row r="3203" x14ac:dyDescent="0.25">
      <c r="P3203" s="93"/>
      <c r="Q3203" s="109"/>
      <c r="R3203" t="str">
        <f>$Q$3097</f>
        <v>Roof</v>
      </c>
      <c r="S3203">
        <f>$E$25</f>
        <v>33.171875</v>
      </c>
      <c r="T3203" cm="1">
        <f t="array" ref="T3203">IFERROR(IF(S3203=0,0,(INDEX($C$33:$C$38,MATCH($W$3115,$B$33:$B$38,0),0)*(S3203+$X$3115)+$V$3115*$C$31)*$R$3115),0)</f>
        <v>0</v>
      </c>
      <c r="U3203">
        <f>IF(S3203=0,0,-$V$3115*$C$31*$H$27*$R$3115)</f>
        <v>0</v>
      </c>
      <c r="V3203">
        <f>IF(S3203=0,0,$V$3115*$H$26*$R$3115)</f>
        <v>0</v>
      </c>
      <c r="W3203">
        <f>(0.6*T3203+0.7*U3203)*$R$3115/2</f>
        <v>0</v>
      </c>
      <c r="X3203">
        <f>T3203*$R$3115/2</f>
        <v>0</v>
      </c>
      <c r="Z3203">
        <f>IF(S3203=0,0,$AD$3115*$AP$3097)</f>
        <v>0</v>
      </c>
      <c r="AA3203">
        <f>IFERROR(Z3203/$R$3115,0)</f>
        <v>0</v>
      </c>
      <c r="AB3203">
        <f>Z3203*($F$25+($C$16+$C$17+IF($C$13="single",1.5,3)+3)/12)</f>
        <v>0</v>
      </c>
      <c r="AC3203">
        <f>AB3203-W3203</f>
        <v>0</v>
      </c>
      <c r="AD3203" cm="1">
        <f t="array" ref="AD3203">IFERROR(IF(AC3203&lt;0,0,AC3203/($R$3115-INDEX(hd_off,MATCH(AQ3203,hd_mark,0),0)/12)),0)</f>
        <v>0</v>
      </c>
      <c r="AE3203">
        <f>IF(S3203=0,0,$AD$3115*$AM$3097)</f>
        <v>0</v>
      </c>
      <c r="AF3203">
        <f>IFERROR(AE3203/$R$3115,0)</f>
        <v>0</v>
      </c>
      <c r="AG3203">
        <f>AE3203*($F$25+($C$16+$C$17+IF($C$13="single",1.5,3)+3)/12)</f>
        <v>0</v>
      </c>
      <c r="AH3203">
        <f>AG3203-X3203</f>
        <v>0</v>
      </c>
      <c r="AI3203" cm="1">
        <f t="array" ref="AI3203">IFERROR(IF(AH3203&lt;0,0,AH3203/($R$3115-INDEX(hd_off,MATCH(AQ3203,hd_mark,0),0)/12)),0)</f>
        <v>0</v>
      </c>
      <c r="AJ3203">
        <f>MAX($F$25,$AC$3115)/$Q$3124</f>
        <v>0.29920977011494249</v>
      </c>
      <c r="AK3203">
        <f t="shared" si="1968"/>
        <v>1</v>
      </c>
      <c r="AL3203" cm="1">
        <f t="array" ref="AL3203">IFERROR(INDEX(sheath_ecap_asd,MATCH(AP3203,sheath_mark,0),0)*AK3203,0)</f>
        <v>0</v>
      </c>
      <c r="AM3203" cm="1">
        <f t="array" ref="AM3203">IFERROR(INDEX(sheath_wcap_asd,MATCH(AP3203,sheath_mark,0),0)*AK3203,0)</f>
        <v>0</v>
      </c>
      <c r="AN3203" cm="1">
        <f t="array" ref="AN3203">IFERROR(INDEX(hd_cap,MATCH(AQ3203,hd_mark,0),0),0)</f>
        <v>0</v>
      </c>
      <c r="AP3203" s="19"/>
      <c r="AQ3203" s="19"/>
      <c r="AR3203" s="100"/>
      <c r="AS3203" s="93"/>
      <c r="AT3203" s="109"/>
      <c r="AU3203" t="str">
        <f>$Q$3097</f>
        <v>Roof</v>
      </c>
      <c r="AV3203">
        <f>$E$25</f>
        <v>33.171875</v>
      </c>
      <c r="AW3203" cm="1">
        <f t="array" ref="AW3203">IFERROR(IF(AV3203=0,0,(INDEX($C$33:$C$38,MATCH($AZ$3115,$B$33:$B$38,0),0)*(AV3203+$BA$3115)+$AY$3115*$C$31)*$AU$3115),0)</f>
        <v>0</v>
      </c>
      <c r="AX3203">
        <f>IF(AV3203=0,0,-$AY$3115*$C$31*$H$27*$AU$3115)</f>
        <v>0</v>
      </c>
      <c r="AY3203">
        <f>IF(AV3203=0,0,$AY$3115*$H$26*$AU$3115)</f>
        <v>0</v>
      </c>
      <c r="AZ3203">
        <f>(0.6*AW3203+0.7*AX3203)*$AU$3115/2</f>
        <v>0</v>
      </c>
      <c r="BA3203">
        <f>AW3203*$AU$3115/2</f>
        <v>0</v>
      </c>
      <c r="BC3203">
        <f>IF(AV3203=0,0,$BG$3115*$AP$3097)</f>
        <v>0</v>
      </c>
      <c r="BD3203">
        <f>IFERROR(BC3203/$AU$3115,0)</f>
        <v>0</v>
      </c>
      <c r="BE3203">
        <f>BC3203*($F$25+($C$16+$C$17+IF($C$13="single",1.5,3)+3)/12)</f>
        <v>0</v>
      </c>
      <c r="BF3203">
        <f>BE3203-AZ3203</f>
        <v>0</v>
      </c>
      <c r="BG3203" cm="1">
        <f t="array" ref="BG3203">IFERROR(IF(BF3203&lt;0,0,BF3203/($AU$3115-INDEX(hd_off,MATCH(BT3203,hd_mark,0),0)/12)),0)</f>
        <v>0</v>
      </c>
      <c r="BH3203">
        <f>IF(AV3203=0,0,$BG$3115*$AM$3097)</f>
        <v>0</v>
      </c>
      <c r="BI3203">
        <f>IFERROR(BH3203/$AU$3115,0)</f>
        <v>0</v>
      </c>
      <c r="BJ3203">
        <f>BH3203*($F$25+($C$16+$C$17+IF($C$13="single",1.5,3)+3)/12)</f>
        <v>0</v>
      </c>
      <c r="BK3203">
        <f>BJ3203-BA3203</f>
        <v>0</v>
      </c>
      <c r="BL3203" cm="1">
        <f t="array" ref="BL3203">IFERROR(IF(BK3203&lt;0,0,BK3203/($AU$3115-INDEX(hd_off,MATCH(BT3203,hd_mark,0),0)/12)),0)</f>
        <v>0</v>
      </c>
      <c r="BM3203">
        <f>MAX($F$25,$BF$3115)/$Q$3124</f>
        <v>0.29920977011494249</v>
      </c>
      <c r="BN3203">
        <f t="shared" ref="BN3203" si="1970">IF(BM3203=0,0,IF(BM3203&gt;2,1.25-0.125*BM3203,1))</f>
        <v>1</v>
      </c>
      <c r="BO3203" cm="1">
        <f t="array" ref="BO3203">IFERROR(INDEX(sheath_ecap_asd,MATCH(BS3203,sheath_mark,0),0)*BN3203,0)</f>
        <v>0</v>
      </c>
      <c r="BP3203" cm="1">
        <f t="array" ref="BP3203">IFERROR(INDEX(sheath_wcap_asd,MATCH(BS3203,sheath_mark,0),0)*BN3203,0)</f>
        <v>0</v>
      </c>
      <c r="BQ3203" cm="1">
        <f t="array" ref="BQ3203">IFERROR(INDEX(hd_cap,MATCH(BT3203,hd_mark,0),0),0)</f>
        <v>0</v>
      </c>
      <c r="BS3203" s="19"/>
      <c r="BT3203" s="19"/>
      <c r="BU3203" s="100"/>
    </row>
    <row r="3204" x14ac:dyDescent="0.25">
      <c r="P3204" s="93"/>
      <c r="AR3204" s="100"/>
      <c r="AS3204" s="93"/>
      <c r="BU3204" s="100"/>
    </row>
    <row r="3205" x14ac:dyDescent="0.25">
      <c r="P3205" s="93"/>
      <c r="Q3205" s="110" t="str">
        <f>$Q$3116</f>
        <v>A.15</v>
      </c>
      <c r="R3205" t="str">
        <f>$Q$3093</f>
        <v>L2</v>
      </c>
      <c r="S3205">
        <f>$E$21</f>
        <v>10.6875</v>
      </c>
      <c r="T3205" cm="1">
        <f t="array" ref="T3205">IFERROR(IF(S3205=0,0,(INDEX($C$33:$C$38,MATCH($W$3116,$B$33:$B$38,0),0)*(S3209+$X$3116)+$T$3116*COUNTIF(S3205:S3208,"&gt;0")*$C$32+$V$3116*$C$31)*$R$3116),0)</f>
        <v>0</v>
      </c>
      <c r="U3205">
        <f>IF(S3205=0,0,-(COUNTIF(S3205:S3208,"&gt;0")*$T$3116*$C$32+$V$3116*$C$31)*$H$27*$R$3116)</f>
        <v>0</v>
      </c>
      <c r="V3205">
        <f>IF(S3205=0,0,$V$3116*$H$26*$R$3116)</f>
        <v>0</v>
      </c>
      <c r="W3205">
        <f>(0.6*T3205+0.7*U3205)*$R$3116/2</f>
        <v>0</v>
      </c>
      <c r="X3205">
        <f>(0.6*T3205+0.6*V3205)*$R$3116/2</f>
        <v>0</v>
      </c>
      <c r="Z3205">
        <f>IF(S3205=0,0,$AD$3116*$AP$3093)</f>
        <v>0</v>
      </c>
      <c r="AA3205">
        <f>IFERROR(Z3205/$R$3116,0)</f>
        <v>0</v>
      </c>
      <c r="AB3205">
        <f>Z3205*($F$21+IF($F$21=0,0,($C$14+$C$15+IF($C$13="single",1.5,3)+3)/12))</f>
        <v>0</v>
      </c>
      <c r="AC3205">
        <f>AB3205-W3205</f>
        <v>0</v>
      </c>
      <c r="AD3205" cm="1">
        <f t="array" ref="AD3205">IFERROR(IF(AC3205&lt;0,0,AC3205/($R$3116-INDEX(hd_off,MATCH(AQ3205,hd_mark,0),0)/12)),0)</f>
        <v>0</v>
      </c>
      <c r="AE3205">
        <f>IF(S3205=0,0,$AD$3116*$AM$3093)</f>
        <v>0</v>
      </c>
      <c r="AF3205">
        <f>IFERROR(AE3205/$R$3116,0)</f>
        <v>0</v>
      </c>
      <c r="AG3205">
        <f>AE3205*($F$21+IF($F$21=0,0,($C$14+$C$15+IF($C$13="single",1.5,3)+3)/12))</f>
        <v>0</v>
      </c>
      <c r="AH3205">
        <f>AG3205-X3205</f>
        <v>0</v>
      </c>
      <c r="AI3205" cm="1">
        <f t="array" ref="AI3205">IFERROR(IF(AH3205&lt;0,0,AH3205/($R$3116-INDEX(hd_off,MATCH(AQ3205,hd_mark,0),0)/12)),0)</f>
        <v>0</v>
      </c>
      <c r="AJ3205">
        <f>MAX($F$21,$Y$3116)/$Q$3124</f>
        <v>0.30172413793103448</v>
      </c>
      <c r="AK3205">
        <f>IF(AJ3205=0,0,IF(AJ3205&gt;2,1.25-0.125*AJ3205,1))</f>
        <v>1</v>
      </c>
      <c r="AL3205" cm="1">
        <f t="array" ref="AL3205">IFERROR(INDEX(sheath_ecap_asd,MATCH(AP3205,sheath_mark,0),0)*AK3205,0)</f>
        <v>0</v>
      </c>
      <c r="AM3205" cm="1">
        <f t="array" ref="AM3205">IFERROR(INDEX(sheath_wcap_asd,MATCH(AP3205,sheath_mark,0),0)*AK3205,0)</f>
        <v>0</v>
      </c>
      <c r="AN3205" cm="1">
        <f t="array" ref="AN3205">IFERROR(INDEX(hd_cap,MATCH(AQ3205,hd_mark,0),0),0)</f>
        <v>0</v>
      </c>
      <c r="AP3205" s="19"/>
      <c r="AQ3205" s="19"/>
      <c r="AR3205" s="100"/>
      <c r="AS3205" s="93"/>
      <c r="AT3205" s="110" t="str">
        <f>$AT$3116</f>
        <v>1.15</v>
      </c>
      <c r="AU3205" t="str">
        <f>$Q$3093</f>
        <v>L2</v>
      </c>
      <c r="AV3205">
        <f>$E$21</f>
        <v>10.6875</v>
      </c>
      <c r="AW3205" cm="1">
        <f t="array" ref="AW3205">IFERROR(IF(AV3205=0,0,(INDEX($C$33:$C$38,MATCH($AZ$3116,$B$33:$B$38,0),0)*(AV3209+$BA$3116)+$AW$3116*COUNTIF(AV3205:AV3208,"&gt;0")*$C$32+$AY$3116*$C$31)*$AU$3116),0)</f>
        <v>0</v>
      </c>
      <c r="AX3205">
        <f>IF(AV3205=0,0,-(COUNTIF(AV3205:AV3208,"&gt;0")*$AW$3116*$C$32+$AY$3116*$C$31)*$H$27*$AU$3116)</f>
        <v>0</v>
      </c>
      <c r="AY3205">
        <f>IF(AV3205=0,0,$AY$3116*$H$26*$AU$3116)</f>
        <v>0</v>
      </c>
      <c r="AZ3205">
        <f>(0.6*AW3205+0.7*AX3205)*$AU$3116/2</f>
        <v>0</v>
      </c>
      <c r="BA3205">
        <f>(0.6*AW3205+0.6*AY3205)*$AU$3116/2</f>
        <v>0</v>
      </c>
      <c r="BC3205">
        <f>IF(AV3205=0,0,$BG$3116*$AP$3093)</f>
        <v>0</v>
      </c>
      <c r="BD3205">
        <f>IFERROR(BC3205/$AU$3116,0)</f>
        <v>0</v>
      </c>
      <c r="BE3205">
        <f>BC3205*($F$21+IF($F$21=0,0,($C$14+$C$15+IF($C$13="single",1.5,3)+3)/12))</f>
        <v>0</v>
      </c>
      <c r="BF3205">
        <f>BE3205-AZ3205</f>
        <v>0</v>
      </c>
      <c r="BG3205" cm="1">
        <f t="array" ref="BG3205">IFERROR(IF(BF3205&lt;0,0,BF3205/($AU$3116-INDEX(hd_off,MATCH(BT3205,hd_mark,0),0)/12)),0)</f>
        <v>0</v>
      </c>
      <c r="BH3205">
        <f>IF(AV3205=0,0,$BG$3116*$AM$3093)</f>
        <v>0</v>
      </c>
      <c r="BI3205">
        <f>IFERROR(BH3205/$AU$3116,0)</f>
        <v>0</v>
      </c>
      <c r="BJ3205">
        <f>BH3205*($F$21+IF($F$21=0,0,($C$14+$C$15+IF($C$13="single",1.5,3)+3)/12))</f>
        <v>0</v>
      </c>
      <c r="BK3205">
        <f>BJ3205-BA3205</f>
        <v>0</v>
      </c>
      <c r="BL3205" cm="1">
        <f t="array" ref="BL3205">IFERROR(IF(BK3205&lt;0,0,BK3205/($AU$3116-INDEX(hd_off,MATCH(BT3205,hd_mark,0),0)/12)),0)</f>
        <v>0</v>
      </c>
      <c r="BM3205">
        <f>MAX($F$21,$BB$3116)/$Q$3124</f>
        <v>0.30172413793103448</v>
      </c>
      <c r="BN3205">
        <f>IF(BM3205=0,0,IF(BM3205&gt;2,1.25-0.125*BM3205,1))</f>
        <v>1</v>
      </c>
      <c r="BO3205" cm="1">
        <f t="array" ref="BO3205">IFERROR(INDEX(sheath_ecap_asd,MATCH(BS3205,sheath_mark,0),0)*BN3205,0)</f>
        <v>0</v>
      </c>
      <c r="BP3205" cm="1">
        <f t="array" ref="BP3205">IFERROR(INDEX(sheath_wcap_asd,MATCH(BS3205,sheath_mark,0),0)*BN3205,0)</f>
        <v>0</v>
      </c>
      <c r="BQ3205" cm="1">
        <f t="array" ref="BQ3205">IFERROR(INDEX(hd_cap,MATCH(BT3205,hd_mark,0),0),0)</f>
        <v>0</v>
      </c>
      <c r="BS3205" s="19"/>
      <c r="BT3205" s="19"/>
      <c r="BU3205" s="100"/>
    </row>
    <row r="3206" x14ac:dyDescent="0.25">
      <c r="P3206" s="93"/>
      <c r="Q3206" s="109"/>
      <c r="R3206" t="str">
        <f>$Q$3094</f>
        <v>L3</v>
      </c>
      <c r="S3206">
        <f>$E$22</f>
        <v>21.375</v>
      </c>
      <c r="T3206" cm="1">
        <f t="array" ref="T3206">IFERROR(IF(S3206=0,0,(INDEX($C$33:$C$38,MATCH($W$3116,$B$33:$B$38,0),0)*(S3209+$X$3116)+$T$3116*COUNTIF(S3206:S3208,"&gt;0")*$C$32+$V$3116*$C$31)*$R$3116),0)</f>
        <v>0</v>
      </c>
      <c r="U3206">
        <f>IF(S3206=0,0,-(COUNTIF(S3206:S3208,"&gt;0")*$T$3116*$C$32+$V$3116*$C$31)*$H$27*$R$3116)</f>
        <v>0</v>
      </c>
      <c r="V3206">
        <f>IF(S3206=0,0,$V$3116*$H$26*$R$3116)</f>
        <v>0</v>
      </c>
      <c r="W3206">
        <f>(0.6*T3206+0.7*U3206)*$R$3116/2</f>
        <v>0</v>
      </c>
      <c r="X3206">
        <f>T3206*$R$3116/2</f>
        <v>0</v>
      </c>
      <c r="Z3206">
        <f>IF(S3206=0,0,$AD$3116*$AP$3094)</f>
        <v>0</v>
      </c>
      <c r="AA3206">
        <f>IFERROR(Z3206/$R$3116,0)</f>
        <v>0</v>
      </c>
      <c r="AB3206">
        <f>Z3206*($F$22+IF($F$22=0,0,($C$14+$C$15+IF($C$13="single",1.5,3)+3)/12))</f>
        <v>0</v>
      </c>
      <c r="AC3206">
        <f>AB3206-W3206</f>
        <v>0</v>
      </c>
      <c r="AD3206" cm="1">
        <f t="array" ref="AD3206">IFERROR(IF(AC3206&lt;0,0,AC3206/($R$3116-INDEX(hd_off,MATCH(AQ3206,hd_mark,0),0)/12)),0)</f>
        <v>0</v>
      </c>
      <c r="AE3206">
        <f>IF(S3206=0,0,$AD$3116*$AM$3094)</f>
        <v>0</v>
      </c>
      <c r="AF3206">
        <f>IFERROR(AE3206/$R$3116,0)</f>
        <v>0</v>
      </c>
      <c r="AG3206">
        <f>AE3206*($F$22+IF($F$22=0,0,($C$14+$C$15+IF($C$13="single",1.5,3)+3)/12))</f>
        <v>0</v>
      </c>
      <c r="AH3206">
        <f>AG3206-X3206</f>
        <v>0</v>
      </c>
      <c r="AI3206" cm="1">
        <f t="array" ref="AI3206">IFERROR(IF(AH3206&lt;0,0,AH3206/($R$3116-INDEX(hd_off,MATCH(AQ3206,hd_mark,0),0)/12)),0)</f>
        <v>0</v>
      </c>
      <c r="AJ3206">
        <f>MAX($F$22,$Z$3116)/$Q$3124</f>
        <v>0.30172413793103448</v>
      </c>
      <c r="AK3206">
        <f t="shared" ref="AK3206:AK3209" si="1971">IF(AJ3206=0,0,IF(AJ3206&gt;2,1.25-0.125*AJ3206,1))</f>
        <v>1</v>
      </c>
      <c r="AL3206" cm="1">
        <f t="array" ref="AL3206">IFERROR(INDEX(sheath_ecap_asd,MATCH(AP3206,sheath_mark,0),0)*AK3206,0)</f>
        <v>0</v>
      </c>
      <c r="AM3206" cm="1">
        <f t="array" ref="AM3206">IFERROR(INDEX(sheath_wcap_asd,MATCH(AP3206,sheath_mark,0),0)*AK3206,0)</f>
        <v>0</v>
      </c>
      <c r="AN3206" cm="1">
        <f t="array" ref="AN3206">IFERROR(INDEX(hd_cap,MATCH(AQ3206,hd_mark,0),0),0)</f>
        <v>0</v>
      </c>
      <c r="AP3206" s="19"/>
      <c r="AQ3206" s="19"/>
      <c r="AR3206" s="100"/>
      <c r="AS3206" s="93"/>
      <c r="AT3206" s="109"/>
      <c r="AU3206" t="str">
        <f>$Q$3094</f>
        <v>L3</v>
      </c>
      <c r="AV3206">
        <f>$E$22</f>
        <v>21.375</v>
      </c>
      <c r="AW3206" cm="1">
        <f t="array" ref="AW3206">IFERROR(IF(AV3206=0,0,(INDEX($C$33:$C$38,MATCH($AZ$3116,$B$33:$B$38,0),0)*(AV3209+$BA$3116)+$AW$3116*COUNTIF(AV3206:AV3208,"&gt;0")*$C$32+$AY$3116*$C$31)*$AU$3116),0)</f>
        <v>0</v>
      </c>
      <c r="AX3206">
        <f>IF(AV3206=0,0,-(COUNTIF(AV3206:AV3208,"&gt;0")*$AW$3116*$C$32+$AY$3116*$C$31)*$H$27*$AU$3116)</f>
        <v>0</v>
      </c>
      <c r="AY3206">
        <f>IF(AV3206=0,0,$AY$3116*$H$26*$AU$3116)</f>
        <v>0</v>
      </c>
      <c r="AZ3206">
        <f>(0.6*AW3206+0.7*AX3206)*$AU$3116/2</f>
        <v>0</v>
      </c>
      <c r="BA3206">
        <f>AW3206*$AU$3116/2</f>
        <v>0</v>
      </c>
      <c r="BC3206">
        <f>IF(AV3206=0,0,$BG$3116*$AP$3094)</f>
        <v>0</v>
      </c>
      <c r="BD3206">
        <f>IFERROR(BC3206/$AU$3116,0)</f>
        <v>0</v>
      </c>
      <c r="BE3206">
        <f>BC3206*($F$22+IF($F$22=0,0,($C$14+$C$15+IF($C$13="single",1.5,3)+3)/12))</f>
        <v>0</v>
      </c>
      <c r="BF3206">
        <f>BE3206-AZ3206</f>
        <v>0</v>
      </c>
      <c r="BG3206" cm="1">
        <f t="array" ref="BG3206">IFERROR(IF(BF3206&lt;0,0,BF3206/($AU$3116-INDEX(hd_off,MATCH(BT3206,hd_mark,0),0)/12)),0)</f>
        <v>0</v>
      </c>
      <c r="BH3206">
        <f>IF(AV3206=0,0,$BG$3116*$AM$3094)</f>
        <v>0</v>
      </c>
      <c r="BI3206">
        <f>IFERROR(BH3206/$AU$3116,0)</f>
        <v>0</v>
      </c>
      <c r="BJ3206">
        <f>BH3206*($F$22+IF($F$22=0,0,($C$14+$C$15+IF($C$13="single",1.5,3)+3)/12))</f>
        <v>0</v>
      </c>
      <c r="BK3206">
        <f>BJ3206-BA3206</f>
        <v>0</v>
      </c>
      <c r="BL3206" cm="1">
        <f t="array" ref="BL3206">IFERROR(IF(BK3206&lt;0,0,BK3206/($AU$3116-INDEX(hd_off,MATCH(BT3206,hd_mark,0),0)/12)),0)</f>
        <v>0</v>
      </c>
      <c r="BM3206">
        <f>MAX($F$22,$BC$3116)/$Q$3124</f>
        <v>0.30172413793103448</v>
      </c>
      <c r="BN3206">
        <f t="shared" ref="BN3206:BN3209" si="1972">IF(BM3206=0,0,IF(BM3206&gt;2,1.25-0.125*BM3206,1))</f>
        <v>1</v>
      </c>
      <c r="BO3206" cm="1">
        <f t="array" ref="BO3206">IFERROR(INDEX(sheath_ecap_asd,MATCH(BS3206,sheath_mark,0),0)*BN3206,0)</f>
        <v>0</v>
      </c>
      <c r="BP3206" cm="1">
        <f t="array" ref="BP3206">IFERROR(INDEX(sheath_wcap_asd,MATCH(BS3206,sheath_mark,0),0)*BN3206,0)</f>
        <v>0</v>
      </c>
      <c r="BQ3206" cm="1">
        <f t="array" ref="BQ3206">IFERROR(INDEX(hd_cap,MATCH(BT3206,hd_mark,0),0),0)</f>
        <v>0</v>
      </c>
      <c r="BS3206" s="19"/>
      <c r="BT3206" s="19"/>
      <c r="BU3206" s="100"/>
    </row>
    <row r="3207" x14ac:dyDescent="0.25">
      <c r="P3207" s="93"/>
      <c r="Q3207" s="109" t="s">
        <v>491</v>
      </c>
      <c r="R3207" t="str">
        <f>$Q$3095</f>
        <v>L4</v>
      </c>
      <c r="S3207">
        <f>$E$23</f>
        <v>0</v>
      </c>
      <c r="T3207" cm="1">
        <f t="array" ref="T3207">IFERROR(IF(S3207=0,0,(INDEX($C$33:$C$38,MATCH($W$3116,$B$33:$B$38,0),0)*(S3209+$X$3116)+$T$3116*COUNTIF(S3207:S3208,"&gt;0")*$C$32+$V$3116*$C$31)*$R$3116),0)</f>
        <v>0</v>
      </c>
      <c r="U3207">
        <f>IF(S3207=0,0,-(COUNTIF(S3207:S3208,"&gt;0")*$T$3116*$C$32+$V$3116*$C$31)*$H$27*$R$3116)</f>
        <v>0</v>
      </c>
      <c r="V3207">
        <f>IF(S3207=0,0,$V$3116*$H$26*$R$3116)</f>
        <v>0</v>
      </c>
      <c r="W3207">
        <f>(0.6*T3207+0.7*U3207)*$R$3116/2</f>
        <v>0</v>
      </c>
      <c r="X3207">
        <f>T3207*$R$3116/2</f>
        <v>0</v>
      </c>
      <c r="Z3207">
        <f>IF(S3207=0,0,$AD$3116*$AP$3095)</f>
        <v>0</v>
      </c>
      <c r="AA3207">
        <f>IFERROR(Z3207/$R$3116,0)</f>
        <v>0</v>
      </c>
      <c r="AB3207">
        <f>Z3207*($F$23+IF($F$23=0,0,($C$14+$C$15+IF($C$13="single",1.5,3)+3)/12))</f>
        <v>0</v>
      </c>
      <c r="AC3207">
        <f>AB3207-W3207</f>
        <v>0</v>
      </c>
      <c r="AD3207" cm="1">
        <f t="array" ref="AD3207">IFERROR(IF(AC3207&lt;0,0,AC3207/($R$3116-INDEX(hd_off,MATCH(AQ3207,hd_mark,0),0)/12)),0)</f>
        <v>0</v>
      </c>
      <c r="AE3207">
        <f>IF(S3207=0,0,$AD$3116*$AM$3095)</f>
        <v>0</v>
      </c>
      <c r="AF3207">
        <f>IFERROR(AE3207/$R$3116,0)</f>
        <v>0</v>
      </c>
      <c r="AG3207">
        <f>AE3207*($F$23+IF($F$23=0,0,($C$14+$C$15+IF($C$13="single",1.5,3)+3)/12))</f>
        <v>0</v>
      </c>
      <c r="AH3207">
        <f>AG3207-X3207</f>
        <v>0</v>
      </c>
      <c r="AI3207" cm="1">
        <f t="array" ref="AI3207">IFERROR(IF(AH3207&lt;0,0,AH3207/($R$3116-INDEX(hd_off,MATCH(AQ3207,hd_mark,0),0)/12)),0)</f>
        <v>0</v>
      </c>
      <c r="AJ3207">
        <f>MAX($F$23,$AA$3116)/$Q$3124</f>
        <v>0</v>
      </c>
      <c r="AK3207">
        <f t="shared" si="1971"/>
        <v>0</v>
      </c>
      <c r="AL3207" cm="1">
        <f t="array" ref="AL3207">IFERROR(INDEX(sheath_ecap_asd,MATCH(AP3207,sheath_mark,0),0)*AK3207,0)</f>
        <v>0</v>
      </c>
      <c r="AM3207" cm="1">
        <f t="array" ref="AM3207">IFERROR(INDEX(sheath_wcap_asd,MATCH(AP3207,sheath_mark,0),0)*AK3207,0)</f>
        <v>0</v>
      </c>
      <c r="AN3207" cm="1">
        <f t="array" ref="AN3207">IFERROR(INDEX(hd_cap,MATCH(AQ3207,hd_mark,0),0),0)</f>
        <v>0</v>
      </c>
      <c r="AP3207" s="19"/>
      <c r="AQ3207" s="19"/>
      <c r="AR3207" s="100"/>
      <c r="AS3207" s="93"/>
      <c r="AT3207" s="109" t="s">
        <v>491</v>
      </c>
      <c r="AU3207" t="str">
        <f>$Q$3095</f>
        <v>L4</v>
      </c>
      <c r="AV3207">
        <f>$E$23</f>
        <v>0</v>
      </c>
      <c r="AW3207" cm="1">
        <f t="array" ref="AW3207">IFERROR(IF(AV3207=0,0,(INDEX($C$33:$C$38,MATCH($AZ$3116,$B$33:$B$38,0),0)*(AV3209+$BA$3116)+$AW$3116*COUNTIF(AV3207:AV3208,"&gt;0")*$C$32+$AY$3116*$C$31)*$AU$3116),0)</f>
        <v>0</v>
      </c>
      <c r="AX3207">
        <f>IF(AV3207=0,0,-(COUNTIF(AV3207:AV3208,"&gt;0")*$AW$3116*$C$32+$AY$3116*$C$31)*$H$27*$AU$3116)</f>
        <v>0</v>
      </c>
      <c r="AY3207">
        <f>IF(AV3207=0,0,$AY$3116*$H$26*$AU$3116)</f>
        <v>0</v>
      </c>
      <c r="AZ3207">
        <f>(0.6*AW3207+0.7*AX3207)*$AU$3116/2</f>
        <v>0</v>
      </c>
      <c r="BA3207">
        <f>AW3207*$AU$3116/2</f>
        <v>0</v>
      </c>
      <c r="BC3207">
        <f>IF(AV3207=0,0,$BG$3116*$AP$3095)</f>
        <v>0</v>
      </c>
      <c r="BD3207">
        <f>IFERROR(BC3207/$AU$3116,0)</f>
        <v>0</v>
      </c>
      <c r="BE3207">
        <f>BC3207*($F$23+IF($F$23=0,0,($C$14+$C$15+IF($C$13="single",1.5,3)+3)/12))</f>
        <v>0</v>
      </c>
      <c r="BF3207">
        <f>BE3207-AZ3207</f>
        <v>0</v>
      </c>
      <c r="BG3207" cm="1">
        <f t="array" ref="BG3207">IFERROR(IF(BF3207&lt;0,0,BF3207/($AU$3116-INDEX(hd_off,MATCH(BT3207,hd_mark,0),0)/12)),0)</f>
        <v>0</v>
      </c>
      <c r="BH3207">
        <f>IF(AV3207=0,0,$BG$3116*$AM$3095)</f>
        <v>0</v>
      </c>
      <c r="BI3207">
        <f>IFERROR(BH3207/$AU$3116,0)</f>
        <v>0</v>
      </c>
      <c r="BJ3207">
        <f>BH3207*($F$23+IF($F$23=0,0,($C$14+$C$15+IF($C$13="single",1.5,3)+3)/12))</f>
        <v>0</v>
      </c>
      <c r="BK3207">
        <f>BJ3207-BA3207</f>
        <v>0</v>
      </c>
      <c r="BL3207" cm="1">
        <f t="array" ref="BL3207">IFERROR(IF(BK3207&lt;0,0,BK3207/($AU$3116-INDEX(hd_off,MATCH(BT3207,hd_mark,0),0)/12)),0)</f>
        <v>0</v>
      </c>
      <c r="BM3207">
        <f>MAX($F$23,$BD$3116)/$Q$3124</f>
        <v>0</v>
      </c>
      <c r="BN3207">
        <f t="shared" si="1972"/>
        <v>0</v>
      </c>
      <c r="BO3207" cm="1">
        <f t="array" ref="BO3207">IFERROR(INDEX(sheath_ecap_asd,MATCH(BS3207,sheath_mark,0),0)*BN3207,0)</f>
        <v>0</v>
      </c>
      <c r="BP3207" cm="1">
        <f t="array" ref="BP3207">IFERROR(INDEX(sheath_wcap_asd,MATCH(BS3207,sheath_mark,0),0)*BN3207,0)</f>
        <v>0</v>
      </c>
      <c r="BQ3207" cm="1">
        <f t="array" ref="BQ3207">IFERROR(INDEX(hd_cap,MATCH(BT3207,hd_mark,0),0),0)</f>
        <v>0</v>
      </c>
      <c r="BS3207" s="19"/>
      <c r="BT3207" s="19"/>
      <c r="BU3207" s="100"/>
    </row>
    <row r="3208" x14ac:dyDescent="0.25">
      <c r="P3208" s="93"/>
      <c r="Q3208" s="111">
        <f>$R$3116</f>
        <v>0</v>
      </c>
      <c r="R3208" t="str">
        <f>$Q$3096</f>
        <v>L5</v>
      </c>
      <c r="S3208">
        <f>$E$24</f>
        <v>0</v>
      </c>
      <c r="T3208" cm="1">
        <f t="array" ref="T3208">IFERROR(IF(S3208=0,0,(INDEX($C$33:$C$38,MATCH($W$3116,$B$33:$B$38,0),0)*(S3209+$X$3116)+$T$3116*COUNTIF(S3208:S3208,"&gt;0")*$C$32+$V$3116*$C$31)*$R$3116),0)</f>
        <v>0</v>
      </c>
      <c r="U3208">
        <f>IF(S3208=0,0,-(COUNTIF(S3208:S3208,"&gt;0")*$T$3116*$C$32+$V$3116*$C$31)*$H$27*$R$3116)</f>
        <v>0</v>
      </c>
      <c r="V3208">
        <f>IF(S3208=0,0,$V$3116*$H$26*$R$3116)</f>
        <v>0</v>
      </c>
      <c r="W3208">
        <f>(0.6*T3208+0.7*U3208)*$R$3116/2</f>
        <v>0</v>
      </c>
      <c r="X3208">
        <f>T3208*$R$3116/2</f>
        <v>0</v>
      </c>
      <c r="Z3208">
        <f>IF(S3208=0,0,$AD$3116*$AP$3096)</f>
        <v>0</v>
      </c>
      <c r="AA3208">
        <f>IFERROR(Z3208/$R$3116,0)</f>
        <v>0</v>
      </c>
      <c r="AB3208">
        <f>Z3208*($F$24+IF($F$24=0,0,($C$14+$C$15+IF($C$13="single",1.5,3)+3)/12))</f>
        <v>0</v>
      </c>
      <c r="AC3208">
        <f>AB3208-W3208</f>
        <v>0</v>
      </c>
      <c r="AD3208" cm="1">
        <f t="array" ref="AD3208">IFERROR(IF(AC3208&lt;0,0,AC3208/($R$3116-INDEX(hd_off,MATCH(AQ3208,hd_mark,0),0)/12)),0)</f>
        <v>0</v>
      </c>
      <c r="AE3208">
        <f>IF(S3208=0,0,$AD$3116*$AM$3096)</f>
        <v>0</v>
      </c>
      <c r="AF3208">
        <f>IFERROR(AE3208/$R$3116,0)</f>
        <v>0</v>
      </c>
      <c r="AG3208">
        <f>AE3208*($F$24+IF($F$24=0,0,($C$14+$C$15+IF($C$13="single",1.5,3)+3)/12))</f>
        <v>0</v>
      </c>
      <c r="AH3208">
        <f>AG3208-X3208</f>
        <v>0</v>
      </c>
      <c r="AI3208" cm="1">
        <f t="array" ref="AI3208">IFERROR(IF(AH3208&lt;0,0,AH3208/($R$3116-INDEX(hd_off,MATCH(AQ3208,hd_mark,0),0)/12)),0)</f>
        <v>0</v>
      </c>
      <c r="AJ3208">
        <f>MAX($F$24,$AB$3116)/$Q$3124</f>
        <v>0</v>
      </c>
      <c r="AK3208">
        <f t="shared" si="1971"/>
        <v>0</v>
      </c>
      <c r="AL3208" cm="1">
        <f t="array" ref="AL3208">IFERROR(INDEX(sheath_ecap_asd,MATCH(AP3208,sheath_mark,0),0)*AK3208,0)</f>
        <v>0</v>
      </c>
      <c r="AM3208" cm="1">
        <f t="array" ref="AM3208">IFERROR(INDEX(sheath_wcap_asd,MATCH(AP3208,sheath_mark,0),0)*AK3208,0)</f>
        <v>0</v>
      </c>
      <c r="AN3208" cm="1">
        <f t="array" ref="AN3208">IFERROR(INDEX(hd_cap,MATCH(AQ3208,hd_mark,0),0),0)</f>
        <v>0</v>
      </c>
      <c r="AP3208" s="19"/>
      <c r="AQ3208" s="19"/>
      <c r="AR3208" s="100"/>
      <c r="AS3208" s="93"/>
      <c r="AT3208" s="111">
        <f>$R$3116</f>
        <v>0</v>
      </c>
      <c r="AU3208" t="str">
        <f>$Q$3096</f>
        <v>L5</v>
      </c>
      <c r="AV3208">
        <f>$E$24</f>
        <v>0</v>
      </c>
      <c r="AW3208" cm="1">
        <f t="array" ref="AW3208">IFERROR(IF(AV3208=0,0,(INDEX($C$33:$C$38,MATCH($AZ$3116,$B$33:$B$38,0),0)*(AV3209+$BA$3116)+$AW$3116*COUNTIF(AV3208:AV3208,"&gt;0")*$C$32+$AY$3116*$C$31)*$AU$3116),0)</f>
        <v>0</v>
      </c>
      <c r="AX3208">
        <f>IF(AV3208=0,0,-(COUNTIF(AV3208:AV3208,"&gt;0")*$AW$3116*$C$32+$AY$3116*$C$31)*$H$27*$AU$3116)</f>
        <v>0</v>
      </c>
      <c r="AY3208">
        <f>IF(AV3208=0,0,$AY$3116*$H$26*$AU$3116)</f>
        <v>0</v>
      </c>
      <c r="AZ3208">
        <f>(0.6*AW3208+0.7*AX3208)*$AU$3116/2</f>
        <v>0</v>
      </c>
      <c r="BA3208">
        <f>AW3208*$AU$3116/2</f>
        <v>0</v>
      </c>
      <c r="BC3208">
        <f>IF(AV3208=0,0,$BG$3116*$AP$3096)</f>
        <v>0</v>
      </c>
      <c r="BD3208">
        <f>IFERROR(BC3208/$AU$3116,0)</f>
        <v>0</v>
      </c>
      <c r="BE3208">
        <f>BC3208*($F$24+IF($F$24=0,0,($C$14+$C$15+IF($C$13="single",1.5,3)+3)/12))</f>
        <v>0</v>
      </c>
      <c r="BF3208">
        <f>BE3208-AZ3208</f>
        <v>0</v>
      </c>
      <c r="BG3208" cm="1">
        <f t="array" ref="BG3208">IFERROR(IF(BF3208&lt;0,0,BF3208/($AU$3116-INDEX(hd_off,MATCH(BT3208,hd_mark,0),0)/12)),0)</f>
        <v>0</v>
      </c>
      <c r="BH3208">
        <f>IF(AV3208=0,0,$BG$3116*$AM$3096)</f>
        <v>0</v>
      </c>
      <c r="BI3208">
        <f>IFERROR(BH3208/$AU$3116,0)</f>
        <v>0</v>
      </c>
      <c r="BJ3208">
        <f>BH3208*($F$24+IF($F$24=0,0,($C$14+$C$15+IF($C$13="single",1.5,3)+3)/12))</f>
        <v>0</v>
      </c>
      <c r="BK3208">
        <f>BJ3208-BA3208</f>
        <v>0</v>
      </c>
      <c r="BL3208" cm="1">
        <f t="array" ref="BL3208">IFERROR(IF(BK3208&lt;0,0,BK3208/($AU$3116-INDEX(hd_off,MATCH(BT3208,hd_mark,0),0)/12)),0)</f>
        <v>0</v>
      </c>
      <c r="BM3208">
        <f>MAX($F$24,$BE$3116)/$Q$3124</f>
        <v>0</v>
      </c>
      <c r="BN3208">
        <f t="shared" si="1972"/>
        <v>0</v>
      </c>
      <c r="BO3208" cm="1">
        <f t="array" ref="BO3208">IFERROR(INDEX(sheath_ecap_asd,MATCH(BS3208,sheath_mark,0),0)*BN3208,0)</f>
        <v>0</v>
      </c>
      <c r="BP3208" cm="1">
        <f t="array" ref="BP3208">IFERROR(INDEX(sheath_wcap_asd,MATCH(BS3208,sheath_mark,0),0)*BN3208,0)</f>
        <v>0</v>
      </c>
      <c r="BQ3208" cm="1">
        <f t="array" ref="BQ3208">IFERROR(INDEX(hd_cap,MATCH(BT3208,hd_mark,0),0),0)</f>
        <v>0</v>
      </c>
      <c r="BS3208" s="19"/>
      <c r="BT3208" s="19"/>
      <c r="BU3208" s="100"/>
    </row>
    <row r="3209" x14ac:dyDescent="0.25">
      <c r="P3209" s="93"/>
      <c r="Q3209" s="109"/>
      <c r="R3209" t="str">
        <f>$Q$3097</f>
        <v>Roof</v>
      </c>
      <c r="S3209">
        <f>$E$25</f>
        <v>33.171875</v>
      </c>
      <c r="T3209" cm="1">
        <f t="array" ref="T3209">IFERROR(IF(S3209=0,0,(INDEX($C$33:$C$38,MATCH($W$3116,$B$33:$B$38,0),0)*(S3209+$X$3116)+$V$3116*$C$31)*$R$3116),0)</f>
        <v>0</v>
      </c>
      <c r="U3209">
        <f>IF(S3209=0,0,-$V$3116*$C$31*$H$27*$R$3116)</f>
        <v>0</v>
      </c>
      <c r="V3209">
        <f>IF(S3209=0,0,$V$3116*$H$26*$R$3116)</f>
        <v>0</v>
      </c>
      <c r="W3209">
        <f>(0.6*T3209+0.7*U3209)*$R$3116/2</f>
        <v>0</v>
      </c>
      <c r="X3209">
        <f>T3209*$R$3116/2</f>
        <v>0</v>
      </c>
      <c r="Z3209">
        <f>IF(S3209=0,0,$AD$3116*$AP$3097)</f>
        <v>0</v>
      </c>
      <c r="AA3209">
        <f>IFERROR(Z3209/$R$3116,0)</f>
        <v>0</v>
      </c>
      <c r="AB3209">
        <f>Z3209*($F$25+($C$16+$C$17+IF($C$13="single",1.5,3)+3)/12)</f>
        <v>0</v>
      </c>
      <c r="AC3209">
        <f>AB3209-W3209</f>
        <v>0</v>
      </c>
      <c r="AD3209" cm="1">
        <f t="array" ref="AD3209">IFERROR(IF(AC3209&lt;0,0,AC3209/($R$3116-INDEX(hd_off,MATCH(AQ3209,hd_mark,0),0)/12)),0)</f>
        <v>0</v>
      </c>
      <c r="AE3209">
        <f>IF(S3209=0,0,$AD$3116*$AM$3097)</f>
        <v>0</v>
      </c>
      <c r="AF3209">
        <f>IFERROR(AE3209/$R$3116,0)</f>
        <v>0</v>
      </c>
      <c r="AG3209">
        <f>AE3209*($F$25+($C$16+$C$17+IF($C$13="single",1.5,3)+3)/12)</f>
        <v>0</v>
      </c>
      <c r="AH3209">
        <f>AG3209-X3209</f>
        <v>0</v>
      </c>
      <c r="AI3209" cm="1">
        <f t="array" ref="AI3209">IFERROR(IF(AH3209&lt;0,0,AH3209/($R$3116-INDEX(hd_off,MATCH(AQ3209,hd_mark,0),0)/12)),0)</f>
        <v>0</v>
      </c>
      <c r="AJ3209">
        <f>MAX($F$25,$AC$3116)/$Q$3124</f>
        <v>0.29920977011494249</v>
      </c>
      <c r="AK3209">
        <f t="shared" si="1971"/>
        <v>1</v>
      </c>
      <c r="AL3209" cm="1">
        <f t="array" ref="AL3209">IFERROR(INDEX(sheath_ecap_asd,MATCH(AP3209,sheath_mark,0),0)*AK3209,0)</f>
        <v>0</v>
      </c>
      <c r="AM3209" cm="1">
        <f t="array" ref="AM3209">IFERROR(INDEX(sheath_wcap_asd,MATCH(AP3209,sheath_mark,0),0)*AK3209,0)</f>
        <v>0</v>
      </c>
      <c r="AN3209" cm="1">
        <f t="array" ref="AN3209">IFERROR(INDEX(hd_cap,MATCH(AQ3209,hd_mark,0),0),0)</f>
        <v>0</v>
      </c>
      <c r="AP3209" s="19"/>
      <c r="AQ3209" s="19"/>
      <c r="AR3209" s="100"/>
      <c r="AS3209" s="93"/>
      <c r="AT3209" s="109"/>
      <c r="AU3209" t="str">
        <f>$Q$3097</f>
        <v>Roof</v>
      </c>
      <c r="AV3209">
        <f>$E$25</f>
        <v>33.171875</v>
      </c>
      <c r="AW3209" cm="1">
        <f t="array" ref="AW3209">IFERROR(IF(AV3209=0,0,(INDEX($C$33:$C$38,MATCH($AZ$3116,$B$33:$B$38,0),0)*(AV3209+$BA$3116)+$AY$3116*$C$31)*$AU$3116),0)</f>
        <v>0</v>
      </c>
      <c r="AX3209">
        <f>IF(AV3209=0,0,-$AY$3116*$C$31*$H$27*$AU$3116)</f>
        <v>0</v>
      </c>
      <c r="AY3209">
        <f>IF(AV3209=0,0,$AY$3116*$H$26*$AU$3116)</f>
        <v>0</v>
      </c>
      <c r="AZ3209">
        <f>(0.6*AW3209+0.7*AX3209)*$AU$3116/2</f>
        <v>0</v>
      </c>
      <c r="BA3209">
        <f>AW3209*$AU$3116/2</f>
        <v>0</v>
      </c>
      <c r="BC3209">
        <f>IF(AV3209=0,0,$BG$3116*$AP$3097)</f>
        <v>0</v>
      </c>
      <c r="BD3209">
        <f>IFERROR(BC3209/$AU$3116,0)</f>
        <v>0</v>
      </c>
      <c r="BE3209">
        <f>BC3209*($F$25+($C$16+$C$17+IF($C$13="single",1.5,3)+3)/12)</f>
        <v>0</v>
      </c>
      <c r="BF3209">
        <f>BE3209-AZ3209</f>
        <v>0</v>
      </c>
      <c r="BG3209" cm="1">
        <f t="array" ref="BG3209">IFERROR(IF(BF3209&lt;0,0,BF3209/($AU$3116-INDEX(hd_off,MATCH(BT3209,hd_mark,0),0)/12)),0)</f>
        <v>0</v>
      </c>
      <c r="BH3209">
        <f>IF(AV3209=0,0,$BG$3116*$AM$3097)</f>
        <v>0</v>
      </c>
      <c r="BI3209">
        <f>IFERROR(BH3209/$AU$3116,0)</f>
        <v>0</v>
      </c>
      <c r="BJ3209">
        <f>BH3209*($F$25+($C$16+$C$17+IF($C$13="single",1.5,3)+3)/12)</f>
        <v>0</v>
      </c>
      <c r="BK3209">
        <f>BJ3209-BA3209</f>
        <v>0</v>
      </c>
      <c r="BL3209" cm="1">
        <f t="array" ref="BL3209">IFERROR(IF(BK3209&lt;0,0,BK3209/($AU$3116-INDEX(hd_off,MATCH(BT3209,hd_mark,0),0)/12)),0)</f>
        <v>0</v>
      </c>
      <c r="BM3209">
        <f>MAX($F$25,$BF$3116)/$Q$3124</f>
        <v>0.29920977011494249</v>
      </c>
      <c r="BN3209">
        <f t="shared" si="1972"/>
        <v>1</v>
      </c>
      <c r="BO3209" cm="1">
        <f t="array" ref="BO3209">IFERROR(INDEX(sheath_ecap_asd,MATCH(BS3209,sheath_mark,0),0)*BN3209,0)</f>
        <v>0</v>
      </c>
      <c r="BP3209" cm="1">
        <f t="array" ref="BP3209">IFERROR(INDEX(sheath_wcap_asd,MATCH(BS3209,sheath_mark,0),0)*BN3209,0)</f>
        <v>0</v>
      </c>
      <c r="BQ3209" cm="1">
        <f t="array" ref="BQ3209">IFERROR(INDEX(hd_cap,MATCH(BT3209,hd_mark,0),0),0)</f>
        <v>0</v>
      </c>
      <c r="BS3209" s="19"/>
      <c r="BT3209" s="19"/>
      <c r="BU3209" s="100"/>
    </row>
    <row r="3210" x14ac:dyDescent="0.25">
      <c r="P3210" s="93"/>
      <c r="AR3210" s="100"/>
      <c r="AS3210" s="93"/>
      <c r="BU3210" s="100"/>
    </row>
    <row r="3211" x14ac:dyDescent="0.25">
      <c r="P3211" s="93"/>
      <c r="Q3211" s="110" t="str">
        <f>$Q$3117</f>
        <v>A.16</v>
      </c>
      <c r="R3211" t="str">
        <f>$Q$3093</f>
        <v>L2</v>
      </c>
      <c r="S3211">
        <f>$E$21</f>
        <v>10.6875</v>
      </c>
      <c r="T3211" cm="1">
        <f t="array" ref="T3211">IFERROR(IF(S3211=0,0,(INDEX($C$33:$C$38,MATCH($W$3117,$B$33:$B$38,0),0)*(S3215+$X$3117)+$T$3117*COUNTIF(S3211:S3214,"&gt;0")*$C$32+$V$3117*$C$31)*$R$3117),0)</f>
        <v>0</v>
      </c>
      <c r="U3211">
        <f>IF(S3211=0,0,-(COUNTIF(S3211:S3214,"&gt;0")*$T$3117*$C$32+$V$3117*$C$31)*$H$27*$R$3117)</f>
        <v>0</v>
      </c>
      <c r="V3211">
        <f>IF(S3211=0,0,$V$3117*$H$26*$R$3117)</f>
        <v>0</v>
      </c>
      <c r="W3211">
        <f>(0.6*T3211+0.7*U3211)*$R$3117/2</f>
        <v>0</v>
      </c>
      <c r="X3211">
        <f>(0.6*T3211+0.6*V3211)*$R$3117/2</f>
        <v>0</v>
      </c>
      <c r="Z3211">
        <f>IF(S3211=0,0,$AD$3117*$AP$3093)</f>
        <v>0</v>
      </c>
      <c r="AA3211">
        <f>IFERROR(Z3211/$R$3117,0)</f>
        <v>0</v>
      </c>
      <c r="AB3211">
        <f>Z3211*($F$21+IF($F$21=0,0,($C$14+$C$15+IF($C$13="single",1.5,3)+3)/12))</f>
        <v>0</v>
      </c>
      <c r="AC3211">
        <f>AB3211-W3211</f>
        <v>0</v>
      </c>
      <c r="AD3211" cm="1">
        <f t="array" ref="AD3211">IFERROR(IF(AC3211&lt;0,0,AC3211/($R$3117-INDEX(hd_off,MATCH(AQ3211,hd_mark,0),0)/12)),0)</f>
        <v>0</v>
      </c>
      <c r="AE3211">
        <f>IF(S3211=0,0,$AD$3117*$AM$3093)</f>
        <v>0</v>
      </c>
      <c r="AF3211">
        <f>IFERROR(AE3211/$R$3117,0)</f>
        <v>0</v>
      </c>
      <c r="AG3211">
        <f>AE3211*($F$21+IF($F$21=0,0,($C$14+$C$15+IF($C$13="single",1.5,3)+3)/12))</f>
        <v>0</v>
      </c>
      <c r="AH3211">
        <f>AG3211-X3211</f>
        <v>0</v>
      </c>
      <c r="AI3211" cm="1">
        <f t="array" ref="AI3211">IFERROR(IF(AH3211&lt;0,0,AH3211/($R$3117-INDEX(hd_off,MATCH(AQ3211,hd_mark,0),0)/12)),0)</f>
        <v>0</v>
      </c>
      <c r="AJ3211">
        <f>MAX($F$21,$Y$3117)/$Q$3124</f>
        <v>0.30172413793103448</v>
      </c>
      <c r="AK3211">
        <f>IF(AJ3211=0,0,IF(AJ3211&gt;2,1.25-0.125*AJ3211,1))</f>
        <v>1</v>
      </c>
      <c r="AL3211" cm="1">
        <f t="array" ref="AL3211">IFERROR(INDEX(sheath_ecap_asd,MATCH(AP3211,sheath_mark,0),0)*AK3211,0)</f>
        <v>0</v>
      </c>
      <c r="AM3211" cm="1">
        <f t="array" ref="AM3211">IFERROR(INDEX(sheath_wcap_asd,MATCH(AP3211,sheath_mark,0),0)*AK3211,0)</f>
        <v>0</v>
      </c>
      <c r="AN3211" cm="1">
        <f t="array" ref="AN3211">IFERROR(INDEX(hd_cap,MATCH(AQ3211,hd_mark,0),0),0)</f>
        <v>0</v>
      </c>
      <c r="AP3211" s="19"/>
      <c r="AQ3211" s="19"/>
      <c r="AR3211" s="100"/>
      <c r="AS3211" s="93"/>
      <c r="AT3211" s="110" t="str">
        <f>$AT$3117</f>
        <v>1.16</v>
      </c>
      <c r="AU3211" t="str">
        <f>$Q$3093</f>
        <v>L2</v>
      </c>
      <c r="AV3211">
        <f>$E$21</f>
        <v>10.6875</v>
      </c>
      <c r="AW3211" cm="1">
        <f t="array" ref="AW3211">IFERROR(IF(AV3211=0,0,(INDEX($C$33:$C$38,MATCH($AZ$3117,$B$33:$B$38,0),0)*(AV3215+$BA$3117)+$AW$3117*COUNTIF(AV3211:AV3214,"&gt;0")*$C$32+$AY$3117*$C$31)*$AU$3117),0)</f>
        <v>0</v>
      </c>
      <c r="AX3211">
        <f>IF(AV3211=0,0,-(COUNTIF(AV3211:AV3214,"&gt;0")*$AW$3117*$C$32+$AY$3117*$C$31)*$H$27*$AU$3117)</f>
        <v>0</v>
      </c>
      <c r="AY3211">
        <f>IF(AV3211=0,0,$AY$3117*$H$26*$AU$3117)</f>
        <v>0</v>
      </c>
      <c r="AZ3211">
        <f>(0.6*AW3211+0.7*AX3211)*$AU$3117/2</f>
        <v>0</v>
      </c>
      <c r="BA3211">
        <f>(0.6*AW3211+0.6*AY3211)*$AU$3117/2</f>
        <v>0</v>
      </c>
      <c r="BC3211">
        <f>IF(AV3211=0,0,$BG$3117*$AP$3093)</f>
        <v>0</v>
      </c>
      <c r="BD3211">
        <f>IFERROR(BC3211/$AU$3117,0)</f>
        <v>0</v>
      </c>
      <c r="BE3211">
        <f>BC3211*($F$21+IF($F$21=0,0,($C$14+$C$15+IF($C$13="single",1.5,3)+3)/12))</f>
        <v>0</v>
      </c>
      <c r="BF3211">
        <f>BE3211-AZ3211</f>
        <v>0</v>
      </c>
      <c r="BG3211" cm="1">
        <f t="array" ref="BG3211">IFERROR(IF(BF3211&lt;0,0,BF3211/($AU$3117-INDEX(hd_off,MATCH(BT3211,hd_mark,0),0)/12)),0)</f>
        <v>0</v>
      </c>
      <c r="BH3211">
        <f>IF(AV3211=0,0,$BG$3117*$AM$3093)</f>
        <v>0</v>
      </c>
      <c r="BI3211">
        <f>IFERROR(BH3211/$AU$3117,0)</f>
        <v>0</v>
      </c>
      <c r="BJ3211">
        <f>BH3211*($F$21+IF($F$21=0,0,($C$14+$C$15+IF($C$13="single",1.5,3)+3)/12))</f>
        <v>0</v>
      </c>
      <c r="BK3211">
        <f>BJ3211-BA3211</f>
        <v>0</v>
      </c>
      <c r="BL3211" cm="1">
        <f t="array" ref="BL3211">IFERROR(IF(BK3211&lt;0,0,BK3211/($AU$3117-INDEX(hd_off,MATCH(BT3211,hd_mark,0),0)/12)),0)</f>
        <v>0</v>
      </c>
      <c r="BM3211">
        <f>MAX($F$21,$BB$3117)/$Q$3124</f>
        <v>0.30172413793103448</v>
      </c>
      <c r="BN3211">
        <f>IF(BM3211=0,0,IF(BM3211&gt;2,1.25-0.125*BM3211,1))</f>
        <v>1</v>
      </c>
      <c r="BO3211" cm="1">
        <f t="array" ref="BO3211">IFERROR(INDEX(sheath_ecap_asd,MATCH(BS3211,sheath_mark,0),0)*BN3211,0)</f>
        <v>0</v>
      </c>
      <c r="BP3211" cm="1">
        <f t="array" ref="BP3211">IFERROR(INDEX(sheath_wcap_asd,MATCH(BS3211,sheath_mark,0),0)*BN3211,0)</f>
        <v>0</v>
      </c>
      <c r="BQ3211" cm="1">
        <f t="array" ref="BQ3211">IFERROR(INDEX(hd_cap,MATCH(BT3211,hd_mark,0),0),0)</f>
        <v>0</v>
      </c>
      <c r="BS3211" s="19"/>
      <c r="BT3211" s="19"/>
      <c r="BU3211" s="100"/>
    </row>
    <row r="3212" x14ac:dyDescent="0.25">
      <c r="P3212" s="93"/>
      <c r="Q3212" s="109"/>
      <c r="R3212" t="str">
        <f>$Q$3094</f>
        <v>L3</v>
      </c>
      <c r="S3212">
        <f>$E$22</f>
        <v>21.375</v>
      </c>
      <c r="T3212" cm="1">
        <f t="array" ref="T3212">IFERROR(IF(S3212=0,0,(INDEX($C$33:$C$38,MATCH($W$3117,$B$33:$B$38,0),0)*(S3215+$X$3117)+$T$3117*COUNTIF(S3212:S3214,"&gt;0")*$C$32+$V$3117*$C$31)*$R$3117),0)</f>
        <v>0</v>
      </c>
      <c r="U3212">
        <f>IF(S3212=0,0,-(COUNTIF(S3212:S3214,"&gt;0")*$T$3117*$C$32+$V$3117*$C$31)*$H$27*$R$3117)</f>
        <v>0</v>
      </c>
      <c r="V3212">
        <f>IF(S3212=0,0,$V$3117*$H$26*$R$3117)</f>
        <v>0</v>
      </c>
      <c r="W3212">
        <f>(0.6*T3212+0.7*U3212)*$R$3117/2</f>
        <v>0</v>
      </c>
      <c r="X3212">
        <f>T3212*$R$3117/2</f>
        <v>0</v>
      </c>
      <c r="Z3212">
        <f>IF(S3212=0,0,$AD$3117*$AP$3094)</f>
        <v>0</v>
      </c>
      <c r="AA3212">
        <f>IFERROR(Z3212/$R$3117,0)</f>
        <v>0</v>
      </c>
      <c r="AB3212">
        <f>Z3212*($F$22+IF($F$22=0,0,($C$14+$C$15+IF($C$13="single",1.5,3)+3)/12))</f>
        <v>0</v>
      </c>
      <c r="AC3212">
        <f>AB3212-W3212</f>
        <v>0</v>
      </c>
      <c r="AD3212" cm="1">
        <f t="array" ref="AD3212">IFERROR(IF(AC3212&lt;0,0,AC3212/($R$3117-INDEX(hd_off,MATCH(AQ3212,hd_mark,0),0)/12)),0)</f>
        <v>0</v>
      </c>
      <c r="AE3212">
        <f>IF(S3212=0,0,$AD$3117*$AM$3094)</f>
        <v>0</v>
      </c>
      <c r="AF3212">
        <f>IFERROR(AE3212/$R$3117,0)</f>
        <v>0</v>
      </c>
      <c r="AG3212">
        <f>AE3212*($F$22+IF($F$22=0,0,($C$14+$C$15+IF($C$13="single",1.5,3)+3)/12))</f>
        <v>0</v>
      </c>
      <c r="AH3212">
        <f>AG3212-X3212</f>
        <v>0</v>
      </c>
      <c r="AI3212" cm="1">
        <f t="array" ref="AI3212">IFERROR(IF(AH3212&lt;0,0,AH3212/($R$3117-INDEX(hd_off,MATCH(AQ3212,hd_mark,0),0)/12)),0)</f>
        <v>0</v>
      </c>
      <c r="AJ3212">
        <f>MAX($F$22,$Z$3117)/$Q$3124</f>
        <v>0.30172413793103448</v>
      </c>
      <c r="AK3212">
        <f t="shared" ref="AK3212:AK3215" si="1973">IF(AJ3212=0,0,IF(AJ3212&gt;2,1.25-0.125*AJ3212,1))</f>
        <v>1</v>
      </c>
      <c r="AL3212" cm="1">
        <f t="array" ref="AL3212">IFERROR(INDEX(sheath_ecap_asd,MATCH(AP3212,sheath_mark,0),0)*AK3212,0)</f>
        <v>0</v>
      </c>
      <c r="AM3212" cm="1">
        <f t="array" ref="AM3212">IFERROR(INDEX(sheath_wcap_asd,MATCH(AP3212,sheath_mark,0),0)*AK3212,0)</f>
        <v>0</v>
      </c>
      <c r="AN3212" cm="1">
        <f t="array" ref="AN3212">IFERROR(INDEX(hd_cap,MATCH(AQ3212,hd_mark,0),0),0)</f>
        <v>0</v>
      </c>
      <c r="AP3212" s="19"/>
      <c r="AQ3212" s="19"/>
      <c r="AR3212" s="100"/>
      <c r="AS3212" s="93"/>
      <c r="AT3212" s="109"/>
      <c r="AU3212" t="str">
        <f>$Q$3094</f>
        <v>L3</v>
      </c>
      <c r="AV3212">
        <f>$E$22</f>
        <v>21.375</v>
      </c>
      <c r="AW3212" cm="1">
        <f t="array" ref="AW3212">IFERROR(IF(AV3212=0,0,(INDEX($C$33:$C$38,MATCH($AZ$3117,$B$33:$B$38,0),0)*(AV3215+$BA$3117)+$AW$3117*COUNTIF(AV3212:AV3214,"&gt;0")*$C$32+$AY$3117*$C$31)*$AU$3117),0)</f>
        <v>0</v>
      </c>
      <c r="AX3212">
        <f>IF(AV3212=0,0,-(COUNTIF(AV3212:AV3214,"&gt;0")*$AW$3117*$C$32+$AY$3117*$C$31)*$H$27*$AU$3117)</f>
        <v>0</v>
      </c>
      <c r="AY3212">
        <f>IF(AV3212=0,0,$AY$3117*$H$26*$AU$3117)</f>
        <v>0</v>
      </c>
      <c r="AZ3212">
        <f>(0.6*AW3212+0.7*AX3212)*$AU$3117/2</f>
        <v>0</v>
      </c>
      <c r="BA3212">
        <f>AW3212*$AU$3117/2</f>
        <v>0</v>
      </c>
      <c r="BC3212">
        <f>IF(AV3212=0,0,$BG$3117*$AP$3094)</f>
        <v>0</v>
      </c>
      <c r="BD3212">
        <f>IFERROR(BC3212/$AU$3117,0)</f>
        <v>0</v>
      </c>
      <c r="BE3212">
        <f>BC3212*($F$22+IF($F$22=0,0,($C$14+$C$15+IF($C$13="single",1.5,3)+3)/12))</f>
        <v>0</v>
      </c>
      <c r="BF3212">
        <f>BE3212-AZ3212</f>
        <v>0</v>
      </c>
      <c r="BG3212" cm="1">
        <f t="array" ref="BG3212">IFERROR(IF(BF3212&lt;0,0,BF3212/($AU$3117-INDEX(hd_off,MATCH(BT3212,hd_mark,0),0)/12)),0)</f>
        <v>0</v>
      </c>
      <c r="BH3212">
        <f>IF(AV3212=0,0,$BG$3117*$AM$3094)</f>
        <v>0</v>
      </c>
      <c r="BI3212">
        <f>IFERROR(BH3212/$AU$3117,0)</f>
        <v>0</v>
      </c>
      <c r="BJ3212">
        <f>BH3212*($F$22+IF($F$22=0,0,($C$14+$C$15+IF($C$13="single",1.5,3)+3)/12))</f>
        <v>0</v>
      </c>
      <c r="BK3212">
        <f>BJ3212-BA3212</f>
        <v>0</v>
      </c>
      <c r="BL3212" cm="1">
        <f t="array" ref="BL3212">IFERROR(IF(BK3212&lt;0,0,BK3212/($AU$3117-INDEX(hd_off,MATCH(BT3212,hd_mark,0),0)/12)),0)</f>
        <v>0</v>
      </c>
      <c r="BM3212">
        <f>MAX($F$22,$BC$3117)/$Q$3124</f>
        <v>0.30172413793103448</v>
      </c>
      <c r="BN3212">
        <f t="shared" ref="BN3212:BN3214" si="1974">IF(BM3212=0,0,IF(BM3212&gt;2,1.25-0.125*BM3212,1))</f>
        <v>1</v>
      </c>
      <c r="BO3212" cm="1">
        <f t="array" ref="BO3212">IFERROR(INDEX(sheath_ecap_asd,MATCH(BS3212,sheath_mark,0),0)*BN3212,0)</f>
        <v>0</v>
      </c>
      <c r="BP3212" cm="1">
        <f t="array" ref="BP3212">IFERROR(INDEX(sheath_wcap_asd,MATCH(BS3212,sheath_mark,0),0)*BN3212,0)</f>
        <v>0</v>
      </c>
      <c r="BQ3212" cm="1">
        <f t="array" ref="BQ3212">IFERROR(INDEX(hd_cap,MATCH(BT3212,hd_mark,0),0),0)</f>
        <v>0</v>
      </c>
      <c r="BS3212" s="19"/>
      <c r="BT3212" s="19"/>
      <c r="BU3212" s="100"/>
    </row>
    <row r="3213" x14ac:dyDescent="0.25">
      <c r="P3213" s="93"/>
      <c r="Q3213" s="109" t="s">
        <v>491</v>
      </c>
      <c r="R3213" t="str">
        <f>$Q$3095</f>
        <v>L4</v>
      </c>
      <c r="S3213">
        <f>$E$23</f>
        <v>0</v>
      </c>
      <c r="T3213" cm="1">
        <f t="array" ref="T3213">IFERROR(IF(S3213=0,0,(INDEX($C$33:$C$38,MATCH($W$3117,$B$33:$B$38,0),0)*(S3215+$X$3117)+$T$3117*COUNTIF(S3213:S3214,"&gt;0")*$C$32+$V$3117*$C$31)*$R$3117),0)</f>
        <v>0</v>
      </c>
      <c r="U3213">
        <f>IF(S3213=0,0,-(COUNTIF(S3213:S3214,"&gt;0")*$T$3117*$C$32+$V$3117*$C$31)*$H$27*$R$3117)</f>
        <v>0</v>
      </c>
      <c r="V3213">
        <f>IF(S3213=0,0,$V$3117*$H$26*$R$3117)</f>
        <v>0</v>
      </c>
      <c r="W3213">
        <f>(0.6*T3213+0.7*U3213)*$R$3117/2</f>
        <v>0</v>
      </c>
      <c r="X3213">
        <f>T3213*$R$3117/2</f>
        <v>0</v>
      </c>
      <c r="Z3213">
        <f>IF(S3213=0,0,$AD$3117*$AP$3095)</f>
        <v>0</v>
      </c>
      <c r="AA3213">
        <f>IFERROR(Z3213/$R$3117,0)</f>
        <v>0</v>
      </c>
      <c r="AB3213">
        <f>Z3213*($F$23+IF($F$23=0,0,($C$14+$C$15+IF($C$13="single",1.5,3)+3)/12))</f>
        <v>0</v>
      </c>
      <c r="AC3213">
        <f>AB3213-W3213</f>
        <v>0</v>
      </c>
      <c r="AD3213" cm="1">
        <f t="array" ref="AD3213">IFERROR(IF(AC3213&lt;0,0,AC3213/($R$3117-INDEX(hd_off,MATCH(AQ3213,hd_mark,0),0)/12)),0)</f>
        <v>0</v>
      </c>
      <c r="AE3213">
        <f>IF(S3213=0,0,$AD$3117*$AM$3095)</f>
        <v>0</v>
      </c>
      <c r="AF3213">
        <f>IFERROR(AE3213/$R$3117,0)</f>
        <v>0</v>
      </c>
      <c r="AG3213">
        <f>AE3213*($F$23+IF($F$23=0,0,($C$14+$C$15+IF($C$13="single",1.5,3)+3)/12))</f>
        <v>0</v>
      </c>
      <c r="AH3213">
        <f>AG3213-X3213</f>
        <v>0</v>
      </c>
      <c r="AI3213" cm="1">
        <f t="array" ref="AI3213">IFERROR(IF(AH3213&lt;0,0,AH3213/($R$3117-INDEX(hd_off,MATCH(AQ3213,hd_mark,0),0)/12)),0)</f>
        <v>0</v>
      </c>
      <c r="AJ3213">
        <f>MAX($F$23,$AA$3117)/$Q$3124</f>
        <v>0</v>
      </c>
      <c r="AK3213">
        <f t="shared" si="1973"/>
        <v>0</v>
      </c>
      <c r="AL3213" cm="1">
        <f t="array" ref="AL3213">IFERROR(INDEX(sheath_ecap_asd,MATCH(AP3213,sheath_mark,0),0)*AK3213,0)</f>
        <v>0</v>
      </c>
      <c r="AM3213" cm="1">
        <f t="array" ref="AM3213">IFERROR(INDEX(sheath_wcap_asd,MATCH(AP3213,sheath_mark,0),0)*AK3213,0)</f>
        <v>0</v>
      </c>
      <c r="AN3213" cm="1">
        <f t="array" ref="AN3213">IFERROR(INDEX(hd_cap,MATCH(AQ3213,hd_mark,0),0),0)</f>
        <v>0</v>
      </c>
      <c r="AP3213" s="19"/>
      <c r="AQ3213" s="19"/>
      <c r="AR3213" s="100"/>
      <c r="AS3213" s="93"/>
      <c r="AT3213" s="109" t="s">
        <v>491</v>
      </c>
      <c r="AU3213" t="str">
        <f>$Q$3095</f>
        <v>L4</v>
      </c>
      <c r="AV3213">
        <f>$E$23</f>
        <v>0</v>
      </c>
      <c r="AW3213" cm="1">
        <f t="array" ref="AW3213">IFERROR(IF(AV3213=0,0,(INDEX($C$33:$C$38,MATCH($AZ$3117,$B$33:$B$38,0),0)*(AV3215+$BA$3117)+$AW$3117*COUNTIF(AV3213:AV3214,"&gt;0")*$C$32+$AY$3117*$C$31)*$AU$3117),0)</f>
        <v>0</v>
      </c>
      <c r="AX3213">
        <f>IF(AV3213=0,0,-(COUNTIF(AV3213:AV3214,"&gt;0")*$AW$3117*$C$32+$AY$3117*$C$31)*$H$27*$AU$3117)</f>
        <v>0</v>
      </c>
      <c r="AY3213">
        <f>IF(AV3213=0,0,$AY$3117*$H$26*$AU$3117)</f>
        <v>0</v>
      </c>
      <c r="AZ3213">
        <f>(0.6*AW3213+0.7*AX3213)*$AU$3117/2</f>
        <v>0</v>
      </c>
      <c r="BA3213">
        <f>AW3213*$AU$3117/2</f>
        <v>0</v>
      </c>
      <c r="BC3213">
        <f>IF(AV3213=0,0,$BG$3117*$AP$3095)</f>
        <v>0</v>
      </c>
      <c r="BD3213">
        <f>IFERROR(BC3213/$AU$3117,0)</f>
        <v>0</v>
      </c>
      <c r="BE3213">
        <f>BC3213*($F$23+IF($F$23=0,0,($C$14+$C$15+IF($C$13="single",1.5,3)+3)/12))</f>
        <v>0</v>
      </c>
      <c r="BF3213">
        <f>BE3213-AZ3213</f>
        <v>0</v>
      </c>
      <c r="BG3213" cm="1">
        <f t="array" ref="BG3213">IFERROR(IF(BF3213&lt;0,0,BF3213/($AU$3117-INDEX(hd_off,MATCH(BT3213,hd_mark,0),0)/12)),0)</f>
        <v>0</v>
      </c>
      <c r="BH3213">
        <f>IF(AV3213=0,0,$BG$3117*$AM$3095)</f>
        <v>0</v>
      </c>
      <c r="BI3213">
        <f>IFERROR(BH3213/$AU$3117,0)</f>
        <v>0</v>
      </c>
      <c r="BJ3213">
        <f>BH3213*($F$23+IF($F$23=0,0,($C$14+$C$15+IF($C$13="single",1.5,3)+3)/12))</f>
        <v>0</v>
      </c>
      <c r="BK3213">
        <f>BJ3213-BA3213</f>
        <v>0</v>
      </c>
      <c r="BL3213" cm="1">
        <f t="array" ref="BL3213">IFERROR(IF(BK3213&lt;0,0,BK3213/($AU$3117-INDEX(hd_off,MATCH(BT3213,hd_mark,0),0)/12)),0)</f>
        <v>0</v>
      </c>
      <c r="BM3213">
        <f>MAX($F$23,$BD$3117)/$Q$3124</f>
        <v>0</v>
      </c>
      <c r="BN3213">
        <f t="shared" si="1974"/>
        <v>0</v>
      </c>
      <c r="BO3213" cm="1">
        <f t="array" ref="BO3213">IFERROR(INDEX(sheath_ecap_asd,MATCH(BS3213,sheath_mark,0),0)*BN3213,0)</f>
        <v>0</v>
      </c>
      <c r="BP3213" cm="1">
        <f t="array" ref="BP3213">IFERROR(INDEX(sheath_wcap_asd,MATCH(BS3213,sheath_mark,0),0)*BN3213,0)</f>
        <v>0</v>
      </c>
      <c r="BQ3213" cm="1">
        <f t="array" ref="BQ3213">IFERROR(INDEX(hd_cap,MATCH(BT3213,hd_mark,0),0),0)</f>
        <v>0</v>
      </c>
      <c r="BS3213" s="19"/>
      <c r="BT3213" s="19"/>
      <c r="BU3213" s="100"/>
    </row>
    <row r="3214" x14ac:dyDescent="0.25">
      <c r="P3214" s="93"/>
      <c r="Q3214" s="111">
        <f>$R$3117</f>
        <v>0</v>
      </c>
      <c r="R3214" t="str">
        <f>$Q$3096</f>
        <v>L5</v>
      </c>
      <c r="S3214">
        <f>$E$24</f>
        <v>0</v>
      </c>
      <c r="T3214" cm="1">
        <f t="array" ref="T3214">IFERROR(IF(S3214=0,0,(INDEX($C$33:$C$38,MATCH($W$3117,$B$33:$B$38,0),0)*(S3215+$X$3117)+$T$3117*COUNTIF(S3214:S3214,"&gt;0")*$C$32+$V$3117*$C$31)*$R$3117),0)</f>
        <v>0</v>
      </c>
      <c r="U3214">
        <f>IF(S3214=0,0,-(COUNTIF(S3214:S3214,"&gt;0")*$T$3117*$C$32+$V$3117*$C$31)*$H$27*$R$3117)</f>
        <v>0</v>
      </c>
      <c r="V3214">
        <f>IF(S3214=0,0,$V$3117*$H$26*$R$3117)</f>
        <v>0</v>
      </c>
      <c r="W3214">
        <f>(0.6*T3214+0.7*U3214)*$R$3117/2</f>
        <v>0</v>
      </c>
      <c r="X3214">
        <f>T3214*$R$3117/2</f>
        <v>0</v>
      </c>
      <c r="Z3214">
        <f>IF(S3214=0,0,$AD$3117*$AP$3096)</f>
        <v>0</v>
      </c>
      <c r="AA3214">
        <f>IFERROR(Z3214/$R$3117,0)</f>
        <v>0</v>
      </c>
      <c r="AB3214">
        <f>Z3214*($F$24+IF($F$24=0,0,($C$14+$C$15+IF($C$13="single",1.5,3)+3)/12))</f>
        <v>0</v>
      </c>
      <c r="AC3214">
        <f>AB3214-W3214</f>
        <v>0</v>
      </c>
      <c r="AD3214" cm="1">
        <f t="array" ref="AD3214">IFERROR(IF(AC3214&lt;0,0,AC3214/($R$3117-INDEX(hd_off,MATCH(AQ3214,hd_mark,0),0)/12)),0)</f>
        <v>0</v>
      </c>
      <c r="AE3214">
        <f>IF(S3214=0,0,$AD$3117*$AM$3096)</f>
        <v>0</v>
      </c>
      <c r="AF3214">
        <f>IFERROR(AE3214/$R$3117,0)</f>
        <v>0</v>
      </c>
      <c r="AG3214">
        <f>AE3214*($F$24+IF($F$24=0,0,($C$14+$C$15+IF($C$13="single",1.5,3)+3)/12))</f>
        <v>0</v>
      </c>
      <c r="AH3214">
        <f>AG3214-X3214</f>
        <v>0</v>
      </c>
      <c r="AI3214" cm="1">
        <f t="array" ref="AI3214">IFERROR(IF(AH3214&lt;0,0,AH3214/($R$3117-INDEX(hd_off,MATCH(AQ3214,hd_mark,0),0)/12)),0)</f>
        <v>0</v>
      </c>
      <c r="AJ3214">
        <f>MAX($F$24,$AB$3117)/$Q$3124</f>
        <v>0</v>
      </c>
      <c r="AK3214">
        <f t="shared" si="1973"/>
        <v>0</v>
      </c>
      <c r="AL3214" cm="1">
        <f t="array" ref="AL3214">IFERROR(INDEX(sheath_ecap_asd,MATCH(AP3214,sheath_mark,0),0)*AK3214,0)</f>
        <v>0</v>
      </c>
      <c r="AM3214" cm="1">
        <f t="array" ref="AM3214">IFERROR(INDEX(sheath_wcap_asd,MATCH(AP3214,sheath_mark,0),0)*AK3214,0)</f>
        <v>0</v>
      </c>
      <c r="AN3214" cm="1">
        <f t="array" ref="AN3214">IFERROR(INDEX(hd_cap,MATCH(AQ3214,hd_mark,0),0),0)</f>
        <v>0</v>
      </c>
      <c r="AP3214" s="19"/>
      <c r="AQ3214" s="19"/>
      <c r="AR3214" s="100"/>
      <c r="AS3214" s="93"/>
      <c r="AT3214" s="111">
        <f>$R$3117</f>
        <v>0</v>
      </c>
      <c r="AU3214" t="str">
        <f>$Q$3096</f>
        <v>L5</v>
      </c>
      <c r="AV3214">
        <f>$E$24</f>
        <v>0</v>
      </c>
      <c r="AW3214" cm="1">
        <f t="array" ref="AW3214">IFERROR(IF(AV3214=0,0,(INDEX($C$33:$C$38,MATCH($AZ$3117,$B$33:$B$38,0),0)*(AV3215+$BA$3117)+$AW$3117*COUNTIF(AV3214:AV3214,"&gt;0")*$C$32+$AY$3117*$C$31)*$AU$3117),0)</f>
        <v>0</v>
      </c>
      <c r="AX3214">
        <f>IF(AV3214=0,0,-(COUNTIF(AV3214:AV3214,"&gt;0")*$AW$3117*$C$32+$AY$3117*$C$31)*$H$27*$AU$3117)</f>
        <v>0</v>
      </c>
      <c r="AY3214">
        <f>IF(AV3214=0,0,$AY$3117*$H$26*$AU$3117)</f>
        <v>0</v>
      </c>
      <c r="AZ3214">
        <f>(0.6*AW3214+0.7*AX3214)*$AU$3117/2</f>
        <v>0</v>
      </c>
      <c r="BA3214">
        <f>AW3214*$AU$3117/2</f>
        <v>0</v>
      </c>
      <c r="BC3214">
        <f>IF(AV3214=0,0,$BG$3117*$AP$3096)</f>
        <v>0</v>
      </c>
      <c r="BD3214">
        <f>IFERROR(BC3214/$AU$3117,0)</f>
        <v>0</v>
      </c>
      <c r="BE3214">
        <f>BC3214*($F$24+IF($F$24=0,0,($C$14+$C$15+IF($C$13="single",1.5,3)+3)/12))</f>
        <v>0</v>
      </c>
      <c r="BF3214">
        <f>BE3214-AZ3214</f>
        <v>0</v>
      </c>
      <c r="BG3214" cm="1">
        <f t="array" ref="BG3214">IFERROR(IF(BF3214&lt;0,0,BF3214/($AU$3117-INDEX(hd_off,MATCH(BT3214,hd_mark,0),0)/12)),0)</f>
        <v>0</v>
      </c>
      <c r="BH3214">
        <f>IF(AV3214=0,0,$BG$3117*$AM$3096)</f>
        <v>0</v>
      </c>
      <c r="BI3214">
        <f>IFERROR(BH3214/$AU$3117,0)</f>
        <v>0</v>
      </c>
      <c r="BJ3214">
        <f>BH3214*($F$24+IF($F$24=0,0,($C$14+$C$15+IF($C$13="single",1.5,3)+3)/12))</f>
        <v>0</v>
      </c>
      <c r="BK3214">
        <f>BJ3214-BA3214</f>
        <v>0</v>
      </c>
      <c r="BL3214" cm="1">
        <f t="array" ref="BL3214">IFERROR(IF(BK3214&lt;0,0,BK3214/($AU$3117-INDEX(hd_off,MATCH(BT3214,hd_mark,0),0)/12)),0)</f>
        <v>0</v>
      </c>
      <c r="BM3214">
        <f>MAX($F$24,$BE$3117)/$Q$3124</f>
        <v>0</v>
      </c>
      <c r="BN3214">
        <f t="shared" si="1974"/>
        <v>0</v>
      </c>
      <c r="BO3214" cm="1">
        <f t="array" ref="BO3214">IFERROR(INDEX(sheath_ecap_asd,MATCH(BS3214,sheath_mark,0),0)*BN3214,0)</f>
        <v>0</v>
      </c>
      <c r="BP3214" cm="1">
        <f t="array" ref="BP3214">IFERROR(INDEX(sheath_wcap_asd,MATCH(BS3214,sheath_mark,0),0)*BN3214,0)</f>
        <v>0</v>
      </c>
      <c r="BQ3214" cm="1">
        <f t="array" ref="BQ3214">IFERROR(INDEX(hd_cap,MATCH(BT3214,hd_mark,0),0),0)</f>
        <v>0</v>
      </c>
      <c r="BS3214" s="19"/>
      <c r="BT3214" s="19"/>
      <c r="BU3214" s="100"/>
    </row>
    <row r="3215" x14ac:dyDescent="0.25">
      <c r="P3215" s="93"/>
      <c r="Q3215" s="109"/>
      <c r="R3215" t="str">
        <f>$Q$3097</f>
        <v>Roof</v>
      </c>
      <c r="S3215">
        <f>$E$25</f>
        <v>33.171875</v>
      </c>
      <c r="T3215" cm="1">
        <f t="array" ref="T3215">IFERROR(IF(S3215=0,0,(INDEX($C$33:$C$38,MATCH($W$3117,$B$33:$B$38,0),0)*(S3215+$X$3117)+$V$3117*$C$31)*$R$3117),0)</f>
        <v>0</v>
      </c>
      <c r="U3215">
        <f>IF(S3215=0,0,-$V$3117*$C$31*$H$27*$R$3117)</f>
        <v>0</v>
      </c>
      <c r="V3215">
        <f>IF(S3215=0,0,$V$3117*$H$26*$R$3117)</f>
        <v>0</v>
      </c>
      <c r="W3215">
        <f>(0.6*T3215+0.7*U3215)*$R$3117/2</f>
        <v>0</v>
      </c>
      <c r="X3215">
        <f>T3215*$R$3117/2</f>
        <v>0</v>
      </c>
      <c r="Z3215">
        <f>IF(S3215=0,0,$AD$3117*$AP$3097)</f>
        <v>0</v>
      </c>
      <c r="AA3215">
        <f>IFERROR(Z3215/$R$3117,0)</f>
        <v>0</v>
      </c>
      <c r="AB3215">
        <f>Z3215*($F$25+($C$16+$C$17+IF($C$13="single",1.5,3)+3)/12)</f>
        <v>0</v>
      </c>
      <c r="AC3215">
        <f>AB3215-W3215</f>
        <v>0</v>
      </c>
      <c r="AD3215" cm="1">
        <f t="array" ref="AD3215">IFERROR(IF(AC3215&lt;0,0,AC3215/($R$3117-INDEX(hd_off,MATCH(AQ3215,hd_mark,0),0)/12)),0)</f>
        <v>0</v>
      </c>
      <c r="AE3215">
        <f>IF(S3215=0,0,$AD$3117*$AM$3097)</f>
        <v>0</v>
      </c>
      <c r="AF3215">
        <f>IFERROR(AE3215/$R$3117,0)</f>
        <v>0</v>
      </c>
      <c r="AG3215">
        <f>AE3215*($F$25+($C$16+$C$17+IF($C$13="single",1.5,3)+3)/12)</f>
        <v>0</v>
      </c>
      <c r="AH3215">
        <f>AG3215-X3215</f>
        <v>0</v>
      </c>
      <c r="AI3215" cm="1">
        <f t="array" ref="AI3215">IFERROR(IF(AH3215&lt;0,0,AH3215/($R$3117-INDEX(hd_off,MATCH(AQ3215,hd_mark,0),0)/12)),0)</f>
        <v>0</v>
      </c>
      <c r="AJ3215">
        <f>MAX($F$25,$AC$3117)/$Q$3124</f>
        <v>0.29920977011494249</v>
      </c>
      <c r="AK3215">
        <f t="shared" si="1973"/>
        <v>1</v>
      </c>
      <c r="AL3215" cm="1">
        <f t="array" ref="AL3215">IFERROR(INDEX(sheath_ecap_asd,MATCH(AP3215,sheath_mark,0),0)*AK3215,0)</f>
        <v>0</v>
      </c>
      <c r="AM3215" cm="1">
        <f t="array" ref="AM3215">IFERROR(INDEX(sheath_wcap_asd,MATCH(AP3215,sheath_mark,0),0)*AK3215,0)</f>
        <v>0</v>
      </c>
      <c r="AN3215" cm="1">
        <f t="array" ref="AN3215">IFERROR(INDEX(hd_cap,MATCH(AQ3215,hd_mark,0),0),0)</f>
        <v>0</v>
      </c>
      <c r="AP3215" s="19"/>
      <c r="AQ3215" s="19"/>
      <c r="AR3215" s="100"/>
      <c r="AS3215" s="93"/>
      <c r="BU3215" s="100"/>
    </row>
    <row r="3216" x14ac:dyDescent="0.25">
      <c r="B3216" s="1" t="s">
        <v>569</v>
      </c>
      <c r="C3216">
        <f>E16+H16*12</f>
        <v>32.4375</v>
      </c>
      <c r="E3216" s="19">
        <v>24</v>
      </c>
      <c r="F3216" s="19">
        <f>32+5.625/12</f>
        <v>32.46875</v>
      </c>
      <c r="G3216" s="19">
        <f>33+10.5/12</f>
        <v>33.875</v>
      </c>
      <c r="H3216">
        <f>(G16-F16)/2</f>
        <v>0.703125</v>
      </c>
      <c r="P3216" s="93"/>
      <c r="Q3216" t="s">
        <v>524</v>
      </c>
      <c r="R3216" s="2" t="str">
        <f>$B$67</f>
        <v>A</v>
      </c>
      <c r="AR3216" s="100"/>
      <c r="AS3216" s="93"/>
      <c r="AT3216" t="s">
        <v>524</v>
      </c>
      <c r="AU3216" s="2">
        <f>H67</f>
        <v>1</v>
      </c>
      <c r="BU3216" s="100"/>
    </row>
    <row r="3217" x14ac:dyDescent="0.25">
      <c r="B3217" s="1" t="s">
        <v>500</v>
      </c>
      <c r="C3217" s="19">
        <v>0.5</v>
      </c>
      <c r="P3217" s="93"/>
      <c r="AR3217" s="100"/>
      <c r="AS3217" s="93"/>
      <c r="BU3217" s="100"/>
    </row>
    <row r="3218" x14ac:dyDescent="0.25">
      <c r="P3218" s="93"/>
      <c r="R3218" t="s">
        <v>482</v>
      </c>
      <c r="Z3218" t="s">
        <v>483</v>
      </c>
      <c r="AH3218" t="s">
        <v>502</v>
      </c>
      <c r="AJ3218" t="s">
        <v>454</v>
      </c>
      <c r="AR3218" s="100"/>
      <c r="AS3218" s="93"/>
      <c r="AU3218" t="s">
        <v>482</v>
      </c>
      <c r="BC3218" t="s">
        <v>483</v>
      </c>
      <c r="BK3218" t="s">
        <v>502</v>
      </c>
      <c r="BM3218" t="s">
        <v>454</v>
      </c>
      <c r="BU3218" s="100"/>
    </row>
    <row r="3219" x14ac:dyDescent="0.25">
      <c r="B3219" t="s">
        <v>448</v>
      </c>
      <c r="C3219" t="s">
        <v>272</v>
      </c>
      <c r="D3219" t="s">
        <v>193</v>
      </c>
      <c r="E3219" s="70" t="s">
        <v>454</v>
      </c>
      <c r="F3219" s="71" t="s">
        <v>501</v>
      </c>
      <c r="H3219" t="s">
        <v>475</v>
      </c>
      <c r="J3219" t="s">
        <v>476</v>
      </c>
      <c r="P3219" s="93"/>
      <c r="R3219" t="s">
        <v>480</v>
      </c>
      <c r="S3219" t="s">
        <v>481</v>
      </c>
      <c r="T3219" t="s">
        <v>486</v>
      </c>
      <c r="U3219" t="s">
        <v>487</v>
      </c>
      <c r="V3219" t="s">
        <v>484</v>
      </c>
      <c r="W3219" t="s">
        <v>485</v>
      </c>
      <c r="X3219" t="s">
        <v>488</v>
      </c>
      <c r="Y3219" t="s">
        <v>489</v>
      </c>
      <c r="Z3219" t="s">
        <v>480</v>
      </c>
      <c r="AA3219" t="s">
        <v>481</v>
      </c>
      <c r="AB3219" t="s">
        <v>486</v>
      </c>
      <c r="AC3219" t="s">
        <v>487</v>
      </c>
      <c r="AD3219" t="s">
        <v>484</v>
      </c>
      <c r="AE3219" t="s">
        <v>485</v>
      </c>
      <c r="AF3219" t="s">
        <v>488</v>
      </c>
      <c r="AG3219" t="s">
        <v>489</v>
      </c>
      <c r="AH3219" t="s">
        <v>312</v>
      </c>
      <c r="AI3219" t="s">
        <v>258</v>
      </c>
      <c r="AJ3219" t="s">
        <v>486</v>
      </c>
      <c r="AK3219" t="s">
        <v>490</v>
      </c>
      <c r="AL3219" t="s">
        <v>487</v>
      </c>
      <c r="AM3219" t="s">
        <v>490</v>
      </c>
      <c r="AN3219" t="s">
        <v>488</v>
      </c>
      <c r="AO3219" t="s">
        <v>490</v>
      </c>
      <c r="AP3219" t="s">
        <v>489</v>
      </c>
      <c r="AQ3219" t="s">
        <v>490</v>
      </c>
      <c r="AR3219" s="100"/>
      <c r="AS3219" s="93"/>
      <c r="AU3219" t="s">
        <v>480</v>
      </c>
      <c r="AV3219" t="s">
        <v>481</v>
      </c>
      <c r="AW3219" t="s">
        <v>486</v>
      </c>
      <c r="AX3219" t="s">
        <v>487</v>
      </c>
      <c r="AY3219" t="s">
        <v>484</v>
      </c>
      <c r="AZ3219" t="s">
        <v>485</v>
      </c>
      <c r="BA3219" t="s">
        <v>488</v>
      </c>
      <c r="BB3219" t="s">
        <v>489</v>
      </c>
      <c r="BC3219" t="s">
        <v>480</v>
      </c>
      <c r="BD3219" t="s">
        <v>481</v>
      </c>
      <c r="BE3219" t="s">
        <v>486</v>
      </c>
      <c r="BF3219" t="s">
        <v>487</v>
      </c>
      <c r="BG3219" t="s">
        <v>484</v>
      </c>
      <c r="BH3219" t="s">
        <v>485</v>
      </c>
      <c r="BI3219" t="s">
        <v>488</v>
      </c>
      <c r="BJ3219" t="s">
        <v>489</v>
      </c>
      <c r="BK3219" t="s">
        <v>312</v>
      </c>
      <c r="BL3219" t="s">
        <v>258</v>
      </c>
      <c r="BM3219" t="s">
        <v>486</v>
      </c>
      <c r="BN3219" t="s">
        <v>490</v>
      </c>
      <c r="BO3219" t="s">
        <v>487</v>
      </c>
      <c r="BP3219" t="s">
        <v>490</v>
      </c>
      <c r="BQ3219" t="s">
        <v>488</v>
      </c>
      <c r="BR3219" t="s">
        <v>490</v>
      </c>
      <c r="BS3219" t="s">
        <v>489</v>
      </c>
      <c r="BT3219" t="s">
        <v>490</v>
      </c>
      <c r="BU3219" s="100"/>
    </row>
    <row r="3220" x14ac:dyDescent="0.25">
      <c r="B3220" t="s">
        <v>449</v>
      </c>
      <c r="C3220" s="19">
        <v>0</v>
      </c>
      <c r="D3220" s="19">
        <v>0</v>
      </c>
      <c r="E3220" s="66">
        <f>C20+D20/12</f>
        <v>0</v>
      </c>
      <c r="F3220" s="67">
        <v>0</v>
      </c>
      <c r="H3220" s="19">
        <v>0</v>
      </c>
      <c r="I3220" s="64" t="s">
        <v>196</v>
      </c>
      <c r="J3220" s="19">
        <v>0</v>
      </c>
      <c r="K3220" s="19">
        <v>0</v>
      </c>
      <c r="L3220" s="19">
        <v>0</v>
      </c>
      <c r="M3220" s="19">
        <v>0</v>
      </c>
      <c r="P3220" s="93"/>
      <c r="Q3220" t="s">
        <v>449</v>
      </c>
      <c r="R3220" s="19">
        <f>$H$20</f>
        <v>0</v>
      </c>
      <c r="S3220">
        <f>R3220*0.6</f>
        <v>0</v>
      </c>
      <c r="T3220">
        <f>$C$67/2*R3220</f>
        <v>0</v>
      </c>
      <c r="U3220">
        <f>T3220*0.6</f>
        <v>0</v>
      </c>
      <c r="V3220" s="19">
        <v>0</v>
      </c>
      <c r="W3220">
        <f>V3220*0.7</f>
        <v>0</v>
      </c>
      <c r="X3220">
        <f>$C$67/2*V3220</f>
        <v>0</v>
      </c>
      <c r="Y3220">
        <f>X3220*0.7</f>
        <v>0</v>
      </c>
      <c r="Z3220" s="19">
        <f>$H$20</f>
        <v>0</v>
      </c>
      <c r="AA3220">
        <f>Z3220*0.6</f>
        <v>0</v>
      </c>
      <c r="AB3220">
        <f>$D$67/2*Z3220</f>
        <v>0</v>
      </c>
      <c r="AC3220">
        <f t="shared" ref="AC3220:AC3226" si="1975">0.6*AB3220</f>
        <v>0</v>
      </c>
      <c r="AD3220" s="19">
        <v>0</v>
      </c>
      <c r="AE3220">
        <f>AD3220*0.7</f>
        <v>0</v>
      </c>
      <c r="AF3220">
        <f>$D$67/2*AD3220</f>
        <v>0</v>
      </c>
      <c r="AG3220">
        <f>AF3220*0.7</f>
        <v>0</v>
      </c>
      <c r="AH3220" s="19">
        <v>0</v>
      </c>
      <c r="AI3220" s="19">
        <v>0</v>
      </c>
      <c r="AJ3220" s="17">
        <f>T3220+AB3220+AH3220</f>
        <v>0</v>
      </c>
      <c r="AK3220" s="17">
        <f>AK3221+AJ3220</f>
        <v>13166</v>
      </c>
      <c r="AL3220" s="17">
        <f>AJ3220*0.6</f>
        <v>0</v>
      </c>
      <c r="AM3220" s="17">
        <f>AM3221+AL3220</f>
        <v>7899.5999999999995</v>
      </c>
      <c r="AN3220" s="17">
        <f>X3220+AF3220+AI3220</f>
        <v>0</v>
      </c>
      <c r="AO3220" s="17">
        <f t="shared" ref="AO3220:AQ3223" si="1976">AN3220+AO3221</f>
        <v>1302.0999999999999</v>
      </c>
      <c r="AP3220" s="17">
        <f>AN3220*0.7</f>
        <v>0</v>
      </c>
      <c r="AQ3220" s="17">
        <f>AP3220+AQ3221</f>
        <v>911.46999999999991</v>
      </c>
      <c r="AR3220" s="100"/>
      <c r="AS3220" s="93"/>
      <c r="AT3220" t="s">
        <v>449</v>
      </c>
      <c r="AU3220" s="19">
        <f>$H$20</f>
        <v>0</v>
      </c>
      <c r="AV3220">
        <f>AU3220*0.6</f>
        <v>0</v>
      </c>
      <c r="AW3220">
        <f t="shared" ref="AW3220:AW3226" si="1977">$I$67/2*AU3220</f>
        <v>0</v>
      </c>
      <c r="AX3220">
        <f>AW3220*0.6</f>
        <v>0</v>
      </c>
      <c r="AY3220" s="19">
        <v>0</v>
      </c>
      <c r="AZ3220">
        <f>AY3220*0.7</f>
        <v>0</v>
      </c>
      <c r="BA3220">
        <f t="shared" ref="BA3220:BA3225" si="1978">$I$67/2*AY3220</f>
        <v>0</v>
      </c>
      <c r="BB3220">
        <f>BA3220*0.7</f>
        <v>0</v>
      </c>
      <c r="BC3220" s="19">
        <f>$H$20</f>
        <v>0</v>
      </c>
      <c r="BD3220">
        <f>BC3220*0.6</f>
        <v>0</v>
      </c>
      <c r="BE3220">
        <f t="shared" ref="BE3220:BE3226" si="1979">$J$67/2*BC3220</f>
        <v>0</v>
      </c>
      <c r="BF3220">
        <f t="shared" ref="BF3220:BF3226" si="1980">0.6*BE3220</f>
        <v>0</v>
      </c>
      <c r="BG3220" s="19">
        <v>0</v>
      </c>
      <c r="BH3220">
        <f>BG3220*0.7</f>
        <v>0</v>
      </c>
      <c r="BI3220">
        <f t="shared" ref="BI3220:BI3225" si="1981">$J$67/2*BG3220</f>
        <v>0</v>
      </c>
      <c r="BJ3220">
        <f>BI3220*0.7</f>
        <v>0</v>
      </c>
      <c r="BK3220" s="19">
        <v>0</v>
      </c>
      <c r="BL3220" s="19">
        <v>0</v>
      </c>
      <c r="BM3220" s="17">
        <f>AW3220+BE3220+BK3220</f>
        <v>0</v>
      </c>
      <c r="BN3220" s="17">
        <f>BN3221+BM3220</f>
        <v>12258</v>
      </c>
      <c r="BO3220" s="17">
        <f>BM3220*0.6</f>
        <v>0</v>
      </c>
      <c r="BP3220" s="17">
        <f>BP3221+BO3220</f>
        <v>7354.7999999999993</v>
      </c>
      <c r="BQ3220" s="17">
        <f>BA3220+BI3220+BL3220</f>
        <v>0</v>
      </c>
      <c r="BR3220" s="17">
        <f t="shared" ref="BR3220:BR3223" si="1982">BQ3220+BR3221</f>
        <v>1212.3</v>
      </c>
      <c r="BS3220" s="17">
        <f>BQ3220*0.7</f>
        <v>0</v>
      </c>
      <c r="BT3220" s="17">
        <f>BS3220+BT3221</f>
        <v>848.6099999999999</v>
      </c>
      <c r="BU3220" s="100"/>
    </row>
    <row r="3221" x14ac:dyDescent="0.25">
      <c r="B3221" t="s">
        <v>450</v>
      </c>
      <c r="C3221" s="19">
        <v>10</v>
      </c>
      <c r="D3221" s="19">
        <v>8.25</v>
      </c>
      <c r="E3221" s="66">
        <f>C21+D21/12</f>
        <v>10.6875</v>
      </c>
      <c r="F3221" s="67">
        <f>IF(E21&gt;0,E21-(C15+C14+2*1.5+IF(C13="single",1.5,3))/12-_xlfn.XLOOKUP(E21,E20,E20,,-1),0)</f>
        <v>8.75</v>
      </c>
      <c r="H3221" s="19">
        <v>236</v>
      </c>
      <c r="I3221" s="64" t="s">
        <v>196</v>
      </c>
      <c r="J3221" s="19">
        <v>33.799999999999997</v>
      </c>
      <c r="K3221" s="19">
        <v>65.599999999999994</v>
      </c>
      <c r="L3221" s="19">
        <v>19.3</v>
      </c>
      <c r="M3221" s="19">
        <v>119.6</v>
      </c>
      <c r="P3221" s="93"/>
      <c r="Q3221" t="s">
        <v>450</v>
      </c>
      <c r="R3221" s="19">
        <f>$H$21</f>
        <v>236</v>
      </c>
      <c r="S3221">
        <f t="shared" ref="S3221:S3226" si="1983">R3221*0.6</f>
        <v>141.6</v>
      </c>
      <c r="T3221">
        <f t="shared" ref="T3221:T3225" si="1984">$C$67/2*R3221</f>
        <v>0</v>
      </c>
      <c r="U3221">
        <f>T3221*0.6</f>
        <v>0</v>
      </c>
      <c r="V3221" s="19">
        <v>33.799999999999997</v>
      </c>
      <c r="W3221">
        <f t="shared" ref="W3221:W3225" si="1985">V3221*0.7</f>
        <v>23.659999999999997</v>
      </c>
      <c r="X3221">
        <f t="shared" ref="X3221:X3225" si="1986">$C$67/2*V3221</f>
        <v>0</v>
      </c>
      <c r="Y3221">
        <f t="shared" ref="Y3221:Y3225" si="1987">X3221*0.7</f>
        <v>0</v>
      </c>
      <c r="Z3221" s="19">
        <f>$H$21</f>
        <v>236</v>
      </c>
      <c r="AA3221">
        <f t="shared" ref="AA3221:AA3225" si="1988">Z3221*0.6</f>
        <v>141.6</v>
      </c>
      <c r="AB3221">
        <f t="shared" ref="AB3221:AB3225" si="1989">$D$67/2*Z3221</f>
        <v>3422</v>
      </c>
      <c r="AC3221">
        <f t="shared" si="1975"/>
        <v>2053.1999999999998</v>
      </c>
      <c r="AD3221" s="19">
        <v>33.799999999999997</v>
      </c>
      <c r="AE3221">
        <f t="shared" ref="AE3221:AE3225" si="1990">AD3221*0.7</f>
        <v>23.659999999999997</v>
      </c>
      <c r="AF3221">
        <f t="shared" ref="AF3221:AF3225" si="1991">$D$67/2*AD3221</f>
        <v>490.09999999999997</v>
      </c>
      <c r="AG3221">
        <f t="shared" ref="AG3221:AG3225" si="1992">AF3221*0.7</f>
        <v>343.06999999999994</v>
      </c>
      <c r="AH3221" s="19">
        <v>0</v>
      </c>
      <c r="AI3221" s="19">
        <v>0</v>
      </c>
      <c r="AJ3221" s="17">
        <f>T3221+AB3221+AH3221</f>
        <v>3422</v>
      </c>
      <c r="AK3221" s="17">
        <f>AK3222+AJ3221</f>
        <v>13166</v>
      </c>
      <c r="AL3221" s="17">
        <f t="shared" ref="AL3221:AL3225" si="1993">AJ3221*0.6</f>
        <v>2053.1999999999998</v>
      </c>
      <c r="AM3221" s="17">
        <f t="shared" ref="AM3221:AM3223" si="1994">AM3222+AL3221</f>
        <v>7899.5999999999995</v>
      </c>
      <c r="AN3221" s="17">
        <f t="shared" ref="AN3221:AN3224" si="1995">X3221+AF3221+AI3221</f>
        <v>490.09999999999997</v>
      </c>
      <c r="AO3221" s="17">
        <f t="shared" si="1976"/>
        <v>1302.0999999999999</v>
      </c>
      <c r="AP3221" s="17">
        <f t="shared" ref="AP3221:AP3224" si="1996">AN3221*0.7</f>
        <v>343.06999999999994</v>
      </c>
      <c r="AQ3221" s="17">
        <f t="shared" si="1976"/>
        <v>911.46999999999991</v>
      </c>
      <c r="AR3221" s="100"/>
      <c r="AS3221" s="93"/>
      <c r="AT3221" t="s">
        <v>450</v>
      </c>
      <c r="AU3221" s="19">
        <f>$H$21</f>
        <v>236</v>
      </c>
      <c r="AV3221">
        <f t="shared" ref="AV3221:AV3226" si="1997">AU3221*0.6</f>
        <v>141.6</v>
      </c>
      <c r="AW3221">
        <f t="shared" si="1977"/>
        <v>0</v>
      </c>
      <c r="AX3221">
        <f>AW3221*0.6</f>
        <v>0</v>
      </c>
      <c r="AY3221" s="19">
        <v>33.799999999999997</v>
      </c>
      <c r="AZ3221">
        <f t="shared" ref="AZ3221:AZ3225" si="1998">AY3221*0.7</f>
        <v>23.659999999999997</v>
      </c>
      <c r="BA3221">
        <f t="shared" si="1978"/>
        <v>0</v>
      </c>
      <c r="BB3221">
        <f t="shared" ref="BB3221:BB3225" si="1999">BA3221*0.7</f>
        <v>0</v>
      </c>
      <c r="BC3221" s="19">
        <f>$H$21</f>
        <v>236</v>
      </c>
      <c r="BD3221">
        <f t="shared" ref="BD3221:BD3225" si="2000">BC3221*0.6</f>
        <v>141.6</v>
      </c>
      <c r="BE3221">
        <f t="shared" si="1979"/>
        <v>3186</v>
      </c>
      <c r="BF3221">
        <f t="shared" si="1980"/>
        <v>1911.6</v>
      </c>
      <c r="BG3221" s="19">
        <v>33.799999999999997</v>
      </c>
      <c r="BH3221">
        <f t="shared" ref="BH3221:BH3225" si="2001">BG3221*0.7</f>
        <v>23.659999999999997</v>
      </c>
      <c r="BI3221">
        <f t="shared" si="1981"/>
        <v>456.29999999999995</v>
      </c>
      <c r="BJ3221">
        <f t="shared" ref="BJ3221:BJ3225" si="2002">BI3221*0.7</f>
        <v>319.40999999999997</v>
      </c>
      <c r="BK3221" s="19">
        <v>0</v>
      </c>
      <c r="BL3221" s="19">
        <v>0</v>
      </c>
      <c r="BM3221" s="17">
        <f>AW3221+BE3221+BK3221</f>
        <v>3186</v>
      </c>
      <c r="BN3221" s="17">
        <f>BN3222+BM3221</f>
        <v>12258</v>
      </c>
      <c r="BO3221" s="17">
        <f t="shared" ref="BO3221" si="2003">BM3221*0.6</f>
        <v>1911.6</v>
      </c>
      <c r="BP3221" s="17">
        <f t="shared" ref="BP3221:BP3223" si="2004">BP3222+BO3221</f>
        <v>7354.7999999999993</v>
      </c>
      <c r="BQ3221" s="17">
        <f t="shared" ref="BQ3221:BQ3224" si="2005">BA3221+BI3221+BL3221</f>
        <v>456.29999999999995</v>
      </c>
      <c r="BR3221" s="17">
        <f t="shared" si="1982"/>
        <v>1212.3</v>
      </c>
      <c r="BS3221" s="17">
        <f t="shared" ref="BS3221:BS3224" si="2006">BQ3221*0.7</f>
        <v>319.40999999999997</v>
      </c>
      <c r="BT3221" s="17">
        <f t="shared" ref="BT3221:BT3223" si="2007">BS3221+BT3222</f>
        <v>848.6099999999999</v>
      </c>
      <c r="BU3221" s="100"/>
    </row>
    <row r="3222" x14ac:dyDescent="0.25">
      <c r="B3222" t="s">
        <v>451</v>
      </c>
      <c r="C3222" s="19">
        <v>21</v>
      </c>
      <c r="D3222" s="19">
        <v>4.5</v>
      </c>
      <c r="E3222" s="66">
        <f t="shared" ref="E22:E25" si="2008">C22+D22/12</f>
        <v>21.375</v>
      </c>
      <c r="F3222" s="67">
        <f>IF(E22&gt;0,E22-(C15+C14+2*1.5+IF(C13="single",1.5,3))/12-_xlfn.XLOOKUP(E22,E20:E21,E20:E21,,-1),0)</f>
        <v>8.75</v>
      </c>
      <c r="H3222" s="19">
        <v>229</v>
      </c>
      <c r="I3222" s="64" t="s">
        <v>196</v>
      </c>
      <c r="J3222" s="19">
        <v>37.1</v>
      </c>
      <c r="K3222" s="19">
        <v>71.8</v>
      </c>
      <c r="L3222" s="19">
        <v>21.1</v>
      </c>
      <c r="M3222" s="19">
        <v>131.1</v>
      </c>
      <c r="P3222" s="93"/>
      <c r="Q3222" t="s">
        <v>451</v>
      </c>
      <c r="R3222" s="19">
        <f>$H$22</f>
        <v>229</v>
      </c>
      <c r="S3222">
        <f t="shared" si="1983"/>
        <v>137.4</v>
      </c>
      <c r="T3222">
        <f t="shared" si="1984"/>
        <v>0</v>
      </c>
      <c r="U3222">
        <f t="shared" ref="U3222:U3226" si="2009">T3222*0.6</f>
        <v>0</v>
      </c>
      <c r="V3222" s="19">
        <v>37.1</v>
      </c>
      <c r="W3222">
        <f t="shared" si="1985"/>
        <v>25.97</v>
      </c>
      <c r="X3222">
        <f>$C$67/2*V3222</f>
        <v>0</v>
      </c>
      <c r="Y3222">
        <f t="shared" si="1987"/>
        <v>0</v>
      </c>
      <c r="Z3222" s="19">
        <f>$H$22</f>
        <v>229</v>
      </c>
      <c r="AA3222">
        <f t="shared" si="1988"/>
        <v>137.4</v>
      </c>
      <c r="AB3222">
        <f t="shared" si="1989"/>
        <v>3320.5</v>
      </c>
      <c r="AC3222">
        <f t="shared" si="1975"/>
        <v>1992.3</v>
      </c>
      <c r="AD3222" s="19">
        <v>37.1</v>
      </c>
      <c r="AE3222">
        <f t="shared" si="1990"/>
        <v>25.97</v>
      </c>
      <c r="AF3222">
        <f t="shared" si="1991"/>
        <v>537.95000000000005</v>
      </c>
      <c r="AG3222">
        <f t="shared" si="1992"/>
        <v>376.565</v>
      </c>
      <c r="AH3222" s="19">
        <v>0</v>
      </c>
      <c r="AI3222" s="19">
        <v>0</v>
      </c>
      <c r="AJ3222" s="17">
        <f t="shared" ref="AJ3222:AJ3224" si="2010">T3222+AB3222+AH3222</f>
        <v>3320.5</v>
      </c>
      <c r="AK3222" s="17">
        <f>AK3223+AJ3222</f>
        <v>9744</v>
      </c>
      <c r="AL3222" s="17">
        <f>AJ3222*0.6</f>
        <v>1992.3</v>
      </c>
      <c r="AM3222" s="17">
        <f t="shared" si="1994"/>
        <v>5846.4</v>
      </c>
      <c r="AN3222" s="17">
        <f t="shared" si="1995"/>
        <v>537.95000000000005</v>
      </c>
      <c r="AO3222" s="17">
        <f t="shared" si="1976"/>
        <v>812</v>
      </c>
      <c r="AP3222" s="17">
        <f t="shared" si="1996"/>
        <v>376.565</v>
      </c>
      <c r="AQ3222" s="17">
        <f t="shared" si="1976"/>
        <v>568.4</v>
      </c>
      <c r="AR3222" s="100"/>
      <c r="AS3222" s="93"/>
      <c r="AT3222" t="s">
        <v>451</v>
      </c>
      <c r="AU3222" s="19">
        <f>$H$22</f>
        <v>229</v>
      </c>
      <c r="AV3222">
        <f t="shared" si="1997"/>
        <v>137.4</v>
      </c>
      <c r="AW3222">
        <f t="shared" si="1977"/>
        <v>0</v>
      </c>
      <c r="AX3222">
        <f t="shared" ref="AX3222:AX3226" si="2011">AW3222*0.6</f>
        <v>0</v>
      </c>
      <c r="AY3222" s="19">
        <v>37.1</v>
      </c>
      <c r="AZ3222">
        <f t="shared" si="1998"/>
        <v>25.97</v>
      </c>
      <c r="BA3222">
        <f t="shared" si="1978"/>
        <v>0</v>
      </c>
      <c r="BB3222">
        <f t="shared" si="1999"/>
        <v>0</v>
      </c>
      <c r="BC3222" s="19">
        <f>$H$22</f>
        <v>229</v>
      </c>
      <c r="BD3222">
        <f t="shared" si="2000"/>
        <v>137.4</v>
      </c>
      <c r="BE3222">
        <f t="shared" si="1979"/>
        <v>3091.5</v>
      </c>
      <c r="BF3222">
        <f t="shared" si="1980"/>
        <v>1854.8999999999999</v>
      </c>
      <c r="BG3222" s="19">
        <v>37.1</v>
      </c>
      <c r="BH3222">
        <f t="shared" si="2001"/>
        <v>25.97</v>
      </c>
      <c r="BI3222">
        <f t="shared" si="1981"/>
        <v>500.85</v>
      </c>
      <c r="BJ3222">
        <f t="shared" si="2002"/>
        <v>350.59499999999997</v>
      </c>
      <c r="BK3222" s="19">
        <v>0</v>
      </c>
      <c r="BL3222" s="19">
        <v>0</v>
      </c>
      <c r="BM3222" s="17">
        <f t="shared" ref="BM3222:BM3224" si="2012">AW3222+BE3222+BK3222</f>
        <v>3091.5</v>
      </c>
      <c r="BN3222" s="17">
        <f>BN3223+BM3222</f>
        <v>9072</v>
      </c>
      <c r="BO3222" s="17">
        <f>BM3222*0.6</f>
        <v>1854.8999999999999</v>
      </c>
      <c r="BP3222" s="17">
        <f t="shared" si="2004"/>
        <v>5443.2</v>
      </c>
      <c r="BQ3222" s="17">
        <f t="shared" si="2005"/>
        <v>500.85</v>
      </c>
      <c r="BR3222" s="17">
        <f t="shared" si="1982"/>
        <v>756</v>
      </c>
      <c r="BS3222" s="17">
        <f t="shared" si="2006"/>
        <v>350.59499999999997</v>
      </c>
      <c r="BT3222" s="17">
        <f t="shared" si="2007"/>
        <v>529.19999999999993</v>
      </c>
      <c r="BU3222" s="100"/>
    </row>
    <row r="3223" x14ac:dyDescent="0.25">
      <c r="B3223" t="s">
        <v>452</v>
      </c>
      <c r="C3223" s="19">
        <v>0</v>
      </c>
      <c r="D3223" s="19">
        <v>0</v>
      </c>
      <c r="E3223" s="66">
        <f t="shared" si="2008"/>
        <v>0</v>
      </c>
      <c r="F3223" s="67">
        <f>IF(E23&gt;0,E23-(C15+C14+2*1.5+IF(C13="single",1.5,3))/12-_xlfn.XLOOKUP(E23,E20:E22,E20:E22,,-1),0)</f>
        <v>0</v>
      </c>
      <c r="H3223" s="19">
        <v>0</v>
      </c>
      <c r="I3223" s="64" t="s">
        <v>196</v>
      </c>
      <c r="J3223" s="19">
        <v>0</v>
      </c>
      <c r="K3223" s="19">
        <v>0</v>
      </c>
      <c r="L3223" s="19">
        <v>0</v>
      </c>
      <c r="M3223" s="19">
        <v>0</v>
      </c>
      <c r="P3223" s="93"/>
      <c r="Q3223" t="s">
        <v>452</v>
      </c>
      <c r="R3223" s="19">
        <f>$H$23</f>
        <v>0</v>
      </c>
      <c r="S3223">
        <f t="shared" si="1983"/>
        <v>0</v>
      </c>
      <c r="T3223">
        <f t="shared" si="1984"/>
        <v>0</v>
      </c>
      <c r="U3223">
        <f t="shared" si="2009"/>
        <v>0</v>
      </c>
      <c r="V3223" s="19">
        <v>0</v>
      </c>
      <c r="W3223">
        <f t="shared" si="1985"/>
        <v>0</v>
      </c>
      <c r="X3223">
        <f t="shared" si="1986"/>
        <v>0</v>
      </c>
      <c r="Y3223">
        <f t="shared" si="1987"/>
        <v>0</v>
      </c>
      <c r="Z3223" s="19">
        <f>$H$23</f>
        <v>0</v>
      </c>
      <c r="AA3223">
        <f t="shared" si="1988"/>
        <v>0</v>
      </c>
      <c r="AB3223">
        <f t="shared" si="1989"/>
        <v>0</v>
      </c>
      <c r="AC3223">
        <f t="shared" si="1975"/>
        <v>0</v>
      </c>
      <c r="AD3223" s="19">
        <v>0</v>
      </c>
      <c r="AE3223">
        <f t="shared" si="1990"/>
        <v>0</v>
      </c>
      <c r="AF3223">
        <f t="shared" si="1991"/>
        <v>0</v>
      </c>
      <c r="AG3223">
        <f t="shared" si="1992"/>
        <v>0</v>
      </c>
      <c r="AH3223" s="19">
        <v>0</v>
      </c>
      <c r="AI3223" s="19">
        <v>0</v>
      </c>
      <c r="AJ3223" s="17">
        <f t="shared" si="2010"/>
        <v>0</v>
      </c>
      <c r="AK3223" s="17">
        <f>AK3224+AJ3223</f>
        <v>6423.5</v>
      </c>
      <c r="AL3223" s="17">
        <f>AJ3223*0.6</f>
        <v>0</v>
      </c>
      <c r="AM3223" s="17">
        <f t="shared" si="1994"/>
        <v>3854.1</v>
      </c>
      <c r="AN3223" s="17">
        <f t="shared" si="1995"/>
        <v>0</v>
      </c>
      <c r="AO3223" s="17">
        <f t="shared" si="1976"/>
        <v>274.04999999999995</v>
      </c>
      <c r="AP3223" s="17">
        <f t="shared" si="1996"/>
        <v>0</v>
      </c>
      <c r="AQ3223" s="17">
        <f t="shared" si="1976"/>
        <v>191.83499999999995</v>
      </c>
      <c r="AR3223" s="100"/>
      <c r="AS3223" s="93"/>
      <c r="AT3223" t="s">
        <v>452</v>
      </c>
      <c r="AU3223" s="19">
        <f>$H$23</f>
        <v>0</v>
      </c>
      <c r="AV3223">
        <f t="shared" si="1997"/>
        <v>0</v>
      </c>
      <c r="AW3223">
        <f t="shared" si="1977"/>
        <v>0</v>
      </c>
      <c r="AX3223">
        <f t="shared" si="2011"/>
        <v>0</v>
      </c>
      <c r="AY3223" s="19">
        <v>0</v>
      </c>
      <c r="AZ3223">
        <f t="shared" si="1998"/>
        <v>0</v>
      </c>
      <c r="BA3223">
        <f t="shared" si="1978"/>
        <v>0</v>
      </c>
      <c r="BB3223">
        <f t="shared" si="1999"/>
        <v>0</v>
      </c>
      <c r="BC3223" s="19">
        <f>$H$23</f>
        <v>0</v>
      </c>
      <c r="BD3223">
        <f t="shared" si="2000"/>
        <v>0</v>
      </c>
      <c r="BE3223">
        <f t="shared" si="1979"/>
        <v>0</v>
      </c>
      <c r="BF3223">
        <f t="shared" si="1980"/>
        <v>0</v>
      </c>
      <c r="BG3223" s="19">
        <v>0</v>
      </c>
      <c r="BH3223">
        <f t="shared" si="2001"/>
        <v>0</v>
      </c>
      <c r="BI3223">
        <f t="shared" si="1981"/>
        <v>0</v>
      </c>
      <c r="BJ3223">
        <f t="shared" si="2002"/>
        <v>0</v>
      </c>
      <c r="BK3223" s="19">
        <v>0</v>
      </c>
      <c r="BL3223" s="19">
        <v>0</v>
      </c>
      <c r="BM3223" s="17">
        <f t="shared" si="2012"/>
        <v>0</v>
      </c>
      <c r="BN3223" s="17">
        <f>BN3224+BM3223</f>
        <v>5980.5</v>
      </c>
      <c r="BO3223" s="17">
        <f>BM3223*0.6</f>
        <v>0</v>
      </c>
      <c r="BP3223" s="17">
        <f t="shared" si="2004"/>
        <v>3588.2999999999997</v>
      </c>
      <c r="BQ3223" s="17">
        <f t="shared" si="2005"/>
        <v>0</v>
      </c>
      <c r="BR3223" s="17">
        <f t="shared" si="1982"/>
        <v>255.14999999999998</v>
      </c>
      <c r="BS3223" s="17">
        <f t="shared" si="2006"/>
        <v>0</v>
      </c>
      <c r="BT3223" s="17">
        <f t="shared" si="2007"/>
        <v>178.60499999999996</v>
      </c>
      <c r="BU3223" s="100"/>
    </row>
    <row r="3224" x14ac:dyDescent="0.25">
      <c r="B3224" t="s">
        <v>453</v>
      </c>
      <c r="C3224" s="19">
        <v>0</v>
      </c>
      <c r="D3224" s="19">
        <v>0</v>
      </c>
      <c r="E3224" s="66">
        <f t="shared" si="2008"/>
        <v>0</v>
      </c>
      <c r="F3224" s="67">
        <f>IF(E24&gt;0,E24-(C15+C14+2*1.5+IF(C13="single",1.5,3))/12-_xlfn.XLOOKUP(E24,E20:E23,E20:E23,,-1),0)</f>
        <v>0</v>
      </c>
      <c r="H3224" s="19">
        <v>0</v>
      </c>
      <c r="I3224" s="64" t="s">
        <v>196</v>
      </c>
      <c r="J3224" s="19">
        <v>0</v>
      </c>
      <c r="K3224" s="19">
        <v>0</v>
      </c>
      <c r="L3224" s="19">
        <v>0</v>
      </c>
      <c r="M3224" s="19">
        <v>0</v>
      </c>
      <c r="P3224" s="93"/>
      <c r="Q3224" t="s">
        <v>453</v>
      </c>
      <c r="R3224" s="19">
        <f>$H$24</f>
        <v>0</v>
      </c>
      <c r="S3224">
        <f t="shared" si="1983"/>
        <v>0</v>
      </c>
      <c r="T3224">
        <f t="shared" si="1984"/>
        <v>0</v>
      </c>
      <c r="U3224">
        <f t="shared" si="2009"/>
        <v>0</v>
      </c>
      <c r="V3224" s="19">
        <v>0</v>
      </c>
      <c r="W3224">
        <f t="shared" si="1985"/>
        <v>0</v>
      </c>
      <c r="X3224">
        <f t="shared" si="1986"/>
        <v>0</v>
      </c>
      <c r="Y3224">
        <f t="shared" si="1987"/>
        <v>0</v>
      </c>
      <c r="Z3224" s="19">
        <f>$H$24</f>
        <v>0</v>
      </c>
      <c r="AA3224">
        <f t="shared" si="1988"/>
        <v>0</v>
      </c>
      <c r="AB3224">
        <f t="shared" si="1989"/>
        <v>0</v>
      </c>
      <c r="AC3224">
        <f t="shared" si="1975"/>
        <v>0</v>
      </c>
      <c r="AD3224" s="19">
        <v>0</v>
      </c>
      <c r="AE3224">
        <f t="shared" si="1990"/>
        <v>0</v>
      </c>
      <c r="AF3224">
        <f t="shared" si="1991"/>
        <v>0</v>
      </c>
      <c r="AG3224">
        <f t="shared" si="1992"/>
        <v>0</v>
      </c>
      <c r="AH3224" s="19">
        <v>0</v>
      </c>
      <c r="AI3224" s="19">
        <v>0</v>
      </c>
      <c r="AJ3224" s="17">
        <f t="shared" si="2010"/>
        <v>0</v>
      </c>
      <c r="AK3224" s="17">
        <f>AK3225+IF(AJ3224=0,0,AJ3224)</f>
        <v>6423.5</v>
      </c>
      <c r="AL3224" s="17">
        <f t="shared" si="1993"/>
        <v>0</v>
      </c>
      <c r="AM3224" s="17">
        <f>AM3225+AL3224</f>
        <v>3854.1</v>
      </c>
      <c r="AN3224" s="17">
        <f t="shared" si="1995"/>
        <v>0</v>
      </c>
      <c r="AO3224" s="17">
        <f>AN3224+AO3225</f>
        <v>274.04999999999995</v>
      </c>
      <c r="AP3224" s="17">
        <f t="shared" si="1996"/>
        <v>0</v>
      </c>
      <c r="AQ3224" s="17">
        <f>AP3224+AQ3225</f>
        <v>191.83499999999995</v>
      </c>
      <c r="AR3224" s="100"/>
      <c r="AS3224" s="93"/>
      <c r="AT3224" t="s">
        <v>453</v>
      </c>
      <c r="AU3224" s="19">
        <f>$H$24</f>
        <v>0</v>
      </c>
      <c r="AV3224">
        <f t="shared" si="1997"/>
        <v>0</v>
      </c>
      <c r="AW3224">
        <f t="shared" si="1977"/>
        <v>0</v>
      </c>
      <c r="AX3224">
        <f t="shared" si="2011"/>
        <v>0</v>
      </c>
      <c r="AY3224" s="19">
        <v>0</v>
      </c>
      <c r="AZ3224">
        <f t="shared" si="1998"/>
        <v>0</v>
      </c>
      <c r="BA3224">
        <f t="shared" si="1978"/>
        <v>0</v>
      </c>
      <c r="BB3224">
        <f t="shared" si="1999"/>
        <v>0</v>
      </c>
      <c r="BC3224" s="19">
        <f>$H$24</f>
        <v>0</v>
      </c>
      <c r="BD3224">
        <f t="shared" si="2000"/>
        <v>0</v>
      </c>
      <c r="BE3224">
        <f t="shared" si="1979"/>
        <v>0</v>
      </c>
      <c r="BF3224">
        <f t="shared" si="1980"/>
        <v>0</v>
      </c>
      <c r="BG3224" s="19">
        <v>0</v>
      </c>
      <c r="BH3224">
        <f t="shared" si="2001"/>
        <v>0</v>
      </c>
      <c r="BI3224">
        <f t="shared" si="1981"/>
        <v>0</v>
      </c>
      <c r="BJ3224">
        <f t="shared" si="2002"/>
        <v>0</v>
      </c>
      <c r="BK3224" s="19">
        <v>0</v>
      </c>
      <c r="BL3224" s="19">
        <v>0</v>
      </c>
      <c r="BM3224" s="17">
        <f t="shared" si="2012"/>
        <v>0</v>
      </c>
      <c r="BN3224" s="17">
        <f>BN3225+IF(BM3224=0,0,BM3224)</f>
        <v>5980.5</v>
      </c>
      <c r="BO3224" s="17">
        <f t="shared" ref="BO3224:BO3225" si="2013">BM3224*0.6</f>
        <v>0</v>
      </c>
      <c r="BP3224" s="17">
        <f>BP3225+BO3224</f>
        <v>3588.2999999999997</v>
      </c>
      <c r="BQ3224" s="17">
        <f t="shared" si="2005"/>
        <v>0</v>
      </c>
      <c r="BR3224" s="17">
        <f>BQ3224+BR3225</f>
        <v>255.14999999999998</v>
      </c>
      <c r="BS3224" s="17">
        <f t="shared" si="2006"/>
        <v>0</v>
      </c>
      <c r="BT3224" s="17">
        <f>BS3224+BT3225</f>
        <v>178.60499999999996</v>
      </c>
      <c r="BU3224" s="100"/>
    </row>
    <row r="3225" x14ac:dyDescent="0.25">
      <c r="B3225" t="s">
        <v>275</v>
      </c>
      <c r="C3225" s="19">
        <f>(33+32)/2</f>
        <v>32.5</v>
      </c>
      <c r="D3225" s="19">
        <f>(10.5+5.625)/2</f>
        <v>8.0625</v>
      </c>
      <c r="E3225" s="68">
        <f t="shared" si="2008"/>
        <v>33.171875</v>
      </c>
      <c r="F3225" s="69">
        <f>E25-(C17+C16+2*1.5+IF(C13="single",1.5,3))/12-_xlfn.XLOOKUP(E25,E20:E24,E20:E24,,-1)</f>
        <v>8.6770833333333321</v>
      </c>
      <c r="H3225" s="19">
        <v>443</v>
      </c>
      <c r="I3225" s="64" t="s">
        <v>196</v>
      </c>
      <c r="J3225" s="19">
        <v>18.899999999999999</v>
      </c>
      <c r="K3225" s="19">
        <v>36.6</v>
      </c>
      <c r="L3225" s="19">
        <v>10.8</v>
      </c>
      <c r="M3225" s="19">
        <v>66.7</v>
      </c>
      <c r="P3225" s="93"/>
      <c r="Q3225" t="s">
        <v>275</v>
      </c>
      <c r="R3225" s="19">
        <f>$H$25</f>
        <v>443</v>
      </c>
      <c r="S3225">
        <f t="shared" si="1983"/>
        <v>265.8</v>
      </c>
      <c r="T3225">
        <f t="shared" si="1984"/>
        <v>0</v>
      </c>
      <c r="U3225">
        <f t="shared" si="2009"/>
        <v>0</v>
      </c>
      <c r="V3225" s="19">
        <v>18.899999999999999</v>
      </c>
      <c r="W3225">
        <f t="shared" si="1985"/>
        <v>13.229999999999999</v>
      </c>
      <c r="X3225">
        <f t="shared" si="1986"/>
        <v>0</v>
      </c>
      <c r="Y3225">
        <f t="shared" si="1987"/>
        <v>0</v>
      </c>
      <c r="Z3225" s="19">
        <f>$H$25</f>
        <v>443</v>
      </c>
      <c r="AA3225">
        <f t="shared" si="1988"/>
        <v>265.8</v>
      </c>
      <c r="AB3225">
        <f t="shared" si="1989"/>
        <v>6423.5</v>
      </c>
      <c r="AC3225">
        <f t="shared" si="1975"/>
        <v>3854.1</v>
      </c>
      <c r="AD3225" s="19">
        <v>18.899999999999999</v>
      </c>
      <c r="AE3225">
        <f t="shared" si="1990"/>
        <v>13.229999999999999</v>
      </c>
      <c r="AF3225">
        <f t="shared" si="1991"/>
        <v>274.04999999999995</v>
      </c>
      <c r="AG3225">
        <f t="shared" si="1992"/>
        <v>191.83499999999995</v>
      </c>
      <c r="AH3225" s="19">
        <v>0</v>
      </c>
      <c r="AI3225" s="19">
        <v>0</v>
      </c>
      <c r="AJ3225" s="17">
        <f>T3225+AB3225+AH3225</f>
        <v>6423.5</v>
      </c>
      <c r="AK3225" s="17">
        <f>AJ3225</f>
        <v>6423.5</v>
      </c>
      <c r="AL3225" s="17">
        <f t="shared" si="1993"/>
        <v>3854.1</v>
      </c>
      <c r="AM3225" s="17">
        <f>AL3225</f>
        <v>3854.1</v>
      </c>
      <c r="AN3225" s="17">
        <f>X3225+AF3225+AI3225</f>
        <v>274.04999999999995</v>
      </c>
      <c r="AO3225" s="17">
        <f>AN3225</f>
        <v>274.04999999999995</v>
      </c>
      <c r="AP3225" s="17">
        <f>AN3225*0.7</f>
        <v>191.83499999999995</v>
      </c>
      <c r="AQ3225" s="17">
        <f>AP3225</f>
        <v>191.83499999999995</v>
      </c>
      <c r="AR3225" s="100"/>
      <c r="AS3225" s="93"/>
      <c r="AT3225" t="s">
        <v>275</v>
      </c>
      <c r="AU3225" s="19">
        <f>$H$25</f>
        <v>443</v>
      </c>
      <c r="AV3225">
        <f t="shared" si="1997"/>
        <v>265.8</v>
      </c>
      <c r="AW3225">
        <f t="shared" si="1977"/>
        <v>0</v>
      </c>
      <c r="AX3225">
        <f t="shared" si="2011"/>
        <v>0</v>
      </c>
      <c r="AY3225" s="19">
        <v>18.899999999999999</v>
      </c>
      <c r="AZ3225">
        <f t="shared" si="1998"/>
        <v>13.229999999999999</v>
      </c>
      <c r="BA3225">
        <f t="shared" si="1978"/>
        <v>0</v>
      </c>
      <c r="BB3225">
        <f t="shared" si="1999"/>
        <v>0</v>
      </c>
      <c r="BC3225" s="19">
        <f>$H$25</f>
        <v>443</v>
      </c>
      <c r="BD3225">
        <f t="shared" si="2000"/>
        <v>265.8</v>
      </c>
      <c r="BE3225">
        <f t="shared" si="1979"/>
        <v>5980.5</v>
      </c>
      <c r="BF3225">
        <f t="shared" si="1980"/>
        <v>3588.2999999999997</v>
      </c>
      <c r="BG3225" s="19">
        <v>18.899999999999999</v>
      </c>
      <c r="BH3225">
        <f t="shared" si="2001"/>
        <v>13.229999999999999</v>
      </c>
      <c r="BI3225">
        <f t="shared" si="1981"/>
        <v>255.14999999999998</v>
      </c>
      <c r="BJ3225">
        <f t="shared" si="2002"/>
        <v>178.60499999999996</v>
      </c>
      <c r="BK3225" s="19">
        <v>0</v>
      </c>
      <c r="BL3225" s="19">
        <v>0</v>
      </c>
      <c r="BM3225" s="17">
        <f>AW3225+BE3225+BK3225</f>
        <v>5980.5</v>
      </c>
      <c r="BN3225" s="17">
        <f>BM3225</f>
        <v>5980.5</v>
      </c>
      <c r="BO3225" s="17">
        <f t="shared" si="2013"/>
        <v>3588.2999999999997</v>
      </c>
      <c r="BP3225" s="17">
        <f>BO3225</f>
        <v>3588.2999999999997</v>
      </c>
      <c r="BQ3225" s="17">
        <f>BA3225+BI3225+BL3225</f>
        <v>255.14999999999998</v>
      </c>
      <c r="BR3225" s="17">
        <f>BQ3225</f>
        <v>255.14999999999998</v>
      </c>
      <c r="BS3225" s="17">
        <f>BQ3225*0.7</f>
        <v>178.60499999999996</v>
      </c>
      <c r="BT3225" s="17">
        <f>BS3225</f>
        <v>178.60499999999996</v>
      </c>
      <c r="BU3225" s="100"/>
    </row>
    <row r="3226" x14ac:dyDescent="0.25">
      <c r="B3226" t="s">
        <v>530</v>
      </c>
      <c r="E3226" s="73"/>
      <c r="F3226" s="73"/>
      <c r="H3226" s="19">
        <v>-22.9</v>
      </c>
      <c r="I3226" s="64" t="s">
        <v>270</v>
      </c>
      <c r="P3226" s="93"/>
      <c r="R3226" s="19">
        <f>$H$26</f>
        <v>-22.9</v>
      </c>
      <c r="S3226">
        <f t="shared" si="1983"/>
        <v>-13.739999999999998</v>
      </c>
      <c r="T3226">
        <f>$I$67/2*R3226</f>
        <v>0</v>
      </c>
      <c r="U3226">
        <f t="shared" si="2009"/>
        <v>0</v>
      </c>
      <c r="Z3226" s="19">
        <f>$H$26</f>
        <v>-22.9</v>
      </c>
      <c r="AA3226">
        <f>Z3226*0.6</f>
        <v>-13.739999999999998</v>
      </c>
      <c r="AB3226">
        <f>$J$67/2*Z3226</f>
        <v>-309.14999999999998</v>
      </c>
      <c r="AC3226">
        <f t="shared" si="1975"/>
        <v>-185.48999999999998</v>
      </c>
      <c r="AR3226" s="100"/>
      <c r="AS3226" s="93"/>
      <c r="AU3226" s="19">
        <f>$H$26</f>
        <v>-22.9</v>
      </c>
      <c r="AV3226">
        <f t="shared" si="1997"/>
        <v>-13.739999999999998</v>
      </c>
      <c r="AW3226">
        <f t="shared" si="1977"/>
        <v>0</v>
      </c>
      <c r="AX3226">
        <f t="shared" si="2011"/>
        <v>0</v>
      </c>
      <c r="BC3226" s="19">
        <f>$H$26</f>
        <v>-22.9</v>
      </c>
      <c r="BD3226">
        <f>BC3226*0.6</f>
        <v>-13.739999999999998</v>
      </c>
      <c r="BE3226">
        <f t="shared" si="1979"/>
        <v>-309.14999999999998</v>
      </c>
      <c r="BF3226">
        <f t="shared" si="1980"/>
        <v>-185.48999999999998</v>
      </c>
      <c r="BU3226" s="100"/>
    </row>
    <row r="3227" x14ac:dyDescent="0.25">
      <c r="B3227" t="s">
        <v>531</v>
      </c>
      <c r="C3227" s="1" t="s">
        <v>533</v>
      </c>
      <c r="D3227" s="19">
        <v>0.18</v>
      </c>
      <c r="E3227" s="73"/>
      <c r="F3227" s="73"/>
      <c r="H3227">
        <f>0.2*D27</f>
        <v>3.5999999999999997E-2</v>
      </c>
      <c r="I3227" s="64" t="s">
        <v>534</v>
      </c>
      <c r="P3227" s="93"/>
      <c r="Q3227" s="1"/>
      <c r="AR3227" s="100"/>
      <c r="AS3227" s="93"/>
      <c r="AT3227" s="1"/>
      <c r="BU3227" s="100"/>
    </row>
    <row r="3228" x14ac:dyDescent="0.25">
      <c r="P3228" s="93"/>
      <c r="Y3228" s="112" t="s">
        <v>752</v>
      </c>
      <c r="Z3228" s="112"/>
      <c r="AA3228" s="112"/>
      <c r="AB3228" s="112"/>
      <c r="AC3228" s="112"/>
      <c r="AR3228" s="100"/>
      <c r="AS3228" s="93"/>
      <c r="BB3228" s="112" t="s">
        <v>752</v>
      </c>
      <c r="BC3228" s="112"/>
      <c r="BD3228" s="112"/>
      <c r="BE3228" s="112"/>
      <c r="BF3228" s="112"/>
      <c r="BU3228" s="100"/>
    </row>
    <row r="3229" x14ac:dyDescent="0.25">
      <c r="B3229" t="s">
        <v>513</v>
      </c>
      <c r="P3229" s="93"/>
      <c r="Q3229" t="s">
        <v>479</v>
      </c>
      <c r="R3229" t="s">
        <v>491</v>
      </c>
      <c r="S3229" t="s">
        <v>508</v>
      </c>
      <c r="T3229" t="s">
        <v>507</v>
      </c>
      <c r="U3229" t="s">
        <v>535</v>
      </c>
      <c r="V3229" t="s">
        <v>536</v>
      </c>
      <c r="W3229" t="s">
        <v>479</v>
      </c>
      <c r="X3229" t="s">
        <v>537</v>
      </c>
      <c r="Y3229" t="s">
        <v>450</v>
      </c>
      <c r="Z3229" t="s">
        <v>451</v>
      </c>
      <c r="AA3229" t="s">
        <v>452</v>
      </c>
      <c r="AB3229" t="s">
        <v>453</v>
      </c>
      <c r="AC3229" t="s">
        <v>753</v>
      </c>
      <c r="AD3229" t="s">
        <v>519</v>
      </c>
      <c r="AR3229" s="100"/>
      <c r="AS3229" s="93"/>
      <c r="AT3229" t="s">
        <v>479</v>
      </c>
      <c r="AU3229" t="s">
        <v>491</v>
      </c>
      <c r="AV3229" t="s">
        <v>508</v>
      </c>
      <c r="AW3229" t="s">
        <v>507</v>
      </c>
      <c r="AX3229" t="s">
        <v>535</v>
      </c>
      <c r="AY3229" t="s">
        <v>536</v>
      </c>
      <c r="AZ3229" t="s">
        <v>479</v>
      </c>
      <c r="BA3229" t="s">
        <v>537</v>
      </c>
      <c r="BB3229" t="s">
        <v>450</v>
      </c>
      <c r="BC3229" t="s">
        <v>451</v>
      </c>
      <c r="BD3229" t="s">
        <v>452</v>
      </c>
      <c r="BE3229" t="s">
        <v>453</v>
      </c>
      <c r="BF3229" t="s">
        <v>753</v>
      </c>
      <c r="BG3229" t="s">
        <v>519</v>
      </c>
      <c r="BU3229" s="100"/>
    </row>
    <row r="3230" x14ac:dyDescent="0.25">
      <c r="B3230" s="1" t="s">
        <v>275</v>
      </c>
      <c r="C3230" s="19">
        <v>20</v>
      </c>
      <c r="D3230" t="s">
        <v>567</v>
      </c>
      <c r="P3230" s="93"/>
      <c r="Q3230" s="109" t="str">
        <f>R3216&amp;".01"</f>
        <v>A.01</v>
      </c>
      <c r="R3230" s="19">
        <v>29</v>
      </c>
      <c r="S3230" s="19">
        <v>12</v>
      </c>
      <c r="T3230">
        <f>S3230/2</f>
        <v>6</v>
      </c>
      <c r="U3230" s="19">
        <v>4</v>
      </c>
      <c r="V3230">
        <f>U3230/2</f>
        <v>2</v>
      </c>
      <c r="W3230" s="19" t="s">
        <v>515</v>
      </c>
      <c r="X3230" s="19">
        <v>6</v>
      </c>
      <c r="Y3230" s="19"/>
      <c r="Z3230" s="19"/>
      <c r="AA3230" s="19"/>
      <c r="AB3230" s="19"/>
      <c r="AC3230" s="19"/>
      <c r="AD3230" s="108">
        <f>R3230/R3246</f>
        <v>1</v>
      </c>
      <c r="AR3230" s="100"/>
      <c r="AS3230" s="93"/>
      <c r="AT3230" s="109" t="str">
        <f>AU$3216&amp;".01"</f>
        <v>1.01</v>
      </c>
      <c r="AU3230" s="19">
        <v>29</v>
      </c>
      <c r="AV3230" s="19">
        <v>12</v>
      </c>
      <c r="AW3230">
        <f>AV3230/2</f>
        <v>6</v>
      </c>
      <c r="AX3230" s="19">
        <v>4</v>
      </c>
      <c r="AY3230">
        <f>AX3230/2</f>
        <v>2</v>
      </c>
      <c r="AZ3230" s="19" t="s">
        <v>515</v>
      </c>
      <c r="BA3230" s="19">
        <v>6</v>
      </c>
      <c r="BB3230" s="19"/>
      <c r="BC3230" s="19"/>
      <c r="BD3230" s="19"/>
      <c r="BE3230" s="19"/>
      <c r="BF3230" s="19"/>
      <c r="BG3230" s="108">
        <f>AU3230/AU3246</f>
        <v>1</v>
      </c>
      <c r="BU3230" s="100"/>
    </row>
    <row r="3231" x14ac:dyDescent="0.25">
      <c r="B3231" s="1"/>
      <c r="C3231">
        <f>0.9*C30</f>
        <v>18</v>
      </c>
      <c r="D3231" t="s">
        <v>532</v>
      </c>
      <c r="P3231" s="93"/>
      <c r="Q3231" s="109" t="str">
        <f>R3216&amp;".02"</f>
        <v>A.02</v>
      </c>
      <c r="R3231" s="19"/>
      <c r="S3231" s="19"/>
      <c r="T3231">
        <f t="shared" ref="T3231:T3245" si="2014">S3231/2</f>
        <v>0</v>
      </c>
      <c r="U3231" s="19"/>
      <c r="V3231">
        <f t="shared" ref="V3231:V3245" si="2015">U3231/2</f>
        <v>0</v>
      </c>
      <c r="W3231" s="19"/>
      <c r="X3231" s="19"/>
      <c r="Y3231" s="19"/>
      <c r="Z3231" s="19"/>
      <c r="AA3231" s="19"/>
      <c r="AB3231" s="19"/>
      <c r="AC3231" s="19"/>
      <c r="AR3231" s="100"/>
      <c r="AS3231" s="93"/>
      <c r="AT3231" s="109" t="str">
        <f>AU$3216&amp;".02"</f>
        <v>1.02</v>
      </c>
      <c r="AU3231" s="19"/>
      <c r="AV3231" s="19"/>
      <c r="AW3231">
        <f t="shared" ref="AW3231:AW3245" si="2016">AV3231/2</f>
        <v>0</v>
      </c>
      <c r="AX3231" s="19"/>
      <c r="AY3231">
        <f t="shared" ref="AY3231:AY3245" si="2017">AX3231/2</f>
        <v>0</v>
      </c>
      <c r="AZ3231" s="19"/>
      <c r="BA3231" s="19"/>
      <c r="BB3231" s="19"/>
      <c r="BC3231" s="19"/>
      <c r="BD3231" s="19"/>
      <c r="BE3231" s="19"/>
      <c r="BF3231" s="19"/>
      <c r="BU3231" s="100"/>
    </row>
    <row r="3232" x14ac:dyDescent="0.25">
      <c r="B3232" s="1" t="s">
        <v>514</v>
      </c>
      <c r="C3232" s="19">
        <v>26</v>
      </c>
      <c r="D3232" t="s">
        <v>512</v>
      </c>
      <c r="P3232" s="93"/>
      <c r="Q3232" s="109" t="str">
        <f>R3216&amp;".03"</f>
        <v>A.03</v>
      </c>
      <c r="R3232" s="19"/>
      <c r="S3232" s="19"/>
      <c r="T3232">
        <f t="shared" si="2014"/>
        <v>0</v>
      </c>
      <c r="U3232" s="19"/>
      <c r="V3232">
        <f t="shared" si="2015"/>
        <v>0</v>
      </c>
      <c r="W3232" s="19"/>
      <c r="X3232" s="19"/>
      <c r="Y3232" s="19"/>
      <c r="Z3232" s="19"/>
      <c r="AA3232" s="19"/>
      <c r="AB3232" s="19"/>
      <c r="AC3232" s="19"/>
      <c r="AR3232" s="100"/>
      <c r="AS3232" s="93"/>
      <c r="AT3232" s="109" t="str">
        <f>AU$3216&amp;".03"</f>
        <v>1.03</v>
      </c>
      <c r="AU3232" s="19"/>
      <c r="AV3232" s="19"/>
      <c r="AW3232">
        <f t="shared" si="2016"/>
        <v>0</v>
      </c>
      <c r="AX3232" s="19"/>
      <c r="AY3232">
        <f t="shared" si="2017"/>
        <v>0</v>
      </c>
      <c r="AZ3232" s="19"/>
      <c r="BA3232" s="19"/>
      <c r="BB3232" s="19"/>
      <c r="BC3232" s="19"/>
      <c r="BD3232" s="19"/>
      <c r="BE3232" s="19"/>
      <c r="BF3232" s="19"/>
      <c r="BU3232" s="100"/>
    </row>
    <row r="3233" x14ac:dyDescent="0.25">
      <c r="B3233" s="1" t="s">
        <v>477</v>
      </c>
      <c r="C3233" s="19">
        <v>11</v>
      </c>
      <c r="D3233" t="s">
        <v>509</v>
      </c>
      <c r="P3233" s="93"/>
      <c r="Q3233" s="109" t="str">
        <f>R3216&amp;".04"</f>
        <v>A.04</v>
      </c>
      <c r="R3233" s="19"/>
      <c r="S3233" s="19"/>
      <c r="T3233">
        <f t="shared" si="2014"/>
        <v>0</v>
      </c>
      <c r="U3233" s="19"/>
      <c r="V3233">
        <f t="shared" si="2015"/>
        <v>0</v>
      </c>
      <c r="W3233" s="19"/>
      <c r="X3233" s="19"/>
      <c r="Y3233" s="19"/>
      <c r="Z3233" s="19"/>
      <c r="AA3233" s="19"/>
      <c r="AB3233" s="19"/>
      <c r="AC3233" s="19"/>
      <c r="AR3233" s="100"/>
      <c r="AS3233" s="93"/>
      <c r="AT3233" s="109" t="str">
        <f>AU$3216&amp;".04"</f>
        <v>1.04</v>
      </c>
      <c r="AU3233" s="19"/>
      <c r="AV3233" s="19"/>
      <c r="AW3233">
        <f t="shared" si="2016"/>
        <v>0</v>
      </c>
      <c r="AX3233" s="19"/>
      <c r="AY3233">
        <f t="shared" si="2017"/>
        <v>0</v>
      </c>
      <c r="AZ3233" s="19"/>
      <c r="BA3233" s="19"/>
      <c r="BB3233" s="19"/>
      <c r="BC3233" s="19"/>
      <c r="BD3233" s="19"/>
      <c r="BE3233" s="19"/>
      <c r="BF3233" s="19"/>
      <c r="BU3233" s="100"/>
    </row>
    <row r="3234" x14ac:dyDescent="0.25">
      <c r="B3234" s="1" t="s">
        <v>478</v>
      </c>
      <c r="C3234" s="19">
        <v>13</v>
      </c>
      <c r="D3234" t="s">
        <v>510</v>
      </c>
      <c r="P3234" s="93"/>
      <c r="Q3234" s="109" t="str">
        <f>R3216&amp;".05"</f>
        <v>A.05</v>
      </c>
      <c r="R3234" s="19"/>
      <c r="S3234" s="19"/>
      <c r="T3234">
        <f t="shared" si="2014"/>
        <v>0</v>
      </c>
      <c r="U3234" s="19"/>
      <c r="V3234">
        <f t="shared" si="2015"/>
        <v>0</v>
      </c>
      <c r="W3234" s="19"/>
      <c r="X3234" s="19"/>
      <c r="Y3234" s="19"/>
      <c r="Z3234" s="19"/>
      <c r="AA3234" s="19"/>
      <c r="AB3234" s="19"/>
      <c r="AC3234" s="19"/>
      <c r="AR3234" s="100"/>
      <c r="AS3234" s="93"/>
      <c r="AT3234" s="109" t="str">
        <f>AU$3216&amp;".05"</f>
        <v>1.05</v>
      </c>
      <c r="AU3234" s="19"/>
      <c r="AV3234" s="19"/>
      <c r="AW3234">
        <f t="shared" si="2016"/>
        <v>0</v>
      </c>
      <c r="AX3234" s="19"/>
      <c r="AY3234">
        <f t="shared" si="2017"/>
        <v>0</v>
      </c>
      <c r="AZ3234" s="19"/>
      <c r="BA3234" s="19"/>
      <c r="BB3234" s="19"/>
      <c r="BC3234" s="19"/>
      <c r="BD3234" s="19"/>
      <c r="BE3234" s="19"/>
      <c r="BF3234" s="19"/>
      <c r="BU3234" s="100"/>
    </row>
    <row r="3235" x14ac:dyDescent="0.25">
      <c r="B3235" s="1" t="s">
        <v>515</v>
      </c>
      <c r="C3235" s="19">
        <v>18</v>
      </c>
      <c r="D3235" t="s">
        <v>511</v>
      </c>
      <c r="P3235" s="93"/>
      <c r="Q3235" s="109" t="str">
        <f>R3216&amp;".06"</f>
        <v>A.06</v>
      </c>
      <c r="R3235" s="19"/>
      <c r="S3235" s="19"/>
      <c r="T3235">
        <f t="shared" si="2014"/>
        <v>0</v>
      </c>
      <c r="U3235" s="19"/>
      <c r="V3235">
        <f t="shared" si="2015"/>
        <v>0</v>
      </c>
      <c r="W3235" s="19"/>
      <c r="X3235" s="19"/>
      <c r="Y3235" s="19"/>
      <c r="Z3235" s="19"/>
      <c r="AA3235" s="19"/>
      <c r="AB3235" s="19"/>
      <c r="AC3235" s="19"/>
      <c r="AR3235" s="100"/>
      <c r="AS3235" s="93"/>
      <c r="AT3235" s="109" t="str">
        <f>AU$3216&amp;".06"</f>
        <v>1.06</v>
      </c>
      <c r="AU3235" s="19"/>
      <c r="AV3235" s="19"/>
      <c r="AW3235">
        <f t="shared" si="2016"/>
        <v>0</v>
      </c>
      <c r="AX3235" s="19"/>
      <c r="AY3235">
        <f t="shared" si="2017"/>
        <v>0</v>
      </c>
      <c r="AZ3235" s="19"/>
      <c r="BA3235" s="19"/>
      <c r="BB3235" s="19"/>
      <c r="BC3235" s="19"/>
      <c r="BD3235" s="19"/>
      <c r="BE3235" s="19"/>
      <c r="BF3235" s="19"/>
      <c r="BU3235" s="100"/>
    </row>
    <row r="3236" x14ac:dyDescent="0.25">
      <c r="B3236" s="1" t="s">
        <v>516</v>
      </c>
      <c r="P3236" s="93"/>
      <c r="Q3236" s="109" t="str">
        <f>R3216&amp;".07"</f>
        <v>A.07</v>
      </c>
      <c r="R3236" s="19"/>
      <c r="S3236" s="19"/>
      <c r="T3236">
        <f t="shared" si="2014"/>
        <v>0</v>
      </c>
      <c r="U3236" s="19"/>
      <c r="V3236">
        <f t="shared" si="2015"/>
        <v>0</v>
      </c>
      <c r="W3236" s="19"/>
      <c r="X3236" s="19"/>
      <c r="Y3236" s="19"/>
      <c r="Z3236" s="19"/>
      <c r="AA3236" s="19"/>
      <c r="AB3236" s="19"/>
      <c r="AC3236" s="19"/>
      <c r="AF3236" s="109"/>
      <c r="AR3236" s="100"/>
      <c r="AS3236" s="93"/>
      <c r="AT3236" s="109" t="str">
        <f>AU$3216&amp;".07"</f>
        <v>1.07</v>
      </c>
      <c r="AU3236" s="19"/>
      <c r="AV3236" s="19"/>
      <c r="AW3236">
        <f t="shared" si="2016"/>
        <v>0</v>
      </c>
      <c r="AX3236" s="19"/>
      <c r="AY3236">
        <f t="shared" si="2017"/>
        <v>0</v>
      </c>
      <c r="AZ3236" s="19"/>
      <c r="BA3236" s="19"/>
      <c r="BB3236" s="19"/>
      <c r="BC3236" s="19"/>
      <c r="BD3236" s="19"/>
      <c r="BE3236" s="19"/>
      <c r="BF3236" s="19"/>
      <c r="BI3236" s="109"/>
      <c r="BU3236" s="100"/>
    </row>
    <row r="3237" x14ac:dyDescent="0.25">
      <c r="B3237" s="1" t="s">
        <v>517</v>
      </c>
      <c r="P3237" s="93"/>
      <c r="Q3237" s="109" t="str">
        <f>R3216&amp;".08"</f>
        <v>A.08</v>
      </c>
      <c r="R3237" s="19"/>
      <c r="S3237" s="19"/>
      <c r="T3237">
        <f t="shared" si="2014"/>
        <v>0</v>
      </c>
      <c r="U3237" s="19"/>
      <c r="V3237">
        <f t="shared" si="2015"/>
        <v>0</v>
      </c>
      <c r="W3237" s="19"/>
      <c r="X3237" s="19"/>
      <c r="Y3237" s="19"/>
      <c r="Z3237" s="19"/>
      <c r="AA3237" s="19"/>
      <c r="AB3237" s="19"/>
      <c r="AC3237" s="19"/>
      <c r="AF3237" s="109"/>
      <c r="AR3237" s="100"/>
      <c r="AS3237" s="93"/>
      <c r="AT3237" s="109" t="str">
        <f>AU$3216&amp;".08"</f>
        <v>1.08</v>
      </c>
      <c r="AU3237" s="19"/>
      <c r="AV3237" s="19"/>
      <c r="AW3237">
        <f t="shared" si="2016"/>
        <v>0</v>
      </c>
      <c r="AX3237" s="19"/>
      <c r="AY3237">
        <f t="shared" si="2017"/>
        <v>0</v>
      </c>
      <c r="AZ3237" s="19"/>
      <c r="BA3237" s="19"/>
      <c r="BB3237" s="19"/>
      <c r="BC3237" s="19"/>
      <c r="BD3237" s="19"/>
      <c r="BE3237" s="19"/>
      <c r="BF3237" s="19"/>
      <c r="BI3237" s="109"/>
      <c r="BU3237" s="100"/>
    </row>
    <row r="3238" x14ac:dyDescent="0.25">
      <c r="B3238" s="1" t="s">
        <v>518</v>
      </c>
      <c r="P3238" s="93"/>
      <c r="Q3238" s="109" t="str">
        <f>R3216&amp;".09"</f>
        <v>A.09</v>
      </c>
      <c r="R3238" s="19"/>
      <c r="S3238" s="19"/>
      <c r="T3238">
        <f t="shared" si="2014"/>
        <v>0</v>
      </c>
      <c r="U3238" s="19"/>
      <c r="V3238">
        <f t="shared" si="2015"/>
        <v>0</v>
      </c>
      <c r="W3238" s="19"/>
      <c r="X3238" s="19"/>
      <c r="Y3238" s="19"/>
      <c r="Z3238" s="19"/>
      <c r="AA3238" s="19"/>
      <c r="AB3238" s="19"/>
      <c r="AC3238" s="19"/>
      <c r="AF3238" s="109"/>
      <c r="AR3238" s="100"/>
      <c r="AS3238" s="93"/>
      <c r="AT3238" s="109" t="str">
        <f>AU$3216&amp;".09"</f>
        <v>1.09</v>
      </c>
      <c r="AU3238" s="19"/>
      <c r="AV3238" s="19"/>
      <c r="AW3238">
        <f t="shared" si="2016"/>
        <v>0</v>
      </c>
      <c r="AX3238" s="19"/>
      <c r="AY3238">
        <f t="shared" si="2017"/>
        <v>0</v>
      </c>
      <c r="AZ3238" s="19"/>
      <c r="BA3238" s="19"/>
      <c r="BB3238" s="19"/>
      <c r="BC3238" s="19"/>
      <c r="BD3238" s="19"/>
      <c r="BE3238" s="19"/>
      <c r="BF3238" s="19"/>
      <c r="BI3238" s="109"/>
      <c r="BU3238" s="100"/>
    </row>
    <row r="3239" x14ac:dyDescent="0.25">
      <c r="P3239" s="93"/>
      <c r="Q3239" s="109" t="str">
        <f>R3216&amp;".10"</f>
        <v>A.10</v>
      </c>
      <c r="R3239" s="19"/>
      <c r="S3239" s="19"/>
      <c r="T3239">
        <f t="shared" si="2014"/>
        <v>0</v>
      </c>
      <c r="U3239" s="19"/>
      <c r="V3239">
        <f t="shared" si="2015"/>
        <v>0</v>
      </c>
      <c r="W3239" s="19"/>
      <c r="X3239" s="19"/>
      <c r="Y3239" s="19"/>
      <c r="Z3239" s="19"/>
      <c r="AA3239" s="19"/>
      <c r="AB3239" s="19"/>
      <c r="AC3239" s="19"/>
      <c r="AF3239" s="109"/>
      <c r="AR3239" s="100"/>
      <c r="AS3239" s="93"/>
      <c r="AT3239" s="109" t="str">
        <f>AU$3216&amp;".10"</f>
        <v>1.10</v>
      </c>
      <c r="AU3239" s="19"/>
      <c r="AV3239" s="19"/>
      <c r="AW3239">
        <f t="shared" si="2016"/>
        <v>0</v>
      </c>
      <c r="AX3239" s="19"/>
      <c r="AY3239">
        <f t="shared" si="2017"/>
        <v>0</v>
      </c>
      <c r="AZ3239" s="19"/>
      <c r="BA3239" s="19"/>
      <c r="BB3239" s="19"/>
      <c r="BC3239" s="19"/>
      <c r="BD3239" s="19"/>
      <c r="BE3239" s="19"/>
      <c r="BF3239" s="19"/>
      <c r="BI3239" s="109"/>
      <c r="BU3239" s="100"/>
    </row>
    <row r="3240" x14ac:dyDescent="0.25">
      <c r="C3240" s="112" t="s">
        <v>495</v>
      </c>
      <c r="D3240" s="112"/>
      <c r="E3240" s="112"/>
      <c r="I3240" s="112" t="s">
        <v>495</v>
      </c>
      <c r="J3240" s="112"/>
      <c r="K3240" s="112"/>
      <c r="P3240" s="93"/>
      <c r="Q3240" s="109" t="str">
        <f>R3216&amp;".11"</f>
        <v>A.11</v>
      </c>
      <c r="R3240" s="19"/>
      <c r="S3240" s="19"/>
      <c r="T3240">
        <f t="shared" si="2014"/>
        <v>0</v>
      </c>
      <c r="U3240" s="19"/>
      <c r="V3240">
        <f t="shared" si="2015"/>
        <v>0</v>
      </c>
      <c r="W3240" s="19"/>
      <c r="X3240" s="19"/>
      <c r="Y3240" s="19"/>
      <c r="Z3240" s="19"/>
      <c r="AA3240" s="19"/>
      <c r="AB3240" s="19"/>
      <c r="AC3240" s="19"/>
      <c r="AF3240" s="109"/>
      <c r="AR3240" s="100"/>
      <c r="AS3240" s="93"/>
      <c r="AT3240" s="109" t="str">
        <f>AU$3216&amp;".11"</f>
        <v>1.11</v>
      </c>
      <c r="AU3240" s="19"/>
      <c r="AV3240" s="19"/>
      <c r="AW3240">
        <f t="shared" si="2016"/>
        <v>0</v>
      </c>
      <c r="AX3240" s="19"/>
      <c r="AY3240">
        <f t="shared" si="2017"/>
        <v>0</v>
      </c>
      <c r="AZ3240" s="19"/>
      <c r="BA3240" s="19"/>
      <c r="BB3240" s="19"/>
      <c r="BC3240" s="19"/>
      <c r="BD3240" s="19"/>
      <c r="BE3240" s="19"/>
      <c r="BF3240" s="19"/>
      <c r="BI3240" s="109"/>
      <c r="BU3240" s="100"/>
    </row>
    <row r="3241" x14ac:dyDescent="0.25">
      <c r="B3241" t="s">
        <v>474</v>
      </c>
      <c r="C3241" t="s">
        <v>492</v>
      </c>
      <c r="D3241" t="s">
        <v>493</v>
      </c>
      <c r="E3241" t="s">
        <v>494</v>
      </c>
      <c r="H3241" t="s">
        <v>455</v>
      </c>
      <c r="I3241" t="s">
        <v>492</v>
      </c>
      <c r="J3241" t="s">
        <v>493</v>
      </c>
      <c r="K3241" t="s">
        <v>494</v>
      </c>
      <c r="P3241" s="93"/>
      <c r="Q3241" s="109" t="str">
        <f>R3216&amp;".12"</f>
        <v>A.12</v>
      </c>
      <c r="R3241" s="19"/>
      <c r="S3241" s="19"/>
      <c r="T3241">
        <f t="shared" si="2014"/>
        <v>0</v>
      </c>
      <c r="U3241" s="19"/>
      <c r="V3241">
        <f t="shared" si="2015"/>
        <v>0</v>
      </c>
      <c r="W3241" s="19"/>
      <c r="X3241" s="19"/>
      <c r="Y3241" s="19"/>
      <c r="Z3241" s="19"/>
      <c r="AA3241" s="19"/>
      <c r="AB3241" s="19"/>
      <c r="AC3241" s="19"/>
      <c r="AF3241" s="109"/>
      <c r="AR3241" s="100"/>
      <c r="AS3241" s="93"/>
      <c r="AT3241" s="109" t="str">
        <f>AU$3216&amp;".12"</f>
        <v>1.12</v>
      </c>
      <c r="AU3241" s="19"/>
      <c r="AV3241" s="19"/>
      <c r="AW3241">
        <f t="shared" si="2016"/>
        <v>0</v>
      </c>
      <c r="AX3241" s="19"/>
      <c r="AY3241">
        <f t="shared" si="2017"/>
        <v>0</v>
      </c>
      <c r="AZ3241" s="19"/>
      <c r="BA3241" s="19"/>
      <c r="BB3241" s="19"/>
      <c r="BC3241" s="19"/>
      <c r="BD3241" s="19"/>
      <c r="BE3241" s="19"/>
      <c r="BF3241" s="19"/>
      <c r="BI3241" s="109"/>
      <c r="BU3241" s="100"/>
    </row>
    <row r="3242" x14ac:dyDescent="0.25">
      <c r="B3242" t="s">
        <v>274</v>
      </c>
      <c r="C3242" s="19">
        <v>0</v>
      </c>
      <c r="D3242" s="19">
        <v>29</v>
      </c>
      <c r="E3242">
        <f>C67+D67</f>
        <v>29</v>
      </c>
      <c r="H3242">
        <v>1</v>
      </c>
      <c r="I3242" s="19">
        <v>0</v>
      </c>
      <c r="J3242" s="19">
        <v>27</v>
      </c>
      <c r="K3242">
        <f>I67+J67</f>
        <v>27</v>
      </c>
      <c r="P3242" s="93"/>
      <c r="Q3242" s="109" t="str">
        <f>R3216&amp;".13"</f>
        <v>A.13</v>
      </c>
      <c r="R3242" s="19"/>
      <c r="S3242" s="19"/>
      <c r="T3242">
        <f t="shared" si="2014"/>
        <v>0</v>
      </c>
      <c r="U3242" s="19"/>
      <c r="V3242">
        <f t="shared" si="2015"/>
        <v>0</v>
      </c>
      <c r="W3242" s="19"/>
      <c r="X3242" s="19"/>
      <c r="Y3242" s="19"/>
      <c r="Z3242" s="19"/>
      <c r="AA3242" s="19"/>
      <c r="AB3242" s="19"/>
      <c r="AC3242" s="19"/>
      <c r="AF3242" s="109"/>
      <c r="AR3242" s="100"/>
      <c r="AS3242" s="93"/>
      <c r="AT3242" s="109" t="str">
        <f>AU$3216&amp;".13"</f>
        <v>1.13</v>
      </c>
      <c r="AU3242" s="19"/>
      <c r="AV3242" s="19"/>
      <c r="AW3242">
        <f t="shared" si="2016"/>
        <v>0</v>
      </c>
      <c r="AX3242" s="19"/>
      <c r="AY3242">
        <f t="shared" si="2017"/>
        <v>0</v>
      </c>
      <c r="AZ3242" s="19"/>
      <c r="BA3242" s="19"/>
      <c r="BB3242" s="19"/>
      <c r="BC3242" s="19"/>
      <c r="BD3242" s="19"/>
      <c r="BE3242" s="19"/>
      <c r="BF3242" s="19"/>
      <c r="BI3242" s="109"/>
      <c r="BU3242" s="100"/>
    </row>
    <row r="3243" x14ac:dyDescent="0.25">
      <c r="B3243" t="s">
        <v>279</v>
      </c>
      <c r="C3243" s="19">
        <v>29</v>
      </c>
      <c r="D3243" s="19">
        <v>6</v>
      </c>
      <c r="E3243">
        <f t="shared" ref="E43:E67" si="2018">C43+D43</f>
        <v>35</v>
      </c>
      <c r="H3243">
        <v>2</v>
      </c>
      <c r="I3243" s="19">
        <v>27</v>
      </c>
      <c r="J3243" s="19">
        <v>14</v>
      </c>
      <c r="K3243">
        <f t="shared" ref="K43:K67" si="2019">I43+J43</f>
        <v>41</v>
      </c>
      <c r="P3243" s="93"/>
      <c r="Q3243" s="109" t="str">
        <f>R3216&amp;".14"</f>
        <v>A.14</v>
      </c>
      <c r="R3243" s="19"/>
      <c r="S3243" s="19"/>
      <c r="T3243">
        <f t="shared" si="2014"/>
        <v>0</v>
      </c>
      <c r="U3243" s="19"/>
      <c r="V3243">
        <f t="shared" si="2015"/>
        <v>0</v>
      </c>
      <c r="W3243" s="19"/>
      <c r="X3243" s="19"/>
      <c r="Y3243" s="19"/>
      <c r="Z3243" s="19"/>
      <c r="AA3243" s="19"/>
      <c r="AB3243" s="19"/>
      <c r="AC3243" s="19"/>
      <c r="AF3243" s="109"/>
      <c r="AR3243" s="100"/>
      <c r="AS3243" s="93"/>
      <c r="AT3243" s="109" t="str">
        <f>AU$3216&amp;".14"</f>
        <v>1.14</v>
      </c>
      <c r="AU3243" s="19"/>
      <c r="AV3243" s="19"/>
      <c r="AW3243">
        <f t="shared" si="2016"/>
        <v>0</v>
      </c>
      <c r="AX3243" s="19"/>
      <c r="AY3243">
        <f t="shared" si="2017"/>
        <v>0</v>
      </c>
      <c r="AZ3243" s="19"/>
      <c r="BA3243" s="19"/>
      <c r="BB3243" s="19"/>
      <c r="BC3243" s="19"/>
      <c r="BD3243" s="19"/>
      <c r="BE3243" s="19"/>
      <c r="BF3243" s="19"/>
      <c r="BI3243" s="109"/>
      <c r="BU3243" s="100"/>
    </row>
    <row r="3244" x14ac:dyDescent="0.25">
      <c r="B3244" t="s">
        <v>283</v>
      </c>
      <c r="C3244" s="19">
        <v>6</v>
      </c>
      <c r="D3244" s="19">
        <v>29</v>
      </c>
      <c r="E3244">
        <f t="shared" si="2018"/>
        <v>35</v>
      </c>
      <c r="H3244">
        <v>3</v>
      </c>
      <c r="I3244" s="19">
        <v>14</v>
      </c>
      <c r="J3244" s="19">
        <v>13</v>
      </c>
      <c r="K3244">
        <f t="shared" si="2019"/>
        <v>27</v>
      </c>
      <c r="P3244" s="93"/>
      <c r="Q3244" s="109" t="str">
        <f>R3216&amp;".15"</f>
        <v>A.15</v>
      </c>
      <c r="R3244" s="19"/>
      <c r="S3244" s="19"/>
      <c r="T3244">
        <f t="shared" si="2014"/>
        <v>0</v>
      </c>
      <c r="U3244" s="19"/>
      <c r="V3244">
        <f t="shared" si="2015"/>
        <v>0</v>
      </c>
      <c r="W3244" s="19"/>
      <c r="X3244" s="19"/>
      <c r="Y3244" s="19"/>
      <c r="Z3244" s="19"/>
      <c r="AA3244" s="19"/>
      <c r="AB3244" s="19"/>
      <c r="AC3244" s="19"/>
      <c r="AF3244" s="109"/>
      <c r="AR3244" s="100"/>
      <c r="AS3244" s="93"/>
      <c r="AT3244" s="109" t="str">
        <f>AU$3216&amp;".15"</f>
        <v>1.15</v>
      </c>
      <c r="AU3244" s="19"/>
      <c r="AV3244" s="19"/>
      <c r="AW3244">
        <f t="shared" si="2016"/>
        <v>0</v>
      </c>
      <c r="AX3244" s="19"/>
      <c r="AY3244">
        <f t="shared" si="2017"/>
        <v>0</v>
      </c>
      <c r="AZ3244" s="19"/>
      <c r="BA3244" s="19"/>
      <c r="BB3244" s="19"/>
      <c r="BC3244" s="19"/>
      <c r="BD3244" s="19"/>
      <c r="BE3244" s="19"/>
      <c r="BF3244" s="19"/>
      <c r="BI3244" s="109"/>
      <c r="BU3244" s="100"/>
    </row>
    <row r="3245" x14ac:dyDescent="0.25">
      <c r="B3245" t="s">
        <v>287</v>
      </c>
      <c r="C3245" s="19">
        <v>26</v>
      </c>
      <c r="D3245" s="19">
        <v>26</v>
      </c>
      <c r="E3245">
        <f t="shared" si="2018"/>
        <v>52</v>
      </c>
      <c r="F3245" t="s">
        <v>506</v>
      </c>
      <c r="H3245">
        <v>4</v>
      </c>
      <c r="I3245" s="19">
        <v>13</v>
      </c>
      <c r="J3245" s="19">
        <v>27</v>
      </c>
      <c r="K3245">
        <f t="shared" si="2019"/>
        <v>40</v>
      </c>
      <c r="P3245" s="93"/>
      <c r="Q3245" s="109" t="str">
        <f>R3216&amp;".16"</f>
        <v>A.16</v>
      </c>
      <c r="R3245" s="19"/>
      <c r="S3245" s="19"/>
      <c r="T3245">
        <f t="shared" si="2014"/>
        <v>0</v>
      </c>
      <c r="U3245" s="19"/>
      <c r="V3245">
        <f t="shared" si="2015"/>
        <v>0</v>
      </c>
      <c r="W3245" s="19"/>
      <c r="X3245" s="19"/>
      <c r="Y3245" s="19"/>
      <c r="Z3245" s="19"/>
      <c r="AA3245" s="19"/>
      <c r="AB3245" s="19"/>
      <c r="AC3245" s="19"/>
      <c r="AF3245" s="109"/>
      <c r="AR3245" s="100"/>
      <c r="AS3245" s="93"/>
      <c r="AT3245" s="109" t="str">
        <f>AU$3216&amp;".16"</f>
        <v>1.16</v>
      </c>
      <c r="AU3245" s="19"/>
      <c r="AV3245" s="19"/>
      <c r="AW3245">
        <f t="shared" si="2016"/>
        <v>0</v>
      </c>
      <c r="AX3245" s="19"/>
      <c r="AY3245">
        <f t="shared" si="2017"/>
        <v>0</v>
      </c>
      <c r="AZ3245" s="19"/>
      <c r="BA3245" s="19"/>
      <c r="BB3245" s="19"/>
      <c r="BC3245" s="19"/>
      <c r="BD3245" s="19"/>
      <c r="BE3245" s="19"/>
      <c r="BF3245" s="19"/>
      <c r="BI3245" s="109"/>
      <c r="BU3245" s="100"/>
    </row>
    <row r="3246" x14ac:dyDescent="0.25">
      <c r="B3246" t="s">
        <v>288</v>
      </c>
      <c r="C3246" s="19">
        <v>29</v>
      </c>
      <c r="D3246" s="19">
        <v>0</v>
      </c>
      <c r="E3246">
        <f t="shared" si="2018"/>
        <v>29</v>
      </c>
      <c r="H3246">
        <v>5</v>
      </c>
      <c r="I3246" s="19">
        <v>27</v>
      </c>
      <c r="J3246" s="19">
        <v>11</v>
      </c>
      <c r="K3246">
        <f t="shared" si="2019"/>
        <v>38</v>
      </c>
      <c r="P3246" s="93"/>
      <c r="R3246">
        <f>SUM(R3230:R3245)</f>
        <v>29</v>
      </c>
      <c r="AR3246" s="100"/>
      <c r="AS3246" s="93"/>
      <c r="AU3246">
        <f>SUM(AU3230:AU3245)</f>
        <v>29</v>
      </c>
      <c r="BU3246" s="100"/>
    </row>
    <row r="3247" x14ac:dyDescent="0.25">
      <c r="B3247" t="s">
        <v>293</v>
      </c>
      <c r="C3247" s="19">
        <v>17</v>
      </c>
      <c r="D3247" s="19">
        <v>27</v>
      </c>
      <c r="E3247">
        <f t="shared" si="2018"/>
        <v>44</v>
      </c>
      <c r="H3247">
        <v>6</v>
      </c>
      <c r="I3247" s="19">
        <v>11</v>
      </c>
      <c r="J3247" s="19">
        <v>6</v>
      </c>
      <c r="K3247">
        <f t="shared" si="2019"/>
        <v>17</v>
      </c>
      <c r="P3247" s="93"/>
      <c r="AP3247" t="s">
        <v>746</v>
      </c>
      <c r="AR3247" s="100"/>
      <c r="AS3247" s="93"/>
      <c r="BS3247" t="s">
        <v>746</v>
      </c>
      <c r="BU3247" s="100"/>
    </row>
    <row r="3248" x14ac:dyDescent="0.25">
      <c r="B3248" t="s">
        <v>456</v>
      </c>
      <c r="C3248" s="19">
        <v>27</v>
      </c>
      <c r="D3248" s="19">
        <v>27</v>
      </c>
      <c r="E3248">
        <f t="shared" si="2018"/>
        <v>54</v>
      </c>
      <c r="H3248">
        <v>7</v>
      </c>
      <c r="I3248" s="19">
        <v>6</v>
      </c>
      <c r="J3248" s="19">
        <v>11</v>
      </c>
      <c r="K3248">
        <f t="shared" si="2019"/>
        <v>17</v>
      </c>
      <c r="P3248" s="93"/>
      <c r="Q3248" t="s">
        <v>525</v>
      </c>
      <c r="R3248" t="s">
        <v>263</v>
      </c>
      <c r="S3248" t="s">
        <v>526</v>
      </c>
      <c r="T3248" t="s">
        <v>570</v>
      </c>
      <c r="U3248" t="s">
        <v>571</v>
      </c>
      <c r="V3248" t="s">
        <v>572</v>
      </c>
      <c r="W3248" t="s">
        <v>539</v>
      </c>
      <c r="X3248" t="s">
        <v>538</v>
      </c>
      <c r="Z3248" t="s">
        <v>522</v>
      </c>
      <c r="AA3248" t="s">
        <v>523</v>
      </c>
      <c r="AB3248" t="s">
        <v>541</v>
      </c>
      <c r="AC3248" t="s">
        <v>540</v>
      </c>
      <c r="AD3248" t="s">
        <v>542</v>
      </c>
      <c r="AE3248" t="s">
        <v>520</v>
      </c>
      <c r="AF3248" t="s">
        <v>521</v>
      </c>
      <c r="AG3248" t="s">
        <v>527</v>
      </c>
      <c r="AH3248" t="s">
        <v>528</v>
      </c>
      <c r="AI3248" t="s">
        <v>543</v>
      </c>
      <c r="AJ3248" t="s">
        <v>744</v>
      </c>
      <c r="AK3248" t="s">
        <v>745</v>
      </c>
      <c r="AL3248" t="s">
        <v>749</v>
      </c>
      <c r="AM3248" t="s">
        <v>750</v>
      </c>
      <c r="AN3248" t="s">
        <v>751</v>
      </c>
      <c r="AP3248" t="s">
        <v>747</v>
      </c>
      <c r="AQ3248" t="s">
        <v>748</v>
      </c>
      <c r="AR3248" s="100"/>
      <c r="AS3248" s="93"/>
      <c r="AT3248" t="s">
        <v>525</v>
      </c>
      <c r="AU3248" t="s">
        <v>263</v>
      </c>
      <c r="AV3248" t="s">
        <v>526</v>
      </c>
      <c r="AW3248" t="s">
        <v>570</v>
      </c>
      <c r="AX3248" t="s">
        <v>571</v>
      </c>
      <c r="AY3248" t="s">
        <v>572</v>
      </c>
      <c r="AZ3248" t="s">
        <v>539</v>
      </c>
      <c r="BA3248" t="s">
        <v>538</v>
      </c>
      <c r="BC3248" t="s">
        <v>522</v>
      </c>
      <c r="BD3248" t="s">
        <v>523</v>
      </c>
      <c r="BE3248" t="s">
        <v>541</v>
      </c>
      <c r="BF3248" t="s">
        <v>540</v>
      </c>
      <c r="BG3248" t="s">
        <v>542</v>
      </c>
      <c r="BH3248" t="s">
        <v>520</v>
      </c>
      <c r="BI3248" t="s">
        <v>521</v>
      </c>
      <c r="BJ3248" t="s">
        <v>527</v>
      </c>
      <c r="BK3248" t="s">
        <v>528</v>
      </c>
      <c r="BL3248" t="s">
        <v>543</v>
      </c>
      <c r="BM3248" t="s">
        <v>744</v>
      </c>
      <c r="BN3248" t="s">
        <v>745</v>
      </c>
      <c r="BO3248" t="s">
        <v>749</v>
      </c>
      <c r="BP3248" t="s">
        <v>750</v>
      </c>
      <c r="BQ3248" t="s">
        <v>751</v>
      </c>
      <c r="BS3248" t="s">
        <v>747</v>
      </c>
      <c r="BT3248" t="s">
        <v>748</v>
      </c>
      <c r="BU3248" s="100"/>
    </row>
    <row r="3249" x14ac:dyDescent="0.25">
      <c r="B3249" t="s">
        <v>457</v>
      </c>
      <c r="C3249" s="19">
        <v>27</v>
      </c>
      <c r="D3249" s="19">
        <v>27</v>
      </c>
      <c r="E3249">
        <f t="shared" si="2018"/>
        <v>54</v>
      </c>
      <c r="H3249">
        <v>8</v>
      </c>
      <c r="I3249" s="19">
        <v>20</v>
      </c>
      <c r="J3249" s="19">
        <v>0</v>
      </c>
      <c r="K3249">
        <f t="shared" si="2019"/>
        <v>20</v>
      </c>
      <c r="L3249" t="s">
        <v>506</v>
      </c>
      <c r="P3249" s="93"/>
      <c r="Q3249" s="110" t="str">
        <f>$Q$3230</f>
        <v>A.01</v>
      </c>
      <c r="R3249" t="str">
        <f>$Q$3221</f>
        <v>L2</v>
      </c>
      <c r="S3249">
        <f>$E$21</f>
        <v>10.6875</v>
      </c>
      <c r="T3249" cm="1">
        <f t="array" ref="T3249">IFERROR(IF(S3249=0,0,(INDEX($C$33:$C$38,MATCH($W$3230,$B$33:$B$38,0),0)*(S3253+$X$3230)+$T$3230*COUNTIF(S3249:S3252,"&gt;0")*$C$32+$V$3230*$C$31)*$R$3230),0)</f>
        <v>30539.71875</v>
      </c>
      <c r="U3249">
        <f>IF(S3249=0,0,-(COUNTIF(S3249:S3252,"&gt;0")*$T$3230*$C$32+$V$3230*$C$31)*$H$27*$R$3230)</f>
        <v>-363.31199999999995</v>
      </c>
      <c r="V3249">
        <f>IF(S3249=0,0,$V$3230*$H$26*$R$3230)</f>
        <v>-1328.1999999999998</v>
      </c>
      <c r="W3249">
        <f>(0.6*T3249+0.7*U3249)*$R$3230/2</f>
        <v>262007.93632499999</v>
      </c>
      <c r="X3249">
        <f>(0.6*T3249+0.6*V3249)*$R$3230/2</f>
        <v>254140.21312500001</v>
      </c>
      <c r="Z3249">
        <f>IF(S3249=0,0,$AD$3230*$AP$3221)</f>
        <v>343.06999999999994</v>
      </c>
      <c r="AA3249">
        <f>IFERROR(Z3249/$R$3230,0)</f>
        <v>11.829999999999998</v>
      </c>
      <c r="AB3249">
        <f>Z3249*($F$21+IF($F$21=0,0,($C$14+$C$15+IF($C$13="single",1.5,3)+3)/12))</f>
        <v>3666.5606249999992</v>
      </c>
      <c r="AC3249">
        <f>AB3249-W3249</f>
        <v>-258341.37569999998</v>
      </c>
      <c r="AD3249" cm="1">
        <f t="array" ref="AD3249">IFERROR(IF(AC3249&lt;0,0,AC3249/($R$3230-INDEX(hd_off,MATCH(AQ3249,hd_mark,0),0)/12)),0)</f>
        <v>0</v>
      </c>
      <c r="AE3249">
        <f>IF(S3249=0,0,$AD$3230*$AM$3221)</f>
        <v>7899.5999999999995</v>
      </c>
      <c r="AF3249">
        <f>IFERROR(AE3249/$R$3230,0)</f>
        <v>272.39999999999998</v>
      </c>
      <c r="AG3249">
        <f>AE3249*($F$21+IF($F$21=0,0,($C$14+$C$15+IF($C$13="single",1.5,3)+3)/12))</f>
        <v>84426.974999999991</v>
      </c>
      <c r="AH3249">
        <f>AG3249-X3249</f>
        <v>-169713.23812500003</v>
      </c>
      <c r="AI3249" cm="1">
        <f t="array" ref="AI3249">IFERROR(IF(AH3249&lt;0,0,AH3249/($R$3230-INDEX(hd_off,MATCH(AQ3249,hd_mark,0),0)/12)),0)</f>
        <v>0</v>
      </c>
      <c r="AJ3249">
        <f>MAX($F$21,$Y$3230)/$Q$3252</f>
        <v>0.30172413793103448</v>
      </c>
      <c r="AK3249">
        <f>IF(AJ3249=0,0,IF(AJ3249&gt;2,1.25-0.125*AJ3249,1))</f>
        <v>1</v>
      </c>
      <c r="AL3249" cm="1">
        <f t="array" ref="AL3249">IFERROR(INDEX(sheath_ecap_asd,MATCH(AP3249,sheath_mark,0),0)*AK3249,0)</f>
        <v>239.85714285714286</v>
      </c>
      <c r="AM3249" cm="1">
        <f t="array" ref="AM3249">IFERROR(INDEX(sheath_wcap_asd,MATCH(AP3249,sheath_mark,0),0)*AK3249,0)</f>
        <v>335.8</v>
      </c>
      <c r="AN3249" cm="1">
        <f t="array" ref="AN3249">IFERROR(INDEX(hd_cap,MATCH(AQ3249,hd_mark,0),0),0)</f>
        <v>0</v>
      </c>
      <c r="AP3249" s="19">
        <v>21</v>
      </c>
      <c r="AQ3249" s="19"/>
      <c r="AR3249" s="100"/>
      <c r="AS3249" s="93"/>
      <c r="AT3249" s="110" t="str">
        <f>$AT$3230</f>
        <v>1.01</v>
      </c>
      <c r="AU3249" t="str">
        <f>$Q$3221</f>
        <v>L2</v>
      </c>
      <c r="AV3249">
        <f>$E$21</f>
        <v>10.6875</v>
      </c>
      <c r="AW3249" cm="1">
        <f t="array" ref="AW3249">IFERROR(IF(AV3249=0,0,(INDEX($C$33:$C$38,MATCH($AZ$3230,$B$33:$B$38,0),0)*(AV3253+$BA$3230)+$AW$3230*COUNTIF(AV3249:AV3252,"&gt;0")*$C$32+$AY$3230*$C$31)*$AU$3230),0)</f>
        <v>30539.71875</v>
      </c>
      <c r="AX3249">
        <f>IF(AV3249=0,0,-(COUNTIF(AV3249:AV3252,"&gt;0")*$AW$3230*$C$32+$AY$3230*$C$31)*$H$27*$AU$3230)</f>
        <v>-363.31199999999995</v>
      </c>
      <c r="AY3249">
        <f>IF(AV3249=0,0,$AY$3230*$H$26*$AU$3230)</f>
        <v>-1328.1999999999998</v>
      </c>
      <c r="AZ3249">
        <f>(0.6*AW3249+0.7*AX3249)*$AU$3230/2</f>
        <v>262007.93632499999</v>
      </c>
      <c r="BA3249">
        <f>(0.6*AW3249+0.6*AY3249)*$AU$3230/2</f>
        <v>254140.21312500001</v>
      </c>
      <c r="BC3249">
        <f>IF(AV3249=0,0,$BG$3230*$AP$3221)</f>
        <v>343.06999999999994</v>
      </c>
      <c r="BD3249">
        <f>IFERROR(BC3249/$AU$3230,0)</f>
        <v>11.829999999999998</v>
      </c>
      <c r="BE3249">
        <f>BC3249*($F$21+IF($F$21=0,0,($C$14+$C$15+IF($C$13="single",1.5,3)+3)/12))</f>
        <v>3666.5606249999992</v>
      </c>
      <c r="BF3249">
        <f>BE3249-AZ3249</f>
        <v>-258341.37569999998</v>
      </c>
      <c r="BG3249" cm="1">
        <f t="array" ref="BG3249">IFERROR(IF(BF3249&lt;0,0,BF3249/($AU$3230-INDEX(hd_off,MATCH(BT3249,hd_mark,0),0)/12)),0)</f>
        <v>0</v>
      </c>
      <c r="BH3249">
        <f>IF(AV3249=0,0,$BG$3230*$AM$3221)</f>
        <v>7899.5999999999995</v>
      </c>
      <c r="BI3249">
        <f>IFERROR(BH3249/$AU$3230,0)</f>
        <v>272.39999999999998</v>
      </c>
      <c r="BJ3249">
        <f>BH3249*($F$21+IF($F$21=0,0,($C$14+$C$15+IF($C$13="single",1.5,3)+3)/12))</f>
        <v>84426.974999999991</v>
      </c>
      <c r="BK3249">
        <f>BJ3249-BA3249</f>
        <v>-169713.23812500003</v>
      </c>
      <c r="BL3249" cm="1">
        <f t="array" ref="BL3249">IFERROR(IF(BK3249&lt;0,0,BK3249/($AU$3230-INDEX(hd_off,MATCH(BT3249,hd_mark,0),0)/12)),0)</f>
        <v>0</v>
      </c>
      <c r="BM3249">
        <f>MAX($F$21,$BB$3230)/$Q$3252</f>
        <v>0.30172413793103448</v>
      </c>
      <c r="BN3249">
        <f>IF(BM3249=0,0,IF(BM3249&gt;2,1.25-0.125*BM3249,1))</f>
        <v>1</v>
      </c>
      <c r="BO3249" cm="1">
        <f t="array" ref="BO3249">IFERROR(INDEX(sheath_ecap_asd,MATCH(BS3249,sheath_mark,0),0)*BN3249,0)</f>
        <v>239.85714285714286</v>
      </c>
      <c r="BP3249" cm="1">
        <f t="array" ref="BP3249">IFERROR(INDEX(sheath_wcap_asd,MATCH(BS3249,sheath_mark,0),0)*BN3249,0)</f>
        <v>335.8</v>
      </c>
      <c r="BQ3249" cm="1">
        <f t="array" ref="BQ3249">IFERROR(INDEX(hd_cap,MATCH(BT3249,hd_mark,0),0),0)</f>
        <v>0</v>
      </c>
      <c r="BS3249" s="19">
        <v>21</v>
      </c>
      <c r="BT3249" s="19"/>
      <c r="BU3249" s="100"/>
    </row>
    <row r="3250" x14ac:dyDescent="0.25">
      <c r="B3250" t="s">
        <v>458</v>
      </c>
      <c r="C3250" s="19">
        <v>27</v>
      </c>
      <c r="D3250" s="19">
        <v>27</v>
      </c>
      <c r="E3250">
        <f t="shared" si="2018"/>
        <v>54</v>
      </c>
      <c r="H3250">
        <v>9</v>
      </c>
      <c r="I3250" s="19">
        <v>30</v>
      </c>
      <c r="J3250" s="19">
        <v>0</v>
      </c>
      <c r="K3250">
        <f t="shared" si="2019"/>
        <v>30</v>
      </c>
      <c r="P3250" s="93"/>
      <c r="Q3250" s="109"/>
      <c r="R3250" t="str">
        <f>$Q$3222</f>
        <v>L3</v>
      </c>
      <c r="S3250">
        <f>$E$22</f>
        <v>21.375</v>
      </c>
      <c r="T3250" cm="1">
        <f t="array" ref="T3250">IFERROR(IF(S3250=0,0,(INDEX($C$33:$C$38,MATCH($W$3230,$B$33:$B$38,0),0)*(S3253+$X$3230)+$T$3230*COUNTIF(S3250:S3252,"&gt;0")*$C$32+$V$3230*$C$31)*$R$3230),0)</f>
        <v>26015.71875</v>
      </c>
      <c r="U3250">
        <f>IF(S3250=0,0,-(COUNTIF(S3250:S3252,"&gt;0")*$T$3230*$C$32+$V$3230*$C$31)*$H$27*$R$3230)</f>
        <v>-200.44799999999998</v>
      </c>
      <c r="V3250">
        <f>IF(S3250=0,0,$V$3230*$H$26*$R$3230)</f>
        <v>-1328.1999999999998</v>
      </c>
      <c r="W3250">
        <f t="shared" ref="W3250:W3252" si="2020">(0.6*T3250+0.7*U3250)*$R$3230/2</f>
        <v>224302.20592500002</v>
      </c>
      <c r="X3250">
        <f>T3250*$R$3230/2</f>
        <v>377227.921875</v>
      </c>
      <c r="Z3250">
        <f>IF(S3250=0,0,$AD$3230*$AP$3222)</f>
        <v>376.565</v>
      </c>
      <c r="AA3250">
        <f>IFERROR(Z3250/$R$3230,0)</f>
        <v>12.984999999999999</v>
      </c>
      <c r="AB3250">
        <f>Z3250*($F$22+IF($F$22=0,0,($C$14+$C$15+IF($C$13="single",1.5,3)+3)/12))</f>
        <v>4024.5384374999999</v>
      </c>
      <c r="AC3250">
        <f>AB3250-W3250</f>
        <v>-220277.6674875</v>
      </c>
      <c r="AD3250" cm="1">
        <f t="array" ref="AD3250">IFERROR(IF(AC3250&lt;0,0,AC3250/($R$3230-INDEX(hd_off,MATCH(AQ3250,hd_mark,0),0)/12)),0)</f>
        <v>0</v>
      </c>
      <c r="AE3250">
        <f>IF(S3250=0,0,$AD$3230*$AM$3222)</f>
        <v>5846.4</v>
      </c>
      <c r="AF3250">
        <f>IFERROR(AE3250/$R$3230,0)</f>
        <v>201.6</v>
      </c>
      <c r="AG3250">
        <f>AE3250*($F$22+IF($F$22=0,0,($C$14+$C$15+IF($C$13="single",1.5,3)+3)/12))</f>
        <v>62483.399999999994</v>
      </c>
      <c r="AH3250">
        <f>AG3250-X3250</f>
        <v>-314744.52187499998</v>
      </c>
      <c r="AI3250" cm="1">
        <f t="array" ref="AI3250">IFERROR(IF(AH3250&lt;0,0,AH3250/($R$3230-INDEX(hd_off,MATCH(AQ3250,hd_mark,0),0)/12)),0)</f>
        <v>0</v>
      </c>
      <c r="AJ3250">
        <f>MAX($F$22,$Z$3230)/$Q$3252</f>
        <v>0.30172413793103448</v>
      </c>
      <c r="AK3250">
        <f t="shared" ref="AK3250:AK3253" si="2021">IF(AJ3250=0,0,IF(AJ3250&gt;2,1.25-0.125*AJ3250,1))</f>
        <v>1</v>
      </c>
      <c r="AL3250" cm="1">
        <f t="array" ref="AL3250">IFERROR(INDEX(sheath_ecap_asd,MATCH(AP3250,sheath_mark,0),0)*AK3250,0)</f>
        <v>239.85714285714286</v>
      </c>
      <c r="AM3250" cm="1">
        <f t="array" ref="AM3250">IFERROR(INDEX(sheath_wcap_asd,MATCH(AP3250,sheath_mark,0),0)*AK3250,0)</f>
        <v>335.8</v>
      </c>
      <c r="AN3250" cm="1">
        <f t="array" ref="AN3250">IFERROR(INDEX(hd_cap,MATCH(AQ3250,hd_mark,0),0),0)</f>
        <v>0</v>
      </c>
      <c r="AP3250" s="19">
        <v>21</v>
      </c>
      <c r="AQ3250" s="19"/>
      <c r="AR3250" s="100"/>
      <c r="AS3250" s="93"/>
      <c r="AT3250" s="109"/>
      <c r="AU3250" t="str">
        <f>$Q$3222</f>
        <v>L3</v>
      </c>
      <c r="AV3250">
        <f>$E$22</f>
        <v>21.375</v>
      </c>
      <c r="AW3250" cm="1">
        <f t="array" ref="AW3250">IFERROR(IF(AV3250=0,0,(INDEX($C$33:$C$38,MATCH($AZ$3230,$B$33:$B$38,0),0)*(AV3253+$BA$3230)+$AW$3230*COUNTIF(AV3250:AV3252,"&gt;0")*$C$32+$AY$3230*$C$31)*$AU$3230),0)</f>
        <v>26015.71875</v>
      </c>
      <c r="AX3250">
        <f>IF(AV3250=0,0,-(COUNTIF(AV3250:AV3252,"&gt;0")*$AW$3230*$C$32+$AY$3230*$C$31)*$H$27*$AU$3230)</f>
        <v>-200.44799999999998</v>
      </c>
      <c r="AY3250">
        <f>IF(AV3250=0,0,$AY$3230*$H$26*$AU$3230)</f>
        <v>-1328.1999999999998</v>
      </c>
      <c r="AZ3250">
        <f>(0.6*AW3250+0.7*AX3250)*$AU$3230/2</f>
        <v>224302.20592500002</v>
      </c>
      <c r="BA3250">
        <f>AW3250*$AU$3230/2</f>
        <v>377227.921875</v>
      </c>
      <c r="BC3250">
        <f>IF(AV3250=0,0,$BG$3230*$AP$3222)</f>
        <v>376.565</v>
      </c>
      <c r="BD3250">
        <f>IFERROR(BC3250/$AU$3230,0)</f>
        <v>12.984999999999999</v>
      </c>
      <c r="BE3250">
        <f>BC3250*($F$22+IF($F$22=0,0,($C$14+$C$15+IF($C$13="single",1.5,3)+3)/12))</f>
        <v>4024.5384374999999</v>
      </c>
      <c r="BF3250">
        <f>BE3250-AZ3250</f>
        <v>-220277.6674875</v>
      </c>
      <c r="BG3250" cm="1">
        <f t="array" ref="BG3250">IFERROR(IF(BF3250&lt;0,0,BF3250/($AU$3230-INDEX(hd_off,MATCH(BT3250,hd_mark,0),0)/12)),0)</f>
        <v>0</v>
      </c>
      <c r="BH3250">
        <f>IF(AV3250=0,0,$BG$3230*$AM$3222)</f>
        <v>5846.4</v>
      </c>
      <c r="BI3250">
        <f>IFERROR(BH3250/$AU$3230,0)</f>
        <v>201.6</v>
      </c>
      <c r="BJ3250">
        <f>BH3250*($F$22+IF($F$22=0,0,($C$14+$C$15+IF($C$13="single",1.5,3)+3)/12))</f>
        <v>62483.399999999994</v>
      </c>
      <c r="BK3250">
        <f>BJ3250-BA3250</f>
        <v>-314744.52187499998</v>
      </c>
      <c r="BL3250" cm="1">
        <f t="array" ref="BL3250">IFERROR(IF(BK3250&lt;0,0,BK3250/($AU$3230-INDEX(hd_off,MATCH(BT3250,hd_mark,0),0)/12)),0)</f>
        <v>0</v>
      </c>
      <c r="BM3250">
        <f>MAX($F$22,$BC$3230)/$Q$3252</f>
        <v>0.30172413793103448</v>
      </c>
      <c r="BN3250">
        <f t="shared" ref="BN3250:BN3253" si="2022">IF(BM3250=0,0,IF(BM3250&gt;2,1.25-0.125*BM3250,1))</f>
        <v>1</v>
      </c>
      <c r="BO3250" cm="1">
        <f t="array" ref="BO3250">IFERROR(INDEX(sheath_ecap_asd,MATCH(BS3250,sheath_mark,0),0)*BN3250,0)</f>
        <v>239.85714285714286</v>
      </c>
      <c r="BP3250" cm="1">
        <f t="array" ref="BP3250">IFERROR(INDEX(sheath_wcap_asd,MATCH(BS3250,sheath_mark,0),0)*BN3250,0)</f>
        <v>335.8</v>
      </c>
      <c r="BQ3250" cm="1">
        <f t="array" ref="BQ3250">IFERROR(INDEX(hd_cap,MATCH(BT3250,hd_mark,0),0),0)</f>
        <v>0</v>
      </c>
      <c r="BS3250" s="19">
        <v>21</v>
      </c>
      <c r="BT3250" s="19"/>
      <c r="BU3250" s="100"/>
    </row>
    <row r="3251" x14ac:dyDescent="0.25">
      <c r="B3251" t="s">
        <v>459</v>
      </c>
      <c r="C3251" s="19">
        <v>27</v>
      </c>
      <c r="D3251" s="19">
        <v>41</v>
      </c>
      <c r="E3251">
        <f t="shared" si="2018"/>
        <v>68</v>
      </c>
      <c r="F3251" t="s">
        <v>506</v>
      </c>
      <c r="H3251">
        <v>10</v>
      </c>
      <c r="I3251" s="19">
        <v>30</v>
      </c>
      <c r="J3251" s="19">
        <v>0</v>
      </c>
      <c r="K3251">
        <f t="shared" si="2019"/>
        <v>30</v>
      </c>
      <c r="P3251" s="93"/>
      <c r="Q3251" s="109" t="s">
        <v>491</v>
      </c>
      <c r="R3251" t="str">
        <f>$Q$3223</f>
        <v>L4</v>
      </c>
      <c r="S3251">
        <f>$E$23</f>
        <v>0</v>
      </c>
      <c r="T3251" cm="1">
        <f t="array" ref="T3251">IFERROR(IF(S3251=0,0,(INDEX($C$33:$C$38,MATCH($W$3230,$B$33:$B$38,0),0)*(S3253+$X$3230)+$T$3230*COUNTIF(S3251:S3252,"&gt;0")*$C$32+$V$3230*$C$31)*$R$3230),0)</f>
        <v>0</v>
      </c>
      <c r="U3251">
        <f>IF(S3251=0,0,-(COUNTIF(S3251:S3252,"&gt;0")*$T$3230*$C$32+$V$3230*$C$31)*$H$27*$R$3230)</f>
        <v>0</v>
      </c>
      <c r="V3251">
        <f>IF(S3251=0,0,$V$3230*$H$26*$R$3230)</f>
        <v>0</v>
      </c>
      <c r="W3251">
        <f t="shared" si="2020"/>
        <v>0</v>
      </c>
      <c r="X3251">
        <f>T3251*$R$3230/2</f>
        <v>0</v>
      </c>
      <c r="Z3251">
        <f>IF(S3251=0,0,$AD$3230*$AP$3223)</f>
        <v>0</v>
      </c>
      <c r="AA3251">
        <f>IFERROR(Z3251/$R$3230,0)</f>
        <v>0</v>
      </c>
      <c r="AB3251">
        <f>Z3251*($F$23+IF($F$23=0,0,($C$14+$C$15+IF($C$13="single",1.5,3)+3)/12))</f>
        <v>0</v>
      </c>
      <c r="AC3251">
        <f>AB3251-W3251</f>
        <v>0</v>
      </c>
      <c r="AD3251" cm="1">
        <f t="array" ref="AD3251">IFERROR(IF(AC3251&lt;0,0,AC3251/($R$3230-INDEX(hd_off,MATCH(AQ3251,hd_mark,0),0)/12)),0)</f>
        <v>0</v>
      </c>
      <c r="AE3251">
        <f>IF(S3251=0,0,$AD$3230*$AM$3223)</f>
        <v>0</v>
      </c>
      <c r="AF3251">
        <f>IFERROR(AE3251/$R$3230,0)</f>
        <v>0</v>
      </c>
      <c r="AG3251">
        <f>AE3251*($F$23+IF($F$23=0,0,($C$14+$C$15+IF($C$13="single",1.5,3)+3)/12))</f>
        <v>0</v>
      </c>
      <c r="AH3251">
        <f>AG3251-X3251</f>
        <v>0</v>
      </c>
      <c r="AI3251" cm="1">
        <f t="array" ref="AI3251">IFERROR(IF(AH3251&lt;0,0,AH3251/($R$3230-INDEX(hd_off,MATCH(AQ3251,hd_mark,0),0)/12)),0)</f>
        <v>0</v>
      </c>
      <c r="AJ3251">
        <f>MAX($F$23,$AA$3230)/$Q$3252</f>
        <v>0</v>
      </c>
      <c r="AK3251">
        <f t="shared" si="2021"/>
        <v>0</v>
      </c>
      <c r="AL3251" cm="1">
        <f t="array" ref="AL3251">IFERROR(INDEX(sheath_ecap_asd,MATCH(AP3251,sheath_mark,0),0)*AK3251,0)</f>
        <v>0</v>
      </c>
      <c r="AM3251" cm="1">
        <f t="array" ref="AM3251">IFERROR(INDEX(sheath_wcap_asd,MATCH(AP3251,sheath_mark,0),0)*AK3251,0)</f>
        <v>0</v>
      </c>
      <c r="AN3251" cm="1">
        <f t="array" ref="AN3251">IFERROR(INDEX(hd_cap,MATCH(AQ3251,hd_mark,0),0),0)</f>
        <v>0</v>
      </c>
      <c r="AP3251" s="19"/>
      <c r="AQ3251" s="19"/>
      <c r="AR3251" s="100"/>
      <c r="AS3251" s="93"/>
      <c r="AT3251" s="109" t="s">
        <v>491</v>
      </c>
      <c r="AU3251" t="str">
        <f>$Q$3223</f>
        <v>L4</v>
      </c>
      <c r="AV3251">
        <f>$E$23</f>
        <v>0</v>
      </c>
      <c r="AW3251" cm="1">
        <f t="array" ref="AW3251">IFERROR(IF(AV3251=0,0,(INDEX($C$33:$C$38,MATCH($AZ$3230,$B$33:$B$38,0),0)*(AV3253+$BA$3230)+$AW$3230*COUNTIF(AV3251:AV3252,"&gt;0")*$C$32+$AY$3230*$C$31)*$AU$3230),0)</f>
        <v>0</v>
      </c>
      <c r="AX3251">
        <f>IF(AV3251=0,0,-(COUNTIF(AV3251:AV3252,"&gt;0")*$AW$3230*$C$32+$AY$3230*$C$31)*$H$27*$AU$3230)</f>
        <v>0</v>
      </c>
      <c r="AY3251">
        <f>IF(AV3251=0,0,$AY$3230*$H$26*$AU$3230)</f>
        <v>0</v>
      </c>
      <c r="AZ3251">
        <f>(0.6*AW3251+0.7*AX3251)*$AU$3230/2</f>
        <v>0</v>
      </c>
      <c r="BA3251">
        <f>AW3251*$AU$3230/2</f>
        <v>0</v>
      </c>
      <c r="BC3251">
        <f>IF(AV3251=0,0,$BG$3230*$AP$3223)</f>
        <v>0</v>
      </c>
      <c r="BD3251">
        <f>IFERROR(BC3251/$AU$3230,0)</f>
        <v>0</v>
      </c>
      <c r="BE3251">
        <f>BC3251*($F$23+IF($F$23=0,0,($C$14+$C$15+IF($C$13="single",1.5,3)+3)/12))</f>
        <v>0</v>
      </c>
      <c r="BF3251">
        <f>BE3251-AZ3251</f>
        <v>0</v>
      </c>
      <c r="BG3251" cm="1">
        <f t="array" ref="BG3251">IFERROR(IF(BF3251&lt;0,0,BF3251/($AU$3230-INDEX(hd_off,MATCH(BT3251,hd_mark,0),0)/12)),0)</f>
        <v>0</v>
      </c>
      <c r="BH3251">
        <f>IF(AV3251=0,0,$BG$3230*$AM$3223)</f>
        <v>0</v>
      </c>
      <c r="BI3251">
        <f>IFERROR(BH3251/$AU$3230,0)</f>
        <v>0</v>
      </c>
      <c r="BJ3251">
        <f>BH3251*($F$23+IF($F$23=0,0,($C$14+$C$15+IF($C$13="single",1.5,3)+3)/12))</f>
        <v>0</v>
      </c>
      <c r="BK3251">
        <f>BJ3251-BA3251</f>
        <v>0</v>
      </c>
      <c r="BL3251" cm="1">
        <f t="array" ref="BL3251">IFERROR(IF(BK3251&lt;0,0,BK3251/($AU$3230-INDEX(hd_off,MATCH(BT3251,hd_mark,0),0)/12)),0)</f>
        <v>0</v>
      </c>
      <c r="BM3251">
        <f>MAX($F$23,$BD$3230)/$Q$3252</f>
        <v>0</v>
      </c>
      <c r="BN3251">
        <f t="shared" si="2022"/>
        <v>0</v>
      </c>
      <c r="BO3251" cm="1">
        <f t="array" ref="BO3251">IFERROR(INDEX(sheath_ecap_asd,MATCH(BS3251,sheath_mark,0),0)*BN3251,0)</f>
        <v>0</v>
      </c>
      <c r="BP3251" cm="1">
        <f t="array" ref="BP3251">IFERROR(INDEX(sheath_wcap_asd,MATCH(BS3251,sheath_mark,0),0)*BN3251,0)</f>
        <v>0</v>
      </c>
      <c r="BQ3251" cm="1">
        <f t="array" ref="BQ3251">IFERROR(INDEX(hd_cap,MATCH(BT3251,hd_mark,0),0),0)</f>
        <v>0</v>
      </c>
      <c r="BS3251" s="19"/>
      <c r="BT3251" s="19"/>
      <c r="BU3251" s="100"/>
    </row>
    <row r="3252" x14ac:dyDescent="0.25">
      <c r="B3252" t="s">
        <v>171</v>
      </c>
      <c r="C3252" s="19">
        <v>0</v>
      </c>
      <c r="D3252" s="19">
        <v>29</v>
      </c>
      <c r="E3252">
        <f t="shared" si="2018"/>
        <v>29</v>
      </c>
      <c r="H3252">
        <v>11</v>
      </c>
      <c r="I3252" s="19">
        <v>0</v>
      </c>
      <c r="J3252" s="19">
        <v>27</v>
      </c>
      <c r="K3252">
        <f t="shared" si="2019"/>
        <v>27</v>
      </c>
      <c r="P3252" s="93"/>
      <c r="Q3252" s="111">
        <f>$R$3230</f>
        <v>29</v>
      </c>
      <c r="R3252" t="str">
        <f>$Q$3224</f>
        <v>L5</v>
      </c>
      <c r="S3252">
        <f>$E$24</f>
        <v>0</v>
      </c>
      <c r="T3252" cm="1">
        <f t="array" ref="T3252">IFERROR(IF(S3252=0,0,(INDEX($C$33:$C$38,MATCH($W$3230,$B$33:$B$38,0),0)*(S3253+$X$3230)+$T$3230*COUNTIF(S3252:S3252,"&gt;0")*$C$32+$V$3230*$C$31)*$R$3230),0)</f>
        <v>0</v>
      </c>
      <c r="U3252">
        <f>IF(S3252=0,0,-(COUNTIF(S3252:S3252,"&gt;0")*$T$3230*$C$32+$V$3230*$C$31)*$H$27*$R$3230)</f>
        <v>0</v>
      </c>
      <c r="V3252">
        <f>IF(S3252=0,0,$V$3230*$H$26*$R$3230)</f>
        <v>0</v>
      </c>
      <c r="W3252">
        <f t="shared" si="2020"/>
        <v>0</v>
      </c>
      <c r="X3252">
        <f>T3252*$R$3230/2</f>
        <v>0</v>
      </c>
      <c r="Z3252">
        <f>IF(S3252=0,0,$AD$3230*$AP$3224)</f>
        <v>0</v>
      </c>
      <c r="AA3252">
        <f>IFERROR(Z3252/$R$3230,0)</f>
        <v>0</v>
      </c>
      <c r="AB3252">
        <f>Z3252*($F$24+IF($F$24=0,0,($C$14+$C$15+IF($C$13="single",1.5,3)+3)/12))</f>
        <v>0</v>
      </c>
      <c r="AC3252">
        <f>AB3252-W3252</f>
        <v>0</v>
      </c>
      <c r="AD3252" cm="1">
        <f t="array" ref="AD3252">IFERROR(IF(AC3252&lt;0,0,AC3252/($R$3230-INDEX(hd_off,MATCH(AQ3252,hd_mark,0),0)/12)),0)</f>
        <v>0</v>
      </c>
      <c r="AE3252">
        <f>IF(S3252=0,0,$AD$3230*$AM$3224)</f>
        <v>0</v>
      </c>
      <c r="AF3252">
        <f>IFERROR(AE3252/$R$3230,0)</f>
        <v>0</v>
      </c>
      <c r="AG3252">
        <f>AE3252*($F$24+IF($F$24=0,0,($C$14+$C$15+IF($C$13="single",1.5,3)+3)/12))</f>
        <v>0</v>
      </c>
      <c r="AH3252">
        <f>AG3252-X3252</f>
        <v>0</v>
      </c>
      <c r="AI3252" cm="1">
        <f t="array" ref="AI3252">IFERROR(IF(AH3252&lt;0,0,AH3252/($R$3230-INDEX(hd_off,MATCH(AQ3252,hd_mark,0),0)/12)),0)</f>
        <v>0</v>
      </c>
      <c r="AJ3252">
        <f>MAX($F$24,$AB$3230)/$Q$3252</f>
        <v>0</v>
      </c>
      <c r="AK3252">
        <f t="shared" si="2021"/>
        <v>0</v>
      </c>
      <c r="AL3252" cm="1">
        <f t="array" ref="AL3252">IFERROR(INDEX(sheath_ecap_asd,MATCH(AP3252,sheath_mark,0),0)*AK3252,0)</f>
        <v>0</v>
      </c>
      <c r="AM3252" cm="1">
        <f t="array" ref="AM3252">IFERROR(INDEX(sheath_wcap_asd,MATCH(AP3252,sheath_mark,0),0)*AK3252,0)</f>
        <v>0</v>
      </c>
      <c r="AN3252" cm="1">
        <f t="array" ref="AN3252">IFERROR(INDEX(hd_cap,MATCH(AQ3252,hd_mark,0),0),0)</f>
        <v>0</v>
      </c>
      <c r="AP3252" s="19"/>
      <c r="AQ3252" s="19"/>
      <c r="AR3252" s="100"/>
      <c r="AS3252" s="93"/>
      <c r="AT3252" s="111">
        <f>$R$3230</f>
        <v>29</v>
      </c>
      <c r="AU3252" t="str">
        <f>$Q$3224</f>
        <v>L5</v>
      </c>
      <c r="AV3252">
        <f>$E$24</f>
        <v>0</v>
      </c>
      <c r="AW3252" cm="1">
        <f t="array" ref="AW3252">IFERROR(IF(AV3252=0,0,(INDEX($C$33:$C$38,MATCH($AZ$3230,$B$33:$B$38,0),0)*(AV3253+$BA$3230)+$AW$3230*COUNTIF(AV3252:AV3252,"&gt;0")*$C$32+$AY$3230*$C$31)*$AU$3230),0)</f>
        <v>0</v>
      </c>
      <c r="AX3252">
        <f>IF(AV3252=0,0,-(COUNTIF(AV3252:AV3252,"&gt;0")*$AW$3230*$C$32+$AY$3230*$C$31)*$H$27*$AU$3230)</f>
        <v>0</v>
      </c>
      <c r="AY3252">
        <f>IF(AV3252=0,0,$AY$3230*$H$26*$AU$3230)</f>
        <v>0</v>
      </c>
      <c r="AZ3252">
        <f>(0.6*AW3252+0.7*AX3252)*$AU$3230/2</f>
        <v>0</v>
      </c>
      <c r="BA3252">
        <f>AW3252*$AU$3230/2</f>
        <v>0</v>
      </c>
      <c r="BC3252">
        <f>IF(AV3252=0,0,$BG$3230*$AP$3224)</f>
        <v>0</v>
      </c>
      <c r="BD3252">
        <f>IFERROR(BC3252/$AU$3230,0)</f>
        <v>0</v>
      </c>
      <c r="BE3252">
        <f>BC3252*($F$24+IF($F$24=0,0,($C$14+$C$15+IF($C$13="single",1.5,3)+3)/12))</f>
        <v>0</v>
      </c>
      <c r="BF3252">
        <f>BE3252-AZ3252</f>
        <v>0</v>
      </c>
      <c r="BG3252" cm="1">
        <f t="array" ref="BG3252">IFERROR(IF(BF3252&lt;0,0,BF3252/($AU$3230-INDEX(hd_off,MATCH(BT3252,hd_mark,0),0)/12)),0)</f>
        <v>0</v>
      </c>
      <c r="BH3252">
        <f>IF(AV3252=0,0,$BG$3230*$AM$3224)</f>
        <v>0</v>
      </c>
      <c r="BI3252">
        <f>IFERROR(BH3252/$AU$3230,0)</f>
        <v>0</v>
      </c>
      <c r="BJ3252">
        <f>BH3252*($F$24+IF($F$24=0,0,($C$14+$C$15+IF($C$13="single",1.5,3)+3)/12))</f>
        <v>0</v>
      </c>
      <c r="BK3252">
        <f>BJ3252-BA3252</f>
        <v>0</v>
      </c>
      <c r="BL3252" cm="1">
        <f t="array" ref="BL3252">IFERROR(IF(BK3252&lt;0,0,BK3252/($AU$3230-INDEX(hd_off,MATCH(BT3252,hd_mark,0),0)/12)),0)</f>
        <v>0</v>
      </c>
      <c r="BM3252">
        <f>MAX($F$24,$BE$3230)/$Q$3252</f>
        <v>0</v>
      </c>
      <c r="BN3252">
        <f t="shared" si="2022"/>
        <v>0</v>
      </c>
      <c r="BO3252" cm="1">
        <f t="array" ref="BO3252">IFERROR(INDEX(sheath_ecap_asd,MATCH(BS3252,sheath_mark,0),0)*BN3252,0)</f>
        <v>0</v>
      </c>
      <c r="BP3252" cm="1">
        <f t="array" ref="BP3252">IFERROR(INDEX(sheath_wcap_asd,MATCH(BS3252,sheath_mark,0),0)*BN3252,0)</f>
        <v>0</v>
      </c>
      <c r="BQ3252" cm="1">
        <f t="array" ref="BQ3252">IFERROR(INDEX(hd_cap,MATCH(BT3252,hd_mark,0),0),0)</f>
        <v>0</v>
      </c>
      <c r="BS3252" s="19"/>
      <c r="BT3252" s="19"/>
      <c r="BU3252" s="100"/>
    </row>
    <row r="3253" x14ac:dyDescent="0.25">
      <c r="B3253" t="s">
        <v>460</v>
      </c>
      <c r="C3253" s="19">
        <v>29</v>
      </c>
      <c r="D3253" s="19">
        <v>6</v>
      </c>
      <c r="E3253">
        <f t="shared" si="2018"/>
        <v>35</v>
      </c>
      <c r="H3253">
        <v>12</v>
      </c>
      <c r="I3253" s="19">
        <v>27</v>
      </c>
      <c r="J3253" s="19">
        <v>14</v>
      </c>
      <c r="K3253">
        <f t="shared" si="2019"/>
        <v>41</v>
      </c>
      <c r="P3253" s="93"/>
      <c r="Q3253" s="109"/>
      <c r="R3253" t="str">
        <f>$Q$3225</f>
        <v>Roof</v>
      </c>
      <c r="S3253">
        <f>$E$25</f>
        <v>33.171875</v>
      </c>
      <c r="T3253" cm="1">
        <f t="array" ref="T3253">IFERROR(IF(S3253=0,0,(INDEX($C$33:$C$38,MATCH($W$3230,$B$33:$B$38,0),0)*(S3253+$X$3230)+$V$3230*$C$31)*$R$3230),0)</f>
        <v>21491.71875</v>
      </c>
      <c r="U3253">
        <f>IF(S3253=0,0,-$V$3230*$C$31*$H$27*$R$3230)</f>
        <v>-37.583999999999996</v>
      </c>
      <c r="V3253">
        <f>IF(S3253=0,0,$V$3230*$H$26*$R$3230)</f>
        <v>-1328.1999999999998</v>
      </c>
      <c r="W3253">
        <f>(0.6*T3253+0.7*U3253)*$R$3230/2</f>
        <v>186596.47552499999</v>
      </c>
      <c r="X3253">
        <f>T3253*$R$3230/2</f>
        <v>311629.921875</v>
      </c>
      <c r="Z3253">
        <f>IF(S3253=0,0,$AD$3230*$AP$3225)</f>
        <v>191.83499999999995</v>
      </c>
      <c r="AA3253">
        <f>IFERROR(Z3253/$R$3230,0)</f>
        <v>6.6149999999999984</v>
      </c>
      <c r="AB3253">
        <f>Z3253*($F$25+($C$16+$C$17+IF($C$13="single",1.5,3)+3)/12)</f>
        <v>2263.0535156249989</v>
      </c>
      <c r="AC3253">
        <f>AB3253-W3253</f>
        <v>-184333.42200937498</v>
      </c>
      <c r="AD3253" cm="1">
        <f t="array" ref="AD3253">IFERROR(IF(AC3253&lt;0,0,AC3253/($R$3230-INDEX(hd_off,MATCH(AQ3253,hd_mark,0),0)/12)),0)</f>
        <v>0</v>
      </c>
      <c r="AE3253">
        <f>IF(S3253=0,0,$AD$3230*$AM$3225)</f>
        <v>3854.1</v>
      </c>
      <c r="AF3253">
        <f>IFERROR(AE3253/$R$3230,0)</f>
        <v>132.9</v>
      </c>
      <c r="AG3253">
        <f>AE3253*($F$25+($C$16+$C$17+IF($C$13="single",1.5,3)+3)/12)</f>
        <v>45466.335937499993</v>
      </c>
      <c r="AH3253">
        <f>AG3253-X3253</f>
        <v>-266163.5859375</v>
      </c>
      <c r="AI3253" cm="1">
        <f t="array" ref="AI3253">IFERROR(IF(AH3253&lt;0,0,AH3253/($R$3230-INDEX(hd_off,MATCH(AQ3253,hd_mark,0),0)/12)),0)</f>
        <v>0</v>
      </c>
      <c r="AJ3253">
        <f>MAX($F$25,$AC$3230)/$Q$3252</f>
        <v>0.29920977011494249</v>
      </c>
      <c r="AK3253">
        <f t="shared" si="2021"/>
        <v>1</v>
      </c>
      <c r="AL3253" cm="1">
        <f t="array" ref="AL3253">IFERROR(INDEX(sheath_ecap_asd,MATCH(AP3253,sheath_mark,0),0)*AK3253,0)</f>
        <v>95.285714285714306</v>
      </c>
      <c r="AM3253" cm="1">
        <f t="array" ref="AM3253">IFERROR(INDEX(sheath_wcap_asd,MATCH(AP3253,sheath_mark,0),0)*AK3253,0)</f>
        <v>133.4</v>
      </c>
      <c r="AN3253" cm="1">
        <f t="array" ref="AN3253">IFERROR(INDEX(hd_cap,MATCH(AQ3253,hd_mark,0),0),0)</f>
        <v>0</v>
      </c>
      <c r="AP3253" s="19">
        <v>11</v>
      </c>
      <c r="AQ3253" s="19"/>
      <c r="AR3253" s="100"/>
      <c r="AS3253" s="93"/>
      <c r="AT3253" s="109"/>
      <c r="AU3253" t="str">
        <f>$Q$3225</f>
        <v>Roof</v>
      </c>
      <c r="AV3253">
        <f>$E$25</f>
        <v>33.171875</v>
      </c>
      <c r="AW3253" cm="1">
        <f t="array" ref="AW3253">IFERROR(IF(AV3253=0,0,(INDEX($C$33:$C$38,MATCH($AZ$3230,$B$33:$B$38,0),0)*(AV3253+$BA$3230)+$AY$3230*$C$31)*$AU$3230),0)</f>
        <v>21491.71875</v>
      </c>
      <c r="AX3253">
        <f>IF(AV3253=0,0,-$AY$3230*$C$31*$H$27*$AU$3230)</f>
        <v>-37.583999999999996</v>
      </c>
      <c r="AY3253">
        <f>IF(AV3253=0,0,$AY$3230*$H$26*$AU$3230)</f>
        <v>-1328.1999999999998</v>
      </c>
      <c r="AZ3253">
        <f>(0.6*AW3253+0.7*AX3253)*$AU$3230/2</f>
        <v>186596.47552499999</v>
      </c>
      <c r="BA3253">
        <f>AW3253*$AU$3230/2</f>
        <v>311629.921875</v>
      </c>
      <c r="BC3253">
        <f>IF(AV3253=0,0,$BG$3230*$AP$3225)</f>
        <v>191.83499999999995</v>
      </c>
      <c r="BD3253">
        <f>IFERROR(BC3253/$AU$3230,0)</f>
        <v>6.6149999999999984</v>
      </c>
      <c r="BE3253">
        <f>BC3253*($F$25+($C$16+$C$17+IF($C$13="single",1.5,3)+3)/12)</f>
        <v>2263.0535156249989</v>
      </c>
      <c r="BF3253">
        <f>BE3253-AZ3253</f>
        <v>-184333.42200937498</v>
      </c>
      <c r="BG3253" cm="1">
        <f t="array" ref="BG3253">IFERROR(IF(BF3253&lt;0,0,BF3253/($AU$3230-INDEX(hd_off,MATCH(BT3253,hd_mark,0),0)/12)),0)</f>
        <v>0</v>
      </c>
      <c r="BH3253">
        <f>IF(AV3253=0,0,$BG$3230*$AM$3225)</f>
        <v>3854.1</v>
      </c>
      <c r="BI3253">
        <f>IFERROR(BH3253/$AU$3230,0)</f>
        <v>132.9</v>
      </c>
      <c r="BJ3253">
        <f>BH3253*($F$25+($C$16+$C$17+IF($C$13="single",1.5,3)+3)/12)</f>
        <v>45466.335937499993</v>
      </c>
      <c r="BK3253">
        <f>BJ3253-BA3253</f>
        <v>-266163.5859375</v>
      </c>
      <c r="BL3253" cm="1">
        <f t="array" ref="BL3253">IFERROR(IF(BK3253&lt;0,0,BK3253/($AU$3230-INDEX(hd_off,MATCH(BT3253,hd_mark,0),0)/12)),0)</f>
        <v>0</v>
      </c>
      <c r="BM3253">
        <f>MAX($F$25,$BF$3230)/$Q$3252</f>
        <v>0.29920977011494249</v>
      </c>
      <c r="BN3253">
        <f t="shared" si="2022"/>
        <v>1</v>
      </c>
      <c r="BO3253" cm="1">
        <f t="array" ref="BO3253">IFERROR(INDEX(sheath_ecap_asd,MATCH(BS3253,sheath_mark,0),0)*BN3253,0)</f>
        <v>95.285714285714306</v>
      </c>
      <c r="BP3253" cm="1">
        <f t="array" ref="BP3253">IFERROR(INDEX(sheath_wcap_asd,MATCH(BS3253,sheath_mark,0),0)*BN3253,0)</f>
        <v>133.4</v>
      </c>
      <c r="BQ3253" cm="1">
        <f t="array" ref="BQ3253">IFERROR(INDEX(hd_cap,MATCH(BT3253,hd_mark,0),0),0)</f>
        <v>0</v>
      </c>
      <c r="BS3253" s="19">
        <v>11</v>
      </c>
      <c r="BT3253" s="19"/>
      <c r="BU3253" s="100"/>
    </row>
    <row r="3254" x14ac:dyDescent="0.25">
      <c r="B3254" t="s">
        <v>461</v>
      </c>
      <c r="C3254" s="19">
        <v>6</v>
      </c>
      <c r="D3254" s="19">
        <v>29</v>
      </c>
      <c r="E3254">
        <f t="shared" si="2018"/>
        <v>35</v>
      </c>
      <c r="H3254">
        <v>13</v>
      </c>
      <c r="I3254" s="19">
        <v>14</v>
      </c>
      <c r="J3254" s="19">
        <v>12</v>
      </c>
      <c r="K3254">
        <f t="shared" si="2019"/>
        <v>26</v>
      </c>
      <c r="P3254" s="93"/>
      <c r="Q3254" s="109"/>
      <c r="AR3254" s="100"/>
      <c r="AS3254" s="93"/>
      <c r="AT3254" s="109"/>
      <c r="BU3254" s="100"/>
    </row>
    <row r="3255" x14ac:dyDescent="0.25">
      <c r="B3255" t="s">
        <v>462</v>
      </c>
      <c r="C3255" s="19">
        <v>29</v>
      </c>
      <c r="D3255" s="19">
        <v>0</v>
      </c>
      <c r="E3255">
        <f t="shared" si="2018"/>
        <v>29</v>
      </c>
      <c r="H3255">
        <v>14</v>
      </c>
      <c r="I3255" s="19">
        <v>12</v>
      </c>
      <c r="J3255" s="19">
        <v>27</v>
      </c>
      <c r="K3255">
        <f t="shared" si="2019"/>
        <v>39</v>
      </c>
      <c r="P3255" s="93"/>
      <c r="Q3255" s="110" t="str">
        <f>$Q$3231</f>
        <v>A.02</v>
      </c>
      <c r="R3255" t="str">
        <f>$Q$3221</f>
        <v>L2</v>
      </c>
      <c r="S3255">
        <f>$E$21</f>
        <v>10.6875</v>
      </c>
      <c r="T3255" cm="1">
        <f t="array" ref="T3255">IFERROR(IF(S3255=0,0,(INDEX($C$33:$C$38,MATCH($W$3231,$B$33:$B$38,0),0)*(S3259+$X$3231)+$T$3231*COUNTIF(S3255:S3258,"&gt;0")*$C$32+$V$3231*$C$31)*$R$3231),0)</f>
        <v>0</v>
      </c>
      <c r="U3255">
        <f>IF(S3255=0,0,-(COUNTIF(S3255:S3258,"&gt;0")*$T$3231*$C$32+$V$3231*$C$31)*$H$27*$R$3231)</f>
        <v>0</v>
      </c>
      <c r="V3255">
        <f>IF(S3255=0,0,$V$3231*$H$26*$R$3231)</f>
        <v>0</v>
      </c>
      <c r="W3255">
        <f>(0.6*T3255+0.7*U3255)*$R$3231/2</f>
        <v>0</v>
      </c>
      <c r="X3255">
        <f>(0.6*T3255+0.6*V3255)*$R$3231/2</f>
        <v>0</v>
      </c>
      <c r="Z3255">
        <f>IF(S3255=0,0,$AD$3231*$AP$3221)</f>
        <v>0</v>
      </c>
      <c r="AA3255">
        <f>IFERROR(Z3255/$R$3231,0)</f>
        <v>0</v>
      </c>
      <c r="AB3255">
        <f>Z3255*($F$21+IF($F$21=0,0,($C$14+$C$15+IF($C$13="single",1.5,3)+3)/12))</f>
        <v>0</v>
      </c>
      <c r="AC3255">
        <f>AB3255-W3255</f>
        <v>0</v>
      </c>
      <c r="AD3255" cm="1">
        <f t="array" ref="AD3255">IFERROR(IF(AC3255&lt;0,0,AC3255/($R$3231-INDEX(hd_off,MATCH(AQ3255,hd_mark,0),0)/12)),0)</f>
        <v>0</v>
      </c>
      <c r="AE3255">
        <f>IF(S3255=0,0,$AD$3231*$AM$3221)</f>
        <v>0</v>
      </c>
      <c r="AF3255">
        <f>IFERROR(AE3255/$R$3231,0)</f>
        <v>0</v>
      </c>
      <c r="AG3255">
        <f>AE3255*($F$21+IF($F$21=0,0,($C$14+$C$15+IF($C$13="single",1.5,3)+3)/12))</f>
        <v>0</v>
      </c>
      <c r="AH3255">
        <f>AG3255-X3255</f>
        <v>0</v>
      </c>
      <c r="AI3255" cm="1">
        <f t="array" ref="AI3255">IFERROR(IF(AH3255&lt;0,0,AH3255/($R$3231-INDEX(hd_off,MATCH(AQ3255,hd_mark,0),0)/12)),0)</f>
        <v>0</v>
      </c>
      <c r="AJ3255">
        <f>MAX($F$21,$Y$3231)/$Q$3252</f>
        <v>0.30172413793103448</v>
      </c>
      <c r="AK3255">
        <f>IF(AJ3255=0,0,IF(AJ3255&gt;2,1.25-0.125*AJ3255,1))</f>
        <v>1</v>
      </c>
      <c r="AL3255" cm="1">
        <f t="array" ref="AL3255">IFERROR(INDEX(sheath_ecap_asd,MATCH(AP3255,sheath_mark,0),0)*AK3255,0)</f>
        <v>0</v>
      </c>
      <c r="AM3255" cm="1">
        <f t="array" ref="AM3255">IFERROR(INDEX(sheath_wcap_asd,MATCH(AP3255,sheath_mark,0),0)*AK3255,0)</f>
        <v>0</v>
      </c>
      <c r="AN3255" cm="1">
        <f t="array" ref="AN3255">IFERROR(INDEX(hd_cap,MATCH(AQ3255,hd_mark,0),0),0)</f>
        <v>0</v>
      </c>
      <c r="AP3255" s="19"/>
      <c r="AQ3255" s="19"/>
      <c r="AR3255" s="100"/>
      <c r="AS3255" s="93"/>
      <c r="AT3255" s="110" t="str">
        <f>$AT$3231</f>
        <v>1.02</v>
      </c>
      <c r="AU3255" t="str">
        <f>$Q$3221</f>
        <v>L2</v>
      </c>
      <c r="AV3255">
        <f>$E$21</f>
        <v>10.6875</v>
      </c>
      <c r="AW3255" cm="1">
        <f t="array" ref="AW3255">IFERROR(IF(AV3255=0,0,(INDEX($C$33:$C$38,MATCH($AZ$3231,$B$33:$B$38,0),0)*(AV3259+$BA$3231)+$AW$3231*COUNTIF(AV3255:AV3258,"&gt;0")*$C$32+$AY$3231*$C$31)*$AU$3231),0)</f>
        <v>0</v>
      </c>
      <c r="AX3255">
        <f>IF(AV3255=0,0,-(COUNTIF(AV3255:AV3258,"&gt;0")*$AW$3231*$C$32+$AY$3231*$C$31)*$H$27*$AU$3231)</f>
        <v>0</v>
      </c>
      <c r="AY3255">
        <f>IF(AV3255=0,0,$AY$3231*$H$26*$AU$3231)</f>
        <v>0</v>
      </c>
      <c r="AZ3255">
        <f>(0.6*AW3255+0.7*AX3255)*$AU$3231/2</f>
        <v>0</v>
      </c>
      <c r="BA3255">
        <f>(0.6*AW3255+0.6*AY3255)*$AU$3231/2</f>
        <v>0</v>
      </c>
      <c r="BC3255">
        <f>IF(AV3255=0,0,$BG$3231*$AP$3221)</f>
        <v>0</v>
      </c>
      <c r="BD3255">
        <f>IFERROR(BC3255/$AU$3231,0)</f>
        <v>0</v>
      </c>
      <c r="BE3255">
        <f>BC3255*($F$21+IF($F$21=0,0,($C$14+$C$15+IF($C$13="single",1.5,3)+3)/12))</f>
        <v>0</v>
      </c>
      <c r="BF3255">
        <f>BE3255-AZ3255</f>
        <v>0</v>
      </c>
      <c r="BG3255" cm="1">
        <f t="array" ref="BG3255">IFERROR(IF(BF3255&lt;0,0,BF3255/($AU$3231-INDEX(hd_off,MATCH(BT3255,hd_mark,0),0)/12)),0)</f>
        <v>0</v>
      </c>
      <c r="BH3255">
        <f>IF(AV3255=0,0,$BG$3231*$AM$3221)</f>
        <v>0</v>
      </c>
      <c r="BI3255">
        <f>IFERROR(BH3255/$AU$3231,0)</f>
        <v>0</v>
      </c>
      <c r="BJ3255">
        <f>BH3255*($F$21+IF($F$21=0,0,($C$14+$C$15+IF($C$13="single",1.5,3)+3)/12))</f>
        <v>0</v>
      </c>
      <c r="BK3255">
        <f>BJ3255-BA3255</f>
        <v>0</v>
      </c>
      <c r="BL3255" cm="1">
        <f t="array" ref="BL3255">IFERROR(IF(BK3255&lt;0,0,BK3255/($AU$3231-INDEX(hd_off,MATCH(BT3255,hd_mark,0),0)/12)),0)</f>
        <v>0</v>
      </c>
      <c r="BM3255">
        <f>MAX($F$21,$BB$3231)/$Q$3252</f>
        <v>0.30172413793103448</v>
      </c>
      <c r="BN3255">
        <f>IF(BM3255=0,0,IF(BM3255&gt;2,1.25-0.125*BM3255,1))</f>
        <v>1</v>
      </c>
      <c r="BO3255" cm="1">
        <f t="array" ref="BO3255">IFERROR(INDEX(sheath_ecap_asd,MATCH(BS3255,sheath_mark,0),0)*BN3255,0)</f>
        <v>0</v>
      </c>
      <c r="BP3255" cm="1">
        <f t="array" ref="BP3255">IFERROR(INDEX(sheath_wcap_asd,MATCH(BS3255,sheath_mark,0),0)*BN3255,0)</f>
        <v>0</v>
      </c>
      <c r="BQ3255" cm="1">
        <f t="array" ref="BQ3255">IFERROR(INDEX(hd_cap,MATCH(BT3255,hd_mark,0),0),0)</f>
        <v>0</v>
      </c>
      <c r="BS3255" s="19"/>
      <c r="BT3255" s="19"/>
      <c r="BU3255" s="100"/>
    </row>
    <row r="3256" x14ac:dyDescent="0.25">
      <c r="B3256" t="s">
        <v>463</v>
      </c>
      <c r="C3256" s="19"/>
      <c r="D3256" s="19"/>
      <c r="E3256">
        <f t="shared" si="2018"/>
        <v>0</v>
      </c>
      <c r="H3256">
        <v>15</v>
      </c>
      <c r="I3256" s="19">
        <v>27</v>
      </c>
      <c r="J3256" s="19">
        <v>18</v>
      </c>
      <c r="K3256">
        <f t="shared" si="2019"/>
        <v>45</v>
      </c>
      <c r="P3256" s="93"/>
      <c r="Q3256" s="109"/>
      <c r="R3256" t="str">
        <f>$Q$3222</f>
        <v>L3</v>
      </c>
      <c r="S3256">
        <f>$E$22</f>
        <v>21.375</v>
      </c>
      <c r="T3256" cm="1">
        <f t="array" ref="T3256">IFERROR(IF(S3256=0,0,(INDEX($C$33:$C$38,MATCH($W$3231,$B$33:$B$38,0),0)*(S3259+$X$3231)+$T$3231*COUNTIF(S3256:S3258,"&gt;0")*$C$32+$V$3231*$C$31)*$R$3231),0)</f>
        <v>0</v>
      </c>
      <c r="U3256">
        <f>IF(S3256=0,0,-(COUNTIF(S3256:S3258,"&gt;0")*$T$3231*$C$32+$V$3231*$C$31)*$H$27*$R$3231)</f>
        <v>0</v>
      </c>
      <c r="V3256">
        <f>IF(S3256=0,0,$V$3231*$H$26*$R$3231)</f>
        <v>0</v>
      </c>
      <c r="W3256">
        <f>(0.6*T3256+0.7*U3256)*$R$3231/2</f>
        <v>0</v>
      </c>
      <c r="X3256">
        <f>T3256*$R$3231/2</f>
        <v>0</v>
      </c>
      <c r="Z3256">
        <f>IF(S3256=0,0,$AD$3231*$AP$3222)</f>
        <v>0</v>
      </c>
      <c r="AA3256">
        <f>IFERROR(Z3256/$R$3231,0)</f>
        <v>0</v>
      </c>
      <c r="AB3256">
        <f>Z3256*($F$22+IF($F$22=0,0,($C$14+$C$15+IF($C$13="single",1.5,3)+3)/12))</f>
        <v>0</v>
      </c>
      <c r="AC3256">
        <f>AB3256-W3256</f>
        <v>0</v>
      </c>
      <c r="AD3256" cm="1">
        <f t="array" ref="AD3256">IFERROR(IF(AC3256&lt;0,0,AC3256/($R$3231-INDEX(hd_off,MATCH(AQ3256,hd_mark,0),0)/12)),0)</f>
        <v>0</v>
      </c>
      <c r="AE3256">
        <f>IF(S3256=0,0,$AD$3231*$AM$3222)</f>
        <v>0</v>
      </c>
      <c r="AF3256">
        <f>IFERROR(AE3256/$R$3231,0)</f>
        <v>0</v>
      </c>
      <c r="AG3256">
        <f>AE3256*($F$22+IF($F$22=0,0,($C$14+$C$15+IF($C$13="single",1.5,3)+3)/12))</f>
        <v>0</v>
      </c>
      <c r="AH3256">
        <f>AG3256-X3256</f>
        <v>0</v>
      </c>
      <c r="AI3256" cm="1">
        <f t="array" ref="AI3256">IFERROR(IF(AH3256&lt;0,0,AH3256/($R$3231-INDEX(hd_off,MATCH(AQ3256,hd_mark,0),0)/12)),0)</f>
        <v>0</v>
      </c>
      <c r="AJ3256">
        <f>MAX($F$22,$Z$3231)/$Q$3252</f>
        <v>0.30172413793103448</v>
      </c>
      <c r="AK3256">
        <f t="shared" ref="AK3256:AK3259" si="2023">IF(AJ3256=0,0,IF(AJ3256&gt;2,1.25-0.125*AJ3256,1))</f>
        <v>1</v>
      </c>
      <c r="AL3256" cm="1">
        <f t="array" ref="AL3256">IFERROR(INDEX(sheath_ecap_asd,MATCH(AP3256,sheath_mark,0),0)*AK3256,0)</f>
        <v>0</v>
      </c>
      <c r="AM3256" cm="1">
        <f t="array" ref="AM3256">IFERROR(INDEX(sheath_wcap_asd,MATCH(AP3256,sheath_mark,0),0)*AK3256,0)</f>
        <v>0</v>
      </c>
      <c r="AN3256" cm="1">
        <f t="array" ref="AN3256">IFERROR(INDEX(hd_cap,MATCH(AQ3256,hd_mark,0),0),0)</f>
        <v>0</v>
      </c>
      <c r="AP3256" s="19"/>
      <c r="AQ3256" s="19"/>
      <c r="AR3256" s="100"/>
      <c r="AS3256" s="93"/>
      <c r="AT3256" s="109"/>
      <c r="AU3256" t="str">
        <f>$Q$3222</f>
        <v>L3</v>
      </c>
      <c r="AV3256">
        <f>$E$22</f>
        <v>21.375</v>
      </c>
      <c r="AW3256" cm="1">
        <f t="array" ref="AW3256">IFERROR(IF(AV3256=0,0,(INDEX($C$33:$C$38,MATCH($AZ$3231,$B$33:$B$38,0),0)*(AV3259+$BA$3231)+$AW$3231*COUNTIF(AV3256:AV3258,"&gt;0")*$C$32+$AY$3231*$C$31)*$AU$3231),0)</f>
        <v>0</v>
      </c>
      <c r="AX3256">
        <f>IF(AV3256=0,0,-(COUNTIF(AV3256:AV3258,"&gt;0")*$AW$3231*$C$32+$AY$3231*$C$31)*$H$27*$AU$3231)</f>
        <v>0</v>
      </c>
      <c r="AY3256">
        <f>IF(AV3256=0,0,$AY$3231*$H$26*$AU$3231)</f>
        <v>0</v>
      </c>
      <c r="AZ3256">
        <f>(0.6*AW3256+0.7*AX3256)*$AU$3231/2</f>
        <v>0</v>
      </c>
      <c r="BA3256">
        <f>AW3256*$AU$3231/2</f>
        <v>0</v>
      </c>
      <c r="BC3256">
        <f>IF(AV3256=0,0,$BG$3231*$AP$3222)</f>
        <v>0</v>
      </c>
      <c r="BD3256">
        <f>IFERROR(BC3256/$AU$3231,0)</f>
        <v>0</v>
      </c>
      <c r="BE3256">
        <f>BC3256*($F$22+IF($F$22=0,0,($C$14+$C$15+IF($C$13="single",1.5,3)+3)/12))</f>
        <v>0</v>
      </c>
      <c r="BF3256">
        <f>BE3256-AZ3256</f>
        <v>0</v>
      </c>
      <c r="BG3256" cm="1">
        <f t="array" ref="BG3256">IFERROR(IF(BF3256&lt;0,0,BF3256/($AU$3231-INDEX(hd_off,MATCH(BT3256,hd_mark,0),0)/12)),0)</f>
        <v>0</v>
      </c>
      <c r="BH3256">
        <f>IF(AV3256=0,0,$BG$3231*$AM$3222)</f>
        <v>0</v>
      </c>
      <c r="BI3256">
        <f>IFERROR(BH3256/$AU$3231,0)</f>
        <v>0</v>
      </c>
      <c r="BJ3256">
        <f>BH3256*($F$22+IF($F$22=0,0,($C$14+$C$15+IF($C$13="single",1.5,3)+3)/12))</f>
        <v>0</v>
      </c>
      <c r="BK3256">
        <f>BJ3256-BA3256</f>
        <v>0</v>
      </c>
      <c r="BL3256" cm="1">
        <f t="array" ref="BL3256">IFERROR(IF(BK3256&lt;0,0,BK3256/($AU$3231-INDEX(hd_off,MATCH(BT3256,hd_mark,0),0)/12)),0)</f>
        <v>0</v>
      </c>
      <c r="BM3256">
        <f>MAX($F$22,$BC$3231)/$Q$3252</f>
        <v>0.30172413793103448</v>
      </c>
      <c r="BN3256">
        <f t="shared" ref="BN3256:BN3259" si="2024">IF(BM3256=0,0,IF(BM3256&gt;2,1.25-0.125*BM3256,1))</f>
        <v>1</v>
      </c>
      <c r="BO3256" cm="1">
        <f t="array" ref="BO3256">IFERROR(INDEX(sheath_ecap_asd,MATCH(BS3256,sheath_mark,0),0)*BN3256,0)</f>
        <v>0</v>
      </c>
      <c r="BP3256" cm="1">
        <f t="array" ref="BP3256">IFERROR(INDEX(sheath_wcap_asd,MATCH(BS3256,sheath_mark,0),0)*BN3256,0)</f>
        <v>0</v>
      </c>
      <c r="BQ3256" cm="1">
        <f t="array" ref="BQ3256">IFERROR(INDEX(hd_cap,MATCH(BT3256,hd_mark,0),0),0)</f>
        <v>0</v>
      </c>
      <c r="BS3256" s="19"/>
      <c r="BT3256" s="19"/>
      <c r="BU3256" s="100"/>
    </row>
    <row r="3257" x14ac:dyDescent="0.25">
      <c r="B3257" t="s">
        <v>464</v>
      </c>
      <c r="C3257" s="19"/>
      <c r="D3257" s="19"/>
      <c r="E3257">
        <f t="shared" si="2018"/>
        <v>0</v>
      </c>
      <c r="H3257">
        <v>16</v>
      </c>
      <c r="I3257" s="19"/>
      <c r="J3257" s="19"/>
      <c r="K3257">
        <f t="shared" si="2019"/>
        <v>0</v>
      </c>
      <c r="P3257" s="93"/>
      <c r="Q3257" s="109" t="s">
        <v>491</v>
      </c>
      <c r="R3257" t="str">
        <f>$Q$3223</f>
        <v>L4</v>
      </c>
      <c r="S3257">
        <f>$E$23</f>
        <v>0</v>
      </c>
      <c r="T3257" cm="1">
        <f t="array" ref="T3257">IFERROR(IF(S3257=0,0,(INDEX($C$33:$C$38,MATCH($W$3231,$B$33:$B$38,0),0)*(S3259+$X$3231)+$T$3231*COUNTIF(S3257:S3258,"&gt;0")*$C$32+$V$3231*$C$31)*$R$3231),0)</f>
        <v>0</v>
      </c>
      <c r="U3257">
        <f>IF(S3257=0,0,-(COUNTIF(S3257:S3258,"&gt;0")*$T$3231*$C$32+$V$3231*$C$31)*$H$27*$R$3231)</f>
        <v>0</v>
      </c>
      <c r="V3257">
        <f>IF(S3257=0,0,$V$3231*$H$26*$R$3231)</f>
        <v>0</v>
      </c>
      <c r="W3257">
        <f>(0.6*T3257+0.7*U3257)*$R$3231/2</f>
        <v>0</v>
      </c>
      <c r="X3257">
        <f>T3257*$R$3231/2</f>
        <v>0</v>
      </c>
      <c r="Z3257">
        <f>IF(S3257=0,0,$AD$3231*$AP$3223)</f>
        <v>0</v>
      </c>
      <c r="AA3257">
        <f>IFERROR(Z3257/$R$3231,0)</f>
        <v>0</v>
      </c>
      <c r="AB3257">
        <f>Z3257*($F$23+IF($F$23=0,0,($C$14+$C$15+IF($C$13="single",1.5,3)+3)/12))</f>
        <v>0</v>
      </c>
      <c r="AC3257">
        <f>AB3257-W3257</f>
        <v>0</v>
      </c>
      <c r="AD3257" cm="1">
        <f t="array" ref="AD3257">IFERROR(IF(AC3257&lt;0,0,AC3257/($R$3231-INDEX(hd_off,MATCH(AQ3257,hd_mark,0),0)/12)),0)</f>
        <v>0</v>
      </c>
      <c r="AE3257">
        <f>IF(S3257=0,0,$AD$3231*$AM$3223)</f>
        <v>0</v>
      </c>
      <c r="AF3257">
        <f>IFERROR(AE3257/$R$3231,0)</f>
        <v>0</v>
      </c>
      <c r="AG3257">
        <f>AE3257*($F$23+IF($F$23=0,0,($C$14+$C$15+IF($C$13="single",1.5,3)+3)/12))</f>
        <v>0</v>
      </c>
      <c r="AH3257">
        <f>AG3257-X3257</f>
        <v>0</v>
      </c>
      <c r="AI3257" cm="1">
        <f t="array" ref="AI3257">IFERROR(IF(AH3257&lt;0,0,AH3257/($R$3231-INDEX(hd_off,MATCH(AQ3257,hd_mark,0),0)/12)),0)</f>
        <v>0</v>
      </c>
      <c r="AJ3257">
        <f>MAX($F$23,$AA$3231)/$Q$3252</f>
        <v>0</v>
      </c>
      <c r="AK3257">
        <f t="shared" si="2023"/>
        <v>0</v>
      </c>
      <c r="AL3257" cm="1">
        <f t="array" ref="AL3257">IFERROR(INDEX(sheath_ecap_asd,MATCH(AP3257,sheath_mark,0),0)*AK3257,0)</f>
        <v>0</v>
      </c>
      <c r="AM3257" cm="1">
        <f t="array" ref="AM3257">IFERROR(INDEX(sheath_wcap_asd,MATCH(AP3257,sheath_mark,0),0)*AK3257,0)</f>
        <v>0</v>
      </c>
      <c r="AN3257" cm="1">
        <f t="array" ref="AN3257">IFERROR(INDEX(hd_cap,MATCH(AQ3257,hd_mark,0),0),0)</f>
        <v>0</v>
      </c>
      <c r="AP3257" s="19"/>
      <c r="AQ3257" s="19"/>
      <c r="AR3257" s="100"/>
      <c r="AS3257" s="93"/>
      <c r="AT3257" s="109" t="s">
        <v>491</v>
      </c>
      <c r="AU3257" t="str">
        <f>$Q$3223</f>
        <v>L4</v>
      </c>
      <c r="AV3257">
        <f>$E$23</f>
        <v>0</v>
      </c>
      <c r="AW3257" cm="1">
        <f t="array" ref="AW3257">IFERROR(IF(AV3257=0,0,(INDEX($C$33:$C$38,MATCH($AZ$3231,$B$33:$B$38,0),0)*(AV3259+$BA$3231)+$AW$3231*COUNTIF(AV3257:AV3258,"&gt;0")*$C$32+$AY$3231*$C$31)*$AU$3231),0)</f>
        <v>0</v>
      </c>
      <c r="AX3257">
        <f>IF(AV3257=0,0,-(COUNTIF(AV3257:AV3258,"&gt;0")*$AW$3231*$C$32+$AY$3231*$C$31)*$H$27*$AU$3231)</f>
        <v>0</v>
      </c>
      <c r="AY3257">
        <f>IF(AV3257=0,0,$AY$3231*$H$26*$AU$3231)</f>
        <v>0</v>
      </c>
      <c r="AZ3257">
        <f>(0.6*AW3257+0.7*AX3257)*$AU$3231/2</f>
        <v>0</v>
      </c>
      <c r="BA3257">
        <f>AW3257*$AU$3231/2</f>
        <v>0</v>
      </c>
      <c r="BC3257">
        <f>IF(AV3257=0,0,$BG$3231*$AP$3223)</f>
        <v>0</v>
      </c>
      <c r="BD3257">
        <f>IFERROR(BC3257/$AU$3231,0)</f>
        <v>0</v>
      </c>
      <c r="BE3257">
        <f>BC3257*($F$23+IF($F$23=0,0,($C$14+$C$15+IF($C$13="single",1.5,3)+3)/12))</f>
        <v>0</v>
      </c>
      <c r="BF3257">
        <f>BE3257-AZ3257</f>
        <v>0</v>
      </c>
      <c r="BG3257" cm="1">
        <f t="array" ref="BG3257">IFERROR(IF(BF3257&lt;0,0,BF3257/($AU$3231-INDEX(hd_off,MATCH(BT3257,hd_mark,0),0)/12)),0)</f>
        <v>0</v>
      </c>
      <c r="BH3257">
        <f>IF(AV3257=0,0,$BG$3231*$AM$3223)</f>
        <v>0</v>
      </c>
      <c r="BI3257">
        <f>IFERROR(BH3257/$AU$3231,0)</f>
        <v>0</v>
      </c>
      <c r="BJ3257">
        <f>BH3257*($F$23+IF($F$23=0,0,($C$14+$C$15+IF($C$13="single",1.5,3)+3)/12))</f>
        <v>0</v>
      </c>
      <c r="BK3257">
        <f>BJ3257-BA3257</f>
        <v>0</v>
      </c>
      <c r="BL3257" cm="1">
        <f t="array" ref="BL3257">IFERROR(IF(BK3257&lt;0,0,BK3257/($AU$3231-INDEX(hd_off,MATCH(BT3257,hd_mark,0),0)/12)),0)</f>
        <v>0</v>
      </c>
      <c r="BM3257">
        <f>MAX($F$23,$BD$3231)/$Q$3252</f>
        <v>0</v>
      </c>
      <c r="BN3257">
        <f t="shared" si="2024"/>
        <v>0</v>
      </c>
      <c r="BO3257" cm="1">
        <f t="array" ref="BO3257">IFERROR(INDEX(sheath_ecap_asd,MATCH(BS3257,sheath_mark,0),0)*BN3257,0)</f>
        <v>0</v>
      </c>
      <c r="BP3257" cm="1">
        <f t="array" ref="BP3257">IFERROR(INDEX(sheath_wcap_asd,MATCH(BS3257,sheath_mark,0),0)*BN3257,0)</f>
        <v>0</v>
      </c>
      <c r="BQ3257" cm="1">
        <f t="array" ref="BQ3257">IFERROR(INDEX(hd_cap,MATCH(BT3257,hd_mark,0),0),0)</f>
        <v>0</v>
      </c>
      <c r="BS3257" s="19"/>
      <c r="BT3257" s="19"/>
      <c r="BU3257" s="100"/>
    </row>
    <row r="3258" x14ac:dyDescent="0.25">
      <c r="B3258" t="s">
        <v>465</v>
      </c>
      <c r="C3258" s="19"/>
      <c r="D3258" s="19"/>
      <c r="E3258">
        <f t="shared" si="2018"/>
        <v>0</v>
      </c>
      <c r="H3258">
        <v>17</v>
      </c>
      <c r="I3258" s="19"/>
      <c r="J3258" s="19"/>
      <c r="K3258">
        <f t="shared" si="2019"/>
        <v>0</v>
      </c>
      <c r="P3258" s="93"/>
      <c r="Q3258" s="111">
        <f>$R$3231</f>
        <v>0</v>
      </c>
      <c r="R3258" t="str">
        <f>$Q$3224</f>
        <v>L5</v>
      </c>
      <c r="S3258">
        <f>$E$24</f>
        <v>0</v>
      </c>
      <c r="T3258" cm="1">
        <f t="array" ref="T3258">IFERROR(IF(S3258=0,0,(INDEX($C$33:$C$38,MATCH($W$3231,$B$33:$B$38,0),0)*(S3259+$X$3231)+$T$3231*COUNTIF(S3258:S3258,"&gt;0")*$C$32+$V$3231*$C$31)*$R$3231),0)</f>
        <v>0</v>
      </c>
      <c r="U3258">
        <f>IF(S3258=0,0,-(COUNTIF(S3258:S3258,"&gt;0")*$T$3231*$C$32+$V$3231*$C$31)*$H$27*$R$3231)</f>
        <v>0</v>
      </c>
      <c r="V3258">
        <f>IF(S3258=0,0,$V$3231*$H$26*$R$3231)</f>
        <v>0</v>
      </c>
      <c r="W3258">
        <f>(0.6*T3258+0.7*U3258)*$R$3231/2</f>
        <v>0</v>
      </c>
      <c r="X3258">
        <f>T3258*$R$3231/2</f>
        <v>0</v>
      </c>
      <c r="Z3258">
        <f>IF(S3258=0,0,$AD$3231*$AP$3224)</f>
        <v>0</v>
      </c>
      <c r="AA3258">
        <f>IFERROR(Z3258/$R$3231,0)</f>
        <v>0</v>
      </c>
      <c r="AB3258">
        <f>Z3258*($F$24+IF($F$24=0,0,($C$14+$C$15+IF($C$13="single",1.5,3)+3)/12))</f>
        <v>0</v>
      </c>
      <c r="AC3258">
        <f>AB3258-W3258</f>
        <v>0</v>
      </c>
      <c r="AD3258" cm="1">
        <f t="array" ref="AD3258">IFERROR(IF(AC3258&lt;0,0,AC3258/($R$3231-INDEX(hd_off,MATCH(AQ3258,hd_mark,0),0)/12)),0)</f>
        <v>0</v>
      </c>
      <c r="AE3258">
        <f>IF(S3258=0,0,$AD$3231*$AM$3224)</f>
        <v>0</v>
      </c>
      <c r="AF3258">
        <f>IFERROR(AE3258/$R$3231,0)</f>
        <v>0</v>
      </c>
      <c r="AG3258">
        <f>AE3258*($F$24+IF($F$24=0,0,($C$14+$C$15+IF($C$13="single",1.5,3)+3)/12))</f>
        <v>0</v>
      </c>
      <c r="AH3258">
        <f>AG3258-X3258</f>
        <v>0</v>
      </c>
      <c r="AI3258" cm="1">
        <f t="array" ref="AI3258">IFERROR(IF(AH3258&lt;0,0,AH3258/($R$3231-INDEX(hd_off,MATCH(AQ3258,hd_mark,0),0)/12)),0)</f>
        <v>0</v>
      </c>
      <c r="AJ3258">
        <f>MAX($F$24,$AB$3231)/$Q$3252</f>
        <v>0</v>
      </c>
      <c r="AK3258">
        <f t="shared" si="2023"/>
        <v>0</v>
      </c>
      <c r="AL3258" cm="1">
        <f t="array" ref="AL3258">IFERROR(INDEX(sheath_ecap_asd,MATCH(AP3258,sheath_mark,0),0)*AK3258,0)</f>
        <v>0</v>
      </c>
      <c r="AM3258" cm="1">
        <f t="array" ref="AM3258">IFERROR(INDEX(sheath_wcap_asd,MATCH(AP3258,sheath_mark,0),0)*AK3258,0)</f>
        <v>0</v>
      </c>
      <c r="AN3258" cm="1">
        <f t="array" ref="AN3258">IFERROR(INDEX(hd_cap,MATCH(AQ3258,hd_mark,0),0),0)</f>
        <v>0</v>
      </c>
      <c r="AP3258" s="19"/>
      <c r="AQ3258" s="19"/>
      <c r="AR3258" s="100"/>
      <c r="AS3258" s="93"/>
      <c r="AT3258" s="111">
        <f>$R$3231</f>
        <v>0</v>
      </c>
      <c r="AU3258" t="str">
        <f>$Q$3224</f>
        <v>L5</v>
      </c>
      <c r="AV3258">
        <f>$E$24</f>
        <v>0</v>
      </c>
      <c r="AW3258" cm="1">
        <f t="array" ref="AW3258">IFERROR(IF(AV3258=0,0,(INDEX($C$33:$C$38,MATCH($AZ$3231,$B$33:$B$38,0),0)*(AV3259+$BA$3231)+$AW$3231*COUNTIF(AV3258:AV3258,"&gt;0")*$C$32+$AY$3231*$C$31)*$AU$3231),0)</f>
        <v>0</v>
      </c>
      <c r="AX3258">
        <f>IF(AV3258=0,0,-(COUNTIF(AV3258:AV3258,"&gt;0")*$AW$3231*$C$32+$AY$3231*$C$31)*$H$27*$AU$3231)</f>
        <v>0</v>
      </c>
      <c r="AY3258">
        <f>IF(AV3258=0,0,$AY$3231*$H$26*$AU$3231)</f>
        <v>0</v>
      </c>
      <c r="AZ3258">
        <f>(0.6*AW3258+0.7*AX3258)*$AU$3231/2</f>
        <v>0</v>
      </c>
      <c r="BA3258">
        <f>AW3258*$AU$3231/2</f>
        <v>0</v>
      </c>
      <c r="BC3258">
        <f>IF(AV3258=0,0,$BG$3231*$AP$3224)</f>
        <v>0</v>
      </c>
      <c r="BD3258">
        <f>IFERROR(BC3258/$AU$3231,0)</f>
        <v>0</v>
      </c>
      <c r="BE3258">
        <f>BC3258*($F$24+IF($F$24=0,0,($C$14+$C$15+IF($C$13="single",1.5,3)+3)/12))</f>
        <v>0</v>
      </c>
      <c r="BF3258">
        <f>BE3258-AZ3258</f>
        <v>0</v>
      </c>
      <c r="BG3258" cm="1">
        <f t="array" ref="BG3258">IFERROR(IF(BF3258&lt;0,0,BF3258/($AU$3231-INDEX(hd_off,MATCH(BT3258,hd_mark,0),0)/12)),0)</f>
        <v>0</v>
      </c>
      <c r="BH3258">
        <f>IF(AV3258=0,0,$BG$3231*$AM$3224)</f>
        <v>0</v>
      </c>
      <c r="BI3258">
        <f>IFERROR(BH3258/$AU$3231,0)</f>
        <v>0</v>
      </c>
      <c r="BJ3258">
        <f>BH3258*($F$24+IF($F$24=0,0,($C$14+$C$15+IF($C$13="single",1.5,3)+3)/12))</f>
        <v>0</v>
      </c>
      <c r="BK3258">
        <f>BJ3258-BA3258</f>
        <v>0</v>
      </c>
      <c r="BL3258" cm="1">
        <f t="array" ref="BL3258">IFERROR(IF(BK3258&lt;0,0,BK3258/($AU$3231-INDEX(hd_off,MATCH(BT3258,hd_mark,0),0)/12)),0)</f>
        <v>0</v>
      </c>
      <c r="BM3258">
        <f>MAX($F$24,$BE$3231)/$Q$3252</f>
        <v>0</v>
      </c>
      <c r="BN3258">
        <f t="shared" si="2024"/>
        <v>0</v>
      </c>
      <c r="BO3258" cm="1">
        <f t="array" ref="BO3258">IFERROR(INDEX(sheath_ecap_asd,MATCH(BS3258,sheath_mark,0),0)*BN3258,0)</f>
        <v>0</v>
      </c>
      <c r="BP3258" cm="1">
        <f t="array" ref="BP3258">IFERROR(INDEX(sheath_wcap_asd,MATCH(BS3258,sheath_mark,0),0)*BN3258,0)</f>
        <v>0</v>
      </c>
      <c r="BQ3258" cm="1">
        <f t="array" ref="BQ3258">IFERROR(INDEX(hd_cap,MATCH(BT3258,hd_mark,0),0),0)</f>
        <v>0</v>
      </c>
      <c r="BS3258" s="19"/>
      <c r="BT3258" s="19"/>
      <c r="BU3258" s="100"/>
    </row>
    <row r="3259" x14ac:dyDescent="0.25">
      <c r="B3259" t="s">
        <v>466</v>
      </c>
      <c r="C3259" s="19"/>
      <c r="D3259" s="19"/>
      <c r="E3259">
        <f t="shared" si="2018"/>
        <v>0</v>
      </c>
      <c r="H3259">
        <v>18</v>
      </c>
      <c r="I3259" s="19"/>
      <c r="J3259" s="19"/>
      <c r="K3259">
        <f t="shared" si="2019"/>
        <v>0</v>
      </c>
      <c r="P3259" s="93"/>
      <c r="Q3259" s="109"/>
      <c r="R3259" t="str">
        <f>$Q$3225</f>
        <v>Roof</v>
      </c>
      <c r="S3259">
        <f>$E$25</f>
        <v>33.171875</v>
      </c>
      <c r="T3259" cm="1">
        <f t="array" ref="T3259">IFERROR(IF(S3259=0,0,(INDEX($C$33:$C$38,MATCH($W$3231,$B$33:$B$38,0),0)*(S3259+$X$3231)+$V$3231*$C$31)*$R$3231),0)</f>
        <v>0</v>
      </c>
      <c r="U3259">
        <f>IF(S3259=0,0,-$V$3231*$C$31*$H$27*$R$3231)</f>
        <v>0</v>
      </c>
      <c r="V3259">
        <f>IF(S3259=0,0,$V$3231*$H$26*$R$3231)</f>
        <v>0</v>
      </c>
      <c r="W3259">
        <f>(0.6*T3259+0.7*U3259)*$R$3231/2</f>
        <v>0</v>
      </c>
      <c r="X3259">
        <f>T3259*$R$3231/2</f>
        <v>0</v>
      </c>
      <c r="Z3259">
        <f>IF(S3259=0,0,$AD$3231*$AP$3225)</f>
        <v>0</v>
      </c>
      <c r="AA3259">
        <f>IFERROR(Z3259/$R$3231,0)</f>
        <v>0</v>
      </c>
      <c r="AB3259">
        <f>Z3259*($F$25+($C$16+$C$17+IF($C$13="single",1.5,3)+3)/12)</f>
        <v>0</v>
      </c>
      <c r="AC3259">
        <f>AB3259-W3259</f>
        <v>0</v>
      </c>
      <c r="AD3259" cm="1">
        <f t="array" ref="AD3259">IFERROR(IF(AC3259&lt;0,0,AC3259/($R$3231-INDEX(hd_off,MATCH(AQ3259,hd_mark,0),0)/12)),0)</f>
        <v>0</v>
      </c>
      <c r="AE3259">
        <f>IF(S3259=0,0,$AD$3231*$AM$3225)</f>
        <v>0</v>
      </c>
      <c r="AF3259">
        <f>IFERROR(AE3259/$R$3231,0)</f>
        <v>0</v>
      </c>
      <c r="AG3259">
        <f>AE3259*($F$25+($C$16+$C$17+IF($C$13="single",1.5,3)+3)/12)</f>
        <v>0</v>
      </c>
      <c r="AH3259">
        <f>AG3259-X3259</f>
        <v>0</v>
      </c>
      <c r="AI3259" cm="1">
        <f t="array" ref="AI3259">IFERROR(IF(AH3259&lt;0,0,AH3259/($R$3231-INDEX(hd_off,MATCH(AQ3259,hd_mark,0),0)/12)),0)</f>
        <v>0</v>
      </c>
      <c r="AJ3259">
        <f>MAX($F$25,$AC$3231)/$Q$3252</f>
        <v>0.29920977011494249</v>
      </c>
      <c r="AK3259">
        <f t="shared" si="2023"/>
        <v>1</v>
      </c>
      <c r="AL3259" cm="1">
        <f t="array" ref="AL3259">IFERROR(INDEX(sheath_ecap_asd,MATCH(AP3259,sheath_mark,0),0)*AK3259,0)</f>
        <v>0</v>
      </c>
      <c r="AM3259" cm="1">
        <f t="array" ref="AM3259">IFERROR(INDEX(sheath_wcap_asd,MATCH(AP3259,sheath_mark,0),0)*AK3259,0)</f>
        <v>0</v>
      </c>
      <c r="AN3259" cm="1">
        <f t="array" ref="AN3259">IFERROR(INDEX(hd_cap,MATCH(AQ3259,hd_mark,0),0),0)</f>
        <v>0</v>
      </c>
      <c r="AP3259" s="19"/>
      <c r="AQ3259" s="19"/>
      <c r="AR3259" s="100"/>
      <c r="AS3259" s="93"/>
      <c r="AT3259" s="109"/>
      <c r="AU3259" t="str">
        <f>$Q$3225</f>
        <v>Roof</v>
      </c>
      <c r="AV3259">
        <f>$E$25</f>
        <v>33.171875</v>
      </c>
      <c r="AW3259" cm="1">
        <f t="array" ref="AW3259">IFERROR(IF(AV3259=0,0,(INDEX($C$33:$C$38,MATCH($AZ$3231,$B$33:$B$38,0),0)*(AV3259+$BA$3231)+$AY$3231*$C$31)*$AU$3231),0)</f>
        <v>0</v>
      </c>
      <c r="AX3259">
        <f>IF(AV3259=0,0,-$AY$3231*$C$31*$H$27*$AU$3231)</f>
        <v>0</v>
      </c>
      <c r="AY3259">
        <f>IF(AV3259=0,0,$AY$3231*$H$26*$AU$3231)</f>
        <v>0</v>
      </c>
      <c r="AZ3259">
        <f>(0.6*AW3259+0.7*AX3259)*$AU$3231/2</f>
        <v>0</v>
      </c>
      <c r="BA3259">
        <f>AW3259*$AU$3231/2</f>
        <v>0</v>
      </c>
      <c r="BC3259">
        <f>IF(AV3259=0,0,$BG$3231*$AP$3225)</f>
        <v>0</v>
      </c>
      <c r="BD3259">
        <f>IFERROR(BC3259/$AU$3231,0)</f>
        <v>0</v>
      </c>
      <c r="BE3259">
        <f>BC3259*($F$25+($C$16+$C$17+IF($C$13="single",1.5,3)+3)/12)</f>
        <v>0</v>
      </c>
      <c r="BF3259">
        <f>BE3259-AZ3259</f>
        <v>0</v>
      </c>
      <c r="BG3259" cm="1">
        <f t="array" ref="BG3259">IFERROR(IF(BF3259&lt;0,0,BF3259/($AU$3231-INDEX(hd_off,MATCH(BT3259,hd_mark,0),0)/12)),0)</f>
        <v>0</v>
      </c>
      <c r="BH3259">
        <f>IF(AV3259=0,0,$BG$3231*$AM$3225)</f>
        <v>0</v>
      </c>
      <c r="BI3259">
        <f>IFERROR(BH3259/$AU$3231,0)</f>
        <v>0</v>
      </c>
      <c r="BJ3259">
        <f>BH3259*($F$25+($C$16+$C$17+IF($C$13="single",1.5,3)+3)/12)</f>
        <v>0</v>
      </c>
      <c r="BK3259">
        <f>BJ3259-BA3259</f>
        <v>0</v>
      </c>
      <c r="BL3259" cm="1">
        <f t="array" ref="BL3259">IFERROR(IF(BK3259&lt;0,0,BK3259/($AU$3231-INDEX(hd_off,MATCH(BT3259,hd_mark,0),0)/12)),0)</f>
        <v>0</v>
      </c>
      <c r="BM3259">
        <f>MAX($F$25,$BF$3231)/$Q$3252</f>
        <v>0.29920977011494249</v>
      </c>
      <c r="BN3259">
        <f t="shared" si="2024"/>
        <v>1</v>
      </c>
      <c r="BO3259" cm="1">
        <f t="array" ref="BO3259">IFERROR(INDEX(sheath_ecap_asd,MATCH(BS3259,sheath_mark,0),0)*BN3259,0)</f>
        <v>0</v>
      </c>
      <c r="BP3259" cm="1">
        <f t="array" ref="BP3259">IFERROR(INDEX(sheath_wcap_asd,MATCH(BS3259,sheath_mark,0),0)*BN3259,0)</f>
        <v>0</v>
      </c>
      <c r="BQ3259" cm="1">
        <f t="array" ref="BQ3259">IFERROR(INDEX(hd_cap,MATCH(BT3259,hd_mark,0),0),0)</f>
        <v>0</v>
      </c>
      <c r="BS3259" s="19"/>
      <c r="BT3259" s="19"/>
      <c r="BU3259" s="100"/>
    </row>
    <row r="3260" x14ac:dyDescent="0.25">
      <c r="B3260" t="s">
        <v>467</v>
      </c>
      <c r="C3260" s="19"/>
      <c r="D3260" s="19"/>
      <c r="E3260">
        <f t="shared" si="2018"/>
        <v>0</v>
      </c>
      <c r="H3260">
        <v>19</v>
      </c>
      <c r="I3260" s="19"/>
      <c r="J3260" s="19"/>
      <c r="K3260">
        <f t="shared" si="2019"/>
        <v>0</v>
      </c>
      <c r="P3260" s="93"/>
      <c r="AR3260" s="100"/>
      <c r="AS3260" s="93"/>
      <c r="BU3260" s="100"/>
    </row>
    <row r="3261" x14ac:dyDescent="0.25">
      <c r="B3261" t="s">
        <v>468</v>
      </c>
      <c r="C3261" s="19"/>
      <c r="D3261" s="19"/>
      <c r="E3261">
        <f t="shared" si="2018"/>
        <v>0</v>
      </c>
      <c r="H3261">
        <v>20</v>
      </c>
      <c r="I3261" s="19"/>
      <c r="J3261" s="19"/>
      <c r="K3261">
        <f t="shared" si="2019"/>
        <v>0</v>
      </c>
      <c r="P3261" s="93"/>
      <c r="Q3261" s="110" t="str">
        <f>$Q$3232</f>
        <v>A.03</v>
      </c>
      <c r="R3261" t="str">
        <f>$Q$3221</f>
        <v>L2</v>
      </c>
      <c r="S3261">
        <f>$E$21</f>
        <v>10.6875</v>
      </c>
      <c r="T3261" cm="1">
        <f t="array" ref="T3261">IFERROR(IF(S3261=0,0,(INDEX($C$33:$C$38,MATCH($W$3232,$B$33:$B$38,0),0)*(S3265+$X$3232)+$T$3232*COUNTIF(S3261:S3264,"&gt;0")*$C$32+$V$3232*$C$31)*$R$3232),0)</f>
        <v>0</v>
      </c>
      <c r="U3261">
        <f>IF(S3261=0,0,-(COUNTIF(S3261:S3264,"&gt;0")*$T$3232*$C$32+$V$3232*$C$31)*$H$27*$R$3232)</f>
        <v>0</v>
      </c>
      <c r="V3261">
        <f>IF(S3261=0,0,$V$3232*$H$26*$R$3232)</f>
        <v>0</v>
      </c>
      <c r="W3261">
        <f>(0.6*T3261+0.7*U3261)*$R$3232/2</f>
        <v>0</v>
      </c>
      <c r="X3261">
        <f>(0.6*T3261+0.6*V3261)*$R$3232/2</f>
        <v>0</v>
      </c>
      <c r="Z3261">
        <f>IF(S3261=0,0,$AD$3232*$AP$3221)</f>
        <v>0</v>
      </c>
      <c r="AA3261">
        <f>IFERROR(Z3261/$R$3232,0)</f>
        <v>0</v>
      </c>
      <c r="AB3261">
        <f>Z3261*($F$21+IF($F$21=0,0,($C$14+$C$15+IF($C$13="single",1.5,3)+3)/12))</f>
        <v>0</v>
      </c>
      <c r="AC3261">
        <f>AB3261-W3261</f>
        <v>0</v>
      </c>
      <c r="AD3261" cm="1">
        <f t="array" ref="AD3261">IFERROR(IF(AC3261&lt;0,0,AC3261/($R$3232-INDEX(hd_off,MATCH(AQ3261,hd_mark,0),0)/12)),0)</f>
        <v>0</v>
      </c>
      <c r="AE3261">
        <f>IF(S3261=0,0,$AD$3232*$AM$3221)</f>
        <v>0</v>
      </c>
      <c r="AF3261">
        <f>IFERROR(AE3261/$R$3232,0)</f>
        <v>0</v>
      </c>
      <c r="AG3261">
        <f>AE3261*($F$21+IF($F$21=0,0,($C$14+$C$15+IF($C$13="single",1.5,3)+3)/12))</f>
        <v>0</v>
      </c>
      <c r="AH3261">
        <f>AG3261-X3261</f>
        <v>0</v>
      </c>
      <c r="AI3261" cm="1">
        <f t="array" ref="AI3261">IFERROR(IF(AH3261&lt;0,0,AH3261/($R$3232-INDEX(hd_off,MATCH(AQ3261,hd_mark,0),0)/12)),0)</f>
        <v>0</v>
      </c>
      <c r="AJ3261">
        <f>MAX($F$21,$Y$3232)/$Q$3252</f>
        <v>0.30172413793103448</v>
      </c>
      <c r="AK3261">
        <f>IF(AJ3261=0,0,IF(AJ3261&gt;2,1.25-0.125*AJ3261,1))</f>
        <v>1</v>
      </c>
      <c r="AL3261" cm="1">
        <f t="array" ref="AL3261">IFERROR(INDEX(sheath_ecap_asd,MATCH(AP3261,sheath_mark,0),0)*AK3261,0)</f>
        <v>0</v>
      </c>
      <c r="AM3261" cm="1">
        <f t="array" ref="AM3261">IFERROR(INDEX(sheath_wcap_asd,MATCH(AP3261,sheath_mark,0),0)*AK3261,0)</f>
        <v>0</v>
      </c>
      <c r="AN3261" cm="1">
        <f t="array" ref="AN3261">IFERROR(INDEX(hd_cap,MATCH(AQ3261,hd_mark,0),0),0)</f>
        <v>0</v>
      </c>
      <c r="AP3261" s="19"/>
      <c r="AQ3261" s="19"/>
      <c r="AR3261" s="100"/>
      <c r="AS3261" s="93"/>
      <c r="AT3261" s="110" t="str">
        <f>$AT$3232</f>
        <v>1.03</v>
      </c>
      <c r="AU3261" t="str">
        <f>$Q$3221</f>
        <v>L2</v>
      </c>
      <c r="AV3261">
        <f>$E$21</f>
        <v>10.6875</v>
      </c>
      <c r="AW3261" cm="1">
        <f t="array" ref="AW3261">IFERROR(IF(AV3261=0,0,(INDEX($C$33:$C$38,MATCH($AZ$3232,$B$33:$B$38,0),0)*(AV3265+$BA$3232)+$AW$3232*COUNTIF(AV3261:AV3264,"&gt;0")*$C$32+$AY$3232*$C$31)*$AU$3232),0)</f>
        <v>0</v>
      </c>
      <c r="AX3261">
        <f>IF(AV3261=0,0,-(COUNTIF(AV3261:AV3264,"&gt;0")*$AW$3232*$C$32+$AY$3232*$C$31)*$H$27*$AU$3232)</f>
        <v>0</v>
      </c>
      <c r="AY3261">
        <f>IF(AV3261=0,0,$AY$3232*$H$26*$AU$3232)</f>
        <v>0</v>
      </c>
      <c r="AZ3261">
        <f>(0.6*AW3261+0.7*AX3261)*$AU$3232/2</f>
        <v>0</v>
      </c>
      <c r="BA3261">
        <f>(0.6*AW3261+0.6*AY3261)*$AU$3232/2</f>
        <v>0</v>
      </c>
      <c r="BC3261">
        <f>IF(AV3261=0,0,$BG$3232*$AP$3221)</f>
        <v>0</v>
      </c>
      <c r="BD3261">
        <f>IFERROR(BC3261/$AU$3232,0)</f>
        <v>0</v>
      </c>
      <c r="BE3261">
        <f>BC3261*($F$21+IF($F$21=0,0,($C$14+$C$15+IF($C$13="single",1.5,3)+3)/12))</f>
        <v>0</v>
      </c>
      <c r="BF3261">
        <f>BE3261-AZ3261</f>
        <v>0</v>
      </c>
      <c r="BG3261" cm="1">
        <f t="array" ref="BG3261">IFERROR(IF(BF3261&lt;0,0,BF3261/($AU$3232-INDEX(hd_off,MATCH(BT3261,hd_mark,0),0)/12)),0)</f>
        <v>0</v>
      </c>
      <c r="BH3261">
        <f>IF(AV3261=0,0,$BG$3232*$AM$3221)</f>
        <v>0</v>
      </c>
      <c r="BI3261">
        <f>IFERROR(BH3261/$AU$3232,0)</f>
        <v>0</v>
      </c>
      <c r="BJ3261">
        <f>BH3261*($F$21+IF($F$21=0,0,($C$14+$C$15+IF($C$13="single",1.5,3)+3)/12))</f>
        <v>0</v>
      </c>
      <c r="BK3261">
        <f>BJ3261-BA3261</f>
        <v>0</v>
      </c>
      <c r="BL3261" cm="1">
        <f t="array" ref="BL3261">IFERROR(IF(BK3261&lt;0,0,BK3261/($AU$3232-INDEX(hd_off,MATCH(BT3261,hd_mark,0),0)/12)),0)</f>
        <v>0</v>
      </c>
      <c r="BM3261">
        <f>MAX($F$21,$BB$3232)/$Q$3252</f>
        <v>0.30172413793103448</v>
      </c>
      <c r="BN3261">
        <f>IF(BM3261=0,0,IF(BM3261&gt;2,1.25-0.125*BM3261,1))</f>
        <v>1</v>
      </c>
      <c r="BO3261" cm="1">
        <f t="array" ref="BO3261">IFERROR(INDEX(sheath_ecap_asd,MATCH(BS3261,sheath_mark,0),0)*BN3261,0)</f>
        <v>0</v>
      </c>
      <c r="BP3261" cm="1">
        <f t="array" ref="BP3261">IFERROR(INDEX(sheath_wcap_asd,MATCH(BS3261,sheath_mark,0),0)*BN3261,0)</f>
        <v>0</v>
      </c>
      <c r="BQ3261" cm="1">
        <f t="array" ref="BQ3261">IFERROR(INDEX(hd_cap,MATCH(BT3261,hd_mark,0),0),0)</f>
        <v>0</v>
      </c>
      <c r="BS3261" s="19"/>
      <c r="BT3261" s="19"/>
      <c r="BU3261" s="100"/>
    </row>
    <row r="3262" x14ac:dyDescent="0.25">
      <c r="B3262" t="s">
        <v>469</v>
      </c>
      <c r="C3262" s="19"/>
      <c r="D3262" s="19"/>
      <c r="E3262">
        <f t="shared" si="2018"/>
        <v>0</v>
      </c>
      <c r="H3262">
        <v>21</v>
      </c>
      <c r="I3262" s="19"/>
      <c r="J3262" s="19"/>
      <c r="K3262">
        <f t="shared" si="2019"/>
        <v>0</v>
      </c>
      <c r="P3262" s="93"/>
      <c r="Q3262" s="109"/>
      <c r="R3262" t="str">
        <f>$Q$3222</f>
        <v>L3</v>
      </c>
      <c r="S3262">
        <f>$E$22</f>
        <v>21.375</v>
      </c>
      <c r="T3262" cm="1">
        <f t="array" ref="T3262">IFERROR(IF(S3262=0,0,(INDEX($C$33:$C$38,MATCH($W$3232,$B$33:$B$38,0),0)*(S3265+$X$3232)+$T$3232*COUNTIF(S3262:S3264,"&gt;0")*$C$32+$V$3232*$C$31)*$R$3232),0)</f>
        <v>0</v>
      </c>
      <c r="U3262">
        <f>IF(S3262=0,0,-(COUNTIF(S3262:S3264,"&gt;0")*$T$3232*$C$32+$V$3232*$C$31)*$H$27*$R$3232)</f>
        <v>0</v>
      </c>
      <c r="V3262">
        <f>IF(S3262=0,0,$V$3232*$H$26*$R$3232)</f>
        <v>0</v>
      </c>
      <c r="W3262">
        <f>(0.6*T3262+0.7*U3262)*$R$3232/2</f>
        <v>0</v>
      </c>
      <c r="X3262">
        <f>T3262*$R$3232/2</f>
        <v>0</v>
      </c>
      <c r="Z3262">
        <f>IF(S3262=0,0,$AD$3232*$AP$3222)</f>
        <v>0</v>
      </c>
      <c r="AA3262">
        <f>IFERROR(Z3262/$R$3232,0)</f>
        <v>0</v>
      </c>
      <c r="AB3262">
        <f>Z3262*($F$22+IF($F$22=0,0,($C$14+$C$15+IF($C$13="single",1.5,3)+3)/12))</f>
        <v>0</v>
      </c>
      <c r="AC3262">
        <f>AB3262-W3262</f>
        <v>0</v>
      </c>
      <c r="AD3262" cm="1">
        <f t="array" ref="AD3262">IFERROR(IF(AC3262&lt;0,0,AC3262/($R$3232-INDEX(hd_off,MATCH(AQ3262,hd_mark,0),0)/12)),0)</f>
        <v>0</v>
      </c>
      <c r="AE3262">
        <f>IF(S3262=0,0,$AD$3232*$AM$3222)</f>
        <v>0</v>
      </c>
      <c r="AF3262">
        <f>IFERROR(AE3262/$R$3232,0)</f>
        <v>0</v>
      </c>
      <c r="AG3262">
        <f>AE3262*($F$22+IF($F$22=0,0,($C$14+$C$15+IF($C$13="single",1.5,3)+3)/12))</f>
        <v>0</v>
      </c>
      <c r="AH3262">
        <f>AG3262-X3262</f>
        <v>0</v>
      </c>
      <c r="AI3262" cm="1">
        <f t="array" ref="AI3262">IFERROR(IF(AH3262&lt;0,0,AH3262/($R$3232-INDEX(hd_off,MATCH(AQ3262,hd_mark,0),0)/12)),0)</f>
        <v>0</v>
      </c>
      <c r="AJ3262">
        <f>MAX($F$22,$Z$3232)/$Q$3252</f>
        <v>0.30172413793103448</v>
      </c>
      <c r="AK3262">
        <f t="shared" ref="AK3262:AK3265" si="2025">IF(AJ3262=0,0,IF(AJ3262&gt;2,1.25-0.125*AJ3262,1))</f>
        <v>1</v>
      </c>
      <c r="AL3262" cm="1">
        <f t="array" ref="AL3262">IFERROR(INDEX(sheath_ecap_asd,MATCH(AP3262,sheath_mark,0),0)*AK3262,0)</f>
        <v>0</v>
      </c>
      <c r="AM3262" cm="1">
        <f t="array" ref="AM3262">IFERROR(INDEX(sheath_wcap_asd,MATCH(AP3262,sheath_mark,0),0)*AK3262,0)</f>
        <v>0</v>
      </c>
      <c r="AN3262" cm="1">
        <f t="array" ref="AN3262">IFERROR(INDEX(hd_cap,MATCH(AQ3262,hd_mark,0),0),0)</f>
        <v>0</v>
      </c>
      <c r="AP3262" s="19"/>
      <c r="AQ3262" s="19"/>
      <c r="AR3262" s="100"/>
      <c r="AS3262" s="93"/>
      <c r="AT3262" s="109"/>
      <c r="AU3262" t="str">
        <f>$Q$3222</f>
        <v>L3</v>
      </c>
      <c r="AV3262">
        <f>$E$22</f>
        <v>21.375</v>
      </c>
      <c r="AW3262" cm="1">
        <f t="array" ref="AW3262">IFERROR(IF(AV3262=0,0,(INDEX($C$33:$C$38,MATCH($AZ$3232,$B$33:$B$38,0),0)*(AV3265+$BA$3232)+$AW$3232*COUNTIF(AV3262:AV3264,"&gt;0")*$C$32+$AY$3232*$C$31)*$AU$3232),0)</f>
        <v>0</v>
      </c>
      <c r="AX3262">
        <f>IF(AV3262=0,0,-(COUNTIF(AV3262:AV3264,"&gt;0")*$AW$3232*$C$32+$AY$3232*$C$31)*$H$27*$AU$3232)</f>
        <v>0</v>
      </c>
      <c r="AY3262">
        <f>IF(AV3262=0,0,$AY$3232*$H$26*$AU$3232)</f>
        <v>0</v>
      </c>
      <c r="AZ3262">
        <f>(0.6*AW3262+0.7*AX3262)*$AU$3232/2</f>
        <v>0</v>
      </c>
      <c r="BA3262">
        <f>AW3262*$AU$3232/2</f>
        <v>0</v>
      </c>
      <c r="BC3262">
        <f>IF(AV3262=0,0,$BG$3232*$AP$3222)</f>
        <v>0</v>
      </c>
      <c r="BD3262">
        <f>IFERROR(BC3262/$AU$3232,0)</f>
        <v>0</v>
      </c>
      <c r="BE3262">
        <f>BC3262*($F$22+IF($F$22=0,0,($C$14+$C$15+IF($C$13="single",1.5,3)+3)/12))</f>
        <v>0</v>
      </c>
      <c r="BF3262">
        <f>BE3262-AZ3262</f>
        <v>0</v>
      </c>
      <c r="BG3262" cm="1">
        <f t="array" ref="BG3262">IFERROR(IF(BF3262&lt;0,0,BF3262/($AU$3232-INDEX(hd_off,MATCH(BT3262,hd_mark,0),0)/12)),0)</f>
        <v>0</v>
      </c>
      <c r="BH3262">
        <f>IF(AV3262=0,0,$BG$3232*$AM$3222)</f>
        <v>0</v>
      </c>
      <c r="BI3262">
        <f>IFERROR(BH3262/$AU$3232,0)</f>
        <v>0</v>
      </c>
      <c r="BJ3262">
        <f>BH3262*($F$22+IF($F$22=0,0,($C$14+$C$15+IF($C$13="single",1.5,3)+3)/12))</f>
        <v>0</v>
      </c>
      <c r="BK3262">
        <f>BJ3262-BA3262</f>
        <v>0</v>
      </c>
      <c r="BL3262" cm="1">
        <f t="array" ref="BL3262">IFERROR(IF(BK3262&lt;0,0,BK3262/($AU$3232-INDEX(hd_off,MATCH(BT3262,hd_mark,0),0)/12)),0)</f>
        <v>0</v>
      </c>
      <c r="BM3262">
        <f>MAX($F$22,$BC$3232)/$Q$3252</f>
        <v>0.30172413793103448</v>
      </c>
      <c r="BN3262">
        <f t="shared" ref="BN3262:BN3265" si="2026">IF(BM3262=0,0,IF(BM3262&gt;2,1.25-0.125*BM3262,1))</f>
        <v>1</v>
      </c>
      <c r="BO3262" cm="1">
        <f t="array" ref="BO3262">IFERROR(INDEX(sheath_ecap_asd,MATCH(BS3262,sheath_mark,0),0)*BN3262,0)</f>
        <v>0</v>
      </c>
      <c r="BP3262" cm="1">
        <f t="array" ref="BP3262">IFERROR(INDEX(sheath_wcap_asd,MATCH(BS3262,sheath_mark,0),0)*BN3262,0)</f>
        <v>0</v>
      </c>
      <c r="BQ3262" cm="1">
        <f t="array" ref="BQ3262">IFERROR(INDEX(hd_cap,MATCH(BT3262,hd_mark,0),0),0)</f>
        <v>0</v>
      </c>
      <c r="BS3262" s="19"/>
      <c r="BT3262" s="19"/>
      <c r="BU3262" s="100"/>
    </row>
    <row r="3263" x14ac:dyDescent="0.25">
      <c r="B3263" t="s">
        <v>285</v>
      </c>
      <c r="C3263" s="19"/>
      <c r="D3263" s="19"/>
      <c r="E3263">
        <f t="shared" si="2018"/>
        <v>0</v>
      </c>
      <c r="H3263">
        <v>22</v>
      </c>
      <c r="I3263" s="19"/>
      <c r="J3263" s="19"/>
      <c r="K3263">
        <f t="shared" si="2019"/>
        <v>0</v>
      </c>
      <c r="P3263" s="93"/>
      <c r="Q3263" s="109" t="s">
        <v>491</v>
      </c>
      <c r="R3263" t="str">
        <f>$Q$3223</f>
        <v>L4</v>
      </c>
      <c r="S3263">
        <f>$E$23</f>
        <v>0</v>
      </c>
      <c r="T3263" cm="1">
        <f t="array" ref="T3263">IFERROR(IF(S3263=0,0,(INDEX($C$33:$C$38,MATCH($W$3232,$B$33:$B$38,0),0)*(S3265+$X$3232)+$T$3232*COUNTIF(S3263:S3264,"&gt;0")*$C$32+$V$3232*$C$31)*$R$3232),0)</f>
        <v>0</v>
      </c>
      <c r="U3263">
        <f>IF(S3263=0,0,-(COUNTIF(S3263:S3264,"&gt;0")*$T$3232*$C$32+$V$3232*$C$31)*$H$27*$R$3232)</f>
        <v>0</v>
      </c>
      <c r="V3263">
        <f>IF(S3263=0,0,$V$3232*$H$26*$R$3232)</f>
        <v>0</v>
      </c>
      <c r="W3263">
        <f>(0.6*T3263+0.7*U3263)*$R$3232/2</f>
        <v>0</v>
      </c>
      <c r="X3263">
        <f>T3263*$R$3232/2</f>
        <v>0</v>
      </c>
      <c r="Z3263">
        <f>IF(S3263=0,0,$AD$3232*$AP$3223)</f>
        <v>0</v>
      </c>
      <c r="AA3263">
        <f>IFERROR(Z3263/$R$3232,0)</f>
        <v>0</v>
      </c>
      <c r="AB3263">
        <f>Z3263*($F$23+IF($F$23=0,0,($C$14+$C$15+IF($C$13="single",1.5,3)+3)/12))</f>
        <v>0</v>
      </c>
      <c r="AC3263">
        <f>AB3263-W3263</f>
        <v>0</v>
      </c>
      <c r="AD3263" cm="1">
        <f t="array" ref="AD3263">IFERROR(IF(AC3263&lt;0,0,AC3263/($R$3232-INDEX(hd_off,MATCH(AQ3263,hd_mark,0),0)/12)),0)</f>
        <v>0</v>
      </c>
      <c r="AE3263">
        <f>IF(S3263=0,0,$AD$3232*$AM$3223)</f>
        <v>0</v>
      </c>
      <c r="AF3263">
        <f>IFERROR(AE3263/$R$3232,0)</f>
        <v>0</v>
      </c>
      <c r="AG3263">
        <f>AE3263*($F$23+IF($F$23=0,0,($C$14+$C$15+IF($C$13="single",1.5,3)+3)/12))</f>
        <v>0</v>
      </c>
      <c r="AH3263">
        <f>AG3263-X3263</f>
        <v>0</v>
      </c>
      <c r="AI3263" cm="1">
        <f t="array" ref="AI3263">IFERROR(IF(AH3263&lt;0,0,AH3263/($R$3232-INDEX(hd_off,MATCH(AQ3263,hd_mark,0),0)/12)),0)</f>
        <v>0</v>
      </c>
      <c r="AJ3263">
        <f>MAX($F$23,$AA$3232)/$Q$3252</f>
        <v>0</v>
      </c>
      <c r="AK3263">
        <f t="shared" si="2025"/>
        <v>0</v>
      </c>
      <c r="AL3263" cm="1">
        <f t="array" ref="AL3263">IFERROR(INDEX(sheath_ecap_asd,MATCH(AP3263,sheath_mark,0),0)*AK3263,0)</f>
        <v>0</v>
      </c>
      <c r="AM3263" cm="1">
        <f t="array" ref="AM3263">IFERROR(INDEX(sheath_wcap_asd,MATCH(AP3263,sheath_mark,0),0)*AK3263,0)</f>
        <v>0</v>
      </c>
      <c r="AN3263" cm="1">
        <f t="array" ref="AN3263">IFERROR(INDEX(hd_cap,MATCH(AQ3263,hd_mark,0),0),0)</f>
        <v>0</v>
      </c>
      <c r="AP3263" s="19"/>
      <c r="AQ3263" s="19"/>
      <c r="AR3263" s="100"/>
      <c r="AS3263" s="93"/>
      <c r="AT3263" s="109" t="s">
        <v>491</v>
      </c>
      <c r="AU3263" t="str">
        <f>$Q$3223</f>
        <v>L4</v>
      </c>
      <c r="AV3263">
        <f>$E$23</f>
        <v>0</v>
      </c>
      <c r="AW3263" cm="1">
        <f t="array" ref="AW3263">IFERROR(IF(AV3263=0,0,(INDEX($C$33:$C$38,MATCH($AZ$3232,$B$33:$B$38,0),0)*(AV3265+$BA$3232)+$AW$3232*COUNTIF(AV3263:AV3264,"&gt;0")*$C$32+$AY$3232*$C$31)*$AU$3232),0)</f>
        <v>0</v>
      </c>
      <c r="AX3263">
        <f>IF(AV3263=0,0,-(COUNTIF(AV3263:AV3264,"&gt;0")*$AW$3232*$C$32+$AY$3232*$C$31)*$H$27*$AU$3232)</f>
        <v>0</v>
      </c>
      <c r="AY3263">
        <f>IF(AV3263=0,0,$AY$3232*$H$26*$AU$3232)</f>
        <v>0</v>
      </c>
      <c r="AZ3263">
        <f>(0.6*AW3263+0.7*AX3263)*$AU$3232/2</f>
        <v>0</v>
      </c>
      <c r="BA3263">
        <f>AW3263*$AU$3232/2</f>
        <v>0</v>
      </c>
      <c r="BC3263">
        <f>IF(AV3263=0,0,$BG$3232*$AP$3223)</f>
        <v>0</v>
      </c>
      <c r="BD3263">
        <f>IFERROR(BC3263/$AU$3232,0)</f>
        <v>0</v>
      </c>
      <c r="BE3263">
        <f>BC3263*($F$23+IF($F$23=0,0,($C$14+$C$15+IF($C$13="single",1.5,3)+3)/12))</f>
        <v>0</v>
      </c>
      <c r="BF3263">
        <f>BE3263-AZ3263</f>
        <v>0</v>
      </c>
      <c r="BG3263" cm="1">
        <f t="array" ref="BG3263">IFERROR(IF(BF3263&lt;0,0,BF3263/($AU$3232-INDEX(hd_off,MATCH(BT3263,hd_mark,0),0)/12)),0)</f>
        <v>0</v>
      </c>
      <c r="BH3263">
        <f>IF(AV3263=0,0,$BG$3232*$AM$3223)</f>
        <v>0</v>
      </c>
      <c r="BI3263">
        <f>IFERROR(BH3263/$AU$3232,0)</f>
        <v>0</v>
      </c>
      <c r="BJ3263">
        <f>BH3263*($F$23+IF($F$23=0,0,($C$14+$C$15+IF($C$13="single",1.5,3)+3)/12))</f>
        <v>0</v>
      </c>
      <c r="BK3263">
        <f>BJ3263-BA3263</f>
        <v>0</v>
      </c>
      <c r="BL3263" cm="1">
        <f t="array" ref="BL3263">IFERROR(IF(BK3263&lt;0,0,BK3263/($AU$3232-INDEX(hd_off,MATCH(BT3263,hd_mark,0),0)/12)),0)</f>
        <v>0</v>
      </c>
      <c r="BM3263">
        <f>MAX($F$23,$BD$3232)/$Q$3252</f>
        <v>0</v>
      </c>
      <c r="BN3263">
        <f t="shared" si="2026"/>
        <v>0</v>
      </c>
      <c r="BO3263" cm="1">
        <f t="array" ref="BO3263">IFERROR(INDEX(sheath_ecap_asd,MATCH(BS3263,sheath_mark,0),0)*BN3263,0)</f>
        <v>0</v>
      </c>
      <c r="BP3263" cm="1">
        <f t="array" ref="BP3263">IFERROR(INDEX(sheath_wcap_asd,MATCH(BS3263,sheath_mark,0),0)*BN3263,0)</f>
        <v>0</v>
      </c>
      <c r="BQ3263" cm="1">
        <f t="array" ref="BQ3263">IFERROR(INDEX(hd_cap,MATCH(BT3263,hd_mark,0),0),0)</f>
        <v>0</v>
      </c>
      <c r="BS3263" s="19"/>
      <c r="BT3263" s="19"/>
      <c r="BU3263" s="100"/>
    </row>
    <row r="3264" x14ac:dyDescent="0.25">
      <c r="B3264" t="s">
        <v>470</v>
      </c>
      <c r="C3264" s="19"/>
      <c r="D3264" s="19"/>
      <c r="E3264">
        <f t="shared" si="2018"/>
        <v>0</v>
      </c>
      <c r="H3264">
        <v>23</v>
      </c>
      <c r="I3264" s="19"/>
      <c r="J3264" s="19"/>
      <c r="K3264">
        <f t="shared" si="2019"/>
        <v>0</v>
      </c>
      <c r="P3264" s="93"/>
      <c r="Q3264" s="111">
        <f>$R$3232</f>
        <v>0</v>
      </c>
      <c r="R3264" t="str">
        <f>$Q$3224</f>
        <v>L5</v>
      </c>
      <c r="S3264">
        <f>$E$24</f>
        <v>0</v>
      </c>
      <c r="T3264" cm="1">
        <f t="array" ref="T3264">IFERROR(IF(S3264=0,0,(INDEX($C$33:$C$38,MATCH($W$3232,$B$33:$B$38,0),0)*(S3265+$X$3232)+$T$3232*COUNTIF(S3264:S3264,"&gt;0")*$C$32+$V$3232*$C$31)*$R$3232),0)</f>
        <v>0</v>
      </c>
      <c r="U3264">
        <f>IF(S3264=0,0,-(COUNTIF(S3264:S3264,"&gt;0")*$T$3232*$C$32+$V$3232*$C$31)*$H$27*$R$3232)</f>
        <v>0</v>
      </c>
      <c r="V3264">
        <f>IF(S3264=0,0,$V$3232*$H$26*$R$3232)</f>
        <v>0</v>
      </c>
      <c r="W3264">
        <f>(0.6*T3264+0.7*U3264)*$R$3232/2</f>
        <v>0</v>
      </c>
      <c r="X3264">
        <f>T3264*$R$3232/2</f>
        <v>0</v>
      </c>
      <c r="Z3264">
        <f>IF(S3264=0,0,$AD$3232*$AP$3224)</f>
        <v>0</v>
      </c>
      <c r="AA3264">
        <f>IFERROR(Z3264/$R$3232,0)</f>
        <v>0</v>
      </c>
      <c r="AB3264">
        <f>Z3264*($F$24+IF($F$24=0,0,($C$14+$C$15+IF($C$13="single",1.5,3)+3)/12))</f>
        <v>0</v>
      </c>
      <c r="AC3264">
        <f>AB3264-W3264</f>
        <v>0</v>
      </c>
      <c r="AD3264" cm="1">
        <f t="array" ref="AD3264">IFERROR(IF(AC3264&lt;0,0,AC3264/($R$3232-INDEX(hd_off,MATCH(AQ3264,hd_mark,0),0)/12)),0)</f>
        <v>0</v>
      </c>
      <c r="AE3264">
        <f>IF(S3264=0,0,$AD$3232*$AM$3224)</f>
        <v>0</v>
      </c>
      <c r="AF3264">
        <f>IFERROR(AE3264/$R$3232,0)</f>
        <v>0</v>
      </c>
      <c r="AG3264">
        <f>AE3264*($F$24+IF($F$24=0,0,($C$14+$C$15+IF($C$13="single",1.5,3)+3)/12))</f>
        <v>0</v>
      </c>
      <c r="AH3264">
        <f>AG3264-X3264</f>
        <v>0</v>
      </c>
      <c r="AI3264" cm="1">
        <f t="array" ref="AI3264">IFERROR(IF(AH3264&lt;0,0,AH3264/($R$3232-INDEX(hd_off,MATCH(AQ3264,hd_mark,0),0)/12)),0)</f>
        <v>0</v>
      </c>
      <c r="AJ3264">
        <f>MAX($F$24,$AB$3232)/$Q$3252</f>
        <v>0</v>
      </c>
      <c r="AK3264">
        <f t="shared" si="2025"/>
        <v>0</v>
      </c>
      <c r="AL3264" cm="1">
        <f t="array" ref="AL3264">IFERROR(INDEX(sheath_ecap_asd,MATCH(AP3264,sheath_mark,0),0)*AK3264,0)</f>
        <v>0</v>
      </c>
      <c r="AM3264" cm="1">
        <f t="array" ref="AM3264">IFERROR(INDEX(sheath_wcap_asd,MATCH(AP3264,sheath_mark,0),0)*AK3264,0)</f>
        <v>0</v>
      </c>
      <c r="AN3264" cm="1">
        <f t="array" ref="AN3264">IFERROR(INDEX(hd_cap,MATCH(AQ3264,hd_mark,0),0),0)</f>
        <v>0</v>
      </c>
      <c r="AP3264" s="19"/>
      <c r="AQ3264" s="19"/>
      <c r="AR3264" s="100"/>
      <c r="AS3264" s="93"/>
      <c r="AT3264" s="111">
        <f>$R$3232</f>
        <v>0</v>
      </c>
      <c r="AU3264" t="str">
        <f>$Q$3224</f>
        <v>L5</v>
      </c>
      <c r="AV3264">
        <f>$E$24</f>
        <v>0</v>
      </c>
      <c r="AW3264" cm="1">
        <f t="array" ref="AW3264">IFERROR(IF(AV3264=0,0,(INDEX($C$33:$C$38,MATCH($AZ$3232,$B$33:$B$38,0),0)*(AV3265+$BA$3232)+$AW$3232*COUNTIF(AV3264:AV3264,"&gt;0")*$C$32+$AY$3232*$C$31)*$AU$3232),0)</f>
        <v>0</v>
      </c>
      <c r="AX3264">
        <f>IF(AV3264=0,0,-(COUNTIF(AV3264:AV3264,"&gt;0")*$AW$3232*$C$32+$AY$3232*$C$31)*$H$27*$AU$3232)</f>
        <v>0</v>
      </c>
      <c r="AY3264">
        <f>IF(AV3264=0,0,$AY$3232*$H$26*$AU$3232)</f>
        <v>0</v>
      </c>
      <c r="AZ3264">
        <f>(0.6*AW3264+0.7*AX3264)*$AU$3232/2</f>
        <v>0</v>
      </c>
      <c r="BA3264">
        <f>AW3264*$AU$3232/2</f>
        <v>0</v>
      </c>
      <c r="BC3264">
        <f>IF(AV3264=0,0,$BG$3232*$AP$3224)</f>
        <v>0</v>
      </c>
      <c r="BD3264">
        <f>IFERROR(BC3264/$AU$3232,0)</f>
        <v>0</v>
      </c>
      <c r="BE3264">
        <f>BC3264*($F$24+IF($F$24=0,0,($C$14+$C$15+IF($C$13="single",1.5,3)+3)/12))</f>
        <v>0</v>
      </c>
      <c r="BF3264">
        <f>BE3264-AZ3264</f>
        <v>0</v>
      </c>
      <c r="BG3264" cm="1">
        <f t="array" ref="BG3264">IFERROR(IF(BF3264&lt;0,0,BF3264/($AU$3232-INDEX(hd_off,MATCH(BT3264,hd_mark,0),0)/12)),0)</f>
        <v>0</v>
      </c>
      <c r="BH3264">
        <f>IF(AV3264=0,0,$BG$3232*$AM$3224)</f>
        <v>0</v>
      </c>
      <c r="BI3264">
        <f>IFERROR(BH3264/$AU$3232,0)</f>
        <v>0</v>
      </c>
      <c r="BJ3264">
        <f>BH3264*($F$24+IF($F$24=0,0,($C$14+$C$15+IF($C$13="single",1.5,3)+3)/12))</f>
        <v>0</v>
      </c>
      <c r="BK3264">
        <f>BJ3264-BA3264</f>
        <v>0</v>
      </c>
      <c r="BL3264" cm="1">
        <f t="array" ref="BL3264">IFERROR(IF(BK3264&lt;0,0,BK3264/($AU$3232-INDEX(hd_off,MATCH(BT3264,hd_mark,0),0)/12)),0)</f>
        <v>0</v>
      </c>
      <c r="BM3264">
        <f>MAX($F$24,$BE$3232)/$Q$3252</f>
        <v>0</v>
      </c>
      <c r="BN3264">
        <f t="shared" si="2026"/>
        <v>0</v>
      </c>
      <c r="BO3264" cm="1">
        <f t="array" ref="BO3264">IFERROR(INDEX(sheath_ecap_asd,MATCH(BS3264,sheath_mark,0),0)*BN3264,0)</f>
        <v>0</v>
      </c>
      <c r="BP3264" cm="1">
        <f t="array" ref="BP3264">IFERROR(INDEX(sheath_wcap_asd,MATCH(BS3264,sheath_mark,0),0)*BN3264,0)</f>
        <v>0</v>
      </c>
      <c r="BQ3264" cm="1">
        <f t="array" ref="BQ3264">IFERROR(INDEX(hd_cap,MATCH(BT3264,hd_mark,0),0),0)</f>
        <v>0</v>
      </c>
      <c r="BS3264" s="19"/>
      <c r="BT3264" s="19"/>
      <c r="BU3264" s="100"/>
    </row>
    <row r="3265" x14ac:dyDescent="0.25">
      <c r="B3265" t="s">
        <v>471</v>
      </c>
      <c r="C3265" s="19"/>
      <c r="D3265" s="19"/>
      <c r="E3265">
        <f t="shared" si="2018"/>
        <v>0</v>
      </c>
      <c r="H3265">
        <v>24</v>
      </c>
      <c r="I3265" s="19"/>
      <c r="J3265" s="19"/>
      <c r="K3265">
        <f t="shared" si="2019"/>
        <v>0</v>
      </c>
      <c r="P3265" s="93"/>
      <c r="Q3265" s="109"/>
      <c r="R3265" t="str">
        <f>$Q$3225</f>
        <v>Roof</v>
      </c>
      <c r="S3265">
        <f>$E$25</f>
        <v>33.171875</v>
      </c>
      <c r="T3265" cm="1">
        <f t="array" ref="T3265">IFERROR(IF(S3265=0,0,(INDEX($C$33:$C$38,MATCH($W$3232,$B$33:$B$38,0),0)*(S3265+$X$3232)+$V$3232*$C$31)*$R$3232),0)</f>
        <v>0</v>
      </c>
      <c r="U3265">
        <f>IF(S3265=0,0,-$V$3232*$C$31*$H$27*$R$3232)</f>
        <v>0</v>
      </c>
      <c r="V3265">
        <f>IF(S3265=0,0,$V$3232*$H$26*$R$3232)</f>
        <v>0</v>
      </c>
      <c r="W3265">
        <f>(0.6*T3265+0.7*U3265)*$R$3232/2</f>
        <v>0</v>
      </c>
      <c r="X3265">
        <f>T3265*$R$3232/2</f>
        <v>0</v>
      </c>
      <c r="Z3265">
        <f>IF(S3265=0,0,$AD$3232*$AP$3225)</f>
        <v>0</v>
      </c>
      <c r="AA3265">
        <f>IFERROR(Z3265/$R$3232,0)</f>
        <v>0</v>
      </c>
      <c r="AB3265">
        <f>Z3265*($F$25+($C$16+$C$17+IF($C$13="single",1.5,3)+3)/12)</f>
        <v>0</v>
      </c>
      <c r="AC3265">
        <f>AB3265-W3265</f>
        <v>0</v>
      </c>
      <c r="AD3265" cm="1">
        <f t="array" ref="AD3265">IFERROR(IF(AC3265&lt;0,0,AC3265/($R$3232-INDEX(hd_off,MATCH(AQ3265,hd_mark,0),0)/12)),0)</f>
        <v>0</v>
      </c>
      <c r="AE3265">
        <f>IF(S3265=0,0,$AD$3232*$AM$3225)</f>
        <v>0</v>
      </c>
      <c r="AF3265">
        <f>IFERROR(AE3265/$R$3232,0)</f>
        <v>0</v>
      </c>
      <c r="AG3265">
        <f>AE3265*($F$25+($C$16+$C$17+IF($C$13="single",1.5,3)+3)/12)</f>
        <v>0</v>
      </c>
      <c r="AH3265">
        <f>AG3265-X3265</f>
        <v>0</v>
      </c>
      <c r="AI3265" cm="1">
        <f t="array" ref="AI3265">IFERROR(IF(AH3265&lt;0,0,AH3265/($R$3232-INDEX(hd_off,MATCH(AQ3265,hd_mark,0),0)/12)),0)</f>
        <v>0</v>
      </c>
      <c r="AJ3265">
        <f>MAX($F$25,$AC$3232)/$Q$3252</f>
        <v>0.29920977011494249</v>
      </c>
      <c r="AK3265">
        <f t="shared" si="2025"/>
        <v>1</v>
      </c>
      <c r="AL3265" cm="1">
        <f t="array" ref="AL3265">IFERROR(INDEX(sheath_ecap_asd,MATCH(AP3265,sheath_mark,0),0)*AK3265,0)</f>
        <v>0</v>
      </c>
      <c r="AM3265" cm="1">
        <f t="array" ref="AM3265">IFERROR(INDEX(sheath_wcap_asd,MATCH(AP3265,sheath_mark,0),0)*AK3265,0)</f>
        <v>0</v>
      </c>
      <c r="AN3265" cm="1">
        <f t="array" ref="AN3265">IFERROR(INDEX(hd_cap,MATCH(AQ3265,hd_mark,0),0),0)</f>
        <v>0</v>
      </c>
      <c r="AP3265" s="19"/>
      <c r="AQ3265" s="19"/>
      <c r="AR3265" s="100"/>
      <c r="AS3265" s="93"/>
      <c r="AT3265" s="109"/>
      <c r="AU3265" t="str">
        <f>$Q$3225</f>
        <v>Roof</v>
      </c>
      <c r="AV3265">
        <f>$E$25</f>
        <v>33.171875</v>
      </c>
      <c r="AW3265" cm="1">
        <f t="array" ref="AW3265">IFERROR(IF(AV3265=0,0,(INDEX($C$33:$C$38,MATCH($AZ$3232,$B$33:$B$38,0),0)*(AV3265+$BA$3232)+$AY$3232*$C$31)*$AU$3232),0)</f>
        <v>0</v>
      </c>
      <c r="AX3265">
        <f>IF(AV3265=0,0,-$AY$3232*$C$31*$H$27*$AU$3232)</f>
        <v>0</v>
      </c>
      <c r="AY3265">
        <f>IF(AV3265=0,0,$AY$3232*$H$26*$AU$3232)</f>
        <v>0</v>
      </c>
      <c r="AZ3265">
        <f>(0.6*AW3265+0.7*AX3265)*$AU$3232/2</f>
        <v>0</v>
      </c>
      <c r="BA3265">
        <f>AW3265*$AU$3232/2</f>
        <v>0</v>
      </c>
      <c r="BC3265">
        <f>IF(AV3265=0,0,$BG$3232*$AP$3225)</f>
        <v>0</v>
      </c>
      <c r="BD3265">
        <f>IFERROR(BC3265/$AU$3232,0)</f>
        <v>0</v>
      </c>
      <c r="BE3265">
        <f>BC3265*($F$25+($C$16+$C$17+IF($C$13="single",1.5,3)+3)/12)</f>
        <v>0</v>
      </c>
      <c r="BF3265">
        <f>BE3265-AZ3265</f>
        <v>0</v>
      </c>
      <c r="BG3265" cm="1">
        <f t="array" ref="BG3265">IFERROR(IF(BF3265&lt;0,0,BF3265/($AU$3232-INDEX(hd_off,MATCH(BT3265,hd_mark,0),0)/12)),0)</f>
        <v>0</v>
      </c>
      <c r="BH3265">
        <f>IF(AV3265=0,0,$BG$3232*$AM$3225)</f>
        <v>0</v>
      </c>
      <c r="BI3265">
        <f>IFERROR(BH3265/$AU$3232,0)</f>
        <v>0</v>
      </c>
      <c r="BJ3265">
        <f>BH3265*($F$25+($C$16+$C$17+IF($C$13="single",1.5,3)+3)/12)</f>
        <v>0</v>
      </c>
      <c r="BK3265">
        <f>BJ3265-BA3265</f>
        <v>0</v>
      </c>
      <c r="BL3265" cm="1">
        <f t="array" ref="BL3265">IFERROR(IF(BK3265&lt;0,0,BK3265/($AU$3232-INDEX(hd_off,MATCH(BT3265,hd_mark,0),0)/12)),0)</f>
        <v>0</v>
      </c>
      <c r="BM3265">
        <f>MAX($F$25,$BF$3232)/$Q$3252</f>
        <v>0.29920977011494249</v>
      </c>
      <c r="BN3265">
        <f t="shared" si="2026"/>
        <v>1</v>
      </c>
      <c r="BO3265" cm="1">
        <f t="array" ref="BO3265">IFERROR(INDEX(sheath_ecap_asd,MATCH(BS3265,sheath_mark,0),0)*BN3265,0)</f>
        <v>0</v>
      </c>
      <c r="BP3265" cm="1">
        <f t="array" ref="BP3265">IFERROR(INDEX(sheath_wcap_asd,MATCH(BS3265,sheath_mark,0),0)*BN3265,0)</f>
        <v>0</v>
      </c>
      <c r="BQ3265" cm="1">
        <f t="array" ref="BQ3265">IFERROR(INDEX(hd_cap,MATCH(BT3265,hd_mark,0),0),0)</f>
        <v>0</v>
      </c>
      <c r="BS3265" s="19"/>
      <c r="BT3265" s="19"/>
      <c r="BU3265" s="100"/>
    </row>
    <row r="3266" x14ac:dyDescent="0.25">
      <c r="B3266" t="s">
        <v>472</v>
      </c>
      <c r="C3266" s="19"/>
      <c r="D3266" s="19"/>
      <c r="E3266">
        <f t="shared" si="2018"/>
        <v>0</v>
      </c>
      <c r="H3266">
        <v>25</v>
      </c>
      <c r="I3266" s="19"/>
      <c r="J3266" s="19"/>
      <c r="K3266">
        <f t="shared" si="2019"/>
        <v>0</v>
      </c>
      <c r="P3266" s="93"/>
      <c r="AR3266" s="100"/>
      <c r="AS3266" s="93"/>
      <c r="BU3266" s="100"/>
    </row>
    <row r="3267" x14ac:dyDescent="0.25">
      <c r="B3267" t="s">
        <v>473</v>
      </c>
      <c r="C3267" s="19"/>
      <c r="D3267" s="19"/>
      <c r="E3267">
        <f t="shared" si="2018"/>
        <v>0</v>
      </c>
      <c r="H3267">
        <v>26</v>
      </c>
      <c r="I3267" s="19"/>
      <c r="J3267" s="19"/>
      <c r="K3267">
        <f t="shared" si="2019"/>
        <v>0</v>
      </c>
      <c r="P3267" s="93"/>
      <c r="Q3267" s="110" t="str">
        <f>$Q$3233</f>
        <v>A.04</v>
      </c>
      <c r="R3267" t="str">
        <f>$Q$3221</f>
        <v>L2</v>
      </c>
      <c r="S3267">
        <f>$E$21</f>
        <v>10.6875</v>
      </c>
      <c r="T3267" cm="1">
        <f t="array" ref="T3267">IFERROR(IF(S3267=0,0,(INDEX($C$33:$C$38,MATCH($W$3233,$B$33:$B$38,0),0)*(S3271+$X$3233)+$T$3233*COUNTIF(S3267:S3270,"&gt;0")*$C$32+$V$3233*$C$31)*$R$3233),0)</f>
        <v>0</v>
      </c>
      <c r="U3267">
        <f>IF(S3267=0,0,-(COUNTIF(S3267:S3270,"&gt;0")*$T$3233*$C$32+$V$3233*$C$31)*$H$27*$R$3233)</f>
        <v>0</v>
      </c>
      <c r="V3267">
        <f>IF(S3267=0,0,$V$3233*$H$26*$R$3233)</f>
        <v>0</v>
      </c>
      <c r="W3267">
        <f>(0.6*T3267+0.7*U3267)*$R$3233/2</f>
        <v>0</v>
      </c>
      <c r="X3267">
        <f>(0.6*T3267+0.6*V3267)*$R$3233/2</f>
        <v>0</v>
      </c>
      <c r="Z3267">
        <f>IF(S3267=0,0,$AD$3233*$AP$3221)</f>
        <v>0</v>
      </c>
      <c r="AA3267">
        <f>IFERROR(Z3267/$R$3233,0)</f>
        <v>0</v>
      </c>
      <c r="AB3267">
        <f>Z3267*($F$21+IF($F$21=0,0,($C$14+$C$15+IF($C$13="single",1.5,3)+3)/12))</f>
        <v>0</v>
      </c>
      <c r="AC3267">
        <f>AB3267-W3267</f>
        <v>0</v>
      </c>
      <c r="AD3267" cm="1">
        <f t="array" ref="AD3267">IFERROR(IF(AC3267&lt;0,0,AC3267/($R$3233-INDEX(hd_off,MATCH(AQ3267,hd_mark,0),0)/12)),0)</f>
        <v>0</v>
      </c>
      <c r="AE3267">
        <f>IF(S3267=0,0,$AD$3233*$AM$3221)</f>
        <v>0</v>
      </c>
      <c r="AF3267">
        <f>IFERROR(AE3267/$R$3233,0)</f>
        <v>0</v>
      </c>
      <c r="AG3267">
        <f>AE3267*($F$21+IF($F$21=0,0,($C$14+$C$15+IF($C$13="single",1.5,3)+3)/12))</f>
        <v>0</v>
      </c>
      <c r="AH3267">
        <f>AG3267-X3267</f>
        <v>0</v>
      </c>
      <c r="AI3267" cm="1">
        <f t="array" ref="AI3267">IFERROR(IF(AH3267&lt;0,0,AH3267/($R$3233-INDEX(hd_off,MATCH(AQ3267,hd_mark,0),0)/12)),0)</f>
        <v>0</v>
      </c>
      <c r="AJ3267">
        <f>MAX($F$21,$Y$3233)/$Q$3252</f>
        <v>0.30172413793103448</v>
      </c>
      <c r="AK3267">
        <f>IF(AJ3267=0,0,IF(AJ3267&gt;2,1.25-0.125*AJ3267,1))</f>
        <v>1</v>
      </c>
      <c r="AL3267" cm="1">
        <f t="array" ref="AL3267">IFERROR(INDEX(sheath_ecap_asd,MATCH(AP3267,sheath_mark,0),0)*AK3267,0)</f>
        <v>0</v>
      </c>
      <c r="AM3267" cm="1">
        <f t="array" ref="AM3267">IFERROR(INDEX(sheath_wcap_asd,MATCH(AP3267,sheath_mark,0),0)*AK3267,0)</f>
        <v>0</v>
      </c>
      <c r="AN3267" cm="1">
        <f t="array" ref="AN3267">IFERROR(INDEX(hd_cap,MATCH(AQ3267,hd_mark,0),0),0)</f>
        <v>0</v>
      </c>
      <c r="AP3267" s="19"/>
      <c r="AQ3267" s="19"/>
      <c r="AR3267" s="100"/>
      <c r="AS3267" s="93"/>
      <c r="AT3267" s="110" t="str">
        <f>$AT$3233</f>
        <v>1.04</v>
      </c>
      <c r="AU3267" t="str">
        <f>$Q$3221</f>
        <v>L2</v>
      </c>
      <c r="AV3267">
        <f>$E$21</f>
        <v>10.6875</v>
      </c>
      <c r="AW3267" cm="1">
        <f t="array" ref="AW3267">IFERROR(IF(AV3267=0,0,(INDEX($C$33:$C$38,MATCH($AZ$3233,$B$33:$B$38,0),0)*(AV3271+$BA$3233)+$AW$3233*COUNTIF(AV3267:AV3270,"&gt;0")*$C$32+$AY$3233*$C$31)*$AU$3233),0)</f>
        <v>0</v>
      </c>
      <c r="AX3267">
        <f>IF(AV3267=0,0,-(COUNTIF(AV3267:AV3270,"&gt;0")*$AW$3233*$C$32+$AY$3233*$C$31)*$H$27*$AU$3233)</f>
        <v>0</v>
      </c>
      <c r="AY3267">
        <f>IF(AV3267=0,0,$AY$3233*$H$26*$AU$3233)</f>
        <v>0</v>
      </c>
      <c r="AZ3267">
        <f>(0.6*AW3267+0.7*AX3267)*$AU$3233/2</f>
        <v>0</v>
      </c>
      <c r="BA3267">
        <f>(0.6*AW3267+0.6*AY3267)*$AU$3233/2</f>
        <v>0</v>
      </c>
      <c r="BC3267">
        <f>IF(AV3267=0,0,$BG$3233*$AP$3221)</f>
        <v>0</v>
      </c>
      <c r="BD3267">
        <f>IFERROR(BC3267/$AU$3233,0)</f>
        <v>0</v>
      </c>
      <c r="BE3267">
        <f>BC3267*($F$21+IF($F$21=0,0,($C$14+$C$15+IF($C$13="single",1.5,3)+3)/12))</f>
        <v>0</v>
      </c>
      <c r="BF3267">
        <f>BE3267-AZ3267</f>
        <v>0</v>
      </c>
      <c r="BG3267" cm="1">
        <f t="array" ref="BG3267">IFERROR(IF(BF3267&lt;0,0,BF3267/($AU$3233-INDEX(hd_off,MATCH(BT3267,hd_mark,0),0)/12)),0)</f>
        <v>0</v>
      </c>
      <c r="BH3267">
        <f>IF(AV3267=0,0,$BG$3233*$AM$3221)</f>
        <v>0</v>
      </c>
      <c r="BI3267">
        <f>IFERROR(BH3267/$AU$3233,0)</f>
        <v>0</v>
      </c>
      <c r="BJ3267">
        <f>BH3267*($F$21+IF($F$21=0,0,($C$14+$C$15+IF($C$13="single",1.5,3)+3)/12))</f>
        <v>0</v>
      </c>
      <c r="BK3267">
        <f>BJ3267-BA3267</f>
        <v>0</v>
      </c>
      <c r="BL3267" cm="1">
        <f t="array" ref="BL3267">IFERROR(IF(BK3267&lt;0,0,BK3267/($AU$3233-INDEX(hd_off,MATCH(BT3267,hd_mark,0),0)/12)),0)</f>
        <v>0</v>
      </c>
      <c r="BM3267">
        <f>MAX($F$21,$BB$3233)/$Q$3252</f>
        <v>0.30172413793103448</v>
      </c>
      <c r="BN3267">
        <f>IF(BM3267=0,0,IF(BM3267&gt;2,1.25-0.125*BM3267,1))</f>
        <v>1</v>
      </c>
      <c r="BO3267" cm="1">
        <f t="array" ref="BO3267">IFERROR(INDEX(sheath_ecap_asd,MATCH(BS3267,sheath_mark,0),0)*BN3267,0)</f>
        <v>0</v>
      </c>
      <c r="BP3267" cm="1">
        <f t="array" ref="BP3267">IFERROR(INDEX(sheath_wcap_asd,MATCH(BS3267,sheath_mark,0),0)*BN3267,0)</f>
        <v>0</v>
      </c>
      <c r="BQ3267" cm="1">
        <f t="array" ref="BQ3267">IFERROR(INDEX(hd_cap,MATCH(BT3267,hd_mark,0),0),0)</f>
        <v>0</v>
      </c>
      <c r="BS3267" s="19"/>
      <c r="BT3267" s="19"/>
      <c r="BU3267" s="100"/>
    </row>
    <row r="3268" x14ac:dyDescent="0.25">
      <c r="P3268" s="93"/>
      <c r="Q3268" s="109"/>
      <c r="R3268" t="str">
        <f>$Q$3222</f>
        <v>L3</v>
      </c>
      <c r="S3268">
        <f>$E$22</f>
        <v>21.375</v>
      </c>
      <c r="T3268" cm="1">
        <f t="array" ref="T3268">IFERROR(IF(S3268=0,0,(INDEX($C$33:$C$38,MATCH($W$3233,$B$33:$B$38,0),0)*(S3271+$X$3233)+$T$3233*COUNTIF(S3268:S3270,"&gt;0")*$C$32+$V$3233*$C$31)*$R$3233),0)</f>
        <v>0</v>
      </c>
      <c r="U3268">
        <f>IF(S3268=0,0,-(COUNTIF(S3268:S3270,"&gt;0")*$T$3233*$C$32+$V$3233*$C$31)*$H$27*$R$3233)</f>
        <v>0</v>
      </c>
      <c r="V3268">
        <f>IF(S3268=0,0,$V$3233*$H$26*$R$3233)</f>
        <v>0</v>
      </c>
      <c r="W3268">
        <f>(0.6*T3268+0.7*U3268)*$R$3233/2</f>
        <v>0</v>
      </c>
      <c r="X3268">
        <f>T3268*$R$3233/2</f>
        <v>0</v>
      </c>
      <c r="Z3268">
        <f>IF(S3268=0,0,$AD$3233*$AP$3222)</f>
        <v>0</v>
      </c>
      <c r="AA3268">
        <f>IFERROR(Z3268/$R$3233,0)</f>
        <v>0</v>
      </c>
      <c r="AB3268">
        <f>Z3268*($F$22+IF($F$22=0,0,($C$14+$C$15+IF($C$13="single",1.5,3)+3)/12))</f>
        <v>0</v>
      </c>
      <c r="AC3268">
        <f>AB3268-W3268</f>
        <v>0</v>
      </c>
      <c r="AD3268" cm="1">
        <f t="array" ref="AD3268">IFERROR(IF(AC3268&lt;0,0,AC3268/($R$3233-INDEX(hd_off,MATCH(AQ3268,hd_mark,0),0)/12)),0)</f>
        <v>0</v>
      </c>
      <c r="AE3268">
        <f>IF(S3268=0,0,$AD$3233*$AM$3222)</f>
        <v>0</v>
      </c>
      <c r="AF3268">
        <f>IFERROR(AE3268/$R$3233,0)</f>
        <v>0</v>
      </c>
      <c r="AG3268">
        <f>AE3268*($F$22+IF($F$22=0,0,($C$14+$C$15+IF($C$13="single",1.5,3)+3)/12))</f>
        <v>0</v>
      </c>
      <c r="AH3268">
        <f>AG3268-X3268</f>
        <v>0</v>
      </c>
      <c r="AI3268" cm="1">
        <f t="array" ref="AI3268">IFERROR(IF(AH3268&lt;0,0,AH3268/($R$3233-INDEX(hd_off,MATCH(AQ3268,hd_mark,0),0)/12)),0)</f>
        <v>0</v>
      </c>
      <c r="AJ3268">
        <f>MAX($F$22,$Z$3233)/$Q$3252</f>
        <v>0.30172413793103448</v>
      </c>
      <c r="AK3268">
        <f t="shared" ref="AK3268:AK3271" si="2027">IF(AJ3268=0,0,IF(AJ3268&gt;2,1.25-0.125*AJ3268,1))</f>
        <v>1</v>
      </c>
      <c r="AL3268" cm="1">
        <f t="array" ref="AL3268">IFERROR(INDEX(sheath_ecap_asd,MATCH(AP3268,sheath_mark,0),0)*AK3268,0)</f>
        <v>0</v>
      </c>
      <c r="AM3268" cm="1">
        <f t="array" ref="AM3268">IFERROR(INDEX(sheath_wcap_asd,MATCH(AP3268,sheath_mark,0),0)*AK3268,0)</f>
        <v>0</v>
      </c>
      <c r="AN3268" cm="1">
        <f t="array" ref="AN3268">IFERROR(INDEX(hd_cap,MATCH(AQ3268,hd_mark,0),0),0)</f>
        <v>0</v>
      </c>
      <c r="AP3268" s="19"/>
      <c r="AQ3268" s="19"/>
      <c r="AR3268" s="100"/>
      <c r="AS3268" s="93"/>
      <c r="AT3268" s="109"/>
      <c r="AU3268" t="str">
        <f>$Q$3222</f>
        <v>L3</v>
      </c>
      <c r="AV3268">
        <f>$E$22</f>
        <v>21.375</v>
      </c>
      <c r="AW3268" cm="1">
        <f t="array" ref="AW3268">IFERROR(IF(AV3268=0,0,(INDEX($C$33:$C$38,MATCH($AZ$3233,$B$33:$B$38,0),0)*(AV3271+$BA$3233)+$AW$3233*COUNTIF(AV3268:AV3270,"&gt;0")*$C$32+$AY$3233*$C$31)*$AU$3233),0)</f>
        <v>0</v>
      </c>
      <c r="AX3268">
        <f>IF(AV3268=0,0,-(COUNTIF(AV3268:AV3270,"&gt;0")*$AW$3233*$C$32+$AY$3233*$C$31)*$H$27*$AU$3233)</f>
        <v>0</v>
      </c>
      <c r="AY3268">
        <f>IF(AV3268=0,0,$AY$3233*$H$26*$AU$3233)</f>
        <v>0</v>
      </c>
      <c r="AZ3268">
        <f>(0.6*AW3268+0.7*AX3268)*$AU$3233/2</f>
        <v>0</v>
      </c>
      <c r="BA3268">
        <f>AW3268*$AU$3233/2</f>
        <v>0</v>
      </c>
      <c r="BC3268">
        <f>IF(AV3268=0,0,$BG$3233*$AP$3222)</f>
        <v>0</v>
      </c>
      <c r="BD3268">
        <f>IFERROR(BC3268/$AU$3233,0)</f>
        <v>0</v>
      </c>
      <c r="BE3268">
        <f>BC3268*($F$22+IF($F$22=0,0,($C$14+$C$15+IF($C$13="single",1.5,3)+3)/12))</f>
        <v>0</v>
      </c>
      <c r="BF3268">
        <f>BE3268-AZ3268</f>
        <v>0</v>
      </c>
      <c r="BG3268" cm="1">
        <f t="array" ref="BG3268">IFERROR(IF(BF3268&lt;0,0,BF3268/($AU$3233-INDEX(hd_off,MATCH(BT3268,hd_mark,0),0)/12)),0)</f>
        <v>0</v>
      </c>
      <c r="BH3268">
        <f>IF(AV3268=0,0,$BG$3233*$AM$3222)</f>
        <v>0</v>
      </c>
      <c r="BI3268">
        <f>IFERROR(BH3268/$AU$3233,0)</f>
        <v>0</v>
      </c>
      <c r="BJ3268">
        <f>BH3268*($F$22+IF($F$22=0,0,($C$14+$C$15+IF($C$13="single",1.5,3)+3)/12))</f>
        <v>0</v>
      </c>
      <c r="BK3268">
        <f>BJ3268-BA3268</f>
        <v>0</v>
      </c>
      <c r="BL3268" cm="1">
        <f t="array" ref="BL3268">IFERROR(IF(BK3268&lt;0,0,BK3268/($AU$3233-INDEX(hd_off,MATCH(BT3268,hd_mark,0),0)/12)),0)</f>
        <v>0</v>
      </c>
      <c r="BM3268">
        <f>MAX($F$22,$BC$3233)/$Q$3252</f>
        <v>0.30172413793103448</v>
      </c>
      <c r="BN3268">
        <f t="shared" ref="BN3268:BN3271" si="2028">IF(BM3268=0,0,IF(BM3268&gt;2,1.25-0.125*BM3268,1))</f>
        <v>1</v>
      </c>
      <c r="BO3268" cm="1">
        <f t="array" ref="BO3268">IFERROR(INDEX(sheath_ecap_asd,MATCH(BS3268,sheath_mark,0),0)*BN3268,0)</f>
        <v>0</v>
      </c>
      <c r="BP3268" cm="1">
        <f t="array" ref="BP3268">IFERROR(INDEX(sheath_wcap_asd,MATCH(BS3268,sheath_mark,0),0)*BN3268,0)</f>
        <v>0</v>
      </c>
      <c r="BQ3268" cm="1">
        <f t="array" ref="BQ3268">IFERROR(INDEX(hd_cap,MATCH(BT3268,hd_mark,0),0),0)</f>
        <v>0</v>
      </c>
      <c r="BS3268" s="19"/>
      <c r="BT3268" s="19"/>
      <c r="BU3268" s="100"/>
    </row>
    <row r="3269" x14ac:dyDescent="0.25">
      <c r="B3269" s="1"/>
      <c r="P3269" s="93"/>
      <c r="Q3269" s="109" t="s">
        <v>491</v>
      </c>
      <c r="R3269" t="str">
        <f>$Q$3223</f>
        <v>L4</v>
      </c>
      <c r="S3269">
        <f>$E$23</f>
        <v>0</v>
      </c>
      <c r="T3269" cm="1">
        <f t="array" ref="T3269">IFERROR(IF(S3269=0,0,(INDEX($C$33:$C$38,MATCH($W$3233,$B$33:$B$38,0),0)*(S3271+$X$3233)+$T$3233*COUNTIF(S3269:S3270,"&gt;0")*$C$32+$V$3233*$C$31)*$R$3233),0)</f>
        <v>0</v>
      </c>
      <c r="U3269">
        <f>IF(S3269=0,0,-(COUNTIF(S3269:S3270,"&gt;0")*$T$3233*$C$32+$V$3233*$C$31)*$H$27*$R$3233)</f>
        <v>0</v>
      </c>
      <c r="V3269">
        <f>IF(S3269=0,0,$V$3233*$H$26*$R$3233)</f>
        <v>0</v>
      </c>
      <c r="W3269">
        <f>(0.6*T3269+0.7*U3269)*$R$3233/2</f>
        <v>0</v>
      </c>
      <c r="X3269">
        <f>T3269*$R$3233/2</f>
        <v>0</v>
      </c>
      <c r="Z3269">
        <f>IF(S3269=0,0,$AD$3233*$AP$3223)</f>
        <v>0</v>
      </c>
      <c r="AA3269">
        <f>IFERROR(Z3269/$R$3233,0)</f>
        <v>0</v>
      </c>
      <c r="AB3269">
        <f>Z3269*($F$23+IF($F$23=0,0,($C$14+$C$15+IF($C$13="single",1.5,3)+3)/12))</f>
        <v>0</v>
      </c>
      <c r="AC3269">
        <f>AB3269-W3269</f>
        <v>0</v>
      </c>
      <c r="AD3269" cm="1">
        <f t="array" ref="AD3269">IFERROR(IF(AC3269&lt;0,0,AC3269/($R$3233-INDEX(hd_off,MATCH(AQ3269,hd_mark,0),0)/12)),0)</f>
        <v>0</v>
      </c>
      <c r="AE3269">
        <f>IF(S3269=0,0,$AD$3233*$AM$3223)</f>
        <v>0</v>
      </c>
      <c r="AF3269">
        <f>IFERROR(AE3269/$R$3233,0)</f>
        <v>0</v>
      </c>
      <c r="AG3269">
        <f>AE3269*($F$23+IF($F$23=0,0,($C$14+$C$15+IF($C$13="single",1.5,3)+3)/12))</f>
        <v>0</v>
      </c>
      <c r="AH3269">
        <f>AG3269-X3269</f>
        <v>0</v>
      </c>
      <c r="AI3269" cm="1">
        <f t="array" ref="AI3269">IFERROR(IF(AH3269&lt;0,0,AH3269/($R$3233-INDEX(hd_off,MATCH(AQ3269,hd_mark,0),0)/12)),0)</f>
        <v>0</v>
      </c>
      <c r="AJ3269">
        <f>MAX($F$23,$AA$3233)/$Q$3252</f>
        <v>0</v>
      </c>
      <c r="AK3269">
        <f t="shared" si="2027"/>
        <v>0</v>
      </c>
      <c r="AL3269" cm="1">
        <f t="array" ref="AL3269">IFERROR(INDEX(sheath_ecap_asd,MATCH(AP3269,sheath_mark,0),0)*AK3269,0)</f>
        <v>0</v>
      </c>
      <c r="AM3269" cm="1">
        <f t="array" ref="AM3269">IFERROR(INDEX(sheath_wcap_asd,MATCH(AP3269,sheath_mark,0),0)*AK3269,0)</f>
        <v>0</v>
      </c>
      <c r="AN3269" cm="1">
        <f t="array" ref="AN3269">IFERROR(INDEX(hd_cap,MATCH(AQ3269,hd_mark,0),0),0)</f>
        <v>0</v>
      </c>
      <c r="AP3269" s="19"/>
      <c r="AQ3269" s="19"/>
      <c r="AR3269" s="100"/>
      <c r="AS3269" s="93"/>
      <c r="AT3269" s="109" t="s">
        <v>491</v>
      </c>
      <c r="AU3269" t="str">
        <f>$Q$3223</f>
        <v>L4</v>
      </c>
      <c r="AV3269">
        <f>$E$23</f>
        <v>0</v>
      </c>
      <c r="AW3269" cm="1">
        <f t="array" ref="AW3269">IFERROR(IF(AV3269=0,0,(INDEX($C$33:$C$38,MATCH($AZ$3233,$B$33:$B$38,0),0)*(AV3271+$BA$3233)+$AW$3233*COUNTIF(AV3269:AV3270,"&gt;0")*$C$32+$AY$3233*$C$31)*$AU$3233),0)</f>
        <v>0</v>
      </c>
      <c r="AX3269">
        <f>IF(AV3269=0,0,-(COUNTIF(AV3269:AV3270,"&gt;0")*$AW$3233*$C$32+$AY$3233*$C$31)*$H$27*$AU$3233)</f>
        <v>0</v>
      </c>
      <c r="AY3269">
        <f>IF(AV3269=0,0,$AY$3233*$H$26*$AU$3233)</f>
        <v>0</v>
      </c>
      <c r="AZ3269">
        <f>(0.6*AW3269+0.7*AX3269)*$AU$3233/2</f>
        <v>0</v>
      </c>
      <c r="BA3269">
        <f>AW3269*$AU$3233/2</f>
        <v>0</v>
      </c>
      <c r="BC3269">
        <f>IF(AV3269=0,0,$BG$3233*$AP$3223)</f>
        <v>0</v>
      </c>
      <c r="BD3269">
        <f>IFERROR(BC3269/$AU$3233,0)</f>
        <v>0</v>
      </c>
      <c r="BE3269">
        <f>BC3269*($F$23+IF($F$23=0,0,($C$14+$C$15+IF($C$13="single",1.5,3)+3)/12))</f>
        <v>0</v>
      </c>
      <c r="BF3269">
        <f>BE3269-AZ3269</f>
        <v>0</v>
      </c>
      <c r="BG3269" cm="1">
        <f t="array" ref="BG3269">IFERROR(IF(BF3269&lt;0,0,BF3269/($AU$3233-INDEX(hd_off,MATCH(BT3269,hd_mark,0),0)/12)),0)</f>
        <v>0</v>
      </c>
      <c r="BH3269">
        <f>IF(AV3269=0,0,$BG$3233*$AM$3223)</f>
        <v>0</v>
      </c>
      <c r="BI3269">
        <f>IFERROR(BH3269/$AU$3233,0)</f>
        <v>0</v>
      </c>
      <c r="BJ3269">
        <f>BH3269*($F$23+IF($F$23=0,0,($C$14+$C$15+IF($C$13="single",1.5,3)+3)/12))</f>
        <v>0</v>
      </c>
      <c r="BK3269">
        <f>BJ3269-BA3269</f>
        <v>0</v>
      </c>
      <c r="BL3269" cm="1">
        <f t="array" ref="BL3269">IFERROR(IF(BK3269&lt;0,0,BK3269/($AU$3233-INDEX(hd_off,MATCH(BT3269,hd_mark,0),0)/12)),0)</f>
        <v>0</v>
      </c>
      <c r="BM3269">
        <f>MAX($F$23,$BD$3233)/$Q$3252</f>
        <v>0</v>
      </c>
      <c r="BN3269">
        <f t="shared" si="2028"/>
        <v>0</v>
      </c>
      <c r="BO3269" cm="1">
        <f t="array" ref="BO3269">IFERROR(INDEX(sheath_ecap_asd,MATCH(BS3269,sheath_mark,0),0)*BN3269,0)</f>
        <v>0</v>
      </c>
      <c r="BP3269" cm="1">
        <f t="array" ref="BP3269">IFERROR(INDEX(sheath_wcap_asd,MATCH(BS3269,sheath_mark,0),0)*BN3269,0)</f>
        <v>0</v>
      </c>
      <c r="BQ3269" cm="1">
        <f t="array" ref="BQ3269">IFERROR(INDEX(hd_cap,MATCH(BT3269,hd_mark,0),0),0)</f>
        <v>0</v>
      </c>
      <c r="BS3269" s="19"/>
      <c r="BT3269" s="19"/>
      <c r="BU3269" s="100"/>
    </row>
    <row r="3270" x14ac:dyDescent="0.25">
      <c r="P3270" s="93"/>
      <c r="Q3270" s="111">
        <f>$R$3233</f>
        <v>0</v>
      </c>
      <c r="R3270" t="str">
        <f>$Q$3224</f>
        <v>L5</v>
      </c>
      <c r="S3270">
        <f>$E$24</f>
        <v>0</v>
      </c>
      <c r="T3270" cm="1">
        <f t="array" ref="T3270">IFERROR(IF(S3270=0,0,(INDEX($C$33:$C$38,MATCH($W$3233,$B$33:$B$38,0),0)*(S3271+$X$3233)+$T$3233*COUNTIF(S3270:S3270,"&gt;0")*$C$32+$V$3233*$C$31)*$R$3233),0)</f>
        <v>0</v>
      </c>
      <c r="U3270">
        <f>IF(S3270=0,0,-(COUNTIF(S3270:S3270,"&gt;0")*$T$3233*$C$32+$V$3233*$C$31)*$H$27*$R$3233)</f>
        <v>0</v>
      </c>
      <c r="V3270">
        <f>IF(S3270=0,0,$V$3233*$H$26*$R$3233)</f>
        <v>0</v>
      </c>
      <c r="W3270">
        <f>(0.6*T3270+0.7*U3270)*$R$3233/2</f>
        <v>0</v>
      </c>
      <c r="X3270">
        <f>T3270*$R$3233/2</f>
        <v>0</v>
      </c>
      <c r="Z3270">
        <f>IF(S3270=0,0,$AD$3233*$AP$3224)</f>
        <v>0</v>
      </c>
      <c r="AA3270">
        <f>IFERROR(Z3270/$R$3233,0)</f>
        <v>0</v>
      </c>
      <c r="AB3270">
        <f>Z3270*($F$24+IF($F$24=0,0,($C$14+$C$15+IF($C$13="single",1.5,3)+3)/12))</f>
        <v>0</v>
      </c>
      <c r="AC3270">
        <f>AB3270-W3270</f>
        <v>0</v>
      </c>
      <c r="AD3270" cm="1">
        <f t="array" ref="AD3270">IFERROR(IF(AC3270&lt;0,0,AC3270/($R$3233-INDEX(hd_off,MATCH(AQ3270,hd_mark,0),0)/12)),0)</f>
        <v>0</v>
      </c>
      <c r="AE3270">
        <f>IF(S3270=0,0,$AD$3233*$AM$3224)</f>
        <v>0</v>
      </c>
      <c r="AF3270">
        <f>IFERROR(AE3270/$R$3233,0)</f>
        <v>0</v>
      </c>
      <c r="AG3270">
        <f>AE3270*($F$24+IF($F$24=0,0,($C$14+$C$15+IF($C$13="single",1.5,3)+3)/12))</f>
        <v>0</v>
      </c>
      <c r="AH3270">
        <f>AG3270-X3270</f>
        <v>0</v>
      </c>
      <c r="AI3270" cm="1">
        <f t="array" ref="AI3270">IFERROR(IF(AH3270&lt;0,0,AH3270/($R$3233-INDEX(hd_off,MATCH(AQ3270,hd_mark,0),0)/12)),0)</f>
        <v>0</v>
      </c>
      <c r="AJ3270">
        <f>MAX($F$24,$AB$3233)/$Q$3252</f>
        <v>0</v>
      </c>
      <c r="AK3270">
        <f t="shared" si="2027"/>
        <v>0</v>
      </c>
      <c r="AL3270" cm="1">
        <f t="array" ref="AL3270">IFERROR(INDEX(sheath_ecap_asd,MATCH(AP3270,sheath_mark,0),0)*AK3270,0)</f>
        <v>0</v>
      </c>
      <c r="AM3270" cm="1">
        <f t="array" ref="AM3270">IFERROR(INDEX(sheath_wcap_asd,MATCH(AP3270,sheath_mark,0),0)*AK3270,0)</f>
        <v>0</v>
      </c>
      <c r="AN3270" cm="1">
        <f t="array" ref="AN3270">IFERROR(INDEX(hd_cap,MATCH(AQ3270,hd_mark,0),0),0)</f>
        <v>0</v>
      </c>
      <c r="AP3270" s="19"/>
      <c r="AQ3270" s="19"/>
      <c r="AR3270" s="100"/>
      <c r="AS3270" s="93"/>
      <c r="AT3270" s="111">
        <f>$R$3233</f>
        <v>0</v>
      </c>
      <c r="AU3270" t="str">
        <f>$Q$3224</f>
        <v>L5</v>
      </c>
      <c r="AV3270">
        <f>$E$24</f>
        <v>0</v>
      </c>
      <c r="AW3270" cm="1">
        <f t="array" ref="AW3270">IFERROR(IF(AV3270=0,0,(INDEX($C$33:$C$38,MATCH($AZ$3233,$B$33:$B$38,0),0)*(AV3271+$BA$3233)+$AW$3233*COUNTIF(AV3270:AV3270,"&gt;0")*$C$32+$AY$3233*$C$31)*$AU$3233),0)</f>
        <v>0</v>
      </c>
      <c r="AX3270">
        <f>IF(AV3270=0,0,-(COUNTIF(AV3270:AV3270,"&gt;0")*$AW$3233*$C$32+$AY$3233*$C$31)*$H$27*$AU$3233)</f>
        <v>0</v>
      </c>
      <c r="AY3270">
        <f>IF(AV3270=0,0,$AY$3233*$H$26*$AU$3233)</f>
        <v>0</v>
      </c>
      <c r="AZ3270">
        <f>(0.6*AW3270+0.7*AX3270)*$AU$3233/2</f>
        <v>0</v>
      </c>
      <c r="BA3270">
        <f>AW3270*$AU$3233/2</f>
        <v>0</v>
      </c>
      <c r="BC3270">
        <f>IF(AV3270=0,0,$BG$3233*$AP$3224)</f>
        <v>0</v>
      </c>
      <c r="BD3270">
        <f>IFERROR(BC3270/$AU$3233,0)</f>
        <v>0</v>
      </c>
      <c r="BE3270">
        <f>BC3270*($F$24+IF($F$24=0,0,($C$14+$C$15+IF($C$13="single",1.5,3)+3)/12))</f>
        <v>0</v>
      </c>
      <c r="BF3270">
        <f>BE3270-AZ3270</f>
        <v>0</v>
      </c>
      <c r="BG3270" cm="1">
        <f t="array" ref="BG3270">IFERROR(IF(BF3270&lt;0,0,BF3270/($AU$3233-INDEX(hd_off,MATCH(BT3270,hd_mark,0),0)/12)),0)</f>
        <v>0</v>
      </c>
      <c r="BH3270">
        <f>IF(AV3270=0,0,$BG$3233*$AM$3224)</f>
        <v>0</v>
      </c>
      <c r="BI3270">
        <f>IFERROR(BH3270/$AU$3233,0)</f>
        <v>0</v>
      </c>
      <c r="BJ3270">
        <f>BH3270*($F$24+IF($F$24=0,0,($C$14+$C$15+IF($C$13="single",1.5,3)+3)/12))</f>
        <v>0</v>
      </c>
      <c r="BK3270">
        <f>BJ3270-BA3270</f>
        <v>0</v>
      </c>
      <c r="BL3270" cm="1">
        <f t="array" ref="BL3270">IFERROR(IF(BK3270&lt;0,0,BK3270/($AU$3233-INDEX(hd_off,MATCH(BT3270,hd_mark,0),0)/12)),0)</f>
        <v>0</v>
      </c>
      <c r="BM3270">
        <f>MAX($F$24,$BE$3233)/$Q$3252</f>
        <v>0</v>
      </c>
      <c r="BN3270">
        <f t="shared" si="2028"/>
        <v>0</v>
      </c>
      <c r="BO3270" cm="1">
        <f t="array" ref="BO3270">IFERROR(INDEX(sheath_ecap_asd,MATCH(BS3270,sheath_mark,0),0)*BN3270,0)</f>
        <v>0</v>
      </c>
      <c r="BP3270" cm="1">
        <f t="array" ref="BP3270">IFERROR(INDEX(sheath_wcap_asd,MATCH(BS3270,sheath_mark,0),0)*BN3270,0)</f>
        <v>0</v>
      </c>
      <c r="BQ3270" cm="1">
        <f t="array" ref="BQ3270">IFERROR(INDEX(hd_cap,MATCH(BT3270,hd_mark,0),0),0)</f>
        <v>0</v>
      </c>
      <c r="BS3270" s="19"/>
      <c r="BT3270" s="19"/>
      <c r="BU3270" s="100"/>
    </row>
    <row r="3271" x14ac:dyDescent="0.25">
      <c r="P3271" s="93"/>
      <c r="Q3271" s="109"/>
      <c r="R3271" t="str">
        <f>$Q$3225</f>
        <v>Roof</v>
      </c>
      <c r="S3271">
        <f>$E$25</f>
        <v>33.171875</v>
      </c>
      <c r="T3271" cm="1">
        <f t="array" ref="T3271">IFERROR(IF(S3271=0,0,(INDEX($C$33:$C$38,MATCH($W$3233,$B$33:$B$38,0),0)*(S3271+$X$3233)+$V$3233*$C$31)*$R$3233),0)</f>
        <v>0</v>
      </c>
      <c r="U3271">
        <f>IF(S3271=0,0,-$V$3233*$C$31*$H$27*$R$3233)</f>
        <v>0</v>
      </c>
      <c r="V3271">
        <f>IF(S3271=0,0,$V$3233*$H$26*$R$3233)</f>
        <v>0</v>
      </c>
      <c r="W3271">
        <f>(0.6*T3271+0.7*U3271)*$R$3233/2</f>
        <v>0</v>
      </c>
      <c r="X3271">
        <f>T3271*$R$3233/2</f>
        <v>0</v>
      </c>
      <c r="Z3271">
        <f>IF(S3271=0,0,$AD$3233*$AP$3225)</f>
        <v>0</v>
      </c>
      <c r="AA3271">
        <f>IFERROR(Z3271/$R$3233,0)</f>
        <v>0</v>
      </c>
      <c r="AB3271">
        <f>Z3271*($F$25+($C$16+$C$17+IF($C$13="single",1.5,3)+3)/12)</f>
        <v>0</v>
      </c>
      <c r="AC3271">
        <f>AB3271-W3271</f>
        <v>0</v>
      </c>
      <c r="AD3271" cm="1">
        <f t="array" ref="AD3271">IFERROR(IF(AC3271&lt;0,0,AC3271/($R$3233-INDEX(hd_off,MATCH(AQ3271,hd_mark,0),0)/12)),0)</f>
        <v>0</v>
      </c>
      <c r="AE3271">
        <f>IF(S3271=0,0,$AD$3233*$AM$3225)</f>
        <v>0</v>
      </c>
      <c r="AF3271">
        <f>IFERROR(AE3271/$R$3233,0)</f>
        <v>0</v>
      </c>
      <c r="AG3271">
        <f>AE3271*($F$25+($C$16+$C$17+IF($C$13="single",1.5,3)+3)/12)</f>
        <v>0</v>
      </c>
      <c r="AH3271">
        <f>AG3271-X3271</f>
        <v>0</v>
      </c>
      <c r="AI3271" cm="1">
        <f t="array" ref="AI3271">IFERROR(IF(AH3271&lt;0,0,AH3271/($R$3233-INDEX(hd_off,MATCH(AQ3271,hd_mark,0),0)/12)),0)</f>
        <v>0</v>
      </c>
      <c r="AJ3271">
        <f>MAX($F$25,$AC$3233)/$Q$3252</f>
        <v>0.29920977011494249</v>
      </c>
      <c r="AK3271">
        <f t="shared" si="2027"/>
        <v>1</v>
      </c>
      <c r="AL3271" cm="1">
        <f t="array" ref="AL3271">IFERROR(INDEX(sheath_ecap_asd,MATCH(AP3271,sheath_mark,0),0)*AK3271,0)</f>
        <v>0</v>
      </c>
      <c r="AM3271" cm="1">
        <f t="array" ref="AM3271">IFERROR(INDEX(sheath_wcap_asd,MATCH(AP3271,sheath_mark,0),0)*AK3271,0)</f>
        <v>0</v>
      </c>
      <c r="AN3271" cm="1">
        <f t="array" ref="AN3271">IFERROR(INDEX(hd_cap,MATCH(AQ3271,hd_mark,0),0),0)</f>
        <v>0</v>
      </c>
      <c r="AP3271" s="19"/>
      <c r="AQ3271" s="19"/>
      <c r="AR3271" s="100"/>
      <c r="AS3271" s="93"/>
      <c r="AT3271" s="109"/>
      <c r="AU3271" t="str">
        <f>$Q$3225</f>
        <v>Roof</v>
      </c>
      <c r="AV3271">
        <f>$E$25</f>
        <v>33.171875</v>
      </c>
      <c r="AW3271" cm="1">
        <f t="array" ref="AW3271">IFERROR(IF(AV3271=0,0,(INDEX($C$33:$C$38,MATCH($AZ$3233,$B$33:$B$38,0),0)*(AV3271+$BA$3233)+$AY$3233*$C$31)*$AU$3233),0)</f>
        <v>0</v>
      </c>
      <c r="AX3271">
        <f>IF(AV3271=0,0,-$AY$3233*$C$31*$H$27*$AU$3233)</f>
        <v>0</v>
      </c>
      <c r="AY3271">
        <f>IF(AV3271=0,0,$AY$3233*$H$26*$AU$3233)</f>
        <v>0</v>
      </c>
      <c r="AZ3271">
        <f>(0.6*AW3271+0.7*AX3271)*$AU$3233/2</f>
        <v>0</v>
      </c>
      <c r="BA3271">
        <f>AW3271*$AU$3233/2</f>
        <v>0</v>
      </c>
      <c r="BC3271">
        <f>IF(AV3271=0,0,$BG$3233*$AP$3225)</f>
        <v>0</v>
      </c>
      <c r="BD3271">
        <f>IFERROR(BC3271/$AU$3233,0)</f>
        <v>0</v>
      </c>
      <c r="BE3271">
        <f>BC3271*($F$25+($C$16+$C$17+IF($C$13="single",1.5,3)+3)/12)</f>
        <v>0</v>
      </c>
      <c r="BF3271">
        <f>BE3271-AZ3271</f>
        <v>0</v>
      </c>
      <c r="BG3271" cm="1">
        <f t="array" ref="BG3271">IFERROR(IF(BF3271&lt;0,0,BF3271/($AU$3233-INDEX(hd_off,MATCH(BT3271,hd_mark,0),0)/12)),0)</f>
        <v>0</v>
      </c>
      <c r="BH3271">
        <f>IF(AV3271=0,0,$BG$3233*$AM$3225)</f>
        <v>0</v>
      </c>
      <c r="BI3271">
        <f>IFERROR(BH3271/$AU$3233,0)</f>
        <v>0</v>
      </c>
      <c r="BJ3271">
        <f>BH3271*($F$25+($C$16+$C$17+IF($C$13="single",1.5,3)+3)/12)</f>
        <v>0</v>
      </c>
      <c r="BK3271">
        <f>BJ3271-BA3271</f>
        <v>0</v>
      </c>
      <c r="BL3271" cm="1">
        <f t="array" ref="BL3271">IFERROR(IF(BK3271&lt;0,0,BK3271/($AU$3233-INDEX(hd_off,MATCH(BT3271,hd_mark,0),0)/12)),0)</f>
        <v>0</v>
      </c>
      <c r="BM3271">
        <f>MAX($F$25,$BF$3233)/$Q$3252</f>
        <v>0.29920977011494249</v>
      </c>
      <c r="BN3271">
        <f t="shared" si="2028"/>
        <v>1</v>
      </c>
      <c r="BO3271" cm="1">
        <f t="array" ref="BO3271">IFERROR(INDEX(sheath_ecap_asd,MATCH(BS3271,sheath_mark,0),0)*BN3271,0)</f>
        <v>0</v>
      </c>
      <c r="BP3271" cm="1">
        <f t="array" ref="BP3271">IFERROR(INDEX(sheath_wcap_asd,MATCH(BS3271,sheath_mark,0),0)*BN3271,0)</f>
        <v>0</v>
      </c>
      <c r="BQ3271" cm="1">
        <f t="array" ref="BQ3271">IFERROR(INDEX(hd_cap,MATCH(BT3271,hd_mark,0),0),0)</f>
        <v>0</v>
      </c>
      <c r="BS3271" s="19"/>
      <c r="BT3271" s="19"/>
      <c r="BU3271" s="100"/>
    </row>
    <row r="3272" x14ac:dyDescent="0.25">
      <c r="P3272" s="93"/>
      <c r="AR3272" s="100"/>
      <c r="AS3272" s="93"/>
      <c r="BU3272" s="100"/>
    </row>
    <row r="3273" x14ac:dyDescent="0.25">
      <c r="P3273" s="93"/>
      <c r="Q3273" s="110" t="str">
        <f>$Q$3234</f>
        <v>A.05</v>
      </c>
      <c r="R3273" t="str">
        <f>$Q$3221</f>
        <v>L2</v>
      </c>
      <c r="S3273">
        <f>$E$21</f>
        <v>10.6875</v>
      </c>
      <c r="T3273" cm="1">
        <f t="array" ref="T3273">IFERROR(IF(S3273=0,0,(INDEX($C$33:$C$38,MATCH($W$3234,$B$33:$B$38,0),0)*(S3277+$X$3234)+$T$3234*COUNTIF(S3273:S3276,"&gt;0")*$C$32+$V$3234*$C$31)*$R$3234),0)</f>
        <v>0</v>
      </c>
      <c r="U3273">
        <f>IF(S3273=0,0,-(COUNTIF(S3273:S3276,"&gt;0")*$T$3234*$C$32+$V$3234*$C$31)*$H$27*$R$3234)</f>
        <v>0</v>
      </c>
      <c r="V3273">
        <f>IF(S3273=0,0,$V$3234*$H$26*$R$3234)</f>
        <v>0</v>
      </c>
      <c r="W3273">
        <f>(0.6*T3273+0.7*U3273)*$R$3234/2</f>
        <v>0</v>
      </c>
      <c r="X3273">
        <f>(0.6*T3273+0.6*V3273)*$R$3234/2</f>
        <v>0</v>
      </c>
      <c r="Z3273">
        <f>IF(S3273=0,0,$AD$3234*$AP$3221)</f>
        <v>0</v>
      </c>
      <c r="AA3273">
        <f>IFERROR(Z3273/$R$3234,0)</f>
        <v>0</v>
      </c>
      <c r="AB3273">
        <f>Z3273*($F$21+IF($F$21=0,0,($C$14+$C$15+IF($C$13="single",1.5,3)+3)/12))</f>
        <v>0</v>
      </c>
      <c r="AC3273">
        <f>AB3273-W3273</f>
        <v>0</v>
      </c>
      <c r="AD3273" cm="1">
        <f t="array" ref="AD3273">IFERROR(IF(AC3273&lt;0,0,AC3273/($R$3234-INDEX(hd_off,MATCH(AQ3273,hd_mark,0),0)/12)),0)</f>
        <v>0</v>
      </c>
      <c r="AE3273">
        <f>IF(S3273=0,0,$AD$3234*$AM$3221)</f>
        <v>0</v>
      </c>
      <c r="AF3273">
        <f>IFERROR(AE3273/$R$3234,0)</f>
        <v>0</v>
      </c>
      <c r="AG3273">
        <f>AE3273*($F$21+IF($F$21=0,0,($C$14+$C$15+IF($C$13="single",1.5,3)+3)/12))</f>
        <v>0</v>
      </c>
      <c r="AH3273">
        <f>AG3273-X3273</f>
        <v>0</v>
      </c>
      <c r="AI3273" cm="1">
        <f t="array" ref="AI3273">IFERROR(IF(AH3273&lt;0,0,AH3273/($R$3234-INDEX(hd_off,MATCH(AQ3273,hd_mark,0),0)/12)),0)</f>
        <v>0</v>
      </c>
      <c r="AJ3273">
        <f>MAX($F$21,$Y$3234)/$Q$3252</f>
        <v>0.30172413793103448</v>
      </c>
      <c r="AK3273">
        <f>IF(AJ3273=0,0,IF(AJ3273&gt;2,1.25-0.125*AJ3273,1))</f>
        <v>1</v>
      </c>
      <c r="AL3273" cm="1">
        <f t="array" ref="AL3273">IFERROR(INDEX(sheath_ecap_asd,MATCH(AP3273,sheath_mark,0),0)*AK3273,0)</f>
        <v>0</v>
      </c>
      <c r="AM3273" cm="1">
        <f t="array" ref="AM3273">IFERROR(INDEX(sheath_wcap_asd,MATCH(AP3273,sheath_mark,0),0)*AK3273,0)</f>
        <v>0</v>
      </c>
      <c r="AN3273" cm="1">
        <f t="array" ref="AN3273">IFERROR(INDEX(hd_cap,MATCH(AQ3273,hd_mark,0),0),0)</f>
        <v>0</v>
      </c>
      <c r="AP3273" s="19"/>
      <c r="AQ3273" s="19"/>
      <c r="AR3273" s="100"/>
      <c r="AS3273" s="93"/>
      <c r="AT3273" s="110" t="str">
        <f>$AT$3234</f>
        <v>1.05</v>
      </c>
      <c r="AU3273" t="str">
        <f>$Q$3221</f>
        <v>L2</v>
      </c>
      <c r="AV3273">
        <f>$E$21</f>
        <v>10.6875</v>
      </c>
      <c r="AW3273" cm="1">
        <f t="array" ref="AW3273">IFERROR(IF(AV3273=0,0,(INDEX($C$33:$C$38,MATCH($AZ$3234,$B$33:$B$38,0),0)*(AV3277+$BA$3234)+$AW$3234*COUNTIF(AV3273:AV3276,"&gt;0")*$C$32+$AY$3234*$C$31)*$AU$3234),0)</f>
        <v>0</v>
      </c>
      <c r="AX3273">
        <f>IF(AV3273=0,0,-(COUNTIF(AV3273:AV3276,"&gt;0")*$AW$3234*$C$32+$AY$3234*$C$31)*$H$27*$AU$3234)</f>
        <v>0</v>
      </c>
      <c r="AY3273">
        <f>IF(AV3273=0,0,$AY$3234*$H$26*$AU$3234)</f>
        <v>0</v>
      </c>
      <c r="AZ3273">
        <f>(0.6*AW3273+0.7*AX3273)*$AU$3234/2</f>
        <v>0</v>
      </c>
      <c r="BA3273">
        <f>(0.6*AW3273+0.6*AY3273)*$AU$3234/2</f>
        <v>0</v>
      </c>
      <c r="BC3273">
        <f>IF(AV3273=0,0,$BG$3234*$AP$3221)</f>
        <v>0</v>
      </c>
      <c r="BD3273">
        <f>IFERROR(BC3273/$AU$3234,0)</f>
        <v>0</v>
      </c>
      <c r="BE3273">
        <f>BC3273*($F$21+IF($F$21=0,0,($C$14+$C$15+IF($C$13="single",1.5,3)+3)/12))</f>
        <v>0</v>
      </c>
      <c r="BF3273">
        <f>BE3273-AZ3273</f>
        <v>0</v>
      </c>
      <c r="BG3273" cm="1">
        <f t="array" ref="BG3273">IFERROR(IF(BF3273&lt;0,0,BF3273/($AU$3234-INDEX(hd_off,MATCH(BT3273,hd_mark,0),0)/12)),0)</f>
        <v>0</v>
      </c>
      <c r="BH3273">
        <f>IF(AV3273=0,0,$BG$3234*$AM$3221)</f>
        <v>0</v>
      </c>
      <c r="BI3273">
        <f>IFERROR(BH3273/$AU$3234,0)</f>
        <v>0</v>
      </c>
      <c r="BJ3273">
        <f>BH3273*($F$21+IF($F$21=0,0,($C$14+$C$15+IF($C$13="single",1.5,3)+3)/12))</f>
        <v>0</v>
      </c>
      <c r="BK3273">
        <f>BJ3273-BA3273</f>
        <v>0</v>
      </c>
      <c r="BL3273" cm="1">
        <f t="array" ref="BL3273">IFERROR(IF(BK3273&lt;0,0,BK3273/($AU$3234-INDEX(hd_off,MATCH(BT3273,hd_mark,0),0)/12)),0)</f>
        <v>0</v>
      </c>
      <c r="BM3273">
        <f>MAX($F$21,$BB$3234)/$Q$3252</f>
        <v>0.30172413793103448</v>
      </c>
      <c r="BN3273">
        <f>IF(BM3273=0,0,IF(BM3273&gt;2,1.25-0.125*BM3273,1))</f>
        <v>1</v>
      </c>
      <c r="BO3273" cm="1">
        <f t="array" ref="BO3273">IFERROR(INDEX(sheath_ecap_asd,MATCH(BS3273,sheath_mark,0),0)*BN3273,0)</f>
        <v>0</v>
      </c>
      <c r="BP3273" cm="1">
        <f t="array" ref="BP3273">IFERROR(INDEX(sheath_wcap_asd,MATCH(BS3273,sheath_mark,0),0)*BN3273,0)</f>
        <v>0</v>
      </c>
      <c r="BQ3273" cm="1">
        <f t="array" ref="BQ3273">IFERROR(INDEX(hd_cap,MATCH(BT3273,hd_mark,0),0),0)</f>
        <v>0</v>
      </c>
      <c r="BS3273" s="19"/>
      <c r="BT3273" s="19"/>
      <c r="BU3273" s="100"/>
    </row>
    <row r="3274" x14ac:dyDescent="0.25">
      <c r="B3274" s="1"/>
      <c r="P3274" s="93"/>
      <c r="Q3274" s="109"/>
      <c r="R3274" t="str">
        <f>$Q$3222</f>
        <v>L3</v>
      </c>
      <c r="S3274">
        <f>$E$22</f>
        <v>21.375</v>
      </c>
      <c r="T3274" cm="1">
        <f t="array" ref="T3274">IFERROR(IF(S3274=0,0,(INDEX($C$33:$C$38,MATCH($W$3234,$B$33:$B$38,0),0)*(S3277+$X$3234)+$T$3234*COUNTIF(S3274:S3276,"&gt;0")*$C$32+$V$3234*$C$31)*$R$3234),0)</f>
        <v>0</v>
      </c>
      <c r="U3274">
        <f>IF(S3274=0,0,-(COUNTIF(S3274:S3276,"&gt;0")*$T$3234*$C$32+$V$3234*$C$31)*$H$27*$R$3234)</f>
        <v>0</v>
      </c>
      <c r="V3274">
        <f>IF(S3274=0,0,$V$3234*$H$26*$R$3234)</f>
        <v>0</v>
      </c>
      <c r="W3274">
        <f>(0.6*T3274+0.7*U3274)*$R$3234/2</f>
        <v>0</v>
      </c>
      <c r="X3274">
        <f>T3274*$R$3234/2</f>
        <v>0</v>
      </c>
      <c r="Z3274">
        <f>IF(S3274=0,0,$AD$3234*$AP$3222)</f>
        <v>0</v>
      </c>
      <c r="AA3274">
        <f>IFERROR(Z3274/$R$3234,0)</f>
        <v>0</v>
      </c>
      <c r="AB3274">
        <f>Z3274*($F$22+IF($F$22=0,0,($C$14+$C$15+IF($C$13="single",1.5,3)+3)/12))</f>
        <v>0</v>
      </c>
      <c r="AC3274">
        <f>AB3274-W3274</f>
        <v>0</v>
      </c>
      <c r="AD3274" cm="1">
        <f t="array" ref="AD3274">IFERROR(IF(AC3274&lt;0,0,AC3274/($R$3234-INDEX(hd_off,MATCH(AQ3274,hd_mark,0),0)/12)),0)</f>
        <v>0</v>
      </c>
      <c r="AE3274">
        <f>IF(S3274=0,0,$AD$3234*$AM$3222)</f>
        <v>0</v>
      </c>
      <c r="AF3274">
        <f>IFERROR(AE3274/$R$3234,0)</f>
        <v>0</v>
      </c>
      <c r="AG3274">
        <f>AE3274*($F$22+IF($F$22=0,0,($C$14+$C$15+IF($C$13="single",1.5,3)+3)/12))</f>
        <v>0</v>
      </c>
      <c r="AH3274">
        <f>AG3274-X3274</f>
        <v>0</v>
      </c>
      <c r="AI3274" cm="1">
        <f t="array" ref="AI3274">IFERROR(IF(AH3274&lt;0,0,AH3274/($R$3234-INDEX(hd_off,MATCH(AQ3274,hd_mark,0),0)/12)),0)</f>
        <v>0</v>
      </c>
      <c r="AJ3274">
        <f>MAX($F$22,$Z$3234)/$Q$3252</f>
        <v>0.30172413793103448</v>
      </c>
      <c r="AK3274">
        <f t="shared" ref="AK3274:AK3277" si="2029">IF(AJ3274=0,0,IF(AJ3274&gt;2,1.25-0.125*AJ3274,1))</f>
        <v>1</v>
      </c>
      <c r="AL3274" cm="1">
        <f t="array" ref="AL3274">IFERROR(INDEX(sheath_ecap_asd,MATCH(AP3274,sheath_mark,0),0)*AK3274,0)</f>
        <v>0</v>
      </c>
      <c r="AM3274" cm="1">
        <f t="array" ref="AM3274">IFERROR(INDEX(sheath_wcap_asd,MATCH(AP3274,sheath_mark,0),0)*AK3274,0)</f>
        <v>0</v>
      </c>
      <c r="AN3274" cm="1">
        <f t="array" ref="AN3274">IFERROR(INDEX(hd_cap,MATCH(AQ3274,hd_mark,0),0),0)</f>
        <v>0</v>
      </c>
      <c r="AP3274" s="19"/>
      <c r="AQ3274" s="19"/>
      <c r="AR3274" s="100"/>
      <c r="AS3274" s="93"/>
      <c r="AT3274" s="109"/>
      <c r="AU3274" t="str">
        <f>$Q$3222</f>
        <v>L3</v>
      </c>
      <c r="AV3274">
        <f>$E$22</f>
        <v>21.375</v>
      </c>
      <c r="AW3274" cm="1">
        <f t="array" ref="AW3274">IFERROR(IF(AV3274=0,0,(INDEX($C$33:$C$38,MATCH($AZ$3234,$B$33:$B$38,0),0)*(AV3277+$BA$3234)+$AW$3234*COUNTIF(AV3274:AV3276,"&gt;0")*$C$32+$AY$3234*$C$31)*$AU$3234),0)</f>
        <v>0</v>
      </c>
      <c r="AX3274">
        <f>IF(AV3274=0,0,-(COUNTIF(AV3274:AV3276,"&gt;0")*$AW$3234*$C$32+$AY$3234*$C$31)*$H$27*$AU$3234)</f>
        <v>0</v>
      </c>
      <c r="AY3274">
        <f>IF(AV3274=0,0,$AY$3234*$H$26*$AU$3234)</f>
        <v>0</v>
      </c>
      <c r="AZ3274">
        <f>(0.6*AW3274+0.7*AX3274)*$AU$3234/2</f>
        <v>0</v>
      </c>
      <c r="BA3274">
        <f>AW3274*$AU$3234/2</f>
        <v>0</v>
      </c>
      <c r="BC3274">
        <f>IF(AV3274=0,0,$BG$3234*$AP$3222)</f>
        <v>0</v>
      </c>
      <c r="BD3274">
        <f>IFERROR(BC3274/$AU$3234,0)</f>
        <v>0</v>
      </c>
      <c r="BE3274">
        <f>BC3274*($F$22+IF($F$22=0,0,($C$14+$C$15+IF($C$13="single",1.5,3)+3)/12))</f>
        <v>0</v>
      </c>
      <c r="BF3274">
        <f>BE3274-AZ3274</f>
        <v>0</v>
      </c>
      <c r="BG3274" cm="1">
        <f t="array" ref="BG3274">IFERROR(IF(BF3274&lt;0,0,BF3274/($AU$3234-INDEX(hd_off,MATCH(BT3274,hd_mark,0),0)/12)),0)</f>
        <v>0</v>
      </c>
      <c r="BH3274">
        <f>IF(AV3274=0,0,$BG$3234*$AM$3222)</f>
        <v>0</v>
      </c>
      <c r="BI3274">
        <f>IFERROR(BH3274/$AU$3234,0)</f>
        <v>0</v>
      </c>
      <c r="BJ3274">
        <f>BH3274*($F$22+IF($F$22=0,0,($C$14+$C$15+IF($C$13="single",1.5,3)+3)/12))</f>
        <v>0</v>
      </c>
      <c r="BK3274">
        <f>BJ3274-BA3274</f>
        <v>0</v>
      </c>
      <c r="BL3274" cm="1">
        <f t="array" ref="BL3274">IFERROR(IF(BK3274&lt;0,0,BK3274/($AU$3234-INDEX(hd_off,MATCH(BT3274,hd_mark,0),0)/12)),0)</f>
        <v>0</v>
      </c>
      <c r="BM3274">
        <f>MAX($F$22,$BC$3234)/$Q$3252</f>
        <v>0.30172413793103448</v>
      </c>
      <c r="BN3274">
        <f t="shared" ref="BN3274:BN3277" si="2030">IF(BM3274=0,0,IF(BM3274&gt;2,1.25-0.125*BM3274,1))</f>
        <v>1</v>
      </c>
      <c r="BO3274" cm="1">
        <f t="array" ref="BO3274">IFERROR(INDEX(sheath_ecap_asd,MATCH(BS3274,sheath_mark,0),0)*BN3274,0)</f>
        <v>0</v>
      </c>
      <c r="BP3274" cm="1">
        <f t="array" ref="BP3274">IFERROR(INDEX(sheath_wcap_asd,MATCH(BS3274,sheath_mark,0),0)*BN3274,0)</f>
        <v>0</v>
      </c>
      <c r="BQ3274" cm="1">
        <f t="array" ref="BQ3274">IFERROR(INDEX(hd_cap,MATCH(BT3274,hd_mark,0),0),0)</f>
        <v>0</v>
      </c>
      <c r="BS3274" s="19"/>
      <c r="BT3274" s="19"/>
      <c r="BU3274" s="100"/>
    </row>
    <row r="3275" x14ac:dyDescent="0.25">
      <c r="P3275" s="93"/>
      <c r="Q3275" s="109" t="s">
        <v>491</v>
      </c>
      <c r="R3275" t="str">
        <f>$Q$3223</f>
        <v>L4</v>
      </c>
      <c r="S3275">
        <f>$E$23</f>
        <v>0</v>
      </c>
      <c r="T3275" cm="1">
        <f t="array" ref="T3275">IFERROR(IF(S3275=0,0,(INDEX($C$33:$C$38,MATCH($W$3234,$B$33:$B$38,0),0)*(S3277+$X$3234)+$T$3234*COUNTIF(S3275:S3276,"&gt;0")*$C$32+$V$3234*$C$31)*$R$3234),0)</f>
        <v>0</v>
      </c>
      <c r="U3275">
        <f>IF(S3275=0,0,-(COUNTIF(S3275:S3276,"&gt;0")*$T$3234*$C$32+$V$3234*$C$31)*$H$27*$R$3234)</f>
        <v>0</v>
      </c>
      <c r="V3275">
        <f>IF(S3275=0,0,$V$3234*$H$26*$R$3234)</f>
        <v>0</v>
      </c>
      <c r="W3275">
        <f>(0.6*T3275+0.7*U3275)*$R$3234/2</f>
        <v>0</v>
      </c>
      <c r="X3275">
        <f>T3275*$R$3234/2</f>
        <v>0</v>
      </c>
      <c r="Z3275">
        <f>IF(S3275=0,0,$AD$3234*$AP$3223)</f>
        <v>0</v>
      </c>
      <c r="AA3275">
        <f>IFERROR(Z3275/$R$3234,0)</f>
        <v>0</v>
      </c>
      <c r="AB3275">
        <f>Z3275*($F$23+IF($F$23=0,0,($C$14+$C$15+IF($C$13="single",1.5,3)+3)/12))</f>
        <v>0</v>
      </c>
      <c r="AC3275">
        <f>AB3275-W3275</f>
        <v>0</v>
      </c>
      <c r="AD3275" cm="1">
        <f t="array" ref="AD3275">IFERROR(IF(AC3275&lt;0,0,AC3275/($R$3234-INDEX(hd_off,MATCH(AQ3275,hd_mark,0),0)/12)),0)</f>
        <v>0</v>
      </c>
      <c r="AE3275">
        <f>IF(S3275=0,0,$AD$3234*$AM$3223)</f>
        <v>0</v>
      </c>
      <c r="AF3275">
        <f>IFERROR(AE3275/$R$3234,0)</f>
        <v>0</v>
      </c>
      <c r="AG3275">
        <f>AE3275*($F$23+IF($F$23=0,0,($C$14+$C$15+IF($C$13="single",1.5,3)+3)/12))</f>
        <v>0</v>
      </c>
      <c r="AH3275">
        <f>AG3275-X3275</f>
        <v>0</v>
      </c>
      <c r="AI3275" cm="1">
        <f t="array" ref="AI3275">IFERROR(IF(AH3275&lt;0,0,AH3275/($R$3234-INDEX(hd_off,MATCH(AQ3275,hd_mark,0),0)/12)),0)</f>
        <v>0</v>
      </c>
      <c r="AJ3275">
        <f>MAX($F$23,$AA$3234)/$Q$3252</f>
        <v>0</v>
      </c>
      <c r="AK3275">
        <f t="shared" si="2029"/>
        <v>0</v>
      </c>
      <c r="AL3275" cm="1">
        <f t="array" ref="AL3275">IFERROR(INDEX(sheath_ecap_asd,MATCH(AP3275,sheath_mark,0),0)*AK3275,0)</f>
        <v>0</v>
      </c>
      <c r="AM3275" cm="1">
        <f t="array" ref="AM3275">IFERROR(INDEX(sheath_wcap_asd,MATCH(AP3275,sheath_mark,0),0)*AK3275,0)</f>
        <v>0</v>
      </c>
      <c r="AN3275" cm="1">
        <f t="array" ref="AN3275">IFERROR(INDEX(hd_cap,MATCH(AQ3275,hd_mark,0),0),0)</f>
        <v>0</v>
      </c>
      <c r="AP3275" s="19"/>
      <c r="AQ3275" s="19"/>
      <c r="AR3275" s="100"/>
      <c r="AS3275" s="93"/>
      <c r="AT3275" s="109" t="s">
        <v>491</v>
      </c>
      <c r="AU3275" t="str">
        <f>$Q$3223</f>
        <v>L4</v>
      </c>
      <c r="AV3275">
        <f>$E$23</f>
        <v>0</v>
      </c>
      <c r="AW3275" cm="1">
        <f t="array" ref="AW3275">IFERROR(IF(AV3275=0,0,(INDEX($C$33:$C$38,MATCH($AZ$3234,$B$33:$B$38,0),0)*(AV3277+$BA$3234)+$AW$3234*COUNTIF(AV3275:AV3276,"&gt;0")*$C$32+$AY$3234*$C$31)*$AU$3234),0)</f>
        <v>0</v>
      </c>
      <c r="AX3275">
        <f>IF(AV3275=0,0,-(COUNTIF(AV3275:AV3276,"&gt;0")*$AW$3234*$C$32+$AY$3234*$C$31)*$H$27*$AU$3234)</f>
        <v>0</v>
      </c>
      <c r="AY3275">
        <f>IF(AV3275=0,0,$AY$3234*$H$26*$AU$3234)</f>
        <v>0</v>
      </c>
      <c r="AZ3275">
        <f>(0.6*AW3275+0.7*AX3275)*$AU$3234/2</f>
        <v>0</v>
      </c>
      <c r="BA3275">
        <f>AW3275*$AU$3234/2</f>
        <v>0</v>
      </c>
      <c r="BC3275">
        <f>IF(AV3275=0,0,$BG$3234*$AP$3223)</f>
        <v>0</v>
      </c>
      <c r="BD3275">
        <f>IFERROR(BC3275/$AU$3234,0)</f>
        <v>0</v>
      </c>
      <c r="BE3275">
        <f>BC3275*($F$23+IF($F$23=0,0,($C$14+$C$15+IF($C$13="single",1.5,3)+3)/12))</f>
        <v>0</v>
      </c>
      <c r="BF3275">
        <f>BE3275-AZ3275</f>
        <v>0</v>
      </c>
      <c r="BG3275" cm="1">
        <f t="array" ref="BG3275">IFERROR(IF(BF3275&lt;0,0,BF3275/($AU$3234-INDEX(hd_off,MATCH(BT3275,hd_mark,0),0)/12)),0)</f>
        <v>0</v>
      </c>
      <c r="BH3275">
        <f>IF(AV3275=0,0,$BG$3234*$AM$3223)</f>
        <v>0</v>
      </c>
      <c r="BI3275">
        <f>IFERROR(BH3275/$AU$3234,0)</f>
        <v>0</v>
      </c>
      <c r="BJ3275">
        <f>BH3275*($F$23+IF($F$23=0,0,($C$14+$C$15+IF($C$13="single",1.5,3)+3)/12))</f>
        <v>0</v>
      </c>
      <c r="BK3275">
        <f>BJ3275-BA3275</f>
        <v>0</v>
      </c>
      <c r="BL3275" cm="1">
        <f t="array" ref="BL3275">IFERROR(IF(BK3275&lt;0,0,BK3275/($AU$3234-INDEX(hd_off,MATCH(BT3275,hd_mark,0),0)/12)),0)</f>
        <v>0</v>
      </c>
      <c r="BM3275">
        <f>MAX($F$23,$BD$3234)/$Q$3252</f>
        <v>0</v>
      </c>
      <c r="BN3275">
        <f t="shared" si="2030"/>
        <v>0</v>
      </c>
      <c r="BO3275" cm="1">
        <f t="array" ref="BO3275">IFERROR(INDEX(sheath_ecap_asd,MATCH(BS3275,sheath_mark,0),0)*BN3275,0)</f>
        <v>0</v>
      </c>
      <c r="BP3275" cm="1">
        <f t="array" ref="BP3275">IFERROR(INDEX(sheath_wcap_asd,MATCH(BS3275,sheath_mark,0),0)*BN3275,0)</f>
        <v>0</v>
      </c>
      <c r="BQ3275" cm="1">
        <f t="array" ref="BQ3275">IFERROR(INDEX(hd_cap,MATCH(BT3275,hd_mark,0),0),0)</f>
        <v>0</v>
      </c>
      <c r="BS3275" s="19"/>
      <c r="BT3275" s="19"/>
      <c r="BU3275" s="100"/>
    </row>
    <row r="3276" x14ac:dyDescent="0.25">
      <c r="P3276" s="93"/>
      <c r="Q3276" s="111">
        <f>$R$3234</f>
        <v>0</v>
      </c>
      <c r="R3276" t="str">
        <f>$Q$3224</f>
        <v>L5</v>
      </c>
      <c r="S3276">
        <f>$E$24</f>
        <v>0</v>
      </c>
      <c r="T3276" cm="1">
        <f t="array" ref="T3276">IFERROR(IF(S3276=0,0,(INDEX($C$33:$C$38,MATCH($W$3234,$B$33:$B$38,0),0)*(S3277+$X$3234)+$T$3234*COUNTIF(S3276:S3276,"&gt;0")*$C$32+$V$3234*$C$31)*$R$3234),0)</f>
        <v>0</v>
      </c>
      <c r="U3276">
        <f>IF(S3276=0,0,-(COUNTIF(S3276:S3276,"&gt;0")*$T$3234*$C$32+$V$3234*$C$31)*$H$27*$R$3234)</f>
        <v>0</v>
      </c>
      <c r="V3276">
        <f>IF(S3276=0,0,$V$3234*$H$26*$R$3234)</f>
        <v>0</v>
      </c>
      <c r="W3276">
        <f>(0.6*T3276+0.7*U3276)*$R$3234/2</f>
        <v>0</v>
      </c>
      <c r="X3276">
        <f>T3276*$R$3234/2</f>
        <v>0</v>
      </c>
      <c r="Z3276">
        <f>IF(S3276=0,0,$AD$3234*$AP$3224)</f>
        <v>0</v>
      </c>
      <c r="AA3276">
        <f>IFERROR(Z3276/$R$3234,0)</f>
        <v>0</v>
      </c>
      <c r="AB3276">
        <f>Z3276*($F$24+IF($F$24=0,0,($C$14+$C$15+IF($C$13="single",1.5,3)+3)/12))</f>
        <v>0</v>
      </c>
      <c r="AC3276">
        <f>AB3276-W3276</f>
        <v>0</v>
      </c>
      <c r="AD3276" cm="1">
        <f t="array" ref="AD3276">IFERROR(IF(AC3276&lt;0,0,AC3276/($R$3234-INDEX(hd_off,MATCH(AQ3276,hd_mark,0),0)/12)),0)</f>
        <v>0</v>
      </c>
      <c r="AE3276">
        <f>IF(S3276=0,0,$AD$3234*$AM$3224)</f>
        <v>0</v>
      </c>
      <c r="AF3276">
        <f>IFERROR(AE3276/$R$3234,0)</f>
        <v>0</v>
      </c>
      <c r="AG3276">
        <f>AE3276*($F$24+IF($F$24=0,0,($C$14+$C$15+IF($C$13="single",1.5,3)+3)/12))</f>
        <v>0</v>
      </c>
      <c r="AH3276">
        <f>AG3276-X3276</f>
        <v>0</v>
      </c>
      <c r="AI3276" cm="1">
        <f t="array" ref="AI3276">IFERROR(IF(AH3276&lt;0,0,AH3276/($R$3234-INDEX(hd_off,MATCH(AQ3276,hd_mark,0),0)/12)),0)</f>
        <v>0</v>
      </c>
      <c r="AJ3276">
        <f>MAX($F$24,$AB$3234)/$Q$3252</f>
        <v>0</v>
      </c>
      <c r="AK3276">
        <f t="shared" si="2029"/>
        <v>0</v>
      </c>
      <c r="AL3276" cm="1">
        <f t="array" ref="AL3276">IFERROR(INDEX(sheath_ecap_asd,MATCH(AP3276,sheath_mark,0),0)*AK3276,0)</f>
        <v>0</v>
      </c>
      <c r="AM3276" cm="1">
        <f t="array" ref="AM3276">IFERROR(INDEX(sheath_wcap_asd,MATCH(AP3276,sheath_mark,0),0)*AK3276,0)</f>
        <v>0</v>
      </c>
      <c r="AN3276" cm="1">
        <f t="array" ref="AN3276">IFERROR(INDEX(hd_cap,MATCH(AQ3276,hd_mark,0),0),0)</f>
        <v>0</v>
      </c>
      <c r="AP3276" s="19"/>
      <c r="AQ3276" s="19"/>
      <c r="AR3276" s="100"/>
      <c r="AS3276" s="93"/>
      <c r="AT3276" s="111">
        <f>$R$3234</f>
        <v>0</v>
      </c>
      <c r="AU3276" t="str">
        <f>$Q$3224</f>
        <v>L5</v>
      </c>
      <c r="AV3276">
        <f>$E$24</f>
        <v>0</v>
      </c>
      <c r="AW3276" cm="1">
        <f t="array" ref="AW3276">IFERROR(IF(AV3276=0,0,(INDEX($C$33:$C$38,MATCH($AZ$3234,$B$33:$B$38,0),0)*(AV3277+$BA$3234)+$AW$3234*COUNTIF(AV3276:AV3276,"&gt;0")*$C$32+$AY$3234*$C$31)*$AU$3234),0)</f>
        <v>0</v>
      </c>
      <c r="AX3276">
        <f>IF(AV3276=0,0,-(COUNTIF(AV3276:AV3276,"&gt;0")*$AW$3234*$C$32+$AY$3234*$C$31)*$H$27*$AU$3234)</f>
        <v>0</v>
      </c>
      <c r="AY3276">
        <f>IF(AV3276=0,0,$AY$3234*$H$26*$AU$3234)</f>
        <v>0</v>
      </c>
      <c r="AZ3276">
        <f>(0.6*AW3276+0.7*AX3276)*$AU$3234/2</f>
        <v>0</v>
      </c>
      <c r="BA3276">
        <f>AW3276*$AU$3234/2</f>
        <v>0</v>
      </c>
      <c r="BC3276">
        <f>IF(AV3276=0,0,$BG$3234*$AP$3224)</f>
        <v>0</v>
      </c>
      <c r="BD3276">
        <f>IFERROR(BC3276/$AU$3234,0)</f>
        <v>0</v>
      </c>
      <c r="BE3276">
        <f>BC3276*($F$24+IF($F$24=0,0,($C$14+$C$15+IF($C$13="single",1.5,3)+3)/12))</f>
        <v>0</v>
      </c>
      <c r="BF3276">
        <f>BE3276-AZ3276</f>
        <v>0</v>
      </c>
      <c r="BG3276" cm="1">
        <f t="array" ref="BG3276">IFERROR(IF(BF3276&lt;0,0,BF3276/($AU$3234-INDEX(hd_off,MATCH(BT3276,hd_mark,0),0)/12)),0)</f>
        <v>0</v>
      </c>
      <c r="BH3276">
        <f>IF(AV3276=0,0,$BG$3234*$AM$3224)</f>
        <v>0</v>
      </c>
      <c r="BI3276">
        <f>IFERROR(BH3276/$AU$3234,0)</f>
        <v>0</v>
      </c>
      <c r="BJ3276">
        <f>BH3276*($F$24+IF($F$24=0,0,($C$14+$C$15+IF($C$13="single",1.5,3)+3)/12))</f>
        <v>0</v>
      </c>
      <c r="BK3276">
        <f>BJ3276-BA3276</f>
        <v>0</v>
      </c>
      <c r="BL3276" cm="1">
        <f t="array" ref="BL3276">IFERROR(IF(BK3276&lt;0,0,BK3276/($AU$3234-INDEX(hd_off,MATCH(BT3276,hd_mark,0),0)/12)),0)</f>
        <v>0</v>
      </c>
      <c r="BM3276">
        <f>MAX($F$24,$BE$3234)/$Q$3252</f>
        <v>0</v>
      </c>
      <c r="BN3276">
        <f t="shared" si="2030"/>
        <v>0</v>
      </c>
      <c r="BO3276" cm="1">
        <f t="array" ref="BO3276">IFERROR(INDEX(sheath_ecap_asd,MATCH(BS3276,sheath_mark,0),0)*BN3276,0)</f>
        <v>0</v>
      </c>
      <c r="BP3276" cm="1">
        <f t="array" ref="BP3276">IFERROR(INDEX(sheath_wcap_asd,MATCH(BS3276,sheath_mark,0),0)*BN3276,0)</f>
        <v>0</v>
      </c>
      <c r="BQ3276" cm="1">
        <f t="array" ref="BQ3276">IFERROR(INDEX(hd_cap,MATCH(BT3276,hd_mark,0),0),0)</f>
        <v>0</v>
      </c>
      <c r="BS3276" s="19"/>
      <c r="BT3276" s="19"/>
      <c r="BU3276" s="100"/>
    </row>
    <row r="3277" x14ac:dyDescent="0.25">
      <c r="P3277" s="93"/>
      <c r="Q3277" s="109"/>
      <c r="R3277" t="str">
        <f>$Q$3225</f>
        <v>Roof</v>
      </c>
      <c r="S3277">
        <f>$E$25</f>
        <v>33.171875</v>
      </c>
      <c r="T3277" cm="1">
        <f t="array" ref="T3277">IFERROR(IF(S3277=0,0,(INDEX($C$33:$C$38,MATCH($W$3234,$B$33:$B$38,0),0)*(S3277+$X$3234)+$V$3234*$C$31)*$R$3234),0)</f>
        <v>0</v>
      </c>
      <c r="U3277">
        <f>IF(S3277=0,0,-$V$3234*$C$31*$H$27*$R$3234)</f>
        <v>0</v>
      </c>
      <c r="V3277">
        <f>IF(S3277=0,0,$V$3234*$H$26*$R$3234)</f>
        <v>0</v>
      </c>
      <c r="W3277">
        <f>(0.6*T3277+0.7*U3277)*$R$3234/2</f>
        <v>0</v>
      </c>
      <c r="X3277">
        <f>T3277*$R$3234/2</f>
        <v>0</v>
      </c>
      <c r="Z3277">
        <f>IF(S3277=0,0,$AD$3234*$AP$3225)</f>
        <v>0</v>
      </c>
      <c r="AA3277">
        <f>IFERROR(Z3277/$R$3234,0)</f>
        <v>0</v>
      </c>
      <c r="AB3277">
        <f>Z3277*($F$25+($C$16+$C$17+IF($C$13="single",1.5,3)+3)/12)</f>
        <v>0</v>
      </c>
      <c r="AC3277">
        <f>AB3277-W3277</f>
        <v>0</v>
      </c>
      <c r="AD3277" cm="1">
        <f t="array" ref="AD3277">IFERROR(IF(AC3277&lt;0,0,AC3277/($R$3234-INDEX(hd_off,MATCH(AQ3277,hd_mark,0),0)/12)),0)</f>
        <v>0</v>
      </c>
      <c r="AE3277">
        <f>IF(S3277=0,0,$AD$3234*$AM$3225)</f>
        <v>0</v>
      </c>
      <c r="AF3277">
        <f>IFERROR(AE3277/$R$3234,0)</f>
        <v>0</v>
      </c>
      <c r="AG3277">
        <f>AE3277*($F$25+($C$16+$C$17+IF($C$13="single",1.5,3)+3)/12)</f>
        <v>0</v>
      </c>
      <c r="AH3277">
        <f>AG3277-X3277</f>
        <v>0</v>
      </c>
      <c r="AI3277" cm="1">
        <f t="array" ref="AI3277">IFERROR(IF(AH3277&lt;0,0,AH3277/($R$3234-INDEX(hd_off,MATCH(AQ3277,hd_mark,0),0)/12)),0)</f>
        <v>0</v>
      </c>
      <c r="AJ3277">
        <f>MAX($F$25,$AC$3234)/$Q$3252</f>
        <v>0.29920977011494249</v>
      </c>
      <c r="AK3277">
        <f t="shared" si="2029"/>
        <v>1</v>
      </c>
      <c r="AL3277" cm="1">
        <f t="array" ref="AL3277">IFERROR(INDEX(sheath_ecap_asd,MATCH(AP3277,sheath_mark,0),0)*AK3277,0)</f>
        <v>0</v>
      </c>
      <c r="AM3277" cm="1">
        <f t="array" ref="AM3277">IFERROR(INDEX(sheath_wcap_asd,MATCH(AP3277,sheath_mark,0),0)*AK3277,0)</f>
        <v>0</v>
      </c>
      <c r="AN3277" cm="1">
        <f t="array" ref="AN3277">IFERROR(INDEX(hd_cap,MATCH(AQ3277,hd_mark,0),0),0)</f>
        <v>0</v>
      </c>
      <c r="AP3277" s="19"/>
      <c r="AQ3277" s="19"/>
      <c r="AR3277" s="100"/>
      <c r="AS3277" s="93"/>
      <c r="AT3277" s="109"/>
      <c r="AU3277" t="str">
        <f>$Q$3225</f>
        <v>Roof</v>
      </c>
      <c r="AV3277">
        <f>$E$25</f>
        <v>33.171875</v>
      </c>
      <c r="AW3277" cm="1">
        <f t="array" ref="AW3277">IFERROR(IF(AV3277=0,0,(INDEX($C$33:$C$38,MATCH($AZ$3234,$B$33:$B$38,0),0)*(AV3277+$BA$3234)+$AY$3234*$C$31)*$AU$3234),0)</f>
        <v>0</v>
      </c>
      <c r="AX3277">
        <f>IF(AV3277=0,0,-$AY$3234*$C$31*$H$27*$AU$3234)</f>
        <v>0</v>
      </c>
      <c r="AY3277">
        <f>IF(AV3277=0,0,$AY$3234*$H$26*$AU$3234)</f>
        <v>0</v>
      </c>
      <c r="AZ3277">
        <f>(0.6*AW3277+0.7*AX3277)*$AU$3234/2</f>
        <v>0</v>
      </c>
      <c r="BA3277">
        <f>AW3277*$AU$3234/2</f>
        <v>0</v>
      </c>
      <c r="BC3277">
        <f>IF(AV3277=0,0,$BG$3234*$AP$3225)</f>
        <v>0</v>
      </c>
      <c r="BD3277">
        <f>IFERROR(BC3277/$AU$3234,0)</f>
        <v>0</v>
      </c>
      <c r="BE3277">
        <f>BC3277*($F$25+($C$16+$C$17+IF($C$13="single",1.5,3)+3)/12)</f>
        <v>0</v>
      </c>
      <c r="BF3277">
        <f>BE3277-AZ3277</f>
        <v>0</v>
      </c>
      <c r="BG3277" cm="1">
        <f t="array" ref="BG3277">IFERROR(IF(BF3277&lt;0,0,BF3277/($AU$3234-INDEX(hd_off,MATCH(BT3277,hd_mark,0),0)/12)),0)</f>
        <v>0</v>
      </c>
      <c r="BH3277">
        <f>IF(AV3277=0,0,$BG$3234*$AM$3225)</f>
        <v>0</v>
      </c>
      <c r="BI3277">
        <f>IFERROR(BH3277/$AU$3234,0)</f>
        <v>0</v>
      </c>
      <c r="BJ3277">
        <f>BH3277*($F$25+($C$16+$C$17+IF($C$13="single",1.5,3)+3)/12)</f>
        <v>0</v>
      </c>
      <c r="BK3277">
        <f>BJ3277-BA3277</f>
        <v>0</v>
      </c>
      <c r="BL3277" cm="1">
        <f t="array" ref="BL3277">IFERROR(IF(BK3277&lt;0,0,BK3277/($AU$3234-INDEX(hd_off,MATCH(BT3277,hd_mark,0),0)/12)),0)</f>
        <v>0</v>
      </c>
      <c r="BM3277">
        <f>MAX($F$25,$BF$3234)/$Q$3252</f>
        <v>0.29920977011494249</v>
      </c>
      <c r="BN3277">
        <f t="shared" si="2030"/>
        <v>1</v>
      </c>
      <c r="BO3277" cm="1">
        <f t="array" ref="BO3277">IFERROR(INDEX(sheath_ecap_asd,MATCH(BS3277,sheath_mark,0),0)*BN3277,0)</f>
        <v>0</v>
      </c>
      <c r="BP3277" cm="1">
        <f t="array" ref="BP3277">IFERROR(INDEX(sheath_wcap_asd,MATCH(BS3277,sheath_mark,0),0)*BN3277,0)</f>
        <v>0</v>
      </c>
      <c r="BQ3277" cm="1">
        <f t="array" ref="BQ3277">IFERROR(INDEX(hd_cap,MATCH(BT3277,hd_mark,0),0),0)</f>
        <v>0</v>
      </c>
      <c r="BS3277" s="19"/>
      <c r="BT3277" s="19"/>
      <c r="BU3277" s="100"/>
    </row>
    <row r="3278" x14ac:dyDescent="0.25">
      <c r="P3278" s="93"/>
      <c r="AR3278" s="100"/>
      <c r="AS3278" s="93"/>
      <c r="BU3278" s="100"/>
    </row>
    <row r="3279" x14ac:dyDescent="0.25">
      <c r="P3279" s="93"/>
      <c r="Q3279" s="110" t="str">
        <f>$Q$3235</f>
        <v>A.06</v>
      </c>
      <c r="R3279" t="str">
        <f>$Q$3221</f>
        <v>L2</v>
      </c>
      <c r="S3279">
        <f>$E$21</f>
        <v>10.6875</v>
      </c>
      <c r="T3279" cm="1">
        <f t="array" ref="T3279">IFERROR(IF(S3279=0,0,(INDEX($C$33:$C$38,MATCH($W$3235,$B$33:$B$38,0),0)*(S3283+$X$3235)+$T$3235*COUNTIF(S3279:S3282,"&gt;0")*$C$32+$V$3235*$C$31)*$R$3235),0)</f>
        <v>0</v>
      </c>
      <c r="U3279">
        <f>IF(S3279=0,0,-(COUNTIF(S3279:S3282,"&gt;0")*$T$3235*$C$32+$V$3235*$C$31)*$H$27*$R$3235)</f>
        <v>0</v>
      </c>
      <c r="V3279">
        <f>IF(S3279=0,0,$V$3235*$H$26*$R$3235)</f>
        <v>0</v>
      </c>
      <c r="W3279">
        <f>(0.6*T3279+0.7*U3279)*$R$3235/2</f>
        <v>0</v>
      </c>
      <c r="X3279">
        <f>(0.6*T3279+0.6*V3279)*$R$3235/2</f>
        <v>0</v>
      </c>
      <c r="Z3279">
        <f>IF(S3279=0,0,$AD$3235*$AP$3221)</f>
        <v>0</v>
      </c>
      <c r="AA3279">
        <f>IFERROR(Z3279/$R$3235,0)</f>
        <v>0</v>
      </c>
      <c r="AB3279">
        <f>Z3279*($F$21+IF($F$21=0,0,($C$14+$C$15+IF($C$13="single",1.5,3)+3)/12))</f>
        <v>0</v>
      </c>
      <c r="AC3279">
        <f>AB3279-W3279</f>
        <v>0</v>
      </c>
      <c r="AD3279" cm="1">
        <f t="array" ref="AD3279">IFERROR(IF(AC3279&lt;0,0,AC3279/($R$3235-INDEX(hd_off,MATCH(AQ3279,hd_mark,0),0)/12)),0)</f>
        <v>0</v>
      </c>
      <c r="AE3279">
        <f>IF(S3279=0,0,$AD$3235*$AM$3221)</f>
        <v>0</v>
      </c>
      <c r="AF3279">
        <f>IFERROR(AE3279/$R$3235,0)</f>
        <v>0</v>
      </c>
      <c r="AG3279">
        <f>AE3279*($F$21+IF($F$21=0,0,($C$14+$C$15+IF($C$13="single",1.5,3)+3)/12))</f>
        <v>0</v>
      </c>
      <c r="AH3279">
        <f>AG3279-X3279</f>
        <v>0</v>
      </c>
      <c r="AI3279" cm="1">
        <f t="array" ref="AI3279">IFERROR(IF(AH3279&lt;0,0,AH3279/($R$3235-INDEX(hd_off,MATCH(AQ3279,hd_mark,0),0)/12)),0)</f>
        <v>0</v>
      </c>
      <c r="AJ3279">
        <f>MAX($F$21,$Y$3235)/$Q$3252</f>
        <v>0.30172413793103448</v>
      </c>
      <c r="AK3279">
        <f>IF(AJ3279=0,0,IF(AJ3279&gt;2,1.25-0.125*AJ3279,1))</f>
        <v>1</v>
      </c>
      <c r="AL3279" cm="1">
        <f t="array" ref="AL3279">IFERROR(INDEX(sheath_ecap_asd,MATCH(AP3279,sheath_mark,0),0)*AK3279,0)</f>
        <v>0</v>
      </c>
      <c r="AM3279" cm="1">
        <f t="array" ref="AM3279">IFERROR(INDEX(sheath_wcap_asd,MATCH(AP3279,sheath_mark,0),0)*AK3279,0)</f>
        <v>0</v>
      </c>
      <c r="AN3279" cm="1">
        <f t="array" ref="AN3279">IFERROR(INDEX(hd_cap,MATCH(AQ3279,hd_mark,0),0),0)</f>
        <v>0</v>
      </c>
      <c r="AP3279" s="19"/>
      <c r="AQ3279" s="19"/>
      <c r="AR3279" s="100"/>
      <c r="AS3279" s="93"/>
      <c r="AT3279" s="110" t="str">
        <f>$AT$3235</f>
        <v>1.06</v>
      </c>
      <c r="AU3279" t="str">
        <f>$Q$3221</f>
        <v>L2</v>
      </c>
      <c r="AV3279">
        <f>$E$21</f>
        <v>10.6875</v>
      </c>
      <c r="AW3279" cm="1">
        <f t="array" ref="AW3279">IFERROR(IF(AV3279=0,0,(INDEX($C$33:$C$38,MATCH($AZ$3235,$B$33:$B$38,0),0)*(AV3283+$BA$3235)+$AW$3235*COUNTIF(AV3279:AV3282,"&gt;0")*$C$32+$AY$3235*$C$31)*$AU$3235),0)</f>
        <v>0</v>
      </c>
      <c r="AX3279">
        <f>IF(AV3279=0,0,-(COUNTIF(AV3279:AV3282,"&gt;0")*$AW$3235*$C$32+$AY$3235*$C$31)*$H$27*$AU$3235)</f>
        <v>0</v>
      </c>
      <c r="AY3279">
        <f>IF(AV3279=0,0,$AY$3235*$H$26*$AU$3235)</f>
        <v>0</v>
      </c>
      <c r="AZ3279">
        <f>(0.6*AW3279+0.7*AX3279)*$AU$3235/2</f>
        <v>0</v>
      </c>
      <c r="BA3279">
        <f>(0.6*AW3279+0.6*AY3279)*$AU$3235/2</f>
        <v>0</v>
      </c>
      <c r="BC3279">
        <f>IF(AV3279=0,0,$BG$3235*$AP$3221)</f>
        <v>0</v>
      </c>
      <c r="BD3279">
        <f>IFERROR(BC3279/$AU$3235,0)</f>
        <v>0</v>
      </c>
      <c r="BE3279">
        <f>BC3279*($F$21+IF($F$21=0,0,($C$14+$C$15+IF($C$13="single",1.5,3)+3)/12))</f>
        <v>0</v>
      </c>
      <c r="BF3279">
        <f>BE3279-AZ3279</f>
        <v>0</v>
      </c>
      <c r="BG3279" cm="1">
        <f t="array" ref="BG3279">IFERROR(IF(BF3279&lt;0,0,BF3279/($AU$3235-INDEX(hd_off,MATCH(BT3279,hd_mark,0),0)/12)),0)</f>
        <v>0</v>
      </c>
      <c r="BH3279">
        <f>IF(AV3279=0,0,$BG$3235*$AM$3221)</f>
        <v>0</v>
      </c>
      <c r="BI3279">
        <f>IFERROR(BH3279/$AU$3235,0)</f>
        <v>0</v>
      </c>
      <c r="BJ3279">
        <f>BH3279*($F$21+IF($F$21=0,0,($C$14+$C$15+IF($C$13="single",1.5,3)+3)/12))</f>
        <v>0</v>
      </c>
      <c r="BK3279">
        <f>BJ3279-BA3279</f>
        <v>0</v>
      </c>
      <c r="BL3279" cm="1">
        <f t="array" ref="BL3279">IFERROR(IF(BK3279&lt;0,0,BK3279/($AU$3235-INDEX(hd_off,MATCH(BT3279,hd_mark,0),0)/12)),0)</f>
        <v>0</v>
      </c>
      <c r="BM3279">
        <f>MAX($F$21,$BB$3235)/$Q$3252</f>
        <v>0.30172413793103448</v>
      </c>
      <c r="BN3279">
        <f>IF(BM3279=0,0,IF(BM3279&gt;2,1.25-0.125*BM3279,1))</f>
        <v>1</v>
      </c>
      <c r="BO3279" cm="1">
        <f t="array" ref="BO3279">IFERROR(INDEX(sheath_ecap_asd,MATCH(BS3279,sheath_mark,0),0)*BN3279,0)</f>
        <v>0</v>
      </c>
      <c r="BP3279" cm="1">
        <f t="array" ref="BP3279">IFERROR(INDEX(sheath_wcap_asd,MATCH(BS3279,sheath_mark,0),0)*BN3279,0)</f>
        <v>0</v>
      </c>
      <c r="BQ3279" cm="1">
        <f t="array" ref="BQ3279">IFERROR(INDEX(hd_cap,MATCH(BT3279,hd_mark,0),0),0)</f>
        <v>0</v>
      </c>
      <c r="BS3279" s="19"/>
      <c r="BT3279" s="19"/>
      <c r="BU3279" s="100"/>
    </row>
    <row r="3280" x14ac:dyDescent="0.25">
      <c r="P3280" s="93"/>
      <c r="Q3280" s="109"/>
      <c r="R3280" t="str">
        <f>$Q$3222</f>
        <v>L3</v>
      </c>
      <c r="S3280">
        <f>$E$22</f>
        <v>21.375</v>
      </c>
      <c r="T3280" cm="1">
        <f t="array" ref="T3280">IFERROR(IF(S3280=0,0,(INDEX($C$33:$C$38,MATCH($W$3235,$B$33:$B$38,0),0)*(S3283+$X$3235)+$T$3235*COUNTIF(S3280:S3282,"&gt;0")*$C$32+$V$3235*$C$31)*$R$3235),0)</f>
        <v>0</v>
      </c>
      <c r="U3280">
        <f>IF(S3280=0,0,-(COUNTIF(S3280:S3282,"&gt;0")*$T$3235*$C$32+$V$3235*$C$31)*$H$27*$R$3235)</f>
        <v>0</v>
      </c>
      <c r="V3280">
        <f>IF(S3280=0,0,$V$3235*$H$26*$R$3235)</f>
        <v>0</v>
      </c>
      <c r="W3280">
        <f>(0.6*T3280+0.7*U3280)*$R$3235/2</f>
        <v>0</v>
      </c>
      <c r="X3280">
        <f>T3280*$R$3235/2</f>
        <v>0</v>
      </c>
      <c r="Z3280">
        <f>IF(S3280=0,0,$AD$3235*$AP$3222)</f>
        <v>0</v>
      </c>
      <c r="AA3280">
        <f>IFERROR(Z3280/$R$3235,0)</f>
        <v>0</v>
      </c>
      <c r="AB3280">
        <f>Z3280*($F$22+IF($F$22=0,0,($C$14+$C$15+IF($C$13="single",1.5,3)+3)/12))</f>
        <v>0</v>
      </c>
      <c r="AC3280">
        <f>AB3280-W3280</f>
        <v>0</v>
      </c>
      <c r="AD3280" cm="1">
        <f t="array" ref="AD3280">IFERROR(IF(AC3280&lt;0,0,AC3280/($R$3235-INDEX(hd_off,MATCH(AQ3280,hd_mark,0),0)/12)),0)</f>
        <v>0</v>
      </c>
      <c r="AE3280">
        <f>IF(S3280=0,0,$AD$3235*$AM$3222)</f>
        <v>0</v>
      </c>
      <c r="AF3280">
        <f>IFERROR(AE3280/$R$3235,0)</f>
        <v>0</v>
      </c>
      <c r="AG3280">
        <f>AE3280*($F$22+IF($F$22=0,0,($C$14+$C$15+IF($C$13="single",1.5,3)+3)/12))</f>
        <v>0</v>
      </c>
      <c r="AH3280">
        <f>AG3280-X3280</f>
        <v>0</v>
      </c>
      <c r="AI3280" cm="1">
        <f t="array" ref="AI3280">IFERROR(IF(AH3280&lt;0,0,AH3280/($R$3235-INDEX(hd_off,MATCH(AQ3280,hd_mark,0),0)/12)),0)</f>
        <v>0</v>
      </c>
      <c r="AJ3280">
        <f>MAX($F$22,$Z$3235)/$Q$3252</f>
        <v>0.30172413793103448</v>
      </c>
      <c r="AK3280">
        <f t="shared" ref="AK3280:AK3283" si="2031">IF(AJ3280=0,0,IF(AJ3280&gt;2,1.25-0.125*AJ3280,1))</f>
        <v>1</v>
      </c>
      <c r="AL3280" cm="1">
        <f t="array" ref="AL3280">IFERROR(INDEX(sheath_ecap_asd,MATCH(AP3280,sheath_mark,0),0)*AK3280,0)</f>
        <v>0</v>
      </c>
      <c r="AM3280" cm="1">
        <f t="array" ref="AM3280">IFERROR(INDEX(sheath_wcap_asd,MATCH(AP3280,sheath_mark,0),0)*AK3280,0)</f>
        <v>0</v>
      </c>
      <c r="AN3280" cm="1">
        <f t="array" ref="AN3280">IFERROR(INDEX(hd_cap,MATCH(AQ3280,hd_mark,0),0),0)</f>
        <v>0</v>
      </c>
      <c r="AP3280" s="19"/>
      <c r="AQ3280" s="19"/>
      <c r="AR3280" s="100"/>
      <c r="AS3280" s="93"/>
      <c r="AT3280" s="109"/>
      <c r="AU3280" t="str">
        <f>$Q$3222</f>
        <v>L3</v>
      </c>
      <c r="AV3280">
        <f>$E$22</f>
        <v>21.375</v>
      </c>
      <c r="AW3280" cm="1">
        <f t="array" ref="AW3280">IFERROR(IF(AV3280=0,0,(INDEX($C$33:$C$38,MATCH($AZ$3235,$B$33:$B$38,0),0)*(AV3283+$BA$3235)+$AW$3235*COUNTIF(AV3280:AV3282,"&gt;0")*$C$32+$AY$3235*$C$31)*$AU$3235),0)</f>
        <v>0</v>
      </c>
      <c r="AX3280">
        <f>IF(AV3280=0,0,-(COUNTIF(AV3280:AV3282,"&gt;0")*$AW$3235*$C$32+$AY$3235*$C$31)*$H$27*$AU$3235)</f>
        <v>0</v>
      </c>
      <c r="AY3280">
        <f>IF(AV3280=0,0,$AY$3235*$H$26*$AU$3235)</f>
        <v>0</v>
      </c>
      <c r="AZ3280">
        <f>(0.6*AW3280+0.7*AX3280)*$AU$3235/2</f>
        <v>0</v>
      </c>
      <c r="BA3280">
        <f>AW3280*$AU$3235/2</f>
        <v>0</v>
      </c>
      <c r="BC3280">
        <f>IF(AV3280=0,0,$BG$3235*$AP$3222)</f>
        <v>0</v>
      </c>
      <c r="BD3280">
        <f>IFERROR(BC3280/$AU$3235,0)</f>
        <v>0</v>
      </c>
      <c r="BE3280">
        <f>BC3280*($F$22+IF($F$22=0,0,($C$14+$C$15+IF($C$13="single",1.5,3)+3)/12))</f>
        <v>0</v>
      </c>
      <c r="BF3280">
        <f>BE3280-AZ3280</f>
        <v>0</v>
      </c>
      <c r="BG3280" cm="1">
        <f t="array" ref="BG3280">IFERROR(IF(BF3280&lt;0,0,BF3280/($AU$3235-INDEX(hd_off,MATCH(BT3280,hd_mark,0),0)/12)),0)</f>
        <v>0</v>
      </c>
      <c r="BH3280">
        <f>IF(AV3280=0,0,$BG$3235*$AM$3222)</f>
        <v>0</v>
      </c>
      <c r="BI3280">
        <f>IFERROR(BH3280/$AU$3235,0)</f>
        <v>0</v>
      </c>
      <c r="BJ3280">
        <f>BH3280*($F$22+IF($F$22=0,0,($C$14+$C$15+IF($C$13="single",1.5,3)+3)/12))</f>
        <v>0</v>
      </c>
      <c r="BK3280">
        <f>BJ3280-BA3280</f>
        <v>0</v>
      </c>
      <c r="BL3280" cm="1">
        <f t="array" ref="BL3280">IFERROR(IF(BK3280&lt;0,0,BK3280/($AU$3235-INDEX(hd_off,MATCH(BT3280,hd_mark,0),0)/12)),0)</f>
        <v>0</v>
      </c>
      <c r="BM3280">
        <f>MAX($F$22,$BC$3235)/$Q$3252</f>
        <v>0.30172413793103448</v>
      </c>
      <c r="BN3280">
        <f t="shared" ref="BN3280:BN3283" si="2032">IF(BM3280=0,0,IF(BM3280&gt;2,1.25-0.125*BM3280,1))</f>
        <v>1</v>
      </c>
      <c r="BO3280" cm="1">
        <f t="array" ref="BO3280">IFERROR(INDEX(sheath_ecap_asd,MATCH(BS3280,sheath_mark,0),0)*BN3280,0)</f>
        <v>0</v>
      </c>
      <c r="BP3280" cm="1">
        <f t="array" ref="BP3280">IFERROR(INDEX(sheath_wcap_asd,MATCH(BS3280,sheath_mark,0),0)*BN3280,0)</f>
        <v>0</v>
      </c>
      <c r="BQ3280" cm="1">
        <f t="array" ref="BQ3280">IFERROR(INDEX(hd_cap,MATCH(BT3280,hd_mark,0),0),0)</f>
        <v>0</v>
      </c>
      <c r="BS3280" s="19"/>
      <c r="BT3280" s="19"/>
      <c r="BU3280" s="100"/>
    </row>
    <row r="3281" x14ac:dyDescent="0.25">
      <c r="P3281" s="93"/>
      <c r="Q3281" s="109" t="s">
        <v>491</v>
      </c>
      <c r="R3281" t="str">
        <f>$Q$3223</f>
        <v>L4</v>
      </c>
      <c r="S3281">
        <f>$E$23</f>
        <v>0</v>
      </c>
      <c r="T3281" cm="1">
        <f t="array" ref="T3281">IFERROR(IF(S3281=0,0,(INDEX($C$33:$C$38,MATCH($W$3235,$B$33:$B$38,0),0)*(S3283+$X$3235)+$T$3235*COUNTIF(S3281:S3282,"&gt;0")*$C$32+$V$3235*$C$31)*$R$3235),0)</f>
        <v>0</v>
      </c>
      <c r="U3281">
        <f>IF(S3281=0,0,-(COUNTIF(S3281:S3282,"&gt;0")*$T$3235*$C$32+$V$3235*$C$31)*$H$27*$R$3235)</f>
        <v>0</v>
      </c>
      <c r="V3281">
        <f>IF(S3281=0,0,$V$3235*$H$26*$R$3235)</f>
        <v>0</v>
      </c>
      <c r="W3281">
        <f>(0.6*T3281+0.7*U3281)*$R$3235/2</f>
        <v>0</v>
      </c>
      <c r="X3281">
        <f>T3281*$R$3235/2</f>
        <v>0</v>
      </c>
      <c r="Z3281">
        <f>IF(S3281=0,0,$AD$3235*$AP$3223)</f>
        <v>0</v>
      </c>
      <c r="AA3281">
        <f>IFERROR(Z3281/$R$3235,0)</f>
        <v>0</v>
      </c>
      <c r="AB3281">
        <f>Z3281*($F$23+IF($F$23=0,0,($C$14+$C$15+IF($C$13="single",1.5,3)+3)/12))</f>
        <v>0</v>
      </c>
      <c r="AC3281">
        <f>AB3281-W3281</f>
        <v>0</v>
      </c>
      <c r="AD3281" cm="1">
        <f t="array" ref="AD3281">IFERROR(IF(AC3281&lt;0,0,AC3281/($R$3235-INDEX(hd_off,MATCH(AQ3281,hd_mark,0),0)/12)),0)</f>
        <v>0</v>
      </c>
      <c r="AE3281">
        <f>IF(S3281=0,0,$AD$3235*$AM$3223)</f>
        <v>0</v>
      </c>
      <c r="AF3281">
        <f>IFERROR(AE3281/$R$3235,0)</f>
        <v>0</v>
      </c>
      <c r="AG3281">
        <f>AE3281*($F$23+IF($F$23=0,0,($C$14+$C$15+IF($C$13="single",1.5,3)+3)/12))</f>
        <v>0</v>
      </c>
      <c r="AH3281">
        <f>AG3281-X3281</f>
        <v>0</v>
      </c>
      <c r="AI3281" cm="1">
        <f t="array" ref="AI3281">IFERROR(IF(AH3281&lt;0,0,AH3281/($R$3235-INDEX(hd_off,MATCH(AQ3281,hd_mark,0),0)/12)),0)</f>
        <v>0</v>
      </c>
      <c r="AJ3281">
        <f>MAX($F$23,$AA$3235)/$Q$3252</f>
        <v>0</v>
      </c>
      <c r="AK3281">
        <f t="shared" si="2031"/>
        <v>0</v>
      </c>
      <c r="AL3281" cm="1">
        <f t="array" ref="AL3281">IFERROR(INDEX(sheath_ecap_asd,MATCH(AP3281,sheath_mark,0),0)*AK3281,0)</f>
        <v>0</v>
      </c>
      <c r="AM3281" cm="1">
        <f t="array" ref="AM3281">IFERROR(INDEX(sheath_wcap_asd,MATCH(AP3281,sheath_mark,0),0)*AK3281,0)</f>
        <v>0</v>
      </c>
      <c r="AN3281" cm="1">
        <f t="array" ref="AN3281">IFERROR(INDEX(hd_cap,MATCH(AQ3281,hd_mark,0),0),0)</f>
        <v>0</v>
      </c>
      <c r="AP3281" s="19"/>
      <c r="AQ3281" s="19"/>
      <c r="AR3281" s="100"/>
      <c r="AS3281" s="93"/>
      <c r="AT3281" s="109" t="s">
        <v>491</v>
      </c>
      <c r="AU3281" t="str">
        <f>$Q$3223</f>
        <v>L4</v>
      </c>
      <c r="AV3281">
        <f>$E$23</f>
        <v>0</v>
      </c>
      <c r="AW3281" cm="1">
        <f t="array" ref="AW3281">IFERROR(IF(AV3281=0,0,(INDEX($C$33:$C$38,MATCH($AZ$3235,$B$33:$B$38,0),0)*(AV3283+$BA$3235)+$AW$3235*COUNTIF(AV3281:AV3282,"&gt;0")*$C$32+$AY$3235*$C$31)*$AU$3235),0)</f>
        <v>0</v>
      </c>
      <c r="AX3281">
        <f>IF(AV3281=0,0,-(COUNTIF(AV3281:AV3282,"&gt;0")*$AW$3235*$C$32+$AY$3235*$C$31)*$H$27*$AU$3235)</f>
        <v>0</v>
      </c>
      <c r="AY3281">
        <f>IF(AV3281=0,0,$AY$3235*$H$26*$AU$3235)</f>
        <v>0</v>
      </c>
      <c r="AZ3281">
        <f>(0.6*AW3281+0.7*AX3281)*$AU$3235/2</f>
        <v>0</v>
      </c>
      <c r="BA3281">
        <f>AW3281*$AU$3235/2</f>
        <v>0</v>
      </c>
      <c r="BC3281">
        <f>IF(AV3281=0,0,$BG$3235*$AP$3223)</f>
        <v>0</v>
      </c>
      <c r="BD3281">
        <f>IFERROR(BC3281/$AU$3235,0)</f>
        <v>0</v>
      </c>
      <c r="BE3281">
        <f>BC3281*($F$23+IF($F$23=0,0,($C$14+$C$15+IF($C$13="single",1.5,3)+3)/12))</f>
        <v>0</v>
      </c>
      <c r="BF3281">
        <f>BE3281-AZ3281</f>
        <v>0</v>
      </c>
      <c r="BG3281" cm="1">
        <f t="array" ref="BG3281">IFERROR(IF(BF3281&lt;0,0,BF3281/($AU$3235-INDEX(hd_off,MATCH(BT3281,hd_mark,0),0)/12)),0)</f>
        <v>0</v>
      </c>
      <c r="BH3281">
        <f>IF(AV3281=0,0,$BG$3235*$AM$3223)</f>
        <v>0</v>
      </c>
      <c r="BI3281">
        <f>IFERROR(BH3281/$AU$3235,0)</f>
        <v>0</v>
      </c>
      <c r="BJ3281">
        <f>BH3281*($F$23+IF($F$23=0,0,($C$14+$C$15+IF($C$13="single",1.5,3)+3)/12))</f>
        <v>0</v>
      </c>
      <c r="BK3281">
        <f>BJ3281-BA3281</f>
        <v>0</v>
      </c>
      <c r="BL3281" cm="1">
        <f t="array" ref="BL3281">IFERROR(IF(BK3281&lt;0,0,BK3281/($AU$3235-INDEX(hd_off,MATCH(BT3281,hd_mark,0),0)/12)),0)</f>
        <v>0</v>
      </c>
      <c r="BM3281">
        <f>MAX($F$23,$BD$3235)/$Q$3252</f>
        <v>0</v>
      </c>
      <c r="BN3281">
        <f t="shared" si="2032"/>
        <v>0</v>
      </c>
      <c r="BO3281" cm="1">
        <f t="array" ref="BO3281">IFERROR(INDEX(sheath_ecap_asd,MATCH(BS3281,sheath_mark,0),0)*BN3281,0)</f>
        <v>0</v>
      </c>
      <c r="BP3281" cm="1">
        <f t="array" ref="BP3281">IFERROR(INDEX(sheath_wcap_asd,MATCH(BS3281,sheath_mark,0),0)*BN3281,0)</f>
        <v>0</v>
      </c>
      <c r="BQ3281" cm="1">
        <f t="array" ref="BQ3281">IFERROR(INDEX(hd_cap,MATCH(BT3281,hd_mark,0),0),0)</f>
        <v>0</v>
      </c>
      <c r="BS3281" s="19"/>
      <c r="BT3281" s="19"/>
      <c r="BU3281" s="100"/>
    </row>
    <row r="3282" x14ac:dyDescent="0.25">
      <c r="P3282" s="93"/>
      <c r="Q3282" s="111">
        <f>$R$3235</f>
        <v>0</v>
      </c>
      <c r="R3282" t="str">
        <f>$Q$3224</f>
        <v>L5</v>
      </c>
      <c r="S3282">
        <f>$E$24</f>
        <v>0</v>
      </c>
      <c r="T3282" cm="1">
        <f t="array" ref="T3282">IFERROR(IF(S3282=0,0,(INDEX($C$33:$C$38,MATCH($W$3235,$B$33:$B$38,0),0)*(S3283+$X$3235)+$T$3235*COUNTIF(S3282:S3282,"&gt;0")*$C$32+$V$3235*$C$31)*$R$3235),0)</f>
        <v>0</v>
      </c>
      <c r="U3282">
        <f>IF(S3282=0,0,-(COUNTIF(S3282:S3282,"&gt;0")*$T$3235*$C$32+$V$3235*$C$31)*$H$27*$R$3235)</f>
        <v>0</v>
      </c>
      <c r="V3282">
        <f>IF(S3282=0,0,$V$3235*$H$26*$R$3235)</f>
        <v>0</v>
      </c>
      <c r="W3282">
        <f>(0.6*T3282+0.7*U3282)*$R$3235/2</f>
        <v>0</v>
      </c>
      <c r="X3282">
        <f>T3282*$R$3235/2</f>
        <v>0</v>
      </c>
      <c r="Z3282">
        <f>IF(S3282=0,0,$AD$3235*$AP$3224)</f>
        <v>0</v>
      </c>
      <c r="AA3282">
        <f>IFERROR(Z3282/$R$3235,0)</f>
        <v>0</v>
      </c>
      <c r="AB3282">
        <f>Z3282*($F$24+IF($F$24=0,0,($C$14+$C$15+IF($C$13="single",1.5,3)+3)/12))</f>
        <v>0</v>
      </c>
      <c r="AC3282">
        <f>AB3282-W3282</f>
        <v>0</v>
      </c>
      <c r="AD3282" cm="1">
        <f t="array" ref="AD3282">IFERROR(IF(AC3282&lt;0,0,AC3282/($R$3235-INDEX(hd_off,MATCH(AQ3282,hd_mark,0),0)/12)),0)</f>
        <v>0</v>
      </c>
      <c r="AE3282">
        <f>IF(S3282=0,0,$AD$3235*$AM$3224)</f>
        <v>0</v>
      </c>
      <c r="AF3282">
        <f>IFERROR(AE3282/$R$3235,0)</f>
        <v>0</v>
      </c>
      <c r="AG3282">
        <f>AE3282*($F$24+IF($F$24=0,0,($C$14+$C$15+IF($C$13="single",1.5,3)+3)/12))</f>
        <v>0</v>
      </c>
      <c r="AH3282">
        <f>AG3282-X3282</f>
        <v>0</v>
      </c>
      <c r="AI3282" cm="1">
        <f t="array" ref="AI3282">IFERROR(IF(AH3282&lt;0,0,AH3282/($R$3235-INDEX(hd_off,MATCH(AQ3282,hd_mark,0),0)/12)),0)</f>
        <v>0</v>
      </c>
      <c r="AJ3282">
        <f>MAX($F$24,$AB$3235)/$Q$3252</f>
        <v>0</v>
      </c>
      <c r="AK3282">
        <f t="shared" si="2031"/>
        <v>0</v>
      </c>
      <c r="AL3282" cm="1">
        <f t="array" ref="AL3282">IFERROR(INDEX(sheath_ecap_asd,MATCH(AP3282,sheath_mark,0),0)*AK3282,0)</f>
        <v>0</v>
      </c>
      <c r="AM3282" cm="1">
        <f t="array" ref="AM3282">IFERROR(INDEX(sheath_wcap_asd,MATCH(AP3282,sheath_mark,0),0)*AK3282,0)</f>
        <v>0</v>
      </c>
      <c r="AN3282" cm="1">
        <f t="array" ref="AN3282">IFERROR(INDEX(hd_cap,MATCH(AQ3282,hd_mark,0),0),0)</f>
        <v>0</v>
      </c>
      <c r="AP3282" s="19"/>
      <c r="AQ3282" s="19"/>
      <c r="AR3282" s="100"/>
      <c r="AS3282" s="93"/>
      <c r="AT3282" s="111">
        <f>$R$3235</f>
        <v>0</v>
      </c>
      <c r="AU3282" t="str">
        <f>$Q$3224</f>
        <v>L5</v>
      </c>
      <c r="AV3282">
        <f>$E$24</f>
        <v>0</v>
      </c>
      <c r="AW3282" cm="1">
        <f t="array" ref="AW3282">IFERROR(IF(AV3282=0,0,(INDEX($C$33:$C$38,MATCH($AZ$3235,$B$33:$B$38,0),0)*(AV3283+$BA$3235)+$AW$3235*COUNTIF(AV3282:AV3282,"&gt;0")*$C$32+$AY$3235*$C$31)*$AU$3235),0)</f>
        <v>0</v>
      </c>
      <c r="AX3282">
        <f>IF(AV3282=0,0,-(COUNTIF(AV3282:AV3282,"&gt;0")*$AW$3235*$C$32+$AY$3235*$C$31)*$H$27*$AU$3235)</f>
        <v>0</v>
      </c>
      <c r="AY3282">
        <f>IF(AV3282=0,0,$AY$3235*$H$26*$AU$3235)</f>
        <v>0</v>
      </c>
      <c r="AZ3282">
        <f>(0.6*AW3282+0.7*AX3282)*$AU$3235/2</f>
        <v>0</v>
      </c>
      <c r="BA3282">
        <f>AW3282*$AU$3235/2</f>
        <v>0</v>
      </c>
      <c r="BC3282">
        <f>IF(AV3282=0,0,$BG$3235*$AP$3224)</f>
        <v>0</v>
      </c>
      <c r="BD3282">
        <f>IFERROR(BC3282/$AU$3235,0)</f>
        <v>0</v>
      </c>
      <c r="BE3282">
        <f>BC3282*($F$24+IF($F$24=0,0,($C$14+$C$15+IF($C$13="single",1.5,3)+3)/12))</f>
        <v>0</v>
      </c>
      <c r="BF3282">
        <f>BE3282-AZ3282</f>
        <v>0</v>
      </c>
      <c r="BG3282" cm="1">
        <f t="array" ref="BG3282">IFERROR(IF(BF3282&lt;0,0,BF3282/($AU$3235-INDEX(hd_off,MATCH(BT3282,hd_mark,0),0)/12)),0)</f>
        <v>0</v>
      </c>
      <c r="BH3282">
        <f>IF(AV3282=0,0,$BG$3235*$AM$3224)</f>
        <v>0</v>
      </c>
      <c r="BI3282">
        <f>IFERROR(BH3282/$AU$3235,0)</f>
        <v>0</v>
      </c>
      <c r="BJ3282">
        <f>BH3282*($F$24+IF($F$24=0,0,($C$14+$C$15+IF($C$13="single",1.5,3)+3)/12))</f>
        <v>0</v>
      </c>
      <c r="BK3282">
        <f>BJ3282-BA3282</f>
        <v>0</v>
      </c>
      <c r="BL3282" cm="1">
        <f t="array" ref="BL3282">IFERROR(IF(BK3282&lt;0,0,BK3282/($AU$3235-INDEX(hd_off,MATCH(BT3282,hd_mark,0),0)/12)),0)</f>
        <v>0</v>
      </c>
      <c r="BM3282">
        <f>MAX($F$24,$BE$3235)/$Q$3252</f>
        <v>0</v>
      </c>
      <c r="BN3282">
        <f t="shared" si="2032"/>
        <v>0</v>
      </c>
      <c r="BO3282" cm="1">
        <f t="array" ref="BO3282">IFERROR(INDEX(sheath_ecap_asd,MATCH(BS3282,sheath_mark,0),0)*BN3282,0)</f>
        <v>0</v>
      </c>
      <c r="BP3282" cm="1">
        <f t="array" ref="BP3282">IFERROR(INDEX(sheath_wcap_asd,MATCH(BS3282,sheath_mark,0),0)*BN3282,0)</f>
        <v>0</v>
      </c>
      <c r="BQ3282" cm="1">
        <f t="array" ref="BQ3282">IFERROR(INDEX(hd_cap,MATCH(BT3282,hd_mark,0),0),0)</f>
        <v>0</v>
      </c>
      <c r="BS3282" s="19"/>
      <c r="BT3282" s="19"/>
      <c r="BU3282" s="100"/>
    </row>
    <row r="3283" x14ac:dyDescent="0.25">
      <c r="P3283" s="93"/>
      <c r="Q3283" s="109"/>
      <c r="R3283" t="str">
        <f>$Q$3225</f>
        <v>Roof</v>
      </c>
      <c r="S3283">
        <f>$E$25</f>
        <v>33.171875</v>
      </c>
      <c r="T3283" cm="1">
        <f t="array" ref="T3283">IFERROR(IF(S3283=0,0,(INDEX($C$33:$C$38,MATCH($W$3235,$B$33:$B$38,0),0)*(S3283+$X$3235)+$V$3235*$C$31)*$R$3235),0)</f>
        <v>0</v>
      </c>
      <c r="U3283">
        <f>IF(S3283=0,0,-$V$3235*$C$31*$H$27*$R$3235)</f>
        <v>0</v>
      </c>
      <c r="V3283">
        <f>IF(S3283=0,0,$V$3235*$H$26*$R$3235)</f>
        <v>0</v>
      </c>
      <c r="W3283">
        <f>(0.6*T3283+0.7*U3283)*$R$3235/2</f>
        <v>0</v>
      </c>
      <c r="X3283">
        <f>T3283*$R$3235/2</f>
        <v>0</v>
      </c>
      <c r="Z3283">
        <f>IF(S3283=0,0,$AD$3235*$AP$3225)</f>
        <v>0</v>
      </c>
      <c r="AA3283">
        <f>IFERROR(Z3283/$R$3235,0)</f>
        <v>0</v>
      </c>
      <c r="AB3283">
        <f>Z3283*($F$25+($C$16+$C$17+IF($C$13="single",1.5,3)+3)/12)</f>
        <v>0</v>
      </c>
      <c r="AC3283">
        <f>AB3283-W3283</f>
        <v>0</v>
      </c>
      <c r="AD3283" cm="1">
        <f t="array" ref="AD3283">IFERROR(IF(AC3283&lt;0,0,AC3283/($R$3235-INDEX(hd_off,MATCH(AQ3283,hd_mark,0),0)/12)),0)</f>
        <v>0</v>
      </c>
      <c r="AE3283">
        <f>IF(S3283=0,0,$AD$3235*$AM$3225)</f>
        <v>0</v>
      </c>
      <c r="AF3283">
        <f>IFERROR(AE3283/$R$3235,0)</f>
        <v>0</v>
      </c>
      <c r="AG3283">
        <f>AE3283*($F$25+($C$16+$C$17+IF($C$13="single",1.5,3)+3)/12)</f>
        <v>0</v>
      </c>
      <c r="AH3283">
        <f>AG3283-X3283</f>
        <v>0</v>
      </c>
      <c r="AI3283" cm="1">
        <f t="array" ref="AI3283">IFERROR(IF(AH3283&lt;0,0,AH3283/($R$3235-INDEX(hd_off,MATCH(AQ3283,hd_mark,0),0)/12)),0)</f>
        <v>0</v>
      </c>
      <c r="AJ3283">
        <f>MAX($F$25,$AC$3235)/$Q$3252</f>
        <v>0.29920977011494249</v>
      </c>
      <c r="AK3283">
        <f t="shared" si="2031"/>
        <v>1</v>
      </c>
      <c r="AL3283" cm="1">
        <f t="array" ref="AL3283">IFERROR(INDEX(sheath_ecap_asd,MATCH(AP3283,sheath_mark,0),0)*AK3283,0)</f>
        <v>0</v>
      </c>
      <c r="AM3283" cm="1">
        <f t="array" ref="AM3283">IFERROR(INDEX(sheath_wcap_asd,MATCH(AP3283,sheath_mark,0),0)*AK3283,0)</f>
        <v>0</v>
      </c>
      <c r="AN3283" cm="1">
        <f t="array" ref="AN3283">IFERROR(INDEX(hd_cap,MATCH(AQ3283,hd_mark,0),0),0)</f>
        <v>0</v>
      </c>
      <c r="AP3283" s="19"/>
      <c r="AQ3283" s="19"/>
      <c r="AR3283" s="100"/>
      <c r="AS3283" s="93"/>
      <c r="AT3283" s="109"/>
      <c r="AU3283" t="str">
        <f>$Q$3225</f>
        <v>Roof</v>
      </c>
      <c r="AV3283">
        <f>$E$25</f>
        <v>33.171875</v>
      </c>
      <c r="AW3283" cm="1">
        <f t="array" ref="AW3283">IFERROR(IF(AV3283=0,0,(INDEX($C$33:$C$38,MATCH($AZ$3235,$B$33:$B$38,0),0)*(AV3283+$BA$3235)+$AY$3235*$C$31)*$AU$3235),0)</f>
        <v>0</v>
      </c>
      <c r="AX3283">
        <f>IF(AV3283=0,0,-$AY$3235*$C$31*$H$27*$AU$3235)</f>
        <v>0</v>
      </c>
      <c r="AY3283">
        <f>IF(AV3283=0,0,$AY$3235*$H$26*$AU$3235)</f>
        <v>0</v>
      </c>
      <c r="AZ3283">
        <f>(0.6*AW3283+0.7*AX3283)*$AU$3235/2</f>
        <v>0</v>
      </c>
      <c r="BA3283">
        <f>AW3283*$AU$3235/2</f>
        <v>0</v>
      </c>
      <c r="BC3283">
        <f>IF(AV3283=0,0,$BG$3235*$AP$3225)</f>
        <v>0</v>
      </c>
      <c r="BD3283">
        <f>IFERROR(BC3283/$AU$3235,0)</f>
        <v>0</v>
      </c>
      <c r="BE3283">
        <f>BC3283*($F$25+($C$16+$C$17+IF($C$13="single",1.5,3)+3)/12)</f>
        <v>0</v>
      </c>
      <c r="BF3283">
        <f>BE3283-AZ3283</f>
        <v>0</v>
      </c>
      <c r="BG3283" cm="1">
        <f t="array" ref="BG3283">IFERROR(IF(BF3283&lt;0,0,BF3283/($AU$3235-INDEX(hd_off,MATCH(BT3283,hd_mark,0),0)/12)),0)</f>
        <v>0</v>
      </c>
      <c r="BH3283">
        <f>IF(AV3283=0,0,$BG$3235*$AM$3225)</f>
        <v>0</v>
      </c>
      <c r="BI3283">
        <f>IFERROR(BH3283/$AU$3235,0)</f>
        <v>0</v>
      </c>
      <c r="BJ3283">
        <f>BH3283*($F$25+($C$16+$C$17+IF($C$13="single",1.5,3)+3)/12)</f>
        <v>0</v>
      </c>
      <c r="BK3283">
        <f>BJ3283-BA3283</f>
        <v>0</v>
      </c>
      <c r="BL3283" cm="1">
        <f t="array" ref="BL3283">IFERROR(IF(BK3283&lt;0,0,BK3283/($AU$3235-INDEX(hd_off,MATCH(BT3283,hd_mark,0),0)/12)),0)</f>
        <v>0</v>
      </c>
      <c r="BM3283">
        <f>MAX($F$25,$BF$3235)/$Q$3252</f>
        <v>0.29920977011494249</v>
      </c>
      <c r="BN3283">
        <f t="shared" si="2032"/>
        <v>1</v>
      </c>
      <c r="BO3283" cm="1">
        <f t="array" ref="BO3283">IFERROR(INDEX(sheath_ecap_asd,MATCH(BS3283,sheath_mark,0),0)*BN3283,0)</f>
        <v>0</v>
      </c>
      <c r="BP3283" cm="1">
        <f t="array" ref="BP3283">IFERROR(INDEX(sheath_wcap_asd,MATCH(BS3283,sheath_mark,0),0)*BN3283,0)</f>
        <v>0</v>
      </c>
      <c r="BQ3283" cm="1">
        <f t="array" ref="BQ3283">IFERROR(INDEX(hd_cap,MATCH(BT3283,hd_mark,0),0),0)</f>
        <v>0</v>
      </c>
      <c r="BS3283" s="19"/>
      <c r="BT3283" s="19"/>
      <c r="BU3283" s="100"/>
    </row>
    <row r="3284" x14ac:dyDescent="0.25">
      <c r="P3284" s="93"/>
      <c r="AR3284" s="100"/>
      <c r="AS3284" s="93"/>
      <c r="BU3284" s="100"/>
    </row>
    <row r="3285" x14ac:dyDescent="0.25">
      <c r="P3285" s="93"/>
      <c r="Q3285" s="110" t="str">
        <f>$Q$3236</f>
        <v>A.07</v>
      </c>
      <c r="R3285" t="str">
        <f>$Q$3221</f>
        <v>L2</v>
      </c>
      <c r="S3285">
        <f>$E$21</f>
        <v>10.6875</v>
      </c>
      <c r="T3285" cm="1">
        <f t="array" ref="T3285">IFERROR(IF(S3285=0,0,(INDEX($C$33:$C$38,MATCH($W$3236,$B$33:$B$38,0),0)*(S3289+$X$3236)+$T$3236*COUNTIF(S3285:S3288,"&gt;0")*$C$32+$V$3236*$C$31)*$R$3236),0)</f>
        <v>0</v>
      </c>
      <c r="U3285">
        <f>IF(S3285=0,0,-(COUNTIF(S3285:S3288,"&gt;0")*$T$3236*$C$32+$V$3236*$C$31)*$H$27*$R$3236)</f>
        <v>0</v>
      </c>
      <c r="V3285">
        <f>IF(S3285=0,0,$V$3236*$H$26*$R$3236)</f>
        <v>0</v>
      </c>
      <c r="W3285">
        <f>(0.6*T3285+0.7*U3285)*$R$3236/2</f>
        <v>0</v>
      </c>
      <c r="X3285">
        <f>(0.6*T3285+0.6*V3285)*$R$3236/2</f>
        <v>0</v>
      </c>
      <c r="Z3285">
        <f>IF(S3285=0,0,$AD$3236*$AP$3221)</f>
        <v>0</v>
      </c>
      <c r="AA3285">
        <f>IFERROR(Z3285/$R$3236,0)</f>
        <v>0</v>
      </c>
      <c r="AB3285">
        <f>Z3285*($F$21+IF($F$21=0,0,($C$14+$C$15+IF($C$13="single",1.5,3)+3)/12))</f>
        <v>0</v>
      </c>
      <c r="AC3285">
        <f>AB3285-W3285</f>
        <v>0</v>
      </c>
      <c r="AD3285" cm="1">
        <f t="array" ref="AD3285">IFERROR(IF(AC3285&lt;0,0,AC3285/($R$3236-INDEX(hd_off,MATCH(AQ3285,hd_mark,0),0)/12)),0)</f>
        <v>0</v>
      </c>
      <c r="AE3285">
        <f>IF(S3285=0,0,$AD$3236*$AM$3221)</f>
        <v>0</v>
      </c>
      <c r="AF3285">
        <f>IFERROR(AE3285/$R$3236,0)</f>
        <v>0</v>
      </c>
      <c r="AG3285">
        <f>AE3285*($F$21+IF($F$21=0,0,($C$14+$C$15+IF($C$13="single",1.5,3)+3)/12))</f>
        <v>0</v>
      </c>
      <c r="AH3285">
        <f>AG3285-X3285</f>
        <v>0</v>
      </c>
      <c r="AI3285" cm="1">
        <f t="array" ref="AI3285">IFERROR(IF(AH3285&lt;0,0,AH3285/($R$3236-INDEX(hd_off,MATCH(AQ3285,hd_mark,0),0)/12)),0)</f>
        <v>0</v>
      </c>
      <c r="AJ3285">
        <f>MAX($F$21,$Y$3236)/$Q$3252</f>
        <v>0.30172413793103448</v>
      </c>
      <c r="AK3285">
        <f>IF(AJ3285=0,0,IF(AJ3285&gt;2,1.25-0.125*AJ3285,1))</f>
        <v>1</v>
      </c>
      <c r="AL3285" cm="1">
        <f t="array" ref="AL3285">IFERROR(INDEX(sheath_ecap_asd,MATCH(AP3285,sheath_mark,0),0)*AK3285,0)</f>
        <v>0</v>
      </c>
      <c r="AM3285" cm="1">
        <f t="array" ref="AM3285">IFERROR(INDEX(sheath_wcap_asd,MATCH(AP3285,sheath_mark,0),0)*AK3285,0)</f>
        <v>0</v>
      </c>
      <c r="AN3285" cm="1">
        <f t="array" ref="AN3285">IFERROR(INDEX(hd_cap,MATCH(AQ3285,hd_mark,0),0),0)</f>
        <v>0</v>
      </c>
      <c r="AP3285" s="19"/>
      <c r="AQ3285" s="19"/>
      <c r="AR3285" s="100"/>
      <c r="AS3285" s="93"/>
      <c r="AT3285" s="110" t="str">
        <f>$AT$3236</f>
        <v>1.07</v>
      </c>
      <c r="AU3285" t="str">
        <f>$Q$3221</f>
        <v>L2</v>
      </c>
      <c r="AV3285">
        <f>$E$21</f>
        <v>10.6875</v>
      </c>
      <c r="AW3285" cm="1">
        <f t="array" ref="AW3285">IFERROR(IF(AV3285=0,0,(INDEX($C$33:$C$38,MATCH($AZ$3236,$B$33:$B$38,0),0)*(AV3289+$BA$3236)+$AW$3236*COUNTIF(AV3285:AV3288,"&gt;0")*$C$32+$AY$3236*$C$31)*$AU$3236),0)</f>
        <v>0</v>
      </c>
      <c r="AX3285">
        <f>IF(AV3285=0,0,-(COUNTIF(AV3285:AV3288,"&gt;0")*$AW$3236*$C$32+$AY$3236*$C$31)*$H$27*$AU$3236)</f>
        <v>0</v>
      </c>
      <c r="AY3285">
        <f>IF(AV3285=0,0,$AY$3236*$H$26*$AU$3236)</f>
        <v>0</v>
      </c>
      <c r="AZ3285">
        <f>(0.6*AW3285+0.7*AX3285)*$AU$3236/2</f>
        <v>0</v>
      </c>
      <c r="BA3285">
        <f>(0.6*AW3285+0.6*AY3285)*$AU$3236/2</f>
        <v>0</v>
      </c>
      <c r="BC3285">
        <f>IF(AV3285=0,0,$BG$3236*$AP$3221)</f>
        <v>0</v>
      </c>
      <c r="BD3285">
        <f>IFERROR(BC3285/$AU$3236,0)</f>
        <v>0</v>
      </c>
      <c r="BE3285">
        <f>BC3285*($F$21+IF($F$21=0,0,($C$14+$C$15+IF($C$13="single",1.5,3)+3)/12))</f>
        <v>0</v>
      </c>
      <c r="BF3285">
        <f>BE3285-AZ3285</f>
        <v>0</v>
      </c>
      <c r="BG3285" cm="1">
        <f t="array" ref="BG3285">IFERROR(IF(BF3285&lt;0,0,BF3285/($AU$3236-INDEX(hd_off,MATCH(BT3285,hd_mark,0),0)/12)),0)</f>
        <v>0</v>
      </c>
      <c r="BH3285">
        <f>IF(AV3285=0,0,$BG$3236*$AM$3221)</f>
        <v>0</v>
      </c>
      <c r="BI3285">
        <f>IFERROR(BH3285/$AU$3236,0)</f>
        <v>0</v>
      </c>
      <c r="BJ3285">
        <f>BH3285*($F$21+IF($F$21=0,0,($C$14+$C$15+IF($C$13="single",1.5,3)+3)/12))</f>
        <v>0</v>
      </c>
      <c r="BK3285">
        <f>BJ3285-BA3285</f>
        <v>0</v>
      </c>
      <c r="BL3285" cm="1">
        <f t="array" ref="BL3285">IFERROR(IF(BK3285&lt;0,0,BK3285/($AU$3236-INDEX(hd_off,MATCH(BT3285,hd_mark,0),0)/12)),0)</f>
        <v>0</v>
      </c>
      <c r="BM3285">
        <f>MAX($F$21,$BB$3236)/$Q$3252</f>
        <v>0.30172413793103448</v>
      </c>
      <c r="BN3285">
        <f>IF(BM3285=0,0,IF(BM3285&gt;2,1.25-0.125*BM3285,1))</f>
        <v>1</v>
      </c>
      <c r="BO3285" cm="1">
        <f t="array" ref="BO3285">IFERROR(INDEX(sheath_ecap_asd,MATCH(BS3285,sheath_mark,0),0)*BN3285,0)</f>
        <v>0</v>
      </c>
      <c r="BP3285" cm="1">
        <f t="array" ref="BP3285">IFERROR(INDEX(sheath_wcap_asd,MATCH(BS3285,sheath_mark,0),0)*BN3285,0)</f>
        <v>0</v>
      </c>
      <c r="BQ3285" cm="1">
        <f t="array" ref="BQ3285">IFERROR(INDEX(hd_cap,MATCH(BT3285,hd_mark,0),0),0)</f>
        <v>0</v>
      </c>
      <c r="BS3285" s="19"/>
      <c r="BT3285" s="19"/>
      <c r="BU3285" s="100"/>
    </row>
    <row r="3286" x14ac:dyDescent="0.25">
      <c r="P3286" s="93"/>
      <c r="Q3286" s="109"/>
      <c r="R3286" t="str">
        <f>$Q$3222</f>
        <v>L3</v>
      </c>
      <c r="S3286">
        <f>$E$22</f>
        <v>21.375</v>
      </c>
      <c r="T3286" cm="1">
        <f t="array" ref="T3286">IFERROR(IF(S3286=0,0,(INDEX($C$33:$C$38,MATCH($W$3236,$B$33:$B$38,0),0)*(S3289+$X$3236)+$T$3236*COUNTIF(S3286:S3288,"&gt;0")*$C$32+$V$3236*$C$31)*$R$3236),0)</f>
        <v>0</v>
      </c>
      <c r="U3286">
        <f>IF(S3286=0,0,-(COUNTIF(S3286:S3288,"&gt;0")*$T$3236*$C$32+$V$3236*$C$31)*$H$27*$R$3236)</f>
        <v>0</v>
      </c>
      <c r="V3286">
        <f>IF(S3286=0,0,$V$3236*$H$26*$R$3236)</f>
        <v>0</v>
      </c>
      <c r="W3286">
        <f>(0.6*T3286+0.7*U3286)*$R$3236/2</f>
        <v>0</v>
      </c>
      <c r="X3286">
        <f>T3286*$R$3236/2</f>
        <v>0</v>
      </c>
      <c r="Z3286">
        <f>IF(S3286=0,0,$AD$3236*$AP$3222)</f>
        <v>0</v>
      </c>
      <c r="AA3286">
        <f>IFERROR(Z3286/$R$3236,0)</f>
        <v>0</v>
      </c>
      <c r="AB3286">
        <f>Z3286*($F$22+IF($F$22=0,0,($C$14+$C$15+IF($C$13="single",1.5,3)+3)/12))</f>
        <v>0</v>
      </c>
      <c r="AC3286">
        <f>AB3286-W3286</f>
        <v>0</v>
      </c>
      <c r="AD3286" cm="1">
        <f t="array" ref="AD3286">IFERROR(IF(AC3286&lt;0,0,AC3286/($R$3236-INDEX(hd_off,MATCH(AQ3286,hd_mark,0),0)/12)),0)</f>
        <v>0</v>
      </c>
      <c r="AE3286">
        <f>IF(S3286=0,0,$AD$3236*$AM$3222)</f>
        <v>0</v>
      </c>
      <c r="AF3286">
        <f>IFERROR(AE3286/$R$3236,0)</f>
        <v>0</v>
      </c>
      <c r="AG3286">
        <f>AE3286*($F$22+IF($F$22=0,0,($C$14+$C$15+IF($C$13="single",1.5,3)+3)/12))</f>
        <v>0</v>
      </c>
      <c r="AH3286">
        <f>AG3286-X3286</f>
        <v>0</v>
      </c>
      <c r="AI3286" cm="1">
        <f t="array" ref="AI3286">IFERROR(IF(AH3286&lt;0,0,AH3286/($R$3236-INDEX(hd_off,MATCH(AQ3286,hd_mark,0),0)/12)),0)</f>
        <v>0</v>
      </c>
      <c r="AJ3286">
        <f>MAX($F$22,$Z$3236)/$Q$3252</f>
        <v>0.30172413793103448</v>
      </c>
      <c r="AK3286">
        <f t="shared" ref="AK3286:AK3289" si="2033">IF(AJ3286=0,0,IF(AJ3286&gt;2,1.25-0.125*AJ3286,1))</f>
        <v>1</v>
      </c>
      <c r="AL3286" cm="1">
        <f t="array" ref="AL3286">IFERROR(INDEX(sheath_ecap_asd,MATCH(AP3286,sheath_mark,0),0)*AK3286,0)</f>
        <v>0</v>
      </c>
      <c r="AM3286" cm="1">
        <f t="array" ref="AM3286">IFERROR(INDEX(sheath_wcap_asd,MATCH(AP3286,sheath_mark,0),0)*AK3286,0)</f>
        <v>0</v>
      </c>
      <c r="AN3286" cm="1">
        <f t="array" ref="AN3286">IFERROR(INDEX(hd_cap,MATCH(AQ3286,hd_mark,0),0),0)</f>
        <v>0</v>
      </c>
      <c r="AP3286" s="19"/>
      <c r="AQ3286" s="19"/>
      <c r="AR3286" s="100"/>
      <c r="AS3286" s="93"/>
      <c r="AT3286" s="109"/>
      <c r="AU3286" t="str">
        <f>$Q$3222</f>
        <v>L3</v>
      </c>
      <c r="AV3286">
        <f>$E$22</f>
        <v>21.375</v>
      </c>
      <c r="AW3286" cm="1">
        <f t="array" ref="AW3286">IFERROR(IF(AV3286=0,0,(INDEX($C$33:$C$38,MATCH($AZ$3236,$B$33:$B$38,0),0)*(AV3289+$BA$3236)+$AW$3236*COUNTIF(AV3286:AV3288,"&gt;0")*$C$32+$AY$3236*$C$31)*$AU$3236),0)</f>
        <v>0</v>
      </c>
      <c r="AX3286">
        <f>IF(AV3286=0,0,-(COUNTIF(AV3286:AV3288,"&gt;0")*$AW$3236*$C$32+$AY$3236*$C$31)*$H$27*$AU$3236)</f>
        <v>0</v>
      </c>
      <c r="AY3286">
        <f>IF(AV3286=0,0,$AY$3236*$H$26*$AU$3236)</f>
        <v>0</v>
      </c>
      <c r="AZ3286">
        <f>(0.6*AW3286+0.7*AX3286)*$AU$3236/2</f>
        <v>0</v>
      </c>
      <c r="BA3286">
        <f>AW3286*$AU$3236/2</f>
        <v>0</v>
      </c>
      <c r="BC3286">
        <f>IF(AV3286=0,0,$BG$3236*$AP$3222)</f>
        <v>0</v>
      </c>
      <c r="BD3286">
        <f>IFERROR(BC3286/$AU$3236,0)</f>
        <v>0</v>
      </c>
      <c r="BE3286">
        <f>BC3286*($F$22+IF($F$22=0,0,($C$14+$C$15+IF($C$13="single",1.5,3)+3)/12))</f>
        <v>0</v>
      </c>
      <c r="BF3286">
        <f>BE3286-AZ3286</f>
        <v>0</v>
      </c>
      <c r="BG3286" cm="1">
        <f t="array" ref="BG3286">IFERROR(IF(BF3286&lt;0,0,BF3286/($AU$3236-INDEX(hd_off,MATCH(BT3286,hd_mark,0),0)/12)),0)</f>
        <v>0</v>
      </c>
      <c r="BH3286">
        <f>IF(AV3286=0,0,$BG$3236*$AM$3222)</f>
        <v>0</v>
      </c>
      <c r="BI3286">
        <f>IFERROR(BH3286/$AU$3236,0)</f>
        <v>0</v>
      </c>
      <c r="BJ3286">
        <f>BH3286*($F$22+IF($F$22=0,0,($C$14+$C$15+IF($C$13="single",1.5,3)+3)/12))</f>
        <v>0</v>
      </c>
      <c r="BK3286">
        <f>BJ3286-BA3286</f>
        <v>0</v>
      </c>
      <c r="BL3286" cm="1">
        <f t="array" ref="BL3286">IFERROR(IF(BK3286&lt;0,0,BK3286/($AU$3236-INDEX(hd_off,MATCH(BT3286,hd_mark,0),0)/12)),0)</f>
        <v>0</v>
      </c>
      <c r="BM3286">
        <f>MAX($F$22,$BC$3236)/$Q$3252</f>
        <v>0.30172413793103448</v>
      </c>
      <c r="BN3286">
        <f t="shared" ref="BN3286:BN3289" si="2034">IF(BM3286=0,0,IF(BM3286&gt;2,1.25-0.125*BM3286,1))</f>
        <v>1</v>
      </c>
      <c r="BO3286" cm="1">
        <f t="array" ref="BO3286">IFERROR(INDEX(sheath_ecap_asd,MATCH(BS3286,sheath_mark,0),0)*BN3286,0)</f>
        <v>0</v>
      </c>
      <c r="BP3286" cm="1">
        <f t="array" ref="BP3286">IFERROR(INDEX(sheath_wcap_asd,MATCH(BS3286,sheath_mark,0),0)*BN3286,0)</f>
        <v>0</v>
      </c>
      <c r="BQ3286" cm="1">
        <f t="array" ref="BQ3286">IFERROR(INDEX(hd_cap,MATCH(BT3286,hd_mark,0),0),0)</f>
        <v>0</v>
      </c>
      <c r="BS3286" s="19"/>
      <c r="BT3286" s="19"/>
      <c r="BU3286" s="100"/>
    </row>
    <row r="3287" x14ac:dyDescent="0.25">
      <c r="P3287" s="93"/>
      <c r="Q3287" s="109" t="s">
        <v>491</v>
      </c>
      <c r="R3287" t="str">
        <f>$Q$3223</f>
        <v>L4</v>
      </c>
      <c r="S3287">
        <f>$E$23</f>
        <v>0</v>
      </c>
      <c r="T3287" cm="1">
        <f t="array" ref="T3287">IFERROR(IF(S3287=0,0,(INDEX($C$33:$C$38,MATCH($W$3236,$B$33:$B$38,0),0)*(S3289+$X$3236)+$T$3236*COUNTIF(S3287:S3288,"&gt;0")*$C$32+$V$3236*$C$31)*$R$3236),0)</f>
        <v>0</v>
      </c>
      <c r="U3287">
        <f>IF(S3287=0,0,-(COUNTIF(S3287:S3288,"&gt;0")*$T$3236*$C$32+$V$3236*$C$31)*$H$27*$R$3236)</f>
        <v>0</v>
      </c>
      <c r="V3287">
        <f>IF(S3287=0,0,$V$3236*$H$26*$R$3236)</f>
        <v>0</v>
      </c>
      <c r="W3287">
        <f>(0.6*T3287+0.7*U3287)*$R$3236/2</f>
        <v>0</v>
      </c>
      <c r="X3287">
        <f>T3287*$R$3236/2</f>
        <v>0</v>
      </c>
      <c r="Z3287">
        <f>IF(S3287=0,0,$AD$3236*$AP$3223)</f>
        <v>0</v>
      </c>
      <c r="AA3287">
        <f>IFERROR(Z3287/$R$3236,0)</f>
        <v>0</v>
      </c>
      <c r="AB3287">
        <f>Z3287*($F$23+IF($F$23=0,0,($C$14+$C$15+IF($C$13="single",1.5,3)+3)/12))</f>
        <v>0</v>
      </c>
      <c r="AC3287">
        <f>AB3287-W3287</f>
        <v>0</v>
      </c>
      <c r="AD3287" cm="1">
        <f t="array" ref="AD3287">IFERROR(IF(AC3287&lt;0,0,AC3287/($R$3236-INDEX(hd_off,MATCH(AQ3287,hd_mark,0),0)/12)),0)</f>
        <v>0</v>
      </c>
      <c r="AE3287">
        <f>IF(S3287=0,0,$AD$3236*$AM$3223)</f>
        <v>0</v>
      </c>
      <c r="AF3287">
        <f>IFERROR(AE3287/$R$3236,0)</f>
        <v>0</v>
      </c>
      <c r="AG3287">
        <f>AE3287*($F$23+IF($F$23=0,0,($C$14+$C$15+IF($C$13="single",1.5,3)+3)/12))</f>
        <v>0</v>
      </c>
      <c r="AH3287">
        <f>AG3287-X3287</f>
        <v>0</v>
      </c>
      <c r="AI3287" cm="1">
        <f t="array" ref="AI3287">IFERROR(IF(AH3287&lt;0,0,AH3287/($R$3236-INDEX(hd_off,MATCH(AQ3287,hd_mark,0),0)/12)),0)</f>
        <v>0</v>
      </c>
      <c r="AJ3287">
        <f>MAX($F$23,$AA$3236)/$Q$3252</f>
        <v>0</v>
      </c>
      <c r="AK3287">
        <f t="shared" si="2033"/>
        <v>0</v>
      </c>
      <c r="AL3287" cm="1">
        <f t="array" ref="AL3287">IFERROR(INDEX(sheath_ecap_asd,MATCH(AP3287,sheath_mark,0),0)*AK3287,0)</f>
        <v>0</v>
      </c>
      <c r="AM3287" cm="1">
        <f t="array" ref="AM3287">IFERROR(INDEX(sheath_wcap_asd,MATCH(AP3287,sheath_mark,0),0)*AK3287,0)</f>
        <v>0</v>
      </c>
      <c r="AN3287" cm="1">
        <f t="array" ref="AN3287">IFERROR(INDEX(hd_cap,MATCH(AQ3287,hd_mark,0),0),0)</f>
        <v>0</v>
      </c>
      <c r="AP3287" s="19"/>
      <c r="AQ3287" s="19"/>
      <c r="AR3287" s="100"/>
      <c r="AS3287" s="93"/>
      <c r="AT3287" s="109" t="s">
        <v>491</v>
      </c>
      <c r="AU3287" t="str">
        <f>$Q$3223</f>
        <v>L4</v>
      </c>
      <c r="AV3287">
        <f>$E$23</f>
        <v>0</v>
      </c>
      <c r="AW3287" cm="1">
        <f t="array" ref="AW3287">IFERROR(IF(AV3287=0,0,(INDEX($C$33:$C$38,MATCH($AZ$3236,$B$33:$B$38,0),0)*(AV3289+$BA$3236)+$AW$3236*COUNTIF(AV3287:AV3288,"&gt;0")*$C$32+$AY$3236*$C$31)*$AU$3236),0)</f>
        <v>0</v>
      </c>
      <c r="AX3287">
        <f>IF(AV3287=0,0,-(COUNTIF(AV3287:AV3288,"&gt;0")*$AW$3236*$C$32+$AY$3236*$C$31)*$H$27*$AU$3236)</f>
        <v>0</v>
      </c>
      <c r="AY3287">
        <f>IF(AV3287=0,0,$AY$3236*$H$26*$AU$3236)</f>
        <v>0</v>
      </c>
      <c r="AZ3287">
        <f>(0.6*AW3287+0.7*AX3287)*$AU$3236/2</f>
        <v>0</v>
      </c>
      <c r="BA3287">
        <f>AW3287*$AU$3236/2</f>
        <v>0</v>
      </c>
      <c r="BC3287">
        <f>IF(AV3287=0,0,$BG$3236*$AP$3223)</f>
        <v>0</v>
      </c>
      <c r="BD3287">
        <f>IFERROR(BC3287/$AU$3236,0)</f>
        <v>0</v>
      </c>
      <c r="BE3287">
        <f>BC3287*($F$23+IF($F$23=0,0,($C$14+$C$15+IF($C$13="single",1.5,3)+3)/12))</f>
        <v>0</v>
      </c>
      <c r="BF3287">
        <f>BE3287-AZ3287</f>
        <v>0</v>
      </c>
      <c r="BG3287" cm="1">
        <f t="array" ref="BG3287">IFERROR(IF(BF3287&lt;0,0,BF3287/($AU$3236-INDEX(hd_off,MATCH(BT3287,hd_mark,0),0)/12)),0)</f>
        <v>0</v>
      </c>
      <c r="BH3287">
        <f>IF(AV3287=0,0,$BG$3236*$AM$3223)</f>
        <v>0</v>
      </c>
      <c r="BI3287">
        <f>IFERROR(BH3287/$AU$3236,0)</f>
        <v>0</v>
      </c>
      <c r="BJ3287">
        <f>BH3287*($F$23+IF($F$23=0,0,($C$14+$C$15+IF($C$13="single",1.5,3)+3)/12))</f>
        <v>0</v>
      </c>
      <c r="BK3287">
        <f>BJ3287-BA3287</f>
        <v>0</v>
      </c>
      <c r="BL3287" cm="1">
        <f t="array" ref="BL3287">IFERROR(IF(BK3287&lt;0,0,BK3287/($AU$3236-INDEX(hd_off,MATCH(BT3287,hd_mark,0),0)/12)),0)</f>
        <v>0</v>
      </c>
      <c r="BM3287">
        <f>MAX($F$23,$BD$3236)/$Q$3252</f>
        <v>0</v>
      </c>
      <c r="BN3287">
        <f t="shared" si="2034"/>
        <v>0</v>
      </c>
      <c r="BO3287" cm="1">
        <f t="array" ref="BO3287">IFERROR(INDEX(sheath_ecap_asd,MATCH(BS3287,sheath_mark,0),0)*BN3287,0)</f>
        <v>0</v>
      </c>
      <c r="BP3287" cm="1">
        <f t="array" ref="BP3287">IFERROR(INDEX(sheath_wcap_asd,MATCH(BS3287,sheath_mark,0),0)*BN3287,0)</f>
        <v>0</v>
      </c>
      <c r="BQ3287" cm="1">
        <f t="array" ref="BQ3287">IFERROR(INDEX(hd_cap,MATCH(BT3287,hd_mark,0),0),0)</f>
        <v>0</v>
      </c>
      <c r="BS3287" s="19"/>
      <c r="BT3287" s="19"/>
      <c r="BU3287" s="100"/>
    </row>
    <row r="3288" x14ac:dyDescent="0.25">
      <c r="P3288" s="93"/>
      <c r="Q3288" s="111">
        <f>$R$3236</f>
        <v>0</v>
      </c>
      <c r="R3288" t="str">
        <f>$Q$3224</f>
        <v>L5</v>
      </c>
      <c r="S3288">
        <f>$E$24</f>
        <v>0</v>
      </c>
      <c r="T3288" cm="1">
        <f t="array" ref="T3288">IFERROR(IF(S3288=0,0,(INDEX($C$33:$C$38,MATCH($W$3236,$B$33:$B$38,0),0)*(S3289+$X$3236)+$T$3236*COUNTIF(S3288:S3288,"&gt;0")*$C$32+$V$3236*$C$31)*$R$3236),0)</f>
        <v>0</v>
      </c>
      <c r="U3288">
        <f>IF(S3288=0,0,-(COUNTIF(S3288:S3288,"&gt;0")*$T$3236*$C$32+$V$3236*$C$31)*$H$27*$R$3236)</f>
        <v>0</v>
      </c>
      <c r="V3288">
        <f>IF(S3288=0,0,$V$3236*$H$26*$R$3236)</f>
        <v>0</v>
      </c>
      <c r="W3288">
        <f>(0.6*T3288+0.7*U3288)*$R$3236/2</f>
        <v>0</v>
      </c>
      <c r="X3288">
        <f>T3288*$R$3236/2</f>
        <v>0</v>
      </c>
      <c r="Z3288">
        <f>IF(S3288=0,0,$AD$3236*$AP$3224)</f>
        <v>0</v>
      </c>
      <c r="AA3288">
        <f>IFERROR(Z3288/$R$3236,0)</f>
        <v>0</v>
      </c>
      <c r="AB3288">
        <f>Z3288*($F$24+IF($F$24=0,0,($C$14+$C$15+IF($C$13="single",1.5,3)+3)/12))</f>
        <v>0</v>
      </c>
      <c r="AC3288">
        <f>AB3288-W3288</f>
        <v>0</v>
      </c>
      <c r="AD3288" cm="1">
        <f t="array" ref="AD3288">IFERROR(IF(AC3288&lt;0,0,AC3288/($R$3236-INDEX(hd_off,MATCH(AQ3288,hd_mark,0),0)/12)),0)</f>
        <v>0</v>
      </c>
      <c r="AE3288">
        <f>IF(S3288=0,0,$AD$3236*$AM$3224)</f>
        <v>0</v>
      </c>
      <c r="AF3288">
        <f>IFERROR(AE3288/$R$3236,0)</f>
        <v>0</v>
      </c>
      <c r="AG3288">
        <f>AE3288*($F$24+IF($F$24=0,0,($C$14+$C$15+IF($C$13="single",1.5,3)+3)/12))</f>
        <v>0</v>
      </c>
      <c r="AH3288">
        <f>AG3288-X3288</f>
        <v>0</v>
      </c>
      <c r="AI3288" cm="1">
        <f t="array" ref="AI3288">IFERROR(IF(AH3288&lt;0,0,AH3288/($R$3236-INDEX(hd_off,MATCH(AQ3288,hd_mark,0),0)/12)),0)</f>
        <v>0</v>
      </c>
      <c r="AJ3288">
        <f>MAX($F$24,$AB$3236)/$Q$3252</f>
        <v>0</v>
      </c>
      <c r="AK3288">
        <f t="shared" si="2033"/>
        <v>0</v>
      </c>
      <c r="AL3288" cm="1">
        <f t="array" ref="AL3288">IFERROR(INDEX(sheath_ecap_asd,MATCH(AP3288,sheath_mark,0),0)*AK3288,0)</f>
        <v>0</v>
      </c>
      <c r="AM3288" cm="1">
        <f t="array" ref="AM3288">IFERROR(INDEX(sheath_wcap_asd,MATCH(AP3288,sheath_mark,0),0)*AK3288,0)</f>
        <v>0</v>
      </c>
      <c r="AN3288" cm="1">
        <f t="array" ref="AN3288">IFERROR(INDEX(hd_cap,MATCH(AQ3288,hd_mark,0),0),0)</f>
        <v>0</v>
      </c>
      <c r="AP3288" s="19"/>
      <c r="AQ3288" s="19"/>
      <c r="AR3288" s="100"/>
      <c r="AS3288" s="93"/>
      <c r="AT3288" s="111">
        <f>$R$3236</f>
        <v>0</v>
      </c>
      <c r="AU3288" t="str">
        <f>$Q$3224</f>
        <v>L5</v>
      </c>
      <c r="AV3288">
        <f>$E$24</f>
        <v>0</v>
      </c>
      <c r="AW3288" cm="1">
        <f t="array" ref="AW3288">IFERROR(IF(AV3288=0,0,(INDEX($C$33:$C$38,MATCH($AZ$3236,$B$33:$B$38,0),0)*(AV3289+$BA$3236)+$AW$3236*COUNTIF(AV3288:AV3288,"&gt;0")*$C$32+$AY$3236*$C$31)*$AU$3236),0)</f>
        <v>0</v>
      </c>
      <c r="AX3288">
        <f>IF(AV3288=0,0,-(COUNTIF(AV3288:AV3288,"&gt;0")*$AW$3236*$C$32+$AY$3236*$C$31)*$H$27*$AU$3236)</f>
        <v>0</v>
      </c>
      <c r="AY3288">
        <f>IF(AV3288=0,0,$AY$3236*$H$26*$AU$3236)</f>
        <v>0</v>
      </c>
      <c r="AZ3288">
        <f>(0.6*AW3288+0.7*AX3288)*$AU$3236/2</f>
        <v>0</v>
      </c>
      <c r="BA3288">
        <f>AW3288*$AU$3236/2</f>
        <v>0</v>
      </c>
      <c r="BC3288">
        <f>IF(AV3288=0,0,$BG$3236*$AP$3224)</f>
        <v>0</v>
      </c>
      <c r="BD3288">
        <f>IFERROR(BC3288/$AU$3236,0)</f>
        <v>0</v>
      </c>
      <c r="BE3288">
        <f>BC3288*($F$24+IF($F$24=0,0,($C$14+$C$15+IF($C$13="single",1.5,3)+3)/12))</f>
        <v>0</v>
      </c>
      <c r="BF3288">
        <f>BE3288-AZ3288</f>
        <v>0</v>
      </c>
      <c r="BG3288" cm="1">
        <f t="array" ref="BG3288">IFERROR(IF(BF3288&lt;0,0,BF3288/($AU$3236-INDEX(hd_off,MATCH(BT3288,hd_mark,0),0)/12)),0)</f>
        <v>0</v>
      </c>
      <c r="BH3288">
        <f>IF(AV3288=0,0,$BG$3236*$AM$3224)</f>
        <v>0</v>
      </c>
      <c r="BI3288">
        <f>IFERROR(BH3288/$AU$3236,0)</f>
        <v>0</v>
      </c>
      <c r="BJ3288">
        <f>BH3288*($F$24+IF($F$24=0,0,($C$14+$C$15+IF($C$13="single",1.5,3)+3)/12))</f>
        <v>0</v>
      </c>
      <c r="BK3288">
        <f>BJ3288-BA3288</f>
        <v>0</v>
      </c>
      <c r="BL3288" cm="1">
        <f t="array" ref="BL3288">IFERROR(IF(BK3288&lt;0,0,BK3288/($AU$3236-INDEX(hd_off,MATCH(BT3288,hd_mark,0),0)/12)),0)</f>
        <v>0</v>
      </c>
      <c r="BM3288">
        <f>MAX($F$24,$BE$3236)/$Q$3252</f>
        <v>0</v>
      </c>
      <c r="BN3288">
        <f t="shared" si="2034"/>
        <v>0</v>
      </c>
      <c r="BO3288" cm="1">
        <f t="array" ref="BO3288">IFERROR(INDEX(sheath_ecap_asd,MATCH(BS3288,sheath_mark,0),0)*BN3288,0)</f>
        <v>0</v>
      </c>
      <c r="BP3288" cm="1">
        <f t="array" ref="BP3288">IFERROR(INDEX(sheath_wcap_asd,MATCH(BS3288,sheath_mark,0),0)*BN3288,0)</f>
        <v>0</v>
      </c>
      <c r="BQ3288" cm="1">
        <f t="array" ref="BQ3288">IFERROR(INDEX(hd_cap,MATCH(BT3288,hd_mark,0),0),0)</f>
        <v>0</v>
      </c>
      <c r="BS3288" s="19"/>
      <c r="BT3288" s="19"/>
      <c r="BU3288" s="100"/>
    </row>
    <row r="3289" x14ac:dyDescent="0.25">
      <c r="P3289" s="93"/>
      <c r="Q3289" s="109"/>
      <c r="R3289" t="str">
        <f>$Q$3225</f>
        <v>Roof</v>
      </c>
      <c r="S3289">
        <f>$E$25</f>
        <v>33.171875</v>
      </c>
      <c r="T3289" cm="1">
        <f t="array" ref="T3289">IFERROR(IF(S3289=0,0,(INDEX($C$33:$C$38,MATCH($W$3236,$B$33:$B$38,0),0)*(S3289+$X$3236)+$V$3236*$C$31)*$R$3236),0)</f>
        <v>0</v>
      </c>
      <c r="U3289">
        <f>IF(S3289=0,0,-$V$3236*$C$31*$H$27*$R$3236)</f>
        <v>0</v>
      </c>
      <c r="V3289">
        <f>IF(S3289=0,0,$V$3236*$H$26*$R$3236)</f>
        <v>0</v>
      </c>
      <c r="W3289">
        <f>(0.6*T3289+0.7*U3289)*$R$3236/2</f>
        <v>0</v>
      </c>
      <c r="X3289">
        <f>T3289*$R$3236/2</f>
        <v>0</v>
      </c>
      <c r="Z3289">
        <f>IF(S3289=0,0,$AD$3236*$AP$3225)</f>
        <v>0</v>
      </c>
      <c r="AA3289">
        <f>IFERROR(Z3289/$R$3236,0)</f>
        <v>0</v>
      </c>
      <c r="AB3289">
        <f>Z3289*($F$25+($C$16+$C$17+IF($C$13="single",1.5,3)+3)/12)</f>
        <v>0</v>
      </c>
      <c r="AC3289">
        <f>AB3289-W3289</f>
        <v>0</v>
      </c>
      <c r="AD3289" cm="1">
        <f t="array" ref="AD3289">IFERROR(IF(AC3289&lt;0,0,AC3289/($R$3236-INDEX(hd_off,MATCH(AQ3289,hd_mark,0),0)/12)),0)</f>
        <v>0</v>
      </c>
      <c r="AE3289">
        <f>IF(S3289=0,0,$AD$3236*$AM$3225)</f>
        <v>0</v>
      </c>
      <c r="AF3289">
        <f>IFERROR(AE3289/$R$3236,0)</f>
        <v>0</v>
      </c>
      <c r="AG3289">
        <f>AE3289*($F$25+($C$16+$C$17+IF($C$13="single",1.5,3)+3)/12)</f>
        <v>0</v>
      </c>
      <c r="AH3289">
        <f>AG3289-X3289</f>
        <v>0</v>
      </c>
      <c r="AI3289" cm="1">
        <f t="array" ref="AI3289">IFERROR(IF(AH3289&lt;0,0,AH3289/($R$3236-INDEX(hd_off,MATCH(AQ3289,hd_mark,0),0)/12)),0)</f>
        <v>0</v>
      </c>
      <c r="AJ3289">
        <f>MAX($F$25,$AC$3236)/$Q$3252</f>
        <v>0.29920977011494249</v>
      </c>
      <c r="AK3289">
        <f t="shared" si="2033"/>
        <v>1</v>
      </c>
      <c r="AL3289" cm="1">
        <f t="array" ref="AL3289">IFERROR(INDEX(sheath_ecap_asd,MATCH(AP3289,sheath_mark,0),0)*AK3289,0)</f>
        <v>0</v>
      </c>
      <c r="AM3289" cm="1">
        <f t="array" ref="AM3289">IFERROR(INDEX(sheath_wcap_asd,MATCH(AP3289,sheath_mark,0),0)*AK3289,0)</f>
        <v>0</v>
      </c>
      <c r="AN3289" cm="1">
        <f t="array" ref="AN3289">IFERROR(INDEX(hd_cap,MATCH(AQ3289,hd_mark,0),0),0)</f>
        <v>0</v>
      </c>
      <c r="AP3289" s="19"/>
      <c r="AQ3289" s="19"/>
      <c r="AR3289" s="100"/>
      <c r="AS3289" s="93"/>
      <c r="AT3289" s="109"/>
      <c r="AU3289" t="str">
        <f>$Q$3225</f>
        <v>Roof</v>
      </c>
      <c r="AV3289">
        <f>$E$25</f>
        <v>33.171875</v>
      </c>
      <c r="AW3289" cm="1">
        <f t="array" ref="AW3289">IFERROR(IF(AV3289=0,0,(INDEX($C$33:$C$38,MATCH($AZ$3236,$B$33:$B$38,0),0)*(AV3289+$BA$3236)+$AY$3236*$C$31)*$AU$3236),0)</f>
        <v>0</v>
      </c>
      <c r="AX3289">
        <f>IF(AV3289=0,0,-$AY$3236*$C$31*$H$27*$AU$3236)</f>
        <v>0</v>
      </c>
      <c r="AY3289">
        <f>IF(AV3289=0,0,$AY$3236*$H$26*$AU$3236)</f>
        <v>0</v>
      </c>
      <c r="AZ3289">
        <f>(0.6*AW3289+0.7*AX3289)*$AU$3236/2</f>
        <v>0</v>
      </c>
      <c r="BA3289">
        <f>AW3289*$AU$3236/2</f>
        <v>0</v>
      </c>
      <c r="BC3289">
        <f>IF(AV3289=0,0,$BG$3236*$AP$3225)</f>
        <v>0</v>
      </c>
      <c r="BD3289">
        <f>IFERROR(BC3289/$AU$3236,0)</f>
        <v>0</v>
      </c>
      <c r="BE3289">
        <f>BC3289*($F$25+($C$16+$C$17+IF($C$13="single",1.5,3)+3)/12)</f>
        <v>0</v>
      </c>
      <c r="BF3289">
        <f>BE3289-AZ3289</f>
        <v>0</v>
      </c>
      <c r="BG3289" cm="1">
        <f t="array" ref="BG3289">IFERROR(IF(BF3289&lt;0,0,BF3289/($AU$3236-INDEX(hd_off,MATCH(BT3289,hd_mark,0),0)/12)),0)</f>
        <v>0</v>
      </c>
      <c r="BH3289">
        <f>IF(AV3289=0,0,$BG$3236*$AM$3225)</f>
        <v>0</v>
      </c>
      <c r="BI3289">
        <f>IFERROR(BH3289/$AU$3236,0)</f>
        <v>0</v>
      </c>
      <c r="BJ3289">
        <f>BH3289*($F$25+($C$16+$C$17+IF($C$13="single",1.5,3)+3)/12)</f>
        <v>0</v>
      </c>
      <c r="BK3289">
        <f>BJ3289-BA3289</f>
        <v>0</v>
      </c>
      <c r="BL3289" cm="1">
        <f t="array" ref="BL3289">IFERROR(IF(BK3289&lt;0,0,BK3289/($AU$3236-INDEX(hd_off,MATCH(BT3289,hd_mark,0),0)/12)),0)</f>
        <v>0</v>
      </c>
      <c r="BM3289">
        <f>MAX($F$25,$BF$3236)/$Q$3252</f>
        <v>0.29920977011494249</v>
      </c>
      <c r="BN3289">
        <f t="shared" si="2034"/>
        <v>1</v>
      </c>
      <c r="BO3289" cm="1">
        <f t="array" ref="BO3289">IFERROR(INDEX(sheath_ecap_asd,MATCH(BS3289,sheath_mark,0),0)*BN3289,0)</f>
        <v>0</v>
      </c>
      <c r="BP3289" cm="1">
        <f t="array" ref="BP3289">IFERROR(INDEX(sheath_wcap_asd,MATCH(BS3289,sheath_mark,0),0)*BN3289,0)</f>
        <v>0</v>
      </c>
      <c r="BQ3289" cm="1">
        <f t="array" ref="BQ3289">IFERROR(INDEX(hd_cap,MATCH(BT3289,hd_mark,0),0),0)</f>
        <v>0</v>
      </c>
      <c r="BS3289" s="19"/>
      <c r="BT3289" s="19"/>
      <c r="BU3289" s="100"/>
    </row>
    <row r="3290" x14ac:dyDescent="0.25">
      <c r="P3290" s="93"/>
      <c r="AR3290" s="100"/>
      <c r="AS3290" s="93"/>
      <c r="BU3290" s="100"/>
    </row>
    <row r="3291" x14ac:dyDescent="0.25">
      <c r="P3291" s="93"/>
      <c r="Q3291" s="110" t="str">
        <f>$Q$3237</f>
        <v>A.08</v>
      </c>
      <c r="R3291" t="str">
        <f>$Q$3221</f>
        <v>L2</v>
      </c>
      <c r="S3291">
        <f>$E$21</f>
        <v>10.6875</v>
      </c>
      <c r="T3291" cm="1">
        <f t="array" ref="T3291">IFERROR(IF(S3291=0,0,(INDEX($C$33:$C$38,MATCH($W$3237,$B$33:$B$38,0),0)*(S3295+$X$3237)+$T$3237*COUNTIF(S3291:S3294,"&gt;0")*$C$32+$V$3237*$C$31)*$R$3237),0)</f>
        <v>0</v>
      </c>
      <c r="U3291">
        <f>IF(S3291=0,0,-(COUNTIF(S3291:S3294,"&gt;0")*$T$3237*$C$32+$V$3237*$C$31)*$H$27*$R$3237)</f>
        <v>0</v>
      </c>
      <c r="V3291">
        <f>IF(S3291=0,0,$V$3237*$H$26*$R$3237)</f>
        <v>0</v>
      </c>
      <c r="W3291">
        <f>(0.6*T3291+0.7*U3291)*$R$3237/2</f>
        <v>0</v>
      </c>
      <c r="X3291">
        <f>(0.6*T3291+0.6*V3291)*$R$3237/2</f>
        <v>0</v>
      </c>
      <c r="Z3291">
        <f>IF(S3291=0,0,$AD$3237*$AP$3221)</f>
        <v>0</v>
      </c>
      <c r="AA3291">
        <f>IFERROR(Z3291/$R$3237,0)</f>
        <v>0</v>
      </c>
      <c r="AB3291">
        <f>Z3291*($F$21+IF($F$21=0,0,($C$14+$C$15+IF($C$13="single",1.5,3)+3)/12))</f>
        <v>0</v>
      </c>
      <c r="AC3291">
        <f>AB3291-W3291</f>
        <v>0</v>
      </c>
      <c r="AD3291" cm="1">
        <f t="array" ref="AD3291">IFERROR(IF(AC3291&lt;0,0,AC3291/($R$3237-INDEX(hd_off,MATCH(AQ3291,hd_mark,0),0)/12)),0)</f>
        <v>0</v>
      </c>
      <c r="AE3291">
        <f>IF(S3291=0,0,$AD$3237*$AM$3221)</f>
        <v>0</v>
      </c>
      <c r="AF3291">
        <f>IFERROR(AE3291/$R$3237,0)</f>
        <v>0</v>
      </c>
      <c r="AG3291">
        <f>AE3291*($F$21+IF($F$21=0,0,($C$14+$C$15+IF($C$13="single",1.5,3)+3)/12))</f>
        <v>0</v>
      </c>
      <c r="AH3291">
        <f>AG3291-X3291</f>
        <v>0</v>
      </c>
      <c r="AI3291" cm="1">
        <f t="array" ref="AI3291">IFERROR(IF(AH3291&lt;0,0,AH3291/($R$3237-INDEX(hd_off,MATCH(AQ3291,hd_mark,0),0)/12)),0)</f>
        <v>0</v>
      </c>
      <c r="AJ3291">
        <f>MAX($F$21,$Y$3237)/$Q$3252</f>
        <v>0.30172413793103448</v>
      </c>
      <c r="AK3291">
        <f>IF(AJ3291=0,0,IF(AJ3291&gt;2,1.25-0.125*AJ3291,1))</f>
        <v>1</v>
      </c>
      <c r="AL3291" cm="1">
        <f t="array" ref="AL3291">IFERROR(INDEX(sheath_ecap_asd,MATCH(AP3291,sheath_mark,0),0)*AK3291,0)</f>
        <v>0</v>
      </c>
      <c r="AM3291" cm="1">
        <f t="array" ref="AM3291">IFERROR(INDEX(sheath_wcap_asd,MATCH(AP3291,sheath_mark,0),0)*AK3291,0)</f>
        <v>0</v>
      </c>
      <c r="AN3291" cm="1">
        <f t="array" ref="AN3291">IFERROR(INDEX(hd_cap,MATCH(AQ3291,hd_mark,0),0),0)</f>
        <v>0</v>
      </c>
      <c r="AP3291" s="19"/>
      <c r="AQ3291" s="19"/>
      <c r="AR3291" s="100"/>
      <c r="AS3291" s="93"/>
      <c r="AT3291" s="110" t="str">
        <f>$AT$3237</f>
        <v>1.08</v>
      </c>
      <c r="AU3291" t="str">
        <f>$Q$3221</f>
        <v>L2</v>
      </c>
      <c r="AV3291">
        <f>$E$21</f>
        <v>10.6875</v>
      </c>
      <c r="AW3291" cm="1">
        <f t="array" ref="AW3291">IFERROR(IF(AV3291=0,0,(INDEX($C$33:$C$38,MATCH($AZ$3237,$B$33:$B$38,0),0)*(AV3295+$BA$3237)+$AW$3237*COUNTIF(AV3291:AV3294,"&gt;0")*$C$32+$AY$3237*$C$31)*$AU$3237),0)</f>
        <v>0</v>
      </c>
      <c r="AX3291">
        <f>IF(AV3291=0,0,-(COUNTIF(AV3291:AV3294,"&gt;0")*$AW$3237*$C$32+$AY$3237*$C$31)*$H$27*$AU$3237)</f>
        <v>0</v>
      </c>
      <c r="AY3291">
        <f>IF(AV3291=0,0,$AY$3237*$H$26*$AU$3237)</f>
        <v>0</v>
      </c>
      <c r="AZ3291">
        <f>(0.6*AW3291+0.7*AX3291)*$AU$3237/2</f>
        <v>0</v>
      </c>
      <c r="BA3291">
        <f>(0.6*AW3291+0.6*AY3291)*$AU$3237/2</f>
        <v>0</v>
      </c>
      <c r="BC3291">
        <f>IF(AV3291=0,0,$BG$3237*$AP$3221)</f>
        <v>0</v>
      </c>
      <c r="BD3291">
        <f>IFERROR(BC3291/$AU$3237,0)</f>
        <v>0</v>
      </c>
      <c r="BE3291">
        <f>BC3291*($F$21+IF($F$21=0,0,($C$14+$C$15+IF($C$13="single",1.5,3)+3)/12))</f>
        <v>0</v>
      </c>
      <c r="BF3291">
        <f>BE3291-AZ3291</f>
        <v>0</v>
      </c>
      <c r="BG3291" cm="1">
        <f t="array" ref="BG3291">IFERROR(IF(BF3291&lt;0,0,BF3291/($AU$3237-INDEX(hd_off,MATCH(BT3291,hd_mark,0),0)/12)),0)</f>
        <v>0</v>
      </c>
      <c r="BH3291">
        <f>IF(AV3291=0,0,$BG$3237*$AM$3221)</f>
        <v>0</v>
      </c>
      <c r="BI3291">
        <f>IFERROR(BH3291/$AU$3237,0)</f>
        <v>0</v>
      </c>
      <c r="BJ3291">
        <f>BH3291*($F$21+IF($F$21=0,0,($C$14+$C$15+IF($C$13="single",1.5,3)+3)/12))</f>
        <v>0</v>
      </c>
      <c r="BK3291">
        <f>BJ3291-BA3291</f>
        <v>0</v>
      </c>
      <c r="BL3291" cm="1">
        <f t="array" ref="BL3291">IFERROR(IF(BK3291&lt;0,0,BK3291/($AU$3237-INDEX(hd_off,MATCH(BT3291,hd_mark,0),0)/12)),0)</f>
        <v>0</v>
      </c>
      <c r="BM3291">
        <f>MAX($F$21,$BB$3237)/$Q$3252</f>
        <v>0.30172413793103448</v>
      </c>
      <c r="BN3291">
        <f>IF(BM3291=0,0,IF(BM3291&gt;2,1.25-0.125*BM3291,1))</f>
        <v>1</v>
      </c>
      <c r="BO3291" cm="1">
        <f t="array" ref="BO3291">IFERROR(INDEX(sheath_ecap_asd,MATCH(BS3291,sheath_mark,0),0)*BN3291,0)</f>
        <v>0</v>
      </c>
      <c r="BP3291" cm="1">
        <f t="array" ref="BP3291">IFERROR(INDEX(sheath_wcap_asd,MATCH(BS3291,sheath_mark,0),0)*BN3291,0)</f>
        <v>0</v>
      </c>
      <c r="BQ3291" cm="1">
        <f t="array" ref="BQ3291">IFERROR(INDEX(hd_cap,MATCH(BT3291,hd_mark,0),0),0)</f>
        <v>0</v>
      </c>
      <c r="BS3291" s="19"/>
      <c r="BT3291" s="19"/>
      <c r="BU3291" s="100"/>
    </row>
    <row r="3292" x14ac:dyDescent="0.25">
      <c r="P3292" s="93"/>
      <c r="Q3292" s="109"/>
      <c r="R3292" t="str">
        <f>$Q$3222</f>
        <v>L3</v>
      </c>
      <c r="S3292">
        <f>$E$22</f>
        <v>21.375</v>
      </c>
      <c r="T3292" cm="1">
        <f t="array" ref="T3292">IFERROR(IF(S3292=0,0,(INDEX($C$33:$C$38,MATCH($W$3237,$B$33:$B$38,0),0)*(S3295+$X$3237)+$T$3237*COUNTIF(S3292:S3294,"&gt;0")*$C$32+$V$3237*$C$31)*$R$3237),0)</f>
        <v>0</v>
      </c>
      <c r="U3292">
        <f>IF(S3292=0,0,-(COUNTIF(S3292:S3294,"&gt;0")*$T$3237*$C$32+$V$3237*$C$31)*$H$27*$R$3237)</f>
        <v>0</v>
      </c>
      <c r="V3292">
        <f>IF(S3292=0,0,$V$3237*$H$26*$R$3237)</f>
        <v>0</v>
      </c>
      <c r="W3292">
        <f>(0.6*T3292+0.7*U3292)*$R$3237/2</f>
        <v>0</v>
      </c>
      <c r="X3292">
        <f>T3292*$R$3237/2</f>
        <v>0</v>
      </c>
      <c r="Z3292">
        <f>IF(S3292=0,0,$AD$3237*$AP$3222)</f>
        <v>0</v>
      </c>
      <c r="AA3292">
        <f>IFERROR(Z3292/$R$3237,0)</f>
        <v>0</v>
      </c>
      <c r="AB3292">
        <f>Z3292*($F$22+IF($F$22=0,0,($C$14+$C$15+IF($C$13="single",1.5,3)+3)/12))</f>
        <v>0</v>
      </c>
      <c r="AC3292">
        <f>AB3292-W3292</f>
        <v>0</v>
      </c>
      <c r="AD3292" cm="1">
        <f t="array" ref="AD3292">IFERROR(IF(AC3292&lt;0,0,AC3292/($R$3237-INDEX(hd_off,MATCH(AQ3292,hd_mark,0),0)/12)),0)</f>
        <v>0</v>
      </c>
      <c r="AE3292">
        <f>IF(S3292=0,0,$AD$3237*$AM$3222)</f>
        <v>0</v>
      </c>
      <c r="AF3292">
        <f>IFERROR(AE3292/$R$3237,0)</f>
        <v>0</v>
      </c>
      <c r="AG3292">
        <f>AE3292*($F$22+IF($F$22=0,0,($C$14+$C$15+IF($C$13="single",1.5,3)+3)/12))</f>
        <v>0</v>
      </c>
      <c r="AH3292">
        <f>AG3292-X3292</f>
        <v>0</v>
      </c>
      <c r="AI3292" cm="1">
        <f t="array" ref="AI3292">IFERROR(IF(AH3292&lt;0,0,AH3292/($R$3237-INDEX(hd_off,MATCH(AQ3292,hd_mark,0),0)/12)),0)</f>
        <v>0</v>
      </c>
      <c r="AJ3292">
        <f>MAX($F$22,$Z$3237)/$Q$3252</f>
        <v>0.30172413793103448</v>
      </c>
      <c r="AK3292">
        <f t="shared" ref="AK3292:AK3295" si="2035">IF(AJ3292=0,0,IF(AJ3292&gt;2,1.25-0.125*AJ3292,1))</f>
        <v>1</v>
      </c>
      <c r="AL3292" cm="1">
        <f t="array" ref="AL3292">IFERROR(INDEX(sheath_ecap_asd,MATCH(AP3292,sheath_mark,0),0)*AK3292,0)</f>
        <v>0</v>
      </c>
      <c r="AM3292" cm="1">
        <f t="array" ref="AM3292">IFERROR(INDEX(sheath_wcap_asd,MATCH(AP3292,sheath_mark,0),0)*AK3292,0)</f>
        <v>0</v>
      </c>
      <c r="AN3292" cm="1">
        <f t="array" ref="AN3292">IFERROR(INDEX(hd_cap,MATCH(AQ3292,hd_mark,0),0),0)</f>
        <v>0</v>
      </c>
      <c r="AP3292" s="19"/>
      <c r="AQ3292" s="19"/>
      <c r="AR3292" s="100"/>
      <c r="AS3292" s="93"/>
      <c r="AT3292" s="109"/>
      <c r="AU3292" t="str">
        <f>$Q$3222</f>
        <v>L3</v>
      </c>
      <c r="AV3292">
        <f>$E$22</f>
        <v>21.375</v>
      </c>
      <c r="AW3292" cm="1">
        <f t="array" ref="AW3292">IFERROR(IF(AV3292=0,0,(INDEX($C$33:$C$38,MATCH($AZ$3237,$B$33:$B$38,0),0)*(AV3295+$BA$3237)+$AW$3237*COUNTIF(AV3292:AV3294,"&gt;0")*$C$32+$AY$3237*$C$31)*$AU$3237),0)</f>
        <v>0</v>
      </c>
      <c r="AX3292">
        <f>IF(AV3292=0,0,-(COUNTIF(AV3292:AV3294,"&gt;0")*$AW$3237*$C$32+$AY$3237*$C$31)*$H$27*$AU$3237)</f>
        <v>0</v>
      </c>
      <c r="AY3292">
        <f>IF(AV3292=0,0,$AY$3237*$H$26*$AU$3237)</f>
        <v>0</v>
      </c>
      <c r="AZ3292">
        <f>(0.6*AW3292+0.7*AX3292)*$AU$3237/2</f>
        <v>0</v>
      </c>
      <c r="BA3292">
        <f>AW3292*$AU$3237/2</f>
        <v>0</v>
      </c>
      <c r="BC3292">
        <f>IF(AV3292=0,0,$BG$3237*$AP$3222)</f>
        <v>0</v>
      </c>
      <c r="BD3292">
        <f>IFERROR(BC3292/$AU$3237,0)</f>
        <v>0</v>
      </c>
      <c r="BE3292">
        <f>BC3292*($F$22+IF($F$22=0,0,($C$14+$C$15+IF($C$13="single",1.5,3)+3)/12))</f>
        <v>0</v>
      </c>
      <c r="BF3292">
        <f>BE3292-AZ3292</f>
        <v>0</v>
      </c>
      <c r="BG3292" cm="1">
        <f t="array" ref="BG3292">IFERROR(IF(BF3292&lt;0,0,BF3292/($AU$3237-INDEX(hd_off,MATCH(BT3292,hd_mark,0),0)/12)),0)</f>
        <v>0</v>
      </c>
      <c r="BH3292">
        <f>IF(AV3292=0,0,$BG$3237*$AM$3222)</f>
        <v>0</v>
      </c>
      <c r="BI3292">
        <f>IFERROR(BH3292/$AU$3237,0)</f>
        <v>0</v>
      </c>
      <c r="BJ3292">
        <f>BH3292*($F$22+IF($F$22=0,0,($C$14+$C$15+IF($C$13="single",1.5,3)+3)/12))</f>
        <v>0</v>
      </c>
      <c r="BK3292">
        <f>BJ3292-BA3292</f>
        <v>0</v>
      </c>
      <c r="BL3292" cm="1">
        <f t="array" ref="BL3292">IFERROR(IF(BK3292&lt;0,0,BK3292/($AU$3237-INDEX(hd_off,MATCH(BT3292,hd_mark,0),0)/12)),0)</f>
        <v>0</v>
      </c>
      <c r="BM3292">
        <f>MAX($F$22,$BC$3237)/$Q$3252</f>
        <v>0.30172413793103448</v>
      </c>
      <c r="BN3292">
        <f t="shared" ref="BN3292:BN3295" si="2036">IF(BM3292=0,0,IF(BM3292&gt;2,1.25-0.125*BM3292,1))</f>
        <v>1</v>
      </c>
      <c r="BO3292" cm="1">
        <f t="array" ref="BO3292">IFERROR(INDEX(sheath_ecap_asd,MATCH(BS3292,sheath_mark,0),0)*BN3292,0)</f>
        <v>0</v>
      </c>
      <c r="BP3292" cm="1">
        <f t="array" ref="BP3292">IFERROR(INDEX(sheath_wcap_asd,MATCH(BS3292,sheath_mark,0),0)*BN3292,0)</f>
        <v>0</v>
      </c>
      <c r="BQ3292" cm="1">
        <f t="array" ref="BQ3292">IFERROR(INDEX(hd_cap,MATCH(BT3292,hd_mark,0),0),0)</f>
        <v>0</v>
      </c>
      <c r="BS3292" s="19"/>
      <c r="BT3292" s="19"/>
      <c r="BU3292" s="100"/>
    </row>
    <row r="3293" x14ac:dyDescent="0.25">
      <c r="P3293" s="93"/>
      <c r="Q3293" s="109" t="s">
        <v>491</v>
      </c>
      <c r="R3293" t="str">
        <f>$Q$3223</f>
        <v>L4</v>
      </c>
      <c r="S3293">
        <f>$E$23</f>
        <v>0</v>
      </c>
      <c r="T3293" cm="1">
        <f t="array" ref="T3293">IFERROR(IF(S3293=0,0,(INDEX($C$33:$C$38,MATCH($W$3237,$B$33:$B$38,0),0)*(S3295+$X$3237)+$T$3237*COUNTIF(S3293:S3294,"&gt;0")*$C$32+$V$3237*$C$31)*$R$3237),0)</f>
        <v>0</v>
      </c>
      <c r="U3293">
        <f>IF(S3293=0,0,-(COUNTIF(S3293:S3294,"&gt;0")*$T$3237*$C$32+$V$3237*$C$31)*$H$27*$R$3237)</f>
        <v>0</v>
      </c>
      <c r="V3293">
        <f>IF(S3293=0,0,$V$3237*$H$26*$R$3237)</f>
        <v>0</v>
      </c>
      <c r="W3293">
        <f>(0.6*T3293+0.7*U3293)*$R$3237/2</f>
        <v>0</v>
      </c>
      <c r="X3293">
        <f>T3293*$R$3237/2</f>
        <v>0</v>
      </c>
      <c r="Z3293">
        <f>IF(S3293=0,0,$AD$3237*$AP$3223)</f>
        <v>0</v>
      </c>
      <c r="AA3293">
        <f>IFERROR(Z3293/$R$3237,0)</f>
        <v>0</v>
      </c>
      <c r="AB3293">
        <f>Z3293*($F$23+IF($F$23=0,0,($C$14+$C$15+IF($C$13="single",1.5,3)+3)/12))</f>
        <v>0</v>
      </c>
      <c r="AC3293">
        <f>AB3293-W3293</f>
        <v>0</v>
      </c>
      <c r="AD3293" cm="1">
        <f t="array" ref="AD3293">IFERROR(IF(AC3293&lt;0,0,AC3293/($R$3237-INDEX(hd_off,MATCH(AQ3293,hd_mark,0),0)/12)),0)</f>
        <v>0</v>
      </c>
      <c r="AE3293">
        <f>IF(S3293=0,0,$AD$3237*$AM$3223)</f>
        <v>0</v>
      </c>
      <c r="AF3293">
        <f>IFERROR(AE3293/$R$3237,0)</f>
        <v>0</v>
      </c>
      <c r="AG3293">
        <f>AE3293*($F$23+IF($F$23=0,0,($C$14+$C$15+IF($C$13="single",1.5,3)+3)/12))</f>
        <v>0</v>
      </c>
      <c r="AH3293">
        <f>AG3293-X3293</f>
        <v>0</v>
      </c>
      <c r="AI3293" cm="1">
        <f t="array" ref="AI3293">IFERROR(IF(AH3293&lt;0,0,AH3293/($R$3237-INDEX(hd_off,MATCH(AQ3293,hd_mark,0),0)/12)),0)</f>
        <v>0</v>
      </c>
      <c r="AJ3293">
        <f>MAX($F$23,$AA$3237)/$Q$3252</f>
        <v>0</v>
      </c>
      <c r="AK3293">
        <f t="shared" si="2035"/>
        <v>0</v>
      </c>
      <c r="AL3293" cm="1">
        <f t="array" ref="AL3293">IFERROR(INDEX(sheath_ecap_asd,MATCH(AP3293,sheath_mark,0),0)*AK3293,0)</f>
        <v>0</v>
      </c>
      <c r="AM3293" cm="1">
        <f t="array" ref="AM3293">IFERROR(INDEX(sheath_wcap_asd,MATCH(AP3293,sheath_mark,0),0)*AK3293,0)</f>
        <v>0</v>
      </c>
      <c r="AN3293" cm="1">
        <f t="array" ref="AN3293">IFERROR(INDEX(hd_cap,MATCH(AQ3293,hd_mark,0),0),0)</f>
        <v>0</v>
      </c>
      <c r="AP3293" s="19"/>
      <c r="AQ3293" s="19"/>
      <c r="AR3293" s="100"/>
      <c r="AS3293" s="93"/>
      <c r="AT3293" s="109" t="s">
        <v>491</v>
      </c>
      <c r="AU3293" t="str">
        <f>$Q$3223</f>
        <v>L4</v>
      </c>
      <c r="AV3293">
        <f>$E$23</f>
        <v>0</v>
      </c>
      <c r="AW3293" cm="1">
        <f t="array" ref="AW3293">IFERROR(IF(AV3293=0,0,(INDEX($C$33:$C$38,MATCH($AZ$3237,$B$33:$B$38,0),0)*(AV3295+$BA$3237)+$AW$3237*COUNTIF(AV3293:AV3294,"&gt;0")*$C$32+$AY$3237*$C$31)*$AU$3237),0)</f>
        <v>0</v>
      </c>
      <c r="AX3293">
        <f>IF(AV3293=0,0,-(COUNTIF(AV3293:AV3294,"&gt;0")*$AW$3237*$C$32+$AY$3237*$C$31)*$H$27*$AU$3237)</f>
        <v>0</v>
      </c>
      <c r="AY3293">
        <f>IF(AV3293=0,0,$AY$3237*$H$26*$AU$3237)</f>
        <v>0</v>
      </c>
      <c r="AZ3293">
        <f>(0.6*AW3293+0.7*AX3293)*$AU$3237/2</f>
        <v>0</v>
      </c>
      <c r="BA3293">
        <f>AW3293*$AU$3237/2</f>
        <v>0</v>
      </c>
      <c r="BC3293">
        <f>IF(AV3293=0,0,$BG$3237*$AP$3223)</f>
        <v>0</v>
      </c>
      <c r="BD3293">
        <f>IFERROR(BC3293/$AU$3237,0)</f>
        <v>0</v>
      </c>
      <c r="BE3293">
        <f>BC3293*($F$23+IF($F$23=0,0,($C$14+$C$15+IF($C$13="single",1.5,3)+3)/12))</f>
        <v>0</v>
      </c>
      <c r="BF3293">
        <f>BE3293-AZ3293</f>
        <v>0</v>
      </c>
      <c r="BG3293" cm="1">
        <f t="array" ref="BG3293">IFERROR(IF(BF3293&lt;0,0,BF3293/($AU$3237-INDEX(hd_off,MATCH(BT3293,hd_mark,0),0)/12)),0)</f>
        <v>0</v>
      </c>
      <c r="BH3293">
        <f>IF(AV3293=0,0,$BG$3237*$AM$3223)</f>
        <v>0</v>
      </c>
      <c r="BI3293">
        <f>IFERROR(BH3293/$AU$3237,0)</f>
        <v>0</v>
      </c>
      <c r="BJ3293">
        <f>BH3293*($F$23+IF($F$23=0,0,($C$14+$C$15+IF($C$13="single",1.5,3)+3)/12))</f>
        <v>0</v>
      </c>
      <c r="BK3293">
        <f>BJ3293-BA3293</f>
        <v>0</v>
      </c>
      <c r="BL3293" cm="1">
        <f t="array" ref="BL3293">IFERROR(IF(BK3293&lt;0,0,BK3293/($AU$3237-INDEX(hd_off,MATCH(BT3293,hd_mark,0),0)/12)),0)</f>
        <v>0</v>
      </c>
      <c r="BM3293">
        <f>MAX($F$23,$BD$3237)/$Q$3252</f>
        <v>0</v>
      </c>
      <c r="BN3293">
        <f t="shared" si="2036"/>
        <v>0</v>
      </c>
      <c r="BO3293" cm="1">
        <f t="array" ref="BO3293">IFERROR(INDEX(sheath_ecap_asd,MATCH(BS3293,sheath_mark,0),0)*BN3293,0)</f>
        <v>0</v>
      </c>
      <c r="BP3293" cm="1">
        <f t="array" ref="BP3293">IFERROR(INDEX(sheath_wcap_asd,MATCH(BS3293,sheath_mark,0),0)*BN3293,0)</f>
        <v>0</v>
      </c>
      <c r="BQ3293" cm="1">
        <f t="array" ref="BQ3293">IFERROR(INDEX(hd_cap,MATCH(BT3293,hd_mark,0),0),0)</f>
        <v>0</v>
      </c>
      <c r="BS3293" s="19"/>
      <c r="BT3293" s="19"/>
      <c r="BU3293" s="100"/>
    </row>
    <row r="3294" x14ac:dyDescent="0.25">
      <c r="P3294" s="93"/>
      <c r="Q3294" s="111">
        <f>$R$3237</f>
        <v>0</v>
      </c>
      <c r="R3294" t="str">
        <f>$Q$3224</f>
        <v>L5</v>
      </c>
      <c r="S3294">
        <f>$E$24</f>
        <v>0</v>
      </c>
      <c r="T3294" cm="1">
        <f t="array" ref="T3294">IFERROR(IF(S3294=0,0,(INDEX($C$33:$C$38,MATCH($W$3237,$B$33:$B$38,0),0)*(S3295+$X$3237)+$T$3237*COUNTIF(S3294:S3294,"&gt;0")*$C$32+$V$3237*$C$31)*$R$3237),0)</f>
        <v>0</v>
      </c>
      <c r="U3294">
        <f>IF(S3294=0,0,-(COUNTIF(S3294:S3294,"&gt;0")*$T$3237*$C$32+$V$3237*$C$31)*$H$27*$R$3237)</f>
        <v>0</v>
      </c>
      <c r="V3294">
        <f>IF(S3294=0,0,$V$3237*$H$26*$R$3237)</f>
        <v>0</v>
      </c>
      <c r="W3294">
        <f>(0.6*T3294+0.7*U3294)*$R$3237/2</f>
        <v>0</v>
      </c>
      <c r="X3294">
        <f>T3294*$R$3237/2</f>
        <v>0</v>
      </c>
      <c r="Z3294">
        <f>IF(S3294=0,0,$AD$3237*$AP$3224)</f>
        <v>0</v>
      </c>
      <c r="AA3294">
        <f>IFERROR(Z3294/$R$3237,0)</f>
        <v>0</v>
      </c>
      <c r="AB3294">
        <f>Z3294*($F$24+IF($F$24=0,0,($C$14+$C$15+IF($C$13="single",1.5,3)+3)/12))</f>
        <v>0</v>
      </c>
      <c r="AC3294">
        <f>AB3294-W3294</f>
        <v>0</v>
      </c>
      <c r="AD3294" cm="1">
        <f t="array" ref="AD3294">IFERROR(IF(AC3294&lt;0,0,AC3294/($R$3237-INDEX(hd_off,MATCH(AQ3294,hd_mark,0),0)/12)),0)</f>
        <v>0</v>
      </c>
      <c r="AE3294">
        <f>IF(S3294=0,0,$AD$3237*$AM$3224)</f>
        <v>0</v>
      </c>
      <c r="AF3294">
        <f>IFERROR(AE3294/$R$3237,0)</f>
        <v>0</v>
      </c>
      <c r="AG3294">
        <f>AE3294*($F$24+IF($F$24=0,0,($C$14+$C$15+IF($C$13="single",1.5,3)+3)/12))</f>
        <v>0</v>
      </c>
      <c r="AH3294">
        <f>AG3294-X3294</f>
        <v>0</v>
      </c>
      <c r="AI3294" cm="1">
        <f t="array" ref="AI3294">IFERROR(IF(AH3294&lt;0,0,AH3294/($R$3237-INDEX(hd_off,MATCH(AQ3294,hd_mark,0),0)/12)),0)</f>
        <v>0</v>
      </c>
      <c r="AJ3294">
        <f>MAX($F$24,$AB$3237)/$Q$3252</f>
        <v>0</v>
      </c>
      <c r="AK3294">
        <f t="shared" si="2035"/>
        <v>0</v>
      </c>
      <c r="AL3294" cm="1">
        <f t="array" ref="AL3294">IFERROR(INDEX(sheath_ecap_asd,MATCH(AP3294,sheath_mark,0),0)*AK3294,0)</f>
        <v>0</v>
      </c>
      <c r="AM3294" cm="1">
        <f t="array" ref="AM3294">IFERROR(INDEX(sheath_wcap_asd,MATCH(AP3294,sheath_mark,0),0)*AK3294,0)</f>
        <v>0</v>
      </c>
      <c r="AN3294" cm="1">
        <f t="array" ref="AN3294">IFERROR(INDEX(hd_cap,MATCH(AQ3294,hd_mark,0),0),0)</f>
        <v>0</v>
      </c>
      <c r="AP3294" s="19"/>
      <c r="AQ3294" s="19"/>
      <c r="AR3294" s="100"/>
      <c r="AS3294" s="93"/>
      <c r="AT3294" s="111">
        <f>$R$3237</f>
        <v>0</v>
      </c>
      <c r="AU3294" t="str">
        <f>$Q$3224</f>
        <v>L5</v>
      </c>
      <c r="AV3294">
        <f>$E$24</f>
        <v>0</v>
      </c>
      <c r="AW3294" cm="1">
        <f t="array" ref="AW3294">IFERROR(IF(AV3294=0,0,(INDEX($C$33:$C$38,MATCH($AZ$3237,$B$33:$B$38,0),0)*(AV3295+$BA$3237)+$AW$3237*COUNTIF(AV3294:AV3294,"&gt;0")*$C$32+$AY$3237*$C$31)*$AU$3237),0)</f>
        <v>0</v>
      </c>
      <c r="AX3294">
        <f>IF(AV3294=0,0,-(COUNTIF(AV3294:AV3294,"&gt;0")*$AW$3237*$C$32+$AY$3237*$C$31)*$H$27*$AU$3237)</f>
        <v>0</v>
      </c>
      <c r="AY3294">
        <f>IF(AV3294=0,0,$AY$3237*$H$26*$AU$3237)</f>
        <v>0</v>
      </c>
      <c r="AZ3294">
        <f>(0.6*AW3294+0.7*AX3294)*$AU$3237/2</f>
        <v>0</v>
      </c>
      <c r="BA3294">
        <f>AW3294*$AU$3237/2</f>
        <v>0</v>
      </c>
      <c r="BC3294">
        <f>IF(AV3294=0,0,$BG$3237*$AP$3224)</f>
        <v>0</v>
      </c>
      <c r="BD3294">
        <f>IFERROR(BC3294/$AU$3237,0)</f>
        <v>0</v>
      </c>
      <c r="BE3294">
        <f>BC3294*($F$24+IF($F$24=0,0,($C$14+$C$15+IF($C$13="single",1.5,3)+3)/12))</f>
        <v>0</v>
      </c>
      <c r="BF3294">
        <f>BE3294-AZ3294</f>
        <v>0</v>
      </c>
      <c r="BG3294" cm="1">
        <f t="array" ref="BG3294">IFERROR(IF(BF3294&lt;0,0,BF3294/($AU$3237-INDEX(hd_off,MATCH(BT3294,hd_mark,0),0)/12)),0)</f>
        <v>0</v>
      </c>
      <c r="BH3294">
        <f>IF(AV3294=0,0,$BG$3237*$AM$3224)</f>
        <v>0</v>
      </c>
      <c r="BI3294">
        <f>IFERROR(BH3294/$AU$3237,0)</f>
        <v>0</v>
      </c>
      <c r="BJ3294">
        <f>BH3294*($F$24+IF($F$24=0,0,($C$14+$C$15+IF($C$13="single",1.5,3)+3)/12))</f>
        <v>0</v>
      </c>
      <c r="BK3294">
        <f>BJ3294-BA3294</f>
        <v>0</v>
      </c>
      <c r="BL3294" cm="1">
        <f t="array" ref="BL3294">IFERROR(IF(BK3294&lt;0,0,BK3294/($AU$3237-INDEX(hd_off,MATCH(BT3294,hd_mark,0),0)/12)),0)</f>
        <v>0</v>
      </c>
      <c r="BM3294">
        <f>MAX($F$24,$BE$3237)/$Q$3252</f>
        <v>0</v>
      </c>
      <c r="BN3294">
        <f t="shared" si="2036"/>
        <v>0</v>
      </c>
      <c r="BO3294" cm="1">
        <f t="array" ref="BO3294">IFERROR(INDEX(sheath_ecap_asd,MATCH(BS3294,sheath_mark,0),0)*BN3294,0)</f>
        <v>0</v>
      </c>
      <c r="BP3294" cm="1">
        <f t="array" ref="BP3294">IFERROR(INDEX(sheath_wcap_asd,MATCH(BS3294,sheath_mark,0),0)*BN3294,0)</f>
        <v>0</v>
      </c>
      <c r="BQ3294" cm="1">
        <f t="array" ref="BQ3294">IFERROR(INDEX(hd_cap,MATCH(BT3294,hd_mark,0),0),0)</f>
        <v>0</v>
      </c>
      <c r="BS3294" s="19"/>
      <c r="BT3294" s="19"/>
      <c r="BU3294" s="100"/>
    </row>
    <row r="3295" x14ac:dyDescent="0.25">
      <c r="P3295" s="93"/>
      <c r="Q3295" s="109"/>
      <c r="R3295" t="str">
        <f>$Q$3225</f>
        <v>Roof</v>
      </c>
      <c r="S3295">
        <f>$E$25</f>
        <v>33.171875</v>
      </c>
      <c r="T3295" cm="1">
        <f t="array" ref="T3295">IFERROR(IF(S3295=0,0,(INDEX($C$33:$C$38,MATCH($W$3237,$B$33:$B$38,0),0)*(S3295+$X$3237)+$V$3237*$C$31)*$R$3237),0)</f>
        <v>0</v>
      </c>
      <c r="U3295">
        <f>IF(S3295=0,0,-$V$3237*$C$31*$H$27*$R$3237)</f>
        <v>0</v>
      </c>
      <c r="V3295">
        <f>IF(S3295=0,0,$V$3237*$H$26*$R$3237)</f>
        <v>0</v>
      </c>
      <c r="W3295">
        <f>(0.6*T3295+0.7*U3295)*$R$3237/2</f>
        <v>0</v>
      </c>
      <c r="X3295">
        <f>T3295*$R$3237/2</f>
        <v>0</v>
      </c>
      <c r="Z3295">
        <f>IF(S3295=0,0,$AD$3237*$AP$3225)</f>
        <v>0</v>
      </c>
      <c r="AA3295">
        <f>IFERROR(Z3295/$R$3237,0)</f>
        <v>0</v>
      </c>
      <c r="AB3295">
        <f>Z3295*($F$25+($C$16+$C$17+IF($C$13="single",1.5,3)+3)/12)</f>
        <v>0</v>
      </c>
      <c r="AC3295">
        <f>AB3295-W3295</f>
        <v>0</v>
      </c>
      <c r="AD3295" cm="1">
        <f t="array" ref="AD3295">IFERROR(IF(AC3295&lt;0,0,AC3295/($R$3237-INDEX(hd_off,MATCH(AQ3295,hd_mark,0),0)/12)),0)</f>
        <v>0</v>
      </c>
      <c r="AE3295">
        <f>IF(S3295=0,0,$AD$3237*$AM$3225)</f>
        <v>0</v>
      </c>
      <c r="AF3295">
        <f>IFERROR(AE3295/$R$3237,0)</f>
        <v>0</v>
      </c>
      <c r="AG3295">
        <f>AE3295*($F$25+($C$16+$C$17+IF($C$13="single",1.5,3)+3)/12)</f>
        <v>0</v>
      </c>
      <c r="AH3295">
        <f>AG3295-X3295</f>
        <v>0</v>
      </c>
      <c r="AI3295" cm="1">
        <f t="array" ref="AI3295">IFERROR(IF(AH3295&lt;0,0,AH3295/($R$3237-INDEX(hd_off,MATCH(AQ3295,hd_mark,0),0)/12)),0)</f>
        <v>0</v>
      </c>
      <c r="AJ3295">
        <f>MAX($F$25,$AC$3237)/$Q$3252</f>
        <v>0.29920977011494249</v>
      </c>
      <c r="AK3295">
        <f t="shared" si="2035"/>
        <v>1</v>
      </c>
      <c r="AL3295" cm="1">
        <f t="array" ref="AL3295">IFERROR(INDEX(sheath_ecap_asd,MATCH(AP3295,sheath_mark,0),0)*AK3295,0)</f>
        <v>0</v>
      </c>
      <c r="AM3295" cm="1">
        <f t="array" ref="AM3295">IFERROR(INDEX(sheath_wcap_asd,MATCH(AP3295,sheath_mark,0),0)*AK3295,0)</f>
        <v>0</v>
      </c>
      <c r="AN3295" cm="1">
        <f t="array" ref="AN3295">IFERROR(INDEX(hd_cap,MATCH(AQ3295,hd_mark,0),0),0)</f>
        <v>0</v>
      </c>
      <c r="AP3295" s="19"/>
      <c r="AQ3295" s="19"/>
      <c r="AR3295" s="100"/>
      <c r="AS3295" s="93"/>
      <c r="AT3295" s="109"/>
      <c r="AU3295" t="str">
        <f>$Q$3225</f>
        <v>Roof</v>
      </c>
      <c r="AV3295">
        <f>$E$25</f>
        <v>33.171875</v>
      </c>
      <c r="AW3295" cm="1">
        <f t="array" ref="AW3295">IFERROR(IF(AV3295=0,0,(INDEX($C$33:$C$38,MATCH($AZ$3237,$B$33:$B$38,0),0)*(AV3295+$BA$3237)+$AY$3237*$C$31)*$AU$3237),0)</f>
        <v>0</v>
      </c>
      <c r="AX3295">
        <f>IF(AV3295=0,0,-$AY$3237*$C$31*$H$27*$AU$3237)</f>
        <v>0</v>
      </c>
      <c r="AY3295">
        <f>IF(AV3295=0,0,$AY$3237*$H$26*$AU$3237)</f>
        <v>0</v>
      </c>
      <c r="AZ3295">
        <f>(0.6*AW3295+0.7*AX3295)*$AU$3237/2</f>
        <v>0</v>
      </c>
      <c r="BA3295">
        <f>AW3295*$AU$3237/2</f>
        <v>0</v>
      </c>
      <c r="BC3295">
        <f>IF(AV3295=0,0,$BG$3237*$AP$3225)</f>
        <v>0</v>
      </c>
      <c r="BD3295">
        <f>IFERROR(BC3295/$AU$3237,0)</f>
        <v>0</v>
      </c>
      <c r="BE3295">
        <f>BC3295*($F$25+($C$16+$C$17+IF($C$13="single",1.5,3)+3)/12)</f>
        <v>0</v>
      </c>
      <c r="BF3295">
        <f>BE3295-AZ3295</f>
        <v>0</v>
      </c>
      <c r="BG3295" cm="1">
        <f t="array" ref="BG3295">IFERROR(IF(BF3295&lt;0,0,BF3295/($AU$3237-INDEX(hd_off,MATCH(BT3295,hd_mark,0),0)/12)),0)</f>
        <v>0</v>
      </c>
      <c r="BH3295">
        <f>IF(AV3295=0,0,$BG$3237*$AM$3225)</f>
        <v>0</v>
      </c>
      <c r="BI3295">
        <f>IFERROR(BH3295/$AU$3237,0)</f>
        <v>0</v>
      </c>
      <c r="BJ3295">
        <f>BH3295*($F$25+($C$16+$C$17+IF($C$13="single",1.5,3)+3)/12)</f>
        <v>0</v>
      </c>
      <c r="BK3295">
        <f>BJ3295-BA3295</f>
        <v>0</v>
      </c>
      <c r="BL3295" cm="1">
        <f t="array" ref="BL3295">IFERROR(IF(BK3295&lt;0,0,BK3295/($AU$3237-INDEX(hd_off,MATCH(BT3295,hd_mark,0),0)/12)),0)</f>
        <v>0</v>
      </c>
      <c r="BM3295">
        <f>MAX($F$25,$BF$3237)/$Q$3252</f>
        <v>0.29920977011494249</v>
      </c>
      <c r="BN3295">
        <f t="shared" si="2036"/>
        <v>1</v>
      </c>
      <c r="BO3295" cm="1">
        <f t="array" ref="BO3295">IFERROR(INDEX(sheath_ecap_asd,MATCH(BS3295,sheath_mark,0),0)*BN3295,0)</f>
        <v>0</v>
      </c>
      <c r="BP3295" cm="1">
        <f t="array" ref="BP3295">IFERROR(INDEX(sheath_wcap_asd,MATCH(BS3295,sheath_mark,0),0)*BN3295,0)</f>
        <v>0</v>
      </c>
      <c r="BQ3295" cm="1">
        <f t="array" ref="BQ3295">IFERROR(INDEX(hd_cap,MATCH(BT3295,hd_mark,0),0),0)</f>
        <v>0</v>
      </c>
      <c r="BS3295" s="19"/>
      <c r="BT3295" s="19"/>
      <c r="BU3295" s="100"/>
    </row>
    <row r="3296" x14ac:dyDescent="0.25">
      <c r="P3296" s="93"/>
      <c r="AR3296" s="100"/>
      <c r="AS3296" s="93"/>
      <c r="BU3296" s="100"/>
    </row>
    <row r="3297" x14ac:dyDescent="0.25">
      <c r="P3297" s="93"/>
      <c r="Q3297" s="110" t="str">
        <f>$Q$3238</f>
        <v>A.09</v>
      </c>
      <c r="R3297" t="str">
        <f>$Q$3221</f>
        <v>L2</v>
      </c>
      <c r="S3297">
        <f>$E$21</f>
        <v>10.6875</v>
      </c>
      <c r="T3297" cm="1">
        <f t="array" ref="T3297">IFERROR(IF(S3297=0,0,(INDEX($C$33:$C$38,MATCH($W$3238,$B$33:$B$38,0),0)*(S3301+$X$3238)+$T$3238*COUNTIF(S3297:S3300,"&gt;0")*$C$32+$V$3238*$C$31)*$R$3238),0)</f>
        <v>0</v>
      </c>
      <c r="U3297">
        <f>IF(S3297=0,0,-(COUNTIF(S3297:S3300,"&gt;0")*$T$3238*$C$32+$V$3238*$C$31)*$H$27*$R$3238)</f>
        <v>0</v>
      </c>
      <c r="V3297">
        <f>IF(S3297=0,0,$V$3238*$H$26*$R$3238)</f>
        <v>0</v>
      </c>
      <c r="W3297">
        <f>(0.6*T3297+0.7*U3297)*$R$3238/2</f>
        <v>0</v>
      </c>
      <c r="X3297">
        <f>(0.6*T3297+0.6*V3297)*$R$3238/2</f>
        <v>0</v>
      </c>
      <c r="Z3297">
        <f>IF(S3297=0,0,$AD$3238*$AP$3221)</f>
        <v>0</v>
      </c>
      <c r="AA3297">
        <f>IFERROR(Z3297/$R$3238,0)</f>
        <v>0</v>
      </c>
      <c r="AB3297">
        <f>Z3297*($F$21+IF($F$21=0,0,($C$14+$C$15+IF($C$13="single",1.5,3)+3)/12))</f>
        <v>0</v>
      </c>
      <c r="AC3297">
        <f>AB3297-W3297</f>
        <v>0</v>
      </c>
      <c r="AD3297" cm="1">
        <f t="array" ref="AD3297">IFERROR(IF(AC3297&lt;0,0,AC3297/($R$3238-INDEX(hd_off,MATCH(AQ3297,hd_mark,0),0)/12)),0)</f>
        <v>0</v>
      </c>
      <c r="AE3297">
        <f>IF(S3297=0,0,$AD$3238*$AM$3221)</f>
        <v>0</v>
      </c>
      <c r="AF3297">
        <f>IFERROR(AE3297/$R$3238,0)</f>
        <v>0</v>
      </c>
      <c r="AG3297">
        <f>AE3297*($F$21+IF($F$21=0,0,($C$14+$C$15+IF($C$13="single",1.5,3)+3)/12))</f>
        <v>0</v>
      </c>
      <c r="AH3297">
        <f>AG3297-X3297</f>
        <v>0</v>
      </c>
      <c r="AI3297" cm="1">
        <f t="array" ref="AI3297">IFERROR(IF(AH3297&lt;0,0,AH3297/($R$3238-INDEX(hd_off,MATCH(AQ3297,hd_mark,0),0)/12)),0)</f>
        <v>0</v>
      </c>
      <c r="AJ3297">
        <f>MAX($F$21,$Y$3238)/$Q$3252</f>
        <v>0.30172413793103448</v>
      </c>
      <c r="AK3297">
        <f>IF(AJ3297=0,0,IF(AJ3297&gt;2,1.25-0.125*AJ3297,1))</f>
        <v>1</v>
      </c>
      <c r="AL3297" cm="1">
        <f t="array" ref="AL3297">IFERROR(INDEX(sheath_ecap_asd,MATCH(AP3297,sheath_mark,0),0)*AK3297,0)</f>
        <v>0</v>
      </c>
      <c r="AM3297" cm="1">
        <f t="array" ref="AM3297">IFERROR(INDEX(sheath_wcap_asd,MATCH(AP3297,sheath_mark,0),0)*AK3297,0)</f>
        <v>0</v>
      </c>
      <c r="AN3297" cm="1">
        <f t="array" ref="AN3297">IFERROR(INDEX(hd_cap,MATCH(AQ3297,hd_mark,0),0),0)</f>
        <v>0</v>
      </c>
      <c r="AP3297" s="19"/>
      <c r="AQ3297" s="19"/>
      <c r="AR3297" s="100"/>
      <c r="AS3297" s="93"/>
      <c r="AT3297" s="110" t="str">
        <f>$AT$3238</f>
        <v>1.09</v>
      </c>
      <c r="AU3297" t="str">
        <f>$Q$3221</f>
        <v>L2</v>
      </c>
      <c r="AV3297">
        <f>$E$21</f>
        <v>10.6875</v>
      </c>
      <c r="AW3297" cm="1">
        <f t="array" ref="AW3297">IFERROR(IF(AV3297=0,0,(INDEX($C$33:$C$38,MATCH($AZ$3238,$B$33:$B$38,0),0)*(AV3301+$BA$3238)+$AW$3238*COUNTIF(AV3297:AV3300,"&gt;0")*$C$32+$AY$3238*$C$31)*$AU$3238),0)</f>
        <v>0</v>
      </c>
      <c r="AX3297">
        <f>IF(AV3297=0,0,-(COUNTIF(AV3297:AV3300,"&gt;0")*$AW$3238*$C$32+$AY$3238*$C$31)*$H$27*$AU$3238)</f>
        <v>0</v>
      </c>
      <c r="AY3297">
        <f>IF(AV3297=0,0,$AY$3238*$H$26*$AU$3238)</f>
        <v>0</v>
      </c>
      <c r="AZ3297">
        <f>(0.6*AW3297+0.7*AX3297)*$AU$3238/2</f>
        <v>0</v>
      </c>
      <c r="BA3297">
        <f>(0.6*AW3297+0.6*AY3297)*$AU$3238/2</f>
        <v>0</v>
      </c>
      <c r="BC3297">
        <f>IF(AV3297=0,0,$BG$3238*$AP$3221)</f>
        <v>0</v>
      </c>
      <c r="BD3297">
        <f>IFERROR(BC3297/$AU$3238,0)</f>
        <v>0</v>
      </c>
      <c r="BE3297">
        <f>BC3297*($F$21+IF($F$21=0,0,($C$14+$C$15+IF($C$13="single",1.5,3)+3)/12))</f>
        <v>0</v>
      </c>
      <c r="BF3297">
        <f>BE3297-AZ3297</f>
        <v>0</v>
      </c>
      <c r="BG3297" cm="1">
        <f t="array" ref="BG3297">IFERROR(IF(BF3297&lt;0,0,BF3297/($AU$3238-INDEX(hd_off,MATCH(BT3297,hd_mark,0),0)/12)),0)</f>
        <v>0</v>
      </c>
      <c r="BH3297">
        <f>IF(AV3297=0,0,$BG$3238*$AM$3221)</f>
        <v>0</v>
      </c>
      <c r="BI3297">
        <f>IFERROR(BH3297/$AU$3238,0)</f>
        <v>0</v>
      </c>
      <c r="BJ3297">
        <f>BH3297*($F$21+IF($F$21=0,0,($C$14+$C$15+IF($C$13="single",1.5,3)+3)/12))</f>
        <v>0</v>
      </c>
      <c r="BK3297">
        <f>BJ3297-BA3297</f>
        <v>0</v>
      </c>
      <c r="BL3297" cm="1">
        <f t="array" ref="BL3297">IFERROR(IF(BK3297&lt;0,0,BK3297/($AU$3238-INDEX(hd_off,MATCH(BT3297,hd_mark,0),0)/12)),0)</f>
        <v>0</v>
      </c>
      <c r="BM3297">
        <f>MAX($F$21,$BB$3238)/$Q$3252</f>
        <v>0.30172413793103448</v>
      </c>
      <c r="BN3297">
        <f>IF(BM3297=0,0,IF(BM3297&gt;2,1.25-0.125*BM3297,1))</f>
        <v>1</v>
      </c>
      <c r="BO3297" cm="1">
        <f t="array" ref="BO3297">IFERROR(INDEX(sheath_ecap_asd,MATCH(BS3297,sheath_mark,0),0)*BN3297,0)</f>
        <v>0</v>
      </c>
      <c r="BP3297" cm="1">
        <f t="array" ref="BP3297">IFERROR(INDEX(sheath_wcap_asd,MATCH(BS3297,sheath_mark,0),0)*BN3297,0)</f>
        <v>0</v>
      </c>
      <c r="BQ3297" cm="1">
        <f t="array" ref="BQ3297">IFERROR(INDEX(hd_cap,MATCH(BT3297,hd_mark,0),0),0)</f>
        <v>0</v>
      </c>
      <c r="BS3297" s="19"/>
      <c r="BT3297" s="19"/>
      <c r="BU3297" s="100"/>
    </row>
    <row r="3298" x14ac:dyDescent="0.25">
      <c r="P3298" s="93"/>
      <c r="Q3298" s="109"/>
      <c r="R3298" t="str">
        <f>$Q$3222</f>
        <v>L3</v>
      </c>
      <c r="S3298">
        <f>$E$22</f>
        <v>21.375</v>
      </c>
      <c r="T3298" cm="1">
        <f t="array" ref="T3298">IFERROR(IF(S3298=0,0,(INDEX($C$33:$C$38,MATCH($W$3238,$B$33:$B$38,0),0)*(S3301+$X$3238)+$T$3238*COUNTIF(S3298:S3300,"&gt;0")*$C$32+$V$3238*$C$31)*$R$3238),0)</f>
        <v>0</v>
      </c>
      <c r="U3298">
        <f>IF(S3298=0,0,-(COUNTIF(S3298:S3300,"&gt;0")*$T$3238*$C$32+$V$3238*$C$31)*$H$27*$R$3238)</f>
        <v>0</v>
      </c>
      <c r="V3298">
        <f>IF(S3298=0,0,$V$3238*$H$26*$R$3238)</f>
        <v>0</v>
      </c>
      <c r="W3298">
        <f>(0.6*T3298+0.7*U3298)*$R$3238/2</f>
        <v>0</v>
      </c>
      <c r="X3298">
        <f>T3298*$R$3238/2</f>
        <v>0</v>
      </c>
      <c r="Z3298">
        <f>IF(S3298=0,0,$AD$3238*$AP$3222)</f>
        <v>0</v>
      </c>
      <c r="AA3298">
        <f>IFERROR(Z3298/$R$3238,0)</f>
        <v>0</v>
      </c>
      <c r="AB3298">
        <f>Z3298*($F$22+IF($F$22=0,0,($C$14+$C$15+IF($C$13="single",1.5,3)+3)/12))</f>
        <v>0</v>
      </c>
      <c r="AC3298">
        <f>AB3298-W3298</f>
        <v>0</v>
      </c>
      <c r="AD3298" cm="1">
        <f t="array" ref="AD3298">IFERROR(IF(AC3298&lt;0,0,AC3298/($R$3238-INDEX(hd_off,MATCH(AQ3298,hd_mark,0),0)/12)),0)</f>
        <v>0</v>
      </c>
      <c r="AE3298">
        <f>IF(S3298=0,0,$AD$3238*$AM$3222)</f>
        <v>0</v>
      </c>
      <c r="AF3298">
        <f>IFERROR(AE3298/$R$3238,0)</f>
        <v>0</v>
      </c>
      <c r="AG3298">
        <f>AE3298*($F$22+IF($F$22=0,0,($C$14+$C$15+IF($C$13="single",1.5,3)+3)/12))</f>
        <v>0</v>
      </c>
      <c r="AH3298">
        <f>AG3298-X3298</f>
        <v>0</v>
      </c>
      <c r="AI3298" cm="1">
        <f t="array" ref="AI3298">IFERROR(IF(AH3298&lt;0,0,AH3298/($R$3238-INDEX(hd_off,MATCH(AQ3298,hd_mark,0),0)/12)),0)</f>
        <v>0</v>
      </c>
      <c r="AJ3298">
        <f>MAX($F$22,$Z$3238)/$Q$3252</f>
        <v>0.30172413793103448</v>
      </c>
      <c r="AK3298">
        <f t="shared" ref="AK3298:AK3301" si="2037">IF(AJ3298=0,0,IF(AJ3298&gt;2,1.25-0.125*AJ3298,1))</f>
        <v>1</v>
      </c>
      <c r="AL3298" cm="1">
        <f t="array" ref="AL3298">IFERROR(INDEX(sheath_ecap_asd,MATCH(AP3298,sheath_mark,0),0)*AK3298,0)</f>
        <v>0</v>
      </c>
      <c r="AM3298" cm="1">
        <f t="array" ref="AM3298">IFERROR(INDEX(sheath_wcap_asd,MATCH(AP3298,sheath_mark,0),0)*AK3298,0)</f>
        <v>0</v>
      </c>
      <c r="AN3298" cm="1">
        <f t="array" ref="AN3298">IFERROR(INDEX(hd_cap,MATCH(AQ3298,hd_mark,0),0),0)</f>
        <v>0</v>
      </c>
      <c r="AP3298" s="19"/>
      <c r="AQ3298" s="19"/>
      <c r="AR3298" s="100"/>
      <c r="AS3298" s="93"/>
      <c r="AT3298" s="109"/>
      <c r="AU3298" t="str">
        <f>$Q$3222</f>
        <v>L3</v>
      </c>
      <c r="AV3298">
        <f>$E$22</f>
        <v>21.375</v>
      </c>
      <c r="AW3298" cm="1">
        <f t="array" ref="AW3298">IFERROR(IF(AV3298=0,0,(INDEX($C$33:$C$38,MATCH($AZ$3238,$B$33:$B$38,0),0)*(AV3301+$BA$3238)+$AW$3238*COUNTIF(AV3298:AV3300,"&gt;0")*$C$32+$AY$3238*$C$31)*$AU$3238),0)</f>
        <v>0</v>
      </c>
      <c r="AX3298">
        <f>IF(AV3298=0,0,-(COUNTIF(AV3298:AV3300,"&gt;0")*$AW$3238*$C$32+$AY$3238*$C$31)*$H$27*$AU$3238)</f>
        <v>0</v>
      </c>
      <c r="AY3298">
        <f>IF(AV3298=0,0,$AY$3238*$H$26*$AU$3238)</f>
        <v>0</v>
      </c>
      <c r="AZ3298">
        <f>(0.6*AW3298+0.7*AX3298)*$AU$3238/2</f>
        <v>0</v>
      </c>
      <c r="BA3298">
        <f>AW3298*$AU$3238/2</f>
        <v>0</v>
      </c>
      <c r="BC3298">
        <f>IF(AV3298=0,0,$BG$3238*$AP$3222)</f>
        <v>0</v>
      </c>
      <c r="BD3298">
        <f>IFERROR(BC3298/$AU$3238,0)</f>
        <v>0</v>
      </c>
      <c r="BE3298">
        <f>BC3298*($F$22+IF($F$22=0,0,($C$14+$C$15+IF($C$13="single",1.5,3)+3)/12))</f>
        <v>0</v>
      </c>
      <c r="BF3298">
        <f>BE3298-AZ3298</f>
        <v>0</v>
      </c>
      <c r="BG3298" cm="1">
        <f t="array" ref="BG3298">IFERROR(IF(BF3298&lt;0,0,BF3298/($AU$3238-INDEX(hd_off,MATCH(BT3298,hd_mark,0),0)/12)),0)</f>
        <v>0</v>
      </c>
      <c r="BH3298">
        <f>IF(AV3298=0,0,$BG$3238*$AM$3222)</f>
        <v>0</v>
      </c>
      <c r="BI3298">
        <f>IFERROR(BH3298/$AU$3238,0)</f>
        <v>0</v>
      </c>
      <c r="BJ3298">
        <f>BH3298*($F$22+IF($F$22=0,0,($C$14+$C$15+IF($C$13="single",1.5,3)+3)/12))</f>
        <v>0</v>
      </c>
      <c r="BK3298">
        <f>BJ3298-BA3298</f>
        <v>0</v>
      </c>
      <c r="BL3298" cm="1">
        <f t="array" ref="BL3298">IFERROR(IF(BK3298&lt;0,0,BK3298/($AU$3238-INDEX(hd_off,MATCH(BT3298,hd_mark,0),0)/12)),0)</f>
        <v>0</v>
      </c>
      <c r="BM3298">
        <f>MAX($F$22,$BC$3238)/$Q$3252</f>
        <v>0.30172413793103448</v>
      </c>
      <c r="BN3298">
        <f t="shared" ref="BN3298:BN3301" si="2038">IF(BM3298=0,0,IF(BM3298&gt;2,1.25-0.125*BM3298,1))</f>
        <v>1</v>
      </c>
      <c r="BO3298" cm="1">
        <f t="array" ref="BO3298">IFERROR(INDEX(sheath_ecap_asd,MATCH(BS3298,sheath_mark,0),0)*BN3298,0)</f>
        <v>0</v>
      </c>
      <c r="BP3298" cm="1">
        <f t="array" ref="BP3298">IFERROR(INDEX(sheath_wcap_asd,MATCH(BS3298,sheath_mark,0),0)*BN3298,0)</f>
        <v>0</v>
      </c>
      <c r="BQ3298" cm="1">
        <f t="array" ref="BQ3298">IFERROR(INDEX(hd_cap,MATCH(BT3298,hd_mark,0),0),0)</f>
        <v>0</v>
      </c>
      <c r="BS3298" s="19"/>
      <c r="BT3298" s="19"/>
      <c r="BU3298" s="100"/>
    </row>
    <row r="3299" x14ac:dyDescent="0.25">
      <c r="P3299" s="93"/>
      <c r="Q3299" s="109" t="s">
        <v>491</v>
      </c>
      <c r="R3299" t="str">
        <f>$Q$3223</f>
        <v>L4</v>
      </c>
      <c r="S3299">
        <f>$E$23</f>
        <v>0</v>
      </c>
      <c r="T3299" cm="1">
        <f t="array" ref="T3299">IFERROR(IF(S3299=0,0,(INDEX($C$33:$C$38,MATCH($W$3238,$B$33:$B$38,0),0)*(S3301+$X$3238)+$T$3238*COUNTIF(S3299:S3300,"&gt;0")*$C$32+$V$3238*$C$31)*$R$3238),0)</f>
        <v>0</v>
      </c>
      <c r="U3299">
        <f>IF(S3299=0,0,-(COUNTIF(S3299:S3300,"&gt;0")*$T$3238*$C$32+$V$3238*$C$31)*$H$27*$R$3238)</f>
        <v>0</v>
      </c>
      <c r="V3299">
        <f>IF(S3299=0,0,$V$3238*$H$26*$R$3238)</f>
        <v>0</v>
      </c>
      <c r="W3299">
        <f>(0.6*T3299+0.7*U3299)*$R$3238/2</f>
        <v>0</v>
      </c>
      <c r="X3299">
        <f>T3299*$R$3238/2</f>
        <v>0</v>
      </c>
      <c r="Z3299">
        <f>IF(S3299=0,0,$AD$3238*$AP$3223)</f>
        <v>0</v>
      </c>
      <c r="AA3299">
        <f>IFERROR(Z3299/$R$3238,0)</f>
        <v>0</v>
      </c>
      <c r="AB3299">
        <f>Z3299*($F$23+IF($F$23=0,0,($C$14+$C$15+IF($C$13="single",1.5,3)+3)/12))</f>
        <v>0</v>
      </c>
      <c r="AC3299">
        <f>AB3299-W3299</f>
        <v>0</v>
      </c>
      <c r="AD3299" cm="1">
        <f t="array" ref="AD3299">IFERROR(IF(AC3299&lt;0,0,AC3299/($R$3238-INDEX(hd_off,MATCH(AQ3299,hd_mark,0),0)/12)),0)</f>
        <v>0</v>
      </c>
      <c r="AE3299">
        <f>IF(S3299=0,0,$AD$3238*$AM$3223)</f>
        <v>0</v>
      </c>
      <c r="AF3299">
        <f>IFERROR(AE3299/$R$3238,0)</f>
        <v>0</v>
      </c>
      <c r="AG3299">
        <f>AE3299*($F$23+IF($F$23=0,0,($C$14+$C$15+IF($C$13="single",1.5,3)+3)/12))</f>
        <v>0</v>
      </c>
      <c r="AH3299">
        <f>AG3299-X3299</f>
        <v>0</v>
      </c>
      <c r="AI3299" cm="1">
        <f t="array" ref="AI3299">IFERROR(IF(AH3299&lt;0,0,AH3299/($R$3238-INDEX(hd_off,MATCH(AQ3299,hd_mark,0),0)/12)),0)</f>
        <v>0</v>
      </c>
      <c r="AJ3299">
        <f>MAX($F$23,$AA$3238)/$Q$3252</f>
        <v>0</v>
      </c>
      <c r="AK3299">
        <f t="shared" si="2037"/>
        <v>0</v>
      </c>
      <c r="AL3299" cm="1">
        <f t="array" ref="AL3299">IFERROR(INDEX(sheath_ecap_asd,MATCH(AP3299,sheath_mark,0),0)*AK3299,0)</f>
        <v>0</v>
      </c>
      <c r="AM3299" cm="1">
        <f t="array" ref="AM3299">IFERROR(INDEX(sheath_wcap_asd,MATCH(AP3299,sheath_mark,0),0)*AK3299,0)</f>
        <v>0</v>
      </c>
      <c r="AN3299" cm="1">
        <f t="array" ref="AN3299">IFERROR(INDEX(hd_cap,MATCH(AQ3299,hd_mark,0),0),0)</f>
        <v>0</v>
      </c>
      <c r="AP3299" s="19"/>
      <c r="AQ3299" s="19"/>
      <c r="AR3299" s="100"/>
      <c r="AS3299" s="93"/>
      <c r="AT3299" s="109" t="s">
        <v>491</v>
      </c>
      <c r="AU3299" t="str">
        <f>$Q$3223</f>
        <v>L4</v>
      </c>
      <c r="AV3299">
        <f>$E$23</f>
        <v>0</v>
      </c>
      <c r="AW3299" cm="1">
        <f t="array" ref="AW3299">IFERROR(IF(AV3299=0,0,(INDEX($C$33:$C$38,MATCH($AZ$3238,$B$33:$B$38,0),0)*(AV3301+$BA$3238)+$AW$3238*COUNTIF(AV3299:AV3300,"&gt;0")*$C$32+$AY$3238*$C$31)*$AU$3238),0)</f>
        <v>0</v>
      </c>
      <c r="AX3299">
        <f>IF(AV3299=0,0,-(COUNTIF(AV3299:AV3300,"&gt;0")*$AW$3238*$C$32+$AY$3238*$C$31)*$H$27*$AU$3238)</f>
        <v>0</v>
      </c>
      <c r="AY3299">
        <f>IF(AV3299=0,0,$AY$3238*$H$26*$AU$3238)</f>
        <v>0</v>
      </c>
      <c r="AZ3299">
        <f>(0.6*AW3299+0.7*AX3299)*$AU$3238/2</f>
        <v>0</v>
      </c>
      <c r="BA3299">
        <f>AW3299*$AU$3238/2</f>
        <v>0</v>
      </c>
      <c r="BC3299">
        <f>IF(AV3299=0,0,$BG$3238*$AP$3223)</f>
        <v>0</v>
      </c>
      <c r="BD3299">
        <f>IFERROR(BC3299/$AU$3238,0)</f>
        <v>0</v>
      </c>
      <c r="BE3299">
        <f>BC3299*($F$23+IF($F$23=0,0,($C$14+$C$15+IF($C$13="single",1.5,3)+3)/12))</f>
        <v>0</v>
      </c>
      <c r="BF3299">
        <f>BE3299-AZ3299</f>
        <v>0</v>
      </c>
      <c r="BG3299" cm="1">
        <f t="array" ref="BG3299">IFERROR(IF(BF3299&lt;0,0,BF3299/($AU$3238-INDEX(hd_off,MATCH(BT3299,hd_mark,0),0)/12)),0)</f>
        <v>0</v>
      </c>
      <c r="BH3299">
        <f>IF(AV3299=0,0,$BG$3238*$AM$3223)</f>
        <v>0</v>
      </c>
      <c r="BI3299">
        <f>IFERROR(BH3299/$AU$3238,0)</f>
        <v>0</v>
      </c>
      <c r="BJ3299">
        <f>BH3299*($F$23+IF($F$23=0,0,($C$14+$C$15+IF($C$13="single",1.5,3)+3)/12))</f>
        <v>0</v>
      </c>
      <c r="BK3299">
        <f>BJ3299-BA3299</f>
        <v>0</v>
      </c>
      <c r="BL3299" cm="1">
        <f t="array" ref="BL3299">IFERROR(IF(BK3299&lt;0,0,BK3299/($AU$3238-INDEX(hd_off,MATCH(BT3299,hd_mark,0),0)/12)),0)</f>
        <v>0</v>
      </c>
      <c r="BM3299">
        <f>MAX($F$23,$BD$3238)/$Q$3252</f>
        <v>0</v>
      </c>
      <c r="BN3299">
        <f t="shared" si="2038"/>
        <v>0</v>
      </c>
      <c r="BO3299" cm="1">
        <f t="array" ref="BO3299">IFERROR(INDEX(sheath_ecap_asd,MATCH(BS3299,sheath_mark,0),0)*BN3299,0)</f>
        <v>0</v>
      </c>
      <c r="BP3299" cm="1">
        <f t="array" ref="BP3299">IFERROR(INDEX(sheath_wcap_asd,MATCH(BS3299,sheath_mark,0),0)*BN3299,0)</f>
        <v>0</v>
      </c>
      <c r="BQ3299" cm="1">
        <f t="array" ref="BQ3299">IFERROR(INDEX(hd_cap,MATCH(BT3299,hd_mark,0),0),0)</f>
        <v>0</v>
      </c>
      <c r="BS3299" s="19"/>
      <c r="BT3299" s="19"/>
      <c r="BU3299" s="100"/>
    </row>
    <row r="3300" x14ac:dyDescent="0.25">
      <c r="P3300" s="93"/>
      <c r="Q3300" s="111">
        <f>$R$3238</f>
        <v>0</v>
      </c>
      <c r="R3300" t="str">
        <f>$Q$3224</f>
        <v>L5</v>
      </c>
      <c r="S3300">
        <f>$E$24</f>
        <v>0</v>
      </c>
      <c r="T3300" cm="1">
        <f t="array" ref="T3300">IFERROR(IF(S3300=0,0,(INDEX($C$33:$C$38,MATCH($W$3238,$B$33:$B$38,0),0)*(S3301+$X$3238)+$T$3238*COUNTIF(S3300:S3300,"&gt;0")*$C$32+$V$3238*$C$31)*$R$3238),0)</f>
        <v>0</v>
      </c>
      <c r="U3300">
        <f>IF(S3300=0,0,-(COUNTIF(S3300:S3300,"&gt;0")*$T$3238*$C$32+$V$3238*$C$31)*$H$27*$R$3238)</f>
        <v>0</v>
      </c>
      <c r="V3300">
        <f>IF(S3300=0,0,$V$3238*$H$26*$R$3238)</f>
        <v>0</v>
      </c>
      <c r="W3300">
        <f>(0.6*T3300+0.7*U3300)*$R$3238/2</f>
        <v>0</v>
      </c>
      <c r="X3300">
        <f>T3300*$R$3238/2</f>
        <v>0</v>
      </c>
      <c r="Z3300">
        <f>IF(S3300=0,0,$AD$3238*$AP$3224)</f>
        <v>0</v>
      </c>
      <c r="AA3300">
        <f>IFERROR(Z3300/$R$3238,0)</f>
        <v>0</v>
      </c>
      <c r="AB3300">
        <f>Z3300*($F$24+IF($F$24=0,0,($C$14+$C$15+IF($C$13="single",1.5,3)+3)/12))</f>
        <v>0</v>
      </c>
      <c r="AC3300">
        <f>AB3300-W3300</f>
        <v>0</v>
      </c>
      <c r="AD3300" cm="1">
        <f t="array" ref="AD3300">IFERROR(IF(AC3300&lt;0,0,AC3300/($R$3238-INDEX(hd_off,MATCH(AQ3300,hd_mark,0),0)/12)),0)</f>
        <v>0</v>
      </c>
      <c r="AE3300">
        <f>IF(S3300=0,0,$AD$3238*$AM$3224)</f>
        <v>0</v>
      </c>
      <c r="AF3300">
        <f>IFERROR(AE3300/$R$3238,0)</f>
        <v>0</v>
      </c>
      <c r="AG3300">
        <f>AE3300*($F$24+IF($F$24=0,0,($C$14+$C$15+IF($C$13="single",1.5,3)+3)/12))</f>
        <v>0</v>
      </c>
      <c r="AH3300">
        <f>AG3300-X3300</f>
        <v>0</v>
      </c>
      <c r="AI3300" cm="1">
        <f t="array" ref="AI3300">IFERROR(IF(AH3300&lt;0,0,AH3300/($R$3238-INDEX(hd_off,MATCH(AQ3300,hd_mark,0),0)/12)),0)</f>
        <v>0</v>
      </c>
      <c r="AJ3300">
        <f>MAX($F$24,$AB$3238)/$Q$3252</f>
        <v>0</v>
      </c>
      <c r="AK3300">
        <f t="shared" si="2037"/>
        <v>0</v>
      </c>
      <c r="AL3300" cm="1">
        <f t="array" ref="AL3300">IFERROR(INDEX(sheath_ecap_asd,MATCH(AP3300,sheath_mark,0),0)*AK3300,0)</f>
        <v>0</v>
      </c>
      <c r="AM3300" cm="1">
        <f t="array" ref="AM3300">IFERROR(INDEX(sheath_wcap_asd,MATCH(AP3300,sheath_mark,0),0)*AK3300,0)</f>
        <v>0</v>
      </c>
      <c r="AN3300" cm="1">
        <f t="array" ref="AN3300">IFERROR(INDEX(hd_cap,MATCH(AQ3300,hd_mark,0),0),0)</f>
        <v>0</v>
      </c>
      <c r="AP3300" s="19"/>
      <c r="AQ3300" s="19"/>
      <c r="AR3300" s="100"/>
      <c r="AS3300" s="93"/>
      <c r="AT3300" s="111">
        <f>$R$3238</f>
        <v>0</v>
      </c>
      <c r="AU3300" t="str">
        <f>$Q$3224</f>
        <v>L5</v>
      </c>
      <c r="AV3300">
        <f>$E$24</f>
        <v>0</v>
      </c>
      <c r="AW3300" cm="1">
        <f t="array" ref="AW3300">IFERROR(IF(AV3300=0,0,(INDEX($C$33:$C$38,MATCH($AZ$3238,$B$33:$B$38,0),0)*(AV3301+$BA$3238)+$AW$3238*COUNTIF(AV3300:AV3300,"&gt;0")*$C$32+$AY$3238*$C$31)*$AU$3238),0)</f>
        <v>0</v>
      </c>
      <c r="AX3300">
        <f>IF(AV3300=0,0,-(COUNTIF(AV3300:AV3300,"&gt;0")*$AW$3238*$C$32+$AY$3238*$C$31)*$H$27*$AU$3238)</f>
        <v>0</v>
      </c>
      <c r="AY3300">
        <f>IF(AV3300=0,0,$AY$3238*$H$26*$AU$3238)</f>
        <v>0</v>
      </c>
      <c r="AZ3300">
        <f>(0.6*AW3300+0.7*AX3300)*$AU$3238/2</f>
        <v>0</v>
      </c>
      <c r="BA3300">
        <f>AW3300*$AU$3238/2</f>
        <v>0</v>
      </c>
      <c r="BC3300">
        <f>IF(AV3300=0,0,$BG$3238*$AP$3224)</f>
        <v>0</v>
      </c>
      <c r="BD3300">
        <f>IFERROR(BC3300/$AU$3238,0)</f>
        <v>0</v>
      </c>
      <c r="BE3300">
        <f>BC3300*($F$24+IF($F$24=0,0,($C$14+$C$15+IF($C$13="single",1.5,3)+3)/12))</f>
        <v>0</v>
      </c>
      <c r="BF3300">
        <f>BE3300-AZ3300</f>
        <v>0</v>
      </c>
      <c r="BG3300" cm="1">
        <f t="array" ref="BG3300">IFERROR(IF(BF3300&lt;0,0,BF3300/($AU$3238-INDEX(hd_off,MATCH(BT3300,hd_mark,0),0)/12)),0)</f>
        <v>0</v>
      </c>
      <c r="BH3300">
        <f>IF(AV3300=0,0,$BG$3238*$AM$3224)</f>
        <v>0</v>
      </c>
      <c r="BI3300">
        <f>IFERROR(BH3300/$AU$3238,0)</f>
        <v>0</v>
      </c>
      <c r="BJ3300">
        <f>BH3300*($F$24+IF($F$24=0,0,($C$14+$C$15+IF($C$13="single",1.5,3)+3)/12))</f>
        <v>0</v>
      </c>
      <c r="BK3300">
        <f>BJ3300-BA3300</f>
        <v>0</v>
      </c>
      <c r="BL3300" cm="1">
        <f t="array" ref="BL3300">IFERROR(IF(BK3300&lt;0,0,BK3300/($AU$3238-INDEX(hd_off,MATCH(BT3300,hd_mark,0),0)/12)),0)</f>
        <v>0</v>
      </c>
      <c r="BM3300">
        <f>MAX($F$24,$BE$3238)/$Q$3252</f>
        <v>0</v>
      </c>
      <c r="BN3300">
        <f t="shared" si="2038"/>
        <v>0</v>
      </c>
      <c r="BO3300" cm="1">
        <f t="array" ref="BO3300">IFERROR(INDEX(sheath_ecap_asd,MATCH(BS3300,sheath_mark,0),0)*BN3300,0)</f>
        <v>0</v>
      </c>
      <c r="BP3300" cm="1">
        <f t="array" ref="BP3300">IFERROR(INDEX(sheath_wcap_asd,MATCH(BS3300,sheath_mark,0),0)*BN3300,0)</f>
        <v>0</v>
      </c>
      <c r="BQ3300" cm="1">
        <f t="array" ref="BQ3300">IFERROR(INDEX(hd_cap,MATCH(BT3300,hd_mark,0),0),0)</f>
        <v>0</v>
      </c>
      <c r="BS3300" s="19"/>
      <c r="BT3300" s="19"/>
      <c r="BU3300" s="100"/>
    </row>
    <row r="3301" x14ac:dyDescent="0.25">
      <c r="P3301" s="93"/>
      <c r="Q3301" s="109"/>
      <c r="R3301" t="str">
        <f>$Q$3225</f>
        <v>Roof</v>
      </c>
      <c r="S3301">
        <f>$E$25</f>
        <v>33.171875</v>
      </c>
      <c r="T3301" cm="1">
        <f t="array" ref="T3301">IFERROR(IF(S3301=0,0,(INDEX($C$33:$C$38,MATCH($W$3238,$B$33:$B$38,0),0)*(S3301+$X$3238)+$V$3238*$C$31)*$R$3238),0)</f>
        <v>0</v>
      </c>
      <c r="U3301">
        <f>IF(S3301=0,0,-$V$3238*$C$31*$H$27*$R$3238)</f>
        <v>0</v>
      </c>
      <c r="V3301">
        <f>IF(S3301=0,0,$V$3238*$H$26*$R$3238)</f>
        <v>0</v>
      </c>
      <c r="W3301">
        <f>(0.6*T3301+0.7*U3301)*$R$3238/2</f>
        <v>0</v>
      </c>
      <c r="X3301">
        <f>T3301*$R$3238/2</f>
        <v>0</v>
      </c>
      <c r="Z3301">
        <f>IF(S3301=0,0,$AD$3238*$AP$3225)</f>
        <v>0</v>
      </c>
      <c r="AA3301">
        <f>IFERROR(Z3301/$R$3238,0)</f>
        <v>0</v>
      </c>
      <c r="AB3301">
        <f>Z3301*($F$25+($C$16+$C$17+IF($C$13="single",1.5,3)+3)/12)</f>
        <v>0</v>
      </c>
      <c r="AC3301">
        <f>AB3301-W3301</f>
        <v>0</v>
      </c>
      <c r="AD3301" cm="1">
        <f t="array" ref="AD3301">IFERROR(IF(AC3301&lt;0,0,AC3301/($R$3238-INDEX(hd_off,MATCH(AQ3301,hd_mark,0),0)/12)),0)</f>
        <v>0</v>
      </c>
      <c r="AE3301">
        <f>IF(S3301=0,0,$AD$3238*$AM$3225)</f>
        <v>0</v>
      </c>
      <c r="AF3301">
        <f>IFERROR(AE3301/$R$3238,0)</f>
        <v>0</v>
      </c>
      <c r="AG3301">
        <f>AE3301*($F$25+($C$16+$C$17+IF($C$13="single",1.5,3)+3)/12)</f>
        <v>0</v>
      </c>
      <c r="AH3301">
        <f>AG3301-X3301</f>
        <v>0</v>
      </c>
      <c r="AI3301" cm="1">
        <f t="array" ref="AI3301">IFERROR(IF(AH3301&lt;0,0,AH3301/($R$3238-INDEX(hd_off,MATCH(AQ3301,hd_mark,0),0)/12)),0)</f>
        <v>0</v>
      </c>
      <c r="AJ3301">
        <f>MAX($F$25,$AC$3238)/$Q$3252</f>
        <v>0.29920977011494249</v>
      </c>
      <c r="AK3301">
        <f t="shared" si="2037"/>
        <v>1</v>
      </c>
      <c r="AL3301" cm="1">
        <f t="array" ref="AL3301">IFERROR(INDEX(sheath_ecap_asd,MATCH(AP3301,sheath_mark,0),0)*AK3301,0)</f>
        <v>0</v>
      </c>
      <c r="AM3301" cm="1">
        <f t="array" ref="AM3301">IFERROR(INDEX(sheath_wcap_asd,MATCH(AP3301,sheath_mark,0),0)*AK3301,0)</f>
        <v>0</v>
      </c>
      <c r="AN3301" cm="1">
        <f t="array" ref="AN3301">IFERROR(INDEX(hd_cap,MATCH(AQ3301,hd_mark,0),0),0)</f>
        <v>0</v>
      </c>
      <c r="AP3301" s="19"/>
      <c r="AQ3301" s="19"/>
      <c r="AR3301" s="100"/>
      <c r="AS3301" s="93"/>
      <c r="AT3301" s="109"/>
      <c r="AU3301" t="str">
        <f>$Q$3225</f>
        <v>Roof</v>
      </c>
      <c r="AV3301">
        <f>$E$25</f>
        <v>33.171875</v>
      </c>
      <c r="AW3301" cm="1">
        <f t="array" ref="AW3301">IFERROR(IF(AV3301=0,0,(INDEX($C$33:$C$38,MATCH($AZ$3238,$B$33:$B$38,0),0)*(AV3301+$BA$3238)+$AY$3238*$C$31)*$AU$3238),0)</f>
        <v>0</v>
      </c>
      <c r="AX3301">
        <f>IF(AV3301=0,0,-$AY$3238*$C$31*$H$27*$AU$3238)</f>
        <v>0</v>
      </c>
      <c r="AY3301">
        <f>IF(AV3301=0,0,$AY$3238*$H$26*$AU$3238)</f>
        <v>0</v>
      </c>
      <c r="AZ3301">
        <f>(0.6*AW3301+0.7*AX3301)*$AU$3238/2</f>
        <v>0</v>
      </c>
      <c r="BA3301">
        <f>AW3301*$AU$3238/2</f>
        <v>0</v>
      </c>
      <c r="BC3301">
        <f>IF(AV3301=0,0,$BG$3238*$AP$3225)</f>
        <v>0</v>
      </c>
      <c r="BD3301">
        <f>IFERROR(BC3301/$AU$3238,0)</f>
        <v>0</v>
      </c>
      <c r="BE3301">
        <f>BC3301*($F$25+($C$16+$C$17+IF($C$13="single",1.5,3)+3)/12)</f>
        <v>0</v>
      </c>
      <c r="BF3301">
        <f>BE3301-AZ3301</f>
        <v>0</v>
      </c>
      <c r="BG3301" cm="1">
        <f t="array" ref="BG3301">IFERROR(IF(BF3301&lt;0,0,BF3301/($AU$3238-INDEX(hd_off,MATCH(BT3301,hd_mark,0),0)/12)),0)</f>
        <v>0</v>
      </c>
      <c r="BH3301">
        <f>IF(AV3301=0,0,$BG$3238*$AM$3225)</f>
        <v>0</v>
      </c>
      <c r="BI3301">
        <f>IFERROR(BH3301/$AU$3238,0)</f>
        <v>0</v>
      </c>
      <c r="BJ3301">
        <f>BH3301*($F$25+($C$16+$C$17+IF($C$13="single",1.5,3)+3)/12)</f>
        <v>0</v>
      </c>
      <c r="BK3301">
        <f>BJ3301-BA3301</f>
        <v>0</v>
      </c>
      <c r="BL3301" cm="1">
        <f t="array" ref="BL3301">IFERROR(IF(BK3301&lt;0,0,BK3301/($AU$3238-INDEX(hd_off,MATCH(BT3301,hd_mark,0),0)/12)),0)</f>
        <v>0</v>
      </c>
      <c r="BM3301">
        <f>MAX($F$25,$BF$3238)/$Q$3252</f>
        <v>0.29920977011494249</v>
      </c>
      <c r="BN3301">
        <f t="shared" si="2038"/>
        <v>1</v>
      </c>
      <c r="BO3301" cm="1">
        <f t="array" ref="BO3301">IFERROR(INDEX(sheath_ecap_asd,MATCH(BS3301,sheath_mark,0),0)*BN3301,0)</f>
        <v>0</v>
      </c>
      <c r="BP3301" cm="1">
        <f t="array" ref="BP3301">IFERROR(INDEX(sheath_wcap_asd,MATCH(BS3301,sheath_mark,0),0)*BN3301,0)</f>
        <v>0</v>
      </c>
      <c r="BQ3301" cm="1">
        <f t="array" ref="BQ3301">IFERROR(INDEX(hd_cap,MATCH(BT3301,hd_mark,0),0),0)</f>
        <v>0</v>
      </c>
      <c r="BS3301" s="19"/>
      <c r="BT3301" s="19"/>
      <c r="BU3301" s="100"/>
    </row>
    <row r="3302" x14ac:dyDescent="0.25">
      <c r="P3302" s="93"/>
      <c r="AR3302" s="100"/>
      <c r="AS3302" s="93"/>
      <c r="BU3302" s="100"/>
    </row>
    <row r="3303" x14ac:dyDescent="0.25">
      <c r="P3303" s="93"/>
      <c r="Q3303" s="110" t="str">
        <f>$Q$3239</f>
        <v>A.10</v>
      </c>
      <c r="R3303" t="str">
        <f>$Q$3221</f>
        <v>L2</v>
      </c>
      <c r="S3303">
        <f>$E$21</f>
        <v>10.6875</v>
      </c>
      <c r="T3303" cm="1">
        <f t="array" ref="T3303">IFERROR(IF(S3303=0,0,(INDEX($C$33:$C$38,MATCH($W$3239,$B$33:$B$38,0),0)*(S3307+$X$3239)+$T$3239*COUNTIF(S3303:S3306,"&gt;0")*$C$32+$V$3239*$C$31)*$R$3239),0)</f>
        <v>0</v>
      </c>
      <c r="U3303">
        <f>IF(S3303=0,0,-(COUNTIF(S3303:S3306,"&gt;0")*$T$3239*$C$32+$V$3239*$C$31)*$H$27*$R$3239)</f>
        <v>0</v>
      </c>
      <c r="V3303">
        <f>IF(S3303=0,0,$V$3239*$H$26*$R$3239)</f>
        <v>0</v>
      </c>
      <c r="W3303">
        <f>(0.6*T3303+0.7*U3303)*$R$3239/2</f>
        <v>0</v>
      </c>
      <c r="X3303">
        <f>(0.6*T3303+0.6*V3303)*$R$3239/2</f>
        <v>0</v>
      </c>
      <c r="Z3303">
        <f>IF(S3303=0,0,$AD$3239*$AP$3221)</f>
        <v>0</v>
      </c>
      <c r="AA3303">
        <f>IFERROR(Z3303/$R$3239,0)</f>
        <v>0</v>
      </c>
      <c r="AB3303">
        <f>Z3303*($F$21+IF($F$21=0,0,($C$14+$C$15+IF($C$13="single",1.5,3)+3)/12))</f>
        <v>0</v>
      </c>
      <c r="AC3303">
        <f>AB3303-W3303</f>
        <v>0</v>
      </c>
      <c r="AD3303" cm="1">
        <f t="array" ref="AD3303">IFERROR(IF(AC3303&lt;0,0,AC3303/($R$3239-INDEX(hd_off,MATCH(AQ3303,hd_mark,0),0)/12)),0)</f>
        <v>0</v>
      </c>
      <c r="AE3303">
        <f>IF(S3303=0,0,$AD$3239*$AM$3221)</f>
        <v>0</v>
      </c>
      <c r="AF3303">
        <f>IFERROR(AE3303/$R$3239,0)</f>
        <v>0</v>
      </c>
      <c r="AG3303">
        <f>AE3303*($F$21+IF($F$21=0,0,($C$14+$C$15+IF($C$13="single",1.5,3)+3)/12))</f>
        <v>0</v>
      </c>
      <c r="AH3303">
        <f>AG3303-X3303</f>
        <v>0</v>
      </c>
      <c r="AI3303" cm="1">
        <f t="array" ref="AI3303">IFERROR(IF(AH3303&lt;0,0,AH3303/($R$3239-INDEX(hd_off,MATCH(AQ3303,hd_mark,0),0)/12)),0)</f>
        <v>0</v>
      </c>
      <c r="AJ3303">
        <f>MAX($F$21,$Y$3239)/$Q$3252</f>
        <v>0.30172413793103448</v>
      </c>
      <c r="AK3303">
        <f>IF(AJ3303=0,0,IF(AJ3303&gt;2,1.25-0.125*AJ3303,1))</f>
        <v>1</v>
      </c>
      <c r="AL3303" cm="1">
        <f t="array" ref="AL3303">IFERROR(INDEX(sheath_ecap_asd,MATCH(AP3303,sheath_mark,0),0)*AK3303,0)</f>
        <v>0</v>
      </c>
      <c r="AM3303" cm="1">
        <f t="array" ref="AM3303">IFERROR(INDEX(sheath_wcap_asd,MATCH(AP3303,sheath_mark,0),0)*AK3303,0)</f>
        <v>0</v>
      </c>
      <c r="AN3303" cm="1">
        <f t="array" ref="AN3303">IFERROR(INDEX(hd_cap,MATCH(AQ3303,hd_mark,0),0),0)</f>
        <v>0</v>
      </c>
      <c r="AP3303" s="19"/>
      <c r="AQ3303" s="19"/>
      <c r="AR3303" s="100"/>
      <c r="AS3303" s="93"/>
      <c r="AT3303" s="110" t="str">
        <f>$AT$3239</f>
        <v>1.10</v>
      </c>
      <c r="AU3303" t="str">
        <f>$Q$3221</f>
        <v>L2</v>
      </c>
      <c r="AV3303">
        <f>$E$21</f>
        <v>10.6875</v>
      </c>
      <c r="AW3303" cm="1">
        <f t="array" ref="AW3303">IFERROR(IF(AV3303=0,0,(INDEX($C$33:$C$38,MATCH($AZ$3239,$B$33:$B$38,0),0)*(AV3307+$BA$3239)+$AW$3239*COUNTIF(AV3303:AV3306,"&gt;0")*$C$32+$AY$3239*$C$31)*$AU$3239),0)</f>
        <v>0</v>
      </c>
      <c r="AX3303">
        <f>IF(AV3303=0,0,-(COUNTIF(AV3303:AV3306,"&gt;0")*$AW$3239*$C$32+$AY$3239*$C$31)*$H$27*$AU$3239)</f>
        <v>0</v>
      </c>
      <c r="AY3303">
        <f>IF(AV3303=0,0,$AY$3239*$H$26*$AU$3239)</f>
        <v>0</v>
      </c>
      <c r="AZ3303">
        <f>(0.6*AW3303+0.7*AX3303)*$AU$3239/2</f>
        <v>0</v>
      </c>
      <c r="BA3303">
        <f>(0.6*AW3303+0.6*AY3303)*$AU$3239/2</f>
        <v>0</v>
      </c>
      <c r="BC3303">
        <f>IF(AV3303=0,0,$BG$3239*$AP$3221)</f>
        <v>0</v>
      </c>
      <c r="BD3303">
        <f>IFERROR(BC3303/$AU$3239,0)</f>
        <v>0</v>
      </c>
      <c r="BE3303">
        <f>BC3303*($F$21+IF($F$21=0,0,($C$14+$C$15+IF($C$13="single",1.5,3)+3)/12))</f>
        <v>0</v>
      </c>
      <c r="BF3303">
        <f>BE3303-AZ3303</f>
        <v>0</v>
      </c>
      <c r="BG3303" cm="1">
        <f t="array" ref="BG3303">IFERROR(IF(BF3303&lt;0,0,BF3303/($AU$3239-INDEX(hd_off,MATCH(BT3303,hd_mark,0),0)/12)),0)</f>
        <v>0</v>
      </c>
      <c r="BH3303">
        <f>IF(AV3303=0,0,$BG$3239*$AM$3221)</f>
        <v>0</v>
      </c>
      <c r="BI3303">
        <f>IFERROR(BH3303/$AU$3239,0)</f>
        <v>0</v>
      </c>
      <c r="BJ3303">
        <f>BH3303*($F$21+IF($F$21=0,0,($C$14+$C$15+IF($C$13="single",1.5,3)+3)/12))</f>
        <v>0</v>
      </c>
      <c r="BK3303">
        <f>BJ3303-BA3303</f>
        <v>0</v>
      </c>
      <c r="BL3303" cm="1">
        <f t="array" ref="BL3303">IFERROR(IF(BK3303&lt;0,0,BK3303/($AU$3239-INDEX(hd_off,MATCH(BT3303,hd_mark,0),0)/12)),0)</f>
        <v>0</v>
      </c>
      <c r="BM3303">
        <f>MAX($F$21,$BB$3239)/$Q$3252</f>
        <v>0.30172413793103448</v>
      </c>
      <c r="BN3303">
        <f>IF(BM3303=0,0,IF(BM3303&gt;2,1.25-0.125*BM3303,1))</f>
        <v>1</v>
      </c>
      <c r="BO3303" cm="1">
        <f t="array" ref="BO3303">IFERROR(INDEX(sheath_ecap_asd,MATCH(BS3303,sheath_mark,0),0)*BN3303,0)</f>
        <v>0</v>
      </c>
      <c r="BP3303" cm="1">
        <f t="array" ref="BP3303">IFERROR(INDEX(sheath_wcap_asd,MATCH(BS3303,sheath_mark,0),0)*BN3303,0)</f>
        <v>0</v>
      </c>
      <c r="BQ3303" cm="1">
        <f t="array" ref="BQ3303">IFERROR(INDEX(hd_cap,MATCH(BT3303,hd_mark,0),0),0)</f>
        <v>0</v>
      </c>
      <c r="BS3303" s="19"/>
      <c r="BT3303" s="19"/>
      <c r="BU3303" s="100"/>
    </row>
    <row r="3304" x14ac:dyDescent="0.25">
      <c r="P3304" s="93"/>
      <c r="Q3304" s="109"/>
      <c r="R3304" t="str">
        <f>$Q$3222</f>
        <v>L3</v>
      </c>
      <c r="S3304">
        <f>$E$22</f>
        <v>21.375</v>
      </c>
      <c r="T3304" cm="1">
        <f t="array" ref="T3304">IFERROR(IF(S3304=0,0,(INDEX($C$33:$C$38,MATCH($W$3239,$B$33:$B$38,0),0)*(S3307+$X$3239)+$T$3239*COUNTIF(S3304:S3306,"&gt;0")*$C$32+$V$3239*$C$31)*$R$3239),0)</f>
        <v>0</v>
      </c>
      <c r="U3304">
        <f>IF(S3304=0,0,-(COUNTIF(S3304:S3306,"&gt;0")*$T$3239*$C$32+$V$3239*$C$31)*$H$27*$R$3239)</f>
        <v>0</v>
      </c>
      <c r="V3304">
        <f>IF(S3304=0,0,$V$3239*$H$26*$R$3239)</f>
        <v>0</v>
      </c>
      <c r="W3304">
        <f>(0.6*T3304+0.7*U3304)*$R$3239/2</f>
        <v>0</v>
      </c>
      <c r="X3304">
        <f>T3304*$R$3239/2</f>
        <v>0</v>
      </c>
      <c r="Z3304">
        <f>IF(S3304=0,0,$AD$3239*$AP$3222)</f>
        <v>0</v>
      </c>
      <c r="AA3304">
        <f>IFERROR(Z3304/$R$3239,0)</f>
        <v>0</v>
      </c>
      <c r="AB3304">
        <f>Z3304*($F$22+IF($F$22=0,0,($C$14+$C$15+IF($C$13="single",1.5,3)+3)/12))</f>
        <v>0</v>
      </c>
      <c r="AC3304">
        <f>AB3304-W3304</f>
        <v>0</v>
      </c>
      <c r="AD3304" cm="1">
        <f t="array" ref="AD3304">IFERROR(IF(AC3304&lt;0,0,AC3304/($R$3239-INDEX(hd_off,MATCH(AQ3304,hd_mark,0),0)/12)),0)</f>
        <v>0</v>
      </c>
      <c r="AE3304">
        <f>IF(S3304=0,0,$AD$3239*$AM$3222)</f>
        <v>0</v>
      </c>
      <c r="AF3304">
        <f>IFERROR(AE3304/$R$3239,0)</f>
        <v>0</v>
      </c>
      <c r="AG3304">
        <f>AE3304*($F$22+IF($F$22=0,0,($C$14+$C$15+IF($C$13="single",1.5,3)+3)/12))</f>
        <v>0</v>
      </c>
      <c r="AH3304">
        <f>AG3304-X3304</f>
        <v>0</v>
      </c>
      <c r="AI3304" cm="1">
        <f t="array" ref="AI3304">IFERROR(IF(AH3304&lt;0,0,AH3304/($R$3239-INDEX(hd_off,MATCH(AQ3304,hd_mark,0),0)/12)),0)</f>
        <v>0</v>
      </c>
      <c r="AJ3304">
        <f>MAX($F$22,$Z$3239)/$Q$3252</f>
        <v>0.30172413793103448</v>
      </c>
      <c r="AK3304">
        <f t="shared" ref="AK3304:AK3307" si="2039">IF(AJ3304=0,0,IF(AJ3304&gt;2,1.25-0.125*AJ3304,1))</f>
        <v>1</v>
      </c>
      <c r="AL3304" cm="1">
        <f t="array" ref="AL3304">IFERROR(INDEX(sheath_ecap_asd,MATCH(AP3304,sheath_mark,0),0)*AK3304,0)</f>
        <v>0</v>
      </c>
      <c r="AM3304" cm="1">
        <f t="array" ref="AM3304">IFERROR(INDEX(sheath_wcap_asd,MATCH(AP3304,sheath_mark,0),0)*AK3304,0)</f>
        <v>0</v>
      </c>
      <c r="AN3304" cm="1">
        <f t="array" ref="AN3304">IFERROR(INDEX(hd_cap,MATCH(AQ3304,hd_mark,0),0),0)</f>
        <v>0</v>
      </c>
      <c r="AP3304" s="19"/>
      <c r="AQ3304" s="19"/>
      <c r="AR3304" s="100"/>
      <c r="AS3304" s="93"/>
      <c r="AT3304" s="109"/>
      <c r="AU3304" t="str">
        <f>$Q$3222</f>
        <v>L3</v>
      </c>
      <c r="AV3304">
        <f>$E$22</f>
        <v>21.375</v>
      </c>
      <c r="AW3304" cm="1">
        <f t="array" ref="AW3304">IFERROR(IF(AV3304=0,0,(INDEX($C$33:$C$38,MATCH($AZ$3239,$B$33:$B$38,0),0)*(AV3307+$BA$3239)+$AW$3239*COUNTIF(AV3304:AV3306,"&gt;0")*$C$32+$AY$3239*$C$31)*$AU$3239),0)</f>
        <v>0</v>
      </c>
      <c r="AX3304">
        <f>IF(AV3304=0,0,-(COUNTIF(AV3304:AV3306,"&gt;0")*$AW$3239*$C$32+$AY$3239*$C$31)*$H$27*$AU$3239)</f>
        <v>0</v>
      </c>
      <c r="AY3304">
        <f>IF(AV3304=0,0,$AY$3239*$H$26*$AU$3239)</f>
        <v>0</v>
      </c>
      <c r="AZ3304">
        <f>(0.6*AW3304+0.7*AX3304)*$AU$3239/2</f>
        <v>0</v>
      </c>
      <c r="BA3304">
        <f>AW3304*$AU$3239/2</f>
        <v>0</v>
      </c>
      <c r="BC3304">
        <f>IF(AV3304=0,0,$BG$3239*$AP$3222)</f>
        <v>0</v>
      </c>
      <c r="BD3304">
        <f>IFERROR(BC3304/$AU$3239,0)</f>
        <v>0</v>
      </c>
      <c r="BE3304">
        <f>BC3304*($F$22+IF($F$22=0,0,($C$14+$C$15+IF($C$13="single",1.5,3)+3)/12))</f>
        <v>0</v>
      </c>
      <c r="BF3304">
        <f>BE3304-AZ3304</f>
        <v>0</v>
      </c>
      <c r="BG3304" cm="1">
        <f t="array" ref="BG3304">IFERROR(IF(BF3304&lt;0,0,BF3304/($AU$3239-INDEX(hd_off,MATCH(BT3304,hd_mark,0),0)/12)),0)</f>
        <v>0</v>
      </c>
      <c r="BH3304">
        <f>IF(AV3304=0,0,$BG$3239*$AM$3222)</f>
        <v>0</v>
      </c>
      <c r="BI3304">
        <f>IFERROR(BH3304/$AU$3239,0)</f>
        <v>0</v>
      </c>
      <c r="BJ3304">
        <f>BH3304*($F$22+IF($F$22=0,0,($C$14+$C$15+IF($C$13="single",1.5,3)+3)/12))</f>
        <v>0</v>
      </c>
      <c r="BK3304">
        <f>BJ3304-BA3304</f>
        <v>0</v>
      </c>
      <c r="BL3304" cm="1">
        <f t="array" ref="BL3304">IFERROR(IF(BK3304&lt;0,0,BK3304/($AU$3239-INDEX(hd_off,MATCH(BT3304,hd_mark,0),0)/12)),0)</f>
        <v>0</v>
      </c>
      <c r="BM3304">
        <f>MAX($F$22,$BC$3239)/$Q$3252</f>
        <v>0.30172413793103448</v>
      </c>
      <c r="BN3304">
        <f t="shared" ref="BN3304:BN3307" si="2040">IF(BM3304=0,0,IF(BM3304&gt;2,1.25-0.125*BM3304,1))</f>
        <v>1</v>
      </c>
      <c r="BO3304" cm="1">
        <f t="array" ref="BO3304">IFERROR(INDEX(sheath_ecap_asd,MATCH(BS3304,sheath_mark,0),0)*BN3304,0)</f>
        <v>0</v>
      </c>
      <c r="BP3304" cm="1">
        <f t="array" ref="BP3304">IFERROR(INDEX(sheath_wcap_asd,MATCH(BS3304,sheath_mark,0),0)*BN3304,0)</f>
        <v>0</v>
      </c>
      <c r="BQ3304" cm="1">
        <f t="array" ref="BQ3304">IFERROR(INDEX(hd_cap,MATCH(BT3304,hd_mark,0),0),0)</f>
        <v>0</v>
      </c>
      <c r="BS3304" s="19"/>
      <c r="BT3304" s="19"/>
      <c r="BU3304" s="100"/>
    </row>
    <row r="3305" x14ac:dyDescent="0.25">
      <c r="P3305" s="93"/>
      <c r="Q3305" s="109" t="s">
        <v>491</v>
      </c>
      <c r="R3305" t="str">
        <f>$Q$3223</f>
        <v>L4</v>
      </c>
      <c r="S3305">
        <f>$E$23</f>
        <v>0</v>
      </c>
      <c r="T3305" cm="1">
        <f t="array" ref="T3305">IFERROR(IF(S3305=0,0,(INDEX($C$33:$C$38,MATCH($W$3239,$B$33:$B$38,0),0)*(S3307+$X$3239)+$T$3239*COUNTIF(S3305:S3306,"&gt;0")*$C$32+$V$3239*$C$31)*$R$3239),0)</f>
        <v>0</v>
      </c>
      <c r="U3305">
        <f>IF(S3305=0,0,-(COUNTIF(S3305:S3306,"&gt;0")*$T$3239*$C$32+$V$3239*$C$31)*$H$27*$R$3239)</f>
        <v>0</v>
      </c>
      <c r="V3305">
        <f>IF(S3305=0,0,$V$3239*$H$26*$R$3239)</f>
        <v>0</v>
      </c>
      <c r="W3305">
        <f>(0.6*T3305+0.7*U3305)*$R$3239/2</f>
        <v>0</v>
      </c>
      <c r="X3305">
        <f>T3305*$R$3239/2</f>
        <v>0</v>
      </c>
      <c r="Z3305">
        <f>IF(S3305=0,0,$AD$3239*$AP$3223)</f>
        <v>0</v>
      </c>
      <c r="AA3305">
        <f>IFERROR(Z3305/$R$3239,0)</f>
        <v>0</v>
      </c>
      <c r="AB3305">
        <f>Z3305*($F$23+IF($F$23=0,0,($C$14+$C$15+IF($C$13="single",1.5,3)+3)/12))</f>
        <v>0</v>
      </c>
      <c r="AC3305">
        <f>AB3305-W3305</f>
        <v>0</v>
      </c>
      <c r="AD3305" cm="1">
        <f t="array" ref="AD3305">IFERROR(IF(AC3305&lt;0,0,AC3305/($R$3239-INDEX(hd_off,MATCH(AQ3305,hd_mark,0),0)/12)),0)</f>
        <v>0</v>
      </c>
      <c r="AE3305">
        <f>IF(S3305=0,0,$AD$3239*$AM$3223)</f>
        <v>0</v>
      </c>
      <c r="AF3305">
        <f>IFERROR(AE3305/$R$3239,0)</f>
        <v>0</v>
      </c>
      <c r="AG3305">
        <f>AE3305*($F$23+IF($F$23=0,0,($C$14+$C$15+IF($C$13="single",1.5,3)+3)/12))</f>
        <v>0</v>
      </c>
      <c r="AH3305">
        <f>AG3305-X3305</f>
        <v>0</v>
      </c>
      <c r="AI3305" cm="1">
        <f t="array" ref="AI3305">IFERROR(IF(AH3305&lt;0,0,AH3305/($R$3239-INDEX(hd_off,MATCH(AQ3305,hd_mark,0),0)/12)),0)</f>
        <v>0</v>
      </c>
      <c r="AJ3305">
        <f>MAX($F$23,$AA$3239)/$Q$3252</f>
        <v>0</v>
      </c>
      <c r="AK3305">
        <f t="shared" si="2039"/>
        <v>0</v>
      </c>
      <c r="AL3305" cm="1">
        <f t="array" ref="AL3305">IFERROR(INDEX(sheath_ecap_asd,MATCH(AP3305,sheath_mark,0),0)*AK3305,0)</f>
        <v>0</v>
      </c>
      <c r="AM3305" cm="1">
        <f t="array" ref="AM3305">IFERROR(INDEX(sheath_wcap_asd,MATCH(AP3305,sheath_mark,0),0)*AK3305,0)</f>
        <v>0</v>
      </c>
      <c r="AN3305" cm="1">
        <f t="array" ref="AN3305">IFERROR(INDEX(hd_cap,MATCH(AQ3305,hd_mark,0),0),0)</f>
        <v>0</v>
      </c>
      <c r="AP3305" s="19"/>
      <c r="AQ3305" s="19"/>
      <c r="AR3305" s="100"/>
      <c r="AS3305" s="93"/>
      <c r="AT3305" s="109" t="s">
        <v>491</v>
      </c>
      <c r="AU3305" t="str">
        <f>$Q$3223</f>
        <v>L4</v>
      </c>
      <c r="AV3305">
        <f>$E$23</f>
        <v>0</v>
      </c>
      <c r="AW3305" cm="1">
        <f t="array" ref="AW3305">IFERROR(IF(AV3305=0,0,(INDEX($C$33:$C$38,MATCH($AZ$3239,$B$33:$B$38,0),0)*(AV3307+$BA$3239)+$AW$3239*COUNTIF(AV3305:AV3306,"&gt;0")*$C$32+$AY$3239*$C$31)*$AU$3239),0)</f>
        <v>0</v>
      </c>
      <c r="AX3305">
        <f>IF(AV3305=0,0,-(COUNTIF(AV3305:AV3306,"&gt;0")*$AW$3239*$C$32+$AY$3239*$C$31)*$H$27*$AU$3239)</f>
        <v>0</v>
      </c>
      <c r="AY3305">
        <f>IF(AV3305=0,0,$AY$3239*$H$26*$AU$3239)</f>
        <v>0</v>
      </c>
      <c r="AZ3305">
        <f>(0.6*AW3305+0.7*AX3305)*$AU$3239/2</f>
        <v>0</v>
      </c>
      <c r="BA3305">
        <f>AW3305*$AU$3239/2</f>
        <v>0</v>
      </c>
      <c r="BC3305">
        <f>IF(AV3305=0,0,$BG$3239*$AP$3223)</f>
        <v>0</v>
      </c>
      <c r="BD3305">
        <f>IFERROR(BC3305/$AU$3239,0)</f>
        <v>0</v>
      </c>
      <c r="BE3305">
        <f>BC3305*($F$23+IF($F$23=0,0,($C$14+$C$15+IF($C$13="single",1.5,3)+3)/12))</f>
        <v>0</v>
      </c>
      <c r="BF3305">
        <f>BE3305-AZ3305</f>
        <v>0</v>
      </c>
      <c r="BG3305" cm="1">
        <f t="array" ref="BG3305">IFERROR(IF(BF3305&lt;0,0,BF3305/($AU$3239-INDEX(hd_off,MATCH(BT3305,hd_mark,0),0)/12)),0)</f>
        <v>0</v>
      </c>
      <c r="BH3305">
        <f>IF(AV3305=0,0,$BG$3239*$AM$3223)</f>
        <v>0</v>
      </c>
      <c r="BI3305">
        <f>IFERROR(BH3305/$AU$3239,0)</f>
        <v>0</v>
      </c>
      <c r="BJ3305">
        <f>BH3305*($F$23+IF($F$23=0,0,($C$14+$C$15+IF($C$13="single",1.5,3)+3)/12))</f>
        <v>0</v>
      </c>
      <c r="BK3305">
        <f>BJ3305-BA3305</f>
        <v>0</v>
      </c>
      <c r="BL3305" cm="1">
        <f t="array" ref="BL3305">IFERROR(IF(BK3305&lt;0,0,BK3305/($AU$3239-INDEX(hd_off,MATCH(BT3305,hd_mark,0),0)/12)),0)</f>
        <v>0</v>
      </c>
      <c r="BM3305">
        <f>MAX($F$23,$BD$3239)/$Q$3252</f>
        <v>0</v>
      </c>
      <c r="BN3305">
        <f t="shared" si="2040"/>
        <v>0</v>
      </c>
      <c r="BO3305" cm="1">
        <f t="array" ref="BO3305">IFERROR(INDEX(sheath_ecap_asd,MATCH(BS3305,sheath_mark,0),0)*BN3305,0)</f>
        <v>0</v>
      </c>
      <c r="BP3305" cm="1">
        <f t="array" ref="BP3305">IFERROR(INDEX(sheath_wcap_asd,MATCH(BS3305,sheath_mark,0),0)*BN3305,0)</f>
        <v>0</v>
      </c>
      <c r="BQ3305" cm="1">
        <f t="array" ref="BQ3305">IFERROR(INDEX(hd_cap,MATCH(BT3305,hd_mark,0),0),0)</f>
        <v>0</v>
      </c>
      <c r="BS3305" s="19"/>
      <c r="BT3305" s="19"/>
      <c r="BU3305" s="100"/>
    </row>
    <row r="3306" x14ac:dyDescent="0.25">
      <c r="P3306" s="93"/>
      <c r="Q3306" s="111">
        <f>$R$3239</f>
        <v>0</v>
      </c>
      <c r="R3306" t="str">
        <f>$Q$3224</f>
        <v>L5</v>
      </c>
      <c r="S3306">
        <f>$E$24</f>
        <v>0</v>
      </c>
      <c r="T3306" cm="1">
        <f t="array" ref="T3306">IFERROR(IF(S3306=0,0,(INDEX($C$33:$C$38,MATCH($W$3239,$B$33:$B$38,0),0)*(S3307+$X$3239)+$T$3239*COUNTIF(S3306:S3306,"&gt;0")*$C$32+$V$3239*$C$31)*$R$3239),0)</f>
        <v>0</v>
      </c>
      <c r="U3306">
        <f>IF(S3306=0,0,-(COUNTIF(S3306:S3306,"&gt;0")*$T$3239*$C$32+$V$3239*$C$31)*$H$27*$R$3239)</f>
        <v>0</v>
      </c>
      <c r="V3306">
        <f>IF(S3306=0,0,$V$3239*$H$26*$R$3239)</f>
        <v>0</v>
      </c>
      <c r="W3306">
        <f>(0.6*T3306+0.7*U3306)*$R$3239/2</f>
        <v>0</v>
      </c>
      <c r="X3306">
        <f>T3306*$R$3239/2</f>
        <v>0</v>
      </c>
      <c r="Z3306">
        <f>IF(S3306=0,0,$AD$3239*$AP$3224)</f>
        <v>0</v>
      </c>
      <c r="AA3306">
        <f>IFERROR(Z3306/$R$3239,0)</f>
        <v>0</v>
      </c>
      <c r="AB3306">
        <f>Z3306*($F$24+IF($F$24=0,0,($C$14+$C$15+IF($C$13="single",1.5,3)+3)/12))</f>
        <v>0</v>
      </c>
      <c r="AC3306">
        <f>AB3306-W3306</f>
        <v>0</v>
      </c>
      <c r="AD3306" cm="1">
        <f t="array" ref="AD3306">IFERROR(IF(AC3306&lt;0,0,AC3306/($R$3239-INDEX(hd_off,MATCH(AQ3306,hd_mark,0),0)/12)),0)</f>
        <v>0</v>
      </c>
      <c r="AE3306">
        <f>IF(S3306=0,0,$AD$3239*$AM$3224)</f>
        <v>0</v>
      </c>
      <c r="AF3306">
        <f>IFERROR(AE3306/$R$3239,0)</f>
        <v>0</v>
      </c>
      <c r="AG3306">
        <f>AE3306*($F$24+IF($F$24=0,0,($C$14+$C$15+IF($C$13="single",1.5,3)+3)/12))</f>
        <v>0</v>
      </c>
      <c r="AH3306">
        <f>AG3306-X3306</f>
        <v>0</v>
      </c>
      <c r="AI3306" cm="1">
        <f t="array" ref="AI3306">IFERROR(IF(AH3306&lt;0,0,AH3306/($R$3239-INDEX(hd_off,MATCH(AQ3306,hd_mark,0),0)/12)),0)</f>
        <v>0</v>
      </c>
      <c r="AJ3306">
        <f>MAX($F$24,$AB$3239)/$Q$3252</f>
        <v>0</v>
      </c>
      <c r="AK3306">
        <f t="shared" si="2039"/>
        <v>0</v>
      </c>
      <c r="AL3306" cm="1">
        <f t="array" ref="AL3306">IFERROR(INDEX(sheath_ecap_asd,MATCH(AP3306,sheath_mark,0),0)*AK3306,0)</f>
        <v>0</v>
      </c>
      <c r="AM3306" cm="1">
        <f t="array" ref="AM3306">IFERROR(INDEX(sheath_wcap_asd,MATCH(AP3306,sheath_mark,0),0)*AK3306,0)</f>
        <v>0</v>
      </c>
      <c r="AN3306" cm="1">
        <f t="array" ref="AN3306">IFERROR(INDEX(hd_cap,MATCH(AQ3306,hd_mark,0),0),0)</f>
        <v>0</v>
      </c>
      <c r="AP3306" s="19"/>
      <c r="AQ3306" s="19"/>
      <c r="AR3306" s="100"/>
      <c r="AS3306" s="93"/>
      <c r="AT3306" s="111">
        <f>$R$3239</f>
        <v>0</v>
      </c>
      <c r="AU3306" t="str">
        <f>$Q$3224</f>
        <v>L5</v>
      </c>
      <c r="AV3306">
        <f>$E$24</f>
        <v>0</v>
      </c>
      <c r="AW3306" cm="1">
        <f t="array" ref="AW3306">IFERROR(IF(AV3306=0,0,(INDEX($C$33:$C$38,MATCH($AZ$3239,$B$33:$B$38,0),0)*(AV3307+$BA$3239)+$AW$3239*COUNTIF(AV3306:AV3306,"&gt;0")*$C$32+$AY$3239*$C$31)*$AU$3239),0)</f>
        <v>0</v>
      </c>
      <c r="AX3306">
        <f>IF(AV3306=0,0,-(COUNTIF(AV3306:AV3306,"&gt;0")*$AW$3239*$C$32+$AY$3239*$C$31)*$H$27*$AU$3239)</f>
        <v>0</v>
      </c>
      <c r="AY3306">
        <f>IF(AV3306=0,0,$AY$3239*$H$26*$AU$3239)</f>
        <v>0</v>
      </c>
      <c r="AZ3306">
        <f>(0.6*AW3306+0.7*AX3306)*$AU$3239/2</f>
        <v>0</v>
      </c>
      <c r="BA3306">
        <f>AW3306*$AU$3239/2</f>
        <v>0</v>
      </c>
      <c r="BC3306">
        <f>IF(AV3306=0,0,$BG$3239*$AP$3224)</f>
        <v>0</v>
      </c>
      <c r="BD3306">
        <f>IFERROR(BC3306/$AU$3239,0)</f>
        <v>0</v>
      </c>
      <c r="BE3306">
        <f>BC3306*($F$24+IF($F$24=0,0,($C$14+$C$15+IF($C$13="single",1.5,3)+3)/12))</f>
        <v>0</v>
      </c>
      <c r="BF3306">
        <f>BE3306-AZ3306</f>
        <v>0</v>
      </c>
      <c r="BG3306" cm="1">
        <f t="array" ref="BG3306">IFERROR(IF(BF3306&lt;0,0,BF3306/($AU$3239-INDEX(hd_off,MATCH(BT3306,hd_mark,0),0)/12)),0)</f>
        <v>0</v>
      </c>
      <c r="BH3306">
        <f>IF(AV3306=0,0,$BG$3239*$AM$3224)</f>
        <v>0</v>
      </c>
      <c r="BI3306">
        <f>IFERROR(BH3306/$AU$3239,0)</f>
        <v>0</v>
      </c>
      <c r="BJ3306">
        <f>BH3306*($F$24+IF($F$24=0,0,($C$14+$C$15+IF($C$13="single",1.5,3)+3)/12))</f>
        <v>0</v>
      </c>
      <c r="BK3306">
        <f>BJ3306-BA3306</f>
        <v>0</v>
      </c>
      <c r="BL3306" cm="1">
        <f t="array" ref="BL3306">IFERROR(IF(BK3306&lt;0,0,BK3306/($AU$3239-INDEX(hd_off,MATCH(BT3306,hd_mark,0),0)/12)),0)</f>
        <v>0</v>
      </c>
      <c r="BM3306">
        <f>MAX($F$24,$BE$3239)/$Q$3252</f>
        <v>0</v>
      </c>
      <c r="BN3306">
        <f t="shared" si="2040"/>
        <v>0</v>
      </c>
      <c r="BO3306" cm="1">
        <f t="array" ref="BO3306">IFERROR(INDEX(sheath_ecap_asd,MATCH(BS3306,sheath_mark,0),0)*BN3306,0)</f>
        <v>0</v>
      </c>
      <c r="BP3306" cm="1">
        <f t="array" ref="BP3306">IFERROR(INDEX(sheath_wcap_asd,MATCH(BS3306,sheath_mark,0),0)*BN3306,0)</f>
        <v>0</v>
      </c>
      <c r="BQ3306" cm="1">
        <f t="array" ref="BQ3306">IFERROR(INDEX(hd_cap,MATCH(BT3306,hd_mark,0),0),0)</f>
        <v>0</v>
      </c>
      <c r="BS3306" s="19"/>
      <c r="BT3306" s="19"/>
      <c r="BU3306" s="100"/>
    </row>
    <row r="3307" x14ac:dyDescent="0.25">
      <c r="P3307" s="93"/>
      <c r="Q3307" s="109"/>
      <c r="R3307" t="str">
        <f>$Q$3225</f>
        <v>Roof</v>
      </c>
      <c r="S3307">
        <f>$E$25</f>
        <v>33.171875</v>
      </c>
      <c r="T3307" cm="1">
        <f t="array" ref="T3307">IFERROR(IF(S3307=0,0,(INDEX($C$33:$C$38,MATCH($W$3239,$B$33:$B$38,0),0)*(S3307+$X$3239)+$V$3239*$C$31)*$R$3239),0)</f>
        <v>0</v>
      </c>
      <c r="U3307">
        <f>IF(S3307=0,0,-$V$3239*$C$31*$H$27*$R$3239)</f>
        <v>0</v>
      </c>
      <c r="V3307">
        <f>IF(S3307=0,0,$V$3239*$H$26*$R$3239)</f>
        <v>0</v>
      </c>
      <c r="W3307">
        <f>(0.6*T3307+0.7*U3307)*$R$3239/2</f>
        <v>0</v>
      </c>
      <c r="X3307">
        <f>T3307*$R$3239/2</f>
        <v>0</v>
      </c>
      <c r="Z3307">
        <f>IF(S3307=0,0,$AD$3239*$AP$3225)</f>
        <v>0</v>
      </c>
      <c r="AA3307">
        <f>IFERROR(Z3307/$R$3239,0)</f>
        <v>0</v>
      </c>
      <c r="AB3307">
        <f>Z3307*($F$25+($C$16+$C$17+IF($C$13="single",1.5,3)+3)/12)</f>
        <v>0</v>
      </c>
      <c r="AC3307">
        <f>AB3307-W3307</f>
        <v>0</v>
      </c>
      <c r="AD3307" cm="1">
        <f t="array" ref="AD3307">IFERROR(IF(AC3307&lt;0,0,AC3307/($R$3239-INDEX(hd_off,MATCH(AQ3307,hd_mark,0),0)/12)),0)</f>
        <v>0</v>
      </c>
      <c r="AE3307">
        <f>IF(S3307=0,0,$AD$3239*$AM$3225)</f>
        <v>0</v>
      </c>
      <c r="AF3307">
        <f>IFERROR(AE3307/$R$3239,0)</f>
        <v>0</v>
      </c>
      <c r="AG3307">
        <f>AE3307*($F$25+($C$16+$C$17+IF($C$13="single",1.5,3)+3)/12)</f>
        <v>0</v>
      </c>
      <c r="AH3307">
        <f>AG3307-X3307</f>
        <v>0</v>
      </c>
      <c r="AI3307" cm="1">
        <f t="array" ref="AI3307">IFERROR(IF(AH3307&lt;0,0,AH3307/($R$3239-INDEX(hd_off,MATCH(AQ3307,hd_mark,0),0)/12)),0)</f>
        <v>0</v>
      </c>
      <c r="AJ3307">
        <f>MAX($F$25,$AC$3239)/$Q$3252</f>
        <v>0.29920977011494249</v>
      </c>
      <c r="AK3307">
        <f t="shared" si="2039"/>
        <v>1</v>
      </c>
      <c r="AL3307" cm="1">
        <f t="array" ref="AL3307">IFERROR(INDEX(sheath_ecap_asd,MATCH(AP3307,sheath_mark,0),0)*AK3307,0)</f>
        <v>0</v>
      </c>
      <c r="AM3307" cm="1">
        <f t="array" ref="AM3307">IFERROR(INDEX(sheath_wcap_asd,MATCH(AP3307,sheath_mark,0),0)*AK3307,0)</f>
        <v>0</v>
      </c>
      <c r="AN3307" cm="1">
        <f t="array" ref="AN3307">IFERROR(INDEX(hd_cap,MATCH(AQ3307,hd_mark,0),0),0)</f>
        <v>0</v>
      </c>
      <c r="AP3307" s="19"/>
      <c r="AQ3307" s="19"/>
      <c r="AR3307" s="100"/>
      <c r="AS3307" s="93"/>
      <c r="AT3307" s="109"/>
      <c r="AU3307" t="str">
        <f>$Q$3225</f>
        <v>Roof</v>
      </c>
      <c r="AV3307">
        <f>$E$25</f>
        <v>33.171875</v>
      </c>
      <c r="AW3307" cm="1">
        <f t="array" ref="AW3307">IFERROR(IF(AV3307=0,0,(INDEX($C$33:$C$38,MATCH($AZ$3239,$B$33:$B$38,0),0)*(AV3307+$BA$3239)+$AY$3239*$C$31)*$AU$3239),0)</f>
        <v>0</v>
      </c>
      <c r="AX3307">
        <f>IF(AV3307=0,0,-$AY$3239*$C$31*$H$27*$AU$3239)</f>
        <v>0</v>
      </c>
      <c r="AY3307">
        <f>IF(AV3307=0,0,$AY$3239*$H$26*$AU$3239)</f>
        <v>0</v>
      </c>
      <c r="AZ3307">
        <f>(0.6*AW3307+0.7*AX3307)*$AU$3239/2</f>
        <v>0</v>
      </c>
      <c r="BA3307">
        <f>AW3307*$AU$3239/2</f>
        <v>0</v>
      </c>
      <c r="BC3307">
        <f>IF(AV3307=0,0,$BG$3239*$AP$3225)</f>
        <v>0</v>
      </c>
      <c r="BD3307">
        <f>IFERROR(BC3307/$AU$3239,0)</f>
        <v>0</v>
      </c>
      <c r="BE3307">
        <f>BC3307*($F$25+($C$16+$C$17+IF($C$13="single",1.5,3)+3)/12)</f>
        <v>0</v>
      </c>
      <c r="BF3307">
        <f>BE3307-AZ3307</f>
        <v>0</v>
      </c>
      <c r="BG3307" cm="1">
        <f t="array" ref="BG3307">IFERROR(IF(BF3307&lt;0,0,BF3307/($AU$3239-INDEX(hd_off,MATCH(BT3307,hd_mark,0),0)/12)),0)</f>
        <v>0</v>
      </c>
      <c r="BH3307">
        <f>IF(AV3307=0,0,$BG$3239*$AM$3225)</f>
        <v>0</v>
      </c>
      <c r="BI3307">
        <f>IFERROR(BH3307/$AU$3239,0)</f>
        <v>0</v>
      </c>
      <c r="BJ3307">
        <f>BH3307*($F$25+($C$16+$C$17+IF($C$13="single",1.5,3)+3)/12)</f>
        <v>0</v>
      </c>
      <c r="BK3307">
        <f>BJ3307-BA3307</f>
        <v>0</v>
      </c>
      <c r="BL3307" cm="1">
        <f t="array" ref="BL3307">IFERROR(IF(BK3307&lt;0,0,BK3307/($AU$3239-INDEX(hd_off,MATCH(BT3307,hd_mark,0),0)/12)),0)</f>
        <v>0</v>
      </c>
      <c r="BM3307">
        <f>MAX($F$25,$BF$3239)/$Q$3252</f>
        <v>0.29920977011494249</v>
      </c>
      <c r="BN3307">
        <f t="shared" si="2040"/>
        <v>1</v>
      </c>
      <c r="BO3307" cm="1">
        <f t="array" ref="BO3307">IFERROR(INDEX(sheath_ecap_asd,MATCH(BS3307,sheath_mark,0),0)*BN3307,0)</f>
        <v>0</v>
      </c>
      <c r="BP3307" cm="1">
        <f t="array" ref="BP3307">IFERROR(INDEX(sheath_wcap_asd,MATCH(BS3307,sheath_mark,0),0)*BN3307,0)</f>
        <v>0</v>
      </c>
      <c r="BQ3307" cm="1">
        <f t="array" ref="BQ3307">IFERROR(INDEX(hd_cap,MATCH(BT3307,hd_mark,0),0),0)</f>
        <v>0</v>
      </c>
      <c r="BS3307" s="19"/>
      <c r="BT3307" s="19"/>
      <c r="BU3307" s="100"/>
    </row>
    <row r="3308" x14ac:dyDescent="0.25">
      <c r="P3308" s="93"/>
      <c r="AR3308" s="100"/>
      <c r="AS3308" s="93"/>
      <c r="BU3308" s="100"/>
    </row>
    <row r="3309" x14ac:dyDescent="0.25">
      <c r="P3309" s="93"/>
      <c r="Q3309" s="110" t="str">
        <f>$Q$3240</f>
        <v>A.11</v>
      </c>
      <c r="R3309" t="str">
        <f>$Q$3221</f>
        <v>L2</v>
      </c>
      <c r="S3309">
        <f>$E$21</f>
        <v>10.6875</v>
      </c>
      <c r="T3309" cm="1">
        <f t="array" ref="T3309">IFERROR(IF(S3309=0,0,(INDEX($C$33:$C$38,MATCH($W$3240,$B$33:$B$38,0),0)*(S3313+$X$3240)+$T$3240*COUNTIF(S3309:S3312,"&gt;0")*$C$32+$V$3240*$C$31)*$R$3240),0)</f>
        <v>0</v>
      </c>
      <c r="U3309">
        <f>IF(S3309=0,0,-(COUNTIF(S3309:S3312,"&gt;0")*$T$3240*$C$32+$V$3240*$C$31)*$H$27*$R$3240)</f>
        <v>0</v>
      </c>
      <c r="V3309">
        <f>IF(S3309=0,0,$V$3240*$H$26*$R$3240)</f>
        <v>0</v>
      </c>
      <c r="W3309">
        <f>(0.6*T3309+0.7*U3309)*$R$3240/2</f>
        <v>0</v>
      </c>
      <c r="X3309">
        <f>(0.6*T3309+0.6*V3309)*$R$3240/2</f>
        <v>0</v>
      </c>
      <c r="Z3309">
        <f>IF(S3309=0,0,$AD$3240*$AP$3221)</f>
        <v>0</v>
      </c>
      <c r="AA3309">
        <f>IFERROR(Z3309/$R$3240,0)</f>
        <v>0</v>
      </c>
      <c r="AB3309">
        <f>Z3309*($F$21+IF($F$21=0,0,($C$14+$C$15+IF($C$13="single",1.5,3)+3)/12))</f>
        <v>0</v>
      </c>
      <c r="AC3309">
        <f>AB3309-W3309</f>
        <v>0</v>
      </c>
      <c r="AD3309" cm="1">
        <f t="array" ref="AD3309">IFERROR(IF(AC3309&lt;0,0,AC3309/($R$3240-INDEX(hd_off,MATCH(AQ3309,hd_mark,0),0)/12)),0)</f>
        <v>0</v>
      </c>
      <c r="AE3309">
        <f>IF(S3309=0,0,$AD$3240*$AM$3221)</f>
        <v>0</v>
      </c>
      <c r="AF3309">
        <f>IFERROR(AE3309/$R$3240,0)</f>
        <v>0</v>
      </c>
      <c r="AG3309">
        <f>AE3309*($F$21+IF($F$21=0,0,($C$14+$C$15+IF($C$13="single",1.5,3)+3)/12))</f>
        <v>0</v>
      </c>
      <c r="AH3309">
        <f>AG3309-X3309</f>
        <v>0</v>
      </c>
      <c r="AI3309" cm="1">
        <f t="array" ref="AI3309">IFERROR(IF(AH3309&lt;0,0,AH3309/($R$3240-INDEX(hd_off,MATCH(AQ3309,hd_mark,0),0)/12)),0)</f>
        <v>0</v>
      </c>
      <c r="AJ3309">
        <f>MAX($F$21,$Y$3240)/$Q$3252</f>
        <v>0.30172413793103448</v>
      </c>
      <c r="AK3309">
        <f>IF(AJ3309=0,0,IF(AJ3309&gt;2,1.25-0.125*AJ3309,1))</f>
        <v>1</v>
      </c>
      <c r="AL3309" cm="1">
        <f t="array" ref="AL3309">IFERROR(INDEX(sheath_ecap_asd,MATCH(AP3309,sheath_mark,0),0)*AK3309,0)</f>
        <v>0</v>
      </c>
      <c r="AM3309" cm="1">
        <f t="array" ref="AM3309">IFERROR(INDEX(sheath_wcap_asd,MATCH(AP3309,sheath_mark,0),0)*AK3309,0)</f>
        <v>0</v>
      </c>
      <c r="AN3309" cm="1">
        <f t="array" ref="AN3309">IFERROR(INDEX(hd_cap,MATCH(AQ3309,hd_mark,0),0),0)</f>
        <v>0</v>
      </c>
      <c r="AP3309" s="19"/>
      <c r="AQ3309" s="19"/>
      <c r="AR3309" s="100"/>
      <c r="AS3309" s="93"/>
      <c r="AT3309" s="110" t="str">
        <f>$AT$3240</f>
        <v>1.11</v>
      </c>
      <c r="AU3309" t="str">
        <f>$Q$3221</f>
        <v>L2</v>
      </c>
      <c r="AV3309">
        <f>$E$21</f>
        <v>10.6875</v>
      </c>
      <c r="AW3309" cm="1">
        <f t="array" ref="AW3309">IFERROR(IF(AV3309=0,0,(INDEX($C$33:$C$38,MATCH($AZ$3240,$B$33:$B$38,0),0)*(AV3313+$BA$3240)+$AW$3240*COUNTIF(AV3309:AV3312,"&gt;0")*$C$32+$AY$3240*$C$31)*$AU$3240),0)</f>
        <v>0</v>
      </c>
      <c r="AX3309">
        <f>IF(AV3309=0,0,-(COUNTIF(AV3309:AV3312,"&gt;0")*$AW$3240*$C$32+$AY$3240*$C$31)*$H$27*$AU$3240)</f>
        <v>0</v>
      </c>
      <c r="AY3309">
        <f>IF(AV3309=0,0,$AY$3240*$H$26*$AU$3240)</f>
        <v>0</v>
      </c>
      <c r="AZ3309">
        <f>(0.6*AW3309+0.7*AX3309)*$AU$3240/2</f>
        <v>0</v>
      </c>
      <c r="BA3309">
        <f>(0.6*AW3309+0.6*AY3309)*$AU$3240/2</f>
        <v>0</v>
      </c>
      <c r="BC3309">
        <f>IF(AV3309=0,0,$BG$3240*$AP$3221)</f>
        <v>0</v>
      </c>
      <c r="BD3309">
        <f>IFERROR(BC3309/$AU$3240,0)</f>
        <v>0</v>
      </c>
      <c r="BE3309">
        <f>BC3309*($F$21+IF($F$21=0,0,($C$14+$C$15+IF($C$13="single",1.5,3)+3)/12))</f>
        <v>0</v>
      </c>
      <c r="BF3309">
        <f>BE3309-AZ3309</f>
        <v>0</v>
      </c>
      <c r="BG3309" cm="1">
        <f t="array" ref="BG3309">IFERROR(IF(BF3309&lt;0,0,BF3309/($AU$3240-INDEX(hd_off,MATCH(BT3309,hd_mark,0),0)/12)),0)</f>
        <v>0</v>
      </c>
      <c r="BH3309">
        <f>IF(AV3309=0,0,$BG$3240*$AM$3221)</f>
        <v>0</v>
      </c>
      <c r="BI3309">
        <f>IFERROR(BH3309/$AU$3240,0)</f>
        <v>0</v>
      </c>
      <c r="BJ3309">
        <f>BH3309*($F$21+IF($F$21=0,0,($C$14+$C$15+IF($C$13="single",1.5,3)+3)/12))</f>
        <v>0</v>
      </c>
      <c r="BK3309">
        <f>BJ3309-BA3309</f>
        <v>0</v>
      </c>
      <c r="BL3309" cm="1">
        <f t="array" ref="BL3309">IFERROR(IF(BK3309&lt;0,0,BK3309/($AU$3240-INDEX(hd_off,MATCH(BT3309,hd_mark,0),0)/12)),0)</f>
        <v>0</v>
      </c>
      <c r="BM3309">
        <f>MAX($F$21,$BB$3240)/$Q$3252</f>
        <v>0.30172413793103448</v>
      </c>
      <c r="BN3309">
        <f>IF(BM3309=0,0,IF(BM3309&gt;2,1.25-0.125*BM3309,1))</f>
        <v>1</v>
      </c>
      <c r="BO3309" cm="1">
        <f t="array" ref="BO3309">IFERROR(INDEX(sheath_ecap_asd,MATCH(BS3309,sheath_mark,0),0)*BN3309,0)</f>
        <v>0</v>
      </c>
      <c r="BP3309" cm="1">
        <f t="array" ref="BP3309">IFERROR(INDEX(sheath_wcap_asd,MATCH(BS3309,sheath_mark,0),0)*BN3309,0)</f>
        <v>0</v>
      </c>
      <c r="BQ3309" cm="1">
        <f t="array" ref="BQ3309">IFERROR(INDEX(hd_cap,MATCH(BT3309,hd_mark,0),0),0)</f>
        <v>0</v>
      </c>
      <c r="BS3309" s="19"/>
      <c r="BT3309" s="19"/>
      <c r="BU3309" s="100"/>
    </row>
    <row r="3310" x14ac:dyDescent="0.25">
      <c r="P3310" s="93"/>
      <c r="Q3310" s="109"/>
      <c r="R3310" t="str">
        <f>$Q$3222</f>
        <v>L3</v>
      </c>
      <c r="S3310">
        <f>$E$22</f>
        <v>21.375</v>
      </c>
      <c r="T3310" cm="1">
        <f t="array" ref="T3310">IFERROR(IF(S3310=0,0,(INDEX($C$33:$C$38,MATCH($W$3240,$B$33:$B$38,0),0)*(S3313+$X$3240)+$T$3240*COUNTIF(S3310:S3312,"&gt;0")*$C$32+$V$3240*$C$31)*$R$3240),0)</f>
        <v>0</v>
      </c>
      <c r="U3310">
        <f>IF(S3310=0,0,-(COUNTIF(S3310:S3312,"&gt;0")*$T$3240*$C$32+$V$3240*$C$31)*$H$27*$R$3240)</f>
        <v>0</v>
      </c>
      <c r="V3310">
        <f>IF(S3310=0,0,$V$3240*$H$26*$R$3240)</f>
        <v>0</v>
      </c>
      <c r="W3310">
        <f>(0.6*T3310+0.7*U3310)*$R$3240/2</f>
        <v>0</v>
      </c>
      <c r="X3310">
        <f>T3310*$R$3240/2</f>
        <v>0</v>
      </c>
      <c r="Z3310">
        <f>IF(S3310=0,0,$AD$3240*$AP$3222)</f>
        <v>0</v>
      </c>
      <c r="AA3310">
        <f>IFERROR(Z3310/$R$3240,0)</f>
        <v>0</v>
      </c>
      <c r="AB3310">
        <f>Z3310*($F$22+IF($F$22=0,0,($C$14+$C$15+IF($C$13="single",1.5,3)+3)/12))</f>
        <v>0</v>
      </c>
      <c r="AC3310">
        <f>AB3310-W3310</f>
        <v>0</v>
      </c>
      <c r="AD3310" cm="1">
        <f t="array" ref="AD3310">IFERROR(IF(AC3310&lt;0,0,AC3310/($R$3240-INDEX(hd_off,MATCH(AQ3310,hd_mark,0),0)/12)),0)</f>
        <v>0</v>
      </c>
      <c r="AE3310">
        <f>IF(S3310=0,0,$AD$3240*$AM$3222)</f>
        <v>0</v>
      </c>
      <c r="AF3310">
        <f>IFERROR(AE3310/$R$3240,0)</f>
        <v>0</v>
      </c>
      <c r="AG3310">
        <f>AE3310*($F$22+IF($F$22=0,0,($C$14+$C$15+IF($C$13="single",1.5,3)+3)/12))</f>
        <v>0</v>
      </c>
      <c r="AH3310">
        <f>AG3310-X3310</f>
        <v>0</v>
      </c>
      <c r="AI3310" cm="1">
        <f t="array" ref="AI3310">IFERROR(IF(AH3310&lt;0,0,AH3310/($R$3240-INDEX(hd_off,MATCH(AQ3310,hd_mark,0),0)/12)),0)</f>
        <v>0</v>
      </c>
      <c r="AJ3310">
        <f>MAX($F$22,$Z$3240)/$Q$3252</f>
        <v>0.30172413793103448</v>
      </c>
      <c r="AK3310">
        <f t="shared" ref="AK3310:AK3313" si="2041">IF(AJ3310=0,0,IF(AJ3310&gt;2,1.25-0.125*AJ3310,1))</f>
        <v>1</v>
      </c>
      <c r="AL3310" cm="1">
        <f t="array" ref="AL3310">IFERROR(INDEX(sheath_ecap_asd,MATCH(AP3310,sheath_mark,0),0)*AK3310,0)</f>
        <v>0</v>
      </c>
      <c r="AM3310" cm="1">
        <f t="array" ref="AM3310">IFERROR(INDEX(sheath_wcap_asd,MATCH(AP3310,sheath_mark,0),0)*AK3310,0)</f>
        <v>0</v>
      </c>
      <c r="AN3310" cm="1">
        <f t="array" ref="AN3310">IFERROR(INDEX(hd_cap,MATCH(AQ3310,hd_mark,0),0),0)</f>
        <v>0</v>
      </c>
      <c r="AP3310" s="19"/>
      <c r="AQ3310" s="19"/>
      <c r="AR3310" s="100"/>
      <c r="AS3310" s="93"/>
      <c r="AT3310" s="109"/>
      <c r="AU3310" t="str">
        <f>$Q$3222</f>
        <v>L3</v>
      </c>
      <c r="AV3310">
        <f>$E$22</f>
        <v>21.375</v>
      </c>
      <c r="AW3310" cm="1">
        <f t="array" ref="AW3310">IFERROR(IF(AV3310=0,0,(INDEX($C$33:$C$38,MATCH($AZ$3240,$B$33:$B$38,0),0)*(AV3313+$BA$3240)+$AW$3240*COUNTIF(AV3310:AV3312,"&gt;0")*$C$32+$AY$3240*$C$31)*$AU$3240),0)</f>
        <v>0</v>
      </c>
      <c r="AX3310">
        <f>IF(AV3310=0,0,-(COUNTIF(AV3310:AV3312,"&gt;0")*$AW$3240*$C$32+$AY$3240*$C$31)*$H$27*$AU$3240)</f>
        <v>0</v>
      </c>
      <c r="AY3310">
        <f>IF(AV3310=0,0,$AY$3240*$H$26*$AU$3240)</f>
        <v>0</v>
      </c>
      <c r="AZ3310">
        <f>(0.6*AW3310+0.7*AX3310)*$AU$3240/2</f>
        <v>0</v>
      </c>
      <c r="BA3310">
        <f>AW3310*$AU$3240/2</f>
        <v>0</v>
      </c>
      <c r="BC3310">
        <f>IF(AV3310=0,0,$BG$3240*$AP$3222)</f>
        <v>0</v>
      </c>
      <c r="BD3310">
        <f>IFERROR(BC3310/$AU$3240,0)</f>
        <v>0</v>
      </c>
      <c r="BE3310">
        <f>BC3310*($F$22+IF($F$22=0,0,($C$14+$C$15+IF($C$13="single",1.5,3)+3)/12))</f>
        <v>0</v>
      </c>
      <c r="BF3310">
        <f>BE3310-AZ3310</f>
        <v>0</v>
      </c>
      <c r="BG3310" cm="1">
        <f t="array" ref="BG3310">IFERROR(IF(BF3310&lt;0,0,BF3310/($AU$3240-INDEX(hd_off,MATCH(BT3310,hd_mark,0),0)/12)),0)</f>
        <v>0</v>
      </c>
      <c r="BH3310">
        <f>IF(AV3310=0,0,$BG$3240*$AM$3222)</f>
        <v>0</v>
      </c>
      <c r="BI3310">
        <f>IFERROR(BH3310/$AU$3240,0)</f>
        <v>0</v>
      </c>
      <c r="BJ3310">
        <f>BH3310*($F$22+IF($F$22=0,0,($C$14+$C$15+IF($C$13="single",1.5,3)+3)/12))</f>
        <v>0</v>
      </c>
      <c r="BK3310">
        <f>BJ3310-BA3310</f>
        <v>0</v>
      </c>
      <c r="BL3310" cm="1">
        <f t="array" ref="BL3310">IFERROR(IF(BK3310&lt;0,0,BK3310/($AU$3240-INDEX(hd_off,MATCH(BT3310,hd_mark,0),0)/12)),0)</f>
        <v>0</v>
      </c>
      <c r="BM3310">
        <f>MAX($F$22,$BC$3240)/$Q$3252</f>
        <v>0.30172413793103448</v>
      </c>
      <c r="BN3310">
        <f t="shared" ref="BN3310:BN3313" si="2042">IF(BM3310=0,0,IF(BM3310&gt;2,1.25-0.125*BM3310,1))</f>
        <v>1</v>
      </c>
      <c r="BO3310" cm="1">
        <f t="array" ref="BO3310">IFERROR(INDEX(sheath_ecap_asd,MATCH(BS3310,sheath_mark,0),0)*BN3310,0)</f>
        <v>0</v>
      </c>
      <c r="BP3310" cm="1">
        <f t="array" ref="BP3310">IFERROR(INDEX(sheath_wcap_asd,MATCH(BS3310,sheath_mark,0),0)*BN3310,0)</f>
        <v>0</v>
      </c>
      <c r="BQ3310" cm="1">
        <f t="array" ref="BQ3310">IFERROR(INDEX(hd_cap,MATCH(BT3310,hd_mark,0),0),0)</f>
        <v>0</v>
      </c>
      <c r="BS3310" s="19"/>
      <c r="BT3310" s="19"/>
      <c r="BU3310" s="100"/>
    </row>
    <row r="3311" x14ac:dyDescent="0.25">
      <c r="P3311" s="93"/>
      <c r="Q3311" s="109" t="s">
        <v>491</v>
      </c>
      <c r="R3311" t="str">
        <f>$Q$3223</f>
        <v>L4</v>
      </c>
      <c r="S3311">
        <f>$E$23</f>
        <v>0</v>
      </c>
      <c r="T3311" cm="1">
        <f t="array" ref="T3311">IFERROR(IF(S3311=0,0,(INDEX($C$33:$C$38,MATCH($W$3240,$B$33:$B$38,0),0)*(S3313+$X$3240)+$T$3240*COUNTIF(S3311:S3312,"&gt;0")*$C$32+$V$3240*$C$31)*$R$3240),0)</f>
        <v>0</v>
      </c>
      <c r="U3311">
        <f>IF(S3311=0,0,-(COUNTIF(S3311:S3312,"&gt;0")*$T$3240*$C$32+$V$3240*$C$31)*$H$27*$R$3240)</f>
        <v>0</v>
      </c>
      <c r="V3311">
        <f>IF(S3311=0,0,$V$3240*$H$26*$R$3240)</f>
        <v>0</v>
      </c>
      <c r="W3311">
        <f>(0.6*T3311+0.7*U3311)*$R$3240/2</f>
        <v>0</v>
      </c>
      <c r="X3311">
        <f>T3311*$R$3240/2</f>
        <v>0</v>
      </c>
      <c r="Z3311">
        <f>IF(S3311=0,0,$AD$3240*$AP$3223)</f>
        <v>0</v>
      </c>
      <c r="AA3311">
        <f>IFERROR(Z3311/$R$3240,0)</f>
        <v>0</v>
      </c>
      <c r="AB3311">
        <f>Z3311*($F$23+IF($F$23=0,0,($C$14+$C$15+IF($C$13="single",1.5,3)+3)/12))</f>
        <v>0</v>
      </c>
      <c r="AC3311">
        <f>AB3311-W3311</f>
        <v>0</v>
      </c>
      <c r="AD3311" cm="1">
        <f t="array" ref="AD3311">IFERROR(IF(AC3311&lt;0,0,AC3311/($R$3240-INDEX(hd_off,MATCH(AQ3311,hd_mark,0),0)/12)),0)</f>
        <v>0</v>
      </c>
      <c r="AE3311">
        <f>IF(S3311=0,0,$AD$3240*$AM$3223)</f>
        <v>0</v>
      </c>
      <c r="AF3311">
        <f>IFERROR(AE3311/$R$3240,0)</f>
        <v>0</v>
      </c>
      <c r="AG3311">
        <f>AE3311*($F$23+IF($F$23=0,0,($C$14+$C$15+IF($C$13="single",1.5,3)+3)/12))</f>
        <v>0</v>
      </c>
      <c r="AH3311">
        <f>AG3311-X3311</f>
        <v>0</v>
      </c>
      <c r="AI3311" cm="1">
        <f t="array" ref="AI3311">IFERROR(IF(AH3311&lt;0,0,AH3311/($R$3240-INDEX(hd_off,MATCH(AQ3311,hd_mark,0),0)/12)),0)</f>
        <v>0</v>
      </c>
      <c r="AJ3311">
        <f>MAX($F$23,$AA$3240)/$Q$3252</f>
        <v>0</v>
      </c>
      <c r="AK3311">
        <f t="shared" si="2041"/>
        <v>0</v>
      </c>
      <c r="AL3311" cm="1">
        <f t="array" ref="AL3311">IFERROR(INDEX(sheath_ecap_asd,MATCH(AP3311,sheath_mark,0),0)*AK3311,0)</f>
        <v>0</v>
      </c>
      <c r="AM3311" cm="1">
        <f t="array" ref="AM3311">IFERROR(INDEX(sheath_wcap_asd,MATCH(AP3311,sheath_mark,0),0)*AK3311,0)</f>
        <v>0</v>
      </c>
      <c r="AN3311" cm="1">
        <f t="array" ref="AN3311">IFERROR(INDEX(hd_cap,MATCH(AQ3311,hd_mark,0),0),0)</f>
        <v>0</v>
      </c>
      <c r="AP3311" s="19"/>
      <c r="AQ3311" s="19"/>
      <c r="AR3311" s="100"/>
      <c r="AS3311" s="93"/>
      <c r="AT3311" s="109" t="s">
        <v>491</v>
      </c>
      <c r="AU3311" t="str">
        <f>$Q$3223</f>
        <v>L4</v>
      </c>
      <c r="AV3311">
        <f>$E$23</f>
        <v>0</v>
      </c>
      <c r="AW3311" cm="1">
        <f t="array" ref="AW3311">IFERROR(IF(AV3311=0,0,(INDEX($C$33:$C$38,MATCH($AZ$3240,$B$33:$B$38,0),0)*(AV3313+$BA$3240)+$AW$3240*COUNTIF(AV3311:AV3312,"&gt;0")*$C$32+$AY$3240*$C$31)*$AU$3240),0)</f>
        <v>0</v>
      </c>
      <c r="AX3311">
        <f>IF(AV3311=0,0,-(COUNTIF(AV3311:AV3312,"&gt;0")*$AW$3240*$C$32+$AY$3240*$C$31)*$H$27*$AU$3240)</f>
        <v>0</v>
      </c>
      <c r="AY3311">
        <f>IF(AV3311=0,0,$AY$3240*$H$26*$AU$3240)</f>
        <v>0</v>
      </c>
      <c r="AZ3311">
        <f>(0.6*AW3311+0.7*AX3311)*$AU$3240/2</f>
        <v>0</v>
      </c>
      <c r="BA3311">
        <f>AW3311*$AU$3240/2</f>
        <v>0</v>
      </c>
      <c r="BC3311">
        <f>IF(AV3311=0,0,$BG$3240*$AP$3223)</f>
        <v>0</v>
      </c>
      <c r="BD3311">
        <f>IFERROR(BC3311/$AU$3240,0)</f>
        <v>0</v>
      </c>
      <c r="BE3311">
        <f>BC3311*($F$23+IF($F$23=0,0,($C$14+$C$15+IF($C$13="single",1.5,3)+3)/12))</f>
        <v>0</v>
      </c>
      <c r="BF3311">
        <f>BE3311-AZ3311</f>
        <v>0</v>
      </c>
      <c r="BG3311" cm="1">
        <f t="array" ref="BG3311">IFERROR(IF(BF3311&lt;0,0,BF3311/($AU$3240-INDEX(hd_off,MATCH(BT3311,hd_mark,0),0)/12)),0)</f>
        <v>0</v>
      </c>
      <c r="BH3311">
        <f>IF(AV3311=0,0,$BG$3240*$AM$3223)</f>
        <v>0</v>
      </c>
      <c r="BI3311">
        <f>IFERROR(BH3311/$AU$3240,0)</f>
        <v>0</v>
      </c>
      <c r="BJ3311">
        <f>BH3311*($F$23+IF($F$23=0,0,($C$14+$C$15+IF($C$13="single",1.5,3)+3)/12))</f>
        <v>0</v>
      </c>
      <c r="BK3311">
        <f>BJ3311-BA3311</f>
        <v>0</v>
      </c>
      <c r="BL3311" cm="1">
        <f t="array" ref="BL3311">IFERROR(IF(BK3311&lt;0,0,BK3311/($AU$3240-INDEX(hd_off,MATCH(BT3311,hd_mark,0),0)/12)),0)</f>
        <v>0</v>
      </c>
      <c r="BM3311">
        <f>MAX($F$23,$BD$3240)/$Q$3252</f>
        <v>0</v>
      </c>
      <c r="BN3311">
        <f t="shared" si="2042"/>
        <v>0</v>
      </c>
      <c r="BO3311" cm="1">
        <f t="array" ref="BO3311">IFERROR(INDEX(sheath_ecap_asd,MATCH(BS3311,sheath_mark,0),0)*BN3311,0)</f>
        <v>0</v>
      </c>
      <c r="BP3311" cm="1">
        <f t="array" ref="BP3311">IFERROR(INDEX(sheath_wcap_asd,MATCH(BS3311,sheath_mark,0),0)*BN3311,0)</f>
        <v>0</v>
      </c>
      <c r="BQ3311" cm="1">
        <f t="array" ref="BQ3311">IFERROR(INDEX(hd_cap,MATCH(BT3311,hd_mark,0),0),0)</f>
        <v>0</v>
      </c>
      <c r="BS3311" s="19"/>
      <c r="BT3311" s="19"/>
      <c r="BU3311" s="100"/>
    </row>
    <row r="3312" x14ac:dyDescent="0.25">
      <c r="P3312" s="93"/>
      <c r="Q3312" s="111">
        <f>$R$3240</f>
        <v>0</v>
      </c>
      <c r="R3312" t="str">
        <f>$Q$3224</f>
        <v>L5</v>
      </c>
      <c r="S3312">
        <f>$E$24</f>
        <v>0</v>
      </c>
      <c r="T3312" cm="1">
        <f t="array" ref="T3312">IFERROR(IF(S3312=0,0,(INDEX($C$33:$C$38,MATCH($W$3240,$B$33:$B$38,0),0)*(S3313+$X$3240)+$T$3240*COUNTIF(S3312:S3312,"&gt;0")*$C$32+$V$3240*$C$31)*$R$3240),0)</f>
        <v>0</v>
      </c>
      <c r="U3312">
        <f>IF(S3312=0,0,-(COUNTIF(S3312:S3312,"&gt;0")*$T$3240*$C$32+$V$3240*$C$31)*$H$27*$R$3240)</f>
        <v>0</v>
      </c>
      <c r="V3312">
        <f>IF(S3312=0,0,$V$3240*$H$26*$R$3240)</f>
        <v>0</v>
      </c>
      <c r="W3312">
        <f>(0.6*T3312+0.7*U3312)*$R$3240/2</f>
        <v>0</v>
      </c>
      <c r="X3312">
        <f>T3312*$R$3240/2</f>
        <v>0</v>
      </c>
      <c r="Z3312">
        <f>IF(S3312=0,0,$AD$3240*$AP$3224)</f>
        <v>0</v>
      </c>
      <c r="AA3312">
        <f>IFERROR(Z3312/$R$3240,0)</f>
        <v>0</v>
      </c>
      <c r="AB3312">
        <f>Z3312*($F$24+IF($F$24=0,0,($C$14+$C$15+IF($C$13="single",1.5,3)+3)/12))</f>
        <v>0</v>
      </c>
      <c r="AC3312">
        <f>AB3312-W3312</f>
        <v>0</v>
      </c>
      <c r="AD3312" cm="1">
        <f t="array" ref="AD3312">IFERROR(IF(AC3312&lt;0,0,AC3312/($R$3240-INDEX(hd_off,MATCH(AQ3312,hd_mark,0),0)/12)),0)</f>
        <v>0</v>
      </c>
      <c r="AE3312">
        <f>IF(S3312=0,0,$AD$3240*$AM$3224)</f>
        <v>0</v>
      </c>
      <c r="AF3312">
        <f>IFERROR(AE3312/$R$3240,0)</f>
        <v>0</v>
      </c>
      <c r="AG3312">
        <f>AE3312*($F$24+IF($F$24=0,0,($C$14+$C$15+IF($C$13="single",1.5,3)+3)/12))</f>
        <v>0</v>
      </c>
      <c r="AH3312">
        <f>AG3312-X3312</f>
        <v>0</v>
      </c>
      <c r="AI3312" cm="1">
        <f t="array" ref="AI3312">IFERROR(IF(AH3312&lt;0,0,AH3312/($R$3240-INDEX(hd_off,MATCH(AQ3312,hd_mark,0),0)/12)),0)</f>
        <v>0</v>
      </c>
      <c r="AJ3312">
        <f>MAX($F$24,$AB$3240)/$Q$3252</f>
        <v>0</v>
      </c>
      <c r="AK3312">
        <f t="shared" si="2041"/>
        <v>0</v>
      </c>
      <c r="AL3312" cm="1">
        <f t="array" ref="AL3312">IFERROR(INDEX(sheath_ecap_asd,MATCH(AP3312,sheath_mark,0),0)*AK3312,0)</f>
        <v>0</v>
      </c>
      <c r="AM3312" cm="1">
        <f t="array" ref="AM3312">IFERROR(INDEX(sheath_wcap_asd,MATCH(AP3312,sheath_mark,0),0)*AK3312,0)</f>
        <v>0</v>
      </c>
      <c r="AN3312" cm="1">
        <f t="array" ref="AN3312">IFERROR(INDEX(hd_cap,MATCH(AQ3312,hd_mark,0),0),0)</f>
        <v>0</v>
      </c>
      <c r="AP3312" s="19"/>
      <c r="AQ3312" s="19"/>
      <c r="AR3312" s="100"/>
      <c r="AS3312" s="93"/>
      <c r="AT3312" s="111">
        <f>$R$3240</f>
        <v>0</v>
      </c>
      <c r="AU3312" t="str">
        <f>$Q$3224</f>
        <v>L5</v>
      </c>
      <c r="AV3312">
        <f>$E$24</f>
        <v>0</v>
      </c>
      <c r="AW3312" cm="1">
        <f t="array" ref="AW3312">IFERROR(IF(AV3312=0,0,(INDEX($C$33:$C$38,MATCH($AZ$3240,$B$33:$B$38,0),0)*(AV3313+$BA$3240)+$AW$3240*COUNTIF(AV3312:AV3312,"&gt;0")*$C$32+$AY$3240*$C$31)*$AU$3240),0)</f>
        <v>0</v>
      </c>
      <c r="AX3312">
        <f>IF(AV3312=0,0,-(COUNTIF(AV3312:AV3312,"&gt;0")*$AW$3240*$C$32+$AY$3240*$C$31)*$H$27*$AU$3240)</f>
        <v>0</v>
      </c>
      <c r="AY3312">
        <f>IF(AV3312=0,0,$AY$3240*$H$26*$AU$3240)</f>
        <v>0</v>
      </c>
      <c r="AZ3312">
        <f>(0.6*AW3312+0.7*AX3312)*$AU$3240/2</f>
        <v>0</v>
      </c>
      <c r="BA3312">
        <f>AW3312*$AU$3240/2</f>
        <v>0</v>
      </c>
      <c r="BC3312">
        <f>IF(AV3312=0,0,$BG$3240*$AP$3224)</f>
        <v>0</v>
      </c>
      <c r="BD3312">
        <f>IFERROR(BC3312/$AU$3240,0)</f>
        <v>0</v>
      </c>
      <c r="BE3312">
        <f>BC3312*($F$24+IF($F$24=0,0,($C$14+$C$15+IF($C$13="single",1.5,3)+3)/12))</f>
        <v>0</v>
      </c>
      <c r="BF3312">
        <f>BE3312-AZ3312</f>
        <v>0</v>
      </c>
      <c r="BG3312" cm="1">
        <f t="array" ref="BG3312">IFERROR(IF(BF3312&lt;0,0,BF3312/($AU$3240-INDEX(hd_off,MATCH(BT3312,hd_mark,0),0)/12)),0)</f>
        <v>0</v>
      </c>
      <c r="BH3312">
        <f>IF(AV3312=0,0,$BG$3240*$AM$3224)</f>
        <v>0</v>
      </c>
      <c r="BI3312">
        <f>IFERROR(BH3312/$AU$3240,0)</f>
        <v>0</v>
      </c>
      <c r="BJ3312">
        <f>BH3312*($F$24+IF($F$24=0,0,($C$14+$C$15+IF($C$13="single",1.5,3)+3)/12))</f>
        <v>0</v>
      </c>
      <c r="BK3312">
        <f>BJ3312-BA3312</f>
        <v>0</v>
      </c>
      <c r="BL3312" cm="1">
        <f t="array" ref="BL3312">IFERROR(IF(BK3312&lt;0,0,BK3312/($AU$3240-INDEX(hd_off,MATCH(BT3312,hd_mark,0),0)/12)),0)</f>
        <v>0</v>
      </c>
      <c r="BM3312">
        <f>MAX($F$24,$BE$3240)/$Q$3252</f>
        <v>0</v>
      </c>
      <c r="BN3312">
        <f t="shared" si="2042"/>
        <v>0</v>
      </c>
      <c r="BO3312" cm="1">
        <f t="array" ref="BO3312">IFERROR(INDEX(sheath_ecap_asd,MATCH(BS3312,sheath_mark,0),0)*BN3312,0)</f>
        <v>0</v>
      </c>
      <c r="BP3312" cm="1">
        <f t="array" ref="BP3312">IFERROR(INDEX(sheath_wcap_asd,MATCH(BS3312,sheath_mark,0),0)*BN3312,0)</f>
        <v>0</v>
      </c>
      <c r="BQ3312" cm="1">
        <f t="array" ref="BQ3312">IFERROR(INDEX(hd_cap,MATCH(BT3312,hd_mark,0),0),0)</f>
        <v>0</v>
      </c>
      <c r="BS3312" s="19"/>
      <c r="BT3312" s="19"/>
      <c r="BU3312" s="100"/>
    </row>
    <row r="3313" x14ac:dyDescent="0.25">
      <c r="P3313" s="93"/>
      <c r="Q3313" s="109"/>
      <c r="R3313" t="str">
        <f>$Q$3225</f>
        <v>Roof</v>
      </c>
      <c r="S3313">
        <f>$E$25</f>
        <v>33.171875</v>
      </c>
      <c r="T3313" cm="1">
        <f t="array" ref="T3313">IFERROR(IF(S3313=0,0,(INDEX($C$33:$C$38,MATCH($W$3240,$B$33:$B$38,0),0)*(S3313+$X$3240)+$V$3240*$C$31)*$R$3240),0)</f>
        <v>0</v>
      </c>
      <c r="U3313">
        <f>IF(S3313=0,0,-$V$3240*$C$31*$H$27*$R$3240)</f>
        <v>0</v>
      </c>
      <c r="V3313">
        <f>IF(S3313=0,0,$V$3240*$H$26*$R$3240)</f>
        <v>0</v>
      </c>
      <c r="W3313">
        <f>(0.6*T3313+0.7*U3313)*$R$3240/2</f>
        <v>0</v>
      </c>
      <c r="X3313">
        <f>T3313*$R$3240/2</f>
        <v>0</v>
      </c>
      <c r="Z3313">
        <f>IF(S3313=0,0,$AD$3240*$AP$3225)</f>
        <v>0</v>
      </c>
      <c r="AA3313">
        <f>IFERROR(Z3313/$R$3240,0)</f>
        <v>0</v>
      </c>
      <c r="AB3313">
        <f>Z3313*($F$25+($C$16+$C$17+IF($C$13="single",1.5,3)+3)/12)</f>
        <v>0</v>
      </c>
      <c r="AC3313">
        <f>AB3313-W3313</f>
        <v>0</v>
      </c>
      <c r="AD3313" cm="1">
        <f t="array" ref="AD3313">IFERROR(IF(AC3313&lt;0,0,AC3313/($R$3240-INDEX(hd_off,MATCH(AQ3313,hd_mark,0),0)/12)),0)</f>
        <v>0</v>
      </c>
      <c r="AE3313">
        <f>IF(S3313=0,0,$AD$3240*$AM$3225)</f>
        <v>0</v>
      </c>
      <c r="AF3313">
        <f>IFERROR(AE3313/$R$3240,0)</f>
        <v>0</v>
      </c>
      <c r="AG3313">
        <f>AE3313*($F$25+($C$16+$C$17+IF($C$13="single",1.5,3)+3)/12)</f>
        <v>0</v>
      </c>
      <c r="AH3313">
        <f>AG3313-X3313</f>
        <v>0</v>
      </c>
      <c r="AI3313" cm="1">
        <f t="array" ref="AI3313">IFERROR(IF(AH3313&lt;0,0,AH3313/($R$3240-INDEX(hd_off,MATCH(AQ3313,hd_mark,0),0)/12)),0)</f>
        <v>0</v>
      </c>
      <c r="AJ3313">
        <f>MAX($F$25,$AC$3240)/$Q$3252</f>
        <v>0.29920977011494249</v>
      </c>
      <c r="AK3313">
        <f t="shared" si="2041"/>
        <v>1</v>
      </c>
      <c r="AL3313" cm="1">
        <f t="array" ref="AL3313">IFERROR(INDEX(sheath_ecap_asd,MATCH(AP3313,sheath_mark,0),0)*AK3313,0)</f>
        <v>0</v>
      </c>
      <c r="AM3313" cm="1">
        <f t="array" ref="AM3313">IFERROR(INDEX(sheath_wcap_asd,MATCH(AP3313,sheath_mark,0),0)*AK3313,0)</f>
        <v>0</v>
      </c>
      <c r="AN3313" cm="1">
        <f t="array" ref="AN3313">IFERROR(INDEX(hd_cap,MATCH(AQ3313,hd_mark,0),0),0)</f>
        <v>0</v>
      </c>
      <c r="AP3313" s="19"/>
      <c r="AQ3313" s="19"/>
      <c r="AR3313" s="100"/>
      <c r="AS3313" s="93"/>
      <c r="AT3313" s="109"/>
      <c r="AU3313" t="str">
        <f>$Q$3225</f>
        <v>Roof</v>
      </c>
      <c r="AV3313">
        <f>$E$25</f>
        <v>33.171875</v>
      </c>
      <c r="AW3313" cm="1">
        <f t="array" ref="AW3313">IFERROR(IF(AV3313=0,0,(INDEX($C$33:$C$38,MATCH($AZ$3240,$B$33:$B$38,0),0)*(AV3313+$BA$3240)+$AY$3240*$C$31)*$AU$3240),0)</f>
        <v>0</v>
      </c>
      <c r="AX3313">
        <f>IF(AV3313=0,0,-$AY$3240*$C$31*$H$27*$AU$3240)</f>
        <v>0</v>
      </c>
      <c r="AY3313">
        <f>IF(AV3313=0,0,$AY$3240*$H$26*$AU$3240)</f>
        <v>0</v>
      </c>
      <c r="AZ3313">
        <f>(0.6*AW3313+0.7*AX3313)*$AU$3240/2</f>
        <v>0</v>
      </c>
      <c r="BA3313">
        <f>AW3313*$AU$3240/2</f>
        <v>0</v>
      </c>
      <c r="BC3313">
        <f>IF(AV3313=0,0,$BG$3240*$AP$3225)</f>
        <v>0</v>
      </c>
      <c r="BD3313">
        <f>IFERROR(BC3313/$AU$3240,0)</f>
        <v>0</v>
      </c>
      <c r="BE3313">
        <f>BC3313*($F$25+($C$16+$C$17+IF($C$13="single",1.5,3)+3)/12)</f>
        <v>0</v>
      </c>
      <c r="BF3313">
        <f>BE3313-AZ3313</f>
        <v>0</v>
      </c>
      <c r="BG3313" cm="1">
        <f t="array" ref="BG3313">IFERROR(IF(BF3313&lt;0,0,BF3313/($AU$3240-INDEX(hd_off,MATCH(BT3313,hd_mark,0),0)/12)),0)</f>
        <v>0</v>
      </c>
      <c r="BH3313">
        <f>IF(AV3313=0,0,$BG$3240*$AM$3225)</f>
        <v>0</v>
      </c>
      <c r="BI3313">
        <f>IFERROR(BH3313/$AU$3240,0)</f>
        <v>0</v>
      </c>
      <c r="BJ3313">
        <f>BH3313*($F$25+($C$16+$C$17+IF($C$13="single",1.5,3)+3)/12)</f>
        <v>0</v>
      </c>
      <c r="BK3313">
        <f>BJ3313-BA3313</f>
        <v>0</v>
      </c>
      <c r="BL3313" cm="1">
        <f t="array" ref="BL3313">IFERROR(IF(BK3313&lt;0,0,BK3313/($AU$3240-INDEX(hd_off,MATCH(BT3313,hd_mark,0),0)/12)),0)</f>
        <v>0</v>
      </c>
      <c r="BM3313">
        <f>MAX($F$25,$BF$3240)/$Q$3252</f>
        <v>0.29920977011494249</v>
      </c>
      <c r="BN3313">
        <f t="shared" si="2042"/>
        <v>1</v>
      </c>
      <c r="BO3313" cm="1">
        <f t="array" ref="BO3313">IFERROR(INDEX(sheath_ecap_asd,MATCH(BS3313,sheath_mark,0),0)*BN3313,0)</f>
        <v>0</v>
      </c>
      <c r="BP3313" cm="1">
        <f t="array" ref="BP3313">IFERROR(INDEX(sheath_wcap_asd,MATCH(BS3313,sheath_mark,0),0)*BN3313,0)</f>
        <v>0</v>
      </c>
      <c r="BQ3313" cm="1">
        <f t="array" ref="BQ3313">IFERROR(INDEX(hd_cap,MATCH(BT3313,hd_mark,0),0),0)</f>
        <v>0</v>
      </c>
      <c r="BS3313" s="19"/>
      <c r="BT3313" s="19"/>
      <c r="BU3313" s="100"/>
    </row>
    <row r="3314" x14ac:dyDescent="0.25">
      <c r="P3314" s="93"/>
      <c r="AR3314" s="100"/>
      <c r="AS3314" s="93"/>
      <c r="BU3314" s="100"/>
    </row>
    <row r="3315" x14ac:dyDescent="0.25">
      <c r="P3315" s="93"/>
      <c r="Q3315" s="110" t="str">
        <f>$Q$3241</f>
        <v>A.12</v>
      </c>
      <c r="R3315" t="str">
        <f>$Q$3221</f>
        <v>L2</v>
      </c>
      <c r="S3315">
        <f>$E$21</f>
        <v>10.6875</v>
      </c>
      <c r="T3315" cm="1">
        <f t="array" ref="T3315">IFERROR(IF(S3315=0,0,(INDEX($C$33:$C$38,MATCH($W$3241,$B$33:$B$38,0),0)*(S3319+$X$3241)+$T$3241*COUNTIF(S3315:S3318,"&gt;0")*$C$32+$V$3241*$C$31)*$R$3241),0)</f>
        <v>0</v>
      </c>
      <c r="U3315">
        <f>IF(S3315=0,0,-(COUNTIF(S3315:S3318,"&gt;0")*$T$3241*$C$32+$V$3241*$C$31)*$H$27*$R$3241)</f>
        <v>0</v>
      </c>
      <c r="V3315">
        <f>IF(S3315=0,0,$V$3241*$H$26*$R$3241)</f>
        <v>0</v>
      </c>
      <c r="W3315">
        <f>(0.6*T3315+0.7*U3315)*$R$3241/2</f>
        <v>0</v>
      </c>
      <c r="X3315">
        <f>(0.6*T3315+0.6*V3315)*$R$3241/2</f>
        <v>0</v>
      </c>
      <c r="Z3315">
        <f>IF(S3315=0,0,$AD$3241*$AP$3221)</f>
        <v>0</v>
      </c>
      <c r="AA3315">
        <f>IFERROR(Z3315/$R$3241,0)</f>
        <v>0</v>
      </c>
      <c r="AB3315">
        <f>Z3315*($F$21+IF($F$21=0,0,($C$14+$C$15+IF($C$13="single",1.5,3)+3)/12))</f>
        <v>0</v>
      </c>
      <c r="AC3315">
        <f>AB3315-W3315</f>
        <v>0</v>
      </c>
      <c r="AD3315" cm="1">
        <f t="array" ref="AD3315">IFERROR(IF(AC3315&lt;0,0,AC3315/($R$3241-INDEX(hd_off,MATCH(AQ3315,hd_mark,0),0)/12)),0)</f>
        <v>0</v>
      </c>
      <c r="AE3315">
        <f>IF(S3315=0,0,$AD$3241*$AM$3221)</f>
        <v>0</v>
      </c>
      <c r="AF3315">
        <f>IFERROR(AE3315/$R$3241,0)</f>
        <v>0</v>
      </c>
      <c r="AG3315">
        <f>AE3315*($F$21+IF($F$21=0,0,($C$14+$C$15+IF($C$13="single",1.5,3)+3)/12))</f>
        <v>0</v>
      </c>
      <c r="AH3315">
        <f>AG3315-X3315</f>
        <v>0</v>
      </c>
      <c r="AI3315" cm="1">
        <f t="array" ref="AI3315">IFERROR(IF(AH3315&lt;0,0,AH3315/($R$3241-INDEX(hd_off,MATCH(AQ3315,hd_mark,0),0)/12)),0)</f>
        <v>0</v>
      </c>
      <c r="AJ3315">
        <f>MAX($F$21,$Y$3241)/$Q$3252</f>
        <v>0.30172413793103448</v>
      </c>
      <c r="AK3315">
        <f>IF(AJ3315=0,0,IF(AJ3315&gt;2,1.25-0.125*AJ3315,1))</f>
        <v>1</v>
      </c>
      <c r="AL3315" cm="1">
        <f t="array" ref="AL3315">IFERROR(INDEX(sheath_ecap_asd,MATCH(AP3315,sheath_mark,0),0)*AK3315,0)</f>
        <v>0</v>
      </c>
      <c r="AM3315" cm="1">
        <f t="array" ref="AM3315">IFERROR(INDEX(sheath_wcap_asd,MATCH(AP3315,sheath_mark,0),0)*AK3315,0)</f>
        <v>0</v>
      </c>
      <c r="AN3315" cm="1">
        <f t="array" ref="AN3315">IFERROR(INDEX(hd_cap,MATCH(AQ3315,hd_mark,0),0),0)</f>
        <v>0</v>
      </c>
      <c r="AP3315" s="19"/>
      <c r="AQ3315" s="19"/>
      <c r="AR3315" s="100"/>
      <c r="AS3315" s="93"/>
      <c r="AT3315" s="110" t="str">
        <f>$AT$3241</f>
        <v>1.12</v>
      </c>
      <c r="AU3315" t="str">
        <f>$Q$3221</f>
        <v>L2</v>
      </c>
      <c r="AV3315">
        <f>$E$21</f>
        <v>10.6875</v>
      </c>
      <c r="AW3315" cm="1">
        <f t="array" ref="AW3315">IFERROR(IF(AV3315=0,0,(INDEX($C$33:$C$38,MATCH($AZ$3241,$B$33:$B$38,0),0)*(AV3319+$BA$3241)+$AW$3241*COUNTIF(AV3315:AV3318,"&gt;0")*$C$32+$AY$3241*$C$31)*$AU$3241),0)</f>
        <v>0</v>
      </c>
      <c r="AX3315">
        <f>IF(AV3315=0,0,-(COUNTIF(AV3315:AV3318,"&gt;0")*$AW$3241*$C$32+$AY$3241*$C$31)*$H$27*$AU$3241)</f>
        <v>0</v>
      </c>
      <c r="AY3315">
        <f>IF(AV3315=0,0,$AY$3241*$H$26*$AU$3241)</f>
        <v>0</v>
      </c>
      <c r="AZ3315">
        <f>(0.6*AW3315+0.7*AX3315)*$AU$3241/2</f>
        <v>0</v>
      </c>
      <c r="BA3315">
        <f>(0.6*AW3315+0.6*AY3315)*$AU$3241/2</f>
        <v>0</v>
      </c>
      <c r="BC3315">
        <f>IF(AV3315=0,0,$BG$3241*$AP$3221)</f>
        <v>0</v>
      </c>
      <c r="BD3315">
        <f>IFERROR(BC3315/$AU$3241,0)</f>
        <v>0</v>
      </c>
      <c r="BE3315">
        <f>BC3315*($F$21+IF($F$21=0,0,($C$14+$C$15+IF($C$13="single",1.5,3)+3)/12))</f>
        <v>0</v>
      </c>
      <c r="BF3315">
        <f>BE3315-AZ3315</f>
        <v>0</v>
      </c>
      <c r="BG3315" cm="1">
        <f t="array" ref="BG3315">IFERROR(IF(BF3315&lt;0,0,BF3315/($AU$3241-INDEX(hd_off,MATCH(BT3315,hd_mark,0),0)/12)),0)</f>
        <v>0</v>
      </c>
      <c r="BH3315">
        <f>IF(AV3315=0,0,$BG$3241*$AM$3221)</f>
        <v>0</v>
      </c>
      <c r="BI3315">
        <f>IFERROR(BH3315/$AU$3241,0)</f>
        <v>0</v>
      </c>
      <c r="BJ3315">
        <f>BH3315*($F$21+IF($F$21=0,0,($C$14+$C$15+IF($C$13="single",1.5,3)+3)/12))</f>
        <v>0</v>
      </c>
      <c r="BK3315">
        <f>BJ3315-BA3315</f>
        <v>0</v>
      </c>
      <c r="BL3315" cm="1">
        <f t="array" ref="BL3315">IFERROR(IF(BK3315&lt;0,0,BK3315/($AU$3241-INDEX(hd_off,MATCH(BT3315,hd_mark,0),0)/12)),0)</f>
        <v>0</v>
      </c>
      <c r="BM3315">
        <f>MAX($F$21,$BB$3241)/$Q$3252</f>
        <v>0.30172413793103448</v>
      </c>
      <c r="BN3315">
        <f>IF(BM3315=0,0,IF(BM3315&gt;2,1.25-0.125*BM3315,1))</f>
        <v>1</v>
      </c>
      <c r="BO3315" cm="1">
        <f t="array" ref="BO3315">IFERROR(INDEX(sheath_ecap_asd,MATCH(BS3315,sheath_mark,0),0)*BN3315,0)</f>
        <v>0</v>
      </c>
      <c r="BP3315" cm="1">
        <f t="array" ref="BP3315">IFERROR(INDEX(sheath_wcap_asd,MATCH(BS3315,sheath_mark,0),0)*BN3315,0)</f>
        <v>0</v>
      </c>
      <c r="BQ3315" cm="1">
        <f t="array" ref="BQ3315">IFERROR(INDEX(hd_cap,MATCH(BT3315,hd_mark,0),0),0)</f>
        <v>0</v>
      </c>
      <c r="BS3315" s="19"/>
      <c r="BT3315" s="19"/>
      <c r="BU3315" s="100"/>
    </row>
    <row r="3316" x14ac:dyDescent="0.25">
      <c r="P3316" s="93"/>
      <c r="Q3316" s="109"/>
      <c r="R3316" t="str">
        <f>$Q$3222</f>
        <v>L3</v>
      </c>
      <c r="S3316">
        <f>$E$22</f>
        <v>21.375</v>
      </c>
      <c r="T3316" cm="1">
        <f t="array" ref="T3316">IFERROR(IF(S3316=0,0,(INDEX($C$33:$C$38,MATCH($W$3241,$B$33:$B$38,0),0)*(S3319+$X$3241)+$T$3241*COUNTIF(S3316:S3318,"&gt;0")*$C$32+$V$3241*$C$31)*$R$3241),0)</f>
        <v>0</v>
      </c>
      <c r="U3316">
        <f>IF(S3316=0,0,-(COUNTIF(S3316:S3318,"&gt;0")*$T$3241*$C$32+$V$3241*$C$31)*$H$27*$R$3241)</f>
        <v>0</v>
      </c>
      <c r="V3316">
        <f>IF(S3316=0,0,$V$3241*$H$26*$R$3241)</f>
        <v>0</v>
      </c>
      <c r="W3316">
        <f>(0.6*T3316+0.7*U3316)*$R$3241/2</f>
        <v>0</v>
      </c>
      <c r="X3316">
        <f>T3316*$R$3241/2</f>
        <v>0</v>
      </c>
      <c r="Z3316">
        <f>IF(S3316=0,0,$AD$3241*$AP$3222)</f>
        <v>0</v>
      </c>
      <c r="AA3316">
        <f>IFERROR(Z3316/$R$3241,0)</f>
        <v>0</v>
      </c>
      <c r="AB3316">
        <f>Z3316*($F$22+IF($F$22=0,0,($C$14+$C$15+IF($C$13="single",1.5,3)+3)/12))</f>
        <v>0</v>
      </c>
      <c r="AC3316">
        <f>AB3316-W3316</f>
        <v>0</v>
      </c>
      <c r="AD3316" cm="1">
        <f t="array" ref="AD3316">IFERROR(IF(AC3316&lt;0,0,AC3316/($R$3241-INDEX(hd_off,MATCH(AQ3316,hd_mark,0),0)/12)),0)</f>
        <v>0</v>
      </c>
      <c r="AE3316">
        <f>IF(S3316=0,0,$AD$3241*$AM$3222)</f>
        <v>0</v>
      </c>
      <c r="AF3316">
        <f>IFERROR(AE3316/$R$3241,0)</f>
        <v>0</v>
      </c>
      <c r="AG3316">
        <f>AE3316*($F$22+IF($F$22=0,0,($C$14+$C$15+IF($C$13="single",1.5,3)+3)/12))</f>
        <v>0</v>
      </c>
      <c r="AH3316">
        <f>AG3316-X3316</f>
        <v>0</v>
      </c>
      <c r="AI3316" cm="1">
        <f t="array" ref="AI3316">IFERROR(IF(AH3316&lt;0,0,AH3316/($R$3241-INDEX(hd_off,MATCH(AQ3316,hd_mark,0),0)/12)),0)</f>
        <v>0</v>
      </c>
      <c r="AJ3316">
        <f>MAX($F$22,$Z$3241)/$Q$3252</f>
        <v>0.30172413793103448</v>
      </c>
      <c r="AK3316">
        <f t="shared" ref="AK3316:AK3319" si="2043">IF(AJ3316=0,0,IF(AJ3316&gt;2,1.25-0.125*AJ3316,1))</f>
        <v>1</v>
      </c>
      <c r="AL3316" cm="1">
        <f t="array" ref="AL3316">IFERROR(INDEX(sheath_ecap_asd,MATCH(AP3316,sheath_mark,0),0)*AK3316,0)</f>
        <v>0</v>
      </c>
      <c r="AM3316" cm="1">
        <f t="array" ref="AM3316">IFERROR(INDEX(sheath_wcap_asd,MATCH(AP3316,sheath_mark,0),0)*AK3316,0)</f>
        <v>0</v>
      </c>
      <c r="AN3316" cm="1">
        <f t="array" ref="AN3316">IFERROR(INDEX(hd_cap,MATCH(AQ3316,hd_mark,0),0),0)</f>
        <v>0</v>
      </c>
      <c r="AP3316" s="19"/>
      <c r="AQ3316" s="19"/>
      <c r="AR3316" s="100"/>
      <c r="AS3316" s="93"/>
      <c r="AT3316" s="109"/>
      <c r="AU3316" t="str">
        <f>$Q$3222</f>
        <v>L3</v>
      </c>
      <c r="AV3316">
        <f>$E$22</f>
        <v>21.375</v>
      </c>
      <c r="AW3316" cm="1">
        <f t="array" ref="AW3316">IFERROR(IF(AV3316=0,0,(INDEX($C$33:$C$38,MATCH($AZ$3241,$B$33:$B$38,0),0)*(AV3319+$BA$3241)+$AW$3241*COUNTIF(AV3316:AV3318,"&gt;0")*$C$32+$AY$3241*$C$31)*$AU$3241),0)</f>
        <v>0</v>
      </c>
      <c r="AX3316">
        <f>IF(AV3316=0,0,-(COUNTIF(AV3316:AV3318,"&gt;0")*$AW$3241*$C$32+$AY$3241*$C$31)*$H$27*$AU$3241)</f>
        <v>0</v>
      </c>
      <c r="AY3316">
        <f>IF(AV3316=0,0,$AY$3241*$H$26*$AU$3241)</f>
        <v>0</v>
      </c>
      <c r="AZ3316">
        <f>(0.6*AW3316+0.7*AX3316)*$AU$3241/2</f>
        <v>0</v>
      </c>
      <c r="BA3316">
        <f>AW3316*$AU$3241/2</f>
        <v>0</v>
      </c>
      <c r="BC3316">
        <f>IF(AV3316=0,0,$BG$3241*$AP$3222)</f>
        <v>0</v>
      </c>
      <c r="BD3316">
        <f>IFERROR(BC3316/$AU$3241,0)</f>
        <v>0</v>
      </c>
      <c r="BE3316">
        <f>BC3316*($F$22+IF($F$22=0,0,($C$14+$C$15+IF($C$13="single",1.5,3)+3)/12))</f>
        <v>0</v>
      </c>
      <c r="BF3316">
        <f>BE3316-AZ3316</f>
        <v>0</v>
      </c>
      <c r="BG3316" cm="1">
        <f t="array" ref="BG3316">IFERROR(IF(BF3316&lt;0,0,BF3316/($AU$3241-INDEX(hd_off,MATCH(BT3316,hd_mark,0),0)/12)),0)</f>
        <v>0</v>
      </c>
      <c r="BH3316">
        <f>IF(AV3316=0,0,$BG$3241*$AM$3222)</f>
        <v>0</v>
      </c>
      <c r="BI3316">
        <f>IFERROR(BH3316/$AU$3241,0)</f>
        <v>0</v>
      </c>
      <c r="BJ3316">
        <f>BH3316*($F$22+IF($F$22=0,0,($C$14+$C$15+IF($C$13="single",1.5,3)+3)/12))</f>
        <v>0</v>
      </c>
      <c r="BK3316">
        <f>BJ3316-BA3316</f>
        <v>0</v>
      </c>
      <c r="BL3316" cm="1">
        <f t="array" ref="BL3316">IFERROR(IF(BK3316&lt;0,0,BK3316/($AU$3241-INDEX(hd_off,MATCH(BT3316,hd_mark,0),0)/12)),0)</f>
        <v>0</v>
      </c>
      <c r="BM3316">
        <f>MAX($F$22,$BC$3241)/$Q$3252</f>
        <v>0.30172413793103448</v>
      </c>
      <c r="BN3316">
        <f t="shared" ref="BN3316:BN3319" si="2044">IF(BM3316=0,0,IF(BM3316&gt;2,1.25-0.125*BM3316,1))</f>
        <v>1</v>
      </c>
      <c r="BO3316" cm="1">
        <f t="array" ref="BO3316">IFERROR(INDEX(sheath_ecap_asd,MATCH(BS3316,sheath_mark,0),0)*BN3316,0)</f>
        <v>0</v>
      </c>
      <c r="BP3316" cm="1">
        <f t="array" ref="BP3316">IFERROR(INDEX(sheath_wcap_asd,MATCH(BS3316,sheath_mark,0),0)*BN3316,0)</f>
        <v>0</v>
      </c>
      <c r="BQ3316" cm="1">
        <f t="array" ref="BQ3316">IFERROR(INDEX(hd_cap,MATCH(BT3316,hd_mark,0),0),0)</f>
        <v>0</v>
      </c>
      <c r="BS3316" s="19"/>
      <c r="BT3316" s="19"/>
      <c r="BU3316" s="100"/>
    </row>
    <row r="3317" x14ac:dyDescent="0.25">
      <c r="P3317" s="93"/>
      <c r="Q3317" s="109" t="s">
        <v>491</v>
      </c>
      <c r="R3317" t="str">
        <f>$Q$3223</f>
        <v>L4</v>
      </c>
      <c r="S3317">
        <f>$E$23</f>
        <v>0</v>
      </c>
      <c r="T3317" cm="1">
        <f t="array" ref="T3317">IFERROR(IF(S3317=0,0,(INDEX($C$33:$C$38,MATCH($W$3241,$B$33:$B$38,0),0)*(S3319+$X$3241)+$T$3241*COUNTIF(S3317:S3318,"&gt;0")*$C$32+$V$3241*$C$31)*$R$3241),0)</f>
        <v>0</v>
      </c>
      <c r="U3317">
        <f>IF(S3317=0,0,-(COUNTIF(S3317:S3318,"&gt;0")*$T$3241*$C$32+$V$3241*$C$31)*$H$27*$R$3241)</f>
        <v>0</v>
      </c>
      <c r="V3317">
        <f>IF(S3317=0,0,$V$3241*$H$26*$R$3241)</f>
        <v>0</v>
      </c>
      <c r="W3317">
        <f>(0.6*T3317+0.7*U3317)*$R$3241/2</f>
        <v>0</v>
      </c>
      <c r="X3317">
        <f>T3317*$R$3241/2</f>
        <v>0</v>
      </c>
      <c r="Z3317">
        <f>IF(S3317=0,0,$AD$3241*$AP$3223)</f>
        <v>0</v>
      </c>
      <c r="AA3317">
        <f>IFERROR(Z3317/$R$3241,0)</f>
        <v>0</v>
      </c>
      <c r="AB3317">
        <f>Z3317*($F$23+IF($F$23=0,0,($C$14+$C$15+IF($C$13="single",1.5,3)+3)/12))</f>
        <v>0</v>
      </c>
      <c r="AC3317">
        <f>AB3317-W3317</f>
        <v>0</v>
      </c>
      <c r="AD3317" cm="1">
        <f t="array" ref="AD3317">IFERROR(IF(AC3317&lt;0,0,AC3317/($R$3241-INDEX(hd_off,MATCH(AQ3317,hd_mark,0),0)/12)),0)</f>
        <v>0</v>
      </c>
      <c r="AE3317">
        <f>IF(S3317=0,0,$AD$3241*$AM$3223)</f>
        <v>0</v>
      </c>
      <c r="AF3317">
        <f>IFERROR(AE3317/$R$3241,0)</f>
        <v>0</v>
      </c>
      <c r="AG3317">
        <f>AE3317*($F$23+IF($F$23=0,0,($C$14+$C$15+IF($C$13="single",1.5,3)+3)/12))</f>
        <v>0</v>
      </c>
      <c r="AH3317">
        <f>AG3317-X3317</f>
        <v>0</v>
      </c>
      <c r="AI3317" cm="1">
        <f t="array" ref="AI3317">IFERROR(IF(AH3317&lt;0,0,AH3317/($R$3241-INDEX(hd_off,MATCH(AQ3317,hd_mark,0),0)/12)),0)</f>
        <v>0</v>
      </c>
      <c r="AJ3317">
        <f>MAX($F$23,$AA$3241)/$Q$3252</f>
        <v>0</v>
      </c>
      <c r="AK3317">
        <f t="shared" si="2043"/>
        <v>0</v>
      </c>
      <c r="AL3317" cm="1">
        <f t="array" ref="AL3317">IFERROR(INDEX(sheath_ecap_asd,MATCH(AP3317,sheath_mark,0),0)*AK3317,0)</f>
        <v>0</v>
      </c>
      <c r="AM3317" cm="1">
        <f t="array" ref="AM3317">IFERROR(INDEX(sheath_wcap_asd,MATCH(AP3317,sheath_mark,0),0)*AK3317,0)</f>
        <v>0</v>
      </c>
      <c r="AN3317" cm="1">
        <f t="array" ref="AN3317">IFERROR(INDEX(hd_cap,MATCH(AQ3317,hd_mark,0),0),0)</f>
        <v>0</v>
      </c>
      <c r="AP3317" s="19"/>
      <c r="AQ3317" s="19"/>
      <c r="AR3317" s="100"/>
      <c r="AS3317" s="93"/>
      <c r="AT3317" s="109" t="s">
        <v>491</v>
      </c>
      <c r="AU3317" t="str">
        <f>$Q$3223</f>
        <v>L4</v>
      </c>
      <c r="AV3317">
        <f>$E$23</f>
        <v>0</v>
      </c>
      <c r="AW3317" cm="1">
        <f t="array" ref="AW3317">IFERROR(IF(AV3317=0,0,(INDEX($C$33:$C$38,MATCH($AZ$3241,$B$33:$B$38,0),0)*(AV3319+$BA$3241)+$AW$3241*COUNTIF(AV3317:AV3318,"&gt;0")*$C$32+$AY$3241*$C$31)*$AU$3241),0)</f>
        <v>0</v>
      </c>
      <c r="AX3317">
        <f>IF(AV3317=0,0,-(COUNTIF(AV3317:AV3318,"&gt;0")*$AW$3241*$C$32+$AY$3241*$C$31)*$H$27*$AU$3241)</f>
        <v>0</v>
      </c>
      <c r="AY3317">
        <f>IF(AV3317=0,0,$AY$3241*$H$26*$AU$3241)</f>
        <v>0</v>
      </c>
      <c r="AZ3317">
        <f>(0.6*AW3317+0.7*AX3317)*$AU$3241/2</f>
        <v>0</v>
      </c>
      <c r="BA3317">
        <f>AW3317*$AU$3241/2</f>
        <v>0</v>
      </c>
      <c r="BC3317">
        <f>IF(AV3317=0,0,$BG$3241*$AP$3223)</f>
        <v>0</v>
      </c>
      <c r="BD3317">
        <f>IFERROR(BC3317/$AU$3241,0)</f>
        <v>0</v>
      </c>
      <c r="BE3317">
        <f>BC3317*($F$23+IF($F$23=0,0,($C$14+$C$15+IF($C$13="single",1.5,3)+3)/12))</f>
        <v>0</v>
      </c>
      <c r="BF3317">
        <f>BE3317-AZ3317</f>
        <v>0</v>
      </c>
      <c r="BG3317" cm="1">
        <f t="array" ref="BG3317">IFERROR(IF(BF3317&lt;0,0,BF3317/($AU$3241-INDEX(hd_off,MATCH(BT3317,hd_mark,0),0)/12)),0)</f>
        <v>0</v>
      </c>
      <c r="BH3317">
        <f>IF(AV3317=0,0,$BG$3241*$AM$3223)</f>
        <v>0</v>
      </c>
      <c r="BI3317">
        <f>IFERROR(BH3317/$AU$3241,0)</f>
        <v>0</v>
      </c>
      <c r="BJ3317">
        <f>BH3317*($F$23+IF($F$23=0,0,($C$14+$C$15+IF($C$13="single",1.5,3)+3)/12))</f>
        <v>0</v>
      </c>
      <c r="BK3317">
        <f>BJ3317-BA3317</f>
        <v>0</v>
      </c>
      <c r="BL3317" cm="1">
        <f t="array" ref="BL3317">IFERROR(IF(BK3317&lt;0,0,BK3317/($AU$3241-INDEX(hd_off,MATCH(BT3317,hd_mark,0),0)/12)),0)</f>
        <v>0</v>
      </c>
      <c r="BM3317">
        <f>MAX($F$23,$BD$3241)/$Q$3252</f>
        <v>0</v>
      </c>
      <c r="BN3317">
        <f t="shared" si="2044"/>
        <v>0</v>
      </c>
      <c r="BO3317" cm="1">
        <f t="array" ref="BO3317">IFERROR(INDEX(sheath_ecap_asd,MATCH(BS3317,sheath_mark,0),0)*BN3317,0)</f>
        <v>0</v>
      </c>
      <c r="BP3317" cm="1">
        <f t="array" ref="BP3317">IFERROR(INDEX(sheath_wcap_asd,MATCH(BS3317,sheath_mark,0),0)*BN3317,0)</f>
        <v>0</v>
      </c>
      <c r="BQ3317" cm="1">
        <f t="array" ref="BQ3317">IFERROR(INDEX(hd_cap,MATCH(BT3317,hd_mark,0),0),0)</f>
        <v>0</v>
      </c>
      <c r="BS3317" s="19"/>
      <c r="BT3317" s="19"/>
      <c r="BU3317" s="100"/>
    </row>
    <row r="3318" x14ac:dyDescent="0.25">
      <c r="P3318" s="93"/>
      <c r="Q3318" s="111">
        <f>$R$3241</f>
        <v>0</v>
      </c>
      <c r="R3318" t="str">
        <f>$Q$3224</f>
        <v>L5</v>
      </c>
      <c r="S3318">
        <f>$E$24</f>
        <v>0</v>
      </c>
      <c r="T3318" cm="1">
        <f t="array" ref="T3318">IFERROR(IF(S3318=0,0,(INDEX($C$33:$C$38,MATCH($W$3241,$B$33:$B$38,0),0)*(S3319+$X$3241)+$T$3241*COUNTIF(S3318:S3318,"&gt;0")*$C$32+$V$3241*$C$31)*$R$3241),0)</f>
        <v>0</v>
      </c>
      <c r="U3318">
        <f>IF(S3318=0,0,-(COUNTIF(S3318:S3318,"&gt;0")*$T$3241*$C$32+$V$3241*$C$31)*$H$27*$R$3241)</f>
        <v>0</v>
      </c>
      <c r="V3318">
        <f>IF(S3318=0,0,$V$3241*$H$26*$R$3241)</f>
        <v>0</v>
      </c>
      <c r="W3318">
        <f>(0.6*T3318+0.7*U3318)*$R$3241/2</f>
        <v>0</v>
      </c>
      <c r="X3318">
        <f>T3318*$R$3241/2</f>
        <v>0</v>
      </c>
      <c r="Z3318">
        <f>IF(S3318=0,0,$AD$3241*$AP$3224)</f>
        <v>0</v>
      </c>
      <c r="AA3318">
        <f>IFERROR(Z3318/$R$3241,0)</f>
        <v>0</v>
      </c>
      <c r="AB3318">
        <f>Z3318*($F$24+IF($F$24=0,0,($C$14+$C$15+IF($C$13="single",1.5,3)+3)/12))</f>
        <v>0</v>
      </c>
      <c r="AC3318">
        <f>AB3318-W3318</f>
        <v>0</v>
      </c>
      <c r="AD3318" cm="1">
        <f t="array" ref="AD3318">IFERROR(IF(AC3318&lt;0,0,AC3318/($R$3241-INDEX(hd_off,MATCH(AQ3318,hd_mark,0),0)/12)),0)</f>
        <v>0</v>
      </c>
      <c r="AE3318">
        <f>IF(S3318=0,0,$AD$3241*$AM$3224)</f>
        <v>0</v>
      </c>
      <c r="AF3318">
        <f>IFERROR(AE3318/$R$3241,0)</f>
        <v>0</v>
      </c>
      <c r="AG3318">
        <f>AE3318*($F$24+IF($F$24=0,0,($C$14+$C$15+IF($C$13="single",1.5,3)+3)/12))</f>
        <v>0</v>
      </c>
      <c r="AH3318">
        <f>AG3318-X3318</f>
        <v>0</v>
      </c>
      <c r="AI3318" cm="1">
        <f t="array" ref="AI3318">IFERROR(IF(AH3318&lt;0,0,AH3318/($R$3241-INDEX(hd_off,MATCH(AQ3318,hd_mark,0),0)/12)),0)</f>
        <v>0</v>
      </c>
      <c r="AJ3318">
        <f>MAX($F$24,$AB$3241)/$Q$3252</f>
        <v>0</v>
      </c>
      <c r="AK3318">
        <f t="shared" si="2043"/>
        <v>0</v>
      </c>
      <c r="AL3318" cm="1">
        <f t="array" ref="AL3318">IFERROR(INDEX(sheath_ecap_asd,MATCH(AP3318,sheath_mark,0),0)*AK3318,0)</f>
        <v>0</v>
      </c>
      <c r="AM3318" cm="1">
        <f t="array" ref="AM3318">IFERROR(INDEX(sheath_wcap_asd,MATCH(AP3318,sheath_mark,0),0)*AK3318,0)</f>
        <v>0</v>
      </c>
      <c r="AN3318" cm="1">
        <f t="array" ref="AN3318">IFERROR(INDEX(hd_cap,MATCH(AQ3318,hd_mark,0),0),0)</f>
        <v>0</v>
      </c>
      <c r="AP3318" s="19"/>
      <c r="AQ3318" s="19"/>
      <c r="AR3318" s="100"/>
      <c r="AS3318" s="93"/>
      <c r="AT3318" s="111">
        <f>$R$3241</f>
        <v>0</v>
      </c>
      <c r="AU3318" t="str">
        <f>$Q$3224</f>
        <v>L5</v>
      </c>
      <c r="AV3318">
        <f>$E$24</f>
        <v>0</v>
      </c>
      <c r="AW3318" cm="1">
        <f t="array" ref="AW3318">IFERROR(IF(AV3318=0,0,(INDEX($C$33:$C$38,MATCH($AZ$3241,$B$33:$B$38,0),0)*(AV3319+$BA$3241)+$AW$3241*COUNTIF(AV3318:AV3318,"&gt;0")*$C$32+$AY$3241*$C$31)*$AU$3241),0)</f>
        <v>0</v>
      </c>
      <c r="AX3318">
        <f>IF(AV3318=0,0,-(COUNTIF(AV3318:AV3318,"&gt;0")*$AW$3241*$C$32+$AY$3241*$C$31)*$H$27*$AU$3241)</f>
        <v>0</v>
      </c>
      <c r="AY3318">
        <f>IF(AV3318=0,0,$AY$3241*$H$26*$AU$3241)</f>
        <v>0</v>
      </c>
      <c r="AZ3318">
        <f>(0.6*AW3318+0.7*AX3318)*$AU$3241/2</f>
        <v>0</v>
      </c>
      <c r="BA3318">
        <f>AW3318*$AU$3241/2</f>
        <v>0</v>
      </c>
      <c r="BC3318">
        <f>IF(AV3318=0,0,$BG$3241*$AP$3224)</f>
        <v>0</v>
      </c>
      <c r="BD3318">
        <f>IFERROR(BC3318/$AU$3241,0)</f>
        <v>0</v>
      </c>
      <c r="BE3318">
        <f>BC3318*($F$24+IF($F$24=0,0,($C$14+$C$15+IF($C$13="single",1.5,3)+3)/12))</f>
        <v>0</v>
      </c>
      <c r="BF3318">
        <f>BE3318-AZ3318</f>
        <v>0</v>
      </c>
      <c r="BG3318" cm="1">
        <f t="array" ref="BG3318">IFERROR(IF(BF3318&lt;0,0,BF3318/($AU$3241-INDEX(hd_off,MATCH(BT3318,hd_mark,0),0)/12)),0)</f>
        <v>0</v>
      </c>
      <c r="BH3318">
        <f>IF(AV3318=0,0,$BG$3241*$AM$3224)</f>
        <v>0</v>
      </c>
      <c r="BI3318">
        <f>IFERROR(BH3318/$AU$3241,0)</f>
        <v>0</v>
      </c>
      <c r="BJ3318">
        <f>BH3318*($F$24+IF($F$24=0,0,($C$14+$C$15+IF($C$13="single",1.5,3)+3)/12))</f>
        <v>0</v>
      </c>
      <c r="BK3318">
        <f>BJ3318-BA3318</f>
        <v>0</v>
      </c>
      <c r="BL3318" cm="1">
        <f t="array" ref="BL3318">IFERROR(IF(BK3318&lt;0,0,BK3318/($AU$3241-INDEX(hd_off,MATCH(BT3318,hd_mark,0),0)/12)),0)</f>
        <v>0</v>
      </c>
      <c r="BM3318">
        <f>MAX($F$24,$BE$3241)/$Q$3252</f>
        <v>0</v>
      </c>
      <c r="BN3318">
        <f t="shared" si="2044"/>
        <v>0</v>
      </c>
      <c r="BO3318" cm="1">
        <f t="array" ref="BO3318">IFERROR(INDEX(sheath_ecap_asd,MATCH(BS3318,sheath_mark,0),0)*BN3318,0)</f>
        <v>0</v>
      </c>
      <c r="BP3318" cm="1">
        <f t="array" ref="BP3318">IFERROR(INDEX(sheath_wcap_asd,MATCH(BS3318,sheath_mark,0),0)*BN3318,0)</f>
        <v>0</v>
      </c>
      <c r="BQ3318" cm="1">
        <f t="array" ref="BQ3318">IFERROR(INDEX(hd_cap,MATCH(BT3318,hd_mark,0),0),0)</f>
        <v>0</v>
      </c>
      <c r="BS3318" s="19"/>
      <c r="BT3318" s="19"/>
      <c r="BU3318" s="100"/>
    </row>
    <row r="3319" x14ac:dyDescent="0.25">
      <c r="P3319" s="93"/>
      <c r="Q3319" s="109"/>
      <c r="R3319" t="str">
        <f>$Q$3225</f>
        <v>Roof</v>
      </c>
      <c r="S3319">
        <f>$E$25</f>
        <v>33.171875</v>
      </c>
      <c r="T3319" cm="1">
        <f t="array" ref="T3319">IFERROR(IF(S3319=0,0,(INDEX($C$33:$C$38,MATCH($W$3241,$B$33:$B$38,0),0)*(S3319+$X$3241)+$V$3241*$C$31)*$R$3241),0)</f>
        <v>0</v>
      </c>
      <c r="U3319">
        <f>IF(S3319=0,0,-$V$3241*$C$31*$H$27*$R$3241)</f>
        <v>0</v>
      </c>
      <c r="V3319">
        <f>IF(S3319=0,0,$V$3241*$H$26*$R$3241)</f>
        <v>0</v>
      </c>
      <c r="W3319">
        <f>(0.6*T3319+0.7*U3319)*$R$3241/2</f>
        <v>0</v>
      </c>
      <c r="X3319">
        <f>T3319*$R$3241/2</f>
        <v>0</v>
      </c>
      <c r="Z3319">
        <f>IF(S3319=0,0,$AD$3241*$AP$3225)</f>
        <v>0</v>
      </c>
      <c r="AA3319">
        <f>IFERROR(Z3319/$R$3241,0)</f>
        <v>0</v>
      </c>
      <c r="AB3319">
        <f>Z3319*($F$25+($C$16+$C$17+IF($C$13="single",1.5,3)+3)/12)</f>
        <v>0</v>
      </c>
      <c r="AC3319">
        <f>AB3319-W3319</f>
        <v>0</v>
      </c>
      <c r="AD3319" cm="1">
        <f t="array" ref="AD3319">IFERROR(IF(AC3319&lt;0,0,AC3319/($R$3241-INDEX(hd_off,MATCH(AQ3319,hd_mark,0),0)/12)),0)</f>
        <v>0</v>
      </c>
      <c r="AE3319">
        <f>IF(S3319=0,0,$AD$3241*$AM$3225)</f>
        <v>0</v>
      </c>
      <c r="AF3319">
        <f>IFERROR(AE3319/$R$3241,0)</f>
        <v>0</v>
      </c>
      <c r="AG3319">
        <f>AE3319*($F$25+($C$16+$C$17+IF($C$13="single",1.5,3)+3)/12)</f>
        <v>0</v>
      </c>
      <c r="AH3319">
        <f>AG3319-X3319</f>
        <v>0</v>
      </c>
      <c r="AI3319" cm="1">
        <f t="array" ref="AI3319">IFERROR(IF(AH3319&lt;0,0,AH3319/($R$3241-INDEX(hd_off,MATCH(AQ3319,hd_mark,0),0)/12)),0)</f>
        <v>0</v>
      </c>
      <c r="AJ3319">
        <f>MAX($F$25,$AC$3241)/$Q$3252</f>
        <v>0.29920977011494249</v>
      </c>
      <c r="AK3319">
        <f t="shared" si="2043"/>
        <v>1</v>
      </c>
      <c r="AL3319" cm="1">
        <f t="array" ref="AL3319">IFERROR(INDEX(sheath_ecap_asd,MATCH(AP3319,sheath_mark,0),0)*AK3319,0)</f>
        <v>0</v>
      </c>
      <c r="AM3319" cm="1">
        <f t="array" ref="AM3319">IFERROR(INDEX(sheath_wcap_asd,MATCH(AP3319,sheath_mark,0),0)*AK3319,0)</f>
        <v>0</v>
      </c>
      <c r="AN3319" cm="1">
        <f t="array" ref="AN3319">IFERROR(INDEX(hd_cap,MATCH(AQ3319,hd_mark,0),0),0)</f>
        <v>0</v>
      </c>
      <c r="AP3319" s="19"/>
      <c r="AQ3319" s="19"/>
      <c r="AR3319" s="100"/>
      <c r="AS3319" s="93"/>
      <c r="AT3319" s="109"/>
      <c r="AU3319" t="str">
        <f>$Q$3225</f>
        <v>Roof</v>
      </c>
      <c r="AV3319">
        <f>$E$25</f>
        <v>33.171875</v>
      </c>
      <c r="AW3319" cm="1">
        <f t="array" ref="AW3319">IFERROR(IF(AV3319=0,0,(INDEX($C$33:$C$38,MATCH($AZ$3241,$B$33:$B$38,0),0)*(AV3319+$BA$3241)+$AY$3241*$C$31)*$AU$3241),0)</f>
        <v>0</v>
      </c>
      <c r="AX3319">
        <f>IF(AV3319=0,0,-$AY$3241*$C$31*$H$27*$AU$3241)</f>
        <v>0</v>
      </c>
      <c r="AY3319">
        <f>IF(AV3319=0,0,$AY$3241*$H$26*$AU$3241)</f>
        <v>0</v>
      </c>
      <c r="AZ3319">
        <f>(0.6*AW3319+0.7*AX3319)*$AU$3241/2</f>
        <v>0</v>
      </c>
      <c r="BA3319">
        <f>AW3319*$AU$3241/2</f>
        <v>0</v>
      </c>
      <c r="BC3319">
        <f>IF(AV3319=0,0,$BG$3241*$AP$3225)</f>
        <v>0</v>
      </c>
      <c r="BD3319">
        <f>IFERROR(BC3319/$AU$3241,0)</f>
        <v>0</v>
      </c>
      <c r="BE3319">
        <f>BC3319*($F$25+($C$16+$C$17+IF($C$13="single",1.5,3)+3)/12)</f>
        <v>0</v>
      </c>
      <c r="BF3319">
        <f>BE3319-AZ3319</f>
        <v>0</v>
      </c>
      <c r="BG3319" cm="1">
        <f t="array" ref="BG3319">IFERROR(IF(BF3319&lt;0,0,BF3319/($AU$3241-INDEX(hd_off,MATCH(BT3319,hd_mark,0),0)/12)),0)</f>
        <v>0</v>
      </c>
      <c r="BH3319">
        <f>IF(AV3319=0,0,$BG$3241*$AM$3225)</f>
        <v>0</v>
      </c>
      <c r="BI3319">
        <f>IFERROR(BH3319/$AU$3241,0)</f>
        <v>0</v>
      </c>
      <c r="BJ3319">
        <f>BH3319*($F$25+($C$16+$C$17+IF($C$13="single",1.5,3)+3)/12)</f>
        <v>0</v>
      </c>
      <c r="BK3319">
        <f>BJ3319-BA3319</f>
        <v>0</v>
      </c>
      <c r="BL3319" cm="1">
        <f t="array" ref="BL3319">IFERROR(IF(BK3319&lt;0,0,BK3319/($AU$3241-INDEX(hd_off,MATCH(BT3319,hd_mark,0),0)/12)),0)</f>
        <v>0</v>
      </c>
      <c r="BM3319">
        <f>MAX($F$25,$BF$3241)/$Q$3252</f>
        <v>0.29920977011494249</v>
      </c>
      <c r="BN3319">
        <f t="shared" si="2044"/>
        <v>1</v>
      </c>
      <c r="BO3319" cm="1">
        <f t="array" ref="BO3319">IFERROR(INDEX(sheath_ecap_asd,MATCH(BS3319,sheath_mark,0),0)*BN3319,0)</f>
        <v>0</v>
      </c>
      <c r="BP3319" cm="1">
        <f t="array" ref="BP3319">IFERROR(INDEX(sheath_wcap_asd,MATCH(BS3319,sheath_mark,0),0)*BN3319,0)</f>
        <v>0</v>
      </c>
      <c r="BQ3319" cm="1">
        <f t="array" ref="BQ3319">IFERROR(INDEX(hd_cap,MATCH(BT3319,hd_mark,0),0),0)</f>
        <v>0</v>
      </c>
      <c r="BS3319" s="19"/>
      <c r="BT3319" s="19"/>
      <c r="BU3319" s="100"/>
    </row>
    <row r="3320" x14ac:dyDescent="0.25">
      <c r="P3320" s="93"/>
      <c r="AR3320" s="100"/>
      <c r="AS3320" s="93"/>
      <c r="BU3320" s="100"/>
    </row>
    <row r="3321" x14ac:dyDescent="0.25">
      <c r="P3321" s="93"/>
      <c r="Q3321" s="110" t="str">
        <f>$Q$3242</f>
        <v>A.13</v>
      </c>
      <c r="R3321" t="str">
        <f>$Q$3221</f>
        <v>L2</v>
      </c>
      <c r="S3321">
        <f>$E$21</f>
        <v>10.6875</v>
      </c>
      <c r="T3321" cm="1">
        <f t="array" ref="T3321">IFERROR(IF(S3321=0,0,(INDEX($C$33:$C$38,MATCH($W$3242,$B$33:$B$38,0),0)*(S3325+$X$3242)+$T$3242*COUNTIF(S3321:S3324,"&gt;0")*$C$32+$V$3242*$C$31)*$R$3242),0)</f>
        <v>0</v>
      </c>
      <c r="U3321">
        <f>IF(S3321=0,0,-(COUNTIF(S3321:S3324,"&gt;0")*$T$3242*$C$32+$V$3242*$C$31)*$H$27*$R$3242)</f>
        <v>0</v>
      </c>
      <c r="V3321">
        <f>IF(S3321=0,0,$V$3242*$H$26*$R$3242)</f>
        <v>0</v>
      </c>
      <c r="W3321">
        <f>(0.6*T3321+0.7*U3321)*$R$3242/2</f>
        <v>0</v>
      </c>
      <c r="X3321">
        <f>(0.6*T3321+0.6*V3321)*$R$3242/2</f>
        <v>0</v>
      </c>
      <c r="Z3321">
        <f>IF(S3321=0,0,$AD$3242*$AP$3221)</f>
        <v>0</v>
      </c>
      <c r="AA3321">
        <f>IFERROR(Z3321/$R$3242,0)</f>
        <v>0</v>
      </c>
      <c r="AB3321">
        <f>Z3321*($F$21+IF($F$21=0,0,($C$14+$C$15+IF($C$13="single",1.5,3)+3)/12))</f>
        <v>0</v>
      </c>
      <c r="AC3321">
        <f>AB3321-W3321</f>
        <v>0</v>
      </c>
      <c r="AD3321" cm="1">
        <f t="array" ref="AD3321">IFERROR(IF(AC3321&lt;0,0,AC3321/($R$3242-INDEX(hd_off,MATCH(AQ3321,hd_mark,0),0)/12)),0)</f>
        <v>0</v>
      </c>
      <c r="AE3321">
        <f>IF(S3321=0,0,$AD$3242*$AM$3221)</f>
        <v>0</v>
      </c>
      <c r="AF3321">
        <f>IFERROR(AE3321/$R$3242,0)</f>
        <v>0</v>
      </c>
      <c r="AG3321">
        <f>AE3321*($F$21+IF($F$21=0,0,($C$14+$C$15+IF($C$13="single",1.5,3)+3)/12))</f>
        <v>0</v>
      </c>
      <c r="AH3321">
        <f>AG3321-X3321</f>
        <v>0</v>
      </c>
      <c r="AI3321" cm="1">
        <f t="array" ref="AI3321">IFERROR(IF(AH3321&lt;0,0,AH3321/($R$3242-INDEX(hd_off,MATCH(AQ3321,hd_mark,0),0)/12)),0)</f>
        <v>0</v>
      </c>
      <c r="AJ3321">
        <f>MAX($F$21,$Y$3242)/$Q$3252</f>
        <v>0.30172413793103448</v>
      </c>
      <c r="AK3321">
        <f>IF(AJ3321=0,0,IF(AJ3321&gt;2,1.25-0.125*AJ3321,1))</f>
        <v>1</v>
      </c>
      <c r="AL3321" cm="1">
        <f t="array" ref="AL3321">IFERROR(INDEX(sheath_ecap_asd,MATCH(AP3321,sheath_mark,0),0)*AK3321,0)</f>
        <v>0</v>
      </c>
      <c r="AM3321" cm="1">
        <f t="array" ref="AM3321">IFERROR(INDEX(sheath_wcap_asd,MATCH(AP3321,sheath_mark,0),0)*AK3321,0)</f>
        <v>0</v>
      </c>
      <c r="AN3321" cm="1">
        <f t="array" ref="AN3321">IFERROR(INDEX(hd_cap,MATCH(AQ3321,hd_mark,0),0),0)</f>
        <v>0</v>
      </c>
      <c r="AP3321" s="19"/>
      <c r="AQ3321" s="19"/>
      <c r="AR3321" s="100"/>
      <c r="AS3321" s="93"/>
      <c r="AT3321" s="110" t="str">
        <f>$AT$3242</f>
        <v>1.13</v>
      </c>
      <c r="AU3321" t="str">
        <f>$Q$3221</f>
        <v>L2</v>
      </c>
      <c r="AV3321">
        <f>$E$21</f>
        <v>10.6875</v>
      </c>
      <c r="AW3321" cm="1">
        <f t="array" ref="AW3321">IFERROR(IF(AV3321=0,0,(INDEX($C$33:$C$38,MATCH($AZ$3242,$B$33:$B$38,0),0)*(AV3325+$BA$3242)+$AW$3242*COUNTIF(AV3321:AV3324,"&gt;0")*$C$32+$AY$3242*$C$31)*$AU$3242),0)</f>
        <v>0</v>
      </c>
      <c r="AX3321">
        <f>IF(AV3321=0,0,-(COUNTIF(AV3321:AV3324,"&gt;0")*$AW$3242*$C$32+$AY$3242*$C$31)*$H$27*$AU$3242)</f>
        <v>0</v>
      </c>
      <c r="AY3321">
        <f>IF(AV3321=0,0,$AY$3242*$H$26*$AU$3242)</f>
        <v>0</v>
      </c>
      <c r="AZ3321">
        <f>(0.6*AW3321+0.7*AX3321)*$AU$3242/2</f>
        <v>0</v>
      </c>
      <c r="BA3321">
        <f>(0.6*AW3321+0.6*AY3321)*$AU$3242/2</f>
        <v>0</v>
      </c>
      <c r="BC3321">
        <f>IF(AV3321=0,0,$BG$3242*$AP$3221)</f>
        <v>0</v>
      </c>
      <c r="BD3321">
        <f>IFERROR(BC3321/$AU$3242,0)</f>
        <v>0</v>
      </c>
      <c r="BE3321">
        <f>BC3321*($F$21+IF($F$21=0,0,($C$14+$C$15+IF($C$13="single",1.5,3)+3)/12))</f>
        <v>0</v>
      </c>
      <c r="BF3321">
        <f>BE3321-AZ3321</f>
        <v>0</v>
      </c>
      <c r="BG3321" cm="1">
        <f t="array" ref="BG3321">IFERROR(IF(BF3321&lt;0,0,BF3321/($AU$3242-INDEX(hd_off,MATCH(BT3321,hd_mark,0),0)/12)),0)</f>
        <v>0</v>
      </c>
      <c r="BH3321">
        <f>IF(AV3321=0,0,$BG$3242*$AM$3221)</f>
        <v>0</v>
      </c>
      <c r="BI3321">
        <f>IFERROR(BH3321/$AU$3242,0)</f>
        <v>0</v>
      </c>
      <c r="BJ3321">
        <f>BH3321*($F$21+IF($F$21=0,0,($C$14+$C$15+IF($C$13="single",1.5,3)+3)/12))</f>
        <v>0</v>
      </c>
      <c r="BK3321">
        <f>BJ3321-BA3321</f>
        <v>0</v>
      </c>
      <c r="BL3321" cm="1">
        <f t="array" ref="BL3321">IFERROR(IF(BK3321&lt;0,0,BK3321/($AU$3242-INDEX(hd_off,MATCH(BT3321,hd_mark,0),0)/12)),0)</f>
        <v>0</v>
      </c>
      <c r="BM3321">
        <f>MAX($F$21,$BB$3242)/$Q$3252</f>
        <v>0.30172413793103448</v>
      </c>
      <c r="BN3321">
        <f>IF(BM3321=0,0,IF(BM3321&gt;2,1.25-0.125*BM3321,1))</f>
        <v>1</v>
      </c>
      <c r="BO3321" cm="1">
        <f t="array" ref="BO3321">IFERROR(INDEX(sheath_ecap_asd,MATCH(BS3321,sheath_mark,0),0)*BN3321,0)</f>
        <v>0</v>
      </c>
      <c r="BP3321" cm="1">
        <f t="array" ref="BP3321">IFERROR(INDEX(sheath_wcap_asd,MATCH(BS3321,sheath_mark,0),0)*BN3321,0)</f>
        <v>0</v>
      </c>
      <c r="BQ3321" cm="1">
        <f t="array" ref="BQ3321">IFERROR(INDEX(hd_cap,MATCH(BT3321,hd_mark,0),0),0)</f>
        <v>0</v>
      </c>
      <c r="BS3321" s="19"/>
      <c r="BT3321" s="19"/>
      <c r="BU3321" s="100"/>
    </row>
    <row r="3322" x14ac:dyDescent="0.25">
      <c r="P3322" s="93"/>
      <c r="Q3322" s="109"/>
      <c r="R3322" t="str">
        <f>$Q$3222</f>
        <v>L3</v>
      </c>
      <c r="S3322">
        <f>$E$22</f>
        <v>21.375</v>
      </c>
      <c r="T3322" cm="1">
        <f t="array" ref="T3322">IFERROR(IF(S3322=0,0,(INDEX($C$33:$C$38,MATCH($W$3242,$B$33:$B$38,0),0)*(S3325+$X$3242)+$T$3242*COUNTIF(S3322:S3324,"&gt;0")*$C$32+$V$3242*$C$31)*$R$3242),0)</f>
        <v>0</v>
      </c>
      <c r="U3322">
        <f>IF(S3322=0,0,-(COUNTIF(S3322:S3324,"&gt;0")*$T$3242*$C$32+$V$3242*$C$31)*$H$27*$R$3242)</f>
        <v>0</v>
      </c>
      <c r="V3322">
        <f>IF(S3322=0,0,$V$3242*$H$26*$R$3242)</f>
        <v>0</v>
      </c>
      <c r="W3322">
        <f>(0.6*T3322+0.7*U3322)*$R$3242/2</f>
        <v>0</v>
      </c>
      <c r="X3322">
        <f>T3322*$R$3242/2</f>
        <v>0</v>
      </c>
      <c r="Z3322">
        <f>IF(S3322=0,0,$AD$3242*$AP$3222)</f>
        <v>0</v>
      </c>
      <c r="AA3322">
        <f>IFERROR(Z3322/$R$3242,0)</f>
        <v>0</v>
      </c>
      <c r="AB3322">
        <f>Z3322*($F$22+IF($F$22=0,0,($C$14+$C$15+IF($C$13="single",1.5,3)+3)/12))</f>
        <v>0</v>
      </c>
      <c r="AC3322">
        <f>AB3322-W3322</f>
        <v>0</v>
      </c>
      <c r="AD3322" cm="1">
        <f t="array" ref="AD3322">IFERROR(IF(AC3322&lt;0,0,AC3322/($R$3242-INDEX(hd_off,MATCH(AQ3322,hd_mark,0),0)/12)),0)</f>
        <v>0</v>
      </c>
      <c r="AE3322">
        <f>IF(S3322=0,0,$AD$3242*$AM$3222)</f>
        <v>0</v>
      </c>
      <c r="AF3322">
        <f>IFERROR(AE3322/$R$3242,0)</f>
        <v>0</v>
      </c>
      <c r="AG3322">
        <f>AE3322*($F$22+IF($F$22=0,0,($C$14+$C$15+IF($C$13="single",1.5,3)+3)/12))</f>
        <v>0</v>
      </c>
      <c r="AH3322">
        <f>AG3322-X3322</f>
        <v>0</v>
      </c>
      <c r="AI3322" cm="1">
        <f t="array" ref="AI3322">IFERROR(IF(AH3322&lt;0,0,AH3322/($R$3242-INDEX(hd_off,MATCH(AQ3322,hd_mark,0),0)/12)),0)</f>
        <v>0</v>
      </c>
      <c r="AJ3322">
        <f>MAX($F$22,$Z$3242)/$Q$3252</f>
        <v>0.30172413793103448</v>
      </c>
      <c r="AK3322">
        <f t="shared" ref="AK3322:AK3325" si="2045">IF(AJ3322=0,0,IF(AJ3322&gt;2,1.25-0.125*AJ3322,1))</f>
        <v>1</v>
      </c>
      <c r="AL3322" cm="1">
        <f t="array" ref="AL3322">IFERROR(INDEX(sheath_ecap_asd,MATCH(AP3322,sheath_mark,0),0)*AK3322,0)</f>
        <v>0</v>
      </c>
      <c r="AM3322" cm="1">
        <f t="array" ref="AM3322">IFERROR(INDEX(sheath_wcap_asd,MATCH(AP3322,sheath_mark,0),0)*AK3322,0)</f>
        <v>0</v>
      </c>
      <c r="AN3322" cm="1">
        <f t="array" ref="AN3322">IFERROR(INDEX(hd_cap,MATCH(AQ3322,hd_mark,0),0),0)</f>
        <v>0</v>
      </c>
      <c r="AP3322" s="19"/>
      <c r="AQ3322" s="19"/>
      <c r="AR3322" s="100"/>
      <c r="AS3322" s="93"/>
      <c r="AT3322" s="109"/>
      <c r="AU3322" t="str">
        <f>$Q$3222</f>
        <v>L3</v>
      </c>
      <c r="AV3322">
        <f>$E$22</f>
        <v>21.375</v>
      </c>
      <c r="AW3322" cm="1">
        <f t="array" ref="AW3322">IFERROR(IF(AV3322=0,0,(INDEX($C$33:$C$38,MATCH($AZ$3242,$B$33:$B$38,0),0)*(AV3325+$BA$3242)+$AW$3242*COUNTIF(AV3322:AV3324,"&gt;0")*$C$32+$AY$3242*$C$31)*$AU$3242),0)</f>
        <v>0</v>
      </c>
      <c r="AX3322">
        <f>IF(AV3322=0,0,-(COUNTIF(AV3322:AV3324,"&gt;0")*$AW$3242*$C$32+$AY$3242*$C$31)*$H$27*$AU$3242)</f>
        <v>0</v>
      </c>
      <c r="AY3322">
        <f>IF(AV3322=0,0,$AY$3242*$H$26*$AU$3242)</f>
        <v>0</v>
      </c>
      <c r="AZ3322">
        <f>(0.6*AW3322+0.7*AX3322)*$AU$3242/2</f>
        <v>0</v>
      </c>
      <c r="BA3322">
        <f>AW3322*$AU$3242/2</f>
        <v>0</v>
      </c>
      <c r="BC3322">
        <f>IF(AV3322=0,0,$BG$3242*$AP$3222)</f>
        <v>0</v>
      </c>
      <c r="BD3322">
        <f>IFERROR(BC3322/$AU$3242,0)</f>
        <v>0</v>
      </c>
      <c r="BE3322">
        <f>BC3322*($F$22+IF($F$22=0,0,($C$14+$C$15+IF($C$13="single",1.5,3)+3)/12))</f>
        <v>0</v>
      </c>
      <c r="BF3322">
        <f>BE3322-AZ3322</f>
        <v>0</v>
      </c>
      <c r="BG3322" cm="1">
        <f t="array" ref="BG3322">IFERROR(IF(BF3322&lt;0,0,BF3322/($AU$3242-INDEX(hd_off,MATCH(BT3322,hd_mark,0),0)/12)),0)</f>
        <v>0</v>
      </c>
      <c r="BH3322">
        <f>IF(AV3322=0,0,$BG$3242*$AM$3222)</f>
        <v>0</v>
      </c>
      <c r="BI3322">
        <f>IFERROR(BH3322/$AU$3242,0)</f>
        <v>0</v>
      </c>
      <c r="BJ3322">
        <f>BH3322*($F$22+IF($F$22=0,0,($C$14+$C$15+IF($C$13="single",1.5,3)+3)/12))</f>
        <v>0</v>
      </c>
      <c r="BK3322">
        <f>BJ3322-BA3322</f>
        <v>0</v>
      </c>
      <c r="BL3322" cm="1">
        <f t="array" ref="BL3322">IFERROR(IF(BK3322&lt;0,0,BK3322/($AU$3242-INDEX(hd_off,MATCH(BT3322,hd_mark,0),0)/12)),0)</f>
        <v>0</v>
      </c>
      <c r="BM3322">
        <f>MAX($F$22,$BC$3242)/$Q$3252</f>
        <v>0.30172413793103448</v>
      </c>
      <c r="BN3322">
        <f t="shared" ref="BN3322:BN3325" si="2046">IF(BM3322=0,0,IF(BM3322&gt;2,1.25-0.125*BM3322,1))</f>
        <v>1</v>
      </c>
      <c r="BO3322" cm="1">
        <f t="array" ref="BO3322">IFERROR(INDEX(sheath_ecap_asd,MATCH(BS3322,sheath_mark,0),0)*BN3322,0)</f>
        <v>0</v>
      </c>
      <c r="BP3322" cm="1">
        <f t="array" ref="BP3322">IFERROR(INDEX(sheath_wcap_asd,MATCH(BS3322,sheath_mark,0),0)*BN3322,0)</f>
        <v>0</v>
      </c>
      <c r="BQ3322" cm="1">
        <f t="array" ref="BQ3322">IFERROR(INDEX(hd_cap,MATCH(BT3322,hd_mark,0),0),0)</f>
        <v>0</v>
      </c>
      <c r="BS3322" s="19"/>
      <c r="BT3322" s="19"/>
      <c r="BU3322" s="100"/>
    </row>
    <row r="3323" x14ac:dyDescent="0.25">
      <c r="P3323" s="93"/>
      <c r="Q3323" s="109" t="s">
        <v>491</v>
      </c>
      <c r="R3323" t="str">
        <f>$Q$3223</f>
        <v>L4</v>
      </c>
      <c r="S3323">
        <f>$E$23</f>
        <v>0</v>
      </c>
      <c r="T3323" cm="1">
        <f t="array" ref="T3323">IFERROR(IF(S3323=0,0,(INDEX($C$33:$C$38,MATCH($W$3242,$B$33:$B$38,0),0)*(S3325+$X$3242)+$T$3242*COUNTIF(S3323:S3324,"&gt;0")*$C$32+$V$3242*$C$31)*$R$3242),0)</f>
        <v>0</v>
      </c>
      <c r="U3323">
        <f>IF(S3323=0,0,-(COUNTIF(S3323:S3324,"&gt;0")*$T$3242*$C$32+$V$3242*$C$31)*$H$27*$R$3242)</f>
        <v>0</v>
      </c>
      <c r="V3323">
        <f>IF(S3323=0,0,$V$3242*$H$26*$R$3242)</f>
        <v>0</v>
      </c>
      <c r="W3323">
        <f>(0.6*T3323+0.7*U3323)*$R$3242/2</f>
        <v>0</v>
      </c>
      <c r="X3323">
        <f>T3323*$R$3242/2</f>
        <v>0</v>
      </c>
      <c r="Z3323">
        <f>IF(S3323=0,0,$AD$3242*$AP$3223)</f>
        <v>0</v>
      </c>
      <c r="AA3323">
        <f>IFERROR(Z3323/$R$3242,0)</f>
        <v>0</v>
      </c>
      <c r="AB3323">
        <f>Z3323*($F$23+IF($F$23=0,0,($C$14+$C$15+IF($C$13="single",1.5,3)+3)/12))</f>
        <v>0</v>
      </c>
      <c r="AC3323">
        <f>AB3323-W3323</f>
        <v>0</v>
      </c>
      <c r="AD3323" cm="1">
        <f t="array" ref="AD3323">IFERROR(IF(AC3323&lt;0,0,AC3323/($R$3242-INDEX(hd_off,MATCH(AQ3323,hd_mark,0),0)/12)),0)</f>
        <v>0</v>
      </c>
      <c r="AE3323">
        <f>IF(S3323=0,0,$AD$3242*$AM$3223)</f>
        <v>0</v>
      </c>
      <c r="AF3323">
        <f>IFERROR(AE3323/$R$3242,0)</f>
        <v>0</v>
      </c>
      <c r="AG3323">
        <f>AE3323*($F$23+IF($F$23=0,0,($C$14+$C$15+IF($C$13="single",1.5,3)+3)/12))</f>
        <v>0</v>
      </c>
      <c r="AH3323">
        <f>AG3323-X3323</f>
        <v>0</v>
      </c>
      <c r="AI3323" cm="1">
        <f t="array" ref="AI3323">IFERROR(IF(AH3323&lt;0,0,AH3323/($R$3242-INDEX(hd_off,MATCH(AQ3323,hd_mark,0),0)/12)),0)</f>
        <v>0</v>
      </c>
      <c r="AJ3323">
        <f>MAX($F$23,$AA$3242)/$Q$3252</f>
        <v>0</v>
      </c>
      <c r="AK3323">
        <f t="shared" si="2045"/>
        <v>0</v>
      </c>
      <c r="AL3323" cm="1">
        <f t="array" ref="AL3323">IFERROR(INDEX(sheath_ecap_asd,MATCH(AP3323,sheath_mark,0),0)*AK3323,0)</f>
        <v>0</v>
      </c>
      <c r="AM3323" cm="1">
        <f t="array" ref="AM3323">IFERROR(INDEX(sheath_wcap_asd,MATCH(AP3323,sheath_mark,0),0)*AK3323,0)</f>
        <v>0</v>
      </c>
      <c r="AN3323" cm="1">
        <f t="array" ref="AN3323">IFERROR(INDEX(hd_cap,MATCH(AQ3323,hd_mark,0),0),0)</f>
        <v>0</v>
      </c>
      <c r="AP3323" s="19"/>
      <c r="AQ3323" s="19"/>
      <c r="AR3323" s="100"/>
      <c r="AS3323" s="93"/>
      <c r="AT3323" s="109" t="s">
        <v>491</v>
      </c>
      <c r="AU3323" t="str">
        <f>$Q$3223</f>
        <v>L4</v>
      </c>
      <c r="AV3323">
        <f>$E$23</f>
        <v>0</v>
      </c>
      <c r="AW3323" cm="1">
        <f t="array" ref="AW3323">IFERROR(IF(AV3323=0,0,(INDEX($C$33:$C$38,MATCH($AZ$3242,$B$33:$B$38,0),0)*(AV3325+$BA$3242)+$AW$3242*COUNTIF(AV3323:AV3324,"&gt;0")*$C$32+$AY$3242*$C$31)*$AU$3242),0)</f>
        <v>0</v>
      </c>
      <c r="AX3323">
        <f>IF(AV3323=0,0,-(COUNTIF(AV3323:AV3324,"&gt;0")*$AW$3242*$C$32+$AY$3242*$C$31)*$H$27*$AU$3242)</f>
        <v>0</v>
      </c>
      <c r="AY3323">
        <f>IF(AV3323=0,0,$AY$3242*$H$26*$AU$3242)</f>
        <v>0</v>
      </c>
      <c r="AZ3323">
        <f>(0.6*AW3323+0.7*AX3323)*$AU$3242/2</f>
        <v>0</v>
      </c>
      <c r="BA3323">
        <f>AW3323*$AU$3242/2</f>
        <v>0</v>
      </c>
      <c r="BC3323">
        <f>IF(AV3323=0,0,$BG$3242*$AP$3223)</f>
        <v>0</v>
      </c>
      <c r="BD3323">
        <f>IFERROR(BC3323/$AU$3242,0)</f>
        <v>0</v>
      </c>
      <c r="BE3323">
        <f>BC3323*($F$23+IF($F$23=0,0,($C$14+$C$15+IF($C$13="single",1.5,3)+3)/12))</f>
        <v>0</v>
      </c>
      <c r="BF3323">
        <f>BE3323-AZ3323</f>
        <v>0</v>
      </c>
      <c r="BG3323" cm="1">
        <f t="array" ref="BG3323">IFERROR(IF(BF3323&lt;0,0,BF3323/($AU$3242-INDEX(hd_off,MATCH(BT3323,hd_mark,0),0)/12)),0)</f>
        <v>0</v>
      </c>
      <c r="BH3323">
        <f>IF(AV3323=0,0,$BG$3242*$AM$3223)</f>
        <v>0</v>
      </c>
      <c r="BI3323">
        <f>IFERROR(BH3323/$AU$3242,0)</f>
        <v>0</v>
      </c>
      <c r="BJ3323">
        <f>BH3323*($F$23+IF($F$23=0,0,($C$14+$C$15+IF($C$13="single",1.5,3)+3)/12))</f>
        <v>0</v>
      </c>
      <c r="BK3323">
        <f>BJ3323-BA3323</f>
        <v>0</v>
      </c>
      <c r="BL3323" cm="1">
        <f t="array" ref="BL3323">IFERROR(IF(BK3323&lt;0,0,BK3323/($AU$3242-INDEX(hd_off,MATCH(BT3323,hd_mark,0),0)/12)),0)</f>
        <v>0</v>
      </c>
      <c r="BM3323">
        <f>MAX($F$23,$BD$3242)/$Q$3252</f>
        <v>0</v>
      </c>
      <c r="BN3323">
        <f t="shared" si="2046"/>
        <v>0</v>
      </c>
      <c r="BO3323" cm="1">
        <f t="array" ref="BO3323">IFERROR(INDEX(sheath_ecap_asd,MATCH(BS3323,sheath_mark,0),0)*BN3323,0)</f>
        <v>0</v>
      </c>
      <c r="BP3323" cm="1">
        <f t="array" ref="BP3323">IFERROR(INDEX(sheath_wcap_asd,MATCH(BS3323,sheath_mark,0),0)*BN3323,0)</f>
        <v>0</v>
      </c>
      <c r="BQ3323" cm="1">
        <f t="array" ref="BQ3323">IFERROR(INDEX(hd_cap,MATCH(BT3323,hd_mark,0),0),0)</f>
        <v>0</v>
      </c>
      <c r="BS3323" s="19"/>
      <c r="BT3323" s="19"/>
      <c r="BU3323" s="100"/>
    </row>
    <row r="3324" x14ac:dyDescent="0.25">
      <c r="P3324" s="93"/>
      <c r="Q3324" s="111">
        <f>$R$3242</f>
        <v>0</v>
      </c>
      <c r="R3324" t="str">
        <f>$Q$3224</f>
        <v>L5</v>
      </c>
      <c r="S3324">
        <f>$E$24</f>
        <v>0</v>
      </c>
      <c r="T3324" cm="1">
        <f t="array" ref="T3324">IFERROR(IF(S3324=0,0,(INDEX($C$33:$C$38,MATCH($W$3242,$B$33:$B$38,0),0)*(S3325+$X$3242)+$T$3242*COUNTIF(S3324:S3324,"&gt;0")*$C$32+$V$3242*$C$31)*$R$3242),0)</f>
        <v>0</v>
      </c>
      <c r="U3324">
        <f>IF(S3324=0,0,-(COUNTIF(S3324:S3324,"&gt;0")*$T$3242*$C$32+$V$3242*$C$31)*$H$27*$R$3242)</f>
        <v>0</v>
      </c>
      <c r="V3324">
        <f>IF(S3324=0,0,$V$3242*$H$26*$R$3242)</f>
        <v>0</v>
      </c>
      <c r="W3324">
        <f>(0.6*T3324+0.7*U3324)*$R$3242/2</f>
        <v>0</v>
      </c>
      <c r="X3324">
        <f>T3324*$R$3242/2</f>
        <v>0</v>
      </c>
      <c r="Z3324">
        <f>IF(S3324=0,0,$AD$3242*$AP$3224)</f>
        <v>0</v>
      </c>
      <c r="AA3324">
        <f>IFERROR(Z3324/$R$3242,0)</f>
        <v>0</v>
      </c>
      <c r="AB3324">
        <f>Z3324*($F$24+IF($F$24=0,0,($C$14+$C$15+IF($C$13="single",1.5,3)+3)/12))</f>
        <v>0</v>
      </c>
      <c r="AC3324">
        <f>AB3324-W3324</f>
        <v>0</v>
      </c>
      <c r="AD3324" cm="1">
        <f t="array" ref="AD3324">IFERROR(IF(AC3324&lt;0,0,AC3324/($R$3242-INDEX(hd_off,MATCH(AQ3324,hd_mark,0),0)/12)),0)</f>
        <v>0</v>
      </c>
      <c r="AE3324">
        <f>IF(S3324=0,0,$AD$3242*$AM$3224)</f>
        <v>0</v>
      </c>
      <c r="AF3324">
        <f>IFERROR(AE3324/$R$3242,0)</f>
        <v>0</v>
      </c>
      <c r="AG3324">
        <f>AE3324*($F$24+IF($F$24=0,0,($C$14+$C$15+IF($C$13="single",1.5,3)+3)/12))</f>
        <v>0</v>
      </c>
      <c r="AH3324">
        <f>AG3324-X3324</f>
        <v>0</v>
      </c>
      <c r="AI3324" cm="1">
        <f t="array" ref="AI3324">IFERROR(IF(AH3324&lt;0,0,AH3324/($R$3242-INDEX(hd_off,MATCH(AQ3324,hd_mark,0),0)/12)),0)</f>
        <v>0</v>
      </c>
      <c r="AJ3324">
        <f>MAX($F$24,$AB$3242)/$Q$3252</f>
        <v>0</v>
      </c>
      <c r="AK3324">
        <f t="shared" si="2045"/>
        <v>0</v>
      </c>
      <c r="AL3324" cm="1">
        <f t="array" ref="AL3324">IFERROR(INDEX(sheath_ecap_asd,MATCH(AP3324,sheath_mark,0),0)*AK3324,0)</f>
        <v>0</v>
      </c>
      <c r="AM3324" cm="1">
        <f t="array" ref="AM3324">IFERROR(INDEX(sheath_wcap_asd,MATCH(AP3324,sheath_mark,0),0)*AK3324,0)</f>
        <v>0</v>
      </c>
      <c r="AN3324" cm="1">
        <f t="array" ref="AN3324">IFERROR(INDEX(hd_cap,MATCH(AQ3324,hd_mark,0),0),0)</f>
        <v>0</v>
      </c>
      <c r="AP3324" s="19"/>
      <c r="AQ3324" s="19"/>
      <c r="AR3324" s="100"/>
      <c r="AS3324" s="93"/>
      <c r="AT3324" s="111">
        <f>$R$3242</f>
        <v>0</v>
      </c>
      <c r="AU3324" t="str">
        <f>$Q$3224</f>
        <v>L5</v>
      </c>
      <c r="AV3324">
        <f>$E$24</f>
        <v>0</v>
      </c>
      <c r="AW3324" cm="1">
        <f t="array" ref="AW3324">IFERROR(IF(AV3324=0,0,(INDEX($C$33:$C$38,MATCH($AZ$3242,$B$33:$B$38,0),0)*(AV3325+$BA$3242)+$AW$3242*COUNTIF(AV3324:AV3324,"&gt;0")*$C$32+$AY$3242*$C$31)*$AU$3242),0)</f>
        <v>0</v>
      </c>
      <c r="AX3324">
        <f>IF(AV3324=0,0,-(COUNTIF(AV3324:AV3324,"&gt;0")*$AW$3242*$C$32+$AY$3242*$C$31)*$H$27*$AU$3242)</f>
        <v>0</v>
      </c>
      <c r="AY3324">
        <f>IF(AV3324=0,0,$AY$3242*$H$26*$AU$3242)</f>
        <v>0</v>
      </c>
      <c r="AZ3324">
        <f>(0.6*AW3324+0.7*AX3324)*$AU$3242/2</f>
        <v>0</v>
      </c>
      <c r="BA3324">
        <f>AW3324*$AU$3242/2</f>
        <v>0</v>
      </c>
      <c r="BC3324">
        <f>IF(AV3324=0,0,$BG$3242*$AP$3224)</f>
        <v>0</v>
      </c>
      <c r="BD3324">
        <f>IFERROR(BC3324/$AU$3242,0)</f>
        <v>0</v>
      </c>
      <c r="BE3324">
        <f>BC3324*($F$24+IF($F$24=0,0,($C$14+$C$15+IF($C$13="single",1.5,3)+3)/12))</f>
        <v>0</v>
      </c>
      <c r="BF3324">
        <f>BE3324-AZ3324</f>
        <v>0</v>
      </c>
      <c r="BG3324" cm="1">
        <f t="array" ref="BG3324">IFERROR(IF(BF3324&lt;0,0,BF3324/($AU$3242-INDEX(hd_off,MATCH(BT3324,hd_mark,0),0)/12)),0)</f>
        <v>0</v>
      </c>
      <c r="BH3324">
        <f>IF(AV3324=0,0,$BG$3242*$AM$3224)</f>
        <v>0</v>
      </c>
      <c r="BI3324">
        <f>IFERROR(BH3324/$AU$3242,0)</f>
        <v>0</v>
      </c>
      <c r="BJ3324">
        <f>BH3324*($F$24+IF($F$24=0,0,($C$14+$C$15+IF($C$13="single",1.5,3)+3)/12))</f>
        <v>0</v>
      </c>
      <c r="BK3324">
        <f>BJ3324-BA3324</f>
        <v>0</v>
      </c>
      <c r="BL3324" cm="1">
        <f t="array" ref="BL3324">IFERROR(IF(BK3324&lt;0,0,BK3324/($AU$3242-INDEX(hd_off,MATCH(BT3324,hd_mark,0),0)/12)),0)</f>
        <v>0</v>
      </c>
      <c r="BM3324">
        <f>MAX($F$24,$BE$3242)/$Q$3252</f>
        <v>0</v>
      </c>
      <c r="BN3324">
        <f t="shared" si="2046"/>
        <v>0</v>
      </c>
      <c r="BO3324" cm="1">
        <f t="array" ref="BO3324">IFERROR(INDEX(sheath_ecap_asd,MATCH(BS3324,sheath_mark,0),0)*BN3324,0)</f>
        <v>0</v>
      </c>
      <c r="BP3324" cm="1">
        <f t="array" ref="BP3324">IFERROR(INDEX(sheath_wcap_asd,MATCH(BS3324,sheath_mark,0),0)*BN3324,0)</f>
        <v>0</v>
      </c>
      <c r="BQ3324" cm="1">
        <f t="array" ref="BQ3324">IFERROR(INDEX(hd_cap,MATCH(BT3324,hd_mark,0),0),0)</f>
        <v>0</v>
      </c>
      <c r="BS3324" s="19"/>
      <c r="BT3324" s="19"/>
      <c r="BU3324" s="100"/>
    </row>
    <row r="3325" x14ac:dyDescent="0.25">
      <c r="P3325" s="93"/>
      <c r="Q3325" s="109"/>
      <c r="R3325" t="str">
        <f>$Q$3225</f>
        <v>Roof</v>
      </c>
      <c r="S3325">
        <f>$E$25</f>
        <v>33.171875</v>
      </c>
      <c r="T3325" cm="1">
        <f t="array" ref="T3325">IFERROR(IF(S3325=0,0,(INDEX($C$33:$C$38,MATCH($W$3242,$B$33:$B$38,0),0)*(S3325+$X$3242)+$V$3242*$C$31)*$R$3242),0)</f>
        <v>0</v>
      </c>
      <c r="U3325">
        <f>IF(S3325=0,0,-$V$3242*$C$31*$H$27*$R$3242)</f>
        <v>0</v>
      </c>
      <c r="V3325">
        <f>IF(S3325=0,0,$V$3242*$H$26*$R$3242)</f>
        <v>0</v>
      </c>
      <c r="W3325">
        <f>(0.6*T3325+0.7*U3325)*$R$3242/2</f>
        <v>0</v>
      </c>
      <c r="X3325">
        <f>T3325*$R$3242/2</f>
        <v>0</v>
      </c>
      <c r="Z3325">
        <f>IF(S3325=0,0,$AD$3242*$AP$3225)</f>
        <v>0</v>
      </c>
      <c r="AA3325">
        <f>IFERROR(Z3325/$R$3242,0)</f>
        <v>0</v>
      </c>
      <c r="AB3325">
        <f>Z3325*($F$25+($C$16+$C$17+IF($C$13="single",1.5,3)+3)/12)</f>
        <v>0</v>
      </c>
      <c r="AC3325">
        <f>AB3325-W3325</f>
        <v>0</v>
      </c>
      <c r="AD3325" cm="1">
        <f t="array" ref="AD3325">IFERROR(IF(AC3325&lt;0,0,AC3325/($R$3242-INDEX(hd_off,MATCH(AQ3325,hd_mark,0),0)/12)),0)</f>
        <v>0</v>
      </c>
      <c r="AE3325">
        <f>IF(S3325=0,0,$AD$3242*$AM$3225)</f>
        <v>0</v>
      </c>
      <c r="AF3325">
        <f>IFERROR(AE3325/$R$3242,0)</f>
        <v>0</v>
      </c>
      <c r="AG3325">
        <f>AE3325*($F$25+($C$16+$C$17+IF($C$13="single",1.5,3)+3)/12)</f>
        <v>0</v>
      </c>
      <c r="AH3325">
        <f>AG3325-X3325</f>
        <v>0</v>
      </c>
      <c r="AI3325" cm="1">
        <f t="array" ref="AI3325">IFERROR(IF(AH3325&lt;0,0,AH3325/($R$3242-INDEX(hd_off,MATCH(AQ3325,hd_mark,0),0)/12)),0)</f>
        <v>0</v>
      </c>
      <c r="AJ3325">
        <f>MAX($F$25,$AC$3242)/$Q$3252</f>
        <v>0.29920977011494249</v>
      </c>
      <c r="AK3325">
        <f t="shared" si="2045"/>
        <v>1</v>
      </c>
      <c r="AL3325" cm="1">
        <f t="array" ref="AL3325">IFERROR(INDEX(sheath_ecap_asd,MATCH(AP3325,sheath_mark,0),0)*AK3325,0)</f>
        <v>0</v>
      </c>
      <c r="AM3325" cm="1">
        <f t="array" ref="AM3325">IFERROR(INDEX(sheath_wcap_asd,MATCH(AP3325,sheath_mark,0),0)*AK3325,0)</f>
        <v>0</v>
      </c>
      <c r="AN3325" cm="1">
        <f t="array" ref="AN3325">IFERROR(INDEX(hd_cap,MATCH(AQ3325,hd_mark,0),0),0)</f>
        <v>0</v>
      </c>
      <c r="AP3325" s="19"/>
      <c r="AQ3325" s="19"/>
      <c r="AR3325" s="100"/>
      <c r="AS3325" s="93"/>
      <c r="AT3325" s="109"/>
      <c r="AU3325" t="str">
        <f>$Q$3225</f>
        <v>Roof</v>
      </c>
      <c r="AV3325">
        <f>$E$25</f>
        <v>33.171875</v>
      </c>
      <c r="AW3325" cm="1">
        <f t="array" ref="AW3325">IFERROR(IF(AV3325=0,0,(INDEX($C$33:$C$38,MATCH($AZ$3242,$B$33:$B$38,0),0)*(AV3325+$BA$3242)+$AY$3242*$C$31)*$AU$3242),0)</f>
        <v>0</v>
      </c>
      <c r="AX3325">
        <f>IF(AV3325=0,0,-$AY$3242*$C$31*$H$27*$AU$3242)</f>
        <v>0</v>
      </c>
      <c r="AY3325">
        <f>IF(AV3325=0,0,$AY$3242*$H$26*$AU$3242)</f>
        <v>0</v>
      </c>
      <c r="AZ3325">
        <f>(0.6*AW3325+0.7*AX3325)*$AU$3242/2</f>
        <v>0</v>
      </c>
      <c r="BA3325">
        <f>AW3325*$AU$3242/2</f>
        <v>0</v>
      </c>
      <c r="BC3325">
        <f>IF(AV3325=0,0,$BG$3242*$AP$3225)</f>
        <v>0</v>
      </c>
      <c r="BD3325">
        <f>IFERROR(BC3325/$AU$3242,0)</f>
        <v>0</v>
      </c>
      <c r="BE3325">
        <f>BC3325*($F$25+($C$16+$C$17+IF($C$13="single",1.5,3)+3)/12)</f>
        <v>0</v>
      </c>
      <c r="BF3325">
        <f>BE3325-AZ3325</f>
        <v>0</v>
      </c>
      <c r="BG3325" cm="1">
        <f t="array" ref="BG3325">IFERROR(IF(BF3325&lt;0,0,BF3325/($AU$3242-INDEX(hd_off,MATCH(BT3325,hd_mark,0),0)/12)),0)</f>
        <v>0</v>
      </c>
      <c r="BH3325">
        <f>IF(AV3325=0,0,$BG$3242*$AM$3225)</f>
        <v>0</v>
      </c>
      <c r="BI3325">
        <f>IFERROR(BH3325/$AU$3242,0)</f>
        <v>0</v>
      </c>
      <c r="BJ3325">
        <f>BH3325*($F$25+($C$16+$C$17+IF($C$13="single",1.5,3)+3)/12)</f>
        <v>0</v>
      </c>
      <c r="BK3325">
        <f>BJ3325-BA3325</f>
        <v>0</v>
      </c>
      <c r="BL3325" cm="1">
        <f t="array" ref="BL3325">IFERROR(IF(BK3325&lt;0,0,BK3325/($AU$3242-INDEX(hd_off,MATCH(BT3325,hd_mark,0),0)/12)),0)</f>
        <v>0</v>
      </c>
      <c r="BM3325">
        <f>MAX($F$25,$BF$3242)/$Q$3252</f>
        <v>0.29920977011494249</v>
      </c>
      <c r="BN3325">
        <f t="shared" si="2046"/>
        <v>1</v>
      </c>
      <c r="BO3325" cm="1">
        <f t="array" ref="BO3325">IFERROR(INDEX(sheath_ecap_asd,MATCH(BS3325,sheath_mark,0),0)*BN3325,0)</f>
        <v>0</v>
      </c>
      <c r="BP3325" cm="1">
        <f t="array" ref="BP3325">IFERROR(INDEX(sheath_wcap_asd,MATCH(BS3325,sheath_mark,0),0)*BN3325,0)</f>
        <v>0</v>
      </c>
      <c r="BQ3325" cm="1">
        <f t="array" ref="BQ3325">IFERROR(INDEX(hd_cap,MATCH(BT3325,hd_mark,0),0),0)</f>
        <v>0</v>
      </c>
      <c r="BS3325" s="19"/>
      <c r="BT3325" s="19"/>
      <c r="BU3325" s="100"/>
    </row>
    <row r="3326" x14ac:dyDescent="0.25">
      <c r="P3326" s="93"/>
      <c r="AR3326" s="100"/>
      <c r="AS3326" s="93"/>
      <c r="BU3326" s="100"/>
    </row>
    <row r="3327" x14ac:dyDescent="0.25">
      <c r="P3327" s="93"/>
      <c r="Q3327" s="110" t="str">
        <f>$Q$3243</f>
        <v>A.14</v>
      </c>
      <c r="R3327" t="str">
        <f>$Q$3221</f>
        <v>L2</v>
      </c>
      <c r="S3327">
        <f>$E$21</f>
        <v>10.6875</v>
      </c>
      <c r="T3327" cm="1">
        <f t="array" ref="T3327">IFERROR(IF(S3327=0,0,(INDEX($C$33:$C$38,MATCH($W$3243,$B$33:$B$38,0),0)*(S3331+$X$3243)+$T$3243*COUNTIF(S3327:S3343,"&gt;0")*$C$32+$V$3243*$C$31)*$R$3243),0)</f>
        <v>0</v>
      </c>
      <c r="U3327">
        <f>IF(S3327=0,0,-(COUNTIF(S3327:S3343,"&gt;0")*$T$3243*$C$32+$V$3243*$C$31)*$H$27*$R$3243)</f>
        <v>0</v>
      </c>
      <c r="V3327">
        <f>IF(S3327=0,0,$V$3243*$H$26*$R$3243)</f>
        <v>0</v>
      </c>
      <c r="W3327">
        <f>(0.6*T3327+0.7*U3327)*$R$3243/2</f>
        <v>0</v>
      </c>
      <c r="X3327">
        <f>(0.6*T3327+0.6*V3327)*$R$3243/2</f>
        <v>0</v>
      </c>
      <c r="Z3327">
        <f>IF(S3327=0,0,$AD$3243*$AP$3221)</f>
        <v>0</v>
      </c>
      <c r="AA3327">
        <f>IFERROR(Z3327/$R$3243,0)</f>
        <v>0</v>
      </c>
      <c r="AB3327">
        <f>Z3327*($F$21+IF($F$21=0,0,($C$14+$C$15+IF($C$13="single",1.5,3)+3)/12))</f>
        <v>0</v>
      </c>
      <c r="AC3327">
        <f>AB3327-W3327</f>
        <v>0</v>
      </c>
      <c r="AD3327" cm="1">
        <f t="array" ref="AD3327">IFERROR(IF(AC3327&lt;0,0,AC3327/($R$3243-INDEX(hd_off,MATCH(AQ3327,hd_mark,0),0)/12)),0)</f>
        <v>0</v>
      </c>
      <c r="AE3327">
        <f>IF(S3327=0,0,$AD$3243*$AM$3221)</f>
        <v>0</v>
      </c>
      <c r="AF3327">
        <f>IFERROR(AE3327/$R$3243,0)</f>
        <v>0</v>
      </c>
      <c r="AG3327">
        <f>AE3327*($F$21+IF($F$21=0,0,($C$14+$C$15+IF($C$13="single",1.5,3)+3)/12))</f>
        <v>0</v>
      </c>
      <c r="AH3327">
        <f>AG3327-X3327</f>
        <v>0</v>
      </c>
      <c r="AI3327" cm="1">
        <f t="array" ref="AI3327">IFERROR(IF(AH3327&lt;0,0,AH3327/($R$3243-INDEX(hd_off,MATCH(AQ3327,hd_mark,0),0)/12)),0)</f>
        <v>0</v>
      </c>
      <c r="AJ3327">
        <f>MAX($F$21,$Y$3243)/$Q$3252</f>
        <v>0.30172413793103448</v>
      </c>
      <c r="AK3327">
        <f>IF(AJ3327=0,0,IF(AJ3327&gt;2,1.25-0.125*AJ3327,1))</f>
        <v>1</v>
      </c>
      <c r="AL3327" cm="1">
        <f t="array" ref="AL3327">IFERROR(INDEX(sheath_ecap_asd,MATCH(AP3327,sheath_mark,0),0)*AK3327,0)</f>
        <v>0</v>
      </c>
      <c r="AM3327" cm="1">
        <f t="array" ref="AM3327">IFERROR(INDEX(sheath_wcap_asd,MATCH(AP3327,sheath_mark,0),0)*AK3327,0)</f>
        <v>0</v>
      </c>
      <c r="AN3327" cm="1">
        <f t="array" ref="AN3327">IFERROR(INDEX(hd_cap,MATCH(AQ3327,hd_mark,0),0),0)</f>
        <v>0</v>
      </c>
      <c r="AP3327" s="19"/>
      <c r="AQ3327" s="19"/>
      <c r="AR3327" s="100"/>
      <c r="AS3327" s="93"/>
      <c r="AT3327" s="110" t="str">
        <f>$AT$3243</f>
        <v>1.14</v>
      </c>
      <c r="AU3327" t="str">
        <f>$Q$3221</f>
        <v>L2</v>
      </c>
      <c r="AV3327">
        <f>$E$21</f>
        <v>10.6875</v>
      </c>
      <c r="AW3327" cm="1">
        <f t="array" ref="AW3327">IFERROR(IF(AV3327=0,0,(INDEX($C$33:$C$38,MATCH($AZ$3243,$B$33:$B$38,0),0)*(AV3331+$BA$3243)+$AW$3243*COUNTIF(AV3327:AV3343,"&gt;0")*$C$32+$AY$3243*$C$31)*$AU$3243),0)</f>
        <v>0</v>
      </c>
      <c r="AX3327">
        <f>IF(AV3327=0,0,-(COUNTIF(AV3327:AV3343,"&gt;0")*$AW$3243*$C$32+$AY$3243*$C$31)*$H$27*$AU$3243)</f>
        <v>0</v>
      </c>
      <c r="AY3327">
        <f>IF(AV3327=0,0,$AY$3243*$H$26*$AU$3243)</f>
        <v>0</v>
      </c>
      <c r="AZ3327">
        <f>(0.6*AW3327+0.7*AX3327)*$AU$3243/2</f>
        <v>0</v>
      </c>
      <c r="BA3327">
        <f>(0.6*AW3327+0.6*AY3327)*$AU$3243/2</f>
        <v>0</v>
      </c>
      <c r="BC3327">
        <f>IF(AV3327=0,0,$BG$3243*$AP$3221)</f>
        <v>0</v>
      </c>
      <c r="BD3327">
        <f>IFERROR(BC3327/$AU$3243,0)</f>
        <v>0</v>
      </c>
      <c r="BE3327">
        <f>BC3327*($F$21+IF($F$21=0,0,($C$14+$C$15+IF($C$13="single",1.5,3)+3)/12))</f>
        <v>0</v>
      </c>
      <c r="BF3327">
        <f>BE3327-AZ3327</f>
        <v>0</v>
      </c>
      <c r="BG3327" cm="1">
        <f t="array" ref="BG3327">IFERROR(IF(BF3327&lt;0,0,BF3327/($AU$3243-INDEX(hd_off,MATCH(BT3327,hd_mark,0),0)/12)),0)</f>
        <v>0</v>
      </c>
      <c r="BH3327">
        <f>IF(AV3327=0,0,$BG$3243*$AM$3221)</f>
        <v>0</v>
      </c>
      <c r="BI3327">
        <f>IFERROR(BH3327/$AU$3243,0)</f>
        <v>0</v>
      </c>
      <c r="BJ3327">
        <f>BH3327*($F$21+IF($F$21=0,0,($C$14+$C$15+IF($C$13="single",1.5,3)+3)/12))</f>
        <v>0</v>
      </c>
      <c r="BK3327">
        <f>BJ3327-BA3327</f>
        <v>0</v>
      </c>
      <c r="BL3327" cm="1">
        <f t="array" ref="BL3327">IFERROR(IF(BK3327&lt;0,0,BK3327/($AU$3243-INDEX(hd_off,MATCH(BT3327,hd_mark,0),0)/12)),0)</f>
        <v>0</v>
      </c>
      <c r="BM3327">
        <f>MAX($F$21,$BB$3243)/$Q$3252</f>
        <v>0.30172413793103448</v>
      </c>
      <c r="BN3327">
        <f>IF(BM3327=0,0,IF(BM3327&gt;2,1.25-0.125*BM3327,1))</f>
        <v>1</v>
      </c>
      <c r="BO3327" cm="1">
        <f t="array" ref="BO3327">IFERROR(INDEX(sheath_ecap_asd,MATCH(BS3327,sheath_mark,0),0)*BN3327,0)</f>
        <v>0</v>
      </c>
      <c r="BP3327" cm="1">
        <f t="array" ref="BP3327">IFERROR(INDEX(sheath_wcap_asd,MATCH(BS3327,sheath_mark,0),0)*BN3327,0)</f>
        <v>0</v>
      </c>
      <c r="BQ3327" cm="1">
        <f t="array" ref="BQ3327">IFERROR(INDEX(hd_cap,MATCH(BT3327,hd_mark,0),0),0)</f>
        <v>0</v>
      </c>
      <c r="BS3327" s="19"/>
      <c r="BT3327" s="19"/>
      <c r="BU3327" s="100"/>
    </row>
    <row r="3328" x14ac:dyDescent="0.25">
      <c r="P3328" s="93"/>
      <c r="Q3328" s="109"/>
      <c r="R3328" t="str">
        <f>$Q$3222</f>
        <v>L3</v>
      </c>
      <c r="S3328">
        <f>$E$22</f>
        <v>21.375</v>
      </c>
      <c r="T3328" cm="1">
        <f t="array" ref="T3328">IFERROR(IF(S3328=0,0,(INDEX($C$33:$C$38,MATCH($W$3243,$B$33:$B$38,0),0)*(S3331+$X$3243)+$T$3243*COUNTIF(S3328:S3343,"&gt;0")*$C$32+$V$3243*$C$31)*$R$3243),0)</f>
        <v>0</v>
      </c>
      <c r="U3328">
        <f>IF(S3328=0,0,-(COUNTIF(S3328:S3343,"&gt;0")*$T$3243*$C$32+$V$3243*$C$31)*$H$27*$R$3243)</f>
        <v>0</v>
      </c>
      <c r="V3328">
        <f>IF(S3328=0,0,$V$3243*$H$26*$R$3243)</f>
        <v>0</v>
      </c>
      <c r="W3328">
        <f>(0.6*T3328+0.7*U3328)*$R$3243/2</f>
        <v>0</v>
      </c>
      <c r="X3328">
        <f>T3328*$R$3243/2</f>
        <v>0</v>
      </c>
      <c r="Z3328">
        <f>IF(S3328=0,0,$AD$3243*$AP$3222)</f>
        <v>0</v>
      </c>
      <c r="AA3328">
        <f>IFERROR(Z3328/$R$3243,0)</f>
        <v>0</v>
      </c>
      <c r="AB3328">
        <f>Z3328*($F$22+IF($F$22=0,0,($C$14+$C$15+IF($C$13="single",1.5,3)+3)/12))</f>
        <v>0</v>
      </c>
      <c r="AC3328">
        <f>AB3328-W3328</f>
        <v>0</v>
      </c>
      <c r="AD3328" cm="1">
        <f t="array" ref="AD3328">IFERROR(IF(AC3328&lt;0,0,AC3328/($R$3243-INDEX(hd_off,MATCH(AQ3328,hd_mark,0),0)/12)),0)</f>
        <v>0</v>
      </c>
      <c r="AE3328">
        <f>IF(S3328=0,0,$AD$3243*$AM$3222)</f>
        <v>0</v>
      </c>
      <c r="AF3328">
        <f>IFERROR(AE3328/$R$3243,0)</f>
        <v>0</v>
      </c>
      <c r="AG3328">
        <f>AE3328*($F$22+IF($F$22=0,0,($C$14+$C$15+IF($C$13="single",1.5,3)+3)/12))</f>
        <v>0</v>
      </c>
      <c r="AH3328">
        <f>AG3328-X3328</f>
        <v>0</v>
      </c>
      <c r="AI3328" cm="1">
        <f t="array" ref="AI3328">IFERROR(IF(AH3328&lt;0,0,AH3328/($R$3243-INDEX(hd_off,MATCH(AQ3328,hd_mark,0),0)/12)),0)</f>
        <v>0</v>
      </c>
      <c r="AJ3328">
        <f>MAX($F$22,$Z$3243)/$Q$3252</f>
        <v>0.30172413793103448</v>
      </c>
      <c r="AK3328">
        <f t="shared" ref="AK3328:AK3331" si="2047">IF(AJ3328=0,0,IF(AJ3328&gt;2,1.25-0.125*AJ3328,1))</f>
        <v>1</v>
      </c>
      <c r="AL3328" cm="1">
        <f t="array" ref="AL3328">IFERROR(INDEX(sheath_ecap_asd,MATCH(AP3328,sheath_mark,0),0)*AK3328,0)</f>
        <v>0</v>
      </c>
      <c r="AM3328" cm="1">
        <f t="array" ref="AM3328">IFERROR(INDEX(sheath_wcap_asd,MATCH(AP3328,sheath_mark,0),0)*AK3328,0)</f>
        <v>0</v>
      </c>
      <c r="AN3328" cm="1">
        <f t="array" ref="AN3328">IFERROR(INDEX(hd_cap,MATCH(AQ3328,hd_mark,0),0),0)</f>
        <v>0</v>
      </c>
      <c r="AP3328" s="19"/>
      <c r="AQ3328" s="19"/>
      <c r="AR3328" s="100"/>
      <c r="AS3328" s="93"/>
      <c r="AT3328" s="109"/>
      <c r="AU3328" t="str">
        <f>$Q$3222</f>
        <v>L3</v>
      </c>
      <c r="AV3328">
        <f>$E$22</f>
        <v>21.375</v>
      </c>
      <c r="AW3328" cm="1">
        <f t="array" ref="AW3328">IFERROR(IF(AV3328=0,0,(INDEX($C$33:$C$38,MATCH($AZ$3243,$B$33:$B$38,0),0)*(AV3331+$BA$3243)+$AW$3243*COUNTIF(AV3328:AV3343,"&gt;0")*$C$32+$AY$3243*$C$31)*$AU$3243),0)</f>
        <v>0</v>
      </c>
      <c r="AX3328">
        <f>IF(AV3328=0,0,-(COUNTIF(AV3328:AV3343,"&gt;0")*$AW$3243*$C$32+$AY$3243*$C$31)*$H$27*$AU$3243)</f>
        <v>0</v>
      </c>
      <c r="AY3328">
        <f>IF(AV3328=0,0,$AY$3243*$H$26*$AU$3243)</f>
        <v>0</v>
      </c>
      <c r="AZ3328">
        <f>(0.6*AW3328+0.7*AX3328)*$AU$3243/2</f>
        <v>0</v>
      </c>
      <c r="BA3328">
        <f>AW3328*$AU$3243/2</f>
        <v>0</v>
      </c>
      <c r="BC3328">
        <f>IF(AV3328=0,0,$BG$3243*$AP$3222)</f>
        <v>0</v>
      </c>
      <c r="BD3328">
        <f>IFERROR(BC3328/$AU$3243,0)</f>
        <v>0</v>
      </c>
      <c r="BE3328">
        <f>BC3328*($F$22+IF($F$22=0,0,($C$14+$C$15+IF($C$13="single",1.5,3)+3)/12))</f>
        <v>0</v>
      </c>
      <c r="BF3328">
        <f>BE3328-AZ3328</f>
        <v>0</v>
      </c>
      <c r="BG3328" cm="1">
        <f t="array" ref="BG3328">IFERROR(IF(BF3328&lt;0,0,BF3328/($AU$3243-INDEX(hd_off,MATCH(BT3328,hd_mark,0),0)/12)),0)</f>
        <v>0</v>
      </c>
      <c r="BH3328">
        <f>IF(AV3328=0,0,$BG$3243*$AM$3222)</f>
        <v>0</v>
      </c>
      <c r="BI3328">
        <f>IFERROR(BH3328/$AU$3243,0)</f>
        <v>0</v>
      </c>
      <c r="BJ3328">
        <f>BH3328*($F$22+IF($F$22=0,0,($C$14+$C$15+IF($C$13="single",1.5,3)+3)/12))</f>
        <v>0</v>
      </c>
      <c r="BK3328">
        <f>BJ3328-BA3328</f>
        <v>0</v>
      </c>
      <c r="BL3328" cm="1">
        <f t="array" ref="BL3328">IFERROR(IF(BK3328&lt;0,0,BK3328/($AU$3243-INDEX(hd_off,MATCH(BT3328,hd_mark,0),0)/12)),0)</f>
        <v>0</v>
      </c>
      <c r="BM3328">
        <f>MAX($F$22,$BC$3243)/$Q$3252</f>
        <v>0.30172413793103448</v>
      </c>
      <c r="BN3328">
        <f t="shared" ref="BN3328:BN3329" si="2048">IF(BM3328=0,0,IF(BM3328&gt;2,1.25-0.125*BM3328,1))</f>
        <v>1</v>
      </c>
      <c r="BO3328" cm="1">
        <f t="array" ref="BO3328">IFERROR(INDEX(sheath_ecap_asd,MATCH(BS3328,sheath_mark,0),0)*BN3328,0)</f>
        <v>0</v>
      </c>
      <c r="BP3328" cm="1">
        <f t="array" ref="BP3328">IFERROR(INDEX(sheath_wcap_asd,MATCH(BS3328,sheath_mark,0),0)*BN3328,0)</f>
        <v>0</v>
      </c>
      <c r="BQ3328" cm="1">
        <f t="array" ref="BQ3328">IFERROR(INDEX(hd_cap,MATCH(BT3328,hd_mark,0),0),0)</f>
        <v>0</v>
      </c>
      <c r="BS3328" s="19"/>
      <c r="BT3328" s="19"/>
      <c r="BU3328" s="100"/>
    </row>
    <row r="3329" x14ac:dyDescent="0.25">
      <c r="P3329" s="93"/>
      <c r="Q3329" s="109" t="s">
        <v>491</v>
      </c>
      <c r="R3329" t="str">
        <f>$Q$3223</f>
        <v>L4</v>
      </c>
      <c r="S3329">
        <f>$E$23</f>
        <v>0</v>
      </c>
      <c r="T3329" cm="1">
        <f t="array" ref="T3329">IFERROR(IF(S3329=0,0,(INDEX($C$33:$C$38,MATCH($W$3243,$B$33:$B$38,0),0)*(S3331+$X$3243)+$T$3243*COUNTIF(S3329:S3343,"&gt;0")*$C$32+$V$3243*$C$31)*$R$3243),0)</f>
        <v>0</v>
      </c>
      <c r="U3329">
        <f>IF(S3329=0,0,-(COUNTIF(S3329:S3343,"&gt;0")*$T$3243*$C$32+$V$3243*$C$31)*$H$27*$R$3243)</f>
        <v>0</v>
      </c>
      <c r="V3329">
        <f>IF(S3329=0,0,$V$3243*$H$26*$R$3243)</f>
        <v>0</v>
      </c>
      <c r="W3329">
        <f>(0.6*T3329+0.7*U3329)*$R$3243/2</f>
        <v>0</v>
      </c>
      <c r="X3329">
        <f>T3329*$R$3243/2</f>
        <v>0</v>
      </c>
      <c r="Z3329">
        <f>IF(S3329=0,0,$AD$3243*$AP$3223)</f>
        <v>0</v>
      </c>
      <c r="AA3329">
        <f>IFERROR(Z3329/$R$3243,0)</f>
        <v>0</v>
      </c>
      <c r="AB3329">
        <f>Z3329*($F$23+IF($F$23=0,0,($C$14+$C$15+IF($C$13="single",1.5,3)+3)/12))</f>
        <v>0</v>
      </c>
      <c r="AC3329">
        <f>AB3329-W3329</f>
        <v>0</v>
      </c>
      <c r="AD3329" cm="1">
        <f t="array" ref="AD3329">IFERROR(IF(AC3329&lt;0,0,AC3329/($R$3243-INDEX(hd_off,MATCH(AQ3329,hd_mark,0),0)/12)),0)</f>
        <v>0</v>
      </c>
      <c r="AE3329">
        <f>IF(S3329=0,0,$AD$3243*$AM$3223)</f>
        <v>0</v>
      </c>
      <c r="AF3329">
        <f>IFERROR(AE3329/$R$3243,0)</f>
        <v>0</v>
      </c>
      <c r="AG3329">
        <f>AE3329*($F$23+IF($F$23=0,0,($C$14+$C$15+IF($C$13="single",1.5,3)+3)/12))</f>
        <v>0</v>
      </c>
      <c r="AH3329">
        <f>AG3329-X3329</f>
        <v>0</v>
      </c>
      <c r="AI3329" cm="1">
        <f t="array" ref="AI3329">IFERROR(IF(AH3329&lt;0,0,AH3329/($R$3243-INDEX(hd_off,MATCH(AQ3329,hd_mark,0),0)/12)),0)</f>
        <v>0</v>
      </c>
      <c r="AJ3329">
        <f>MAX($F$23,$AA$3243)/$Q$3252</f>
        <v>0</v>
      </c>
      <c r="AK3329">
        <f t="shared" si="2047"/>
        <v>0</v>
      </c>
      <c r="AL3329" cm="1">
        <f t="array" ref="AL3329">IFERROR(INDEX(sheath_ecap_asd,MATCH(AP3329,sheath_mark,0),0)*AK3329,0)</f>
        <v>0</v>
      </c>
      <c r="AM3329" cm="1">
        <f t="array" ref="AM3329">IFERROR(INDEX(sheath_wcap_asd,MATCH(AP3329,sheath_mark,0),0)*AK3329,0)</f>
        <v>0</v>
      </c>
      <c r="AN3329" cm="1">
        <f t="array" ref="AN3329">IFERROR(INDEX(hd_cap,MATCH(AQ3329,hd_mark,0),0),0)</f>
        <v>0</v>
      </c>
      <c r="AP3329" s="19"/>
      <c r="AQ3329" s="19"/>
      <c r="AR3329" s="100"/>
      <c r="AS3329" s="93"/>
      <c r="AT3329" s="109" t="s">
        <v>491</v>
      </c>
      <c r="AU3329" t="str">
        <f>$Q$3223</f>
        <v>L4</v>
      </c>
      <c r="AV3329">
        <f>$E$23</f>
        <v>0</v>
      </c>
      <c r="AW3329" cm="1">
        <f t="array" ref="AW3329">IFERROR(IF(AV3329=0,0,(INDEX($C$33:$C$38,MATCH($AZ$3243,$B$33:$B$38,0),0)*(AV3331+$BA$3243)+$AW$3243*COUNTIF(AV3329:AV3343,"&gt;0")*$C$32+$AY$3243*$C$31)*$AU$3243),0)</f>
        <v>0</v>
      </c>
      <c r="AX3329">
        <f>IF(AV3329=0,0,-(COUNTIF(AV3329:AV3343,"&gt;0")*$AW$3243*$C$32+$AY$3243*$C$31)*$H$27*$AU$3243)</f>
        <v>0</v>
      </c>
      <c r="AY3329">
        <f>IF(AV3329=0,0,$AY$3243*$H$26*$AU$3243)</f>
        <v>0</v>
      </c>
      <c r="AZ3329">
        <f>(0.6*AW3329+0.7*AX3329)*$AU$3243/2</f>
        <v>0</v>
      </c>
      <c r="BA3329">
        <f>AW3329*$AU$3243/2</f>
        <v>0</v>
      </c>
      <c r="BC3329">
        <f>IF(AV3329=0,0,$BG$3243*$AP$3223)</f>
        <v>0</v>
      </c>
      <c r="BD3329">
        <f>IFERROR(BC3329/$AU$3243,0)</f>
        <v>0</v>
      </c>
      <c r="BE3329">
        <f>BC3329*($F$23+IF($F$23=0,0,($C$14+$C$15+IF($C$13="single",1.5,3)+3)/12))</f>
        <v>0</v>
      </c>
      <c r="BF3329">
        <f>BE3329-AZ3329</f>
        <v>0</v>
      </c>
      <c r="BG3329" cm="1">
        <f t="array" ref="BG3329">IFERROR(IF(BF3329&lt;0,0,BF3329/($AU$3243-INDEX(hd_off,MATCH(BT3329,hd_mark,0),0)/12)),0)</f>
        <v>0</v>
      </c>
      <c r="BH3329">
        <f>IF(AV3329=0,0,$BG$3243*$AM$3223)</f>
        <v>0</v>
      </c>
      <c r="BI3329">
        <f>IFERROR(BH3329/$AU$3243,0)</f>
        <v>0</v>
      </c>
      <c r="BJ3329">
        <f>BH3329*($F$23+IF($F$23=0,0,($C$14+$C$15+IF($C$13="single",1.5,3)+3)/12))</f>
        <v>0</v>
      </c>
      <c r="BK3329">
        <f>BJ3329-BA3329</f>
        <v>0</v>
      </c>
      <c r="BL3329" cm="1">
        <f t="array" ref="BL3329">IFERROR(IF(BK3329&lt;0,0,BK3329/($AU$3243-INDEX(hd_off,MATCH(BT3329,hd_mark,0),0)/12)),0)</f>
        <v>0</v>
      </c>
      <c r="BM3329">
        <f>MAX($F$23,$BD$3243)/$Q$3252</f>
        <v>0</v>
      </c>
      <c r="BN3329">
        <f t="shared" si="2048"/>
        <v>0</v>
      </c>
      <c r="BO3329" cm="1">
        <f t="array" ref="BO3329">IFERROR(INDEX(sheath_ecap_asd,MATCH(BS3329,sheath_mark,0),0)*BN3329,0)</f>
        <v>0</v>
      </c>
      <c r="BP3329" cm="1">
        <f t="array" ref="BP3329">IFERROR(INDEX(sheath_wcap_asd,MATCH(BS3329,sheath_mark,0),0)*BN3329,0)</f>
        <v>0</v>
      </c>
      <c r="BQ3329" cm="1">
        <f t="array" ref="BQ3329">IFERROR(INDEX(hd_cap,MATCH(BT3329,hd_mark,0),0),0)</f>
        <v>0</v>
      </c>
      <c r="BS3329" s="19"/>
      <c r="BT3329" s="19"/>
      <c r="BU3329" s="100"/>
    </row>
    <row r="3330" x14ac:dyDescent="0.25">
      <c r="P3330" s="93"/>
      <c r="Q3330" s="111">
        <f>$R$3243</f>
        <v>0</v>
      </c>
      <c r="R3330" t="str">
        <f>$Q$3224</f>
        <v>L5</v>
      </c>
      <c r="S3330">
        <f>$E$24</f>
        <v>0</v>
      </c>
      <c r="T3330" cm="1">
        <f t="array" ref="T3330">IFERROR(IF(S3343=0,0,(INDEX($C$33:$C$38,MATCH($W$3243,$B$33:$B$38,0),0)*(S3331+$X$3243)+$T$3243*COUNTIF(S3343:S3343,"&gt;0")*$C$32+$V$3243*$C$31)*$R$3243),0)</f>
        <v>0</v>
      </c>
      <c r="U3330">
        <f>IF(S3343=0,0,-(COUNTIF(S3343:S3343,"&gt;0")*$T$3243*$C$32+$V$3243*$C$31)*$H$27*$R$3243)</f>
        <v>0</v>
      </c>
      <c r="V3330">
        <f>IF(S3343=0,0,$V$3243*$H$26*$R$3243)</f>
        <v>0</v>
      </c>
      <c r="W3330">
        <f>(0.6*T3343+0.7*U3343)*$R$3243/2</f>
        <v>0</v>
      </c>
      <c r="X3330">
        <f>T3343*$R$3243/2</f>
        <v>0</v>
      </c>
      <c r="Z3330">
        <f>IF(S3343=0,0,$AD$3243*$AP$3224)</f>
        <v>0</v>
      </c>
      <c r="AA3330">
        <f>IFERROR(Z3343/$R$3243,0)</f>
        <v>0</v>
      </c>
      <c r="AB3330">
        <f>Z3343*($F$24+IF($F$24=0,0,($C$14+$C$15+IF($C$13="single",1.5,3)+3)/12))</f>
        <v>0</v>
      </c>
      <c r="AC3330">
        <f>AB3343-W3343</f>
        <v>0</v>
      </c>
      <c r="AD3330" cm="1">
        <f t="array" ref="AD3330">IFERROR(IF(AC3343&lt;0,0,AC3343/($R$3243-INDEX(hd_off,MATCH(AQ3343,hd_mark,0),0)/12)),0)</f>
        <v>0</v>
      </c>
      <c r="AE3330">
        <f>IF(S3343=0,0,$AD$3243*$AM$3224)</f>
        <v>0</v>
      </c>
      <c r="AF3330">
        <f>IFERROR(AE3343/$R$3243,0)</f>
        <v>0</v>
      </c>
      <c r="AG3330">
        <f>AE3343*($F$24+IF($F$24=0,0,($C$14+$C$15+IF($C$13="single",1.5,3)+3)/12))</f>
        <v>0</v>
      </c>
      <c r="AH3330">
        <f>AG3343-X3343</f>
        <v>0</v>
      </c>
      <c r="AI3330" cm="1">
        <f t="array" ref="AI3330">IFERROR(IF(AH3343&lt;0,0,AH3343/($R$3243-INDEX(hd_off,MATCH(AQ3343,hd_mark,0),0)/12)),0)</f>
        <v>0</v>
      </c>
      <c r="AJ3330">
        <f>MAX($F$24,$AB$3243)/$Q$3252</f>
        <v>0</v>
      </c>
      <c r="AK3330">
        <f>IF(AJ3343=0,0,IF(AJ3343&gt;2,1.25-0.125*AJ3343,1))</f>
        <v>1</v>
      </c>
      <c r="AL3330" cm="1">
        <f t="array" ref="AL3330">IFERROR(INDEX(sheath_ecap_asd,MATCH(AP3343,sheath_mark,0),0)*AK3343,0)</f>
        <v>0</v>
      </c>
      <c r="AM3330" cm="1">
        <f t="array" ref="AM3330">IFERROR(INDEX(sheath_wcap_asd,MATCH(AP3343,sheath_mark,0),0)*AK3343,0)</f>
        <v>0</v>
      </c>
      <c r="AN3330" cm="1">
        <f t="array" ref="AN3330">IFERROR(INDEX(hd_cap,MATCH(AQ3343,hd_mark,0),0),0)</f>
        <v>0</v>
      </c>
      <c r="AP3330" s="19"/>
      <c r="AQ3330" s="19"/>
      <c r="AR3330" s="100"/>
      <c r="AS3330" s="93"/>
      <c r="AT3330" s="111">
        <f>$R$3243</f>
        <v>0</v>
      </c>
      <c r="AU3330" t="str">
        <f>$Q$3224</f>
        <v>L5</v>
      </c>
      <c r="AV3330">
        <f>$E$24</f>
        <v>0</v>
      </c>
      <c r="AW3330" cm="1">
        <f t="array" ref="AW3330">IFERROR(IF(AV3343=0,0,(INDEX($C$33:$C$38,MATCH($AZ$3243,$B$33:$B$38,0),0)*(AV3331+$BA$3243)+$AW$3243*COUNTIF(AV3343:AV3343,"&gt;0")*$C$32+$AY$3243*$C$31)*$AU$3243),0)</f>
        <v>0</v>
      </c>
      <c r="AX3330">
        <f>IF(AV3343=0,0,-(COUNTIF(AV3343:AV3343,"&gt;0")*$AW$3243*$C$32+$AY$3243*$C$31)*$H$27*$AU$3243)</f>
        <v>0</v>
      </c>
      <c r="AY3330">
        <f>IF(AV3343=0,0,$AY$3243*$H$26*$AU$3243)</f>
        <v>0</v>
      </c>
      <c r="AZ3330">
        <f>(0.6*AW3343+0.7*AX3343)*$AU$3243/2</f>
        <v>0</v>
      </c>
      <c r="BA3330">
        <f>AW3343*$AU$3243/2</f>
        <v>0</v>
      </c>
      <c r="BC3330">
        <f>IF(AV3343=0,0,$BG$3243*$AP$3224)</f>
        <v>0</v>
      </c>
      <c r="BD3330">
        <f>IFERROR(BC3343/$AU$3243,0)</f>
        <v>0</v>
      </c>
      <c r="BE3330">
        <f>BC3343*($F$24+IF($F$24=0,0,($C$14+$C$15+IF($C$13="single",1.5,3)+3)/12))</f>
        <v>0</v>
      </c>
      <c r="BF3330">
        <f>BE3343-AZ3343</f>
        <v>0</v>
      </c>
      <c r="BG3330" cm="1">
        <f t="array" ref="BG3330">IFERROR(IF(BF3343&lt;0,0,BF3343/($AU$3243-INDEX(hd_off,MATCH(BT3343,hd_mark,0),0)/12)),0)</f>
        <v>0</v>
      </c>
      <c r="BH3330">
        <f>IF(AV3343=0,0,$BG$3243*$AM$3224)</f>
        <v>0</v>
      </c>
      <c r="BI3330">
        <f>IFERROR(BH3343/$AU$3243,0)</f>
        <v>0</v>
      </c>
      <c r="BJ3330">
        <f>BH3343*($F$24+IF($F$24=0,0,($C$14+$C$15+IF($C$13="single",1.5,3)+3)/12))</f>
        <v>0</v>
      </c>
      <c r="BK3330">
        <f>BJ3343-BA3343</f>
        <v>0</v>
      </c>
      <c r="BL3330" cm="1">
        <f t="array" ref="BL3330">IFERROR(IF(BK3343&lt;0,0,BK3343/($AU$3243-INDEX(hd_off,MATCH(BT3343,hd_mark,0),0)/12)),0)</f>
        <v>0</v>
      </c>
      <c r="BM3330">
        <f>MAX($F$24,$BE$3243)/$Q$3252</f>
        <v>0</v>
      </c>
      <c r="BN3330">
        <f>IF(BM3343=0,0,IF(BM3343&gt;2,1.25-0.125*BM3343,1))</f>
        <v>0</v>
      </c>
      <c r="BO3330" cm="1">
        <f t="array" ref="BO3330">IFERROR(INDEX(sheath_ecap_asd,MATCH(BS3343,sheath_mark,0),0)*BN3343,0)</f>
        <v>0</v>
      </c>
      <c r="BP3330" cm="1">
        <f t="array" ref="BP3330">IFERROR(INDEX(sheath_wcap_asd,MATCH(BS3343,sheath_mark,0),0)*BN3343,0)</f>
        <v>0</v>
      </c>
      <c r="BQ3330" cm="1">
        <f t="array" ref="BQ3330">IFERROR(INDEX(hd_cap,MATCH(BT3343,hd_mark,0),0),0)</f>
        <v>0</v>
      </c>
      <c r="BS3330" s="19"/>
      <c r="BT3330" s="19"/>
      <c r="BU3330" s="100"/>
    </row>
    <row r="3331" x14ac:dyDescent="0.25">
      <c r="P3331" s="93"/>
      <c r="Q3331" s="109"/>
      <c r="R3331" t="str">
        <f>$Q$3225</f>
        <v>Roof</v>
      </c>
      <c r="S3331">
        <f>$E$25</f>
        <v>33.171875</v>
      </c>
      <c r="T3331" cm="1">
        <f t="array" ref="T3331">IFERROR(IF(S3331=0,0,(INDEX($C$33:$C$38,MATCH($W$3243,$B$33:$B$38,0),0)*(S3331+$X$3243)+$V$3243*$C$31)*$R$3243),0)</f>
        <v>0</v>
      </c>
      <c r="U3331">
        <f>IF(S3331=0,0,-$V$3243*$C$31*$H$27*$R$3243)</f>
        <v>0</v>
      </c>
      <c r="V3331">
        <f>IF(S3331=0,0,$V$3243*$H$26*$R$3243)</f>
        <v>0</v>
      </c>
      <c r="W3331">
        <f>(0.6*T3331+0.7*U3331)*$R$3243/2</f>
        <v>0</v>
      </c>
      <c r="X3331">
        <f>T3331*$R$3243/2</f>
        <v>0</v>
      </c>
      <c r="Z3331">
        <f>IF(S3331=0,0,$AD$3243*$AP$3225)</f>
        <v>0</v>
      </c>
      <c r="AA3331">
        <f>IFERROR(Z3331/$R$3243,0)</f>
        <v>0</v>
      </c>
      <c r="AB3331">
        <f>Z3331*($F$25+($C$16+$C$17+IF($C$13="single",1.5,3)+3)/12)</f>
        <v>0</v>
      </c>
      <c r="AC3331">
        <f>AB3331-W3331</f>
        <v>0</v>
      </c>
      <c r="AD3331" cm="1">
        <f t="array" ref="AD3331">IFERROR(IF(AC3331&lt;0,0,AC3331/($R$3243-INDEX(hd_off,MATCH(AQ3331,hd_mark,0),0)/12)),0)</f>
        <v>0</v>
      </c>
      <c r="AE3331">
        <f>IF(S3331=0,0,$AD$3243*$AM$3225)</f>
        <v>0</v>
      </c>
      <c r="AF3331">
        <f>IFERROR(AE3331/$R$3243,0)</f>
        <v>0</v>
      </c>
      <c r="AG3331">
        <f>AE3331*($F$25+($C$16+$C$17+IF($C$13="single",1.5,3)+3)/12)</f>
        <v>0</v>
      </c>
      <c r="AH3331">
        <f>AG3331-X3331</f>
        <v>0</v>
      </c>
      <c r="AI3331" cm="1">
        <f t="array" ref="AI3331">IFERROR(IF(AH3331&lt;0,0,AH3331/($R$3243-INDEX(hd_off,MATCH(AQ3331,hd_mark,0),0)/12)),0)</f>
        <v>0</v>
      </c>
      <c r="AJ3331">
        <f>MAX($F$25,$AC$3243)/$Q$3252</f>
        <v>0.29920977011494249</v>
      </c>
      <c r="AK3331">
        <f t="shared" si="2047"/>
        <v>1</v>
      </c>
      <c r="AL3331" cm="1">
        <f t="array" ref="AL3331">IFERROR(INDEX(sheath_ecap_asd,MATCH(AP3331,sheath_mark,0),0)*AK3331,0)</f>
        <v>0</v>
      </c>
      <c r="AM3331" cm="1">
        <f t="array" ref="AM3331">IFERROR(INDEX(sheath_wcap_asd,MATCH(AP3331,sheath_mark,0),0)*AK3331,0)</f>
        <v>0</v>
      </c>
      <c r="AN3331" cm="1">
        <f t="array" ref="AN3331">IFERROR(INDEX(hd_cap,MATCH(AQ3331,hd_mark,0),0),0)</f>
        <v>0</v>
      </c>
      <c r="AP3331" s="19"/>
      <c r="AQ3331" s="19"/>
      <c r="AR3331" s="100"/>
      <c r="AS3331" s="93"/>
      <c r="AT3331" s="109"/>
      <c r="AU3331" t="str">
        <f>$Q$3225</f>
        <v>Roof</v>
      </c>
      <c r="AV3331">
        <f>$E$25</f>
        <v>33.171875</v>
      </c>
      <c r="AW3331" cm="1">
        <f t="array" ref="AW3331">IFERROR(IF(AV3331=0,0,(INDEX($C$33:$C$38,MATCH($AZ$3243,$B$33:$B$38,0),0)*(AV3331+$BA$3243)+$AY$3243*$C$31)*$AU$3243),0)</f>
        <v>0</v>
      </c>
      <c r="AX3331">
        <f>IF(AV3331=0,0,-$AY$3243*$C$31*$H$27*$AU$3243)</f>
        <v>0</v>
      </c>
      <c r="AY3331">
        <f>IF(AV3331=0,0,$AY$3243*$H$26*$AU$3243)</f>
        <v>0</v>
      </c>
      <c r="AZ3331">
        <f>(0.6*AW3331+0.7*AX3331)*$AU$3243/2</f>
        <v>0</v>
      </c>
      <c r="BA3331">
        <f>AW3331*$AU$3243/2</f>
        <v>0</v>
      </c>
      <c r="BC3331">
        <f>IF(AV3331=0,0,$BG$3243*$AP$3225)</f>
        <v>0</v>
      </c>
      <c r="BD3331">
        <f>IFERROR(BC3331/$AU$3243,0)</f>
        <v>0</v>
      </c>
      <c r="BE3331">
        <f>BC3331*($F$25+($C$16+$C$17+IF($C$13="single",1.5,3)+3)/12)</f>
        <v>0</v>
      </c>
      <c r="BF3331">
        <f>BE3331-AZ3331</f>
        <v>0</v>
      </c>
      <c r="BG3331" cm="1">
        <f t="array" ref="BG3331">IFERROR(IF(BF3331&lt;0,0,BF3331/($AU$3243-INDEX(hd_off,MATCH(BT3331,hd_mark,0),0)/12)),0)</f>
        <v>0</v>
      </c>
      <c r="BH3331">
        <f>IF(AV3331=0,0,$BG$3243*$AM$3225)</f>
        <v>0</v>
      </c>
      <c r="BI3331">
        <f>IFERROR(BH3331/$AU$3243,0)</f>
        <v>0</v>
      </c>
      <c r="BJ3331">
        <f>BH3331*($F$25+($C$16+$C$17+IF($C$13="single",1.5,3)+3)/12)</f>
        <v>0</v>
      </c>
      <c r="BK3331">
        <f>BJ3331-BA3331</f>
        <v>0</v>
      </c>
      <c r="BL3331" cm="1">
        <f t="array" ref="BL3331">IFERROR(IF(BK3331&lt;0,0,BK3331/($AU$3243-INDEX(hd_off,MATCH(BT3331,hd_mark,0),0)/12)),0)</f>
        <v>0</v>
      </c>
      <c r="BM3331">
        <f>MAX($F$25,$BF$3243)/$Q$3252</f>
        <v>0.29920977011494249</v>
      </c>
      <c r="BN3331">
        <f t="shared" ref="BN3331" si="2049">IF(BM3331=0,0,IF(BM3331&gt;2,1.25-0.125*BM3331,1))</f>
        <v>1</v>
      </c>
      <c r="BO3331" cm="1">
        <f t="array" ref="BO3331">IFERROR(INDEX(sheath_ecap_asd,MATCH(BS3331,sheath_mark,0),0)*BN3331,0)</f>
        <v>0</v>
      </c>
      <c r="BP3331" cm="1">
        <f t="array" ref="BP3331">IFERROR(INDEX(sheath_wcap_asd,MATCH(BS3331,sheath_mark,0),0)*BN3331,0)</f>
        <v>0</v>
      </c>
      <c r="BQ3331" cm="1">
        <f t="array" ref="BQ3331">IFERROR(INDEX(hd_cap,MATCH(BT3331,hd_mark,0),0),0)</f>
        <v>0</v>
      </c>
      <c r="BS3331" s="19"/>
      <c r="BT3331" s="19"/>
      <c r="BU3331" s="100"/>
    </row>
    <row r="3332" x14ac:dyDescent="0.25">
      <c r="P3332" s="93"/>
      <c r="AR3332" s="100"/>
      <c r="AS3332" s="93"/>
      <c r="BU3332" s="100"/>
    </row>
    <row r="3333" x14ac:dyDescent="0.25">
      <c r="P3333" s="93"/>
      <c r="Q3333" s="110" t="str">
        <f>$Q$3244</f>
        <v>A.15</v>
      </c>
      <c r="R3333" t="str">
        <f>$Q$3221</f>
        <v>L2</v>
      </c>
      <c r="S3333">
        <f>$E$21</f>
        <v>10.6875</v>
      </c>
      <c r="T3333" cm="1">
        <f t="array" ref="T3333">IFERROR(IF(S3333=0,0,(INDEX($C$33:$C$38,MATCH($W$3244,$B$33:$B$38,0),0)*(S3337+$X$3244)+$T$3244*COUNTIF(S3333:S3336,"&gt;0")*$C$32+$V$3244*$C$31)*$R$3244),0)</f>
        <v>0</v>
      </c>
      <c r="U3333">
        <f>IF(S3333=0,0,-(COUNTIF(S3333:S3336,"&gt;0")*$T$3244*$C$32+$V$3244*$C$31)*$H$27*$R$3244)</f>
        <v>0</v>
      </c>
      <c r="V3333">
        <f>IF(S3333=0,0,$V$3244*$H$26*$R$3244)</f>
        <v>0</v>
      </c>
      <c r="W3333">
        <f>(0.6*T3333+0.7*U3333)*$R$3244/2</f>
        <v>0</v>
      </c>
      <c r="X3333">
        <f>(0.6*T3333+0.6*V3333)*$R$3244/2</f>
        <v>0</v>
      </c>
      <c r="Z3333">
        <f>IF(S3333=0,0,$AD$3244*$AP$3221)</f>
        <v>0</v>
      </c>
      <c r="AA3333">
        <f>IFERROR(Z3333/$R$3244,0)</f>
        <v>0</v>
      </c>
      <c r="AB3333">
        <f>Z3333*($F$21+IF($F$21=0,0,($C$14+$C$15+IF($C$13="single",1.5,3)+3)/12))</f>
        <v>0</v>
      </c>
      <c r="AC3333">
        <f>AB3333-W3333</f>
        <v>0</v>
      </c>
      <c r="AD3333" cm="1">
        <f t="array" ref="AD3333">IFERROR(IF(AC3333&lt;0,0,AC3333/($R$3244-INDEX(hd_off,MATCH(AQ3333,hd_mark,0),0)/12)),0)</f>
        <v>0</v>
      </c>
      <c r="AE3333">
        <f>IF(S3333=0,0,$AD$3244*$AM$3221)</f>
        <v>0</v>
      </c>
      <c r="AF3333">
        <f>IFERROR(AE3333/$R$3244,0)</f>
        <v>0</v>
      </c>
      <c r="AG3333">
        <f>AE3333*($F$21+IF($F$21=0,0,($C$14+$C$15+IF($C$13="single",1.5,3)+3)/12))</f>
        <v>0</v>
      </c>
      <c r="AH3333">
        <f>AG3333-X3333</f>
        <v>0</v>
      </c>
      <c r="AI3333" cm="1">
        <f t="array" ref="AI3333">IFERROR(IF(AH3333&lt;0,0,AH3333/($R$3244-INDEX(hd_off,MATCH(AQ3333,hd_mark,0),0)/12)),0)</f>
        <v>0</v>
      </c>
      <c r="AJ3333">
        <f>MAX($F$21,$Y$3244)/$Q$3252</f>
        <v>0.30172413793103448</v>
      </c>
      <c r="AK3333">
        <f>IF(AJ3333=0,0,IF(AJ3333&gt;2,1.25-0.125*AJ3333,1))</f>
        <v>1</v>
      </c>
      <c r="AL3333" cm="1">
        <f t="array" ref="AL3333">IFERROR(INDEX(sheath_ecap_asd,MATCH(AP3333,sheath_mark,0),0)*AK3333,0)</f>
        <v>0</v>
      </c>
      <c r="AM3333" cm="1">
        <f t="array" ref="AM3333">IFERROR(INDEX(sheath_wcap_asd,MATCH(AP3333,sheath_mark,0),0)*AK3333,0)</f>
        <v>0</v>
      </c>
      <c r="AN3333" cm="1">
        <f t="array" ref="AN3333">IFERROR(INDEX(hd_cap,MATCH(AQ3333,hd_mark,0),0),0)</f>
        <v>0</v>
      </c>
      <c r="AP3333" s="19"/>
      <c r="AQ3333" s="19"/>
      <c r="AR3333" s="100"/>
      <c r="AS3333" s="93"/>
      <c r="AT3333" s="110" t="str">
        <f>$AT$3244</f>
        <v>1.15</v>
      </c>
      <c r="AU3333" t="str">
        <f>$Q$3221</f>
        <v>L2</v>
      </c>
      <c r="AV3333">
        <f>$E$21</f>
        <v>10.6875</v>
      </c>
      <c r="AW3333" cm="1">
        <f t="array" ref="AW3333">IFERROR(IF(AV3333=0,0,(INDEX($C$33:$C$38,MATCH($AZ$3244,$B$33:$B$38,0),0)*(AV3337+$BA$3244)+$AW$3244*COUNTIF(AV3333:AV3336,"&gt;0")*$C$32+$AY$3244*$C$31)*$AU$3244),0)</f>
        <v>0</v>
      </c>
      <c r="AX3333">
        <f>IF(AV3333=0,0,-(COUNTIF(AV3333:AV3336,"&gt;0")*$AW$3244*$C$32+$AY$3244*$C$31)*$H$27*$AU$3244)</f>
        <v>0</v>
      </c>
      <c r="AY3333">
        <f>IF(AV3333=0,0,$AY$3244*$H$26*$AU$3244)</f>
        <v>0</v>
      </c>
      <c r="AZ3333">
        <f>(0.6*AW3333+0.7*AX3333)*$AU$3244/2</f>
        <v>0</v>
      </c>
      <c r="BA3333">
        <f>(0.6*AW3333+0.6*AY3333)*$AU$3244/2</f>
        <v>0</v>
      </c>
      <c r="BC3333">
        <f>IF(AV3333=0,0,$BG$3244*$AP$3221)</f>
        <v>0</v>
      </c>
      <c r="BD3333">
        <f>IFERROR(BC3333/$AU$3244,0)</f>
        <v>0</v>
      </c>
      <c r="BE3333">
        <f>BC3333*($F$21+IF($F$21=0,0,($C$14+$C$15+IF($C$13="single",1.5,3)+3)/12))</f>
        <v>0</v>
      </c>
      <c r="BF3333">
        <f>BE3333-AZ3333</f>
        <v>0</v>
      </c>
      <c r="BG3333" cm="1">
        <f t="array" ref="BG3333">IFERROR(IF(BF3333&lt;0,0,BF3333/($AU$3244-INDEX(hd_off,MATCH(BT3333,hd_mark,0),0)/12)),0)</f>
        <v>0</v>
      </c>
      <c r="BH3333">
        <f>IF(AV3333=0,0,$BG$3244*$AM$3221)</f>
        <v>0</v>
      </c>
      <c r="BI3333">
        <f>IFERROR(BH3333/$AU$3244,0)</f>
        <v>0</v>
      </c>
      <c r="BJ3333">
        <f>BH3333*($F$21+IF($F$21=0,0,($C$14+$C$15+IF($C$13="single",1.5,3)+3)/12))</f>
        <v>0</v>
      </c>
      <c r="BK3333">
        <f>BJ3333-BA3333</f>
        <v>0</v>
      </c>
      <c r="BL3333" cm="1">
        <f t="array" ref="BL3333">IFERROR(IF(BK3333&lt;0,0,BK3333/($AU$3244-INDEX(hd_off,MATCH(BT3333,hd_mark,0),0)/12)),0)</f>
        <v>0</v>
      </c>
      <c r="BM3333">
        <f>MAX($F$21,$BB$3244)/$Q$3252</f>
        <v>0.30172413793103448</v>
      </c>
      <c r="BN3333">
        <f>IF(BM3333=0,0,IF(BM3333&gt;2,1.25-0.125*BM3333,1))</f>
        <v>1</v>
      </c>
      <c r="BO3333" cm="1">
        <f t="array" ref="BO3333">IFERROR(INDEX(sheath_ecap_asd,MATCH(BS3333,sheath_mark,0),0)*BN3333,0)</f>
        <v>0</v>
      </c>
      <c r="BP3333" cm="1">
        <f t="array" ref="BP3333">IFERROR(INDEX(sheath_wcap_asd,MATCH(BS3333,sheath_mark,0),0)*BN3333,0)</f>
        <v>0</v>
      </c>
      <c r="BQ3333" cm="1">
        <f t="array" ref="BQ3333">IFERROR(INDEX(hd_cap,MATCH(BT3333,hd_mark,0),0),0)</f>
        <v>0</v>
      </c>
      <c r="BS3333" s="19"/>
      <c r="BT3333" s="19"/>
      <c r="BU3333" s="100"/>
    </row>
    <row r="3334" x14ac:dyDescent="0.25">
      <c r="P3334" s="93"/>
      <c r="Q3334" s="109"/>
      <c r="R3334" t="str">
        <f>$Q$3222</f>
        <v>L3</v>
      </c>
      <c r="S3334">
        <f>$E$22</f>
        <v>21.375</v>
      </c>
      <c r="T3334" cm="1">
        <f t="array" ref="T3334">IFERROR(IF(S3334=0,0,(INDEX($C$33:$C$38,MATCH($W$3244,$B$33:$B$38,0),0)*(S3337+$X$3244)+$T$3244*COUNTIF(S3334:S3336,"&gt;0")*$C$32+$V$3244*$C$31)*$R$3244),0)</f>
        <v>0</v>
      </c>
      <c r="U3334">
        <f>IF(S3334=0,0,-(COUNTIF(S3334:S3336,"&gt;0")*$T$3244*$C$32+$V$3244*$C$31)*$H$27*$R$3244)</f>
        <v>0</v>
      </c>
      <c r="V3334">
        <f>IF(S3334=0,0,$V$3244*$H$26*$R$3244)</f>
        <v>0</v>
      </c>
      <c r="W3334">
        <f>(0.6*T3334+0.7*U3334)*$R$3244/2</f>
        <v>0</v>
      </c>
      <c r="X3334">
        <f>T3334*$R$3244/2</f>
        <v>0</v>
      </c>
      <c r="Z3334">
        <f>IF(S3334=0,0,$AD$3244*$AP$3222)</f>
        <v>0</v>
      </c>
      <c r="AA3334">
        <f>IFERROR(Z3334/$R$3244,0)</f>
        <v>0</v>
      </c>
      <c r="AB3334">
        <f>Z3334*($F$22+IF($F$22=0,0,($C$14+$C$15+IF($C$13="single",1.5,3)+3)/12))</f>
        <v>0</v>
      </c>
      <c r="AC3334">
        <f>AB3334-W3334</f>
        <v>0</v>
      </c>
      <c r="AD3334" cm="1">
        <f t="array" ref="AD3334">IFERROR(IF(AC3334&lt;0,0,AC3334/($R$3244-INDEX(hd_off,MATCH(AQ3334,hd_mark,0),0)/12)),0)</f>
        <v>0</v>
      </c>
      <c r="AE3334">
        <f>IF(S3334=0,0,$AD$3244*$AM$3222)</f>
        <v>0</v>
      </c>
      <c r="AF3334">
        <f>IFERROR(AE3334/$R$3244,0)</f>
        <v>0</v>
      </c>
      <c r="AG3334">
        <f>AE3334*($F$22+IF($F$22=0,0,($C$14+$C$15+IF($C$13="single",1.5,3)+3)/12))</f>
        <v>0</v>
      </c>
      <c r="AH3334">
        <f>AG3334-X3334</f>
        <v>0</v>
      </c>
      <c r="AI3334" cm="1">
        <f t="array" ref="AI3334">IFERROR(IF(AH3334&lt;0,0,AH3334/($R$3244-INDEX(hd_off,MATCH(AQ3334,hd_mark,0),0)/12)),0)</f>
        <v>0</v>
      </c>
      <c r="AJ3334">
        <f>MAX($F$22,$Z$3244)/$Q$3252</f>
        <v>0.30172413793103448</v>
      </c>
      <c r="AK3334">
        <f t="shared" ref="AK3334:AK3337" si="2050">IF(AJ3334=0,0,IF(AJ3334&gt;2,1.25-0.125*AJ3334,1))</f>
        <v>1</v>
      </c>
      <c r="AL3334" cm="1">
        <f t="array" ref="AL3334">IFERROR(INDEX(sheath_ecap_asd,MATCH(AP3334,sheath_mark,0),0)*AK3334,0)</f>
        <v>0</v>
      </c>
      <c r="AM3334" cm="1">
        <f t="array" ref="AM3334">IFERROR(INDEX(sheath_wcap_asd,MATCH(AP3334,sheath_mark,0),0)*AK3334,0)</f>
        <v>0</v>
      </c>
      <c r="AN3334" cm="1">
        <f t="array" ref="AN3334">IFERROR(INDEX(hd_cap,MATCH(AQ3334,hd_mark,0),0),0)</f>
        <v>0</v>
      </c>
      <c r="AP3334" s="19"/>
      <c r="AQ3334" s="19"/>
      <c r="AR3334" s="100"/>
      <c r="AS3334" s="93"/>
      <c r="AT3334" s="109"/>
      <c r="AU3334" t="str">
        <f>$Q$3222</f>
        <v>L3</v>
      </c>
      <c r="AV3334">
        <f>$E$22</f>
        <v>21.375</v>
      </c>
      <c r="AW3334" cm="1">
        <f t="array" ref="AW3334">IFERROR(IF(AV3334=0,0,(INDEX($C$33:$C$38,MATCH($AZ$3244,$B$33:$B$38,0),0)*(AV3337+$BA$3244)+$AW$3244*COUNTIF(AV3334:AV3336,"&gt;0")*$C$32+$AY$3244*$C$31)*$AU$3244),0)</f>
        <v>0</v>
      </c>
      <c r="AX3334">
        <f>IF(AV3334=0,0,-(COUNTIF(AV3334:AV3336,"&gt;0")*$AW$3244*$C$32+$AY$3244*$C$31)*$H$27*$AU$3244)</f>
        <v>0</v>
      </c>
      <c r="AY3334">
        <f>IF(AV3334=0,0,$AY$3244*$H$26*$AU$3244)</f>
        <v>0</v>
      </c>
      <c r="AZ3334">
        <f>(0.6*AW3334+0.7*AX3334)*$AU$3244/2</f>
        <v>0</v>
      </c>
      <c r="BA3334">
        <f>AW3334*$AU$3244/2</f>
        <v>0</v>
      </c>
      <c r="BC3334">
        <f>IF(AV3334=0,0,$BG$3244*$AP$3222)</f>
        <v>0</v>
      </c>
      <c r="BD3334">
        <f>IFERROR(BC3334/$AU$3244,0)</f>
        <v>0</v>
      </c>
      <c r="BE3334">
        <f>BC3334*($F$22+IF($F$22=0,0,($C$14+$C$15+IF($C$13="single",1.5,3)+3)/12))</f>
        <v>0</v>
      </c>
      <c r="BF3334">
        <f>BE3334-AZ3334</f>
        <v>0</v>
      </c>
      <c r="BG3334" cm="1">
        <f t="array" ref="BG3334">IFERROR(IF(BF3334&lt;0,0,BF3334/($AU$3244-INDEX(hd_off,MATCH(BT3334,hd_mark,0),0)/12)),0)</f>
        <v>0</v>
      </c>
      <c r="BH3334">
        <f>IF(AV3334=0,0,$BG$3244*$AM$3222)</f>
        <v>0</v>
      </c>
      <c r="BI3334">
        <f>IFERROR(BH3334/$AU$3244,0)</f>
        <v>0</v>
      </c>
      <c r="BJ3334">
        <f>BH3334*($F$22+IF($F$22=0,0,($C$14+$C$15+IF($C$13="single",1.5,3)+3)/12))</f>
        <v>0</v>
      </c>
      <c r="BK3334">
        <f>BJ3334-BA3334</f>
        <v>0</v>
      </c>
      <c r="BL3334" cm="1">
        <f t="array" ref="BL3334">IFERROR(IF(BK3334&lt;0,0,BK3334/($AU$3244-INDEX(hd_off,MATCH(BT3334,hd_mark,0),0)/12)),0)</f>
        <v>0</v>
      </c>
      <c r="BM3334">
        <f>MAX($F$22,$BC$3244)/$Q$3252</f>
        <v>0.30172413793103448</v>
      </c>
      <c r="BN3334">
        <f t="shared" ref="BN3334:BN3337" si="2051">IF(BM3334=0,0,IF(BM3334&gt;2,1.25-0.125*BM3334,1))</f>
        <v>1</v>
      </c>
      <c r="BO3334" cm="1">
        <f t="array" ref="BO3334">IFERROR(INDEX(sheath_ecap_asd,MATCH(BS3334,sheath_mark,0),0)*BN3334,0)</f>
        <v>0</v>
      </c>
      <c r="BP3334" cm="1">
        <f t="array" ref="BP3334">IFERROR(INDEX(sheath_wcap_asd,MATCH(BS3334,sheath_mark,0),0)*BN3334,0)</f>
        <v>0</v>
      </c>
      <c r="BQ3334" cm="1">
        <f t="array" ref="BQ3334">IFERROR(INDEX(hd_cap,MATCH(BT3334,hd_mark,0),0),0)</f>
        <v>0</v>
      </c>
      <c r="BS3334" s="19"/>
      <c r="BT3334" s="19"/>
      <c r="BU3334" s="100"/>
    </row>
    <row r="3335" x14ac:dyDescent="0.25">
      <c r="P3335" s="93"/>
      <c r="Q3335" s="109" t="s">
        <v>491</v>
      </c>
      <c r="R3335" t="str">
        <f>$Q$3223</f>
        <v>L4</v>
      </c>
      <c r="S3335">
        <f>$E$23</f>
        <v>0</v>
      </c>
      <c r="T3335" cm="1">
        <f t="array" ref="T3335">IFERROR(IF(S3335=0,0,(INDEX($C$33:$C$38,MATCH($W$3244,$B$33:$B$38,0),0)*(S3337+$X$3244)+$T$3244*COUNTIF(S3335:S3336,"&gt;0")*$C$32+$V$3244*$C$31)*$R$3244),0)</f>
        <v>0</v>
      </c>
      <c r="U3335">
        <f>IF(S3335=0,0,-(COUNTIF(S3335:S3336,"&gt;0")*$T$3244*$C$32+$V$3244*$C$31)*$H$27*$R$3244)</f>
        <v>0</v>
      </c>
      <c r="V3335">
        <f>IF(S3335=0,0,$V$3244*$H$26*$R$3244)</f>
        <v>0</v>
      </c>
      <c r="W3335">
        <f>(0.6*T3335+0.7*U3335)*$R$3244/2</f>
        <v>0</v>
      </c>
      <c r="X3335">
        <f>T3335*$R$3244/2</f>
        <v>0</v>
      </c>
      <c r="Z3335">
        <f>IF(S3335=0,0,$AD$3244*$AP$3223)</f>
        <v>0</v>
      </c>
      <c r="AA3335">
        <f>IFERROR(Z3335/$R$3244,0)</f>
        <v>0</v>
      </c>
      <c r="AB3335">
        <f>Z3335*($F$23+IF($F$23=0,0,($C$14+$C$15+IF($C$13="single",1.5,3)+3)/12))</f>
        <v>0</v>
      </c>
      <c r="AC3335">
        <f>AB3335-W3335</f>
        <v>0</v>
      </c>
      <c r="AD3335" cm="1">
        <f t="array" ref="AD3335">IFERROR(IF(AC3335&lt;0,0,AC3335/($R$3244-INDEX(hd_off,MATCH(AQ3335,hd_mark,0),0)/12)),0)</f>
        <v>0</v>
      </c>
      <c r="AE3335">
        <f>IF(S3335=0,0,$AD$3244*$AM$3223)</f>
        <v>0</v>
      </c>
      <c r="AF3335">
        <f>IFERROR(AE3335/$R$3244,0)</f>
        <v>0</v>
      </c>
      <c r="AG3335">
        <f>AE3335*($F$23+IF($F$23=0,0,($C$14+$C$15+IF($C$13="single",1.5,3)+3)/12))</f>
        <v>0</v>
      </c>
      <c r="AH3335">
        <f>AG3335-X3335</f>
        <v>0</v>
      </c>
      <c r="AI3335" cm="1">
        <f t="array" ref="AI3335">IFERROR(IF(AH3335&lt;0,0,AH3335/($R$3244-INDEX(hd_off,MATCH(AQ3335,hd_mark,0),0)/12)),0)</f>
        <v>0</v>
      </c>
      <c r="AJ3335">
        <f>MAX($F$23,$AA$3244)/$Q$3252</f>
        <v>0</v>
      </c>
      <c r="AK3335">
        <f t="shared" si="2050"/>
        <v>0</v>
      </c>
      <c r="AL3335" cm="1">
        <f t="array" ref="AL3335">IFERROR(INDEX(sheath_ecap_asd,MATCH(AP3335,sheath_mark,0),0)*AK3335,0)</f>
        <v>0</v>
      </c>
      <c r="AM3335" cm="1">
        <f t="array" ref="AM3335">IFERROR(INDEX(sheath_wcap_asd,MATCH(AP3335,sheath_mark,0),0)*AK3335,0)</f>
        <v>0</v>
      </c>
      <c r="AN3335" cm="1">
        <f t="array" ref="AN3335">IFERROR(INDEX(hd_cap,MATCH(AQ3335,hd_mark,0),0),0)</f>
        <v>0</v>
      </c>
      <c r="AP3335" s="19"/>
      <c r="AQ3335" s="19"/>
      <c r="AR3335" s="100"/>
      <c r="AS3335" s="93"/>
      <c r="AT3335" s="109" t="s">
        <v>491</v>
      </c>
      <c r="AU3335" t="str">
        <f>$Q$3223</f>
        <v>L4</v>
      </c>
      <c r="AV3335">
        <f>$E$23</f>
        <v>0</v>
      </c>
      <c r="AW3335" cm="1">
        <f t="array" ref="AW3335">IFERROR(IF(AV3335=0,0,(INDEX($C$33:$C$38,MATCH($AZ$3244,$B$33:$B$38,0),0)*(AV3337+$BA$3244)+$AW$3244*COUNTIF(AV3335:AV3336,"&gt;0")*$C$32+$AY$3244*$C$31)*$AU$3244),0)</f>
        <v>0</v>
      </c>
      <c r="AX3335">
        <f>IF(AV3335=0,0,-(COUNTIF(AV3335:AV3336,"&gt;0")*$AW$3244*$C$32+$AY$3244*$C$31)*$H$27*$AU$3244)</f>
        <v>0</v>
      </c>
      <c r="AY3335">
        <f>IF(AV3335=0,0,$AY$3244*$H$26*$AU$3244)</f>
        <v>0</v>
      </c>
      <c r="AZ3335">
        <f>(0.6*AW3335+0.7*AX3335)*$AU$3244/2</f>
        <v>0</v>
      </c>
      <c r="BA3335">
        <f>AW3335*$AU$3244/2</f>
        <v>0</v>
      </c>
      <c r="BC3335">
        <f>IF(AV3335=0,0,$BG$3244*$AP$3223)</f>
        <v>0</v>
      </c>
      <c r="BD3335">
        <f>IFERROR(BC3335/$AU$3244,0)</f>
        <v>0</v>
      </c>
      <c r="BE3335">
        <f>BC3335*($F$23+IF($F$23=0,0,($C$14+$C$15+IF($C$13="single",1.5,3)+3)/12))</f>
        <v>0</v>
      </c>
      <c r="BF3335">
        <f>BE3335-AZ3335</f>
        <v>0</v>
      </c>
      <c r="BG3335" cm="1">
        <f t="array" ref="BG3335">IFERROR(IF(BF3335&lt;0,0,BF3335/($AU$3244-INDEX(hd_off,MATCH(BT3335,hd_mark,0),0)/12)),0)</f>
        <v>0</v>
      </c>
      <c r="BH3335">
        <f>IF(AV3335=0,0,$BG$3244*$AM$3223)</f>
        <v>0</v>
      </c>
      <c r="BI3335">
        <f>IFERROR(BH3335/$AU$3244,0)</f>
        <v>0</v>
      </c>
      <c r="BJ3335">
        <f>BH3335*($F$23+IF($F$23=0,0,($C$14+$C$15+IF($C$13="single",1.5,3)+3)/12))</f>
        <v>0</v>
      </c>
      <c r="BK3335">
        <f>BJ3335-BA3335</f>
        <v>0</v>
      </c>
      <c r="BL3335" cm="1">
        <f t="array" ref="BL3335">IFERROR(IF(BK3335&lt;0,0,BK3335/($AU$3244-INDEX(hd_off,MATCH(BT3335,hd_mark,0),0)/12)),0)</f>
        <v>0</v>
      </c>
      <c r="BM3335">
        <f>MAX($F$23,$BD$3244)/$Q$3252</f>
        <v>0</v>
      </c>
      <c r="BN3335">
        <f t="shared" si="2051"/>
        <v>0</v>
      </c>
      <c r="BO3335" cm="1">
        <f t="array" ref="BO3335">IFERROR(INDEX(sheath_ecap_asd,MATCH(BS3335,sheath_mark,0),0)*BN3335,0)</f>
        <v>0</v>
      </c>
      <c r="BP3335" cm="1">
        <f t="array" ref="BP3335">IFERROR(INDEX(sheath_wcap_asd,MATCH(BS3335,sheath_mark,0),0)*BN3335,0)</f>
        <v>0</v>
      </c>
      <c r="BQ3335" cm="1">
        <f t="array" ref="BQ3335">IFERROR(INDEX(hd_cap,MATCH(BT3335,hd_mark,0),0),0)</f>
        <v>0</v>
      </c>
      <c r="BS3335" s="19"/>
      <c r="BT3335" s="19"/>
      <c r="BU3335" s="100"/>
    </row>
    <row r="3336" x14ac:dyDescent="0.25">
      <c r="P3336" s="93"/>
      <c r="Q3336" s="111">
        <f>$R$3244</f>
        <v>0</v>
      </c>
      <c r="R3336" t="str">
        <f>$Q$3224</f>
        <v>L5</v>
      </c>
      <c r="S3336">
        <f>$E$24</f>
        <v>0</v>
      </c>
      <c r="T3336" cm="1">
        <f t="array" ref="T3336">IFERROR(IF(S3336=0,0,(INDEX($C$33:$C$38,MATCH($W$3244,$B$33:$B$38,0),0)*(S3337+$X$3244)+$T$3244*COUNTIF(S3336:S3336,"&gt;0")*$C$32+$V$3244*$C$31)*$R$3244),0)</f>
        <v>0</v>
      </c>
      <c r="U3336">
        <f>IF(S3336=0,0,-(COUNTIF(S3336:S3336,"&gt;0")*$T$3244*$C$32+$V$3244*$C$31)*$H$27*$R$3244)</f>
        <v>0</v>
      </c>
      <c r="V3336">
        <f>IF(S3336=0,0,$V$3244*$H$26*$R$3244)</f>
        <v>0</v>
      </c>
      <c r="W3336">
        <f>(0.6*T3336+0.7*U3336)*$R$3244/2</f>
        <v>0</v>
      </c>
      <c r="X3336">
        <f>T3336*$R$3244/2</f>
        <v>0</v>
      </c>
      <c r="Z3336">
        <f>IF(S3336=0,0,$AD$3244*$AP$3224)</f>
        <v>0</v>
      </c>
      <c r="AA3336">
        <f>IFERROR(Z3336/$R$3244,0)</f>
        <v>0</v>
      </c>
      <c r="AB3336">
        <f>Z3336*($F$24+IF($F$24=0,0,($C$14+$C$15+IF($C$13="single",1.5,3)+3)/12))</f>
        <v>0</v>
      </c>
      <c r="AC3336">
        <f>AB3336-W3336</f>
        <v>0</v>
      </c>
      <c r="AD3336" cm="1">
        <f t="array" ref="AD3336">IFERROR(IF(AC3336&lt;0,0,AC3336/($R$3244-INDEX(hd_off,MATCH(AQ3336,hd_mark,0),0)/12)),0)</f>
        <v>0</v>
      </c>
      <c r="AE3336">
        <f>IF(S3336=0,0,$AD$3244*$AM$3224)</f>
        <v>0</v>
      </c>
      <c r="AF3336">
        <f>IFERROR(AE3336/$R$3244,0)</f>
        <v>0</v>
      </c>
      <c r="AG3336">
        <f>AE3336*($F$24+IF($F$24=0,0,($C$14+$C$15+IF($C$13="single",1.5,3)+3)/12))</f>
        <v>0</v>
      </c>
      <c r="AH3336">
        <f>AG3336-X3336</f>
        <v>0</v>
      </c>
      <c r="AI3336" cm="1">
        <f t="array" ref="AI3336">IFERROR(IF(AH3336&lt;0,0,AH3336/($R$3244-INDEX(hd_off,MATCH(AQ3336,hd_mark,0),0)/12)),0)</f>
        <v>0</v>
      </c>
      <c r="AJ3336">
        <f>MAX($F$24,$AB$3244)/$Q$3252</f>
        <v>0</v>
      </c>
      <c r="AK3336">
        <f t="shared" si="2050"/>
        <v>0</v>
      </c>
      <c r="AL3336" cm="1">
        <f t="array" ref="AL3336">IFERROR(INDEX(sheath_ecap_asd,MATCH(AP3336,sheath_mark,0),0)*AK3336,0)</f>
        <v>0</v>
      </c>
      <c r="AM3336" cm="1">
        <f t="array" ref="AM3336">IFERROR(INDEX(sheath_wcap_asd,MATCH(AP3336,sheath_mark,0),0)*AK3336,0)</f>
        <v>0</v>
      </c>
      <c r="AN3336" cm="1">
        <f t="array" ref="AN3336">IFERROR(INDEX(hd_cap,MATCH(AQ3336,hd_mark,0),0),0)</f>
        <v>0</v>
      </c>
      <c r="AP3336" s="19"/>
      <c r="AQ3336" s="19"/>
      <c r="AR3336" s="100"/>
      <c r="AS3336" s="93"/>
      <c r="AT3336" s="111">
        <f>$R$3244</f>
        <v>0</v>
      </c>
      <c r="AU3336" t="str">
        <f>$Q$3224</f>
        <v>L5</v>
      </c>
      <c r="AV3336">
        <f>$E$24</f>
        <v>0</v>
      </c>
      <c r="AW3336" cm="1">
        <f t="array" ref="AW3336">IFERROR(IF(AV3336=0,0,(INDEX($C$33:$C$38,MATCH($AZ$3244,$B$33:$B$38,0),0)*(AV3337+$BA$3244)+$AW$3244*COUNTIF(AV3336:AV3336,"&gt;0")*$C$32+$AY$3244*$C$31)*$AU$3244),0)</f>
        <v>0</v>
      </c>
      <c r="AX3336">
        <f>IF(AV3336=0,0,-(COUNTIF(AV3336:AV3336,"&gt;0")*$AW$3244*$C$32+$AY$3244*$C$31)*$H$27*$AU$3244)</f>
        <v>0</v>
      </c>
      <c r="AY3336">
        <f>IF(AV3336=0,0,$AY$3244*$H$26*$AU$3244)</f>
        <v>0</v>
      </c>
      <c r="AZ3336">
        <f>(0.6*AW3336+0.7*AX3336)*$AU$3244/2</f>
        <v>0</v>
      </c>
      <c r="BA3336">
        <f>AW3336*$AU$3244/2</f>
        <v>0</v>
      </c>
      <c r="BC3336">
        <f>IF(AV3336=0,0,$BG$3244*$AP$3224)</f>
        <v>0</v>
      </c>
      <c r="BD3336">
        <f>IFERROR(BC3336/$AU$3244,0)</f>
        <v>0</v>
      </c>
      <c r="BE3336">
        <f>BC3336*($F$24+IF($F$24=0,0,($C$14+$C$15+IF($C$13="single",1.5,3)+3)/12))</f>
        <v>0</v>
      </c>
      <c r="BF3336">
        <f>BE3336-AZ3336</f>
        <v>0</v>
      </c>
      <c r="BG3336" cm="1">
        <f t="array" ref="BG3336">IFERROR(IF(BF3336&lt;0,0,BF3336/($AU$3244-INDEX(hd_off,MATCH(BT3336,hd_mark,0),0)/12)),0)</f>
        <v>0</v>
      </c>
      <c r="BH3336">
        <f>IF(AV3336=0,0,$BG$3244*$AM$3224)</f>
        <v>0</v>
      </c>
      <c r="BI3336">
        <f>IFERROR(BH3336/$AU$3244,0)</f>
        <v>0</v>
      </c>
      <c r="BJ3336">
        <f>BH3336*($F$24+IF($F$24=0,0,($C$14+$C$15+IF($C$13="single",1.5,3)+3)/12))</f>
        <v>0</v>
      </c>
      <c r="BK3336">
        <f>BJ3336-BA3336</f>
        <v>0</v>
      </c>
      <c r="BL3336" cm="1">
        <f t="array" ref="BL3336">IFERROR(IF(BK3336&lt;0,0,BK3336/($AU$3244-INDEX(hd_off,MATCH(BT3336,hd_mark,0),0)/12)),0)</f>
        <v>0</v>
      </c>
      <c r="BM3336">
        <f>MAX($F$24,$BE$3244)/$Q$3252</f>
        <v>0</v>
      </c>
      <c r="BN3336">
        <f t="shared" si="2051"/>
        <v>0</v>
      </c>
      <c r="BO3336" cm="1">
        <f t="array" ref="BO3336">IFERROR(INDEX(sheath_ecap_asd,MATCH(BS3336,sheath_mark,0),0)*BN3336,0)</f>
        <v>0</v>
      </c>
      <c r="BP3336" cm="1">
        <f t="array" ref="BP3336">IFERROR(INDEX(sheath_wcap_asd,MATCH(BS3336,sheath_mark,0),0)*BN3336,0)</f>
        <v>0</v>
      </c>
      <c r="BQ3336" cm="1">
        <f t="array" ref="BQ3336">IFERROR(INDEX(hd_cap,MATCH(BT3336,hd_mark,0),0),0)</f>
        <v>0</v>
      </c>
      <c r="BS3336" s="19"/>
      <c r="BT3336" s="19"/>
      <c r="BU3336" s="100"/>
    </row>
    <row r="3337" x14ac:dyDescent="0.25">
      <c r="P3337" s="93"/>
      <c r="Q3337" s="109"/>
      <c r="R3337" t="str">
        <f>$Q$3225</f>
        <v>Roof</v>
      </c>
      <c r="S3337">
        <f>$E$25</f>
        <v>33.171875</v>
      </c>
      <c r="T3337" cm="1">
        <f t="array" ref="T3337">IFERROR(IF(S3337=0,0,(INDEX($C$33:$C$38,MATCH($W$3244,$B$33:$B$38,0),0)*(S3337+$X$3244)+$V$3244*$C$31)*$R$3244),0)</f>
        <v>0</v>
      </c>
      <c r="U3337">
        <f>IF(S3337=0,0,-$V$3244*$C$31*$H$27*$R$3244)</f>
        <v>0</v>
      </c>
      <c r="V3337">
        <f>IF(S3337=0,0,$V$3244*$H$26*$R$3244)</f>
        <v>0</v>
      </c>
      <c r="W3337">
        <f>(0.6*T3337+0.7*U3337)*$R$3244/2</f>
        <v>0</v>
      </c>
      <c r="X3337">
        <f>T3337*$R$3244/2</f>
        <v>0</v>
      </c>
      <c r="Z3337">
        <f>IF(S3337=0,0,$AD$3244*$AP$3225)</f>
        <v>0</v>
      </c>
      <c r="AA3337">
        <f>IFERROR(Z3337/$R$3244,0)</f>
        <v>0</v>
      </c>
      <c r="AB3337">
        <f>Z3337*($F$25+($C$16+$C$17+IF($C$13="single",1.5,3)+3)/12)</f>
        <v>0</v>
      </c>
      <c r="AC3337">
        <f>AB3337-W3337</f>
        <v>0</v>
      </c>
      <c r="AD3337" cm="1">
        <f t="array" ref="AD3337">IFERROR(IF(AC3337&lt;0,0,AC3337/($R$3244-INDEX(hd_off,MATCH(AQ3337,hd_mark,0),0)/12)),0)</f>
        <v>0</v>
      </c>
      <c r="AE3337">
        <f>IF(S3337=0,0,$AD$3244*$AM$3225)</f>
        <v>0</v>
      </c>
      <c r="AF3337">
        <f>IFERROR(AE3337/$R$3244,0)</f>
        <v>0</v>
      </c>
      <c r="AG3337">
        <f>AE3337*($F$25+($C$16+$C$17+IF($C$13="single",1.5,3)+3)/12)</f>
        <v>0</v>
      </c>
      <c r="AH3337">
        <f>AG3337-X3337</f>
        <v>0</v>
      </c>
      <c r="AI3337" cm="1">
        <f t="array" ref="AI3337">IFERROR(IF(AH3337&lt;0,0,AH3337/($R$3244-INDEX(hd_off,MATCH(AQ3337,hd_mark,0),0)/12)),0)</f>
        <v>0</v>
      </c>
      <c r="AJ3337">
        <f>MAX($F$25,$AC$3244)/$Q$3252</f>
        <v>0.29920977011494249</v>
      </c>
      <c r="AK3337">
        <f t="shared" si="2050"/>
        <v>1</v>
      </c>
      <c r="AL3337" cm="1">
        <f t="array" ref="AL3337">IFERROR(INDEX(sheath_ecap_asd,MATCH(AP3337,sheath_mark,0),0)*AK3337,0)</f>
        <v>0</v>
      </c>
      <c r="AM3337" cm="1">
        <f t="array" ref="AM3337">IFERROR(INDEX(sheath_wcap_asd,MATCH(AP3337,sheath_mark,0),0)*AK3337,0)</f>
        <v>0</v>
      </c>
      <c r="AN3337" cm="1">
        <f t="array" ref="AN3337">IFERROR(INDEX(hd_cap,MATCH(AQ3337,hd_mark,0),0),0)</f>
        <v>0</v>
      </c>
      <c r="AP3337" s="19"/>
      <c r="AQ3337" s="19"/>
      <c r="AR3337" s="100"/>
      <c r="AS3337" s="93"/>
      <c r="AT3337" s="109"/>
      <c r="AU3337" t="str">
        <f>$Q$3225</f>
        <v>Roof</v>
      </c>
      <c r="AV3337">
        <f>$E$25</f>
        <v>33.171875</v>
      </c>
      <c r="AW3337" cm="1">
        <f t="array" ref="AW3337">IFERROR(IF(AV3337=0,0,(INDEX($C$33:$C$38,MATCH($AZ$3244,$B$33:$B$38,0),0)*(AV3337+$BA$3244)+$AY$3244*$C$31)*$AU$3244),0)</f>
        <v>0</v>
      </c>
      <c r="AX3337">
        <f>IF(AV3337=0,0,-$AY$3244*$C$31*$H$27*$AU$3244)</f>
        <v>0</v>
      </c>
      <c r="AY3337">
        <f>IF(AV3337=0,0,$AY$3244*$H$26*$AU$3244)</f>
        <v>0</v>
      </c>
      <c r="AZ3337">
        <f>(0.6*AW3337+0.7*AX3337)*$AU$3244/2</f>
        <v>0</v>
      </c>
      <c r="BA3337">
        <f>AW3337*$AU$3244/2</f>
        <v>0</v>
      </c>
      <c r="BC3337">
        <f>IF(AV3337=0,0,$BG$3244*$AP$3225)</f>
        <v>0</v>
      </c>
      <c r="BD3337">
        <f>IFERROR(BC3337/$AU$3244,0)</f>
        <v>0</v>
      </c>
      <c r="BE3337">
        <f>BC3337*($F$25+($C$16+$C$17+IF($C$13="single",1.5,3)+3)/12)</f>
        <v>0</v>
      </c>
      <c r="BF3337">
        <f>BE3337-AZ3337</f>
        <v>0</v>
      </c>
      <c r="BG3337" cm="1">
        <f t="array" ref="BG3337">IFERROR(IF(BF3337&lt;0,0,BF3337/($AU$3244-INDEX(hd_off,MATCH(BT3337,hd_mark,0),0)/12)),0)</f>
        <v>0</v>
      </c>
      <c r="BH3337">
        <f>IF(AV3337=0,0,$BG$3244*$AM$3225)</f>
        <v>0</v>
      </c>
      <c r="BI3337">
        <f>IFERROR(BH3337/$AU$3244,0)</f>
        <v>0</v>
      </c>
      <c r="BJ3337">
        <f>BH3337*($F$25+($C$16+$C$17+IF($C$13="single",1.5,3)+3)/12)</f>
        <v>0</v>
      </c>
      <c r="BK3337">
        <f>BJ3337-BA3337</f>
        <v>0</v>
      </c>
      <c r="BL3337" cm="1">
        <f t="array" ref="BL3337">IFERROR(IF(BK3337&lt;0,0,BK3337/($AU$3244-INDEX(hd_off,MATCH(BT3337,hd_mark,0),0)/12)),0)</f>
        <v>0</v>
      </c>
      <c r="BM3337">
        <f>MAX($F$25,$BF$3244)/$Q$3252</f>
        <v>0.29920977011494249</v>
      </c>
      <c r="BN3337">
        <f t="shared" si="2051"/>
        <v>1</v>
      </c>
      <c r="BO3337" cm="1">
        <f t="array" ref="BO3337">IFERROR(INDEX(sheath_ecap_asd,MATCH(BS3337,sheath_mark,0),0)*BN3337,0)</f>
        <v>0</v>
      </c>
      <c r="BP3337" cm="1">
        <f t="array" ref="BP3337">IFERROR(INDEX(sheath_wcap_asd,MATCH(BS3337,sheath_mark,0),0)*BN3337,0)</f>
        <v>0</v>
      </c>
      <c r="BQ3337" cm="1">
        <f t="array" ref="BQ3337">IFERROR(INDEX(hd_cap,MATCH(BT3337,hd_mark,0),0),0)</f>
        <v>0</v>
      </c>
      <c r="BS3337" s="19"/>
      <c r="BT3337" s="19"/>
      <c r="BU3337" s="100"/>
    </row>
    <row r="3338" x14ac:dyDescent="0.25">
      <c r="P3338" s="93"/>
      <c r="AR3338" s="100"/>
      <c r="AS3338" s="93"/>
      <c r="BU3338" s="100"/>
    </row>
    <row r="3339" x14ac:dyDescent="0.25">
      <c r="P3339" s="93"/>
      <c r="Q3339" s="110" t="str">
        <f>$Q$3245</f>
        <v>A.16</v>
      </c>
      <c r="R3339" t="str">
        <f>$Q$3221</f>
        <v>L2</v>
      </c>
      <c r="S3339">
        <f>$E$21</f>
        <v>10.6875</v>
      </c>
      <c r="T3339" cm="1">
        <f t="array" ref="T3339">IFERROR(IF(S3339=0,0,(INDEX($C$33:$C$38,MATCH($W$3245,$B$33:$B$38,0),0)*(S3343+$X$3245)+$T$3245*COUNTIF(S3339:S3342,"&gt;0")*$C$32+$V$3245*$C$31)*$R$3245),0)</f>
        <v>0</v>
      </c>
      <c r="U3339">
        <f>IF(S3339=0,0,-(COUNTIF(S3339:S3342,"&gt;0")*$T$3245*$C$32+$V$3245*$C$31)*$H$27*$R$3245)</f>
        <v>0</v>
      </c>
      <c r="V3339">
        <f>IF(S3339=0,0,$V$3245*$H$26*$R$3245)</f>
        <v>0</v>
      </c>
      <c r="W3339">
        <f>(0.6*T3339+0.7*U3339)*$R$3245/2</f>
        <v>0</v>
      </c>
      <c r="X3339">
        <f>(0.6*T3339+0.6*V3339)*$R$3245/2</f>
        <v>0</v>
      </c>
      <c r="Z3339">
        <f>IF(S3339=0,0,$AD$3245*$AP$3221)</f>
        <v>0</v>
      </c>
      <c r="AA3339">
        <f>IFERROR(Z3339/$R$3245,0)</f>
        <v>0</v>
      </c>
      <c r="AB3339">
        <f>Z3339*($F$21+IF($F$21=0,0,($C$14+$C$15+IF($C$13="single",1.5,3)+3)/12))</f>
        <v>0</v>
      </c>
      <c r="AC3339">
        <f>AB3339-W3339</f>
        <v>0</v>
      </c>
      <c r="AD3339" cm="1">
        <f t="array" ref="AD3339">IFERROR(IF(AC3339&lt;0,0,AC3339/($R$3245-INDEX(hd_off,MATCH(AQ3339,hd_mark,0),0)/12)),0)</f>
        <v>0</v>
      </c>
      <c r="AE3339">
        <f>IF(S3339=0,0,$AD$3245*$AM$3221)</f>
        <v>0</v>
      </c>
      <c r="AF3339">
        <f>IFERROR(AE3339/$R$3245,0)</f>
        <v>0</v>
      </c>
      <c r="AG3339">
        <f>AE3339*($F$21+IF($F$21=0,0,($C$14+$C$15+IF($C$13="single",1.5,3)+3)/12))</f>
        <v>0</v>
      </c>
      <c r="AH3339">
        <f>AG3339-X3339</f>
        <v>0</v>
      </c>
      <c r="AI3339" cm="1">
        <f t="array" ref="AI3339">IFERROR(IF(AH3339&lt;0,0,AH3339/($R$3245-INDEX(hd_off,MATCH(AQ3339,hd_mark,0),0)/12)),0)</f>
        <v>0</v>
      </c>
      <c r="AJ3339">
        <f>MAX($F$21,$Y$3245)/$Q$3252</f>
        <v>0.30172413793103448</v>
      </c>
      <c r="AK3339">
        <f>IF(AJ3339=0,0,IF(AJ3339&gt;2,1.25-0.125*AJ3339,1))</f>
        <v>1</v>
      </c>
      <c r="AL3339" cm="1">
        <f t="array" ref="AL3339">IFERROR(INDEX(sheath_ecap_asd,MATCH(AP3339,sheath_mark,0),0)*AK3339,0)</f>
        <v>0</v>
      </c>
      <c r="AM3339" cm="1">
        <f t="array" ref="AM3339">IFERROR(INDEX(sheath_wcap_asd,MATCH(AP3339,sheath_mark,0),0)*AK3339,0)</f>
        <v>0</v>
      </c>
      <c r="AN3339" cm="1">
        <f t="array" ref="AN3339">IFERROR(INDEX(hd_cap,MATCH(AQ3339,hd_mark,0),0),0)</f>
        <v>0</v>
      </c>
      <c r="AP3339" s="19"/>
      <c r="AQ3339" s="19"/>
      <c r="AR3339" s="100"/>
      <c r="AS3339" s="93"/>
      <c r="AT3339" s="110" t="str">
        <f>$AT$3245</f>
        <v>1.16</v>
      </c>
      <c r="AU3339" t="str">
        <f>$Q$3221</f>
        <v>L2</v>
      </c>
      <c r="AV3339">
        <f>$E$21</f>
        <v>10.6875</v>
      </c>
      <c r="AW3339" cm="1">
        <f t="array" ref="AW3339">IFERROR(IF(AV3339=0,0,(INDEX($C$33:$C$38,MATCH($AZ$3245,$B$33:$B$38,0),0)*(AV3343+$BA$3245)+$AW$3245*COUNTIF(AV3339:AV3342,"&gt;0")*$C$32+$AY$3245*$C$31)*$AU$3245),0)</f>
        <v>0</v>
      </c>
      <c r="AX3339">
        <f>IF(AV3339=0,0,-(COUNTIF(AV3339:AV3342,"&gt;0")*$AW$3245*$C$32+$AY$3245*$C$31)*$H$27*$AU$3245)</f>
        <v>0</v>
      </c>
      <c r="AY3339">
        <f>IF(AV3339=0,0,$AY$3245*$H$26*$AU$3245)</f>
        <v>0</v>
      </c>
      <c r="AZ3339">
        <f>(0.6*AW3339+0.7*AX3339)*$AU$3245/2</f>
        <v>0</v>
      </c>
      <c r="BA3339">
        <f>(0.6*AW3339+0.6*AY3339)*$AU$3245/2</f>
        <v>0</v>
      </c>
      <c r="BC3339">
        <f>IF(AV3339=0,0,$BG$3245*$AP$3221)</f>
        <v>0</v>
      </c>
      <c r="BD3339">
        <f>IFERROR(BC3339/$AU$3245,0)</f>
        <v>0</v>
      </c>
      <c r="BE3339">
        <f>BC3339*($F$21+IF($F$21=0,0,($C$14+$C$15+IF($C$13="single",1.5,3)+3)/12))</f>
        <v>0</v>
      </c>
      <c r="BF3339">
        <f>BE3339-AZ3339</f>
        <v>0</v>
      </c>
      <c r="BG3339" cm="1">
        <f t="array" ref="BG3339">IFERROR(IF(BF3339&lt;0,0,BF3339/($AU$3245-INDEX(hd_off,MATCH(BT3339,hd_mark,0),0)/12)),0)</f>
        <v>0</v>
      </c>
      <c r="BH3339">
        <f>IF(AV3339=0,0,$BG$3245*$AM$3221)</f>
        <v>0</v>
      </c>
      <c r="BI3339">
        <f>IFERROR(BH3339/$AU$3245,0)</f>
        <v>0</v>
      </c>
      <c r="BJ3339">
        <f>BH3339*($F$21+IF($F$21=0,0,($C$14+$C$15+IF($C$13="single",1.5,3)+3)/12))</f>
        <v>0</v>
      </c>
      <c r="BK3339">
        <f>BJ3339-BA3339</f>
        <v>0</v>
      </c>
      <c r="BL3339" cm="1">
        <f t="array" ref="BL3339">IFERROR(IF(BK3339&lt;0,0,BK3339/($AU$3245-INDEX(hd_off,MATCH(BT3339,hd_mark,0),0)/12)),0)</f>
        <v>0</v>
      </c>
      <c r="BM3339">
        <f>MAX($F$21,$BB$3245)/$Q$3252</f>
        <v>0.30172413793103448</v>
      </c>
      <c r="BN3339">
        <f>IF(BM3339=0,0,IF(BM3339&gt;2,1.25-0.125*BM3339,1))</f>
        <v>1</v>
      </c>
      <c r="BO3339" cm="1">
        <f t="array" ref="BO3339">IFERROR(INDEX(sheath_ecap_asd,MATCH(BS3339,sheath_mark,0),0)*BN3339,0)</f>
        <v>0</v>
      </c>
      <c r="BP3339" cm="1">
        <f t="array" ref="BP3339">IFERROR(INDEX(sheath_wcap_asd,MATCH(BS3339,sheath_mark,0),0)*BN3339,0)</f>
        <v>0</v>
      </c>
      <c r="BQ3339" cm="1">
        <f t="array" ref="BQ3339">IFERROR(INDEX(hd_cap,MATCH(BT3339,hd_mark,0),0),0)</f>
        <v>0</v>
      </c>
      <c r="BS3339" s="19"/>
      <c r="BT3339" s="19"/>
      <c r="BU3339" s="100"/>
    </row>
    <row r="3340" x14ac:dyDescent="0.25">
      <c r="P3340" s="93"/>
      <c r="Q3340" s="109"/>
      <c r="R3340" t="str">
        <f>$Q$3222</f>
        <v>L3</v>
      </c>
      <c r="S3340">
        <f>$E$22</f>
        <v>21.375</v>
      </c>
      <c r="T3340" cm="1">
        <f t="array" ref="T3340">IFERROR(IF(S3340=0,0,(INDEX($C$33:$C$38,MATCH($W$3245,$B$33:$B$38,0),0)*(S3343+$X$3245)+$T$3245*COUNTIF(S3340:S3342,"&gt;0")*$C$32+$V$3245*$C$31)*$R$3245),0)</f>
        <v>0</v>
      </c>
      <c r="U3340">
        <f>IF(S3340=0,0,-(COUNTIF(S3340:S3342,"&gt;0")*$T$3245*$C$32+$V$3245*$C$31)*$H$27*$R$3245)</f>
        <v>0</v>
      </c>
      <c r="V3340">
        <f>IF(S3340=0,0,$V$3245*$H$26*$R$3245)</f>
        <v>0</v>
      </c>
      <c r="W3340">
        <f>(0.6*T3340+0.7*U3340)*$R$3245/2</f>
        <v>0</v>
      </c>
      <c r="X3340">
        <f>T3340*$R$3245/2</f>
        <v>0</v>
      </c>
      <c r="Z3340">
        <f>IF(S3340=0,0,$AD$3245*$AP$3222)</f>
        <v>0</v>
      </c>
      <c r="AA3340">
        <f>IFERROR(Z3340/$R$3245,0)</f>
        <v>0</v>
      </c>
      <c r="AB3340">
        <f>Z3340*($F$22+IF($F$22=0,0,($C$14+$C$15+IF($C$13="single",1.5,3)+3)/12))</f>
        <v>0</v>
      </c>
      <c r="AC3340">
        <f>AB3340-W3340</f>
        <v>0</v>
      </c>
      <c r="AD3340" cm="1">
        <f t="array" ref="AD3340">IFERROR(IF(AC3340&lt;0,0,AC3340/($R$3245-INDEX(hd_off,MATCH(AQ3340,hd_mark,0),0)/12)),0)</f>
        <v>0</v>
      </c>
      <c r="AE3340">
        <f>IF(S3340=0,0,$AD$3245*$AM$3222)</f>
        <v>0</v>
      </c>
      <c r="AF3340">
        <f>IFERROR(AE3340/$R$3245,0)</f>
        <v>0</v>
      </c>
      <c r="AG3340">
        <f>AE3340*($F$22+IF($F$22=0,0,($C$14+$C$15+IF($C$13="single",1.5,3)+3)/12))</f>
        <v>0</v>
      </c>
      <c r="AH3340">
        <f>AG3340-X3340</f>
        <v>0</v>
      </c>
      <c r="AI3340" cm="1">
        <f t="array" ref="AI3340">IFERROR(IF(AH3340&lt;0,0,AH3340/($R$3245-INDEX(hd_off,MATCH(AQ3340,hd_mark,0),0)/12)),0)</f>
        <v>0</v>
      </c>
      <c r="AJ3340">
        <f>MAX($F$22,$Z$3245)/$Q$3252</f>
        <v>0.30172413793103448</v>
      </c>
      <c r="AK3340">
        <f t="shared" ref="AK3340:AK3343" si="2052">IF(AJ3340=0,0,IF(AJ3340&gt;2,1.25-0.125*AJ3340,1))</f>
        <v>1</v>
      </c>
      <c r="AL3340" cm="1">
        <f t="array" ref="AL3340">IFERROR(INDEX(sheath_ecap_asd,MATCH(AP3340,sheath_mark,0),0)*AK3340,0)</f>
        <v>0</v>
      </c>
      <c r="AM3340" cm="1">
        <f t="array" ref="AM3340">IFERROR(INDEX(sheath_wcap_asd,MATCH(AP3340,sheath_mark,0),0)*AK3340,0)</f>
        <v>0</v>
      </c>
      <c r="AN3340" cm="1">
        <f t="array" ref="AN3340">IFERROR(INDEX(hd_cap,MATCH(AQ3340,hd_mark,0),0),0)</f>
        <v>0</v>
      </c>
      <c r="AP3340" s="19"/>
      <c r="AQ3340" s="19"/>
      <c r="AR3340" s="100"/>
      <c r="AS3340" s="93"/>
      <c r="AT3340" s="109"/>
      <c r="AU3340" t="str">
        <f>$Q$3222</f>
        <v>L3</v>
      </c>
      <c r="AV3340">
        <f>$E$22</f>
        <v>21.375</v>
      </c>
      <c r="AW3340" cm="1">
        <f t="array" ref="AW3340">IFERROR(IF(AV3340=0,0,(INDEX($C$33:$C$38,MATCH($AZ$3245,$B$33:$B$38,0),0)*(AV3343+$BA$3245)+$AW$3245*COUNTIF(AV3340:AV3342,"&gt;0")*$C$32+$AY$3245*$C$31)*$AU$3245),0)</f>
        <v>0</v>
      </c>
      <c r="AX3340">
        <f>IF(AV3340=0,0,-(COUNTIF(AV3340:AV3342,"&gt;0")*$AW$3245*$C$32+$AY$3245*$C$31)*$H$27*$AU$3245)</f>
        <v>0</v>
      </c>
      <c r="AY3340">
        <f>IF(AV3340=0,0,$AY$3245*$H$26*$AU$3245)</f>
        <v>0</v>
      </c>
      <c r="AZ3340">
        <f>(0.6*AW3340+0.7*AX3340)*$AU$3245/2</f>
        <v>0</v>
      </c>
      <c r="BA3340">
        <f>AW3340*$AU$3245/2</f>
        <v>0</v>
      </c>
      <c r="BC3340">
        <f>IF(AV3340=0,0,$BG$3245*$AP$3222)</f>
        <v>0</v>
      </c>
      <c r="BD3340">
        <f>IFERROR(BC3340/$AU$3245,0)</f>
        <v>0</v>
      </c>
      <c r="BE3340">
        <f>BC3340*($F$22+IF($F$22=0,0,($C$14+$C$15+IF($C$13="single",1.5,3)+3)/12))</f>
        <v>0</v>
      </c>
      <c r="BF3340">
        <f>BE3340-AZ3340</f>
        <v>0</v>
      </c>
      <c r="BG3340" cm="1">
        <f t="array" ref="BG3340">IFERROR(IF(BF3340&lt;0,0,BF3340/($AU$3245-INDEX(hd_off,MATCH(BT3340,hd_mark,0),0)/12)),0)</f>
        <v>0</v>
      </c>
      <c r="BH3340">
        <f>IF(AV3340=0,0,$BG$3245*$AM$3222)</f>
        <v>0</v>
      </c>
      <c r="BI3340">
        <f>IFERROR(BH3340/$AU$3245,0)</f>
        <v>0</v>
      </c>
      <c r="BJ3340">
        <f>BH3340*($F$22+IF($F$22=0,0,($C$14+$C$15+IF($C$13="single",1.5,3)+3)/12))</f>
        <v>0</v>
      </c>
      <c r="BK3340">
        <f>BJ3340-BA3340</f>
        <v>0</v>
      </c>
      <c r="BL3340" cm="1">
        <f t="array" ref="BL3340">IFERROR(IF(BK3340&lt;0,0,BK3340/($AU$3245-INDEX(hd_off,MATCH(BT3340,hd_mark,0),0)/12)),0)</f>
        <v>0</v>
      </c>
      <c r="BM3340">
        <f>MAX($F$22,$BC$3245)/$Q$3252</f>
        <v>0.30172413793103448</v>
      </c>
      <c r="BN3340">
        <f t="shared" ref="BN3340:BN3342" si="2053">IF(BM3340=0,0,IF(BM3340&gt;2,1.25-0.125*BM3340,1))</f>
        <v>1</v>
      </c>
      <c r="BO3340" cm="1">
        <f t="array" ref="BO3340">IFERROR(INDEX(sheath_ecap_asd,MATCH(BS3340,sheath_mark,0),0)*BN3340,0)</f>
        <v>0</v>
      </c>
      <c r="BP3340" cm="1">
        <f t="array" ref="BP3340">IFERROR(INDEX(sheath_wcap_asd,MATCH(BS3340,sheath_mark,0),0)*BN3340,0)</f>
        <v>0</v>
      </c>
      <c r="BQ3340" cm="1">
        <f t="array" ref="BQ3340">IFERROR(INDEX(hd_cap,MATCH(BT3340,hd_mark,0),0),0)</f>
        <v>0</v>
      </c>
      <c r="BS3340" s="19"/>
      <c r="BT3340" s="19"/>
      <c r="BU3340" s="100"/>
    </row>
    <row r="3341" x14ac:dyDescent="0.25">
      <c r="P3341" s="93"/>
      <c r="Q3341" s="109" t="s">
        <v>491</v>
      </c>
      <c r="R3341" t="str">
        <f>$Q$3223</f>
        <v>L4</v>
      </c>
      <c r="S3341">
        <f>$E$23</f>
        <v>0</v>
      </c>
      <c r="T3341" cm="1">
        <f t="array" ref="T3341">IFERROR(IF(S3341=0,0,(INDEX($C$33:$C$38,MATCH($W$3245,$B$33:$B$38,0),0)*(S3343+$X$3245)+$T$3245*COUNTIF(S3341:S3342,"&gt;0")*$C$32+$V$3245*$C$31)*$R$3245),0)</f>
        <v>0</v>
      </c>
      <c r="U3341">
        <f>IF(S3341=0,0,-(COUNTIF(S3341:S3342,"&gt;0")*$T$3245*$C$32+$V$3245*$C$31)*$H$27*$R$3245)</f>
        <v>0</v>
      </c>
      <c r="V3341">
        <f>IF(S3341=0,0,$V$3245*$H$26*$R$3245)</f>
        <v>0</v>
      </c>
      <c r="W3341">
        <f>(0.6*T3341+0.7*U3341)*$R$3245/2</f>
        <v>0</v>
      </c>
      <c r="X3341">
        <f>T3341*$R$3245/2</f>
        <v>0</v>
      </c>
      <c r="Z3341">
        <f>IF(S3341=0,0,$AD$3245*$AP$3223)</f>
        <v>0</v>
      </c>
      <c r="AA3341">
        <f>IFERROR(Z3341/$R$3245,0)</f>
        <v>0</v>
      </c>
      <c r="AB3341">
        <f>Z3341*($F$23+IF($F$23=0,0,($C$14+$C$15+IF($C$13="single",1.5,3)+3)/12))</f>
        <v>0</v>
      </c>
      <c r="AC3341">
        <f>AB3341-W3341</f>
        <v>0</v>
      </c>
      <c r="AD3341" cm="1">
        <f t="array" ref="AD3341">IFERROR(IF(AC3341&lt;0,0,AC3341/($R$3245-INDEX(hd_off,MATCH(AQ3341,hd_mark,0),0)/12)),0)</f>
        <v>0</v>
      </c>
      <c r="AE3341">
        <f>IF(S3341=0,0,$AD$3245*$AM$3223)</f>
        <v>0</v>
      </c>
      <c r="AF3341">
        <f>IFERROR(AE3341/$R$3245,0)</f>
        <v>0</v>
      </c>
      <c r="AG3341">
        <f>AE3341*($F$23+IF($F$23=0,0,($C$14+$C$15+IF($C$13="single",1.5,3)+3)/12))</f>
        <v>0</v>
      </c>
      <c r="AH3341">
        <f>AG3341-X3341</f>
        <v>0</v>
      </c>
      <c r="AI3341" cm="1">
        <f t="array" ref="AI3341">IFERROR(IF(AH3341&lt;0,0,AH3341/($R$3245-INDEX(hd_off,MATCH(AQ3341,hd_mark,0),0)/12)),0)</f>
        <v>0</v>
      </c>
      <c r="AJ3341">
        <f>MAX($F$23,$AA$3245)/$Q$3252</f>
        <v>0</v>
      </c>
      <c r="AK3341">
        <f t="shared" si="2052"/>
        <v>0</v>
      </c>
      <c r="AL3341" cm="1">
        <f t="array" ref="AL3341">IFERROR(INDEX(sheath_ecap_asd,MATCH(AP3341,sheath_mark,0),0)*AK3341,0)</f>
        <v>0</v>
      </c>
      <c r="AM3341" cm="1">
        <f t="array" ref="AM3341">IFERROR(INDEX(sheath_wcap_asd,MATCH(AP3341,sheath_mark,0),0)*AK3341,0)</f>
        <v>0</v>
      </c>
      <c r="AN3341" cm="1">
        <f t="array" ref="AN3341">IFERROR(INDEX(hd_cap,MATCH(AQ3341,hd_mark,0),0),0)</f>
        <v>0</v>
      </c>
      <c r="AP3341" s="19"/>
      <c r="AQ3341" s="19"/>
      <c r="AR3341" s="100"/>
      <c r="AS3341" s="93"/>
      <c r="AT3341" s="109" t="s">
        <v>491</v>
      </c>
      <c r="AU3341" t="str">
        <f>$Q$3223</f>
        <v>L4</v>
      </c>
      <c r="AV3341">
        <f>$E$23</f>
        <v>0</v>
      </c>
      <c r="AW3341" cm="1">
        <f t="array" ref="AW3341">IFERROR(IF(AV3341=0,0,(INDEX($C$33:$C$38,MATCH($AZ$3245,$B$33:$B$38,0),0)*(AV3343+$BA$3245)+$AW$3245*COUNTIF(AV3341:AV3342,"&gt;0")*$C$32+$AY$3245*$C$31)*$AU$3245),0)</f>
        <v>0</v>
      </c>
      <c r="AX3341">
        <f>IF(AV3341=0,0,-(COUNTIF(AV3341:AV3342,"&gt;0")*$AW$3245*$C$32+$AY$3245*$C$31)*$H$27*$AU$3245)</f>
        <v>0</v>
      </c>
      <c r="AY3341">
        <f>IF(AV3341=0,0,$AY$3245*$H$26*$AU$3245)</f>
        <v>0</v>
      </c>
      <c r="AZ3341">
        <f>(0.6*AW3341+0.7*AX3341)*$AU$3245/2</f>
        <v>0</v>
      </c>
      <c r="BA3341">
        <f>AW3341*$AU$3245/2</f>
        <v>0</v>
      </c>
      <c r="BC3341">
        <f>IF(AV3341=0,0,$BG$3245*$AP$3223)</f>
        <v>0</v>
      </c>
      <c r="BD3341">
        <f>IFERROR(BC3341/$AU$3245,0)</f>
        <v>0</v>
      </c>
      <c r="BE3341">
        <f>BC3341*($F$23+IF($F$23=0,0,($C$14+$C$15+IF($C$13="single",1.5,3)+3)/12))</f>
        <v>0</v>
      </c>
      <c r="BF3341">
        <f>BE3341-AZ3341</f>
        <v>0</v>
      </c>
      <c r="BG3341" cm="1">
        <f t="array" ref="BG3341">IFERROR(IF(BF3341&lt;0,0,BF3341/($AU$3245-INDEX(hd_off,MATCH(BT3341,hd_mark,0),0)/12)),0)</f>
        <v>0</v>
      </c>
      <c r="BH3341">
        <f>IF(AV3341=0,0,$BG$3245*$AM$3223)</f>
        <v>0</v>
      </c>
      <c r="BI3341">
        <f>IFERROR(BH3341/$AU$3245,0)</f>
        <v>0</v>
      </c>
      <c r="BJ3341">
        <f>BH3341*($F$23+IF($F$23=0,0,($C$14+$C$15+IF($C$13="single",1.5,3)+3)/12))</f>
        <v>0</v>
      </c>
      <c r="BK3341">
        <f>BJ3341-BA3341</f>
        <v>0</v>
      </c>
      <c r="BL3341" cm="1">
        <f t="array" ref="BL3341">IFERROR(IF(BK3341&lt;0,0,BK3341/($AU$3245-INDEX(hd_off,MATCH(BT3341,hd_mark,0),0)/12)),0)</f>
        <v>0</v>
      </c>
      <c r="BM3341">
        <f>MAX($F$23,$BD$3245)/$Q$3252</f>
        <v>0</v>
      </c>
      <c r="BN3341">
        <f t="shared" si="2053"/>
        <v>0</v>
      </c>
      <c r="BO3341" cm="1">
        <f t="array" ref="BO3341">IFERROR(INDEX(sheath_ecap_asd,MATCH(BS3341,sheath_mark,0),0)*BN3341,0)</f>
        <v>0</v>
      </c>
      <c r="BP3341" cm="1">
        <f t="array" ref="BP3341">IFERROR(INDEX(sheath_wcap_asd,MATCH(BS3341,sheath_mark,0),0)*BN3341,0)</f>
        <v>0</v>
      </c>
      <c r="BQ3341" cm="1">
        <f t="array" ref="BQ3341">IFERROR(INDEX(hd_cap,MATCH(BT3341,hd_mark,0),0),0)</f>
        <v>0</v>
      </c>
      <c r="BS3341" s="19"/>
      <c r="BT3341" s="19"/>
      <c r="BU3341" s="100"/>
    </row>
    <row r="3342" x14ac:dyDescent="0.25">
      <c r="P3342" s="93"/>
      <c r="Q3342" s="111">
        <f>$R$3245</f>
        <v>0</v>
      </c>
      <c r="R3342" t="str">
        <f>$Q$3224</f>
        <v>L5</v>
      </c>
      <c r="S3342">
        <f>$E$24</f>
        <v>0</v>
      </c>
      <c r="T3342" cm="1">
        <f t="array" ref="T3342">IFERROR(IF(S3342=0,0,(INDEX($C$33:$C$38,MATCH($W$3245,$B$33:$B$38,0),0)*(S3343+$X$3245)+$T$3245*COUNTIF(S3342:S3342,"&gt;0")*$C$32+$V$3245*$C$31)*$R$3245),0)</f>
        <v>0</v>
      </c>
      <c r="U3342">
        <f>IF(S3342=0,0,-(COUNTIF(S3342:S3342,"&gt;0")*$T$3245*$C$32+$V$3245*$C$31)*$H$27*$R$3245)</f>
        <v>0</v>
      </c>
      <c r="V3342">
        <f>IF(S3342=0,0,$V$3245*$H$26*$R$3245)</f>
        <v>0</v>
      </c>
      <c r="W3342">
        <f>(0.6*T3342+0.7*U3342)*$R$3245/2</f>
        <v>0</v>
      </c>
      <c r="X3342">
        <f>T3342*$R$3245/2</f>
        <v>0</v>
      </c>
      <c r="Z3342">
        <f>IF(S3342=0,0,$AD$3245*$AP$3224)</f>
        <v>0</v>
      </c>
      <c r="AA3342">
        <f>IFERROR(Z3342/$R$3245,0)</f>
        <v>0</v>
      </c>
      <c r="AB3342">
        <f>Z3342*($F$24+IF($F$24=0,0,($C$14+$C$15+IF($C$13="single",1.5,3)+3)/12))</f>
        <v>0</v>
      </c>
      <c r="AC3342">
        <f>AB3342-W3342</f>
        <v>0</v>
      </c>
      <c r="AD3342" cm="1">
        <f t="array" ref="AD3342">IFERROR(IF(AC3342&lt;0,0,AC3342/($R$3245-INDEX(hd_off,MATCH(AQ3342,hd_mark,0),0)/12)),0)</f>
        <v>0</v>
      </c>
      <c r="AE3342">
        <f>IF(S3342=0,0,$AD$3245*$AM$3224)</f>
        <v>0</v>
      </c>
      <c r="AF3342">
        <f>IFERROR(AE3342/$R$3245,0)</f>
        <v>0</v>
      </c>
      <c r="AG3342">
        <f>AE3342*($F$24+IF($F$24=0,0,($C$14+$C$15+IF($C$13="single",1.5,3)+3)/12))</f>
        <v>0</v>
      </c>
      <c r="AH3342">
        <f>AG3342-X3342</f>
        <v>0</v>
      </c>
      <c r="AI3342" cm="1">
        <f t="array" ref="AI3342">IFERROR(IF(AH3342&lt;0,0,AH3342/($R$3245-INDEX(hd_off,MATCH(AQ3342,hd_mark,0),0)/12)),0)</f>
        <v>0</v>
      </c>
      <c r="AJ3342">
        <f>MAX($F$24,$AB$3245)/$Q$3252</f>
        <v>0</v>
      </c>
      <c r="AK3342">
        <f t="shared" si="2052"/>
        <v>0</v>
      </c>
      <c r="AL3342" cm="1">
        <f t="array" ref="AL3342">IFERROR(INDEX(sheath_ecap_asd,MATCH(AP3342,sheath_mark,0),0)*AK3342,0)</f>
        <v>0</v>
      </c>
      <c r="AM3342" cm="1">
        <f t="array" ref="AM3342">IFERROR(INDEX(sheath_wcap_asd,MATCH(AP3342,sheath_mark,0),0)*AK3342,0)</f>
        <v>0</v>
      </c>
      <c r="AN3342" cm="1">
        <f t="array" ref="AN3342">IFERROR(INDEX(hd_cap,MATCH(AQ3342,hd_mark,0),0),0)</f>
        <v>0</v>
      </c>
      <c r="AP3342" s="19"/>
      <c r="AQ3342" s="19"/>
      <c r="AR3342" s="100"/>
      <c r="AS3342" s="93"/>
      <c r="AT3342" s="111">
        <f>$R$3245</f>
        <v>0</v>
      </c>
      <c r="AU3342" t="str">
        <f>$Q$3224</f>
        <v>L5</v>
      </c>
      <c r="AV3342">
        <f>$E$24</f>
        <v>0</v>
      </c>
      <c r="AW3342" cm="1">
        <f t="array" ref="AW3342">IFERROR(IF(AV3342=0,0,(INDEX($C$33:$C$38,MATCH($AZ$3245,$B$33:$B$38,0),0)*(AV3343+$BA$3245)+$AW$3245*COUNTIF(AV3342:AV3342,"&gt;0")*$C$32+$AY$3245*$C$31)*$AU$3245),0)</f>
        <v>0</v>
      </c>
      <c r="AX3342">
        <f>IF(AV3342=0,0,-(COUNTIF(AV3342:AV3342,"&gt;0")*$AW$3245*$C$32+$AY$3245*$C$31)*$H$27*$AU$3245)</f>
        <v>0</v>
      </c>
      <c r="AY3342">
        <f>IF(AV3342=0,0,$AY$3245*$H$26*$AU$3245)</f>
        <v>0</v>
      </c>
      <c r="AZ3342">
        <f>(0.6*AW3342+0.7*AX3342)*$AU$3245/2</f>
        <v>0</v>
      </c>
      <c r="BA3342">
        <f>AW3342*$AU$3245/2</f>
        <v>0</v>
      </c>
      <c r="BC3342">
        <f>IF(AV3342=0,0,$BG$3245*$AP$3224)</f>
        <v>0</v>
      </c>
      <c r="BD3342">
        <f>IFERROR(BC3342/$AU$3245,0)</f>
        <v>0</v>
      </c>
      <c r="BE3342">
        <f>BC3342*($F$24+IF($F$24=0,0,($C$14+$C$15+IF($C$13="single",1.5,3)+3)/12))</f>
        <v>0</v>
      </c>
      <c r="BF3342">
        <f>BE3342-AZ3342</f>
        <v>0</v>
      </c>
      <c r="BG3342" cm="1">
        <f t="array" ref="BG3342">IFERROR(IF(BF3342&lt;0,0,BF3342/($AU$3245-INDEX(hd_off,MATCH(BT3342,hd_mark,0),0)/12)),0)</f>
        <v>0</v>
      </c>
      <c r="BH3342">
        <f>IF(AV3342=0,0,$BG$3245*$AM$3224)</f>
        <v>0</v>
      </c>
      <c r="BI3342">
        <f>IFERROR(BH3342/$AU$3245,0)</f>
        <v>0</v>
      </c>
      <c r="BJ3342">
        <f>BH3342*($F$24+IF($F$24=0,0,($C$14+$C$15+IF($C$13="single",1.5,3)+3)/12))</f>
        <v>0</v>
      </c>
      <c r="BK3342">
        <f>BJ3342-BA3342</f>
        <v>0</v>
      </c>
      <c r="BL3342" cm="1">
        <f t="array" ref="BL3342">IFERROR(IF(BK3342&lt;0,0,BK3342/($AU$3245-INDEX(hd_off,MATCH(BT3342,hd_mark,0),0)/12)),0)</f>
        <v>0</v>
      </c>
      <c r="BM3342">
        <f>MAX($F$24,$BE$3245)/$Q$3252</f>
        <v>0</v>
      </c>
      <c r="BN3342">
        <f t="shared" si="2053"/>
        <v>0</v>
      </c>
      <c r="BO3342" cm="1">
        <f t="array" ref="BO3342">IFERROR(INDEX(sheath_ecap_asd,MATCH(BS3342,sheath_mark,0),0)*BN3342,0)</f>
        <v>0</v>
      </c>
      <c r="BP3342" cm="1">
        <f t="array" ref="BP3342">IFERROR(INDEX(sheath_wcap_asd,MATCH(BS3342,sheath_mark,0),0)*BN3342,0)</f>
        <v>0</v>
      </c>
      <c r="BQ3342" cm="1">
        <f t="array" ref="BQ3342">IFERROR(INDEX(hd_cap,MATCH(BT3342,hd_mark,0),0),0)</f>
        <v>0</v>
      </c>
      <c r="BS3342" s="19"/>
      <c r="BT3342" s="19"/>
      <c r="BU3342" s="100"/>
    </row>
    <row r="3343" x14ac:dyDescent="0.25">
      <c r="P3343" s="93"/>
      <c r="Q3343" s="109"/>
      <c r="R3343" t="str">
        <f>$Q$3225</f>
        <v>Roof</v>
      </c>
      <c r="S3343">
        <f>$E$25</f>
        <v>33.171875</v>
      </c>
      <c r="T3343" cm="1">
        <f t="array" ref="T3343">IFERROR(IF(S3343=0,0,(INDEX($C$33:$C$38,MATCH($W$3245,$B$33:$B$38,0),0)*(S3343+$X$3245)+$V$3245*$C$31)*$R$3245),0)</f>
        <v>0</v>
      </c>
      <c r="U3343">
        <f>IF(S3343=0,0,-$V$3245*$C$31*$H$27*$R$3245)</f>
        <v>0</v>
      </c>
      <c r="V3343">
        <f>IF(S3343=0,0,$V$3245*$H$26*$R$3245)</f>
        <v>0</v>
      </c>
      <c r="W3343">
        <f>(0.6*T3343+0.7*U3343)*$R$3245/2</f>
        <v>0</v>
      </c>
      <c r="X3343">
        <f>T3343*$R$3245/2</f>
        <v>0</v>
      </c>
      <c r="Z3343">
        <f>IF(S3343=0,0,$AD$3245*$AP$3225)</f>
        <v>0</v>
      </c>
      <c r="AA3343">
        <f>IFERROR(Z3343/$R$3245,0)</f>
        <v>0</v>
      </c>
      <c r="AB3343">
        <f>Z3343*($F$25+($C$16+$C$17+IF($C$13="single",1.5,3)+3)/12)</f>
        <v>0</v>
      </c>
      <c r="AC3343">
        <f>AB3343-W3343</f>
        <v>0</v>
      </c>
      <c r="AD3343" cm="1">
        <f t="array" ref="AD3343">IFERROR(IF(AC3343&lt;0,0,AC3343/($R$3245-INDEX(hd_off,MATCH(AQ3343,hd_mark,0),0)/12)),0)</f>
        <v>0</v>
      </c>
      <c r="AE3343">
        <f>IF(S3343=0,0,$AD$3245*$AM$3225)</f>
        <v>0</v>
      </c>
      <c r="AF3343">
        <f>IFERROR(AE3343/$R$3245,0)</f>
        <v>0</v>
      </c>
      <c r="AG3343">
        <f>AE3343*($F$25+($C$16+$C$17+IF($C$13="single",1.5,3)+3)/12)</f>
        <v>0</v>
      </c>
      <c r="AH3343">
        <f>AG3343-X3343</f>
        <v>0</v>
      </c>
      <c r="AI3343" cm="1">
        <f t="array" ref="AI3343">IFERROR(IF(AH3343&lt;0,0,AH3343/($R$3245-INDEX(hd_off,MATCH(AQ3343,hd_mark,0),0)/12)),0)</f>
        <v>0</v>
      </c>
      <c r="AJ3343">
        <f>MAX($F$25,$AC$3245)/$Q$3252</f>
        <v>0.29920977011494249</v>
      </c>
      <c r="AK3343">
        <f t="shared" si="2052"/>
        <v>1</v>
      </c>
      <c r="AL3343" cm="1">
        <f t="array" ref="AL3343">IFERROR(INDEX(sheath_ecap_asd,MATCH(AP3343,sheath_mark,0),0)*AK3343,0)</f>
        <v>0</v>
      </c>
      <c r="AM3343" cm="1">
        <f t="array" ref="AM3343">IFERROR(INDEX(sheath_wcap_asd,MATCH(AP3343,sheath_mark,0),0)*AK3343,0)</f>
        <v>0</v>
      </c>
      <c r="AN3343" cm="1">
        <f t="array" ref="AN3343">IFERROR(INDEX(hd_cap,MATCH(AQ3343,hd_mark,0),0),0)</f>
        <v>0</v>
      </c>
      <c r="AP3343" s="19"/>
      <c r="AQ3343" s="19"/>
      <c r="AR3343" s="100"/>
      <c r="AS3343" s="93"/>
      <c r="BU3343" s="100"/>
    </row>
  </sheetData>
  <mergeCells count="5">
    <mergeCell ref="C40:E40"/>
    <mergeCell ref="I40:K40"/>
    <mergeCell ref="Y28:AC28"/>
    <mergeCell ref="BB28:BF28"/>
    <mergeCell ref="Y158:AC158"/>
  </mergeCells>
  <phoneticPr fontId="1" type="noConversion"/>
  <conditionalFormatting sqref="AL49:AL53">
    <cfRule type="cellIs" dxfId="455" priority="597" operator="greaterThan">
      <formula>AA49</formula>
    </cfRule>
    <cfRule type="cellIs" dxfId="454" priority="594" operator="lessThan">
      <formula>AA49</formula>
    </cfRule>
  </conditionalFormatting>
  <conditionalFormatting sqref="AL55:AL59">
    <cfRule type="cellIs" dxfId="453" priority="566" operator="greaterThan">
      <formula>AA55</formula>
    </cfRule>
    <cfRule type="cellIs" dxfId="452" priority="565" operator="lessThan">
      <formula>AA55</formula>
    </cfRule>
  </conditionalFormatting>
  <conditionalFormatting sqref="AL61:AL65">
    <cfRule type="cellIs" dxfId="451" priority="545" operator="lessThan">
      <formula>AA61</formula>
    </cfRule>
    <cfRule type="cellIs" dxfId="450" priority="546" operator="greaterThan">
      <formula>AA61</formula>
    </cfRule>
  </conditionalFormatting>
  <conditionalFormatting sqref="AL67:AL71">
    <cfRule type="cellIs" dxfId="449" priority="535" operator="lessThan">
      <formula>AA67</formula>
    </cfRule>
    <cfRule type="cellIs" dxfId="448" priority="536" operator="greaterThan">
      <formula>AA67</formula>
    </cfRule>
  </conditionalFormatting>
  <conditionalFormatting sqref="AL73:AL77">
    <cfRule type="cellIs" dxfId="447" priority="525" operator="lessThan">
      <formula>AA73</formula>
    </cfRule>
    <cfRule type="cellIs" dxfId="446" priority="526" operator="greaterThan">
      <formula>AA73</formula>
    </cfRule>
  </conditionalFormatting>
  <conditionalFormatting sqref="AL79:AL83">
    <cfRule type="cellIs" dxfId="445" priority="405" operator="lessThan">
      <formula>AA79</formula>
    </cfRule>
    <cfRule type="cellIs" dxfId="444" priority="406" operator="greaterThan">
      <formula>AA79</formula>
    </cfRule>
  </conditionalFormatting>
  <conditionalFormatting sqref="AL85:AL89">
    <cfRule type="cellIs" dxfId="443" priority="396" operator="greaterThan">
      <formula>AA85</formula>
    </cfRule>
    <cfRule type="cellIs" dxfId="442" priority="395" operator="lessThan">
      <formula>AA85</formula>
    </cfRule>
  </conditionalFormatting>
  <conditionalFormatting sqref="AL91:AL95">
    <cfRule type="cellIs" dxfId="441" priority="385" operator="lessThan">
      <formula>AA91</formula>
    </cfRule>
    <cfRule type="cellIs" dxfId="440" priority="386" operator="greaterThan">
      <formula>AA91</formula>
    </cfRule>
  </conditionalFormatting>
  <conditionalFormatting sqref="AL97:AL101">
    <cfRule type="cellIs" dxfId="439" priority="376" operator="greaterThan">
      <formula>AA97</formula>
    </cfRule>
    <cfRule type="cellIs" dxfId="438" priority="375" operator="lessThan">
      <formula>AA97</formula>
    </cfRule>
  </conditionalFormatting>
  <conditionalFormatting sqref="AL103:AL107">
    <cfRule type="cellIs" dxfId="437" priority="366" operator="greaterThan">
      <formula>AA103</formula>
    </cfRule>
    <cfRule type="cellIs" dxfId="436" priority="365" operator="lessThan">
      <formula>AA103</formula>
    </cfRule>
  </conditionalFormatting>
  <conditionalFormatting sqref="AL109:AL113">
    <cfRule type="cellIs" dxfId="435" priority="356" operator="greaterThan">
      <formula>AA109</formula>
    </cfRule>
    <cfRule type="cellIs" dxfId="434" priority="355" operator="lessThan">
      <formula>AA109</formula>
    </cfRule>
  </conditionalFormatting>
  <conditionalFormatting sqref="AL115:AL119">
    <cfRule type="cellIs" dxfId="433" priority="346" operator="greaterThan">
      <formula>AA115</formula>
    </cfRule>
    <cfRule type="cellIs" dxfId="432" priority="345" operator="lessThan">
      <formula>AA115</formula>
    </cfRule>
  </conditionalFormatting>
  <conditionalFormatting sqref="AL121:AL125">
    <cfRule type="cellIs" dxfId="431" priority="336" operator="greaterThan">
      <formula>AA121</formula>
    </cfRule>
    <cfRule type="cellIs" dxfId="430" priority="335" operator="lessThan">
      <formula>AA121</formula>
    </cfRule>
  </conditionalFormatting>
  <conditionalFormatting sqref="AL127:AL131">
    <cfRule type="cellIs" dxfId="429" priority="325" operator="lessThan">
      <formula>AA127</formula>
    </cfRule>
    <cfRule type="cellIs" dxfId="428" priority="326" operator="greaterThan">
      <formula>AA127</formula>
    </cfRule>
  </conditionalFormatting>
  <conditionalFormatting sqref="AL133:AL137">
    <cfRule type="cellIs" dxfId="427" priority="315" operator="lessThan">
      <formula>AA133</formula>
    </cfRule>
    <cfRule type="cellIs" dxfId="426" priority="316" operator="greaterThan">
      <formula>AA133</formula>
    </cfRule>
  </conditionalFormatting>
  <conditionalFormatting sqref="AL139:AL143">
    <cfRule type="cellIs" dxfId="425" priority="305" operator="lessThan">
      <formula>AA139</formula>
    </cfRule>
    <cfRule type="cellIs" dxfId="424" priority="306" operator="greaterThan">
      <formula>AA139</formula>
    </cfRule>
  </conditionalFormatting>
  <conditionalFormatting sqref="AL179:AL183">
    <cfRule type="cellIs" dxfId="423" priority="143" operator="lessThan">
      <formula>AA179</formula>
    </cfRule>
    <cfRule type="cellIs" dxfId="422" priority="144" operator="greaterThan">
      <formula>AA179</formula>
    </cfRule>
  </conditionalFormatting>
  <conditionalFormatting sqref="AL185:AL189">
    <cfRule type="cellIs" dxfId="421" priority="142" operator="greaterThan">
      <formula>AA185</formula>
    </cfRule>
    <cfRule type="cellIs" dxfId="420" priority="141" operator="lessThan">
      <formula>AA185</formula>
    </cfRule>
  </conditionalFormatting>
  <conditionalFormatting sqref="AL191:AL195">
    <cfRule type="cellIs" dxfId="419" priority="131" operator="lessThan">
      <formula>AA191</formula>
    </cfRule>
    <cfRule type="cellIs" dxfId="418" priority="132" operator="greaterThan">
      <formula>AA191</formula>
    </cfRule>
  </conditionalFormatting>
  <conditionalFormatting sqref="AL197:AL201">
    <cfRule type="cellIs" dxfId="417" priority="122" operator="greaterThan">
      <formula>AA197</formula>
    </cfRule>
    <cfRule type="cellIs" dxfId="416" priority="121" operator="lessThan">
      <formula>AA197</formula>
    </cfRule>
  </conditionalFormatting>
  <conditionalFormatting sqref="AL203:AL207">
    <cfRule type="cellIs" dxfId="415" priority="111" operator="lessThan">
      <formula>AA203</formula>
    </cfRule>
    <cfRule type="cellIs" dxfId="414" priority="112" operator="greaterThan">
      <formula>AA203</formula>
    </cfRule>
  </conditionalFormatting>
  <conditionalFormatting sqref="AL209:AL213">
    <cfRule type="cellIs" dxfId="413" priority="101" operator="lessThan">
      <formula>AA209</formula>
    </cfRule>
    <cfRule type="cellIs" dxfId="412" priority="102" operator="greaterThan">
      <formula>AA209</formula>
    </cfRule>
  </conditionalFormatting>
  <conditionalFormatting sqref="AL215:AL219">
    <cfRule type="cellIs" dxfId="411" priority="91" operator="lessThan">
      <formula>AA215</formula>
    </cfRule>
    <cfRule type="cellIs" dxfId="410" priority="92" operator="greaterThan">
      <formula>AA215</formula>
    </cfRule>
  </conditionalFormatting>
  <conditionalFormatting sqref="AL221:AL225">
    <cfRule type="cellIs" dxfId="409" priority="81" operator="lessThan">
      <formula>AA221</formula>
    </cfRule>
    <cfRule type="cellIs" dxfId="408" priority="82" operator="greaterThan">
      <formula>AA221</formula>
    </cfRule>
  </conditionalFormatting>
  <conditionalFormatting sqref="AL227:AL231">
    <cfRule type="cellIs" dxfId="407" priority="72" operator="greaterThan">
      <formula>AA227</formula>
    </cfRule>
    <cfRule type="cellIs" dxfId="406" priority="71" operator="lessThan">
      <formula>AA227</formula>
    </cfRule>
  </conditionalFormatting>
  <conditionalFormatting sqref="AL233:AL237">
    <cfRule type="cellIs" dxfId="405" priority="61" operator="lessThan">
      <formula>AA233</formula>
    </cfRule>
    <cfRule type="cellIs" dxfId="404" priority="62" operator="greaterThan">
      <formula>AA233</formula>
    </cfRule>
  </conditionalFormatting>
  <conditionalFormatting sqref="AL239:AL243">
    <cfRule type="cellIs" dxfId="403" priority="52" operator="greaterThan">
      <formula>AA239</formula>
    </cfRule>
    <cfRule type="cellIs" dxfId="402" priority="51" operator="lessThan">
      <formula>AA239</formula>
    </cfRule>
  </conditionalFormatting>
  <conditionalFormatting sqref="AL245:AL249">
    <cfRule type="cellIs" dxfId="401" priority="41" operator="lessThan">
      <formula>AA245</formula>
    </cfRule>
    <cfRule type="cellIs" dxfId="400" priority="42" operator="greaterThan">
      <formula>AA245</formula>
    </cfRule>
  </conditionalFormatting>
  <conditionalFormatting sqref="AL251:AL255">
    <cfRule type="cellIs" dxfId="399" priority="31" operator="lessThan">
      <formula>AA251</formula>
    </cfRule>
    <cfRule type="cellIs" dxfId="398" priority="32" operator="greaterThan">
      <formula>AA251</formula>
    </cfRule>
  </conditionalFormatting>
  <conditionalFormatting sqref="AL257:AL261">
    <cfRule type="cellIs" dxfId="397" priority="22" operator="greaterThan">
      <formula>AA257</formula>
    </cfRule>
    <cfRule type="cellIs" dxfId="396" priority="21" operator="lessThan">
      <formula>AA257</formula>
    </cfRule>
  </conditionalFormatting>
  <conditionalFormatting sqref="AL263:AL267">
    <cfRule type="cellIs" dxfId="395" priority="11" operator="lessThan">
      <formula>AA263</formula>
    </cfRule>
    <cfRule type="cellIs" dxfId="394" priority="12" operator="greaterThan">
      <formula>AA263</formula>
    </cfRule>
  </conditionalFormatting>
  <conditionalFormatting sqref="AL269:AL273">
    <cfRule type="cellIs" dxfId="393" priority="2" operator="greaterThan">
      <formula>AA269</formula>
    </cfRule>
    <cfRule type="cellIs" dxfId="392" priority="1" operator="lessThan">
      <formula>AA269</formula>
    </cfRule>
  </conditionalFormatting>
  <conditionalFormatting sqref="AM49:AM53 AM55:AM59">
    <cfRule type="cellIs" dxfId="391" priority="598" operator="lessThan">
      <formula>AF49</formula>
    </cfRule>
    <cfRule type="cellIs" dxfId="390" priority="599" operator="greaterThan">
      <formula>AF49</formula>
    </cfRule>
  </conditionalFormatting>
  <conditionalFormatting sqref="AM61:AM65">
    <cfRule type="cellIs" dxfId="389" priority="548" operator="greaterThan">
      <formula>AF61</formula>
    </cfRule>
    <cfRule type="cellIs" dxfId="388" priority="547" operator="lessThan">
      <formula>AF61</formula>
    </cfRule>
  </conditionalFormatting>
  <conditionalFormatting sqref="AM67:AM71">
    <cfRule type="cellIs" dxfId="387" priority="538" operator="greaterThan">
      <formula>AF67</formula>
    </cfRule>
    <cfRule type="cellIs" dxfId="386" priority="537" operator="lessThan">
      <formula>AF67</formula>
    </cfRule>
  </conditionalFormatting>
  <conditionalFormatting sqref="AM73:AM77">
    <cfRule type="cellIs" dxfId="385" priority="527" operator="lessThan">
      <formula>AF73</formula>
    </cfRule>
    <cfRule type="cellIs" dxfId="384" priority="528" operator="greaterThan">
      <formula>AF73</formula>
    </cfRule>
  </conditionalFormatting>
  <conditionalFormatting sqref="AM79:AM83">
    <cfRule type="cellIs" dxfId="383" priority="407" operator="lessThan">
      <formula>AF79</formula>
    </cfRule>
    <cfRule type="cellIs" dxfId="382" priority="408" operator="greaterThan">
      <formula>AF79</formula>
    </cfRule>
  </conditionalFormatting>
  <conditionalFormatting sqref="AM85:AM89">
    <cfRule type="cellIs" dxfId="381" priority="398" operator="greaterThan">
      <formula>AF85</formula>
    </cfRule>
    <cfRule type="cellIs" dxfId="380" priority="397" operator="lessThan">
      <formula>AF85</formula>
    </cfRule>
  </conditionalFormatting>
  <conditionalFormatting sqref="AM91:AM95">
    <cfRule type="cellIs" dxfId="379" priority="388" operator="greaterThan">
      <formula>AF91</formula>
    </cfRule>
    <cfRule type="cellIs" dxfId="378" priority="387" operator="lessThan">
      <formula>AF91</formula>
    </cfRule>
  </conditionalFormatting>
  <conditionalFormatting sqref="AM97:AM101">
    <cfRule type="cellIs" dxfId="377" priority="378" operator="greaterThan">
      <formula>AF97</formula>
    </cfRule>
    <cfRule type="cellIs" dxfId="376" priority="377" operator="lessThan">
      <formula>AF97</formula>
    </cfRule>
  </conditionalFormatting>
  <conditionalFormatting sqref="AM103:AM107">
    <cfRule type="cellIs" dxfId="375" priority="368" operator="greaterThan">
      <formula>AF103</formula>
    </cfRule>
    <cfRule type="cellIs" dxfId="374" priority="367" operator="lessThan">
      <formula>AF103</formula>
    </cfRule>
  </conditionalFormatting>
  <conditionalFormatting sqref="AM109:AM113">
    <cfRule type="cellIs" dxfId="373" priority="357" operator="lessThan">
      <formula>AF109</formula>
    </cfRule>
    <cfRule type="cellIs" dxfId="372" priority="358" operator="greaterThan">
      <formula>AF109</formula>
    </cfRule>
  </conditionalFormatting>
  <conditionalFormatting sqref="AM115:AM119">
    <cfRule type="cellIs" dxfId="371" priority="347" operator="lessThan">
      <formula>AF115</formula>
    </cfRule>
    <cfRule type="cellIs" dxfId="370" priority="348" operator="greaterThan">
      <formula>AF115</formula>
    </cfRule>
  </conditionalFormatting>
  <conditionalFormatting sqref="AM121:AM125">
    <cfRule type="cellIs" dxfId="369" priority="338" operator="greaterThan">
      <formula>AF121</formula>
    </cfRule>
    <cfRule type="cellIs" dxfId="368" priority="337" operator="lessThan">
      <formula>AF121</formula>
    </cfRule>
  </conditionalFormatting>
  <conditionalFormatting sqref="AM127:AM131">
    <cfRule type="cellIs" dxfId="367" priority="327" operator="lessThan">
      <formula>AF127</formula>
    </cfRule>
    <cfRule type="cellIs" dxfId="366" priority="328" operator="greaterThan">
      <formula>AF127</formula>
    </cfRule>
  </conditionalFormatting>
  <conditionalFormatting sqref="AM133:AM137">
    <cfRule type="cellIs" dxfId="365" priority="317" operator="lessThan">
      <formula>AF133</formula>
    </cfRule>
    <cfRule type="cellIs" dxfId="364" priority="318" operator="greaterThan">
      <formula>AF133</formula>
    </cfRule>
  </conditionalFormatting>
  <conditionalFormatting sqref="AM139:AM143">
    <cfRule type="cellIs" dxfId="363" priority="308" operator="greaterThan">
      <formula>AF139</formula>
    </cfRule>
    <cfRule type="cellIs" dxfId="362" priority="307" operator="lessThan">
      <formula>AF139</formula>
    </cfRule>
  </conditionalFormatting>
  <conditionalFormatting sqref="AM179:AM183 AM185:AM189">
    <cfRule type="cellIs" dxfId="361" priority="145" operator="lessThan">
      <formula>AF179</formula>
    </cfRule>
    <cfRule type="cellIs" dxfId="360" priority="146" operator="greaterThan">
      <formula>AF179</formula>
    </cfRule>
  </conditionalFormatting>
  <conditionalFormatting sqref="AM191:AM195">
    <cfRule type="cellIs" dxfId="359" priority="133" operator="lessThan">
      <formula>AF191</formula>
    </cfRule>
    <cfRule type="cellIs" dxfId="358" priority="134" operator="greaterThan">
      <formula>AF191</formula>
    </cfRule>
  </conditionalFormatting>
  <conditionalFormatting sqref="AM197:AM201">
    <cfRule type="cellIs" dxfId="357" priority="124" operator="greaterThan">
      <formula>AF197</formula>
    </cfRule>
    <cfRule type="cellIs" dxfId="356" priority="123" operator="lessThan">
      <formula>AF197</formula>
    </cfRule>
  </conditionalFormatting>
  <conditionalFormatting sqref="AM203:AM207">
    <cfRule type="cellIs" dxfId="355" priority="113" operator="lessThan">
      <formula>AF203</formula>
    </cfRule>
    <cfRule type="cellIs" dxfId="354" priority="114" operator="greaterThan">
      <formula>AF203</formula>
    </cfRule>
  </conditionalFormatting>
  <conditionalFormatting sqref="AM209:AM213">
    <cfRule type="cellIs" dxfId="353" priority="104" operator="greaterThan">
      <formula>AF209</formula>
    </cfRule>
    <cfRule type="cellIs" dxfId="352" priority="103" operator="lessThan">
      <formula>AF209</formula>
    </cfRule>
  </conditionalFormatting>
  <conditionalFormatting sqref="AM215:AM219">
    <cfRule type="cellIs" dxfId="351" priority="93" operator="lessThan">
      <formula>AF215</formula>
    </cfRule>
    <cfRule type="cellIs" dxfId="350" priority="94" operator="greaterThan">
      <formula>AF215</formula>
    </cfRule>
  </conditionalFormatting>
  <conditionalFormatting sqref="AM221:AM225">
    <cfRule type="cellIs" dxfId="349" priority="84" operator="greaterThan">
      <formula>AF221</formula>
    </cfRule>
    <cfRule type="cellIs" dxfId="348" priority="83" operator="lessThan">
      <formula>AF221</formula>
    </cfRule>
  </conditionalFormatting>
  <conditionalFormatting sqref="AM227:AM231">
    <cfRule type="cellIs" dxfId="347" priority="74" operator="greaterThan">
      <formula>AF227</formula>
    </cfRule>
    <cfRule type="cellIs" dxfId="346" priority="73" operator="lessThan">
      <formula>AF227</formula>
    </cfRule>
  </conditionalFormatting>
  <conditionalFormatting sqref="AM233:AM237">
    <cfRule type="cellIs" dxfId="345" priority="63" operator="lessThan">
      <formula>AF233</formula>
    </cfRule>
    <cfRule type="cellIs" dxfId="344" priority="64" operator="greaterThan">
      <formula>AF233</formula>
    </cfRule>
  </conditionalFormatting>
  <conditionalFormatting sqref="AM239:AM243">
    <cfRule type="cellIs" dxfId="343" priority="53" operator="lessThan">
      <formula>AF239</formula>
    </cfRule>
    <cfRule type="cellIs" dxfId="342" priority="54" operator="greaterThan">
      <formula>AF239</formula>
    </cfRule>
  </conditionalFormatting>
  <conditionalFormatting sqref="AM245:AM249">
    <cfRule type="cellIs" dxfId="341" priority="43" operator="lessThan">
      <formula>AF245</formula>
    </cfRule>
    <cfRule type="cellIs" dxfId="340" priority="44" operator="greaterThan">
      <formula>AF245</formula>
    </cfRule>
  </conditionalFormatting>
  <conditionalFormatting sqref="AM251:AM255">
    <cfRule type="cellIs" dxfId="339" priority="34" operator="greaterThan">
      <formula>AF251</formula>
    </cfRule>
    <cfRule type="cellIs" dxfId="338" priority="33" operator="lessThan">
      <formula>AF251</formula>
    </cfRule>
  </conditionalFormatting>
  <conditionalFormatting sqref="AM257:AM261">
    <cfRule type="cellIs" dxfId="337" priority="24" operator="greaterThan">
      <formula>AF257</formula>
    </cfRule>
    <cfRule type="cellIs" dxfId="336" priority="23" operator="lessThan">
      <formula>AF257</formula>
    </cfRule>
  </conditionalFormatting>
  <conditionalFormatting sqref="AM263:AM267">
    <cfRule type="cellIs" dxfId="335" priority="14" operator="greaterThan">
      <formula>AF263</formula>
    </cfRule>
    <cfRule type="cellIs" dxfId="334" priority="13" operator="lessThan">
      <formula>AF263</formula>
    </cfRule>
  </conditionalFormatting>
  <conditionalFormatting sqref="AM269:AM273">
    <cfRule type="cellIs" dxfId="333" priority="3" operator="lessThan">
      <formula>AF269</formula>
    </cfRule>
    <cfRule type="cellIs" dxfId="332" priority="4" operator="greaterThan">
      <formula>AF269</formula>
    </cfRule>
  </conditionalFormatting>
  <conditionalFormatting sqref="AN49:AN53 AN55:AN59">
    <cfRule type="cellIs" dxfId="331" priority="605" operator="equal">
      <formula>AD49</formula>
    </cfRule>
    <cfRule type="cellIs" dxfId="330" priority="604" operator="equal">
      <formula>AI49</formula>
    </cfRule>
    <cfRule type="cellIs" dxfId="329" priority="600" operator="lessThan">
      <formula>AI49</formula>
    </cfRule>
    <cfRule type="cellIs" dxfId="328" priority="601" operator="lessThan">
      <formula>AD49</formula>
    </cfRule>
    <cfRule type="cellIs" dxfId="327" priority="602" operator="greaterThan">
      <formula>AI49</formula>
    </cfRule>
    <cfRule type="cellIs" dxfId="326" priority="603" operator="greaterThan">
      <formula>AD49</formula>
    </cfRule>
  </conditionalFormatting>
  <conditionalFormatting sqref="AN61:AN65">
    <cfRule type="cellIs" dxfId="325" priority="549" operator="lessThan">
      <formula>AI61</formula>
    </cfRule>
    <cfRule type="cellIs" dxfId="324" priority="551" operator="greaterThan">
      <formula>AI61</formula>
    </cfRule>
    <cfRule type="cellIs" dxfId="323" priority="550" operator="lessThan">
      <formula>AD61</formula>
    </cfRule>
    <cfRule type="cellIs" dxfId="322" priority="553" operator="equal">
      <formula>AI61</formula>
    </cfRule>
    <cfRule type="cellIs" dxfId="321" priority="554" operator="equal">
      <formula>AD61</formula>
    </cfRule>
    <cfRule type="cellIs" dxfId="320" priority="552" operator="greaterThan">
      <formula>AD61</formula>
    </cfRule>
  </conditionalFormatting>
  <conditionalFormatting sqref="AN67:AN71">
    <cfRule type="cellIs" dxfId="319" priority="543" operator="equal">
      <formula>AI67</formula>
    </cfRule>
    <cfRule type="cellIs" dxfId="318" priority="542" operator="greaterThan">
      <formula>AD67</formula>
    </cfRule>
    <cfRule type="cellIs" dxfId="317" priority="541" operator="greaterThan">
      <formula>AI67</formula>
    </cfRule>
    <cfRule type="cellIs" dxfId="316" priority="539" operator="lessThan">
      <formula>AI67</formula>
    </cfRule>
    <cfRule type="cellIs" dxfId="315" priority="540" operator="lessThan">
      <formula>AD67</formula>
    </cfRule>
    <cfRule type="cellIs" dxfId="314" priority="544" operator="equal">
      <formula>AD67</formula>
    </cfRule>
  </conditionalFormatting>
  <conditionalFormatting sqref="AN73:AN77">
    <cfRule type="cellIs" dxfId="313" priority="529" operator="lessThan">
      <formula>AI73</formula>
    </cfRule>
    <cfRule type="cellIs" dxfId="312" priority="530" operator="lessThan">
      <formula>AD73</formula>
    </cfRule>
    <cfRule type="cellIs" dxfId="311" priority="531" operator="greaterThan">
      <formula>AI73</formula>
    </cfRule>
    <cfRule type="cellIs" dxfId="310" priority="532" operator="greaterThan">
      <formula>AD73</formula>
    </cfRule>
    <cfRule type="cellIs" dxfId="309" priority="533" operator="equal">
      <formula>AI73</formula>
    </cfRule>
    <cfRule type="cellIs" dxfId="308" priority="534" operator="equal">
      <formula>AD73</formula>
    </cfRule>
  </conditionalFormatting>
  <conditionalFormatting sqref="AN79:AN83">
    <cfRule type="cellIs" dxfId="307" priority="414" operator="equal">
      <formula>AD79</formula>
    </cfRule>
    <cfRule type="cellIs" dxfId="306" priority="409" operator="lessThan">
      <formula>AI79</formula>
    </cfRule>
    <cfRule type="cellIs" dxfId="305" priority="410" operator="lessThan">
      <formula>AD79</formula>
    </cfRule>
    <cfRule type="cellIs" dxfId="304" priority="411" operator="greaterThan">
      <formula>AI79</formula>
    </cfRule>
    <cfRule type="cellIs" dxfId="303" priority="412" operator="greaterThan">
      <formula>AD79</formula>
    </cfRule>
    <cfRule type="cellIs" dxfId="302" priority="413" operator="equal">
      <formula>AI79</formula>
    </cfRule>
  </conditionalFormatting>
  <conditionalFormatting sqref="AN85:AN89">
    <cfRule type="cellIs" dxfId="301" priority="403" operator="equal">
      <formula>AI85</formula>
    </cfRule>
    <cfRule type="cellIs" dxfId="300" priority="404" operator="equal">
      <formula>AD85</formula>
    </cfRule>
    <cfRule type="cellIs" dxfId="299" priority="402" operator="greaterThan">
      <formula>AD85</formula>
    </cfRule>
    <cfRule type="cellIs" dxfId="298" priority="401" operator="greaterThan">
      <formula>AI85</formula>
    </cfRule>
    <cfRule type="cellIs" dxfId="297" priority="400" operator="lessThan">
      <formula>AD85</formula>
    </cfRule>
    <cfRule type="cellIs" dxfId="296" priority="399" operator="lessThan">
      <formula>AI85</formula>
    </cfRule>
  </conditionalFormatting>
  <conditionalFormatting sqref="AN91:AN95">
    <cfRule type="cellIs" dxfId="295" priority="393" operator="equal">
      <formula>AI91</formula>
    </cfRule>
    <cfRule type="cellIs" dxfId="294" priority="392" operator="greaterThan">
      <formula>AD91</formula>
    </cfRule>
    <cfRule type="cellIs" dxfId="293" priority="391" operator="greaterThan">
      <formula>AI91</formula>
    </cfRule>
    <cfRule type="cellIs" dxfId="292" priority="390" operator="lessThan">
      <formula>AD91</formula>
    </cfRule>
    <cfRule type="cellIs" dxfId="291" priority="389" operator="lessThan">
      <formula>AI91</formula>
    </cfRule>
    <cfRule type="cellIs" dxfId="290" priority="394" operator="equal">
      <formula>AD91</formula>
    </cfRule>
  </conditionalFormatting>
  <conditionalFormatting sqref="AN97:AN101">
    <cfRule type="cellIs" dxfId="289" priority="380" operator="lessThan">
      <formula>AD97</formula>
    </cfRule>
    <cfRule type="cellIs" dxfId="288" priority="383" operator="equal">
      <formula>AI97</formula>
    </cfRule>
    <cfRule type="cellIs" dxfId="287" priority="379" operator="lessThan">
      <formula>AI97</formula>
    </cfRule>
    <cfRule type="cellIs" dxfId="286" priority="384" operator="equal">
      <formula>AD97</formula>
    </cfRule>
    <cfRule type="cellIs" dxfId="285" priority="381" operator="greaterThan">
      <formula>AI97</formula>
    </cfRule>
    <cfRule type="cellIs" dxfId="284" priority="382" operator="greaterThan">
      <formula>AD97</formula>
    </cfRule>
  </conditionalFormatting>
  <conditionalFormatting sqref="AN103:AN107">
    <cfRule type="cellIs" dxfId="283" priority="373" operator="equal">
      <formula>AI103</formula>
    </cfRule>
    <cfRule type="cellIs" dxfId="282" priority="374" operator="equal">
      <formula>AD103</formula>
    </cfRule>
    <cfRule type="cellIs" dxfId="281" priority="372" operator="greaterThan">
      <formula>AD103</formula>
    </cfRule>
    <cfRule type="cellIs" dxfId="280" priority="371" operator="greaterThan">
      <formula>AI103</formula>
    </cfRule>
    <cfRule type="cellIs" dxfId="279" priority="370" operator="lessThan">
      <formula>AD103</formula>
    </cfRule>
    <cfRule type="cellIs" dxfId="278" priority="369" operator="lessThan">
      <formula>AI103</formula>
    </cfRule>
  </conditionalFormatting>
  <conditionalFormatting sqref="AN109:AN113">
    <cfRule type="cellIs" dxfId="277" priority="362" operator="greaterThan">
      <formula>AD109</formula>
    </cfRule>
    <cfRule type="cellIs" dxfId="276" priority="364" operator="equal">
      <formula>AD109</formula>
    </cfRule>
    <cfRule type="cellIs" dxfId="275" priority="363" operator="equal">
      <formula>AI109</formula>
    </cfRule>
    <cfRule type="cellIs" dxfId="274" priority="361" operator="greaterThan">
      <formula>AI109</formula>
    </cfRule>
    <cfRule type="cellIs" dxfId="273" priority="360" operator="lessThan">
      <formula>AD109</formula>
    </cfRule>
    <cfRule type="cellIs" dxfId="272" priority="359" operator="lessThan">
      <formula>AI109</formula>
    </cfRule>
  </conditionalFormatting>
  <conditionalFormatting sqref="AN115:AN119">
    <cfRule type="cellIs" dxfId="271" priority="354" operator="equal">
      <formula>AD115</formula>
    </cfRule>
    <cfRule type="cellIs" dxfId="270" priority="353" operator="equal">
      <formula>AI115</formula>
    </cfRule>
    <cfRule type="cellIs" dxfId="269" priority="352" operator="greaterThan">
      <formula>AD115</formula>
    </cfRule>
    <cfRule type="cellIs" dxfId="268" priority="351" operator="greaterThan">
      <formula>AI115</formula>
    </cfRule>
    <cfRule type="cellIs" dxfId="267" priority="350" operator="lessThan">
      <formula>AD115</formula>
    </cfRule>
    <cfRule type="cellIs" dxfId="266" priority="349" operator="lessThan">
      <formula>AI115</formula>
    </cfRule>
  </conditionalFormatting>
  <conditionalFormatting sqref="AN121:AN125">
    <cfRule type="cellIs" dxfId="265" priority="343" operator="equal">
      <formula>AI121</formula>
    </cfRule>
    <cfRule type="cellIs" dxfId="264" priority="344" operator="equal">
      <formula>AD121</formula>
    </cfRule>
    <cfRule type="cellIs" dxfId="263" priority="341" operator="greaterThan">
      <formula>AI121</formula>
    </cfRule>
    <cfRule type="cellIs" dxfId="262" priority="340" operator="lessThan">
      <formula>AD121</formula>
    </cfRule>
    <cfRule type="cellIs" dxfId="261" priority="339" operator="lessThan">
      <formula>AI121</formula>
    </cfRule>
    <cfRule type="cellIs" dxfId="260" priority="342" operator="greaterThan">
      <formula>AD121</formula>
    </cfRule>
  </conditionalFormatting>
  <conditionalFormatting sqref="AN127:AN131">
    <cfRule type="cellIs" dxfId="259" priority="331" operator="greaterThan">
      <formula>AI127</formula>
    </cfRule>
    <cfRule type="cellIs" dxfId="258" priority="330" operator="lessThan">
      <formula>AD127</formula>
    </cfRule>
    <cfRule type="cellIs" dxfId="257" priority="329" operator="lessThan">
      <formula>AI127</formula>
    </cfRule>
    <cfRule type="cellIs" dxfId="256" priority="334" operator="equal">
      <formula>AD127</formula>
    </cfRule>
    <cfRule type="cellIs" dxfId="255" priority="333" operator="equal">
      <formula>AI127</formula>
    </cfRule>
    <cfRule type="cellIs" dxfId="254" priority="332" operator="greaterThan">
      <formula>AD127</formula>
    </cfRule>
  </conditionalFormatting>
  <conditionalFormatting sqref="AN133:AN137">
    <cfRule type="cellIs" dxfId="253" priority="322" operator="greaterThan">
      <formula>AD133</formula>
    </cfRule>
    <cfRule type="cellIs" dxfId="252" priority="321" operator="greaterThan">
      <formula>AI133</formula>
    </cfRule>
    <cfRule type="cellIs" dxfId="251" priority="320" operator="lessThan">
      <formula>AD133</formula>
    </cfRule>
    <cfRule type="cellIs" dxfId="250" priority="319" operator="lessThan">
      <formula>AI133</formula>
    </cfRule>
    <cfRule type="cellIs" dxfId="249" priority="324" operator="equal">
      <formula>AD133</formula>
    </cfRule>
    <cfRule type="cellIs" dxfId="248" priority="323" operator="equal">
      <formula>AI133</formula>
    </cfRule>
  </conditionalFormatting>
  <conditionalFormatting sqref="AN139:AN143">
    <cfRule type="cellIs" dxfId="247" priority="309" operator="lessThan">
      <formula>AI139</formula>
    </cfRule>
    <cfRule type="cellIs" dxfId="246" priority="314" operator="equal">
      <formula>AD139</formula>
    </cfRule>
    <cfRule type="cellIs" dxfId="245" priority="313" operator="equal">
      <formula>AI139</formula>
    </cfRule>
    <cfRule type="cellIs" dxfId="244" priority="311" operator="greaterThan">
      <formula>AI139</formula>
    </cfRule>
    <cfRule type="cellIs" dxfId="243" priority="310" operator="lessThan">
      <formula>AD139</formula>
    </cfRule>
    <cfRule type="cellIs" dxfId="242" priority="312" operator="greaterThan">
      <formula>AD139</formula>
    </cfRule>
  </conditionalFormatting>
  <conditionalFormatting sqref="AN179:AN183 AN185:AN189">
    <cfRule type="cellIs" dxfId="241" priority="148" operator="lessThan">
      <formula>AD179</formula>
    </cfRule>
    <cfRule type="cellIs" dxfId="240" priority="149" operator="greaterThan">
      <formula>AI179</formula>
    </cfRule>
    <cfRule type="cellIs" dxfId="239" priority="150" operator="greaterThan">
      <formula>AD179</formula>
    </cfRule>
    <cfRule type="cellIs" dxfId="238" priority="151" operator="equal">
      <formula>AI179</formula>
    </cfRule>
    <cfRule type="cellIs" dxfId="237" priority="152" operator="equal">
      <formula>AD179</formula>
    </cfRule>
    <cfRule type="cellIs" dxfId="236" priority="147" operator="lessThan">
      <formula>AI179</formula>
    </cfRule>
  </conditionalFormatting>
  <conditionalFormatting sqref="AN191:AN195">
    <cfRule type="cellIs" dxfId="235" priority="135" operator="lessThan">
      <formula>AI191</formula>
    </cfRule>
    <cfRule type="cellIs" dxfId="234" priority="137" operator="greaterThan">
      <formula>AI191</formula>
    </cfRule>
    <cfRule type="cellIs" dxfId="233" priority="138" operator="greaterThan">
      <formula>AD191</formula>
    </cfRule>
    <cfRule type="cellIs" dxfId="232" priority="139" operator="equal">
      <formula>AI191</formula>
    </cfRule>
    <cfRule type="cellIs" dxfId="231" priority="140" operator="equal">
      <formula>AD191</formula>
    </cfRule>
    <cfRule type="cellIs" dxfId="230" priority="136" operator="lessThan">
      <formula>AD191</formula>
    </cfRule>
  </conditionalFormatting>
  <conditionalFormatting sqref="AN197:AN201">
    <cfRule type="cellIs" dxfId="229" priority="129" operator="equal">
      <formula>AI197</formula>
    </cfRule>
    <cfRule type="cellIs" dxfId="228" priority="128" operator="greaterThan">
      <formula>AD197</formula>
    </cfRule>
    <cfRule type="cellIs" dxfId="227" priority="127" operator="greaterThan">
      <formula>AI197</formula>
    </cfRule>
    <cfRule type="cellIs" dxfId="226" priority="130" operator="equal">
      <formula>AD197</formula>
    </cfRule>
    <cfRule type="cellIs" dxfId="225" priority="126" operator="lessThan">
      <formula>AD197</formula>
    </cfRule>
    <cfRule type="cellIs" dxfId="224" priority="125" operator="lessThan">
      <formula>AI197</formula>
    </cfRule>
  </conditionalFormatting>
  <conditionalFormatting sqref="AN203:AN207">
    <cfRule type="cellIs" dxfId="223" priority="119" operator="equal">
      <formula>AI203</formula>
    </cfRule>
    <cfRule type="cellIs" dxfId="222" priority="120" operator="equal">
      <formula>AD203</formula>
    </cfRule>
    <cfRule type="cellIs" dxfId="221" priority="115" operator="lessThan">
      <formula>AI203</formula>
    </cfRule>
    <cfRule type="cellIs" dxfId="220" priority="116" operator="lessThan">
      <formula>AD203</formula>
    </cfRule>
    <cfRule type="cellIs" dxfId="219" priority="117" operator="greaterThan">
      <formula>AI203</formula>
    </cfRule>
    <cfRule type="cellIs" dxfId="218" priority="118" operator="greaterThan">
      <formula>AD203</formula>
    </cfRule>
  </conditionalFormatting>
  <conditionalFormatting sqref="AN209:AN213">
    <cfRule type="cellIs" dxfId="217" priority="110" operator="equal">
      <formula>AD209</formula>
    </cfRule>
    <cfRule type="cellIs" dxfId="216" priority="109" operator="equal">
      <formula>AI209</formula>
    </cfRule>
    <cfRule type="cellIs" dxfId="215" priority="108" operator="greaterThan">
      <formula>AD209</formula>
    </cfRule>
    <cfRule type="cellIs" dxfId="214" priority="107" operator="greaterThan">
      <formula>AI209</formula>
    </cfRule>
    <cfRule type="cellIs" dxfId="213" priority="106" operator="lessThan">
      <formula>AD209</formula>
    </cfRule>
    <cfRule type="cellIs" dxfId="212" priority="105" operator="lessThan">
      <formula>AI209</formula>
    </cfRule>
  </conditionalFormatting>
  <conditionalFormatting sqref="AN215:AN219">
    <cfRule type="cellIs" dxfId="211" priority="99" operator="equal">
      <formula>AI215</formula>
    </cfRule>
    <cfRule type="cellIs" dxfId="210" priority="100" operator="equal">
      <formula>AD215</formula>
    </cfRule>
    <cfRule type="cellIs" dxfId="209" priority="98" operator="greaterThan">
      <formula>AD215</formula>
    </cfRule>
    <cfRule type="cellIs" dxfId="208" priority="97" operator="greaterThan">
      <formula>AI215</formula>
    </cfRule>
    <cfRule type="cellIs" dxfId="207" priority="96" operator="lessThan">
      <formula>AD215</formula>
    </cfRule>
    <cfRule type="cellIs" dxfId="206" priority="95" operator="lessThan">
      <formula>AI215</formula>
    </cfRule>
  </conditionalFormatting>
  <conditionalFormatting sqref="AN221:AN225">
    <cfRule type="cellIs" dxfId="205" priority="87" operator="greaterThan">
      <formula>AI221</formula>
    </cfRule>
    <cfRule type="cellIs" dxfId="204" priority="86" operator="lessThan">
      <formula>AD221</formula>
    </cfRule>
    <cfRule type="cellIs" dxfId="203" priority="85" operator="lessThan">
      <formula>AI221</formula>
    </cfRule>
    <cfRule type="cellIs" dxfId="202" priority="88" operator="greaterThan">
      <formula>AD221</formula>
    </cfRule>
    <cfRule type="cellIs" dxfId="201" priority="90" operator="equal">
      <formula>AD221</formula>
    </cfRule>
    <cfRule type="cellIs" dxfId="200" priority="89" operator="equal">
      <formula>AI221</formula>
    </cfRule>
  </conditionalFormatting>
  <conditionalFormatting sqref="AN227:AN231">
    <cfRule type="cellIs" dxfId="199" priority="76" operator="lessThan">
      <formula>AD227</formula>
    </cfRule>
    <cfRule type="cellIs" dxfId="198" priority="80" operator="equal">
      <formula>AD227</formula>
    </cfRule>
    <cfRule type="cellIs" dxfId="197" priority="79" operator="equal">
      <formula>AI227</formula>
    </cfRule>
    <cfRule type="cellIs" dxfId="196" priority="78" operator="greaterThan">
      <formula>AD227</formula>
    </cfRule>
    <cfRule type="cellIs" dxfId="195" priority="77" operator="greaterThan">
      <formula>AI227</formula>
    </cfRule>
    <cfRule type="cellIs" dxfId="194" priority="75" operator="lessThan">
      <formula>AI227</formula>
    </cfRule>
  </conditionalFormatting>
  <conditionalFormatting sqref="AN233:AN237">
    <cfRule type="cellIs" dxfId="193" priority="66" operator="lessThan">
      <formula>AD233</formula>
    </cfRule>
    <cfRule type="cellIs" dxfId="192" priority="69" operator="equal">
      <formula>AI233</formula>
    </cfRule>
    <cfRule type="cellIs" dxfId="191" priority="65" operator="lessThan">
      <formula>AI233</formula>
    </cfRule>
    <cfRule type="cellIs" dxfId="190" priority="70" operator="equal">
      <formula>AD233</formula>
    </cfRule>
    <cfRule type="cellIs" dxfId="189" priority="68" operator="greaterThan">
      <formula>AD233</formula>
    </cfRule>
    <cfRule type="cellIs" dxfId="188" priority="67" operator="greaterThan">
      <formula>AI233</formula>
    </cfRule>
  </conditionalFormatting>
  <conditionalFormatting sqref="AN239:AN243">
    <cfRule type="cellIs" dxfId="187" priority="59" operator="equal">
      <formula>AI239</formula>
    </cfRule>
    <cfRule type="cellIs" dxfId="186" priority="57" operator="greaterThan">
      <formula>AI239</formula>
    </cfRule>
    <cfRule type="cellIs" dxfId="185" priority="58" operator="greaterThan">
      <formula>AD239</formula>
    </cfRule>
    <cfRule type="cellIs" dxfId="184" priority="56" operator="lessThan">
      <formula>AD239</formula>
    </cfRule>
    <cfRule type="cellIs" dxfId="183" priority="55" operator="lessThan">
      <formula>AI239</formula>
    </cfRule>
    <cfRule type="cellIs" dxfId="182" priority="60" operator="equal">
      <formula>AD239</formula>
    </cfRule>
  </conditionalFormatting>
  <conditionalFormatting sqref="AN245:AN249">
    <cfRule type="cellIs" dxfId="181" priority="45" operator="lessThan">
      <formula>AI245</formula>
    </cfRule>
    <cfRule type="cellIs" dxfId="180" priority="46" operator="lessThan">
      <formula>AD245</formula>
    </cfRule>
    <cfRule type="cellIs" dxfId="179" priority="47" operator="greaterThan">
      <formula>AI245</formula>
    </cfRule>
    <cfRule type="cellIs" dxfId="178" priority="48" operator="greaterThan">
      <formula>AD245</formula>
    </cfRule>
    <cfRule type="cellIs" dxfId="177" priority="49" operator="equal">
      <formula>AI245</formula>
    </cfRule>
    <cfRule type="cellIs" dxfId="176" priority="50" operator="equal">
      <formula>AD245</formula>
    </cfRule>
  </conditionalFormatting>
  <conditionalFormatting sqref="AN251:AN255">
    <cfRule type="cellIs" dxfId="175" priority="39" operator="equal">
      <formula>AI251</formula>
    </cfRule>
    <cfRule type="cellIs" dxfId="174" priority="40" operator="equal">
      <formula>AD251</formula>
    </cfRule>
    <cfRule type="cellIs" dxfId="173" priority="36" operator="lessThan">
      <formula>AD251</formula>
    </cfRule>
    <cfRule type="cellIs" dxfId="172" priority="35" operator="lessThan">
      <formula>AI251</formula>
    </cfRule>
    <cfRule type="cellIs" dxfId="171" priority="38" operator="greaterThan">
      <formula>AD251</formula>
    </cfRule>
    <cfRule type="cellIs" dxfId="170" priority="37" operator="greaterThan">
      <formula>AI251</formula>
    </cfRule>
  </conditionalFormatting>
  <conditionalFormatting sqref="AN257:AN261">
    <cfRule type="cellIs" dxfId="169" priority="30" operator="equal">
      <formula>AD257</formula>
    </cfRule>
    <cfRule type="cellIs" dxfId="168" priority="29" operator="equal">
      <formula>AI257</formula>
    </cfRule>
    <cfRule type="cellIs" dxfId="167" priority="28" operator="greaterThan">
      <formula>AD257</formula>
    </cfRule>
    <cfRule type="cellIs" dxfId="166" priority="27" operator="greaterThan">
      <formula>AI257</formula>
    </cfRule>
    <cfRule type="cellIs" dxfId="165" priority="26" operator="lessThan">
      <formula>AD257</formula>
    </cfRule>
    <cfRule type="cellIs" dxfId="164" priority="25" operator="lessThan">
      <formula>AI257</formula>
    </cfRule>
  </conditionalFormatting>
  <conditionalFormatting sqref="AN263:AN267">
    <cfRule type="cellIs" dxfId="163" priority="20" operator="equal">
      <formula>AD263</formula>
    </cfRule>
    <cfRule type="cellIs" dxfId="162" priority="19" operator="equal">
      <formula>AI263</formula>
    </cfRule>
    <cfRule type="cellIs" dxfId="161" priority="18" operator="greaterThan">
      <formula>AD263</formula>
    </cfRule>
    <cfRule type="cellIs" dxfId="160" priority="17" operator="greaterThan">
      <formula>AI263</formula>
    </cfRule>
    <cfRule type="cellIs" dxfId="159" priority="16" operator="lessThan">
      <formula>AD263</formula>
    </cfRule>
    <cfRule type="cellIs" dxfId="158" priority="15" operator="lessThan">
      <formula>AI263</formula>
    </cfRule>
  </conditionalFormatting>
  <conditionalFormatting sqref="AN269:AN273">
    <cfRule type="cellIs" dxfId="157" priority="5" operator="lessThan">
      <formula>AI269</formula>
    </cfRule>
    <cfRule type="cellIs" dxfId="156" priority="6" operator="lessThan">
      <formula>AD269</formula>
    </cfRule>
    <cfRule type="cellIs" dxfId="155" priority="7" operator="greaterThan">
      <formula>AI269</formula>
    </cfRule>
    <cfRule type="cellIs" dxfId="154" priority="9" operator="equal">
      <formula>AI269</formula>
    </cfRule>
    <cfRule type="cellIs" dxfId="153" priority="10" operator="equal">
      <formula>AD269</formula>
    </cfRule>
    <cfRule type="cellIs" dxfId="152" priority="8" operator="greaterThan">
      <formula>AD269</formula>
    </cfRule>
  </conditionalFormatting>
  <conditionalFormatting sqref="BO49:BO53">
    <cfRule type="cellIs" dxfId="151" priority="295" operator="lessThan">
      <formula>BD49</formula>
    </cfRule>
    <cfRule type="cellIs" dxfId="150" priority="296" operator="greaterThan">
      <formula>BD49</formula>
    </cfRule>
  </conditionalFormatting>
  <conditionalFormatting sqref="BO55:BO59">
    <cfRule type="cellIs" dxfId="149" priority="293" operator="lessThan">
      <formula>BD55</formula>
    </cfRule>
    <cfRule type="cellIs" dxfId="148" priority="294" operator="greaterThan">
      <formula>BD55</formula>
    </cfRule>
  </conditionalFormatting>
  <conditionalFormatting sqref="BO61:BO65">
    <cfRule type="cellIs" dxfId="147" priority="283" operator="lessThan">
      <formula>BD61</formula>
    </cfRule>
    <cfRule type="cellIs" dxfId="146" priority="284" operator="greaterThan">
      <formula>BD61</formula>
    </cfRule>
  </conditionalFormatting>
  <conditionalFormatting sqref="BO67:BO71">
    <cfRule type="cellIs" dxfId="145" priority="274" operator="greaterThan">
      <formula>BD67</formula>
    </cfRule>
    <cfRule type="cellIs" dxfId="144" priority="273" operator="lessThan">
      <formula>BD67</formula>
    </cfRule>
  </conditionalFormatting>
  <conditionalFormatting sqref="BO73:BO77">
    <cfRule type="cellIs" dxfId="143" priority="263" operator="lessThan">
      <formula>BD73</formula>
    </cfRule>
    <cfRule type="cellIs" dxfId="142" priority="264" operator="greaterThan">
      <formula>BD73</formula>
    </cfRule>
  </conditionalFormatting>
  <conditionalFormatting sqref="BO79:BO83">
    <cfRule type="cellIs" dxfId="141" priority="254" operator="greaterThan">
      <formula>BD79</formula>
    </cfRule>
    <cfRule type="cellIs" dxfId="140" priority="253" operator="lessThan">
      <formula>BD79</formula>
    </cfRule>
  </conditionalFormatting>
  <conditionalFormatting sqref="BO85:BO89">
    <cfRule type="cellIs" dxfId="139" priority="244" operator="greaterThan">
      <formula>BD85</formula>
    </cfRule>
    <cfRule type="cellIs" dxfId="138" priority="243" operator="lessThan">
      <formula>BD85</formula>
    </cfRule>
  </conditionalFormatting>
  <conditionalFormatting sqref="BO91:BO95">
    <cfRule type="cellIs" dxfId="137" priority="234" operator="greaterThan">
      <formula>BD91</formula>
    </cfRule>
    <cfRule type="cellIs" dxfId="136" priority="233" operator="lessThan">
      <formula>BD91</formula>
    </cfRule>
  </conditionalFormatting>
  <conditionalFormatting sqref="BO97:BO101">
    <cfRule type="cellIs" dxfId="135" priority="223" operator="lessThan">
      <formula>BD97</formula>
    </cfRule>
    <cfRule type="cellIs" dxfId="134" priority="224" operator="greaterThan">
      <formula>BD97</formula>
    </cfRule>
  </conditionalFormatting>
  <conditionalFormatting sqref="BO103:BO107">
    <cfRule type="cellIs" dxfId="133" priority="213" operator="lessThan">
      <formula>BD103</formula>
    </cfRule>
    <cfRule type="cellIs" dxfId="132" priority="214" operator="greaterThan">
      <formula>BD103</formula>
    </cfRule>
  </conditionalFormatting>
  <conditionalFormatting sqref="BO109:BO113">
    <cfRule type="cellIs" dxfId="131" priority="204" operator="greaterThan">
      <formula>BD109</formula>
    </cfRule>
    <cfRule type="cellIs" dxfId="130" priority="203" operator="lessThan">
      <formula>BD109</formula>
    </cfRule>
  </conditionalFormatting>
  <conditionalFormatting sqref="BO115:BO119">
    <cfRule type="cellIs" dxfId="129" priority="194" operator="greaterThan">
      <formula>BD115</formula>
    </cfRule>
    <cfRule type="cellIs" dxfId="128" priority="193" operator="lessThan">
      <formula>BD115</formula>
    </cfRule>
  </conditionalFormatting>
  <conditionalFormatting sqref="BO121:BO125">
    <cfRule type="cellIs" dxfId="127" priority="183" operator="lessThan">
      <formula>BD121</formula>
    </cfRule>
    <cfRule type="cellIs" dxfId="126" priority="184" operator="greaterThan">
      <formula>BD121</formula>
    </cfRule>
  </conditionalFormatting>
  <conditionalFormatting sqref="BO127:BO131">
    <cfRule type="cellIs" dxfId="125" priority="174" operator="greaterThan">
      <formula>BD127</formula>
    </cfRule>
    <cfRule type="cellIs" dxfId="124" priority="173" operator="lessThan">
      <formula>BD127</formula>
    </cfRule>
  </conditionalFormatting>
  <conditionalFormatting sqref="BO133:BO137">
    <cfRule type="cellIs" dxfId="123" priority="163" operator="lessThan">
      <formula>BD133</formula>
    </cfRule>
    <cfRule type="cellIs" dxfId="122" priority="164" operator="greaterThan">
      <formula>BD133</formula>
    </cfRule>
  </conditionalFormatting>
  <conditionalFormatting sqref="BO139:BO142">
    <cfRule type="cellIs" dxfId="121" priority="153" operator="lessThan">
      <formula>BD139</formula>
    </cfRule>
    <cfRule type="cellIs" dxfId="120" priority="154" operator="greaterThan">
      <formula>BD139</formula>
    </cfRule>
  </conditionalFormatting>
  <conditionalFormatting sqref="BP49:BP53 BP55:BP59">
    <cfRule type="cellIs" dxfId="119" priority="298" operator="greaterThan">
      <formula>BI49</formula>
    </cfRule>
    <cfRule type="cellIs" dxfId="118" priority="297" operator="lessThan">
      <formula>BI49</formula>
    </cfRule>
  </conditionalFormatting>
  <conditionalFormatting sqref="BP61:BP65">
    <cfRule type="cellIs" dxfId="117" priority="286" operator="greaterThan">
      <formula>BI61</formula>
    </cfRule>
    <cfRule type="cellIs" dxfId="116" priority="285" operator="lessThan">
      <formula>BI61</formula>
    </cfRule>
  </conditionalFormatting>
  <conditionalFormatting sqref="BP67:BP71">
    <cfRule type="cellIs" dxfId="115" priority="275" operator="lessThan">
      <formula>BI67</formula>
    </cfRule>
    <cfRule type="cellIs" dxfId="114" priority="276" operator="greaterThan">
      <formula>BI67</formula>
    </cfRule>
  </conditionalFormatting>
  <conditionalFormatting sqref="BP73:BP77">
    <cfRule type="cellIs" dxfId="113" priority="265" operator="lessThan">
      <formula>BI73</formula>
    </cfRule>
    <cfRule type="cellIs" dxfId="112" priority="266" operator="greaterThan">
      <formula>BI73</formula>
    </cfRule>
  </conditionalFormatting>
  <conditionalFormatting sqref="BP79:BP83">
    <cfRule type="cellIs" dxfId="111" priority="256" operator="greaterThan">
      <formula>BI79</formula>
    </cfRule>
    <cfRule type="cellIs" dxfId="110" priority="255" operator="lessThan">
      <formula>BI79</formula>
    </cfRule>
  </conditionalFormatting>
  <conditionalFormatting sqref="BP85:BP89">
    <cfRule type="cellIs" dxfId="109" priority="245" operator="lessThan">
      <formula>BI85</formula>
    </cfRule>
    <cfRule type="cellIs" dxfId="108" priority="246" operator="greaterThan">
      <formula>BI85</formula>
    </cfRule>
  </conditionalFormatting>
  <conditionalFormatting sqref="BP91:BP95">
    <cfRule type="cellIs" dxfId="107" priority="236" operator="greaterThan">
      <formula>BI91</formula>
    </cfRule>
    <cfRule type="cellIs" dxfId="106" priority="235" operator="lessThan">
      <formula>BI91</formula>
    </cfRule>
  </conditionalFormatting>
  <conditionalFormatting sqref="BP97:BP101">
    <cfRule type="cellIs" dxfId="105" priority="225" operator="lessThan">
      <formula>BI97</formula>
    </cfRule>
    <cfRule type="cellIs" dxfId="104" priority="226" operator="greaterThan">
      <formula>BI97</formula>
    </cfRule>
  </conditionalFormatting>
  <conditionalFormatting sqref="BP103:BP107">
    <cfRule type="cellIs" dxfId="103" priority="215" operator="lessThan">
      <formula>BI103</formula>
    </cfRule>
    <cfRule type="cellIs" dxfId="102" priority="216" operator="greaterThan">
      <formula>BI103</formula>
    </cfRule>
  </conditionalFormatting>
  <conditionalFormatting sqref="BP109:BP113">
    <cfRule type="cellIs" dxfId="101" priority="205" operator="lessThan">
      <formula>BI109</formula>
    </cfRule>
    <cfRule type="cellIs" dxfId="100" priority="206" operator="greaterThan">
      <formula>BI109</formula>
    </cfRule>
  </conditionalFormatting>
  <conditionalFormatting sqref="BP115:BP119">
    <cfRule type="cellIs" dxfId="99" priority="195" operator="lessThan">
      <formula>BI115</formula>
    </cfRule>
    <cfRule type="cellIs" dxfId="98" priority="196" operator="greaterThan">
      <formula>BI115</formula>
    </cfRule>
  </conditionalFormatting>
  <conditionalFormatting sqref="BP121:BP125">
    <cfRule type="cellIs" dxfId="97" priority="186" operator="greaterThan">
      <formula>BI121</formula>
    </cfRule>
    <cfRule type="cellIs" dxfId="96" priority="185" operator="lessThan">
      <formula>BI121</formula>
    </cfRule>
  </conditionalFormatting>
  <conditionalFormatting sqref="BP127:BP131">
    <cfRule type="cellIs" dxfId="95" priority="176" operator="greaterThan">
      <formula>BI127</formula>
    </cfRule>
    <cfRule type="cellIs" dxfId="94" priority="175" operator="lessThan">
      <formula>BI127</formula>
    </cfRule>
  </conditionalFormatting>
  <conditionalFormatting sqref="BP133:BP137">
    <cfRule type="cellIs" dxfId="93" priority="166" operator="greaterThan">
      <formula>BI133</formula>
    </cfRule>
    <cfRule type="cellIs" dxfId="92" priority="165" operator="lessThan">
      <formula>BI133</formula>
    </cfRule>
  </conditionalFormatting>
  <conditionalFormatting sqref="BP139:BP142">
    <cfRule type="cellIs" dxfId="91" priority="156" operator="greaterThan">
      <formula>BI139</formula>
    </cfRule>
    <cfRule type="cellIs" dxfId="90" priority="155" operator="lessThan">
      <formula>BI139</formula>
    </cfRule>
  </conditionalFormatting>
  <conditionalFormatting sqref="BQ49:BQ53 BQ55:BQ59">
    <cfRule type="cellIs" dxfId="89" priority="303" operator="equal">
      <formula>BL49</formula>
    </cfRule>
    <cfRule type="cellIs" dxfId="88" priority="304" operator="equal">
      <formula>BG49</formula>
    </cfRule>
    <cfRule type="cellIs" dxfId="87" priority="299" operator="lessThan">
      <formula>BL49</formula>
    </cfRule>
    <cfRule type="cellIs" dxfId="86" priority="300" operator="lessThan">
      <formula>BG49</formula>
    </cfRule>
    <cfRule type="cellIs" dxfId="85" priority="301" operator="greaterThan">
      <formula>BL49</formula>
    </cfRule>
    <cfRule type="cellIs" dxfId="84" priority="302" operator="greaterThan">
      <formula>BG49</formula>
    </cfRule>
  </conditionalFormatting>
  <conditionalFormatting sqref="BQ61:BQ65">
    <cfRule type="cellIs" dxfId="83" priority="289" operator="greaterThan">
      <formula>BL61</formula>
    </cfRule>
    <cfRule type="cellIs" dxfId="82" priority="290" operator="greaterThan">
      <formula>BG61</formula>
    </cfRule>
    <cfRule type="cellIs" dxfId="81" priority="291" operator="equal">
      <formula>BL61</formula>
    </cfRule>
    <cfRule type="cellIs" dxfId="80" priority="292" operator="equal">
      <formula>BG61</formula>
    </cfRule>
    <cfRule type="cellIs" dxfId="79" priority="287" operator="lessThan">
      <formula>BL61</formula>
    </cfRule>
    <cfRule type="cellIs" dxfId="78" priority="288" operator="lessThan">
      <formula>BG61</formula>
    </cfRule>
  </conditionalFormatting>
  <conditionalFormatting sqref="BQ67:BQ71">
    <cfRule type="cellIs" dxfId="77" priority="279" operator="greaterThan">
      <formula>BL67</formula>
    </cfRule>
    <cfRule type="cellIs" dxfId="76" priority="280" operator="greaterThan">
      <formula>BG67</formula>
    </cfRule>
    <cfRule type="cellIs" dxfId="75" priority="281" operator="equal">
      <formula>BL67</formula>
    </cfRule>
    <cfRule type="cellIs" dxfId="74" priority="282" operator="equal">
      <formula>BG67</formula>
    </cfRule>
    <cfRule type="cellIs" dxfId="73" priority="277" operator="lessThan">
      <formula>BL67</formula>
    </cfRule>
    <cfRule type="cellIs" dxfId="72" priority="278" operator="lessThan">
      <formula>BG67</formula>
    </cfRule>
  </conditionalFormatting>
  <conditionalFormatting sqref="BQ73:BQ77">
    <cfRule type="cellIs" dxfId="71" priority="270" operator="greaterThan">
      <formula>BG73</formula>
    </cfRule>
    <cfRule type="cellIs" dxfId="70" priority="269" operator="greaterThan">
      <formula>BL73</formula>
    </cfRule>
    <cfRule type="cellIs" dxfId="69" priority="268" operator="lessThan">
      <formula>BG73</formula>
    </cfRule>
    <cfRule type="cellIs" dxfId="68" priority="267" operator="lessThan">
      <formula>BL73</formula>
    </cfRule>
    <cfRule type="cellIs" dxfId="67" priority="272" operator="equal">
      <formula>BG73</formula>
    </cfRule>
    <cfRule type="cellIs" dxfId="66" priority="271" operator="equal">
      <formula>BL73</formula>
    </cfRule>
  </conditionalFormatting>
  <conditionalFormatting sqref="BQ79:BQ83">
    <cfRule type="cellIs" dxfId="65" priority="262" operator="equal">
      <formula>BG79</formula>
    </cfRule>
    <cfRule type="cellIs" dxfId="64" priority="257" operator="lessThan">
      <formula>BL79</formula>
    </cfRule>
    <cfRule type="cellIs" dxfId="63" priority="258" operator="lessThan">
      <formula>BG79</formula>
    </cfRule>
    <cfRule type="cellIs" dxfId="62" priority="259" operator="greaterThan">
      <formula>BL79</formula>
    </cfRule>
    <cfRule type="cellIs" dxfId="61" priority="260" operator="greaterThan">
      <formula>BG79</formula>
    </cfRule>
    <cfRule type="cellIs" dxfId="60" priority="261" operator="equal">
      <formula>BL79</formula>
    </cfRule>
  </conditionalFormatting>
  <conditionalFormatting sqref="BQ85:BQ89">
    <cfRule type="cellIs" dxfId="59" priority="247" operator="lessThan">
      <formula>BL85</formula>
    </cfRule>
    <cfRule type="cellIs" dxfId="58" priority="248" operator="lessThan">
      <formula>BG85</formula>
    </cfRule>
    <cfRule type="cellIs" dxfId="57" priority="249" operator="greaterThan">
      <formula>BL85</formula>
    </cfRule>
    <cfRule type="cellIs" dxfId="56" priority="250" operator="greaterThan">
      <formula>BG85</formula>
    </cfRule>
    <cfRule type="cellIs" dxfId="55" priority="251" operator="equal">
      <formula>BL85</formula>
    </cfRule>
    <cfRule type="cellIs" dxfId="54" priority="252" operator="equal">
      <formula>BG85</formula>
    </cfRule>
  </conditionalFormatting>
  <conditionalFormatting sqref="BQ91:BQ95">
    <cfRule type="cellIs" dxfId="53" priority="240" operator="greaterThan">
      <formula>BG91</formula>
    </cfRule>
    <cfRule type="cellIs" dxfId="52" priority="241" operator="equal">
      <formula>BL91</formula>
    </cfRule>
    <cfRule type="cellIs" dxfId="51" priority="242" operator="equal">
      <formula>BG91</formula>
    </cfRule>
    <cfRule type="cellIs" dxfId="50" priority="237" operator="lessThan">
      <formula>BL91</formula>
    </cfRule>
    <cfRule type="cellIs" dxfId="49" priority="238" operator="lessThan">
      <formula>BG91</formula>
    </cfRule>
    <cfRule type="cellIs" dxfId="48" priority="239" operator="greaterThan">
      <formula>BL91</formula>
    </cfRule>
  </conditionalFormatting>
  <conditionalFormatting sqref="BQ97:BQ101">
    <cfRule type="cellIs" dxfId="47" priority="231" operator="equal">
      <formula>BL97</formula>
    </cfRule>
    <cfRule type="cellIs" dxfId="46" priority="232" operator="equal">
      <formula>BG97</formula>
    </cfRule>
    <cfRule type="cellIs" dxfId="45" priority="230" operator="greaterThan">
      <formula>BG97</formula>
    </cfRule>
    <cfRule type="cellIs" dxfId="44" priority="228" operator="lessThan">
      <formula>BG97</formula>
    </cfRule>
    <cfRule type="cellIs" dxfId="43" priority="229" operator="greaterThan">
      <formula>BL97</formula>
    </cfRule>
    <cfRule type="cellIs" dxfId="42" priority="227" operator="lessThan">
      <formula>BL97</formula>
    </cfRule>
  </conditionalFormatting>
  <conditionalFormatting sqref="BQ103:BQ107">
    <cfRule type="cellIs" dxfId="41" priority="218" operator="lessThan">
      <formula>BG103</formula>
    </cfRule>
    <cfRule type="cellIs" dxfId="40" priority="217" operator="lessThan">
      <formula>BL103</formula>
    </cfRule>
    <cfRule type="cellIs" dxfId="39" priority="221" operator="equal">
      <formula>BL103</formula>
    </cfRule>
    <cfRule type="cellIs" dxfId="38" priority="222" operator="equal">
      <formula>BG103</formula>
    </cfRule>
    <cfRule type="cellIs" dxfId="37" priority="220" operator="greaterThan">
      <formula>BG103</formula>
    </cfRule>
    <cfRule type="cellIs" dxfId="36" priority="219" operator="greaterThan">
      <formula>BL103</formula>
    </cfRule>
  </conditionalFormatting>
  <conditionalFormatting sqref="BQ109:BQ113">
    <cfRule type="cellIs" dxfId="35" priority="209" operator="greaterThan">
      <formula>BL109</formula>
    </cfRule>
    <cfRule type="cellIs" dxfId="34" priority="210" operator="greaterThan">
      <formula>BG109</formula>
    </cfRule>
    <cfRule type="cellIs" dxfId="33" priority="208" operator="lessThan">
      <formula>BG109</formula>
    </cfRule>
    <cfRule type="cellIs" dxfId="32" priority="212" operator="equal">
      <formula>BG109</formula>
    </cfRule>
    <cfRule type="cellIs" dxfId="31" priority="211" operator="equal">
      <formula>BL109</formula>
    </cfRule>
    <cfRule type="cellIs" dxfId="30" priority="207" operator="lessThan">
      <formula>BL109</formula>
    </cfRule>
  </conditionalFormatting>
  <conditionalFormatting sqref="BQ115:BQ119">
    <cfRule type="cellIs" dxfId="29" priority="201" operator="equal">
      <formula>BL115</formula>
    </cfRule>
    <cfRule type="cellIs" dxfId="28" priority="202" operator="equal">
      <formula>BG115</formula>
    </cfRule>
    <cfRule type="cellIs" dxfId="27" priority="197" operator="lessThan">
      <formula>BL115</formula>
    </cfRule>
    <cfRule type="cellIs" dxfId="26" priority="198" operator="lessThan">
      <formula>BG115</formula>
    </cfRule>
    <cfRule type="cellIs" dxfId="25" priority="199" operator="greaterThan">
      <formula>BL115</formula>
    </cfRule>
    <cfRule type="cellIs" dxfId="24" priority="200" operator="greaterThan">
      <formula>BG115</formula>
    </cfRule>
  </conditionalFormatting>
  <conditionalFormatting sqref="BQ121:BQ125">
    <cfRule type="cellIs" dxfId="23" priority="187" operator="lessThan">
      <formula>BL121</formula>
    </cfRule>
    <cfRule type="cellIs" dxfId="22" priority="189" operator="greaterThan">
      <formula>BL121</formula>
    </cfRule>
    <cfRule type="cellIs" dxfId="21" priority="190" operator="greaterThan">
      <formula>BG121</formula>
    </cfRule>
    <cfRule type="cellIs" dxfId="20" priority="188" operator="lessThan">
      <formula>BG121</formula>
    </cfRule>
    <cfRule type="cellIs" dxfId="19" priority="192" operator="equal">
      <formula>BG121</formula>
    </cfRule>
    <cfRule type="cellIs" dxfId="18" priority="191" operator="equal">
      <formula>BL121</formula>
    </cfRule>
  </conditionalFormatting>
  <conditionalFormatting sqref="BQ127:BQ131">
    <cfRule type="cellIs" dxfId="17" priority="182" operator="equal">
      <formula>BG127</formula>
    </cfRule>
    <cfRule type="cellIs" dxfId="16" priority="181" operator="equal">
      <formula>BL127</formula>
    </cfRule>
    <cfRule type="cellIs" dxfId="15" priority="180" operator="greaterThan">
      <formula>BG127</formula>
    </cfRule>
    <cfRule type="cellIs" dxfId="14" priority="179" operator="greaterThan">
      <formula>BL127</formula>
    </cfRule>
    <cfRule type="cellIs" dxfId="13" priority="178" operator="lessThan">
      <formula>BG127</formula>
    </cfRule>
    <cfRule type="cellIs" dxfId="12" priority="177" operator="lessThan">
      <formula>BL127</formula>
    </cfRule>
  </conditionalFormatting>
  <conditionalFormatting sqref="BQ133:BQ137">
    <cfRule type="cellIs" dxfId="11" priority="171" operator="equal">
      <formula>BL133</formula>
    </cfRule>
    <cfRule type="cellIs" dxfId="10" priority="172" operator="equal">
      <formula>BG133</formula>
    </cfRule>
    <cfRule type="cellIs" dxfId="9" priority="168" operator="lessThan">
      <formula>BG133</formula>
    </cfRule>
    <cfRule type="cellIs" dxfId="8" priority="167" operator="lessThan">
      <formula>BL133</formula>
    </cfRule>
    <cfRule type="cellIs" dxfId="7" priority="169" operator="greaterThan">
      <formula>BL133</formula>
    </cfRule>
    <cfRule type="cellIs" dxfId="6" priority="170" operator="greaterThan">
      <formula>BG133</formula>
    </cfRule>
  </conditionalFormatting>
  <conditionalFormatting sqref="BQ139:BQ142">
    <cfRule type="cellIs" dxfId="5" priority="162" operator="equal">
      <formula>BG139</formula>
    </cfRule>
    <cfRule type="cellIs" dxfId="4" priority="159" operator="greaterThan">
      <formula>BL139</formula>
    </cfRule>
    <cfRule type="cellIs" dxfId="3" priority="158" operator="lessThan">
      <formula>BG139</formula>
    </cfRule>
    <cfRule type="cellIs" dxfId="2" priority="157" operator="lessThan">
      <formula>BL139</formula>
    </cfRule>
    <cfRule type="cellIs" dxfId="1" priority="160" operator="greaterThan">
      <formula>BG139</formula>
    </cfRule>
    <cfRule type="cellIs" dxfId="0" priority="161" operator="equal">
      <formula>BL139</formula>
    </cfRule>
  </conditionalFormatting>
  <dataValidations count="10">
    <dataValidation type="list" allowBlank="1" showInputMessage="1" showErrorMessage="1" sqref="C13" xr:uid="{9ECF5A3C-9941-4C0E-B488-E9DE180C23D5}">
      <formula1>"single,double"</formula1>
    </dataValidation>
    <dataValidation type="list" allowBlank="1" showInputMessage="1" showErrorMessage="1" sqref="W30:W45 AZ30:AZ45 W160:W175" xr:uid="{52E0864E-E5F6-4D79-8CDB-BA5CDE696D5F}">
      <formula1>$B$33:$B$38</formula1>
    </dataValidation>
    <dataValidation type="list" allowBlank="1" showInputMessage="1" showErrorMessage="1" sqref="AP49:AP53 AP139:AP143 AP55:AP59 AP61:AP65 AP67:AP71 AP73:AP77 AP133:AP137 AP79:AP83 AP85:AP89 AP91:AP95 AP97:AP101 AP103:AP107 AP109:AP113 AP115:AP119 AP121:AP125 AP127:AP131 BS49:BS53 BS139:BS142 BS55:BS59 BS61:BS65 BS67:BS71 BS73:BS77 BS133:BS137 BS79:BS83 BS85:BS89 BS91:BS95 BS97:BS101 BS103:BS107 BS109:BS113 BS115:BS119 BS121:BS125 BS127:BS131 AP179:AP183 AP269:AP273 AP185:AP189 AP191:AP195 AP197:AP201 AP203:AP207 AP263:AP267 AP209:AP213 AP215:AP219 AP221:AP225 AP227:AP231 AP233:AP237 AP239:AP243 AP245:AP249 AP251:AP255 AP257:AP261" xr:uid="{C5E1223E-E259-4456-AA80-804DABFD07E8}">
      <formula1>sheath_mark</formula1>
    </dataValidation>
    <dataValidation type="list" allowBlank="1" showInputMessage="1" showErrorMessage="1" sqref="AQ49:AQ53 AQ139:AQ143 AQ55:AQ59 AQ61:AQ65 AQ67:AQ71 AQ73:AQ77 AQ133:AQ137 AQ79:AQ83 AQ85:AQ89 AQ91:AQ95 AQ97:AQ101 AQ103:AQ107 AQ109:AQ113 AQ115:AQ119 AQ121:AQ125 AQ127:AQ131 BT49:BT53 BT139:BT142 BT55:BT59 BT61:BT65 BT67:BT71 BT73:BT77 BT133:BT137 BT79:BT83 BT85:BT89 BT91:BT95 BT97:BT101 BT103:BT107 BT109:BT113 BT115:BT119 BT121:BT125 BT127:BT131 AQ179:AQ183 AQ269:AQ273 AQ185:AQ189 AQ191:AQ195 AQ197:AQ201 AQ203:AQ207 AQ263:AQ267 AQ209:AQ213 AQ215:AQ219 AQ221:AQ225 AQ227:AQ231 AQ233:AQ237 AQ239:AQ243 AQ245:AQ249 AQ251:AQ255 AQ257:AQ261" xr:uid="{4F28934D-E3BF-426C-A231-2358FBF07C7C}">
      <formula1>hd_mark</formula1>
    </dataValidation>
    <dataValidation type="list" allowBlank="1" showInputMessage="1" showErrorMessage="1" sqref="V20 AD20 AY20 BG20 V150 AD150" xr:uid="{0376F8BC-8230-4DB5-8B2A-73CCAC7E2242}">
      <formula1>$J$20:$M$20</formula1>
    </dataValidation>
    <dataValidation type="list" allowBlank="1" showInputMessage="1" showErrorMessage="1" sqref="V21 AD21 AY21 BG21 V151 AD151" xr:uid="{8CC4E893-6525-4F1F-8F5A-6992971E3D67}">
      <formula1>$J$21:$M$21</formula1>
    </dataValidation>
    <dataValidation type="list" allowBlank="1" showInputMessage="1" showErrorMessage="1" sqref="V22 AD22 AY22 BG22 V152 AD152" xr:uid="{39E4194F-AD50-401D-8346-24740F0DFB5C}">
      <formula1>$J$22:$M$22</formula1>
    </dataValidation>
    <dataValidation type="list" allowBlank="1" showInputMessage="1" showErrorMessage="1" sqref="V23 AD23 AY23 BG23 V153 AD153" xr:uid="{830D1AAA-02D1-4C1C-A30A-0526F8F94CB2}">
      <formula1>$J$23:$M$23</formula1>
    </dataValidation>
    <dataValidation type="list" allowBlank="1" showInputMessage="1" showErrorMessage="1" sqref="V24 AD24 AY24 BG24 V154 AD154" xr:uid="{FCDF5136-E951-4F03-A936-4814E5D2A603}">
      <formula1>$J$24:$M$24</formula1>
    </dataValidation>
    <dataValidation type="list" allowBlank="1" showInputMessage="1" showErrorMessage="1" sqref="V25 AD25 AY25 BG25 V155 AD155" xr:uid="{D5C83D7D-BCAC-4DA7-ACA3-486FD317E03A}">
      <formula1>$J$25:$M$25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492074-0AAF-45DE-8B3A-EBC9ECAEF91A}">
          <x14:formula1>
            <xm:f>Lists!$B$25:$B$40</xm:f>
          </x14:formula1>
          <xm:sqref>C12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99031-6163-4A27-BB33-6BE1C2AAE03A}">
  <dimension ref="B2:G31"/>
  <sheetViews>
    <sheetView workbookViewId="0">
      <selection activeCell="E4" sqref="E4"/>
    </sheetView>
  </sheetViews>
  <sheetFormatPr defaultRowHeight="15" x14ac:dyDescent="0.25"/>
  <cols>
    <col min="2" max="2" width="22.28515625" bestFit="1" customWidth="1"/>
    <col min="4" max="4" width="9.28515625" bestFit="1" customWidth="1"/>
    <col min="5" max="5" width="21.42578125" bestFit="1" customWidth="1"/>
    <col min="6" max="6" width="13.28515625" style="1" bestFit="1" customWidth="1"/>
  </cols>
  <sheetData>
    <row r="2" spans="2:7" x14ac:dyDescent="0.25">
      <c r="B2" s="2" t="s">
        <v>10</v>
      </c>
    </row>
    <row r="4" spans="2:7" x14ac:dyDescent="0.25">
      <c r="B4" s="2" t="s">
        <v>14</v>
      </c>
      <c r="C4" t="s">
        <v>18</v>
      </c>
      <c r="D4" t="s">
        <v>20</v>
      </c>
      <c r="E4" t="s">
        <v>16</v>
      </c>
      <c r="F4" s="2" t="s">
        <v>44</v>
      </c>
      <c r="G4" t="s">
        <v>19</v>
      </c>
    </row>
    <row r="5" spans="2:7" x14ac:dyDescent="0.25">
      <c r="B5" s="2" t="s">
        <v>12</v>
      </c>
    </row>
    <row r="6" spans="2:7" x14ac:dyDescent="0.25">
      <c r="B6" s="2" t="s">
        <v>15</v>
      </c>
      <c r="C6" t="s">
        <v>17</v>
      </c>
      <c r="D6" t="s">
        <v>21</v>
      </c>
      <c r="E6">
        <v>16</v>
      </c>
      <c r="G6">
        <v>0.78</v>
      </c>
    </row>
    <row r="7" spans="2:7" x14ac:dyDescent="0.25">
      <c r="B7" s="2" t="s">
        <v>22</v>
      </c>
      <c r="C7" t="s">
        <v>17</v>
      </c>
      <c r="D7" t="s">
        <v>21</v>
      </c>
      <c r="E7">
        <v>16</v>
      </c>
      <c r="G7">
        <v>1</v>
      </c>
    </row>
    <row r="8" spans="2:7" x14ac:dyDescent="0.25">
      <c r="B8" s="2" t="s">
        <v>23</v>
      </c>
      <c r="C8" t="s">
        <v>17</v>
      </c>
      <c r="D8" t="s">
        <v>21</v>
      </c>
      <c r="E8">
        <v>16</v>
      </c>
      <c r="G8">
        <v>1</v>
      </c>
    </row>
    <row r="9" spans="2:7" x14ac:dyDescent="0.25">
      <c r="B9" s="2" t="s">
        <v>24</v>
      </c>
      <c r="C9" t="s">
        <v>17</v>
      </c>
      <c r="D9" t="s">
        <v>21</v>
      </c>
      <c r="E9">
        <v>16</v>
      </c>
      <c r="G9">
        <v>1</v>
      </c>
    </row>
    <row r="10" spans="2:7" x14ac:dyDescent="0.25">
      <c r="B10" s="2" t="s">
        <v>26</v>
      </c>
      <c r="C10" t="s">
        <v>17</v>
      </c>
      <c r="D10" t="s">
        <v>21</v>
      </c>
      <c r="E10">
        <v>16</v>
      </c>
      <c r="G10">
        <v>0.78</v>
      </c>
    </row>
    <row r="11" spans="2:7" x14ac:dyDescent="0.25">
      <c r="B11" s="2" t="s">
        <v>27</v>
      </c>
      <c r="C11" t="s">
        <v>17</v>
      </c>
      <c r="D11" t="s">
        <v>21</v>
      </c>
      <c r="E11">
        <v>16</v>
      </c>
      <c r="G11">
        <v>0.78</v>
      </c>
    </row>
    <row r="12" spans="2:7" x14ac:dyDescent="0.25">
      <c r="B12" s="2" t="s">
        <v>28</v>
      </c>
      <c r="C12" t="s">
        <v>17</v>
      </c>
      <c r="D12" t="s">
        <v>21</v>
      </c>
      <c r="E12">
        <v>16</v>
      </c>
      <c r="G12">
        <v>0.78</v>
      </c>
    </row>
    <row r="13" spans="2:7" x14ac:dyDescent="0.25">
      <c r="B13" s="2" t="s">
        <v>29</v>
      </c>
      <c r="C13" t="s">
        <v>17</v>
      </c>
      <c r="D13" t="s">
        <v>21</v>
      </c>
      <c r="E13">
        <v>16</v>
      </c>
    </row>
    <row r="14" spans="2:7" x14ac:dyDescent="0.25">
      <c r="B14" s="2" t="s">
        <v>30</v>
      </c>
      <c r="C14" t="s">
        <v>17</v>
      </c>
      <c r="D14" t="s">
        <v>21</v>
      </c>
      <c r="E14">
        <v>16</v>
      </c>
      <c r="G14">
        <v>0.78</v>
      </c>
    </row>
    <row r="15" spans="2:7" x14ac:dyDescent="0.25">
      <c r="B15" s="2" t="s">
        <v>31</v>
      </c>
      <c r="C15" t="s">
        <v>43</v>
      </c>
      <c r="D15" t="s">
        <v>21</v>
      </c>
      <c r="E15">
        <v>16</v>
      </c>
      <c r="G15">
        <v>0.78</v>
      </c>
    </row>
    <row r="16" spans="2:7" x14ac:dyDescent="0.25">
      <c r="B16" s="2" t="s">
        <v>32</v>
      </c>
      <c r="C16" t="s">
        <v>43</v>
      </c>
      <c r="D16" t="s">
        <v>21</v>
      </c>
      <c r="E16">
        <v>16</v>
      </c>
      <c r="G16">
        <v>0.78</v>
      </c>
    </row>
    <row r="17" spans="2:7" x14ac:dyDescent="0.25">
      <c r="B17" s="2" t="s">
        <v>33</v>
      </c>
      <c r="C17" t="s">
        <v>43</v>
      </c>
      <c r="D17" t="s">
        <v>21</v>
      </c>
      <c r="E17">
        <v>16</v>
      </c>
      <c r="G17">
        <v>0.78</v>
      </c>
    </row>
    <row r="18" spans="2:7" x14ac:dyDescent="0.25">
      <c r="B18" s="2" t="s">
        <v>34</v>
      </c>
      <c r="C18" t="s">
        <v>43</v>
      </c>
      <c r="D18" t="s">
        <v>21</v>
      </c>
      <c r="E18">
        <v>16</v>
      </c>
      <c r="F18" s="1" t="s">
        <v>45</v>
      </c>
      <c r="G18">
        <v>0.78</v>
      </c>
    </row>
    <row r="19" spans="2:7" x14ac:dyDescent="0.25">
      <c r="B19" s="2" t="s">
        <v>35</v>
      </c>
      <c r="C19" t="s">
        <v>43</v>
      </c>
      <c r="D19" t="s">
        <v>25</v>
      </c>
      <c r="E19">
        <v>16</v>
      </c>
      <c r="G19">
        <v>0.78</v>
      </c>
    </row>
    <row r="20" spans="2:7" x14ac:dyDescent="0.25">
      <c r="B20" s="2" t="s">
        <v>36</v>
      </c>
      <c r="C20" t="s">
        <v>43</v>
      </c>
      <c r="D20" t="s">
        <v>25</v>
      </c>
      <c r="E20">
        <v>16</v>
      </c>
      <c r="G20">
        <v>0.78</v>
      </c>
    </row>
    <row r="21" spans="2:7" x14ac:dyDescent="0.25">
      <c r="B21" s="2" t="s">
        <v>37</v>
      </c>
      <c r="C21" t="s">
        <v>43</v>
      </c>
      <c r="D21" t="s">
        <v>25</v>
      </c>
      <c r="E21">
        <v>16</v>
      </c>
      <c r="G21">
        <v>0.78</v>
      </c>
    </row>
    <row r="22" spans="2:7" x14ac:dyDescent="0.25">
      <c r="B22" s="2" t="s">
        <v>38</v>
      </c>
      <c r="C22" t="s">
        <v>43</v>
      </c>
      <c r="D22" t="s">
        <v>25</v>
      </c>
      <c r="E22">
        <v>16</v>
      </c>
      <c r="F22" s="1" t="s">
        <v>45</v>
      </c>
      <c r="G22">
        <v>1</v>
      </c>
    </row>
    <row r="23" spans="2:7" x14ac:dyDescent="0.25">
      <c r="B23" s="2" t="s">
        <v>39</v>
      </c>
      <c r="C23" t="s">
        <v>43</v>
      </c>
      <c r="D23" t="s">
        <v>25</v>
      </c>
      <c r="E23">
        <v>16</v>
      </c>
      <c r="F23" s="1" t="s">
        <v>45</v>
      </c>
      <c r="G23">
        <v>1</v>
      </c>
    </row>
    <row r="24" spans="2:7" x14ac:dyDescent="0.25">
      <c r="B24" s="2" t="s">
        <v>40</v>
      </c>
      <c r="C24" t="s">
        <v>43</v>
      </c>
      <c r="D24" t="s">
        <v>25</v>
      </c>
      <c r="E24">
        <v>16</v>
      </c>
      <c r="F24" s="1" t="s">
        <v>45</v>
      </c>
      <c r="G24">
        <v>1</v>
      </c>
    </row>
    <row r="25" spans="2:7" x14ac:dyDescent="0.25">
      <c r="B25" s="2" t="s">
        <v>41</v>
      </c>
      <c r="C25" t="s">
        <v>43</v>
      </c>
      <c r="D25" t="s">
        <v>21</v>
      </c>
      <c r="E25">
        <v>16</v>
      </c>
      <c r="F25" s="1" t="s">
        <v>45</v>
      </c>
      <c r="G25">
        <v>1</v>
      </c>
    </row>
    <row r="26" spans="2:7" x14ac:dyDescent="0.25">
      <c r="B26" s="2" t="s">
        <v>42</v>
      </c>
      <c r="C26" t="s">
        <v>43</v>
      </c>
      <c r="D26" t="s">
        <v>25</v>
      </c>
      <c r="E26">
        <v>24</v>
      </c>
      <c r="F26" s="1" t="s">
        <v>45</v>
      </c>
      <c r="G26">
        <v>1</v>
      </c>
    </row>
    <row r="27" spans="2:7" x14ac:dyDescent="0.25">
      <c r="B27" s="2" t="s">
        <v>46</v>
      </c>
      <c r="C27" t="s">
        <v>47</v>
      </c>
      <c r="D27" t="s">
        <v>21</v>
      </c>
      <c r="E27">
        <v>16</v>
      </c>
      <c r="F27" s="1" t="s">
        <v>45</v>
      </c>
      <c r="G27">
        <v>1</v>
      </c>
    </row>
    <row r="28" spans="2:7" x14ac:dyDescent="0.25">
      <c r="B28" s="2" t="s">
        <v>48</v>
      </c>
      <c r="C28" t="s">
        <v>47</v>
      </c>
      <c r="D28" t="s">
        <v>25</v>
      </c>
      <c r="E28">
        <v>16</v>
      </c>
      <c r="F28" s="1" t="s">
        <v>45</v>
      </c>
      <c r="G28">
        <v>1</v>
      </c>
    </row>
    <row r="29" spans="2:7" x14ac:dyDescent="0.25">
      <c r="B29" s="2" t="s">
        <v>49</v>
      </c>
      <c r="C29" t="s">
        <v>47</v>
      </c>
      <c r="D29" t="s">
        <v>25</v>
      </c>
      <c r="E29">
        <v>16</v>
      </c>
      <c r="F29" s="1" t="s">
        <v>45</v>
      </c>
      <c r="G29">
        <v>1</v>
      </c>
    </row>
    <row r="30" spans="2:7" x14ac:dyDescent="0.25">
      <c r="B30" s="2" t="s">
        <v>50</v>
      </c>
      <c r="C30" t="s">
        <v>47</v>
      </c>
      <c r="D30" t="s">
        <v>25</v>
      </c>
      <c r="E30">
        <v>24</v>
      </c>
      <c r="F30" s="1" t="s">
        <v>45</v>
      </c>
      <c r="G30">
        <v>1</v>
      </c>
    </row>
    <row r="31" spans="2:7" x14ac:dyDescent="0.25">
      <c r="B31" s="2" t="s">
        <v>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C2EB-5091-49FF-A9F5-273B8DAC5312}">
  <sheetPr>
    <pageSetUpPr fitToPage="1"/>
  </sheetPr>
  <dimension ref="A2:Y92"/>
  <sheetViews>
    <sheetView view="pageBreakPreview" topLeftCell="A45" zoomScale="85" zoomScaleNormal="40" zoomScaleSheetLayoutView="85" workbookViewId="0">
      <selection activeCell="E72" sqref="E72"/>
    </sheetView>
  </sheetViews>
  <sheetFormatPr defaultColWidth="9.140625" defaultRowHeight="12.75" x14ac:dyDescent="0.2"/>
  <cols>
    <col min="1" max="5" width="9.140625" style="22"/>
    <col min="6" max="6" width="6.28515625" style="22" customWidth="1"/>
    <col min="7" max="12" width="9.140625" style="22"/>
    <col min="13" max="13" width="5.42578125" style="22" customWidth="1"/>
    <col min="14" max="15" width="9.140625" style="22"/>
    <col min="16" max="16" width="12.5703125" style="22" bestFit="1" customWidth="1"/>
    <col min="17" max="16384" width="9.140625" style="22"/>
  </cols>
  <sheetData>
    <row r="2" spans="2:25" x14ac:dyDescent="0.2">
      <c r="B2" s="21" t="s">
        <v>253</v>
      </c>
    </row>
    <row r="3" spans="2:25" x14ac:dyDescent="0.2">
      <c r="O3" s="23" t="s">
        <v>254</v>
      </c>
      <c r="P3" s="24"/>
      <c r="Q3" s="24"/>
      <c r="R3" s="24"/>
      <c r="S3" s="25" t="s">
        <v>255</v>
      </c>
      <c r="U3" s="23" t="s">
        <v>256</v>
      </c>
      <c r="V3" s="24"/>
      <c r="W3" s="24"/>
      <c r="X3" s="24"/>
      <c r="Y3" s="26"/>
    </row>
    <row r="4" spans="2:25" x14ac:dyDescent="0.2">
      <c r="C4" s="22" t="s">
        <v>257</v>
      </c>
      <c r="D4" s="22" t="s">
        <v>258</v>
      </c>
      <c r="F4" s="27" t="s">
        <v>259</v>
      </c>
      <c r="O4" s="28" t="s">
        <v>260</v>
      </c>
      <c r="P4" s="29" t="s">
        <v>261</v>
      </c>
      <c r="Q4" s="27" t="s">
        <v>262</v>
      </c>
      <c r="R4" s="27" t="s">
        <v>73</v>
      </c>
      <c r="S4" s="30" t="s">
        <v>74</v>
      </c>
      <c r="U4" s="31" t="s">
        <v>263</v>
      </c>
      <c r="V4" s="27" t="s">
        <v>264</v>
      </c>
      <c r="W4" s="27" t="s">
        <v>265</v>
      </c>
      <c r="X4" s="27" t="s">
        <v>266</v>
      </c>
      <c r="Y4" s="30" t="s">
        <v>267</v>
      </c>
    </row>
    <row r="5" spans="2:25" x14ac:dyDescent="0.2">
      <c r="B5" s="32" t="s">
        <v>268</v>
      </c>
      <c r="C5" s="33">
        <v>210</v>
      </c>
      <c r="D5" s="33">
        <v>578</v>
      </c>
      <c r="F5" s="27" t="s">
        <v>269</v>
      </c>
      <c r="G5" s="32">
        <v>26</v>
      </c>
      <c r="H5" s="22" t="s">
        <v>270</v>
      </c>
      <c r="I5" s="22" t="s">
        <v>271</v>
      </c>
      <c r="J5" s="32">
        <v>146</v>
      </c>
      <c r="K5" s="22" t="s">
        <v>272</v>
      </c>
      <c r="L5" s="22" t="s">
        <v>273</v>
      </c>
      <c r="M5" s="32">
        <v>0.03</v>
      </c>
      <c r="O5" s="28" t="s">
        <v>274</v>
      </c>
      <c r="P5" s="32" t="s">
        <v>100</v>
      </c>
      <c r="Q5" s="34" cm="1">
        <f t="array" ref="Q5">IFERROR(INDEX(hdt_dfsp,MATCH(P5,holdown,0),0),"")</f>
        <v>1395</v>
      </c>
      <c r="R5" s="27" t="str" cm="1">
        <f t="array" ref="R5">IFERROR(INDEX(post24,MATCH(P5,holdown,0),0),"")</f>
        <v>2-2x4</v>
      </c>
      <c r="S5" s="30" t="str" cm="1">
        <f t="array" ref="S5">IFERROR(INDEX(post26,MATCH(P5,holdown,0),0),"")</f>
        <v>2-2x6</v>
      </c>
      <c r="U5" s="35" t="s">
        <v>275</v>
      </c>
      <c r="V5" s="36">
        <f>[1]Diaphragm!G5</f>
        <v>255</v>
      </c>
      <c r="W5" s="36">
        <f>[1]Diaphragm!I5</f>
        <v>357</v>
      </c>
      <c r="X5" s="36">
        <f>[1]Diaphragm!K5</f>
        <v>189</v>
      </c>
      <c r="Y5" s="37">
        <f>[1]Diaphragm!M5</f>
        <v>265</v>
      </c>
    </row>
    <row r="6" spans="2:25" x14ac:dyDescent="0.2">
      <c r="B6" s="32" t="s">
        <v>276</v>
      </c>
      <c r="C6" s="33">
        <v>210</v>
      </c>
      <c r="D6" s="33">
        <v>363</v>
      </c>
      <c r="F6" s="27" t="s">
        <v>277</v>
      </c>
      <c r="G6" s="32">
        <v>20</v>
      </c>
      <c r="H6" s="22" t="s">
        <v>270</v>
      </c>
      <c r="I6" s="22" t="s">
        <v>278</v>
      </c>
      <c r="J6" s="32">
        <v>90</v>
      </c>
      <c r="K6" s="22" t="s">
        <v>272</v>
      </c>
      <c r="O6" s="28" t="s">
        <v>279</v>
      </c>
      <c r="P6" s="32" t="s">
        <v>102</v>
      </c>
      <c r="Q6" s="34" cm="1">
        <f t="array" ref="Q6">IFERROR(INDEX(hdt_dfsp,MATCH(P6,holdown,0),0),"")</f>
        <v>3065</v>
      </c>
      <c r="R6" s="27" t="str" cm="1">
        <f t="array" ref="R6">IFERROR(INDEX(post24,MATCH(P6,holdown,0),0),"")</f>
        <v>2-2x4</v>
      </c>
      <c r="S6" s="30" t="str" cm="1">
        <f t="array" ref="S6">IFERROR(INDEX(post26,MATCH(P6,holdown,0),0),"")</f>
        <v>2-2x6</v>
      </c>
    </row>
    <row r="7" spans="2:25" x14ac:dyDescent="0.2">
      <c r="B7" s="32" t="s">
        <v>280</v>
      </c>
      <c r="C7" s="33"/>
      <c r="D7" s="33"/>
      <c r="F7" s="27" t="s">
        <v>281</v>
      </c>
      <c r="G7" s="32">
        <v>10</v>
      </c>
      <c r="H7" s="22" t="s">
        <v>270</v>
      </c>
      <c r="I7" s="22" t="s">
        <v>282</v>
      </c>
      <c r="J7" s="32">
        <v>16</v>
      </c>
      <c r="K7" s="22" t="s">
        <v>272</v>
      </c>
      <c r="O7" s="28" t="s">
        <v>283</v>
      </c>
      <c r="P7" s="32" t="s">
        <v>81</v>
      </c>
      <c r="Q7" s="34" t="str" cm="1">
        <f t="array" ref="Q7">IFERROR(INDEX(hdt_dfsp,MATCH(P7,holdown,0),0),"")</f>
        <v/>
      </c>
      <c r="R7" s="27" t="str" cm="1">
        <f t="array" ref="R7">IFERROR(INDEX(post24,MATCH(P7,holdown,0),0),"")</f>
        <v/>
      </c>
      <c r="S7" s="30" t="str" cm="1">
        <f t="array" ref="S7">IFERROR(INDEX(post26,MATCH(P7,holdown,0),0),"")</f>
        <v/>
      </c>
    </row>
    <row r="8" spans="2:25" x14ac:dyDescent="0.2">
      <c r="B8" s="32" t="s">
        <v>284</v>
      </c>
      <c r="C8" s="33"/>
      <c r="D8" s="33"/>
      <c r="F8" s="27" t="s">
        <v>285</v>
      </c>
      <c r="G8" s="32">
        <v>14344</v>
      </c>
      <c r="H8" s="22" t="s">
        <v>286</v>
      </c>
      <c r="O8" s="28" t="s">
        <v>287</v>
      </c>
      <c r="P8" s="32"/>
      <c r="Q8" s="34" t="str" cm="1">
        <f t="array" ref="Q8">IFERROR(INDEX(hdt_dfsp,MATCH(P8,holdown,0),0),"")</f>
        <v/>
      </c>
      <c r="R8" s="27" t="str" cm="1">
        <f t="array" ref="R8">IFERROR(INDEX(post24,MATCH(P8,holdown,0),0),"")</f>
        <v/>
      </c>
      <c r="S8" s="30" t="str" cm="1">
        <f t="array" ref="S8">IFERROR(INDEX(post26,MATCH(P8,holdown,0),0),"")</f>
        <v/>
      </c>
    </row>
    <row r="9" spans="2:25" x14ac:dyDescent="0.2">
      <c r="O9" s="28" t="s">
        <v>288</v>
      </c>
      <c r="P9" s="32"/>
      <c r="Q9" s="34" t="str" cm="1">
        <f t="array" ref="Q9">IFERROR(INDEX(hdt_dfsp,MATCH(P9,holdown,0),0),"")</f>
        <v/>
      </c>
      <c r="R9" s="27" t="str" cm="1">
        <f t="array" ref="R9">IFERROR(INDEX(post24,MATCH(P9,holdown,0),0),"")</f>
        <v/>
      </c>
      <c r="S9" s="30" t="str" cm="1">
        <f t="array" ref="S9">IFERROR(INDEX(post26,MATCH(P9,holdown,0),0),"")</f>
        <v/>
      </c>
    </row>
    <row r="10" spans="2:25" x14ac:dyDescent="0.2">
      <c r="B10" s="22" t="s">
        <v>289</v>
      </c>
      <c r="G10" s="22" t="s">
        <v>290</v>
      </c>
      <c r="H10" s="27" t="s">
        <v>291</v>
      </c>
      <c r="I10" s="22" t="s">
        <v>205</v>
      </c>
      <c r="J10" s="27" t="s">
        <v>292</v>
      </c>
      <c r="K10" s="22" t="s">
        <v>205</v>
      </c>
      <c r="L10" s="22" t="str">
        <f>IF(AND(I12&gt;K12,I13&gt;K13,I14&gt;K14,I15&gt;K15),"WIND GOVERNS",IF(AND(I12&lt;K12,I13&lt;K13,I14&lt;K14,I15&lt;K15),"SEISMIC GOVERNS","CHECK WIND AND SEISMIC"))</f>
        <v>SEISMIC GOVERNS</v>
      </c>
      <c r="M10" s="27"/>
      <c r="O10" s="38" t="s">
        <v>293</v>
      </c>
      <c r="P10" s="39"/>
      <c r="Q10" s="40" t="str" cm="1">
        <f t="array" ref="Q10">IFERROR(INDEX(hdt_dfsp,MATCH(P10,holdown,0),0),"")</f>
        <v/>
      </c>
      <c r="R10" s="41" t="str" cm="1">
        <f t="array" ref="R10">IFERROR(INDEX(post24,MATCH(P10,holdown,0),0),"")</f>
        <v/>
      </c>
      <c r="S10" s="42" t="str" cm="1">
        <f t="array" ref="S10">IFERROR(INDEX(post26,MATCH(P10,holdown,0),0),"")</f>
        <v/>
      </c>
    </row>
    <row r="11" spans="2:25" x14ac:dyDescent="0.2">
      <c r="D11" s="27" t="str">
        <f>TEXT(B11,0)&amp;" to "&amp;TEXT(B12,0)</f>
        <v>0 to EW-WL1</v>
      </c>
      <c r="E11" s="22">
        <v>0</v>
      </c>
      <c r="F11" s="22" t="s">
        <v>272</v>
      </c>
      <c r="G11" s="22" t="s">
        <v>272</v>
      </c>
      <c r="H11" s="43">
        <v>1</v>
      </c>
      <c r="I11" s="22">
        <v>0.6</v>
      </c>
      <c r="J11" s="43">
        <v>1</v>
      </c>
      <c r="K11" s="22">
        <v>0.7</v>
      </c>
    </row>
    <row r="12" spans="2:25" x14ac:dyDescent="0.2">
      <c r="B12" s="32" t="s">
        <v>294</v>
      </c>
      <c r="D12" s="27" t="str">
        <f>TEXT(B12,0)&amp;" to "&amp;TEXT(B13,0)</f>
        <v>EW-WL1 to EW-WL2</v>
      </c>
      <c r="E12" s="22">
        <v>28</v>
      </c>
      <c r="F12" s="22" t="s">
        <v>272</v>
      </c>
      <c r="G12" s="22">
        <f>E11+E12/2</f>
        <v>14</v>
      </c>
      <c r="H12" s="22">
        <f>G12*$C$5</f>
        <v>2940</v>
      </c>
      <c r="I12" s="22">
        <f>ROUNDUP(H12*0.6,0)</f>
        <v>1764</v>
      </c>
      <c r="J12" s="22">
        <f>G12*$D$5</f>
        <v>8092</v>
      </c>
      <c r="K12" s="22">
        <f>J12*0.7</f>
        <v>5664.4</v>
      </c>
      <c r="O12" s="23" t="s">
        <v>295</v>
      </c>
      <c r="P12" s="24"/>
      <c r="Q12" s="24"/>
      <c r="R12" s="24"/>
      <c r="S12" s="24"/>
      <c r="T12" s="24"/>
      <c r="U12" s="24"/>
      <c r="V12" s="24"/>
      <c r="W12" s="24"/>
      <c r="X12" s="24"/>
      <c r="Y12" s="26"/>
    </row>
    <row r="13" spans="2:25" x14ac:dyDescent="0.2">
      <c r="B13" s="32" t="s">
        <v>296</v>
      </c>
      <c r="D13" s="27" t="str">
        <f t="shared" ref="D13:D15" si="0">TEXT(B13,0)&amp;" to "&amp;TEXT(B14,0)</f>
        <v>EW-WL2 to EW-WL3</v>
      </c>
      <c r="E13" s="22">
        <v>32</v>
      </c>
      <c r="F13" s="22" t="s">
        <v>272</v>
      </c>
      <c r="G13" s="22">
        <f>E12/2+E13/2</f>
        <v>30</v>
      </c>
      <c r="H13" s="22">
        <f t="shared" ref="H13:H15" si="1">G13*$C$5</f>
        <v>6300</v>
      </c>
      <c r="I13" s="22">
        <f t="shared" ref="I13:I15" si="2">ROUNDUP(H13*0.6,0)</f>
        <v>3780</v>
      </c>
      <c r="J13" s="22">
        <f t="shared" ref="J13:J15" si="3">G13*$D$5</f>
        <v>17340</v>
      </c>
      <c r="K13" s="22">
        <f t="shared" ref="K13:K15" si="4">J13*0.7</f>
        <v>12138</v>
      </c>
      <c r="O13" s="28" t="s">
        <v>297</v>
      </c>
      <c r="P13" s="22" t="s">
        <v>298</v>
      </c>
      <c r="Q13" s="22" t="s">
        <v>299</v>
      </c>
      <c r="R13" s="22" t="s">
        <v>1</v>
      </c>
      <c r="Y13" s="44"/>
    </row>
    <row r="14" spans="2:25" x14ac:dyDescent="0.2">
      <c r="B14" s="32" t="s">
        <v>300</v>
      </c>
      <c r="D14" s="27" t="str">
        <f t="shared" si="0"/>
        <v>EW-WL3 to EW-WL4</v>
      </c>
      <c r="E14" s="22">
        <v>22</v>
      </c>
      <c r="F14" s="22" t="s">
        <v>272</v>
      </c>
      <c r="G14" s="22">
        <f t="shared" ref="G14" si="5">E13/2+E14/2</f>
        <v>27</v>
      </c>
      <c r="H14" s="22">
        <f t="shared" si="1"/>
        <v>5670</v>
      </c>
      <c r="I14" s="22">
        <f t="shared" si="2"/>
        <v>3402</v>
      </c>
      <c r="J14" s="22">
        <f t="shared" si="3"/>
        <v>15606</v>
      </c>
      <c r="K14" s="22">
        <f t="shared" si="4"/>
        <v>10924.199999999999</v>
      </c>
      <c r="O14" s="31">
        <v>1</v>
      </c>
      <c r="P14" s="45" t="str" cm="1">
        <f t="array" ref="P14">IFERROR(INDEX(sw2.0,MATCH(R14,sheathing,0),0),"")</f>
        <v/>
      </c>
      <c r="Q14" s="45" t="str" cm="1">
        <f t="array" ref="Q14">IFERROR(INDEX(sw2.8,MATCH(R14,sheathing,0),0),"")</f>
        <v/>
      </c>
      <c r="R14" s="32" t="s">
        <v>67</v>
      </c>
      <c r="Y14" s="44"/>
    </row>
    <row r="15" spans="2:25" x14ac:dyDescent="0.2">
      <c r="B15" s="32" t="s">
        <v>301</v>
      </c>
      <c r="D15" s="27" t="str">
        <f t="shared" si="0"/>
        <v>EW-WL4 to 0</v>
      </c>
      <c r="E15" s="22">
        <v>0</v>
      </c>
      <c r="F15" s="22" t="s">
        <v>272</v>
      </c>
      <c r="G15" s="22">
        <f>E14/2+E15</f>
        <v>11</v>
      </c>
      <c r="H15" s="22">
        <f t="shared" si="1"/>
        <v>2310</v>
      </c>
      <c r="I15" s="22">
        <f t="shared" si="2"/>
        <v>1386</v>
      </c>
      <c r="J15" s="22">
        <f t="shared" si="3"/>
        <v>6358</v>
      </c>
      <c r="K15" s="22">
        <f t="shared" si="4"/>
        <v>4450.5999999999995</v>
      </c>
      <c r="O15" s="31">
        <v>2</v>
      </c>
      <c r="P15" s="45" t="str" cm="1">
        <f t="array" ref="P15">IFERROR(INDEX(sw2.0,MATCH(R15,sheathing,0),0),"")</f>
        <v/>
      </c>
      <c r="Q15" s="45" t="str" cm="1">
        <f t="array" ref="Q15">IFERROR(INDEX(sw2.8,MATCH(R15,sheathing,0),0),"")</f>
        <v/>
      </c>
      <c r="R15" s="32" t="s">
        <v>68</v>
      </c>
      <c r="Y15" s="44"/>
    </row>
    <row r="16" spans="2:25" x14ac:dyDescent="0.2">
      <c r="B16" s="32"/>
      <c r="D16" s="27"/>
      <c r="O16" s="31">
        <v>3</v>
      </c>
      <c r="P16" s="45" t="str" cm="1">
        <f t="array" ref="P16">IFERROR(INDEX(sw2.0,MATCH(R16,sheathing,0),0),"")</f>
        <v/>
      </c>
      <c r="Q16" s="45" t="str" cm="1">
        <f t="array" ref="Q16">IFERROR(INDEX(sw2.8,MATCH(R16,sheathing,0),0),"")</f>
        <v/>
      </c>
      <c r="R16" s="32" t="s">
        <v>69</v>
      </c>
      <c r="Y16" s="44"/>
    </row>
    <row r="17" spans="1:25" x14ac:dyDescent="0.2">
      <c r="L17" s="22" t="str">
        <f>IF(AND(I19&gt;K19,I20&gt;K20,I21&gt;K21,I22&gt;K22,I23&gt;K23,I24&gt;K24,I25&gt;K25,I26&gt;K26),"WIND GOVERNS",IF(AND(I19&lt;K19,I20&lt;K20,I21&lt;K21,I22&lt;K22,I23&lt;K23,I24&lt;K24,I25&lt;K25,I26&lt;K26),"SEISMIC GOVERNS","CHECK WIND AND SEISMIC"))</f>
        <v>SEISMIC GOVERNS</v>
      </c>
      <c r="O17" s="31">
        <v>4</v>
      </c>
      <c r="P17" s="45" t="str" cm="1">
        <f t="array" ref="P17">IFERROR(INDEX(sw2.0,MATCH(R17,sheathing,0),0),"")</f>
        <v/>
      </c>
      <c r="Q17" s="45" t="str" cm="1">
        <f t="array" ref="Q17">IFERROR(INDEX(sw2.8,MATCH(R17,sheathing,0),0),"")</f>
        <v/>
      </c>
      <c r="R17" s="32"/>
      <c r="Y17" s="44"/>
    </row>
    <row r="18" spans="1:25" x14ac:dyDescent="0.2">
      <c r="D18" s="27" t="str">
        <f>TEXT(B18,0)&amp;" to "&amp;TEXT(B19,0)</f>
        <v>0 to NS-WL1</v>
      </c>
      <c r="E18" s="22">
        <v>0</v>
      </c>
      <c r="F18" s="22" t="s">
        <v>272</v>
      </c>
      <c r="O18" s="31">
        <v>5</v>
      </c>
      <c r="P18" s="45" t="str" cm="1">
        <f t="array" ref="P18">IFERROR(INDEX(sw2.0,MATCH(R18,sheathing,0),0),"")</f>
        <v/>
      </c>
      <c r="Q18" s="45" t="str" cm="1">
        <f t="array" ref="Q18">IFERROR(INDEX(sw2.8,MATCH(R18,sheathing,0),0),"")</f>
        <v/>
      </c>
      <c r="R18" s="32"/>
      <c r="Y18" s="44"/>
    </row>
    <row r="19" spans="1:25" x14ac:dyDescent="0.2">
      <c r="B19" s="32" t="s">
        <v>302</v>
      </c>
      <c r="D19" s="27" t="str">
        <f>TEXT(B19,0)&amp;" to "&amp;TEXT(B20,0)</f>
        <v>NS-WL1 to NS-WL2</v>
      </c>
      <c r="E19" s="22">
        <v>22</v>
      </c>
      <c r="F19" s="22" t="s">
        <v>272</v>
      </c>
      <c r="G19" s="22">
        <f>E18+E19/2</f>
        <v>11</v>
      </c>
      <c r="H19" s="22">
        <f>G19*$C$6</f>
        <v>2310</v>
      </c>
      <c r="I19" s="22">
        <f>ROUNDUP(H19*0.6,0)</f>
        <v>1386</v>
      </c>
      <c r="J19" s="22">
        <f>G19*$D$6</f>
        <v>3993</v>
      </c>
      <c r="K19" s="22">
        <f>J19*0.7</f>
        <v>2795.1</v>
      </c>
      <c r="O19" s="35">
        <v>6</v>
      </c>
      <c r="P19" s="36" t="str" cm="1">
        <f t="array" ref="P19">IFERROR(INDEX(sw2.0,MATCH(R19,sheathing,0),0),"")</f>
        <v/>
      </c>
      <c r="Q19" s="36" t="str" cm="1">
        <f t="array" ref="Q19">IFERROR(INDEX(sw2.8,MATCH(R19,sheathing,0),0),"")</f>
        <v/>
      </c>
      <c r="R19" s="39"/>
      <c r="S19" s="46"/>
      <c r="T19" s="46"/>
      <c r="U19" s="46"/>
      <c r="V19" s="46"/>
      <c r="W19" s="46"/>
      <c r="X19" s="46"/>
      <c r="Y19" s="47"/>
    </row>
    <row r="20" spans="1:25" x14ac:dyDescent="0.2">
      <c r="B20" s="32" t="s">
        <v>303</v>
      </c>
      <c r="D20" s="27" t="str">
        <f>TEXT(B20,0)&amp;" to "&amp;TEXT(B21,0)</f>
        <v>NS-WL2 to NS-WL3</v>
      </c>
      <c r="E20" s="22">
        <v>23</v>
      </c>
      <c r="F20" s="22" t="s">
        <v>272</v>
      </c>
      <c r="G20" s="22">
        <f>E19/2+E20/2</f>
        <v>22.5</v>
      </c>
      <c r="H20" s="22">
        <f t="shared" ref="H20:H26" si="6">G20*$C$6</f>
        <v>4725</v>
      </c>
      <c r="I20" s="22">
        <f t="shared" ref="I20:I26" si="7">ROUNDUP(H20*0.6,0)</f>
        <v>2835</v>
      </c>
      <c r="J20" s="22">
        <f t="shared" ref="J20:J26" si="8">G20*$D$6</f>
        <v>8167.5</v>
      </c>
      <c r="K20" s="22">
        <f t="shared" ref="K20:K26" si="9">J20*0.7</f>
        <v>5717.25</v>
      </c>
    </row>
    <row r="21" spans="1:25" x14ac:dyDescent="0.2">
      <c r="B21" s="32" t="s">
        <v>304</v>
      </c>
      <c r="D21" s="27" t="str">
        <f t="shared" ref="D21:D23" si="10">TEXT(B21,0)&amp;" to "&amp;TEXT(B22,0)</f>
        <v>NS-WL3 to NS-WL4</v>
      </c>
      <c r="E21" s="22">
        <v>16</v>
      </c>
      <c r="F21" s="22" t="s">
        <v>272</v>
      </c>
      <c r="G21" s="22">
        <f t="shared" ref="G21:G24" si="11">E20/2+E21/2</f>
        <v>19.5</v>
      </c>
      <c r="H21" s="22">
        <f t="shared" si="6"/>
        <v>4095</v>
      </c>
      <c r="I21" s="22">
        <f t="shared" si="7"/>
        <v>2457</v>
      </c>
      <c r="J21" s="22">
        <f t="shared" si="8"/>
        <v>7078.5</v>
      </c>
      <c r="K21" s="22">
        <f t="shared" si="9"/>
        <v>4954.95</v>
      </c>
    </row>
    <row r="22" spans="1:25" x14ac:dyDescent="0.2">
      <c r="B22" s="32" t="s">
        <v>305</v>
      </c>
      <c r="D22" s="27" t="str">
        <f t="shared" si="10"/>
        <v>NS-WL4 to NS-WL5</v>
      </c>
      <c r="E22" s="22">
        <v>12</v>
      </c>
      <c r="F22" s="22" t="s">
        <v>272</v>
      </c>
      <c r="G22" s="22">
        <f t="shared" si="11"/>
        <v>14</v>
      </c>
      <c r="H22" s="22">
        <f t="shared" si="6"/>
        <v>2940</v>
      </c>
      <c r="I22" s="22">
        <f t="shared" si="7"/>
        <v>1764</v>
      </c>
      <c r="J22" s="22">
        <f t="shared" si="8"/>
        <v>5082</v>
      </c>
      <c r="K22" s="22">
        <f t="shared" si="9"/>
        <v>3557.3999999999996</v>
      </c>
    </row>
    <row r="23" spans="1:25" x14ac:dyDescent="0.2">
      <c r="B23" s="32" t="s">
        <v>306</v>
      </c>
      <c r="D23" s="27" t="str">
        <f t="shared" si="10"/>
        <v>NS-WL5 to NS-WL6</v>
      </c>
      <c r="E23" s="22">
        <v>46</v>
      </c>
      <c r="F23" s="22" t="s">
        <v>272</v>
      </c>
      <c r="G23" s="22">
        <f t="shared" si="11"/>
        <v>29</v>
      </c>
      <c r="H23" s="22">
        <f t="shared" si="6"/>
        <v>6090</v>
      </c>
      <c r="I23" s="22">
        <f t="shared" si="7"/>
        <v>3654</v>
      </c>
      <c r="J23" s="22">
        <f t="shared" si="8"/>
        <v>10527</v>
      </c>
      <c r="K23" s="22">
        <f t="shared" si="9"/>
        <v>7368.9</v>
      </c>
    </row>
    <row r="24" spans="1:25" x14ac:dyDescent="0.2">
      <c r="B24" s="32" t="s">
        <v>307</v>
      </c>
      <c r="D24" s="27" t="str">
        <f>TEXT(B24,0)&amp;" to "&amp;TEXT(B25,0)</f>
        <v>NS-WL6 to NS-WL7</v>
      </c>
      <c r="E24" s="22">
        <v>23</v>
      </c>
      <c r="F24" s="22" t="s">
        <v>272</v>
      </c>
      <c r="G24" s="22">
        <f t="shared" si="11"/>
        <v>34.5</v>
      </c>
      <c r="H24" s="22">
        <f t="shared" si="6"/>
        <v>7245</v>
      </c>
      <c r="I24" s="22">
        <f t="shared" si="7"/>
        <v>4347</v>
      </c>
      <c r="J24" s="22">
        <f t="shared" si="8"/>
        <v>12523.5</v>
      </c>
      <c r="K24" s="22">
        <f t="shared" si="9"/>
        <v>8766.4499999999989</v>
      </c>
    </row>
    <row r="25" spans="1:25" x14ac:dyDescent="0.2">
      <c r="B25" s="32" t="s">
        <v>308</v>
      </c>
      <c r="D25" s="27" t="str">
        <f t="shared" ref="D25:D26" si="12">TEXT(B25,0)&amp;" to "&amp;TEXT(B26,0)</f>
        <v>NS-WL7 to NS-WL8</v>
      </c>
      <c r="E25" s="22">
        <v>23</v>
      </c>
      <c r="F25" s="22" t="s">
        <v>272</v>
      </c>
      <c r="G25" s="22">
        <f>E24/2+E25/2</f>
        <v>23</v>
      </c>
      <c r="H25" s="22">
        <f t="shared" si="6"/>
        <v>4830</v>
      </c>
      <c r="I25" s="22">
        <f t="shared" si="7"/>
        <v>2898</v>
      </c>
      <c r="J25" s="22">
        <f t="shared" si="8"/>
        <v>8349</v>
      </c>
      <c r="K25" s="22">
        <f t="shared" si="9"/>
        <v>5844.2999999999993</v>
      </c>
    </row>
    <row r="26" spans="1:25" x14ac:dyDescent="0.2">
      <c r="B26" s="32" t="s">
        <v>309</v>
      </c>
      <c r="D26" s="27" t="str">
        <f t="shared" si="12"/>
        <v>NS-WL8 to 0</v>
      </c>
      <c r="E26" s="22">
        <v>0</v>
      </c>
      <c r="F26" s="22" t="s">
        <v>272</v>
      </c>
      <c r="G26" s="22">
        <f>E25/2+E26</f>
        <v>11.5</v>
      </c>
      <c r="H26" s="22">
        <f t="shared" si="6"/>
        <v>2415</v>
      </c>
      <c r="I26" s="22">
        <f t="shared" si="7"/>
        <v>1449</v>
      </c>
      <c r="J26" s="22">
        <f t="shared" si="8"/>
        <v>4174.5</v>
      </c>
      <c r="K26" s="22">
        <f t="shared" si="9"/>
        <v>2922.1499999999996</v>
      </c>
    </row>
    <row r="27" spans="1:25" x14ac:dyDescent="0.2">
      <c r="B27" s="32"/>
      <c r="D27" s="27"/>
    </row>
    <row r="28" spans="1:25" ht="13.5" thickBot="1" x14ac:dyDescent="0.25"/>
    <row r="29" spans="1:25" x14ac:dyDescent="0.2">
      <c r="B29" s="22" t="s">
        <v>310</v>
      </c>
      <c r="F29" s="22" t="s">
        <v>311</v>
      </c>
      <c r="H29" s="22" t="s">
        <v>312</v>
      </c>
      <c r="I29" s="22" t="s">
        <v>313</v>
      </c>
      <c r="J29" s="22" t="s">
        <v>313</v>
      </c>
      <c r="K29" s="22" t="s">
        <v>314</v>
      </c>
      <c r="L29" s="48" t="s">
        <v>291</v>
      </c>
      <c r="M29" s="49" t="s">
        <v>189</v>
      </c>
      <c r="N29" s="49" t="s">
        <v>313</v>
      </c>
      <c r="O29" s="50"/>
      <c r="P29" s="22" t="s">
        <v>258</v>
      </c>
      <c r="Q29" s="22" t="s">
        <v>315</v>
      </c>
      <c r="R29" s="22" t="s">
        <v>315</v>
      </c>
      <c r="S29" s="22" t="s">
        <v>316</v>
      </c>
      <c r="T29" s="48" t="s">
        <v>292</v>
      </c>
      <c r="U29" s="49" t="s">
        <v>189</v>
      </c>
      <c r="V29" s="49" t="s">
        <v>315</v>
      </c>
      <c r="W29" s="50"/>
      <c r="X29" s="22" t="s">
        <v>1</v>
      </c>
    </row>
    <row r="30" spans="1:25" x14ac:dyDescent="0.2">
      <c r="B30" s="22" t="s">
        <v>51</v>
      </c>
      <c r="C30" s="22" t="s">
        <v>317</v>
      </c>
      <c r="D30" s="22" t="s">
        <v>318</v>
      </c>
      <c r="E30" s="22" t="s">
        <v>319</v>
      </c>
      <c r="F30" s="22" t="s">
        <v>320</v>
      </c>
      <c r="H30" s="22" t="s">
        <v>321</v>
      </c>
      <c r="I30" s="22" t="s">
        <v>321</v>
      </c>
      <c r="J30" s="22" t="s">
        <v>322</v>
      </c>
      <c r="K30" s="22" t="s">
        <v>323</v>
      </c>
      <c r="L30" s="51" t="s">
        <v>324</v>
      </c>
      <c r="M30" s="52" t="s">
        <v>260</v>
      </c>
      <c r="N30" s="52" t="s">
        <v>325</v>
      </c>
      <c r="O30" s="53" t="s">
        <v>297</v>
      </c>
      <c r="P30" s="22" t="s">
        <v>321</v>
      </c>
      <c r="Q30" s="22" t="s">
        <v>321</v>
      </c>
      <c r="R30" s="22" t="s">
        <v>322</v>
      </c>
      <c r="S30" s="22" t="s">
        <v>323</v>
      </c>
      <c r="T30" s="51" t="s">
        <v>324</v>
      </c>
      <c r="U30" s="52" t="s">
        <v>51</v>
      </c>
      <c r="V30" s="52" t="s">
        <v>325</v>
      </c>
      <c r="W30" s="53" t="s">
        <v>51</v>
      </c>
      <c r="X30" s="22" t="s">
        <v>326</v>
      </c>
    </row>
    <row r="31" spans="1:25" x14ac:dyDescent="0.2">
      <c r="A31" s="27"/>
      <c r="B31" s="32" t="s">
        <v>327</v>
      </c>
      <c r="C31" s="22">
        <v>1</v>
      </c>
      <c r="D31" s="22">
        <v>5.5</v>
      </c>
      <c r="E31" s="22">
        <v>12</v>
      </c>
      <c r="F31" s="54">
        <f>0.6*$G$6*E31*D31*D31/2</f>
        <v>2178</v>
      </c>
      <c r="H31" s="54" cm="1">
        <f t="array" ref="H31">$H$12*D31/SUM($C$31:$C$33*$D$31:$D$33)</f>
        <v>445.04587155963299</v>
      </c>
      <c r="I31" s="54">
        <f>H31*0.6</f>
        <v>267.02752293577976</v>
      </c>
      <c r="J31" s="54">
        <f>I31*E31</f>
        <v>3204.3302752293571</v>
      </c>
      <c r="K31" s="55">
        <f>IF(J31-F31&gt;0,J31-F31,"none")</f>
        <v>1026.3302752293571</v>
      </c>
      <c r="L31" s="51">
        <f>IFERROR(ROUNDUP(K31/(D31-0.5),0),"")</f>
        <v>206</v>
      </c>
      <c r="M31" s="52" t="str">
        <f>(IF(L31&lt;$Q$5,$O$5,IF(L31&lt;$Q$6,$O$6,IF(L31&lt;$Q$7,$O$7,IF(L31&lt;$Q$8,$O$8,IF(L31&lt;$Q$9,$O$9,IF(L31&lt;$Q$10,$O$10,"")))))))</f>
        <v>A</v>
      </c>
      <c r="N31" s="56">
        <f>I31/D31</f>
        <v>48.550458715596321</v>
      </c>
      <c r="O31" s="53">
        <f>(IF(N31&lt;$P$14,$O$14,IF(N31&lt;$P$15,$O$15,IF(N31&lt;$P$16,$O$16,IF(N31&lt;$P$17,$O$17,IF(N31&lt;$P$18,$O$18,IF(N31&lt;$P$19,$O$19,"")))))))</f>
        <v>1</v>
      </c>
      <c r="P31" s="54" cm="1">
        <f t="array" ref="P31">$J$12*D31/SUM($C$31:$C$33*$D$31:$D$33)</f>
        <v>1224.9357798165138</v>
      </c>
      <c r="Q31" s="54">
        <f>P31*0.7</f>
        <v>857.45504587155961</v>
      </c>
      <c r="R31" s="54">
        <f>Q31*E31</f>
        <v>10289.460550458716</v>
      </c>
      <c r="S31" s="55">
        <f>IF(R31-F31&gt;0,R31-F31,"none")</f>
        <v>8111.4605504587162</v>
      </c>
      <c r="T31" s="51">
        <f>IFERROR(ROUNDUP(S31/(D31-0.5),0),"")</f>
        <v>1623</v>
      </c>
      <c r="U31" s="52" t="str">
        <f>(IF(T31&lt;$Q$5,$O$5,IF(T31&lt;$Q$6,$O$6,IF(T31&lt;$Q$7,$O$7,IF(T31&lt;$Q$8,$O$8,IF(T31&lt;$Q$9,$O$9,IF(T31&lt;$Q$10,$O$10,"")))))))</f>
        <v>B</v>
      </c>
      <c r="V31" s="56">
        <f t="shared" ref="V31:V64" si="13">Q31/D31</f>
        <v>155.90091743119265</v>
      </c>
      <c r="W31" s="53">
        <f>(IF(V31&lt;$Q$14,$O$14,IF(V31&lt;$Q$15,$O$15,IF(V31&lt;$Q$16,$O$16,IF(V31&lt;$Q$17,$O$17,IF(V31&lt;$Q$18,$O$18,IF(V31&lt;$Q$19,$O$19,"")))))))</f>
        <v>1</v>
      </c>
      <c r="X31" s="22">
        <v>3</v>
      </c>
      <c r="Y31" s="22" t="str">
        <f>IF(AND(X31=1,N31&gt;$W$5),"drag",IF(AND(X31=3,N31&gt;$Y$5),"drag",IF(AND(X31=1,V31&gt;$V$5),"drag",IF(AND(X31=3,V31&gt;$X$5),"drag",""))))</f>
        <v/>
      </c>
    </row>
    <row r="32" spans="1:25" x14ac:dyDescent="0.2">
      <c r="B32" s="32" t="s">
        <v>328</v>
      </c>
      <c r="C32" s="22">
        <v>1</v>
      </c>
      <c r="D32" s="22">
        <f>3+10/12</f>
        <v>3.8333333333333335</v>
      </c>
      <c r="E32" s="22">
        <v>12</v>
      </c>
      <c r="F32" s="54">
        <f t="shared" ref="F32:F46" si="14">0.6*$G$6*E32*D32*D32/2</f>
        <v>1058</v>
      </c>
      <c r="H32" s="54" cm="1">
        <f t="array" ref="H32">$H$12*D32/SUM($C$31:$C$33*$D$31:$D$33)</f>
        <v>310.18348623853211</v>
      </c>
      <c r="I32" s="54">
        <f t="shared" ref="I32:I64" si="15">H32*0.6</f>
        <v>186.11009174311926</v>
      </c>
      <c r="J32" s="54">
        <f t="shared" ref="J32:J64" si="16">I32*E32</f>
        <v>2233.3211009174311</v>
      </c>
      <c r="K32" s="55">
        <f t="shared" ref="K32:K64" si="17">IF(J32-F32&gt;0,J32-F32,"none")</f>
        <v>1175.3211009174311</v>
      </c>
      <c r="L32" s="51">
        <f t="shared" ref="L32:L49" si="18">IFERROR(ROUNDUP(K32/(D32-0.5),0),"")</f>
        <v>353</v>
      </c>
      <c r="M32" s="52" t="str">
        <f t="shared" ref="M32:M49" si="19">(IF(L32&lt;$Q$5,$O$5,IF(L32&lt;$Q$6,$O$6,IF(L32&lt;$Q$7,$O$7,IF(L32&lt;$Q$8,$O$8,IF(L32&lt;$Q$9,$O$9,IF(L32&lt;$Q$10,$O$10,"")))))))</f>
        <v>A</v>
      </c>
      <c r="N32" s="56">
        <f t="shared" ref="N32:N49" si="20">I32/D32</f>
        <v>48.550458715596328</v>
      </c>
      <c r="O32" s="53">
        <f t="shared" ref="O32:O49" si="21">(IF(N32&lt;$P$14,$O$14,IF(N32&lt;$P$15,$O$15,IF(N32&lt;$P$16,$O$16,IF(N32&lt;$P$17,$O$17,IF(N32&lt;$P$18,$O$18,IF(N32&lt;$P$19,$O$19,"")))))))</f>
        <v>1</v>
      </c>
      <c r="P32" s="54" cm="1">
        <f t="array" ref="P32">$J$12*D32/SUM($C$31:$C$33*$D$31:$D$33)</f>
        <v>853.74311926605503</v>
      </c>
      <c r="Q32" s="54">
        <f t="shared" ref="Q32:Q64" si="22">P32*0.7</f>
        <v>597.62018348623849</v>
      </c>
      <c r="R32" s="54">
        <f t="shared" ref="R32:R64" si="23">Q32*E32</f>
        <v>7171.4422018348614</v>
      </c>
      <c r="S32" s="55">
        <f t="shared" ref="S32:S64" si="24">IF(R32-F32&gt;0,R32-F32,"none")</f>
        <v>6113.4422018348614</v>
      </c>
      <c r="T32" s="51">
        <f t="shared" ref="T32:T64" si="25">IFERROR(ROUNDUP(S32/(D32-0.5),0),"")</f>
        <v>1835</v>
      </c>
      <c r="U32" s="52" t="str">
        <f t="shared" ref="U32:U64" si="26">(IF(T32&lt;$Q$5,$O$5,IF(T32&lt;$Q$6,$O$6,IF(T32&lt;$Q$7,$O$7,IF(T32&lt;$Q$8,$O$8,IF(T32&lt;$Q$9,$O$9,IF(T32&lt;$Q$10,$O$10,"")))))))</f>
        <v>B</v>
      </c>
      <c r="V32" s="56">
        <f t="shared" si="13"/>
        <v>155.90091743119265</v>
      </c>
      <c r="W32" s="53">
        <f t="shared" ref="W32:W64" si="27">(IF(V32&lt;$Q$14,$O$14,IF(V32&lt;$Q$15,$O$15,IF(V32&lt;$Q$16,$O$16,IF(V32&lt;$Q$17,$O$17,IF(V32&lt;$Q$18,$O$18,IF(V32&lt;$Q$19,$O$19,"")))))))</f>
        <v>1</v>
      </c>
      <c r="X32" s="22">
        <v>3</v>
      </c>
      <c r="Y32" s="22" t="str">
        <f t="shared" ref="Y32:Y33" si="28">IF(AND(X32=1,N32&gt;$W$5),"drag",IF(AND(X32=3,N32&gt;$Y$5),"drag",IF(AND(X32=1,V32&gt;$V$5),"drag",IF(AND(X32=3,V32&gt;$X$5),"drag",""))))</f>
        <v/>
      </c>
    </row>
    <row r="33" spans="1:25" x14ac:dyDescent="0.2">
      <c r="B33" s="32" t="s">
        <v>329</v>
      </c>
      <c r="C33" s="22">
        <v>1</v>
      </c>
      <c r="D33" s="22">
        <v>27</v>
      </c>
      <c r="E33" s="22">
        <v>12</v>
      </c>
      <c r="F33" s="54">
        <f t="shared" si="14"/>
        <v>52488</v>
      </c>
      <c r="H33" s="54" cm="1">
        <f t="array" ref="H33">$H$12*D33/SUM($C$31:$C$33*$D$31:$D$33)</f>
        <v>2184.7706422018346</v>
      </c>
      <c r="I33" s="54">
        <f t="shared" si="15"/>
        <v>1310.8623853211006</v>
      </c>
      <c r="J33" s="54">
        <f t="shared" si="16"/>
        <v>15730.348623853208</v>
      </c>
      <c r="K33" s="55" t="str">
        <f t="shared" si="17"/>
        <v>none</v>
      </c>
      <c r="L33" s="51" t="str">
        <f t="shared" si="18"/>
        <v/>
      </c>
      <c r="M33" s="52" t="str">
        <f t="shared" si="19"/>
        <v/>
      </c>
      <c r="N33" s="56">
        <f t="shared" si="20"/>
        <v>48.550458715596321</v>
      </c>
      <c r="O33" s="53">
        <f t="shared" si="21"/>
        <v>1</v>
      </c>
      <c r="P33" s="54" cm="1">
        <f t="array" ref="P33">$J$12*D33/SUM($C$31:$C$33*$D$31:$D$33)</f>
        <v>6013.3211009174311</v>
      </c>
      <c r="Q33" s="54">
        <f t="shared" si="22"/>
        <v>4209.3247706422017</v>
      </c>
      <c r="R33" s="54">
        <f t="shared" si="23"/>
        <v>50511.897247706424</v>
      </c>
      <c r="S33" s="55" t="str">
        <f t="shared" si="24"/>
        <v>none</v>
      </c>
      <c r="T33" s="51" t="str">
        <f t="shared" si="25"/>
        <v/>
      </c>
      <c r="U33" s="52" t="str">
        <f t="shared" si="26"/>
        <v/>
      </c>
      <c r="V33" s="56">
        <f t="shared" si="13"/>
        <v>155.90091743119265</v>
      </c>
      <c r="W33" s="53">
        <f t="shared" si="27"/>
        <v>1</v>
      </c>
      <c r="X33" s="22">
        <v>3</v>
      </c>
      <c r="Y33" s="22" t="str">
        <f t="shared" si="28"/>
        <v/>
      </c>
    </row>
    <row r="34" spans="1:25" x14ac:dyDescent="0.2">
      <c r="A34" s="27"/>
      <c r="B34" s="32" t="s">
        <v>330</v>
      </c>
      <c r="C34" s="22">
        <v>1</v>
      </c>
      <c r="D34" s="22">
        <v>19.5</v>
      </c>
      <c r="E34" s="22">
        <v>12</v>
      </c>
      <c r="F34" s="54">
        <f t="shared" si="14"/>
        <v>27378</v>
      </c>
      <c r="H34" s="54" cm="1">
        <f t="array" ref="H34">$H$13*D34/SUM($C$34:$C$37*$D$34:$D$37)</f>
        <v>2013.9344262295083</v>
      </c>
      <c r="I34" s="54">
        <f t="shared" si="15"/>
        <v>1208.360655737705</v>
      </c>
      <c r="J34" s="54">
        <f t="shared" si="16"/>
        <v>14500.327868852459</v>
      </c>
      <c r="K34" s="55" t="str">
        <f t="shared" si="17"/>
        <v>none</v>
      </c>
      <c r="L34" s="51" t="str">
        <f t="shared" si="18"/>
        <v/>
      </c>
      <c r="M34" s="52" t="str">
        <f t="shared" si="19"/>
        <v/>
      </c>
      <c r="N34" s="56">
        <f t="shared" si="20"/>
        <v>61.967213114754102</v>
      </c>
      <c r="O34" s="53">
        <f t="shared" si="21"/>
        <v>1</v>
      </c>
      <c r="P34" s="54" cm="1">
        <f t="array" ref="P34">$J$13*D34/SUM($C$34:$C$37*$D$34:$D$37)</f>
        <v>5543.1147540983602</v>
      </c>
      <c r="Q34" s="54">
        <f t="shared" si="22"/>
        <v>3880.1803278688517</v>
      </c>
      <c r="R34" s="54">
        <f t="shared" si="23"/>
        <v>46562.163934426222</v>
      </c>
      <c r="S34" s="55">
        <f t="shared" si="24"/>
        <v>19184.163934426222</v>
      </c>
      <c r="T34" s="51">
        <f t="shared" si="25"/>
        <v>1010</v>
      </c>
      <c r="U34" s="52" t="str">
        <f t="shared" si="26"/>
        <v>A</v>
      </c>
      <c r="V34" s="56">
        <f t="shared" si="13"/>
        <v>198.98360655737702</v>
      </c>
      <c r="W34" s="53">
        <f t="shared" si="27"/>
        <v>1</v>
      </c>
      <c r="X34" s="22">
        <v>3</v>
      </c>
      <c r="Y34" s="22" t="str">
        <f>IF(AND(X34=1,N34&gt;$W$5),"drag",IF(AND(X34=3,N34&gt;$Y$5),"drag",IF(AND(X34=1,V34&gt;$V$5),"drag",IF(AND(X34=3,V34&gt;$X$5),"drag",""))))</f>
        <v>drag</v>
      </c>
    </row>
    <row r="35" spans="1:25" x14ac:dyDescent="0.2">
      <c r="A35" s="27"/>
      <c r="B35" s="32" t="s">
        <v>331</v>
      </c>
      <c r="C35" s="22">
        <v>1</v>
      </c>
      <c r="D35" s="22">
        <v>8</v>
      </c>
      <c r="E35" s="22">
        <v>16</v>
      </c>
      <c r="F35" s="54">
        <f t="shared" si="14"/>
        <v>6144</v>
      </c>
      <c r="H35" s="54" cm="1">
        <f t="array" ref="H35">$H$13*D35/SUM($C$34:$C$37*$D$34:$D$37)</f>
        <v>826.22950819672133</v>
      </c>
      <c r="I35" s="54">
        <f t="shared" si="15"/>
        <v>495.73770491803276</v>
      </c>
      <c r="J35" s="54">
        <f t="shared" si="16"/>
        <v>7931.8032786885242</v>
      </c>
      <c r="K35" s="55">
        <f t="shared" si="17"/>
        <v>1787.8032786885242</v>
      </c>
      <c r="L35" s="51">
        <f t="shared" si="18"/>
        <v>239</v>
      </c>
      <c r="M35" s="52" t="str">
        <f t="shared" si="19"/>
        <v>A</v>
      </c>
      <c r="N35" s="56">
        <f t="shared" si="20"/>
        <v>61.967213114754095</v>
      </c>
      <c r="O35" s="53">
        <f t="shared" si="21"/>
        <v>1</v>
      </c>
      <c r="P35" s="54" cm="1">
        <f t="array" ref="P35">$J$13*D35/SUM($C$34:$C$37*$D$34:$D$37)</f>
        <v>2274.0983606557379</v>
      </c>
      <c r="Q35" s="54">
        <f t="shared" si="22"/>
        <v>1591.8688524590164</v>
      </c>
      <c r="R35" s="54">
        <f t="shared" si="23"/>
        <v>25469.901639344262</v>
      </c>
      <c r="S35" s="55">
        <f t="shared" si="24"/>
        <v>19325.901639344262</v>
      </c>
      <c r="T35" s="51">
        <f t="shared" si="25"/>
        <v>2577</v>
      </c>
      <c r="U35" s="52" t="str">
        <f t="shared" si="26"/>
        <v>B</v>
      </c>
      <c r="V35" s="56">
        <f t="shared" si="13"/>
        <v>198.98360655737704</v>
      </c>
      <c r="W35" s="53">
        <f t="shared" si="27"/>
        <v>1</v>
      </c>
      <c r="X35" s="22">
        <v>3</v>
      </c>
      <c r="Y35" s="22" t="str">
        <f t="shared" ref="Y35:Y64" si="29">IF(AND(X35=1,N35&gt;$W$5),"drag",IF(AND(X35=3,N35&gt;$Y$5),"drag",IF(AND(X35=1,V35&gt;$V$5),"drag",IF(AND(X35=3,V35&gt;$X$5),"drag",""))))</f>
        <v>drag</v>
      </c>
    </row>
    <row r="36" spans="1:25" x14ac:dyDescent="0.2">
      <c r="B36" s="32" t="s">
        <v>332</v>
      </c>
      <c r="C36" s="22">
        <v>1</v>
      </c>
      <c r="D36" s="22">
        <v>17</v>
      </c>
      <c r="E36" s="22">
        <v>12</v>
      </c>
      <c r="F36" s="54">
        <f t="shared" si="14"/>
        <v>20808</v>
      </c>
      <c r="H36" s="54" cm="1">
        <f t="array" ref="H36">$H$13*D36/SUM($C$34:$C$37*$D$34:$D$37)</f>
        <v>1755.7377049180327</v>
      </c>
      <c r="I36" s="54">
        <f t="shared" si="15"/>
        <v>1053.4426229508197</v>
      </c>
      <c r="J36" s="54">
        <f t="shared" si="16"/>
        <v>12641.311475409835</v>
      </c>
      <c r="K36" s="55" t="str">
        <f t="shared" si="17"/>
        <v>none</v>
      </c>
      <c r="L36" s="51" t="str">
        <f t="shared" si="18"/>
        <v/>
      </c>
      <c r="M36" s="52" t="str">
        <f t="shared" si="19"/>
        <v/>
      </c>
      <c r="N36" s="56">
        <f t="shared" si="20"/>
        <v>61.967213114754095</v>
      </c>
      <c r="O36" s="53">
        <f t="shared" si="21"/>
        <v>1</v>
      </c>
      <c r="P36" s="54" cm="1">
        <f t="array" ref="P36">$J$13*D36/SUM($C$34:$C$37*$D$34:$D$37)</f>
        <v>4832.4590163934427</v>
      </c>
      <c r="Q36" s="54">
        <f t="shared" si="22"/>
        <v>3382.7213114754095</v>
      </c>
      <c r="R36" s="54">
        <f t="shared" si="23"/>
        <v>40592.655737704918</v>
      </c>
      <c r="S36" s="55">
        <f t="shared" si="24"/>
        <v>19784.655737704918</v>
      </c>
      <c r="T36" s="51">
        <f t="shared" si="25"/>
        <v>1200</v>
      </c>
      <c r="U36" s="52" t="str">
        <f t="shared" si="26"/>
        <v>A</v>
      </c>
      <c r="V36" s="56">
        <f t="shared" si="13"/>
        <v>198.98360655737702</v>
      </c>
      <c r="W36" s="53">
        <f t="shared" si="27"/>
        <v>1</v>
      </c>
      <c r="X36" s="22">
        <v>3</v>
      </c>
      <c r="Y36" s="22" t="str">
        <f t="shared" si="29"/>
        <v>drag</v>
      </c>
    </row>
    <row r="37" spans="1:25" x14ac:dyDescent="0.2">
      <c r="B37" s="32" t="s">
        <v>333</v>
      </c>
      <c r="C37" s="22">
        <v>1</v>
      </c>
      <c r="D37" s="22">
        <v>16.5</v>
      </c>
      <c r="E37" s="22">
        <v>12</v>
      </c>
      <c r="F37" s="54">
        <f t="shared" si="14"/>
        <v>19602</v>
      </c>
      <c r="H37" s="54" cm="1">
        <f t="array" ref="H37">$H$13*D37/SUM($C$34:$C$37*$D$34:$D$37)</f>
        <v>1704.0983606557377</v>
      </c>
      <c r="I37" s="54">
        <f t="shared" si="15"/>
        <v>1022.4590163934425</v>
      </c>
      <c r="J37" s="54">
        <f t="shared" si="16"/>
        <v>12269.50819672131</v>
      </c>
      <c r="K37" s="55" t="str">
        <f t="shared" si="17"/>
        <v>none</v>
      </c>
      <c r="L37" s="51" t="str">
        <f t="shared" si="18"/>
        <v/>
      </c>
      <c r="M37" s="52" t="str">
        <f t="shared" si="19"/>
        <v/>
      </c>
      <c r="N37" s="56">
        <f t="shared" si="20"/>
        <v>61.967213114754095</v>
      </c>
      <c r="O37" s="53">
        <f t="shared" si="21"/>
        <v>1</v>
      </c>
      <c r="P37" s="54" cm="1">
        <f t="array" ref="P37">$J$13*D37/SUM($C$34:$C$37*$D$34:$D$37)</f>
        <v>4690.3278688524588</v>
      </c>
      <c r="Q37" s="54">
        <f t="shared" si="22"/>
        <v>3283.2295081967209</v>
      </c>
      <c r="R37" s="54">
        <f t="shared" si="23"/>
        <v>39398.754098360652</v>
      </c>
      <c r="S37" s="55">
        <f t="shared" si="24"/>
        <v>19796.754098360652</v>
      </c>
      <c r="T37" s="51">
        <f t="shared" si="25"/>
        <v>1238</v>
      </c>
      <c r="U37" s="52" t="str">
        <f t="shared" si="26"/>
        <v>A</v>
      </c>
      <c r="V37" s="56">
        <f t="shared" si="13"/>
        <v>198.98360655737702</v>
      </c>
      <c r="W37" s="53">
        <f t="shared" si="27"/>
        <v>1</v>
      </c>
      <c r="X37" s="22">
        <v>3</v>
      </c>
      <c r="Y37" s="22" t="str">
        <f t="shared" si="29"/>
        <v>drag</v>
      </c>
    </row>
    <row r="38" spans="1:25" x14ac:dyDescent="0.2">
      <c r="B38" s="32" t="s">
        <v>334</v>
      </c>
      <c r="C38" s="22">
        <v>1</v>
      </c>
      <c r="D38" s="22">
        <v>7.5</v>
      </c>
      <c r="E38" s="22">
        <v>12</v>
      </c>
      <c r="F38" s="54">
        <f t="shared" si="14"/>
        <v>4050</v>
      </c>
      <c r="H38" s="54" cm="1">
        <f t="array" ref="H38">$H$14*D38/SUM($C$38:$C$41*$D$38:$D$41)</f>
        <v>901.59010600706722</v>
      </c>
      <c r="I38" s="54">
        <f t="shared" si="15"/>
        <v>540.95406360424033</v>
      </c>
      <c r="J38" s="54">
        <f t="shared" si="16"/>
        <v>6491.4487632508844</v>
      </c>
      <c r="K38" s="55">
        <f t="shared" si="17"/>
        <v>2441.4487632508844</v>
      </c>
      <c r="L38" s="51">
        <f t="shared" si="18"/>
        <v>349</v>
      </c>
      <c r="M38" s="52" t="str">
        <f t="shared" si="19"/>
        <v>A</v>
      </c>
      <c r="N38" s="56">
        <f t="shared" si="20"/>
        <v>72.127208480565372</v>
      </c>
      <c r="O38" s="53">
        <f t="shared" si="21"/>
        <v>1</v>
      </c>
      <c r="P38" s="54" cm="1">
        <f t="array" ref="P38">$J$14*D38/SUM($C$38:$C$41*$D$38:$D$41)</f>
        <v>2481.5194346289754</v>
      </c>
      <c r="Q38" s="54">
        <f t="shared" si="22"/>
        <v>1737.0636042402828</v>
      </c>
      <c r="R38" s="54">
        <f t="shared" si="23"/>
        <v>20844.763250883392</v>
      </c>
      <c r="S38" s="55">
        <f t="shared" si="24"/>
        <v>16794.763250883392</v>
      </c>
      <c r="T38" s="51">
        <f t="shared" si="25"/>
        <v>2400</v>
      </c>
      <c r="U38" s="52" t="str">
        <f t="shared" si="26"/>
        <v>B</v>
      </c>
      <c r="V38" s="56">
        <f t="shared" si="13"/>
        <v>231.60848056537102</v>
      </c>
      <c r="W38" s="53">
        <f t="shared" si="27"/>
        <v>1</v>
      </c>
      <c r="X38" s="22">
        <v>3</v>
      </c>
      <c r="Y38" s="22" t="str">
        <f t="shared" si="29"/>
        <v>drag</v>
      </c>
    </row>
    <row r="39" spans="1:25" x14ac:dyDescent="0.2">
      <c r="B39" s="32" t="s">
        <v>335</v>
      </c>
      <c r="C39" s="22">
        <v>1</v>
      </c>
      <c r="D39" s="22">
        <v>13.5</v>
      </c>
      <c r="E39" s="22">
        <v>16</v>
      </c>
      <c r="F39" s="54">
        <f t="shared" si="14"/>
        <v>17496</v>
      </c>
      <c r="H39" s="54" cm="1">
        <f t="array" ref="H39">$H$14*D39/SUM($C$38:$C$41*$D$38:$D$41)</f>
        <v>1622.8621908127209</v>
      </c>
      <c r="I39" s="54">
        <f t="shared" si="15"/>
        <v>973.71731448763251</v>
      </c>
      <c r="J39" s="54">
        <f t="shared" si="16"/>
        <v>15579.47703180212</v>
      </c>
      <c r="K39" s="55" t="str">
        <f t="shared" si="17"/>
        <v>none</v>
      </c>
      <c r="L39" s="51" t="str">
        <f t="shared" si="18"/>
        <v/>
      </c>
      <c r="M39" s="52" t="str">
        <f t="shared" si="19"/>
        <v/>
      </c>
      <c r="N39" s="56">
        <f t="shared" si="20"/>
        <v>72.127208480565372</v>
      </c>
      <c r="O39" s="53">
        <f t="shared" si="21"/>
        <v>1</v>
      </c>
      <c r="P39" s="54" cm="1">
        <f t="array" ref="P39">$J$14*D39/SUM($C$38:$C$41*$D$38:$D$41)</f>
        <v>4466.7349823321556</v>
      </c>
      <c r="Q39" s="54">
        <f t="shared" si="22"/>
        <v>3126.7144876325087</v>
      </c>
      <c r="R39" s="54">
        <f t="shared" si="23"/>
        <v>50027.43180212014</v>
      </c>
      <c r="S39" s="55">
        <f t="shared" si="24"/>
        <v>32531.43180212014</v>
      </c>
      <c r="T39" s="51">
        <f t="shared" si="25"/>
        <v>2503</v>
      </c>
      <c r="U39" s="52" t="str">
        <f t="shared" si="26"/>
        <v>B</v>
      </c>
      <c r="V39" s="56">
        <f t="shared" si="13"/>
        <v>231.60848056537102</v>
      </c>
      <c r="W39" s="53">
        <f t="shared" si="27"/>
        <v>1</v>
      </c>
      <c r="X39" s="22">
        <v>3</v>
      </c>
      <c r="Y39" s="22" t="str">
        <f t="shared" si="29"/>
        <v>drag</v>
      </c>
    </row>
    <row r="40" spans="1:25" x14ac:dyDescent="0.2">
      <c r="B40" s="32" t="s">
        <v>336</v>
      </c>
      <c r="C40" s="22">
        <v>1</v>
      </c>
      <c r="D40" s="22">
        <v>17.5</v>
      </c>
      <c r="E40" s="22">
        <v>16</v>
      </c>
      <c r="F40" s="54">
        <f t="shared" si="14"/>
        <v>29400</v>
      </c>
      <c r="H40" s="54" cm="1">
        <f t="array" ref="H40">$H$14*D40/SUM($C$38:$C$41*$D$38:$D$41)</f>
        <v>2103.7102473498235</v>
      </c>
      <c r="I40" s="54">
        <f t="shared" si="15"/>
        <v>1262.226148409894</v>
      </c>
      <c r="J40" s="54">
        <f t="shared" si="16"/>
        <v>20195.618374558304</v>
      </c>
      <c r="K40" s="55" t="str">
        <f t="shared" si="17"/>
        <v>none</v>
      </c>
      <c r="L40" s="51" t="str">
        <f t="shared" si="18"/>
        <v/>
      </c>
      <c r="M40" s="52" t="str">
        <f t="shared" si="19"/>
        <v/>
      </c>
      <c r="N40" s="56">
        <f t="shared" si="20"/>
        <v>72.127208480565372</v>
      </c>
      <c r="O40" s="53">
        <f t="shared" si="21"/>
        <v>1</v>
      </c>
      <c r="P40" s="54" cm="1">
        <f t="array" ref="P40">$J$14*D40/SUM($C$38:$C$41*$D$38:$D$41)</f>
        <v>5790.2120141342757</v>
      </c>
      <c r="Q40" s="54">
        <f t="shared" si="22"/>
        <v>4053.1484098939927</v>
      </c>
      <c r="R40" s="54">
        <f t="shared" si="23"/>
        <v>64850.374558303884</v>
      </c>
      <c r="S40" s="55">
        <f t="shared" si="24"/>
        <v>35450.374558303884</v>
      </c>
      <c r="T40" s="51">
        <f t="shared" si="25"/>
        <v>2086</v>
      </c>
      <c r="U40" s="52" t="str">
        <f t="shared" si="26"/>
        <v>B</v>
      </c>
      <c r="V40" s="56">
        <f t="shared" si="13"/>
        <v>231.60848056537102</v>
      </c>
      <c r="W40" s="53">
        <f t="shared" si="27"/>
        <v>1</v>
      </c>
      <c r="X40" s="22">
        <v>3</v>
      </c>
      <c r="Y40" s="22" t="str">
        <f t="shared" si="29"/>
        <v>drag</v>
      </c>
    </row>
    <row r="41" spans="1:25" x14ac:dyDescent="0.2">
      <c r="B41" s="32" t="s">
        <v>337</v>
      </c>
      <c r="C41" s="22">
        <v>1</v>
      </c>
      <c r="D41" s="22">
        <f>8+8/12</f>
        <v>8.6666666666666661</v>
      </c>
      <c r="E41" s="22">
        <v>12</v>
      </c>
      <c r="F41" s="54">
        <f t="shared" si="14"/>
        <v>5408</v>
      </c>
      <c r="H41" s="54" cm="1">
        <f t="array" ref="H41">$H$14*D41/SUM($C$38:$C$41*$D$38:$D$41)</f>
        <v>1041.8374558303888</v>
      </c>
      <c r="I41" s="54">
        <f t="shared" si="15"/>
        <v>625.10247349823328</v>
      </c>
      <c r="J41" s="54">
        <f t="shared" si="16"/>
        <v>7501.2296819787989</v>
      </c>
      <c r="K41" s="55">
        <f t="shared" si="17"/>
        <v>2093.2296819787989</v>
      </c>
      <c r="L41" s="51">
        <f t="shared" si="18"/>
        <v>257</v>
      </c>
      <c r="M41" s="52" t="str">
        <f t="shared" si="19"/>
        <v>A</v>
      </c>
      <c r="N41" s="56">
        <f t="shared" si="20"/>
        <v>72.127208480565386</v>
      </c>
      <c r="O41" s="53">
        <f t="shared" si="21"/>
        <v>1</v>
      </c>
      <c r="P41" s="54" cm="1">
        <f t="array" ref="P41">$J$14*D41/SUM($C$38:$C$41*$D$38:$D$41)</f>
        <v>2867.5335689045937</v>
      </c>
      <c r="Q41" s="54">
        <f t="shared" si="22"/>
        <v>2007.2734982332154</v>
      </c>
      <c r="R41" s="54">
        <f t="shared" si="23"/>
        <v>24087.281978798586</v>
      </c>
      <c r="S41" s="55">
        <f t="shared" si="24"/>
        <v>18679.281978798586</v>
      </c>
      <c r="T41" s="51">
        <f t="shared" si="25"/>
        <v>2288</v>
      </c>
      <c r="U41" s="52" t="str">
        <f t="shared" si="26"/>
        <v>B</v>
      </c>
      <c r="V41" s="56">
        <f t="shared" si="13"/>
        <v>231.60848056537102</v>
      </c>
      <c r="W41" s="53">
        <f t="shared" si="27"/>
        <v>1</v>
      </c>
      <c r="X41" s="22">
        <v>3</v>
      </c>
      <c r="Y41" s="22" t="str">
        <f t="shared" si="29"/>
        <v>drag</v>
      </c>
    </row>
    <row r="42" spans="1:25" x14ac:dyDescent="0.2">
      <c r="B42" s="32" t="s">
        <v>338</v>
      </c>
      <c r="C42" s="22">
        <v>2</v>
      </c>
      <c r="D42" s="22">
        <v>8</v>
      </c>
      <c r="E42" s="22">
        <v>12</v>
      </c>
      <c r="F42" s="54">
        <f t="shared" si="14"/>
        <v>4608</v>
      </c>
      <c r="H42" s="54" cm="1">
        <f t="array" ref="H42">$H$15*D42/SUM($C$42:$C$44*$D$42:$D$44)</f>
        <v>499.45945945945948</v>
      </c>
      <c r="I42" s="54">
        <f t="shared" si="15"/>
        <v>299.67567567567568</v>
      </c>
      <c r="J42" s="54">
        <f t="shared" si="16"/>
        <v>3596.1081081081084</v>
      </c>
      <c r="K42" s="55" t="str">
        <f t="shared" si="17"/>
        <v>none</v>
      </c>
      <c r="L42" s="51" t="str">
        <f t="shared" si="18"/>
        <v/>
      </c>
      <c r="M42" s="52" t="str">
        <f t="shared" si="19"/>
        <v/>
      </c>
      <c r="N42" s="56">
        <f t="shared" si="20"/>
        <v>37.45945945945946</v>
      </c>
      <c r="O42" s="53">
        <f t="shared" si="21"/>
        <v>1</v>
      </c>
      <c r="P42" s="54" cm="1">
        <f t="array" ref="P42">$J$15*D42/SUM($C$42:$C$44*$D$42:$D$44)</f>
        <v>1374.7027027027027</v>
      </c>
      <c r="Q42" s="54">
        <f t="shared" si="22"/>
        <v>962.29189189189185</v>
      </c>
      <c r="R42" s="54">
        <f t="shared" si="23"/>
        <v>11547.502702702703</v>
      </c>
      <c r="S42" s="55">
        <f t="shared" si="24"/>
        <v>6939.5027027027027</v>
      </c>
      <c r="T42" s="51">
        <f t="shared" si="25"/>
        <v>926</v>
      </c>
      <c r="U42" s="52" t="str">
        <f t="shared" si="26"/>
        <v>A</v>
      </c>
      <c r="V42" s="56">
        <f t="shared" si="13"/>
        <v>120.28648648648648</v>
      </c>
      <c r="W42" s="53">
        <f t="shared" si="27"/>
        <v>1</v>
      </c>
      <c r="X42" s="22">
        <v>1</v>
      </c>
      <c r="Y42" s="22" t="str">
        <f t="shared" si="29"/>
        <v/>
      </c>
    </row>
    <row r="43" spans="1:25" x14ac:dyDescent="0.2">
      <c r="B43" s="32" t="s">
        <v>339</v>
      </c>
      <c r="C43" s="22">
        <v>2</v>
      </c>
      <c r="D43" s="22">
        <v>5.5</v>
      </c>
      <c r="E43" s="22">
        <v>12</v>
      </c>
      <c r="F43" s="54">
        <f t="shared" si="14"/>
        <v>2178</v>
      </c>
      <c r="H43" s="54" cm="1">
        <f t="array" ref="H43">$H$15*D43/SUM($C$42:$C$44*$D$42:$D$44)</f>
        <v>343.37837837837839</v>
      </c>
      <c r="I43" s="54">
        <f t="shared" si="15"/>
        <v>206.02702702702703</v>
      </c>
      <c r="J43" s="54">
        <f t="shared" si="16"/>
        <v>2472.3243243243242</v>
      </c>
      <c r="K43" s="55">
        <f t="shared" si="17"/>
        <v>294.32432432432415</v>
      </c>
      <c r="L43" s="51">
        <f t="shared" si="18"/>
        <v>59</v>
      </c>
      <c r="M43" s="52" t="str">
        <f t="shared" si="19"/>
        <v>A</v>
      </c>
      <c r="N43" s="56">
        <f t="shared" si="20"/>
        <v>37.45945945945946</v>
      </c>
      <c r="O43" s="53">
        <f t="shared" si="21"/>
        <v>1</v>
      </c>
      <c r="P43" s="54" cm="1">
        <f t="array" ref="P43">$J$15*D43/SUM($C$42:$C$44*$D$42:$D$44)</f>
        <v>945.10810810810813</v>
      </c>
      <c r="Q43" s="54">
        <f t="shared" si="22"/>
        <v>661.5756756756756</v>
      </c>
      <c r="R43" s="54">
        <f t="shared" si="23"/>
        <v>7938.9081081081076</v>
      </c>
      <c r="S43" s="55">
        <f t="shared" si="24"/>
        <v>5760.9081081081076</v>
      </c>
      <c r="T43" s="51">
        <f t="shared" si="25"/>
        <v>1153</v>
      </c>
      <c r="U43" s="52" t="str">
        <f t="shared" si="26"/>
        <v>A</v>
      </c>
      <c r="V43" s="56">
        <f t="shared" si="13"/>
        <v>120.28648648648647</v>
      </c>
      <c r="W43" s="53">
        <f t="shared" si="27"/>
        <v>1</v>
      </c>
      <c r="X43" s="22">
        <v>3</v>
      </c>
      <c r="Y43" s="22" t="str">
        <f t="shared" si="29"/>
        <v/>
      </c>
    </row>
    <row r="44" spans="1:25" x14ac:dyDescent="0.2">
      <c r="B44" s="32" t="s">
        <v>340</v>
      </c>
      <c r="C44" s="22">
        <v>2</v>
      </c>
      <c r="D44" s="22">
        <v>5</v>
      </c>
      <c r="E44" s="22">
        <v>12</v>
      </c>
      <c r="F44" s="54">
        <f t="shared" si="14"/>
        <v>1800</v>
      </c>
      <c r="H44" s="54" cm="1">
        <f t="array" ref="H44">$H$15*D44/SUM($C$42:$C$44*$D$42:$D$44)</f>
        <v>312.16216216216219</v>
      </c>
      <c r="I44" s="54">
        <f t="shared" si="15"/>
        <v>187.29729729729732</v>
      </c>
      <c r="J44" s="54">
        <f t="shared" si="16"/>
        <v>2247.5675675675679</v>
      </c>
      <c r="K44" s="55">
        <f t="shared" si="17"/>
        <v>447.56756756756795</v>
      </c>
      <c r="L44" s="51">
        <f t="shared" si="18"/>
        <v>100</v>
      </c>
      <c r="M44" s="52" t="str">
        <f t="shared" si="19"/>
        <v>A</v>
      </c>
      <c r="N44" s="56">
        <f t="shared" si="20"/>
        <v>37.459459459459467</v>
      </c>
      <c r="O44" s="53">
        <f t="shared" si="21"/>
        <v>1</v>
      </c>
      <c r="P44" s="54" cm="1">
        <f t="array" ref="P44">$J$15*D44/SUM($C$42:$C$44*$D$42:$D$44)</f>
        <v>859.18918918918916</v>
      </c>
      <c r="Q44" s="54">
        <f t="shared" si="22"/>
        <v>601.43243243243239</v>
      </c>
      <c r="R44" s="54">
        <f t="shared" si="23"/>
        <v>7217.1891891891883</v>
      </c>
      <c r="S44" s="55">
        <f t="shared" si="24"/>
        <v>5417.1891891891883</v>
      </c>
      <c r="T44" s="51">
        <f t="shared" si="25"/>
        <v>1204</v>
      </c>
      <c r="U44" s="52" t="str">
        <f t="shared" si="26"/>
        <v>A</v>
      </c>
      <c r="V44" s="56">
        <f t="shared" si="13"/>
        <v>120.28648648648648</v>
      </c>
      <c r="W44" s="53">
        <f t="shared" si="27"/>
        <v>1</v>
      </c>
      <c r="X44" s="22">
        <v>1</v>
      </c>
      <c r="Y44" s="22" t="str">
        <f t="shared" si="29"/>
        <v/>
      </c>
    </row>
    <row r="45" spans="1:25" x14ac:dyDescent="0.2">
      <c r="B45" s="32" t="s">
        <v>341</v>
      </c>
      <c r="C45" s="22">
        <v>2</v>
      </c>
      <c r="D45" s="22">
        <f>4+9/12</f>
        <v>4.75</v>
      </c>
      <c r="E45" s="22">
        <v>12</v>
      </c>
      <c r="F45" s="54">
        <f t="shared" si="14"/>
        <v>1624.5</v>
      </c>
      <c r="H45" s="54" cm="1">
        <f t="array" ref="H45">$H$19*D45/SUM($C$45:$C$46*$D$45:$D$46)</f>
        <v>562.69230769230774</v>
      </c>
      <c r="I45" s="54">
        <f t="shared" si="15"/>
        <v>337.61538461538464</v>
      </c>
      <c r="J45" s="54">
        <f t="shared" si="16"/>
        <v>4051.3846153846157</v>
      </c>
      <c r="K45" s="55">
        <f t="shared" si="17"/>
        <v>2426.8846153846157</v>
      </c>
      <c r="L45" s="51">
        <f t="shared" si="18"/>
        <v>572</v>
      </c>
      <c r="M45" s="52" t="str">
        <f t="shared" si="19"/>
        <v>A</v>
      </c>
      <c r="N45" s="56">
        <f t="shared" si="20"/>
        <v>71.07692307692308</v>
      </c>
      <c r="O45" s="53">
        <f t="shared" si="21"/>
        <v>1</v>
      </c>
      <c r="P45" s="54" cm="1">
        <f t="array" ref="P45">$J$19*D45/SUM($C$45:$C$46*$D$45:$D$46)</f>
        <v>972.65384615384619</v>
      </c>
      <c r="Q45" s="54">
        <f t="shared" si="22"/>
        <v>680.85769230769233</v>
      </c>
      <c r="R45" s="54">
        <f t="shared" si="23"/>
        <v>8170.292307692308</v>
      </c>
      <c r="S45" s="55">
        <f t="shared" si="24"/>
        <v>6545.792307692308</v>
      </c>
      <c r="T45" s="51">
        <f t="shared" si="25"/>
        <v>1541</v>
      </c>
      <c r="U45" s="52" t="str">
        <f t="shared" si="26"/>
        <v>B</v>
      </c>
      <c r="V45" s="56">
        <f t="shared" si="13"/>
        <v>143.33846153846153</v>
      </c>
      <c r="W45" s="53">
        <f t="shared" si="27"/>
        <v>1</v>
      </c>
      <c r="X45" s="22">
        <v>3</v>
      </c>
      <c r="Y45" s="22" t="str">
        <f t="shared" si="29"/>
        <v/>
      </c>
    </row>
    <row r="46" spans="1:25" x14ac:dyDescent="0.2">
      <c r="B46" s="32" t="s">
        <v>342</v>
      </c>
      <c r="C46" s="22">
        <v>2</v>
      </c>
      <c r="D46" s="22">
        <v>5</v>
      </c>
      <c r="E46" s="22">
        <v>12</v>
      </c>
      <c r="F46" s="54">
        <f t="shared" si="14"/>
        <v>1800</v>
      </c>
      <c r="H46" s="54" cm="1">
        <f t="array" ref="H46">$H$19*D46/SUM($C$45:$C$46*$D$45:$D$46)</f>
        <v>592.30769230769226</v>
      </c>
      <c r="I46" s="54">
        <f t="shared" si="15"/>
        <v>355.38461538461536</v>
      </c>
      <c r="J46" s="54">
        <f t="shared" si="16"/>
        <v>4264.6153846153848</v>
      </c>
      <c r="K46" s="55">
        <f t="shared" si="17"/>
        <v>2464.6153846153848</v>
      </c>
      <c r="L46" s="51">
        <f t="shared" si="18"/>
        <v>548</v>
      </c>
      <c r="M46" s="52" t="str">
        <f t="shared" si="19"/>
        <v>A</v>
      </c>
      <c r="N46" s="56">
        <f t="shared" si="20"/>
        <v>71.076923076923066</v>
      </c>
      <c r="O46" s="53">
        <f t="shared" si="21"/>
        <v>1</v>
      </c>
      <c r="P46" s="54" cm="1">
        <f t="array" ref="P46">$J$19*D46/SUM($C$45:$C$46*$D$45:$D$46)</f>
        <v>1023.8461538461538</v>
      </c>
      <c r="Q46" s="54">
        <f t="shared" si="22"/>
        <v>716.69230769230762</v>
      </c>
      <c r="R46" s="54">
        <f t="shared" si="23"/>
        <v>8600.3076923076915</v>
      </c>
      <c r="S46" s="55">
        <f t="shared" si="24"/>
        <v>6800.3076923076915</v>
      </c>
      <c r="T46" s="51">
        <f t="shared" si="25"/>
        <v>1512</v>
      </c>
      <c r="U46" s="52" t="str">
        <f t="shared" si="26"/>
        <v>B</v>
      </c>
      <c r="V46" s="56">
        <f t="shared" si="13"/>
        <v>143.33846153846153</v>
      </c>
      <c r="W46" s="53">
        <f t="shared" si="27"/>
        <v>1</v>
      </c>
      <c r="X46" s="22">
        <v>3</v>
      </c>
      <c r="Y46" s="22" t="str">
        <f t="shared" si="29"/>
        <v/>
      </c>
    </row>
    <row r="47" spans="1:25" x14ac:dyDescent="0.2">
      <c r="B47" s="32" t="s">
        <v>343</v>
      </c>
      <c r="C47" s="22">
        <v>2</v>
      </c>
      <c r="D47" s="22">
        <v>5</v>
      </c>
      <c r="E47" s="22">
        <v>12</v>
      </c>
      <c r="F47" s="54">
        <f>0.6*$G$6*E47*D47*D47/2</f>
        <v>1800</v>
      </c>
      <c r="H47" s="54" cm="1">
        <f t="array" ref="H47">$H$20*D47/SUM($C$47:$C$50*$D$47:$D$50)</f>
        <v>583.33333333333337</v>
      </c>
      <c r="I47" s="54">
        <f t="shared" si="15"/>
        <v>350</v>
      </c>
      <c r="J47" s="54">
        <f t="shared" si="16"/>
        <v>4200</v>
      </c>
      <c r="K47" s="55">
        <f t="shared" si="17"/>
        <v>2400</v>
      </c>
      <c r="L47" s="51">
        <f t="shared" si="18"/>
        <v>534</v>
      </c>
      <c r="M47" s="52" t="str">
        <f t="shared" si="19"/>
        <v>A</v>
      </c>
      <c r="N47" s="56">
        <f t="shared" si="20"/>
        <v>70</v>
      </c>
      <c r="O47" s="53">
        <f t="shared" si="21"/>
        <v>1</v>
      </c>
      <c r="P47" s="54" cm="1">
        <f t="array" ref="P47">$J$20*D47/SUM($C$47:$C$50*$D$47:$D$50)</f>
        <v>1008.3333333333334</v>
      </c>
      <c r="Q47" s="54">
        <f t="shared" si="22"/>
        <v>705.83333333333337</v>
      </c>
      <c r="R47" s="54">
        <f t="shared" si="23"/>
        <v>8470</v>
      </c>
      <c r="S47" s="55">
        <f t="shared" si="24"/>
        <v>6670</v>
      </c>
      <c r="T47" s="51">
        <f t="shared" si="25"/>
        <v>1483</v>
      </c>
      <c r="U47" s="52" t="str">
        <f t="shared" si="26"/>
        <v>B</v>
      </c>
      <c r="V47" s="56">
        <f t="shared" si="13"/>
        <v>141.16666666666669</v>
      </c>
      <c r="W47" s="53">
        <f t="shared" si="27"/>
        <v>1</v>
      </c>
      <c r="X47" s="22">
        <v>3</v>
      </c>
      <c r="Y47" s="22" t="str">
        <f t="shared" si="29"/>
        <v/>
      </c>
    </row>
    <row r="48" spans="1:25" x14ac:dyDescent="0.2">
      <c r="B48" s="32" t="s">
        <v>344</v>
      </c>
      <c r="C48" s="22">
        <v>1</v>
      </c>
      <c r="D48" s="22">
        <f>5+8/12</f>
        <v>5.666666666666667</v>
      </c>
      <c r="E48" s="22">
        <v>12</v>
      </c>
      <c r="F48" s="54">
        <f t="shared" ref="F48:F64" si="30">0.6*$G$6*E48*D48*D48/2</f>
        <v>2312</v>
      </c>
      <c r="H48" s="54" cm="1">
        <f t="array" ref="H48">$H$20*D48/SUM($C$47:$C$50*$D$47:$D$50)</f>
        <v>661.11111111111109</v>
      </c>
      <c r="I48" s="54">
        <f t="shared" si="15"/>
        <v>396.66666666666663</v>
      </c>
      <c r="J48" s="54">
        <f t="shared" si="16"/>
        <v>4760</v>
      </c>
      <c r="K48" s="55">
        <f t="shared" si="17"/>
        <v>2448</v>
      </c>
      <c r="L48" s="51">
        <f t="shared" si="18"/>
        <v>474</v>
      </c>
      <c r="M48" s="52" t="str">
        <f t="shared" si="19"/>
        <v>A</v>
      </c>
      <c r="N48" s="56">
        <f t="shared" si="20"/>
        <v>69.999999999999986</v>
      </c>
      <c r="O48" s="53">
        <f t="shared" si="21"/>
        <v>1</v>
      </c>
      <c r="P48" s="54" cm="1">
        <f t="array" ref="P48">$J$20*D48/SUM($C$47:$C$50*$D$47:$D$50)</f>
        <v>1142.7777777777778</v>
      </c>
      <c r="Q48" s="54">
        <f t="shared" si="22"/>
        <v>799.94444444444446</v>
      </c>
      <c r="R48" s="54">
        <f t="shared" si="23"/>
        <v>9599.3333333333339</v>
      </c>
      <c r="S48" s="55">
        <f t="shared" si="24"/>
        <v>7287.3333333333339</v>
      </c>
      <c r="T48" s="51">
        <f t="shared" si="25"/>
        <v>1411</v>
      </c>
      <c r="U48" s="52" t="str">
        <f t="shared" si="26"/>
        <v>B</v>
      </c>
      <c r="V48" s="56">
        <f t="shared" si="13"/>
        <v>141.16666666666666</v>
      </c>
      <c r="W48" s="53">
        <f t="shared" si="27"/>
        <v>1</v>
      </c>
      <c r="X48" s="22">
        <v>3</v>
      </c>
      <c r="Y48" s="22" t="str">
        <f t="shared" si="29"/>
        <v/>
      </c>
    </row>
    <row r="49" spans="1:25" x14ac:dyDescent="0.2">
      <c r="B49" s="32" t="s">
        <v>345</v>
      </c>
      <c r="C49" s="22">
        <v>1</v>
      </c>
      <c r="D49" s="22">
        <f>4+10/12</f>
        <v>4.833333333333333</v>
      </c>
      <c r="E49" s="22">
        <v>12</v>
      </c>
      <c r="F49" s="54">
        <f t="shared" si="30"/>
        <v>1682</v>
      </c>
      <c r="H49" s="54" cm="1">
        <f t="array" ref="H49">$H$20*D49/SUM($C$47:$C$50*$D$47:$D$50)</f>
        <v>563.88888888888891</v>
      </c>
      <c r="I49" s="54">
        <f t="shared" si="15"/>
        <v>338.33333333333331</v>
      </c>
      <c r="J49" s="54">
        <f t="shared" si="16"/>
        <v>4060</v>
      </c>
      <c r="K49" s="55">
        <f t="shared" si="17"/>
        <v>2378</v>
      </c>
      <c r="L49" s="51">
        <f t="shared" si="18"/>
        <v>549</v>
      </c>
      <c r="M49" s="52" t="str">
        <f t="shared" si="19"/>
        <v>A</v>
      </c>
      <c r="N49" s="56">
        <f t="shared" si="20"/>
        <v>70</v>
      </c>
      <c r="O49" s="53">
        <f t="shared" si="21"/>
        <v>1</v>
      </c>
      <c r="P49" s="54" cm="1">
        <f t="array" ref="P49">$J$20*D49/SUM($C$47:$C$50*$D$47:$D$50)</f>
        <v>974.72222222222217</v>
      </c>
      <c r="Q49" s="54">
        <f t="shared" si="22"/>
        <v>682.30555555555543</v>
      </c>
      <c r="R49" s="54">
        <f t="shared" si="23"/>
        <v>8187.6666666666652</v>
      </c>
      <c r="S49" s="55">
        <f t="shared" si="24"/>
        <v>6505.6666666666652</v>
      </c>
      <c r="T49" s="51">
        <f t="shared" si="25"/>
        <v>1502</v>
      </c>
      <c r="U49" s="52" t="str">
        <f t="shared" si="26"/>
        <v>B</v>
      </c>
      <c r="V49" s="56">
        <f t="shared" si="13"/>
        <v>141.16666666666666</v>
      </c>
      <c r="W49" s="53">
        <f t="shared" si="27"/>
        <v>1</v>
      </c>
      <c r="X49" s="22">
        <v>3</v>
      </c>
      <c r="Y49" s="22" t="str">
        <f t="shared" si="29"/>
        <v/>
      </c>
    </row>
    <row r="50" spans="1:25" x14ac:dyDescent="0.2">
      <c r="B50" s="32" t="s">
        <v>346</v>
      </c>
      <c r="C50" s="22">
        <v>1</v>
      </c>
      <c r="D50" s="22">
        <v>20</v>
      </c>
      <c r="E50" s="22">
        <v>12</v>
      </c>
      <c r="F50" s="54">
        <f t="shared" si="30"/>
        <v>28800</v>
      </c>
      <c r="H50" s="54" cm="1">
        <f t="array" ref="H50">$H$20*D50/SUM($C$47:$C$50*$D$47:$D$50)</f>
        <v>2333.3333333333335</v>
      </c>
      <c r="I50" s="54">
        <f t="shared" si="15"/>
        <v>1400</v>
      </c>
      <c r="J50" s="54">
        <f t="shared" si="16"/>
        <v>16800</v>
      </c>
      <c r="K50" s="55" t="str">
        <f t="shared" si="17"/>
        <v>none</v>
      </c>
      <c r="L50" s="51"/>
      <c r="M50" s="52"/>
      <c r="N50" s="56"/>
      <c r="O50" s="53"/>
      <c r="P50" s="54" cm="1">
        <f t="array" ref="P50">$J$20*D50/SUM($C$47:$C$50*$D$47:$D$50)</f>
        <v>4033.3333333333335</v>
      </c>
      <c r="Q50" s="54">
        <f t="shared" si="22"/>
        <v>2823.3333333333335</v>
      </c>
      <c r="R50" s="54">
        <f t="shared" si="23"/>
        <v>33880</v>
      </c>
      <c r="S50" s="55">
        <f t="shared" si="24"/>
        <v>5080</v>
      </c>
      <c r="T50" s="51">
        <f t="shared" si="25"/>
        <v>261</v>
      </c>
      <c r="U50" s="52" t="str">
        <f t="shared" si="26"/>
        <v>A</v>
      </c>
      <c r="V50" s="56">
        <f t="shared" si="13"/>
        <v>141.16666666666669</v>
      </c>
      <c r="W50" s="53">
        <f t="shared" si="27"/>
        <v>1</v>
      </c>
      <c r="X50" s="22">
        <v>1</v>
      </c>
      <c r="Y50" s="22" t="str">
        <f t="shared" si="29"/>
        <v/>
      </c>
    </row>
    <row r="51" spans="1:25" x14ac:dyDescent="0.2">
      <c r="B51" s="32" t="s">
        <v>347</v>
      </c>
      <c r="C51" s="22">
        <v>1</v>
      </c>
      <c r="D51" s="22">
        <v>15.5</v>
      </c>
      <c r="E51" s="22">
        <v>12</v>
      </c>
      <c r="F51" s="54">
        <f t="shared" si="30"/>
        <v>17298</v>
      </c>
      <c r="H51" s="54" cm="1">
        <f t="array" ref="H51">$H$21*D51/SUM($C$51:$C$52*$D$51:$D$52)</f>
        <v>2047.5</v>
      </c>
      <c r="I51" s="54">
        <f t="shared" si="15"/>
        <v>1228.5</v>
      </c>
      <c r="J51" s="54">
        <f t="shared" si="16"/>
        <v>14742</v>
      </c>
      <c r="K51" s="55" t="str">
        <f t="shared" si="17"/>
        <v>none</v>
      </c>
      <c r="L51" s="51" t="str">
        <f t="shared" ref="L51:L64" si="31">IFERROR(ROUNDUP(K51/(D51-0.5),0),"")</f>
        <v/>
      </c>
      <c r="M51" s="52" t="str">
        <f t="shared" ref="M51:M64" si="32">(IF(L51&lt;$Q$5,$O$5,IF(L51&lt;$Q$6,$O$6,IF(L51&lt;$Q$7,$O$7,IF(L51&lt;$Q$8,$O$8,IF(L51&lt;$Q$9,$O$9,IF(L51&lt;$Q$10,$O$10,"")))))))</f>
        <v/>
      </c>
      <c r="N51" s="56">
        <f t="shared" ref="N51:N64" si="33">I51/D51</f>
        <v>79.258064516129039</v>
      </c>
      <c r="O51" s="53">
        <f t="shared" ref="O51:O64" si="34">(IF(N51&lt;$P$14,$O$14,IF(N51&lt;$P$15,$O$15,IF(N51&lt;$P$16,$O$16,IF(N51&lt;$P$17,$O$17,IF(N51&lt;$P$18,$O$18,IF(N51&lt;$P$19,$O$19,"")))))))</f>
        <v>1</v>
      </c>
      <c r="P51" s="54" cm="1">
        <f t="array" ref="P51">$J$21*D51/SUM($C$51:$C$52*$D$51:$D$52)</f>
        <v>3539.25</v>
      </c>
      <c r="Q51" s="54">
        <f t="shared" si="22"/>
        <v>2477.4749999999999</v>
      </c>
      <c r="R51" s="54">
        <f t="shared" si="23"/>
        <v>29729.699999999997</v>
      </c>
      <c r="S51" s="55">
        <f t="shared" si="24"/>
        <v>12431.699999999997</v>
      </c>
      <c r="T51" s="51">
        <f t="shared" si="25"/>
        <v>829</v>
      </c>
      <c r="U51" s="52" t="str">
        <f t="shared" si="26"/>
        <v>A</v>
      </c>
      <c r="V51" s="56">
        <f t="shared" si="13"/>
        <v>159.83709677419355</v>
      </c>
      <c r="W51" s="53">
        <f t="shared" si="27"/>
        <v>1</v>
      </c>
      <c r="X51" s="22">
        <v>3</v>
      </c>
      <c r="Y51" s="22" t="str">
        <f t="shared" si="29"/>
        <v/>
      </c>
    </row>
    <row r="52" spans="1:25" x14ac:dyDescent="0.2">
      <c r="B52" s="32" t="s">
        <v>348</v>
      </c>
      <c r="C52" s="22">
        <v>1</v>
      </c>
      <c r="D52" s="22">
        <v>15.5</v>
      </c>
      <c r="E52" s="22">
        <v>12</v>
      </c>
      <c r="F52" s="54">
        <f t="shared" si="30"/>
        <v>17298</v>
      </c>
      <c r="H52" s="54" cm="1">
        <f t="array" ref="H52">$H$21*D52/SUM($C$51:$C$52*$D$51:$D$52)</f>
        <v>2047.5</v>
      </c>
      <c r="I52" s="54">
        <f t="shared" si="15"/>
        <v>1228.5</v>
      </c>
      <c r="J52" s="54">
        <f t="shared" si="16"/>
        <v>14742</v>
      </c>
      <c r="K52" s="55" t="str">
        <f t="shared" si="17"/>
        <v>none</v>
      </c>
      <c r="L52" s="51" t="str">
        <f t="shared" si="31"/>
        <v/>
      </c>
      <c r="M52" s="52" t="str">
        <f t="shared" si="32"/>
        <v/>
      </c>
      <c r="N52" s="56">
        <f t="shared" si="33"/>
        <v>79.258064516129039</v>
      </c>
      <c r="O52" s="53">
        <f t="shared" si="34"/>
        <v>1</v>
      </c>
      <c r="P52" s="54" cm="1">
        <f t="array" ref="P52">$J$21*D52/SUM($C$51:$C$52*$D$51:$D$52)</f>
        <v>3539.25</v>
      </c>
      <c r="Q52" s="54">
        <f t="shared" si="22"/>
        <v>2477.4749999999999</v>
      </c>
      <c r="R52" s="54">
        <f t="shared" si="23"/>
        <v>29729.699999999997</v>
      </c>
      <c r="S52" s="55">
        <f t="shared" si="24"/>
        <v>12431.699999999997</v>
      </c>
      <c r="T52" s="51">
        <f t="shared" si="25"/>
        <v>829</v>
      </c>
      <c r="U52" s="52" t="str">
        <f t="shared" si="26"/>
        <v>A</v>
      </c>
      <c r="V52" s="56">
        <f t="shared" si="13"/>
        <v>159.83709677419355</v>
      </c>
      <c r="W52" s="53">
        <f t="shared" si="27"/>
        <v>1</v>
      </c>
      <c r="X52" s="22">
        <v>1</v>
      </c>
      <c r="Y52" s="22" t="str">
        <f t="shared" si="29"/>
        <v/>
      </c>
    </row>
    <row r="53" spans="1:25" x14ac:dyDescent="0.2">
      <c r="B53" s="32" t="s">
        <v>349</v>
      </c>
      <c r="C53" s="22">
        <v>1</v>
      </c>
      <c r="D53" s="22">
        <v>23</v>
      </c>
      <c r="E53" s="22">
        <v>16</v>
      </c>
      <c r="F53" s="54">
        <f t="shared" si="30"/>
        <v>50784</v>
      </c>
      <c r="H53" s="54" cm="1">
        <f t="array" ref="H53">$H$22*D53/SUM($C$53:$C$54*$D$53:$D$54)</f>
        <v>1690.5</v>
      </c>
      <c r="I53" s="54">
        <f t="shared" si="15"/>
        <v>1014.3</v>
      </c>
      <c r="J53" s="54">
        <f t="shared" si="16"/>
        <v>16228.8</v>
      </c>
      <c r="K53" s="55" t="str">
        <f t="shared" si="17"/>
        <v>none</v>
      </c>
      <c r="L53" s="51" t="str">
        <f t="shared" si="31"/>
        <v/>
      </c>
      <c r="M53" s="52" t="str">
        <f t="shared" si="32"/>
        <v/>
      </c>
      <c r="N53" s="56">
        <f t="shared" si="33"/>
        <v>44.1</v>
      </c>
      <c r="O53" s="53">
        <f t="shared" si="34"/>
        <v>1</v>
      </c>
      <c r="P53" s="54" cm="1">
        <f t="array" ref="P53">$J$22*D53/SUM($C$53:$C$54*$D$53:$D$54)</f>
        <v>2922.15</v>
      </c>
      <c r="Q53" s="54">
        <f t="shared" si="22"/>
        <v>2045.5049999999999</v>
      </c>
      <c r="R53" s="54">
        <f t="shared" si="23"/>
        <v>32728.079999999998</v>
      </c>
      <c r="S53" s="55" t="str">
        <f t="shared" si="24"/>
        <v>none</v>
      </c>
      <c r="T53" s="51" t="str">
        <f t="shared" si="25"/>
        <v/>
      </c>
      <c r="U53" s="52" t="str">
        <f t="shared" si="26"/>
        <v/>
      </c>
      <c r="V53" s="56">
        <f t="shared" si="13"/>
        <v>88.934999999999988</v>
      </c>
      <c r="W53" s="53">
        <f t="shared" si="27"/>
        <v>1</v>
      </c>
      <c r="X53" s="22">
        <v>3</v>
      </c>
      <c r="Y53" s="22" t="str">
        <f t="shared" si="29"/>
        <v/>
      </c>
    </row>
    <row r="54" spans="1:25" x14ac:dyDescent="0.2">
      <c r="B54" s="32" t="s">
        <v>350</v>
      </c>
      <c r="C54" s="22">
        <v>1</v>
      </c>
      <c r="D54" s="22">
        <v>17</v>
      </c>
      <c r="E54" s="22">
        <v>12</v>
      </c>
      <c r="F54" s="54">
        <f t="shared" si="30"/>
        <v>20808</v>
      </c>
      <c r="H54" s="54" cm="1">
        <f t="array" ref="H54">$H$22*D54/SUM($C$53:$C$54*$D$53:$D$54)</f>
        <v>1249.5</v>
      </c>
      <c r="I54" s="54">
        <f t="shared" si="15"/>
        <v>749.69999999999993</v>
      </c>
      <c r="J54" s="54">
        <f t="shared" si="16"/>
        <v>8996.4</v>
      </c>
      <c r="K54" s="55" t="str">
        <f t="shared" si="17"/>
        <v>none</v>
      </c>
      <c r="L54" s="51" t="str">
        <f t="shared" si="31"/>
        <v/>
      </c>
      <c r="M54" s="52" t="str">
        <f t="shared" si="32"/>
        <v/>
      </c>
      <c r="N54" s="56">
        <f t="shared" si="33"/>
        <v>44.099999999999994</v>
      </c>
      <c r="O54" s="53">
        <f t="shared" si="34"/>
        <v>1</v>
      </c>
      <c r="P54" s="54" cm="1">
        <f t="array" ref="P54">$J$22*D54/SUM($C$53:$C$54*$D$53:$D$54)</f>
        <v>2159.85</v>
      </c>
      <c r="Q54" s="54">
        <f t="shared" si="22"/>
        <v>1511.8949999999998</v>
      </c>
      <c r="R54" s="54">
        <f t="shared" si="23"/>
        <v>18142.739999999998</v>
      </c>
      <c r="S54" s="55" t="str">
        <f t="shared" si="24"/>
        <v>none</v>
      </c>
      <c r="T54" s="51" t="str">
        <f t="shared" si="25"/>
        <v/>
      </c>
      <c r="U54" s="52" t="str">
        <f t="shared" si="26"/>
        <v/>
      </c>
      <c r="V54" s="56">
        <f t="shared" si="13"/>
        <v>88.934999999999988</v>
      </c>
      <c r="W54" s="53">
        <f t="shared" si="27"/>
        <v>1</v>
      </c>
      <c r="X54" s="22">
        <v>3</v>
      </c>
      <c r="Y54" s="22" t="str">
        <f t="shared" si="29"/>
        <v/>
      </c>
    </row>
    <row r="55" spans="1:25" x14ac:dyDescent="0.2">
      <c r="B55" s="32" t="s">
        <v>351</v>
      </c>
      <c r="C55" s="22">
        <v>1</v>
      </c>
      <c r="D55" s="22">
        <v>10.5</v>
      </c>
      <c r="E55" s="22">
        <v>14</v>
      </c>
      <c r="F55" s="54">
        <f t="shared" si="30"/>
        <v>9261</v>
      </c>
      <c r="H55" s="54" cm="1">
        <f t="array" ref="H55">$H$23*D55/SUM($C$55:$C$57*$D$55:$D$57)</f>
        <v>1705.2</v>
      </c>
      <c r="I55" s="54">
        <f t="shared" si="15"/>
        <v>1023.12</v>
      </c>
      <c r="J55" s="54">
        <f t="shared" si="16"/>
        <v>14323.68</v>
      </c>
      <c r="K55" s="55">
        <f t="shared" si="17"/>
        <v>5062.68</v>
      </c>
      <c r="L55" s="51">
        <f t="shared" si="31"/>
        <v>507</v>
      </c>
      <c r="M55" s="52" t="str">
        <f t="shared" si="32"/>
        <v>A</v>
      </c>
      <c r="N55" s="56">
        <f t="shared" si="33"/>
        <v>97.44</v>
      </c>
      <c r="O55" s="53">
        <f t="shared" si="34"/>
        <v>1</v>
      </c>
      <c r="P55" s="54" cm="1">
        <f t="array" ref="P55">$J$23*D55/SUM($C$55:$C$57*$D$55:$D$57)</f>
        <v>2947.56</v>
      </c>
      <c r="Q55" s="54">
        <f t="shared" si="22"/>
        <v>2063.2919999999999</v>
      </c>
      <c r="R55" s="54">
        <f t="shared" si="23"/>
        <v>28886.088</v>
      </c>
      <c r="S55" s="55">
        <f t="shared" si="24"/>
        <v>19625.088</v>
      </c>
      <c r="T55" s="51">
        <f t="shared" si="25"/>
        <v>1963</v>
      </c>
      <c r="U55" s="52" t="str">
        <f t="shared" si="26"/>
        <v>B</v>
      </c>
      <c r="V55" s="56">
        <f t="shared" si="13"/>
        <v>196.50399999999999</v>
      </c>
      <c r="W55" s="53">
        <f t="shared" si="27"/>
        <v>1</v>
      </c>
      <c r="X55" s="22">
        <v>1</v>
      </c>
      <c r="Y55" s="22" t="str">
        <f t="shared" si="29"/>
        <v/>
      </c>
    </row>
    <row r="56" spans="1:25" x14ac:dyDescent="0.2">
      <c r="B56" s="32" t="s">
        <v>352</v>
      </c>
      <c r="C56" s="22">
        <v>1</v>
      </c>
      <c r="D56" s="22">
        <v>16.5</v>
      </c>
      <c r="E56" s="22">
        <v>16</v>
      </c>
      <c r="F56" s="54">
        <f t="shared" si="30"/>
        <v>26136</v>
      </c>
      <c r="H56" s="54" cm="1">
        <f t="array" ref="H56">$H$23*D56/SUM($C$55:$C$57*$D$55:$D$57)</f>
        <v>2679.6</v>
      </c>
      <c r="I56" s="54">
        <f t="shared" si="15"/>
        <v>1607.76</v>
      </c>
      <c r="J56" s="54">
        <f t="shared" si="16"/>
        <v>25724.16</v>
      </c>
      <c r="K56" s="55" t="str">
        <f t="shared" si="17"/>
        <v>none</v>
      </c>
      <c r="L56" s="51" t="str">
        <f t="shared" si="31"/>
        <v/>
      </c>
      <c r="M56" s="52" t="str">
        <f t="shared" si="32"/>
        <v/>
      </c>
      <c r="N56" s="56">
        <f t="shared" si="33"/>
        <v>97.44</v>
      </c>
      <c r="O56" s="53">
        <f t="shared" si="34"/>
        <v>1</v>
      </c>
      <c r="P56" s="54" cm="1">
        <f t="array" ref="P56">$J$23*D56/SUM($C$55:$C$57*$D$55:$D$57)</f>
        <v>4631.88</v>
      </c>
      <c r="Q56" s="54">
        <f t="shared" si="22"/>
        <v>3242.3159999999998</v>
      </c>
      <c r="R56" s="54">
        <f t="shared" si="23"/>
        <v>51877.055999999997</v>
      </c>
      <c r="S56" s="55">
        <f t="shared" si="24"/>
        <v>25741.055999999997</v>
      </c>
      <c r="T56" s="51">
        <f t="shared" si="25"/>
        <v>1609</v>
      </c>
      <c r="U56" s="52" t="str">
        <f t="shared" si="26"/>
        <v>B</v>
      </c>
      <c r="V56" s="56">
        <f t="shared" si="13"/>
        <v>196.50399999999999</v>
      </c>
      <c r="W56" s="53">
        <f t="shared" si="27"/>
        <v>1</v>
      </c>
      <c r="X56" s="22">
        <v>1</v>
      </c>
      <c r="Y56" s="22" t="str">
        <f t="shared" si="29"/>
        <v/>
      </c>
    </row>
    <row r="57" spans="1:25" x14ac:dyDescent="0.2">
      <c r="B57" s="32" t="s">
        <v>353</v>
      </c>
      <c r="C57" s="22">
        <v>1</v>
      </c>
      <c r="D57" s="22">
        <v>10.5</v>
      </c>
      <c r="E57" s="22">
        <v>14</v>
      </c>
      <c r="F57" s="54">
        <f t="shared" si="30"/>
        <v>9261</v>
      </c>
      <c r="H57" s="54" cm="1">
        <f t="array" ref="H57">$H$23*D57/SUM($C$55:$C$57*$D$55:$D$57)</f>
        <v>1705.2</v>
      </c>
      <c r="I57" s="54">
        <f t="shared" si="15"/>
        <v>1023.12</v>
      </c>
      <c r="J57" s="54">
        <f t="shared" si="16"/>
        <v>14323.68</v>
      </c>
      <c r="K57" s="55">
        <f t="shared" si="17"/>
        <v>5062.68</v>
      </c>
      <c r="L57" s="51">
        <f t="shared" si="31"/>
        <v>507</v>
      </c>
      <c r="M57" s="52" t="str">
        <f t="shared" si="32"/>
        <v>A</v>
      </c>
      <c r="N57" s="56">
        <f t="shared" si="33"/>
        <v>97.44</v>
      </c>
      <c r="O57" s="53">
        <f t="shared" si="34"/>
        <v>1</v>
      </c>
      <c r="P57" s="54" cm="1">
        <f t="array" ref="P57">$J$23*D57/SUM($C$55:$C$57*$D$55:$D$57)</f>
        <v>2947.56</v>
      </c>
      <c r="Q57" s="54">
        <f t="shared" si="22"/>
        <v>2063.2919999999999</v>
      </c>
      <c r="R57" s="54">
        <f t="shared" si="23"/>
        <v>28886.088</v>
      </c>
      <c r="S57" s="55">
        <f t="shared" si="24"/>
        <v>19625.088</v>
      </c>
      <c r="T57" s="51">
        <f t="shared" si="25"/>
        <v>1963</v>
      </c>
      <c r="U57" s="52" t="str">
        <f t="shared" si="26"/>
        <v>B</v>
      </c>
      <c r="V57" s="56">
        <f t="shared" si="13"/>
        <v>196.50399999999999</v>
      </c>
      <c r="W57" s="53">
        <f t="shared" si="27"/>
        <v>1</v>
      </c>
      <c r="X57" s="22">
        <v>1</v>
      </c>
      <c r="Y57" s="22" t="str">
        <f t="shared" si="29"/>
        <v/>
      </c>
    </row>
    <row r="58" spans="1:25" x14ac:dyDescent="0.2">
      <c r="A58" s="27"/>
      <c r="B58" s="32" t="s">
        <v>354</v>
      </c>
      <c r="C58" s="22">
        <v>1</v>
      </c>
      <c r="D58" s="22">
        <v>17</v>
      </c>
      <c r="E58" s="22">
        <v>16</v>
      </c>
      <c r="F58" s="54">
        <f t="shared" si="30"/>
        <v>27744</v>
      </c>
      <c r="H58" s="54" cm="1">
        <f t="array" ref="H58">$H$24*D58/SUM($C$58:$C$60*$D$58:$D$60)</f>
        <v>2539.4845360824743</v>
      </c>
      <c r="I58" s="54">
        <f t="shared" si="15"/>
        <v>1523.6907216494844</v>
      </c>
      <c r="J58" s="54">
        <f t="shared" si="16"/>
        <v>24379.051546391751</v>
      </c>
      <c r="K58" s="55" t="str">
        <f t="shared" si="17"/>
        <v>none</v>
      </c>
      <c r="L58" s="51" t="str">
        <f t="shared" si="31"/>
        <v/>
      </c>
      <c r="M58" s="52" t="str">
        <f t="shared" si="32"/>
        <v/>
      </c>
      <c r="N58" s="56">
        <f t="shared" si="33"/>
        <v>89.62886597938143</v>
      </c>
      <c r="O58" s="53">
        <f t="shared" si="34"/>
        <v>1</v>
      </c>
      <c r="P58" s="54" cm="1">
        <f t="array" ref="P58">$J$24*D58/SUM($C$58:$C$60*$D$58:$D$60)</f>
        <v>4389.6804123711336</v>
      </c>
      <c r="Q58" s="54">
        <f t="shared" si="22"/>
        <v>3072.7762886597934</v>
      </c>
      <c r="R58" s="54">
        <f t="shared" si="23"/>
        <v>49164.420618556695</v>
      </c>
      <c r="S58" s="55">
        <f t="shared" si="24"/>
        <v>21420.420618556695</v>
      </c>
      <c r="T58" s="51">
        <f t="shared" si="25"/>
        <v>1299</v>
      </c>
      <c r="U58" s="52" t="str">
        <f t="shared" si="26"/>
        <v>A</v>
      </c>
      <c r="V58" s="56">
        <f t="shared" si="13"/>
        <v>180.75154639175256</v>
      </c>
      <c r="W58" s="53">
        <f t="shared" si="27"/>
        <v>1</v>
      </c>
      <c r="X58" s="22">
        <v>3</v>
      </c>
      <c r="Y58" s="22" t="str">
        <f t="shared" si="29"/>
        <v/>
      </c>
    </row>
    <row r="59" spans="1:25" x14ac:dyDescent="0.2">
      <c r="B59" s="32" t="s">
        <v>355</v>
      </c>
      <c r="C59" s="22">
        <v>1</v>
      </c>
      <c r="D59" s="22">
        <v>16.5</v>
      </c>
      <c r="E59" s="22">
        <v>16</v>
      </c>
      <c r="F59" s="54">
        <f t="shared" si="30"/>
        <v>26136</v>
      </c>
      <c r="H59" s="54" cm="1">
        <f t="array" ref="H59">$H$24*D59/SUM($C$58:$C$60*$D$58:$D$60)</f>
        <v>2464.7938144329896</v>
      </c>
      <c r="I59" s="54">
        <f t="shared" si="15"/>
        <v>1478.8762886597938</v>
      </c>
      <c r="J59" s="54">
        <f t="shared" si="16"/>
        <v>23662.0206185567</v>
      </c>
      <c r="K59" s="55" t="str">
        <f t="shared" si="17"/>
        <v>none</v>
      </c>
      <c r="L59" s="51" t="str">
        <f t="shared" si="31"/>
        <v/>
      </c>
      <c r="M59" s="52" t="str">
        <f t="shared" si="32"/>
        <v/>
      </c>
      <c r="N59" s="56">
        <f t="shared" si="33"/>
        <v>89.628865979381445</v>
      </c>
      <c r="O59" s="53">
        <f t="shared" si="34"/>
        <v>1</v>
      </c>
      <c r="P59" s="54" cm="1">
        <f t="array" ref="P59">$J$24*D59/SUM($C$58:$C$60*$D$58:$D$60)</f>
        <v>4260.572164948454</v>
      </c>
      <c r="Q59" s="54">
        <f t="shared" si="22"/>
        <v>2982.4005154639176</v>
      </c>
      <c r="R59" s="54">
        <f t="shared" si="23"/>
        <v>47718.408247422682</v>
      </c>
      <c r="S59" s="55">
        <f t="shared" si="24"/>
        <v>21582.408247422682</v>
      </c>
      <c r="T59" s="51">
        <f t="shared" si="25"/>
        <v>1349</v>
      </c>
      <c r="U59" s="52" t="str">
        <f t="shared" si="26"/>
        <v>A</v>
      </c>
      <c r="V59" s="56">
        <f t="shared" si="13"/>
        <v>180.75154639175258</v>
      </c>
      <c r="W59" s="53">
        <f t="shared" si="27"/>
        <v>1</v>
      </c>
      <c r="X59" s="22">
        <v>3</v>
      </c>
      <c r="Y59" s="22" t="str">
        <f t="shared" si="29"/>
        <v/>
      </c>
    </row>
    <row r="60" spans="1:25" x14ac:dyDescent="0.2">
      <c r="B60" s="32" t="s">
        <v>356</v>
      </c>
      <c r="C60" s="22">
        <v>1</v>
      </c>
      <c r="D60" s="22">
        <v>15</v>
      </c>
      <c r="E60" s="22">
        <v>14</v>
      </c>
      <c r="F60" s="54">
        <f t="shared" si="30"/>
        <v>18900</v>
      </c>
      <c r="H60" s="54" cm="1">
        <f t="array" ref="H60">$H$24*D60/SUM($C$58:$C$60*$D$58:$D$60)</f>
        <v>2240.7216494845361</v>
      </c>
      <c r="I60" s="54">
        <f t="shared" si="15"/>
        <v>1344.4329896907216</v>
      </c>
      <c r="J60" s="54">
        <f t="shared" si="16"/>
        <v>18822.061855670101</v>
      </c>
      <c r="K60" s="55" t="str">
        <f t="shared" si="17"/>
        <v>none</v>
      </c>
      <c r="L60" s="51" t="str">
        <f t="shared" si="31"/>
        <v/>
      </c>
      <c r="M60" s="52" t="str">
        <f t="shared" si="32"/>
        <v/>
      </c>
      <c r="N60" s="56">
        <f t="shared" si="33"/>
        <v>89.628865979381445</v>
      </c>
      <c r="O60" s="53">
        <f t="shared" si="34"/>
        <v>1</v>
      </c>
      <c r="P60" s="54" cm="1">
        <f t="array" ref="P60">$J$24*D60/SUM($C$58:$C$60*$D$58:$D$60)</f>
        <v>3873.2474226804125</v>
      </c>
      <c r="Q60" s="54">
        <f t="shared" si="22"/>
        <v>2711.2731958762884</v>
      </c>
      <c r="R60" s="54">
        <f t="shared" si="23"/>
        <v>37957.824742268036</v>
      </c>
      <c r="S60" s="55">
        <f t="shared" si="24"/>
        <v>19057.824742268036</v>
      </c>
      <c r="T60" s="51">
        <f t="shared" si="25"/>
        <v>1315</v>
      </c>
      <c r="U60" s="52" t="str">
        <f t="shared" si="26"/>
        <v>A</v>
      </c>
      <c r="V60" s="56">
        <f t="shared" si="13"/>
        <v>180.75154639175256</v>
      </c>
      <c r="W60" s="53">
        <f t="shared" si="27"/>
        <v>1</v>
      </c>
      <c r="X60" s="22">
        <v>3</v>
      </c>
      <c r="Y60" s="22" t="str">
        <f t="shared" si="29"/>
        <v/>
      </c>
    </row>
    <row r="61" spans="1:25" x14ac:dyDescent="0.2">
      <c r="B61" s="32" t="s">
        <v>357</v>
      </c>
      <c r="C61" s="22">
        <v>2</v>
      </c>
      <c r="D61" s="22">
        <v>4</v>
      </c>
      <c r="E61" s="22">
        <v>12</v>
      </c>
      <c r="F61" s="54">
        <f t="shared" si="30"/>
        <v>1152</v>
      </c>
      <c r="H61" s="54" cm="1">
        <f t="array" ref="H61">$H$25*D61/SUM($C$61:$C$62*$D$61:$D$62)</f>
        <v>898.60465116279067</v>
      </c>
      <c r="I61" s="54">
        <f t="shared" si="15"/>
        <v>539.16279069767438</v>
      </c>
      <c r="J61" s="54">
        <f t="shared" si="16"/>
        <v>6469.9534883720926</v>
      </c>
      <c r="K61" s="55">
        <f t="shared" si="17"/>
        <v>5317.9534883720926</v>
      </c>
      <c r="L61" s="51">
        <f t="shared" si="31"/>
        <v>1520</v>
      </c>
      <c r="M61" s="52" t="str">
        <f t="shared" si="32"/>
        <v>B</v>
      </c>
      <c r="N61" s="56">
        <f t="shared" si="33"/>
        <v>134.7906976744186</v>
      </c>
      <c r="O61" s="53">
        <f t="shared" si="34"/>
        <v>1</v>
      </c>
      <c r="P61" s="54" cm="1">
        <f t="array" ref="P61">$J$25*D61/SUM($C$61:$C$62*$D$61:$D$62)</f>
        <v>1553.3023255813953</v>
      </c>
      <c r="Q61" s="54">
        <f t="shared" si="22"/>
        <v>1087.3116279069766</v>
      </c>
      <c r="R61" s="54">
        <f t="shared" si="23"/>
        <v>13047.73953488372</v>
      </c>
      <c r="S61" s="55">
        <f t="shared" si="24"/>
        <v>11895.73953488372</v>
      </c>
      <c r="T61" s="51">
        <f t="shared" si="25"/>
        <v>3399</v>
      </c>
      <c r="U61" s="52" t="str">
        <f t="shared" si="26"/>
        <v>C</v>
      </c>
      <c r="V61" s="56">
        <f t="shared" si="13"/>
        <v>271.82790697674415</v>
      </c>
      <c r="W61" s="53">
        <f t="shared" si="27"/>
        <v>1</v>
      </c>
      <c r="X61" s="22">
        <v>3</v>
      </c>
      <c r="Y61" s="22" t="str">
        <f t="shared" si="29"/>
        <v>drag</v>
      </c>
    </row>
    <row r="62" spans="1:25" x14ac:dyDescent="0.2">
      <c r="B62" s="32" t="s">
        <v>358</v>
      </c>
      <c r="C62" s="22">
        <v>1</v>
      </c>
      <c r="D62" s="22">
        <v>13.5</v>
      </c>
      <c r="E62" s="22">
        <v>12</v>
      </c>
      <c r="F62" s="54">
        <f t="shared" si="30"/>
        <v>13122</v>
      </c>
      <c r="H62" s="54" cm="1">
        <f t="array" ref="H62">$H$25*D62/SUM($C$61:$C$62*$D$61:$D$62)</f>
        <v>3032.7906976744184</v>
      </c>
      <c r="I62" s="54">
        <f t="shared" si="15"/>
        <v>1819.674418604651</v>
      </c>
      <c r="J62" s="54">
        <f t="shared" si="16"/>
        <v>21836.093023255813</v>
      </c>
      <c r="K62" s="55">
        <f t="shared" si="17"/>
        <v>8714.093023255813</v>
      </c>
      <c r="L62" s="51">
        <f t="shared" si="31"/>
        <v>671</v>
      </c>
      <c r="M62" s="52" t="str">
        <f t="shared" si="32"/>
        <v>A</v>
      </c>
      <c r="N62" s="56">
        <f t="shared" si="33"/>
        <v>134.7906976744186</v>
      </c>
      <c r="O62" s="53">
        <f t="shared" si="34"/>
        <v>1</v>
      </c>
      <c r="P62" s="54" cm="1">
        <f t="array" ref="P62">$J$25*D62/SUM($C$61:$C$62*$D$61:$D$62)</f>
        <v>5242.395348837209</v>
      </c>
      <c r="Q62" s="54">
        <f t="shared" si="22"/>
        <v>3669.6767441860461</v>
      </c>
      <c r="R62" s="54">
        <f t="shared" si="23"/>
        <v>44036.120930232551</v>
      </c>
      <c r="S62" s="55">
        <f t="shared" si="24"/>
        <v>30914.120930232551</v>
      </c>
      <c r="T62" s="51">
        <f t="shared" si="25"/>
        <v>2379</v>
      </c>
      <c r="U62" s="52" t="str">
        <f t="shared" si="26"/>
        <v>B</v>
      </c>
      <c r="V62" s="56">
        <f t="shared" si="13"/>
        <v>271.82790697674415</v>
      </c>
      <c r="W62" s="53">
        <f t="shared" si="27"/>
        <v>1</v>
      </c>
      <c r="X62" s="22">
        <v>3</v>
      </c>
      <c r="Y62" s="22" t="str">
        <f t="shared" si="29"/>
        <v>drag</v>
      </c>
    </row>
    <row r="63" spans="1:25" x14ac:dyDescent="0.2">
      <c r="B63" s="32" t="s">
        <v>359</v>
      </c>
      <c r="C63" s="22">
        <v>1</v>
      </c>
      <c r="D63" s="22">
        <v>19</v>
      </c>
      <c r="E63" s="22">
        <v>12</v>
      </c>
      <c r="F63" s="54">
        <f t="shared" si="30"/>
        <v>25992</v>
      </c>
      <c r="H63" s="54" cm="1">
        <f t="array" ref="H63">$H$26*D63/SUM($C$63:$C$64*$D$63:$D$64)</f>
        <v>1699.4444444444443</v>
      </c>
      <c r="I63" s="54">
        <f t="shared" si="15"/>
        <v>1019.6666666666665</v>
      </c>
      <c r="J63" s="54">
        <f t="shared" si="16"/>
        <v>12235.999999999998</v>
      </c>
      <c r="K63" s="55" t="str">
        <f t="shared" si="17"/>
        <v>none</v>
      </c>
      <c r="L63" s="51" t="str">
        <f t="shared" si="31"/>
        <v/>
      </c>
      <c r="M63" s="52" t="str">
        <f t="shared" si="32"/>
        <v/>
      </c>
      <c r="N63" s="56">
        <f t="shared" si="33"/>
        <v>53.666666666666657</v>
      </c>
      <c r="O63" s="53">
        <f t="shared" si="34"/>
        <v>1</v>
      </c>
      <c r="P63" s="54" cm="1">
        <f t="array" ref="P63">$J$26*D63/SUM($C$63:$C$64*$D$63:$D$64)</f>
        <v>2937.6111111111113</v>
      </c>
      <c r="Q63" s="54">
        <f t="shared" si="22"/>
        <v>2056.327777777778</v>
      </c>
      <c r="R63" s="54">
        <f t="shared" si="23"/>
        <v>24675.933333333334</v>
      </c>
      <c r="S63" s="55" t="str">
        <f t="shared" si="24"/>
        <v>none</v>
      </c>
      <c r="T63" s="51" t="str">
        <f t="shared" si="25"/>
        <v/>
      </c>
      <c r="U63" s="52" t="str">
        <f t="shared" si="26"/>
        <v/>
      </c>
      <c r="V63" s="56">
        <f t="shared" si="13"/>
        <v>108.22777777777779</v>
      </c>
      <c r="W63" s="53">
        <f t="shared" si="27"/>
        <v>1</v>
      </c>
      <c r="X63" s="22">
        <v>3</v>
      </c>
      <c r="Y63" s="22" t="str">
        <f t="shared" si="29"/>
        <v/>
      </c>
    </row>
    <row r="64" spans="1:25" ht="13.5" thickBot="1" x14ac:dyDescent="0.25">
      <c r="B64" s="32" t="s">
        <v>360</v>
      </c>
      <c r="C64" s="22">
        <v>1</v>
      </c>
      <c r="D64" s="22">
        <v>8</v>
      </c>
      <c r="E64" s="22">
        <v>12</v>
      </c>
      <c r="F64" s="54">
        <f t="shared" si="30"/>
        <v>4608</v>
      </c>
      <c r="H64" s="54" cm="1">
        <f t="array" ref="H64">$H$26*D64/SUM($C$63:$C$64*$D$63:$D$64)</f>
        <v>715.55555555555554</v>
      </c>
      <c r="I64" s="54">
        <f t="shared" si="15"/>
        <v>429.33333333333331</v>
      </c>
      <c r="J64" s="54">
        <f t="shared" si="16"/>
        <v>5152</v>
      </c>
      <c r="K64" s="55">
        <f t="shared" si="17"/>
        <v>544</v>
      </c>
      <c r="L64" s="57">
        <f t="shared" si="31"/>
        <v>73</v>
      </c>
      <c r="M64" s="58" t="str">
        <f t="shared" si="32"/>
        <v>A</v>
      </c>
      <c r="N64" s="59">
        <f t="shared" si="33"/>
        <v>53.666666666666664</v>
      </c>
      <c r="O64" s="60">
        <f t="shared" si="34"/>
        <v>1</v>
      </c>
      <c r="P64" s="54" cm="1">
        <f t="array" ref="P64">$J$26*D64/SUM($C$63:$C$64*$D$63:$D$64)</f>
        <v>1236.8888888888889</v>
      </c>
      <c r="Q64" s="54">
        <f t="shared" si="22"/>
        <v>865.82222222222219</v>
      </c>
      <c r="R64" s="54">
        <f t="shared" si="23"/>
        <v>10389.866666666667</v>
      </c>
      <c r="S64" s="55">
        <f t="shared" si="24"/>
        <v>5781.8666666666668</v>
      </c>
      <c r="T64" s="57">
        <f t="shared" si="25"/>
        <v>771</v>
      </c>
      <c r="U64" s="58" t="str">
        <f t="shared" si="26"/>
        <v>A</v>
      </c>
      <c r="V64" s="59">
        <f t="shared" si="13"/>
        <v>108.22777777777777</v>
      </c>
      <c r="W64" s="60">
        <f t="shared" si="27"/>
        <v>1</v>
      </c>
      <c r="X64" s="22">
        <v>3</v>
      </c>
      <c r="Y64" s="22" t="str">
        <f t="shared" si="29"/>
        <v/>
      </c>
    </row>
    <row r="65" spans="2:12" x14ac:dyDescent="0.2">
      <c r="K65" s="27"/>
    </row>
    <row r="67" spans="2:12" x14ac:dyDescent="0.2">
      <c r="B67" s="22" t="s">
        <v>361</v>
      </c>
    </row>
    <row r="68" spans="2:12" x14ac:dyDescent="0.2">
      <c r="B68" s="22" t="s">
        <v>362</v>
      </c>
    </row>
    <row r="69" spans="2:12" x14ac:dyDescent="0.2">
      <c r="B69" s="22" t="s">
        <v>363</v>
      </c>
      <c r="D69" s="45">
        <f>W5</f>
        <v>357</v>
      </c>
      <c r="E69" s="45">
        <f>V5</f>
        <v>255</v>
      </c>
    </row>
    <row r="70" spans="2:12" x14ac:dyDescent="0.2">
      <c r="B70" s="22" t="s">
        <v>364</v>
      </c>
      <c r="D70" s="45">
        <f>MAX(N31:N64)</f>
        <v>134.7906976744186</v>
      </c>
      <c r="E70" s="45">
        <f>MAX(V31:V60,V63:V64)</f>
        <v>231.60848056537102</v>
      </c>
      <c r="F70" s="52" t="str">
        <f>IF(D70&lt;D69,"DEMAND &lt; CAPACITY, OK!","DEMAND &gt; CAPACITY, REVISE!")</f>
        <v>DEMAND &lt; CAPACITY, OK!</v>
      </c>
    </row>
    <row r="72" spans="2:12" x14ac:dyDescent="0.2">
      <c r="B72" s="32" t="s">
        <v>357</v>
      </c>
      <c r="C72" s="32" t="s">
        <v>365</v>
      </c>
      <c r="D72" s="32" t="s">
        <v>366</v>
      </c>
    </row>
    <row r="73" spans="2:12" x14ac:dyDescent="0.2">
      <c r="B73" s="22" t="s">
        <v>367</v>
      </c>
      <c r="L73" s="61" t="s">
        <v>108</v>
      </c>
    </row>
    <row r="74" spans="2:12" x14ac:dyDescent="0.2">
      <c r="B74" s="22" t="e" cm="1">
        <f t="array" ref="B74">INDEX(E31:E64,MATCH(B72,B31:B64,0),0)*12/C74</f>
        <v>#N/A</v>
      </c>
      <c r="C74" s="22" t="e">
        <f>D74+F74+H74</f>
        <v>#N/A</v>
      </c>
      <c r="D74" s="22">
        <f>8*D75*D76^3/(D77*D78*D79)</f>
        <v>1.7645327695560251E-2</v>
      </c>
      <c r="F74" s="22" t="e">
        <f>F75*F76/(1000*F77)</f>
        <v>#N/A</v>
      </c>
      <c r="H74" s="22">
        <f>IF(OR(E90="NOTE: Use Double OSB Sheathing and Double Holdown to Reduce Drift",E90="NOTE: Use double holdowns to reduce drift"),H75*(H76/2)/H77,H75*H76/H77)</f>
        <v>0.24399347471451877</v>
      </c>
    </row>
    <row r="75" spans="2:12" x14ac:dyDescent="0.2">
      <c r="D75" s="54" cm="1">
        <f t="array" ref="D75">INDEX(N31:N64,MATCH(B72,B31:B64,0),0)</f>
        <v>134.7906976744186</v>
      </c>
      <c r="F75" s="54" cm="1">
        <f t="array" ref="F75">IF(OR(E90="NOTE: Use Double OSB Sheathing and Double Holdown to Reduce Drift",E90="NOTE: Use Double OSB Sheathing to reduce drift"),INDEX(N31:N64,MATCH(B72,B31:B64,0),0)/2,INDEX(N31:N64,MATCH(B72,B31:B64,0),0))</f>
        <v>134.7906976744186</v>
      </c>
      <c r="H75" s="22" cm="1">
        <f t="array" ref="H75">INDEX(E31:E64,MATCH(B72,B31:B64,0),0)</f>
        <v>12</v>
      </c>
    </row>
    <row r="76" spans="2:12" x14ac:dyDescent="0.2">
      <c r="D76" s="22" cm="1">
        <f t="array" ref="D76">INDEX(E31:E64,MATCH(B72,B31:B64,0),0)</f>
        <v>12</v>
      </c>
      <c r="F76" s="22" cm="1">
        <f t="array" ref="F76">INDEX(E31:E64,MATCH(B72,B31:B64,0),0)</f>
        <v>12</v>
      </c>
      <c r="H76" s="22" cm="1">
        <f t="array" ref="H76">INDEX(hdslip,MATCH(INDEX(P5:P10,MATCH(INDEX(M31:M64,MATCH(B72,B31:B64,0),0),O5:O10,0),0),holdown,0),0)*INDEX(L31:L64,MATCH(B72,B31:B64,0),0)/INDEX(Q5:Q10,MATCH(INDEX(M31:M64,MATCH(B72,B31:B64,0),0),O5:O10,0),0)</f>
        <v>8.1331158238172926E-2</v>
      </c>
    </row>
    <row r="77" spans="2:12" x14ac:dyDescent="0.2">
      <c r="D77" s="22">
        <f>IF(D72="DFL#1",1700000,IF(OR(D72="DFL#2",D72="SP#1"),1600000,1400000))</f>
        <v>1600000</v>
      </c>
      <c r="F77" s="22" t="e" cm="1">
        <f t="array" ref="F77">IF(C72="OSB",INDEX(ga_osb,MATCH(INDEX(R14:R19,MATCH(INDEX(O31:O64,MATCH(B72,B31:B64,0),0),O14:O19,0),0),sheathing,0),0),IF(C72="Plywood",INDEX(ga_ply,MATCH(INDEX(R14:R19,MATCH(INDEX(O31:O64,MATCH(B72,B31:B64,0),0),O14:O19,0),0),sheathing,0),0),IF(C72="Gyp",INDEX(ga_gyp,MATCH(INDEX(R14:R19,MATCH(INDEX(O31:O64,MATCH(B72,B31:B64,0),0),O14:O19,0),0),sheathing,0),0),"Select Wood Sheathing")))</f>
        <v>#N/A</v>
      </c>
      <c r="H77" s="22" cm="1">
        <f t="array" ref="H77">INDEX(D31:D64,MATCH(B72,B31:B64,0),0)</f>
        <v>4</v>
      </c>
    </row>
    <row r="78" spans="2:12" x14ac:dyDescent="0.2">
      <c r="C78" s="32" t="s">
        <v>79</v>
      </c>
      <c r="D78" s="32">
        <f>3*5.5</f>
        <v>16.5</v>
      </c>
      <c r="L78" s="61" t="s">
        <v>119</v>
      </c>
    </row>
    <row r="79" spans="2:12" x14ac:dyDescent="0.2">
      <c r="D79" s="22" cm="1">
        <f t="array" ref="D79">INDEX(D31:D64,MATCH(B72,B31:B64,0),0)</f>
        <v>4</v>
      </c>
    </row>
    <row r="81" spans="2:12" x14ac:dyDescent="0.2">
      <c r="B81" s="22" t="s">
        <v>368</v>
      </c>
      <c r="D81" s="32" t="s">
        <v>4</v>
      </c>
      <c r="E81" s="32" t="s">
        <v>369</v>
      </c>
    </row>
    <row r="82" spans="2:12" x14ac:dyDescent="0.2">
      <c r="B82" s="22" cm="1">
        <f t="array" ref="B82">INDEX(E31:E64,MATCH(B72,B31:B64,0),0)*12/C82</f>
        <v>3349.4463103412641</v>
      </c>
      <c r="C82" s="22">
        <f>D82+F82+H82</f>
        <v>4.2992180395728843E-2</v>
      </c>
      <c r="D82" s="22">
        <f>IF(E81="Cantilever",3*D83*D84^3/(D85*D86*D87),5*D83*D84^3/(8*D85*D86*D87))</f>
        <v>1.7714089038533484E-3</v>
      </c>
      <c r="F82" s="22">
        <f>IF(E81="Cantilever",0.5*F83*F84/(1000*F85),0.25*F83*F84/(1000*F85))</f>
        <v>3.9144973544973545E-2</v>
      </c>
      <c r="H82" s="22">
        <f>2*H83/H84</f>
        <v>2.0757979469019534E-3</v>
      </c>
    </row>
    <row r="83" spans="2:12" x14ac:dyDescent="0.2">
      <c r="D83" s="22">
        <f>D5*D84/(2*D87)</f>
        <v>102.75555555555556</v>
      </c>
      <c r="F83" s="22">
        <f>D5*D84/(2*D87)</f>
        <v>102.75555555555556</v>
      </c>
      <c r="H83" s="32">
        <v>9.3410907610587901E-2</v>
      </c>
    </row>
    <row r="84" spans="2:12" x14ac:dyDescent="0.2">
      <c r="D84" s="32">
        <v>32</v>
      </c>
      <c r="F84" s="22">
        <f>D84</f>
        <v>32</v>
      </c>
      <c r="H84" s="22">
        <f>D87</f>
        <v>90</v>
      </c>
    </row>
    <row r="85" spans="2:12" x14ac:dyDescent="0.2">
      <c r="D85" s="22">
        <f>IF(D72="DFL#1",1700000,IF(OR(D72="DFL#2",D72="SP#1"),1600000,1400000))</f>
        <v>1600000</v>
      </c>
      <c r="F85" s="32">
        <f>IF(D81="OSB",21,14)</f>
        <v>21</v>
      </c>
      <c r="L85" s="61" t="s">
        <v>133</v>
      </c>
    </row>
    <row r="86" spans="2:12" x14ac:dyDescent="0.2">
      <c r="D86" s="32">
        <f>1.5*5.5</f>
        <v>8.25</v>
      </c>
    </row>
    <row r="87" spans="2:12" x14ac:dyDescent="0.2">
      <c r="D87" s="22">
        <f>MIN(J5:J6)</f>
        <v>90</v>
      </c>
    </row>
    <row r="88" spans="2:12" x14ac:dyDescent="0.2">
      <c r="B88" s="22" t="s">
        <v>370</v>
      </c>
    </row>
    <row r="89" spans="2:12" x14ac:dyDescent="0.2">
      <c r="B89" s="22" t="e">
        <f>E31*12/C89</f>
        <v>#N/A</v>
      </c>
      <c r="C89" s="22" t="e">
        <f>C74+C82</f>
        <v>#N/A</v>
      </c>
    </row>
    <row r="90" spans="2:12" x14ac:dyDescent="0.2">
      <c r="B90" s="22">
        <f>E31*12/C90</f>
        <v>400</v>
      </c>
      <c r="C90" s="22">
        <f>E31*12/400</f>
        <v>0.36</v>
      </c>
      <c r="D90" s="62" t="e">
        <f>IF(C89&lt;C90,"OK!","FAIL")</f>
        <v>#N/A</v>
      </c>
      <c r="E90" s="63"/>
    </row>
    <row r="92" spans="2:12" x14ac:dyDescent="0.2">
      <c r="L92" s="61" t="s">
        <v>148</v>
      </c>
    </row>
  </sheetData>
  <dataValidations count="9">
    <dataValidation type="list" allowBlank="1" showInputMessage="1" showErrorMessage="1" sqref="D81" xr:uid="{D64757C5-1E6E-459C-8D96-1B6D3DD7F61E}">
      <formula1>"OSB,Plywood"</formula1>
    </dataValidation>
    <dataValidation type="list" allowBlank="1" showInputMessage="1" showErrorMessage="1" sqref="X31:X64" xr:uid="{E390E671-7C02-4BA3-8233-BB32F03F0F63}">
      <formula1>"1,3"</formula1>
    </dataValidation>
    <dataValidation type="list" allowBlank="1" showInputMessage="1" showErrorMessage="1" sqref="D72" xr:uid="{01AEEA29-A07E-422A-B389-8E3B543D6C19}">
      <formula1>"DFL#1,DFL#2,SP#1,SP#2"</formula1>
    </dataValidation>
    <dataValidation type="list" allowBlank="1" showInputMessage="1" showErrorMessage="1" sqref="C72" xr:uid="{47A8AE8C-BECC-493D-92DB-613964299D87}">
      <formula1>"OSB,Plywood,Gyp"</formula1>
    </dataValidation>
    <dataValidation type="list" allowBlank="1" showInputMessage="1" showErrorMessage="1" sqref="P5:P10" xr:uid="{B95FD297-15B9-4468-B6C1-317247D3AD0C}">
      <formula1>holdown</formula1>
    </dataValidation>
    <dataValidation type="list" allowBlank="1" showInputMessage="1" showErrorMessage="1" sqref="R14:R19" xr:uid="{B90D5F87-4BDE-4901-8710-126095CCECB8}">
      <formula1>sheathing</formula1>
    </dataValidation>
    <dataValidation type="list" allowBlank="1" showInputMessage="1" showErrorMessage="1" sqref="E81" xr:uid="{3568222F-9008-472B-BE5F-5163BF78C994}">
      <formula1>"Simple,Cantilever"</formula1>
    </dataValidation>
    <dataValidation type="list" allowBlank="1" showInputMessage="1" showErrorMessage="1" sqref="B72" xr:uid="{0FE5C98B-E90F-4128-B9C5-9DCB8272F4EB}">
      <formula1>$B$31:$B$64</formula1>
    </dataValidation>
    <dataValidation type="list" allowBlank="1" showInputMessage="1" showErrorMessage="1" sqref="E90" xr:uid="{8D856892-5C07-4BE5-9095-A7EED4F61E10}">
      <formula1>"NOTE: Use Double OSB Sheathing and Double Holdown to Reduce Drift,NOTE: Use Double OSB Sheathing to reduce drift, NOTE: Use double holdowns to reduce drift, "</formula1>
    </dataValidation>
  </dataValidations>
  <pageMargins left="0.7" right="0.7" top="0.75" bottom="0.75" header="0.3" footer="0.3"/>
  <pageSetup scale="41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4FF8-D099-40CE-A8EA-AB5B810BE5B2}">
  <sheetPr>
    <pageSetUpPr fitToPage="1"/>
  </sheetPr>
  <dimension ref="A1:W59"/>
  <sheetViews>
    <sheetView view="pageBreakPreview" zoomScale="85" zoomScaleNormal="85" zoomScaleSheetLayoutView="85" workbookViewId="0">
      <selection activeCell="E23" sqref="E23"/>
    </sheetView>
  </sheetViews>
  <sheetFormatPr defaultRowHeight="15" x14ac:dyDescent="0.25"/>
  <cols>
    <col min="3" max="3" width="12.28515625" bestFit="1" customWidth="1"/>
    <col min="4" max="4" width="6.5703125" customWidth="1"/>
    <col min="5" max="5" width="5.42578125" customWidth="1"/>
    <col min="6" max="6" width="9.42578125" bestFit="1" customWidth="1"/>
    <col min="7" max="7" width="8" bestFit="1" customWidth="1"/>
    <col min="8" max="8" width="8" customWidth="1"/>
    <col min="11" max="11" width="9.5703125" customWidth="1"/>
  </cols>
  <sheetData>
    <row r="1" spans="1:23" x14ac:dyDescent="0.25">
      <c r="A1" s="5" t="s">
        <v>177</v>
      </c>
    </row>
    <row r="2" spans="1:23" ht="15" customHeight="1" x14ac:dyDescent="0.25">
      <c r="B2" s="13" t="s">
        <v>178</v>
      </c>
      <c r="F2" t="s">
        <v>179</v>
      </c>
      <c r="G2" s="3" t="s">
        <v>180</v>
      </c>
      <c r="H2" t="s">
        <v>181</v>
      </c>
      <c r="I2" s="3" t="s">
        <v>180</v>
      </c>
      <c r="J2" t="s">
        <v>179</v>
      </c>
      <c r="K2" t="s">
        <v>182</v>
      </c>
      <c r="L2" t="s">
        <v>181</v>
      </c>
      <c r="M2" t="s">
        <v>182</v>
      </c>
      <c r="T2" s="14" t="s">
        <v>183</v>
      </c>
      <c r="U2" s="14"/>
      <c r="V2" s="14"/>
      <c r="W2" s="14"/>
    </row>
    <row r="3" spans="1:23" x14ac:dyDescent="0.25">
      <c r="B3" t="s">
        <v>184</v>
      </c>
      <c r="C3" t="s">
        <v>185</v>
      </c>
      <c r="D3" t="s">
        <v>186</v>
      </c>
      <c r="E3" s="1" t="s">
        <v>187</v>
      </c>
      <c r="F3" s="15">
        <v>1</v>
      </c>
      <c r="G3" s="16">
        <v>715</v>
      </c>
      <c r="H3" s="15">
        <v>1</v>
      </c>
      <c r="I3" s="16">
        <v>715</v>
      </c>
      <c r="J3" s="15">
        <v>1</v>
      </c>
      <c r="K3" s="16">
        <v>530</v>
      </c>
      <c r="L3" s="15">
        <v>1</v>
      </c>
      <c r="M3" s="16">
        <v>530</v>
      </c>
      <c r="T3" s="14"/>
      <c r="U3" s="14"/>
      <c r="V3" s="14"/>
      <c r="W3" s="14"/>
    </row>
    <row r="4" spans="1:23" x14ac:dyDescent="0.25">
      <c r="E4" s="1" t="s">
        <v>188</v>
      </c>
      <c r="F4" s="15">
        <v>0.5</v>
      </c>
      <c r="G4" s="16">
        <f>ROUNDDOWN(G3*F4,0)</f>
        <v>357</v>
      </c>
      <c r="H4" s="15">
        <v>0.8</v>
      </c>
      <c r="I4" s="16">
        <f>ROUNDDOWN(I3*H4,0)</f>
        <v>572</v>
      </c>
      <c r="J4" s="15">
        <v>0.5</v>
      </c>
      <c r="K4" s="16">
        <f>ROUNDDOWN(K3*F4,0)</f>
        <v>265</v>
      </c>
      <c r="L4" s="15">
        <v>0.8</v>
      </c>
      <c r="M4" s="16">
        <f>ROUNDDOWN(M3*H4,0)</f>
        <v>424</v>
      </c>
      <c r="T4" s="14"/>
      <c r="U4" s="14"/>
      <c r="V4" s="14"/>
      <c r="W4" s="14"/>
    </row>
    <row r="5" spans="1:23" x14ac:dyDescent="0.25">
      <c r="E5" s="1" t="s">
        <v>189</v>
      </c>
      <c r="F5" s="15">
        <v>2.8</v>
      </c>
      <c r="G5" s="16">
        <f>ROUNDDOWN(G3/F5,0)</f>
        <v>255</v>
      </c>
      <c r="H5" s="15">
        <v>2</v>
      </c>
      <c r="I5" s="16">
        <f>ROUNDDOWN(I3/H5,0)</f>
        <v>357</v>
      </c>
      <c r="J5" s="15">
        <v>2.8</v>
      </c>
      <c r="K5" s="16">
        <f>ROUNDDOWN(K3/F5,0)</f>
        <v>189</v>
      </c>
      <c r="L5" s="15">
        <v>2</v>
      </c>
      <c r="M5" s="16">
        <f>ROUNDDOWN(M3/H5,0)</f>
        <v>265</v>
      </c>
      <c r="P5" s="17"/>
      <c r="R5" s="17"/>
      <c r="T5" s="14"/>
      <c r="U5" s="14"/>
      <c r="V5" s="14"/>
      <c r="W5" s="14"/>
    </row>
    <row r="6" spans="1:23" x14ac:dyDescent="0.25">
      <c r="E6" s="1" t="s">
        <v>190</v>
      </c>
      <c r="G6" s="16"/>
      <c r="I6" s="16"/>
      <c r="P6" s="17"/>
      <c r="R6" s="17"/>
      <c r="T6" s="14"/>
      <c r="U6" s="14"/>
      <c r="V6" s="14"/>
      <c r="W6" s="14"/>
    </row>
    <row r="8" spans="1:23" x14ac:dyDescent="0.25">
      <c r="B8" s="13" t="s">
        <v>191</v>
      </c>
    </row>
    <row r="11" spans="1:23" x14ac:dyDescent="0.25">
      <c r="B11" s="1" t="s">
        <v>192</v>
      </c>
      <c r="C11">
        <v>1.125</v>
      </c>
      <c r="D11" s="12" t="s">
        <v>193</v>
      </c>
    </row>
    <row r="12" spans="1:23" x14ac:dyDescent="0.25">
      <c r="B12" s="1"/>
      <c r="D12" s="12"/>
    </row>
    <row r="13" spans="1:23" x14ac:dyDescent="0.25">
      <c r="B13" s="1" t="s">
        <v>194</v>
      </c>
      <c r="C13">
        <v>160</v>
      </c>
      <c r="D13" t="s">
        <v>195</v>
      </c>
      <c r="E13">
        <f>C13*12</f>
        <v>1920</v>
      </c>
      <c r="F13" t="s">
        <v>196</v>
      </c>
      <c r="H13" t="s">
        <v>197</v>
      </c>
    </row>
    <row r="14" spans="1:23" x14ac:dyDescent="0.25">
      <c r="B14" s="1" t="s">
        <v>198</v>
      </c>
      <c r="C14">
        <v>0.74</v>
      </c>
    </row>
    <row r="15" spans="1:23" x14ac:dyDescent="0.25">
      <c r="B15" s="1" t="s">
        <v>199</v>
      </c>
      <c r="C15">
        <v>1.6</v>
      </c>
      <c r="N15" t="s">
        <v>200</v>
      </c>
    </row>
    <row r="16" spans="1:23" x14ac:dyDescent="0.25">
      <c r="B16" s="1" t="s">
        <v>201</v>
      </c>
      <c r="C16" s="15">
        <v>1</v>
      </c>
    </row>
    <row r="17" spans="2:8" x14ac:dyDescent="0.25">
      <c r="B17" s="1" t="s">
        <v>202</v>
      </c>
      <c r="C17">
        <f>C13*C14*C15*C16</f>
        <v>189.44000000000003</v>
      </c>
      <c r="D17" t="s">
        <v>195</v>
      </c>
      <c r="E17" s="17">
        <f>E13*C14*C15*C16</f>
        <v>2273.2800000000002</v>
      </c>
      <c r="F17" t="s">
        <v>196</v>
      </c>
      <c r="G17" t="str">
        <f>IF(AND(E17&lt;C28,C30&lt;MIN(E17,C28)),"GOV!","")</f>
        <v/>
      </c>
    </row>
    <row r="18" spans="2:8" x14ac:dyDescent="0.25">
      <c r="H18" t="s">
        <v>203</v>
      </c>
    </row>
    <row r="19" spans="2:8" x14ac:dyDescent="0.25">
      <c r="B19" s="1" t="s">
        <v>204</v>
      </c>
      <c r="C19">
        <v>88</v>
      </c>
      <c r="D19" t="s">
        <v>205</v>
      </c>
      <c r="E19" t="s">
        <v>206</v>
      </c>
      <c r="H19" t="s">
        <v>207</v>
      </c>
    </row>
    <row r="20" spans="2:8" x14ac:dyDescent="0.25">
      <c r="B20" s="1" t="s">
        <v>199</v>
      </c>
      <c r="C20">
        <v>1.6</v>
      </c>
      <c r="H20" t="s">
        <v>208</v>
      </c>
    </row>
    <row r="21" spans="2:8" x14ac:dyDescent="0.25">
      <c r="B21" s="1" t="s">
        <v>209</v>
      </c>
      <c r="C21">
        <v>1.1000000000000001</v>
      </c>
      <c r="H21" t="s">
        <v>208</v>
      </c>
    </row>
    <row r="22" spans="2:8" x14ac:dyDescent="0.25">
      <c r="B22" s="1" t="s">
        <v>210</v>
      </c>
      <c r="C22" s="15">
        <v>1</v>
      </c>
      <c r="H22" t="s">
        <v>208</v>
      </c>
    </row>
    <row r="23" spans="2:8" x14ac:dyDescent="0.25">
      <c r="B23" s="1" t="s">
        <v>211</v>
      </c>
      <c r="C23" s="15">
        <v>0.9</v>
      </c>
      <c r="H23" t="s">
        <v>212</v>
      </c>
    </row>
    <row r="24" spans="2:8" x14ac:dyDescent="0.25">
      <c r="B24" s="1" t="s">
        <v>213</v>
      </c>
      <c r="C24" s="15">
        <v>1</v>
      </c>
      <c r="H24" t="s">
        <v>214</v>
      </c>
    </row>
    <row r="25" spans="2:8" x14ac:dyDescent="0.25">
      <c r="B25" s="1" t="s">
        <v>215</v>
      </c>
      <c r="C25" s="15">
        <v>1</v>
      </c>
      <c r="H25" t="s">
        <v>216</v>
      </c>
    </row>
    <row r="26" spans="2:8" x14ac:dyDescent="0.25">
      <c r="B26" s="1" t="s">
        <v>217</v>
      </c>
      <c r="C26">
        <f>C19*C20*C21*C22*C23*C24*C25</f>
        <v>139.39200000000002</v>
      </c>
      <c r="D26" t="s">
        <v>205</v>
      </c>
    </row>
    <row r="27" spans="2:8" x14ac:dyDescent="0.25">
      <c r="B27" s="1" t="s">
        <v>218</v>
      </c>
      <c r="C27">
        <v>3</v>
      </c>
    </row>
    <row r="28" spans="2:8" x14ac:dyDescent="0.25">
      <c r="B28" s="1" t="s">
        <v>219</v>
      </c>
      <c r="C28">
        <f>C26*C27</f>
        <v>418.17600000000004</v>
      </c>
      <c r="D28" t="s">
        <v>196</v>
      </c>
      <c r="G28" t="str">
        <f>IF(AND(E17&gt;C28,C30&lt;MIN(E17,C28)),"GOV!","")</f>
        <v>GOV!</v>
      </c>
    </row>
    <row r="30" spans="2:8" x14ac:dyDescent="0.25">
      <c r="B30" s="1" t="s">
        <v>220</v>
      </c>
      <c r="C30">
        <v>320</v>
      </c>
      <c r="D30" t="s">
        <v>196</v>
      </c>
      <c r="G30" t="str">
        <f>IF(C30&gt;MIN(C28,E17),"GOV!","")</f>
        <v/>
      </c>
      <c r="H30" t="s">
        <v>200</v>
      </c>
    </row>
    <row r="31" spans="2:8" x14ac:dyDescent="0.25">
      <c r="B31" s="1" t="s">
        <v>221</v>
      </c>
      <c r="C31">
        <v>820</v>
      </c>
      <c r="D31" t="s">
        <v>196</v>
      </c>
    </row>
    <row r="33" spans="1:13" x14ac:dyDescent="0.25">
      <c r="F33" s="1" t="s">
        <v>189</v>
      </c>
      <c r="G33" s="17">
        <f>MAX(C30,MIN(E17,C28))</f>
        <v>418.17600000000004</v>
      </c>
      <c r="H33" t="s">
        <v>222</v>
      </c>
    </row>
    <row r="34" spans="1:13" x14ac:dyDescent="0.25">
      <c r="F34" s="1" t="s">
        <v>190</v>
      </c>
      <c r="G34" s="17"/>
      <c r="H34" t="s">
        <v>196</v>
      </c>
    </row>
    <row r="35" spans="1:13" x14ac:dyDescent="0.25">
      <c r="H35" t="str">
        <f>IF(G33&gt;G34,"OK!","NO GOOD!")</f>
        <v>OK!</v>
      </c>
    </row>
    <row r="37" spans="1:13" x14ac:dyDescent="0.25">
      <c r="A37" s="5" t="s">
        <v>223</v>
      </c>
    </row>
    <row r="38" spans="1:13" x14ac:dyDescent="0.25">
      <c r="B38" s="13" t="s">
        <v>224</v>
      </c>
    </row>
    <row r="39" spans="1:13" x14ac:dyDescent="0.25">
      <c r="B39" s="1" t="s">
        <v>225</v>
      </c>
      <c r="C39">
        <v>7716</v>
      </c>
      <c r="D39" t="s">
        <v>226</v>
      </c>
      <c r="E39" t="s">
        <v>227</v>
      </c>
    </row>
    <row r="40" spans="1:13" x14ac:dyDescent="0.25">
      <c r="B40" s="1" t="s">
        <v>228</v>
      </c>
      <c r="C40">
        <v>9215</v>
      </c>
      <c r="D40" t="s">
        <v>226</v>
      </c>
      <c r="E40" s="18" t="str">
        <f>IF(C40&gt;C39,"OK!","FAIL")</f>
        <v>OK!</v>
      </c>
    </row>
    <row r="43" spans="1:13" x14ac:dyDescent="0.25">
      <c r="A43" s="5" t="s">
        <v>229</v>
      </c>
    </row>
    <row r="44" spans="1:13" x14ac:dyDescent="0.25">
      <c r="B44" s="13" t="s">
        <v>230</v>
      </c>
    </row>
    <row r="45" spans="1:13" x14ac:dyDescent="0.25">
      <c r="B45" s="1" t="s">
        <v>225</v>
      </c>
      <c r="C45" s="17">
        <v>8077</v>
      </c>
      <c r="D45" t="s">
        <v>226</v>
      </c>
    </row>
    <row r="46" spans="1:13" x14ac:dyDescent="0.25">
      <c r="B46" s="1" t="s">
        <v>231</v>
      </c>
      <c r="C46">
        <f>1.5*5.5</f>
        <v>8.25</v>
      </c>
      <c r="D46" t="s">
        <v>232</v>
      </c>
    </row>
    <row r="47" spans="1:13" x14ac:dyDescent="0.25">
      <c r="B47" s="1" t="s">
        <v>233</v>
      </c>
      <c r="C47">
        <f>ROUNDUP(C45/C46,0)</f>
        <v>980</v>
      </c>
      <c r="D47" t="s">
        <v>234</v>
      </c>
    </row>
    <row r="48" spans="1:13" x14ac:dyDescent="0.25">
      <c r="C48" s="1"/>
      <c r="E48" t="s">
        <v>235</v>
      </c>
      <c r="I48" t="s">
        <v>236</v>
      </c>
      <c r="M48" t="s">
        <v>227</v>
      </c>
    </row>
    <row r="49" spans="2:13" x14ac:dyDescent="0.25">
      <c r="B49" s="1" t="s">
        <v>237</v>
      </c>
      <c r="C49">
        <f>C50*C51*C52*C53*C54*C55</f>
        <v>1196</v>
      </c>
      <c r="D49" t="s">
        <v>234</v>
      </c>
      <c r="E49" s="18" t="str">
        <f>IF(C49&gt;C47,"OK!","FAIL")</f>
        <v>OK!</v>
      </c>
      <c r="F49" s="1" t="s">
        <v>238</v>
      </c>
      <c r="G49">
        <f>ROUNDDOWN(G51*G50*G52*G53*G54*G55*G56*G57*G58*G59,0)</f>
        <v>8121</v>
      </c>
      <c r="H49" t="s">
        <v>226</v>
      </c>
      <c r="I49" s="18" t="str">
        <f>IF(G49&gt;C45,"OK!","FAIL")</f>
        <v>OK!</v>
      </c>
      <c r="J49" t="s">
        <v>239</v>
      </c>
      <c r="K49">
        <v>4690</v>
      </c>
      <c r="L49" t="s">
        <v>226</v>
      </c>
      <c r="M49" s="18" t="str">
        <f>IF(K49&gt;C45,"OK!","FAIL")</f>
        <v>FAIL</v>
      </c>
    </row>
    <row r="50" spans="2:13" x14ac:dyDescent="0.25">
      <c r="B50" s="1" t="s">
        <v>240</v>
      </c>
      <c r="C50">
        <v>575</v>
      </c>
      <c r="D50" t="s">
        <v>234</v>
      </c>
      <c r="F50" s="1" t="s">
        <v>241</v>
      </c>
      <c r="G50" s="19">
        <v>36</v>
      </c>
      <c r="H50" t="s">
        <v>242</v>
      </c>
      <c r="J50" t="s">
        <v>243</v>
      </c>
      <c r="K50">
        <f>K49*2</f>
        <v>9380</v>
      </c>
      <c r="L50" t="s">
        <v>226</v>
      </c>
      <c r="M50" s="18" t="str">
        <f>IF(K50&gt;C45,"OK!","FAIL")</f>
        <v>OK!</v>
      </c>
    </row>
    <row r="51" spans="2:13" x14ac:dyDescent="0.25">
      <c r="B51" s="20" t="s">
        <v>199</v>
      </c>
      <c r="C51" s="1">
        <v>1.6</v>
      </c>
      <c r="F51" s="1" t="s">
        <v>244</v>
      </c>
      <c r="G51">
        <v>141</v>
      </c>
      <c r="H51" t="s">
        <v>226</v>
      </c>
    </row>
    <row r="52" spans="2:13" x14ac:dyDescent="0.25">
      <c r="B52" s="1" t="s">
        <v>245</v>
      </c>
      <c r="C52" s="1">
        <v>1</v>
      </c>
      <c r="E52" s="12"/>
      <c r="F52" s="20" t="s">
        <v>199</v>
      </c>
      <c r="G52" s="1">
        <v>1.6</v>
      </c>
    </row>
    <row r="53" spans="2:13" x14ac:dyDescent="0.25">
      <c r="B53" s="1" t="s">
        <v>246</v>
      </c>
      <c r="C53" s="1">
        <v>1</v>
      </c>
      <c r="F53" s="1" t="s">
        <v>245</v>
      </c>
      <c r="G53" s="1">
        <v>1</v>
      </c>
    </row>
    <row r="54" spans="2:13" x14ac:dyDescent="0.25">
      <c r="B54" s="1" t="s">
        <v>247</v>
      </c>
      <c r="C54">
        <v>1.3</v>
      </c>
      <c r="F54" s="1" t="s">
        <v>246</v>
      </c>
      <c r="G54" s="1">
        <v>1</v>
      </c>
    </row>
    <row r="55" spans="2:13" x14ac:dyDescent="0.25">
      <c r="B55" s="1" t="s">
        <v>248</v>
      </c>
      <c r="C55">
        <v>1</v>
      </c>
      <c r="F55" s="1" t="s">
        <v>249</v>
      </c>
      <c r="G55">
        <v>1</v>
      </c>
    </row>
    <row r="56" spans="2:13" x14ac:dyDescent="0.25">
      <c r="F56" s="1" t="s">
        <v>250</v>
      </c>
      <c r="G56">
        <v>1</v>
      </c>
    </row>
    <row r="57" spans="2:13" x14ac:dyDescent="0.25">
      <c r="F57" s="1" t="s">
        <v>251</v>
      </c>
      <c r="G57" s="1">
        <v>1</v>
      </c>
    </row>
    <row r="58" spans="2:13" x14ac:dyDescent="0.25">
      <c r="F58" s="1" t="s">
        <v>209</v>
      </c>
      <c r="G58">
        <v>1</v>
      </c>
    </row>
    <row r="59" spans="2:13" x14ac:dyDescent="0.25">
      <c r="F59" s="1" t="s">
        <v>252</v>
      </c>
      <c r="G59">
        <v>1</v>
      </c>
    </row>
  </sheetData>
  <pageMargins left="0.7" right="0.7" top="0.75" bottom="0.75" header="0.3" footer="0.3"/>
  <pageSetup scale="77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FE61-FDAE-4679-BEB2-3563DB59AD9A}">
  <dimension ref="B1:AQ178"/>
  <sheetViews>
    <sheetView topLeftCell="G1" zoomScale="70" zoomScaleNormal="70" workbookViewId="0">
      <selection activeCell="AN46" sqref="AN46"/>
    </sheetView>
  </sheetViews>
  <sheetFormatPr defaultRowHeight="15" x14ac:dyDescent="0.25"/>
  <cols>
    <col min="19" max="19" width="8.42578125" style="2" customWidth="1"/>
    <col min="20" max="32" width="11.5703125" customWidth="1"/>
    <col min="33" max="34" width="11.5703125" style="2" customWidth="1"/>
    <col min="35" max="35" width="10.140625" bestFit="1" customWidth="1"/>
    <col min="43" max="43" width="13.42578125" bestFit="1" customWidth="1"/>
  </cols>
  <sheetData>
    <row r="1" spans="2:43" x14ac:dyDescent="0.25">
      <c r="AI1" s="72"/>
      <c r="AJ1" s="113" t="s">
        <v>58</v>
      </c>
      <c r="AK1" s="114"/>
      <c r="AL1" s="114"/>
      <c r="AM1" s="114"/>
      <c r="AN1" s="81"/>
      <c r="AO1" s="80"/>
      <c r="AP1" s="80"/>
      <c r="AQ1" s="72" t="s">
        <v>71</v>
      </c>
    </row>
    <row r="2" spans="2:43" x14ac:dyDescent="0.25">
      <c r="B2" s="82" t="s">
        <v>576</v>
      </c>
      <c r="C2" s="83" t="s">
        <v>579</v>
      </c>
      <c r="D2" s="83"/>
      <c r="E2" s="83"/>
      <c r="F2" s="83"/>
      <c r="G2" s="83"/>
      <c r="H2" s="83"/>
      <c r="I2" s="83"/>
      <c r="J2" s="83"/>
      <c r="L2" s="74" t="s">
        <v>72</v>
      </c>
      <c r="M2" s="74" t="s">
        <v>549</v>
      </c>
      <c r="N2" s="75" t="s">
        <v>424</v>
      </c>
      <c r="O2" s="75" t="s">
        <v>423</v>
      </c>
      <c r="P2" s="75" t="s">
        <v>73</v>
      </c>
      <c r="Q2" s="75" t="s">
        <v>74</v>
      </c>
      <c r="R2" s="75" t="s">
        <v>544</v>
      </c>
      <c r="S2" s="76" t="s">
        <v>75</v>
      </c>
      <c r="T2" s="74" t="s">
        <v>430</v>
      </c>
      <c r="U2" s="75" t="s">
        <v>545</v>
      </c>
      <c r="V2" s="75" t="s">
        <v>546</v>
      </c>
      <c r="X2" s="78" t="s">
        <v>442</v>
      </c>
      <c r="Y2" s="79" t="s">
        <v>293</v>
      </c>
      <c r="Z2" s="79" t="s">
        <v>437</v>
      </c>
      <c r="AA2" s="79" t="s">
        <v>436</v>
      </c>
      <c r="AB2" s="79" t="s">
        <v>435</v>
      </c>
      <c r="AC2" s="79" t="s">
        <v>432</v>
      </c>
      <c r="AD2" s="79" t="s">
        <v>438</v>
      </c>
      <c r="AE2" s="79" t="s">
        <v>439</v>
      </c>
      <c r="AF2" s="79" t="s">
        <v>434</v>
      </c>
      <c r="AG2" s="79" t="s">
        <v>444</v>
      </c>
      <c r="AH2"/>
      <c r="AI2" s="72" t="s">
        <v>59</v>
      </c>
      <c r="AJ2" s="72" t="s">
        <v>60</v>
      </c>
      <c r="AK2" s="72" t="s">
        <v>61</v>
      </c>
      <c r="AL2" s="72" t="s">
        <v>62</v>
      </c>
      <c r="AM2" s="72" t="s">
        <v>63</v>
      </c>
      <c r="AN2" s="72" t="s">
        <v>64</v>
      </c>
      <c r="AO2" s="72" t="s">
        <v>65</v>
      </c>
      <c r="AP2" s="72" t="s">
        <v>66</v>
      </c>
      <c r="AQ2" s="72" t="s">
        <v>1</v>
      </c>
    </row>
    <row r="3" spans="2:43" x14ac:dyDescent="0.25">
      <c r="B3" s="83" t="s">
        <v>21</v>
      </c>
      <c r="C3" s="83">
        <f>1.5*3.5</f>
        <v>5.25</v>
      </c>
      <c r="D3" s="83"/>
      <c r="E3" s="83"/>
      <c r="F3" s="83"/>
      <c r="G3" s="83"/>
      <c r="H3" s="83"/>
      <c r="I3" s="83"/>
      <c r="J3" s="83"/>
      <c r="L3" s="77" t="s">
        <v>76</v>
      </c>
      <c r="M3" s="77" t="s">
        <v>70</v>
      </c>
      <c r="N3" s="74">
        <v>910</v>
      </c>
      <c r="O3" s="74">
        <v>640</v>
      </c>
      <c r="P3" s="74" t="s">
        <v>21</v>
      </c>
      <c r="Q3" s="74" t="s">
        <v>25</v>
      </c>
      <c r="R3" s="74">
        <v>1.5</v>
      </c>
      <c r="S3" s="76">
        <v>0.16700000000000001</v>
      </c>
      <c r="T3" s="74">
        <v>0.375</v>
      </c>
      <c r="U3" s="74">
        <f>3/4</f>
        <v>0.75</v>
      </c>
      <c r="V3" s="74">
        <f>R3+U3</f>
        <v>2.25</v>
      </c>
      <c r="X3" s="78" t="s">
        <v>631</v>
      </c>
      <c r="Y3" s="79"/>
      <c r="Z3" s="79">
        <v>18</v>
      </c>
      <c r="AA3" s="79">
        <v>8630</v>
      </c>
      <c r="AB3" s="79">
        <v>7560</v>
      </c>
      <c r="AC3" s="79">
        <v>6360</v>
      </c>
      <c r="AD3" s="79">
        <v>0.625</v>
      </c>
      <c r="AE3" s="79" t="s">
        <v>433</v>
      </c>
      <c r="AF3" s="79" t="s">
        <v>443</v>
      </c>
      <c r="AG3" s="79">
        <v>2500</v>
      </c>
      <c r="AH3"/>
      <c r="AI3" s="72">
        <v>250</v>
      </c>
      <c r="AJ3" s="72">
        <f>AI3/2</f>
        <v>125</v>
      </c>
      <c r="AK3" s="72">
        <f>AI3/2.8</f>
        <v>89.285714285714292</v>
      </c>
      <c r="AL3" s="72">
        <f>0.8*AI3</f>
        <v>200</v>
      </c>
      <c r="AM3" s="72">
        <f>0.5*AI3</f>
        <v>125</v>
      </c>
      <c r="AN3" s="72"/>
      <c r="AO3" s="72"/>
      <c r="AP3" s="72">
        <v>6.5</v>
      </c>
      <c r="AQ3" s="72" t="s">
        <v>411</v>
      </c>
    </row>
    <row r="4" spans="2:43" x14ac:dyDescent="0.25">
      <c r="B4" s="83" t="s">
        <v>25</v>
      </c>
      <c r="C4" s="83">
        <f>1.5*5.5</f>
        <v>8.25</v>
      </c>
      <c r="D4" s="83"/>
      <c r="E4" s="83"/>
      <c r="F4" s="83"/>
      <c r="G4" s="83"/>
      <c r="H4" s="83"/>
      <c r="I4" s="83"/>
      <c r="J4" s="83"/>
      <c r="L4" s="77" t="s">
        <v>77</v>
      </c>
      <c r="M4" s="77" t="s">
        <v>70</v>
      </c>
      <c r="N4" s="74">
        <v>2145</v>
      </c>
      <c r="O4" s="74">
        <v>1835</v>
      </c>
      <c r="P4" s="74" t="s">
        <v>78</v>
      </c>
      <c r="Q4" s="74" t="s">
        <v>79</v>
      </c>
      <c r="R4" s="74">
        <v>3</v>
      </c>
      <c r="S4" s="76">
        <v>0.128</v>
      </c>
      <c r="T4" s="74">
        <v>0.5</v>
      </c>
      <c r="U4" s="74">
        <f>13/16</f>
        <v>0.8125</v>
      </c>
      <c r="V4" s="74">
        <f t="shared" ref="V4:V67" si="0">R4+U4</f>
        <v>3.8125</v>
      </c>
      <c r="X4" s="78" t="s">
        <v>632</v>
      </c>
      <c r="Y4" s="79"/>
      <c r="Z4" s="79">
        <v>18</v>
      </c>
      <c r="AA4" s="79">
        <v>8630</v>
      </c>
      <c r="AB4" s="79">
        <v>6300</v>
      </c>
      <c r="AC4" s="79">
        <v>5575</v>
      </c>
      <c r="AD4" s="79">
        <v>0.625</v>
      </c>
      <c r="AE4" s="79" t="s">
        <v>433</v>
      </c>
      <c r="AF4" s="79" t="s">
        <v>445</v>
      </c>
      <c r="AG4" s="79">
        <v>2500</v>
      </c>
      <c r="AH4"/>
      <c r="AI4" s="72">
        <v>300</v>
      </c>
      <c r="AJ4" s="72">
        <f>AI4/2</f>
        <v>150</v>
      </c>
      <c r="AK4" s="72">
        <f>AI4/2.8</f>
        <v>107.14285714285715</v>
      </c>
      <c r="AL4" s="72">
        <f>0.8*AI4</f>
        <v>240</v>
      </c>
      <c r="AM4" s="72">
        <f>0.5*AI4</f>
        <v>150</v>
      </c>
      <c r="AN4" s="72"/>
      <c r="AO4" s="72"/>
      <c r="AP4" s="72">
        <v>7.5</v>
      </c>
      <c r="AQ4" s="72" t="s">
        <v>412</v>
      </c>
    </row>
    <row r="5" spans="2:43" x14ac:dyDescent="0.25">
      <c r="B5" s="83" t="s">
        <v>78</v>
      </c>
      <c r="C5" s="83">
        <f>C3*2</f>
        <v>10.5</v>
      </c>
      <c r="D5" s="83"/>
      <c r="E5" s="83"/>
      <c r="F5" s="83"/>
      <c r="G5" s="83"/>
      <c r="H5" s="83"/>
      <c r="I5" s="83"/>
      <c r="J5" s="83"/>
      <c r="L5" s="77" t="s">
        <v>80</v>
      </c>
      <c r="M5" s="77" t="s">
        <v>70</v>
      </c>
      <c r="N5" s="74">
        <v>2145</v>
      </c>
      <c r="O5" s="74">
        <v>2105</v>
      </c>
      <c r="P5" s="74" t="s">
        <v>78</v>
      </c>
      <c r="Q5" s="74" t="s">
        <v>79</v>
      </c>
      <c r="R5" s="74">
        <v>3</v>
      </c>
      <c r="S5" s="76">
        <v>0.128</v>
      </c>
      <c r="T5" s="74">
        <v>0.5</v>
      </c>
      <c r="U5" s="74">
        <f>13/16</f>
        <v>0.8125</v>
      </c>
      <c r="V5" s="74">
        <f t="shared" si="0"/>
        <v>3.8125</v>
      </c>
      <c r="X5" s="78" t="s">
        <v>633</v>
      </c>
      <c r="Y5" s="79"/>
      <c r="Z5" s="79">
        <v>20</v>
      </c>
      <c r="AA5" s="79">
        <v>8630</v>
      </c>
      <c r="AB5" s="79">
        <v>8630</v>
      </c>
      <c r="AC5" s="79">
        <v>8630</v>
      </c>
      <c r="AD5" s="79">
        <v>0.75</v>
      </c>
      <c r="AE5" s="79" t="s">
        <v>440</v>
      </c>
      <c r="AF5" s="79" t="s">
        <v>443</v>
      </c>
      <c r="AG5" s="79">
        <v>2500</v>
      </c>
      <c r="AH5"/>
      <c r="AI5" s="72">
        <v>320</v>
      </c>
      <c r="AJ5" s="72">
        <f t="shared" ref="AJ5:AJ36" si="1">AI5/2*0.92</f>
        <v>147.20000000000002</v>
      </c>
      <c r="AK5" s="72">
        <f t="shared" ref="AK5:AK36" si="2">AI5/2.8*0.92</f>
        <v>105.14285714285715</v>
      </c>
      <c r="AL5" s="72">
        <f t="shared" ref="AL5:AL36" si="3">0.8*AI5*0.92</f>
        <v>235.52</v>
      </c>
      <c r="AM5" s="72">
        <f t="shared" ref="AM5:AM36" si="4">0.5*AI5*0.92</f>
        <v>147.20000000000002</v>
      </c>
      <c r="AN5" s="72"/>
      <c r="AO5" s="72"/>
      <c r="AP5" s="72">
        <v>8</v>
      </c>
      <c r="AQ5" s="72" t="s">
        <v>413</v>
      </c>
    </row>
    <row r="6" spans="2:43" x14ac:dyDescent="0.25">
      <c r="B6" s="83" t="s">
        <v>79</v>
      </c>
      <c r="C6" s="83">
        <f>C4*2</f>
        <v>16.5</v>
      </c>
      <c r="D6" s="83"/>
      <c r="E6" s="83"/>
      <c r="F6" s="83"/>
      <c r="G6" s="83"/>
      <c r="H6" s="83"/>
      <c r="I6" s="83"/>
      <c r="J6" s="83"/>
      <c r="L6" s="77" t="s">
        <v>422</v>
      </c>
      <c r="M6" s="77" t="s">
        <v>70</v>
      </c>
      <c r="N6" s="74">
        <v>3790</v>
      </c>
      <c r="O6" s="74">
        <v>3340</v>
      </c>
      <c r="P6" s="74" t="s">
        <v>78</v>
      </c>
      <c r="Q6" s="74" t="s">
        <v>79</v>
      </c>
      <c r="R6" s="74">
        <v>3</v>
      </c>
      <c r="S6" s="76">
        <v>0.127</v>
      </c>
      <c r="T6" s="74">
        <v>0.625</v>
      </c>
      <c r="U6" s="74">
        <f>1+3/8</f>
        <v>1.375</v>
      </c>
      <c r="V6" s="74">
        <f t="shared" si="0"/>
        <v>4.375</v>
      </c>
      <c r="X6" s="78" t="s">
        <v>634</v>
      </c>
      <c r="Y6" s="79"/>
      <c r="Z6" s="79">
        <v>20</v>
      </c>
      <c r="AA6" s="79">
        <v>8630</v>
      </c>
      <c r="AB6" s="79">
        <v>8630</v>
      </c>
      <c r="AC6" s="79">
        <v>8630</v>
      </c>
      <c r="AD6" s="79">
        <v>0.75</v>
      </c>
      <c r="AE6" s="79" t="s">
        <v>440</v>
      </c>
      <c r="AF6" s="79" t="s">
        <v>445</v>
      </c>
      <c r="AG6" s="79">
        <v>2500</v>
      </c>
      <c r="AH6"/>
      <c r="AI6" s="72">
        <v>140</v>
      </c>
      <c r="AJ6" s="72">
        <f t="shared" si="1"/>
        <v>64.400000000000006</v>
      </c>
      <c r="AK6" s="72">
        <f t="shared" si="2"/>
        <v>46</v>
      </c>
      <c r="AL6" s="72">
        <f t="shared" si="3"/>
        <v>103.04</v>
      </c>
      <c r="AM6" s="72">
        <f t="shared" si="4"/>
        <v>64.400000000000006</v>
      </c>
      <c r="AN6" s="72"/>
      <c r="AO6" s="72"/>
      <c r="AP6" s="72">
        <v>4</v>
      </c>
      <c r="AQ6" s="72" t="s">
        <v>414</v>
      </c>
    </row>
    <row r="7" spans="2:43" x14ac:dyDescent="0.25">
      <c r="B7" s="83" t="s">
        <v>89</v>
      </c>
      <c r="C7" s="83">
        <f>3.5*3.5</f>
        <v>12.25</v>
      </c>
      <c r="D7" s="83"/>
      <c r="E7" s="83"/>
      <c r="F7" s="83"/>
      <c r="G7" s="83"/>
      <c r="H7" s="83"/>
      <c r="I7" s="83"/>
      <c r="J7" s="83"/>
      <c r="L7" s="77" t="s">
        <v>425</v>
      </c>
      <c r="M7" s="77" t="s">
        <v>70</v>
      </c>
      <c r="N7" s="74">
        <v>5375</v>
      </c>
      <c r="O7" s="74">
        <v>4700</v>
      </c>
      <c r="P7" s="74" t="s">
        <v>78</v>
      </c>
      <c r="Q7" s="74" t="s">
        <v>79</v>
      </c>
      <c r="R7" s="74">
        <v>3</v>
      </c>
      <c r="S7" s="76">
        <v>0.14599999999999999</v>
      </c>
      <c r="T7" s="74">
        <v>0.625</v>
      </c>
      <c r="U7" s="74">
        <f>1+3/8</f>
        <v>1.375</v>
      </c>
      <c r="V7" s="74">
        <f t="shared" si="0"/>
        <v>4.375</v>
      </c>
      <c r="X7" s="78" t="s">
        <v>635</v>
      </c>
      <c r="Y7" s="79"/>
      <c r="Z7" s="79">
        <v>20</v>
      </c>
      <c r="AA7" s="79">
        <v>12425</v>
      </c>
      <c r="AB7" s="79">
        <v>7560</v>
      </c>
      <c r="AC7" s="79">
        <v>7175</v>
      </c>
      <c r="AD7" s="79">
        <v>0.75</v>
      </c>
      <c r="AE7" s="79" t="s">
        <v>441</v>
      </c>
      <c r="AF7" s="79" t="s">
        <v>443</v>
      </c>
      <c r="AG7" s="79">
        <v>2500</v>
      </c>
      <c r="AH7"/>
      <c r="AI7" s="72">
        <v>180</v>
      </c>
      <c r="AJ7" s="72">
        <f t="shared" si="1"/>
        <v>82.8</v>
      </c>
      <c r="AK7" s="72">
        <f t="shared" si="2"/>
        <v>59.142857142857153</v>
      </c>
      <c r="AL7" s="72">
        <f t="shared" si="3"/>
        <v>132.48000000000002</v>
      </c>
      <c r="AM7" s="72">
        <f t="shared" si="4"/>
        <v>82.8</v>
      </c>
      <c r="AN7" s="72"/>
      <c r="AO7" s="72"/>
      <c r="AP7" s="72">
        <v>5</v>
      </c>
      <c r="AQ7" s="72" t="s">
        <v>415</v>
      </c>
    </row>
    <row r="8" spans="2:43" x14ac:dyDescent="0.25">
      <c r="B8" s="83" t="s">
        <v>86</v>
      </c>
      <c r="C8" s="83">
        <f>3.5*5.5</f>
        <v>19.25</v>
      </c>
      <c r="D8" s="83"/>
      <c r="E8" s="83"/>
      <c r="F8" s="83"/>
      <c r="G8" s="83"/>
      <c r="H8" s="83"/>
      <c r="I8" s="83"/>
      <c r="J8" s="83"/>
      <c r="L8" s="77" t="s">
        <v>426</v>
      </c>
      <c r="M8" s="77" t="s">
        <v>70</v>
      </c>
      <c r="N8" s="74">
        <v>7015</v>
      </c>
      <c r="O8" s="74">
        <v>6030</v>
      </c>
      <c r="P8" s="74" t="s">
        <v>78</v>
      </c>
      <c r="Q8" s="74" t="s">
        <v>79</v>
      </c>
      <c r="R8" s="74">
        <v>3</v>
      </c>
      <c r="S8" s="76">
        <v>0.154</v>
      </c>
      <c r="T8" s="74">
        <v>0.625</v>
      </c>
      <c r="U8" s="74">
        <f>1+3/8</f>
        <v>1.375</v>
      </c>
      <c r="V8" s="74">
        <f t="shared" si="0"/>
        <v>4.375</v>
      </c>
      <c r="X8" s="78" t="s">
        <v>636</v>
      </c>
      <c r="Y8" s="79"/>
      <c r="Z8" s="79">
        <v>20</v>
      </c>
      <c r="AA8" s="79">
        <v>10395</v>
      </c>
      <c r="AB8" s="79">
        <v>6555</v>
      </c>
      <c r="AC8" s="79">
        <v>6290</v>
      </c>
      <c r="AD8" s="79">
        <v>0.75</v>
      </c>
      <c r="AE8" s="79" t="s">
        <v>441</v>
      </c>
      <c r="AF8" s="79" t="s">
        <v>445</v>
      </c>
      <c r="AG8" s="79">
        <v>2500</v>
      </c>
      <c r="AH8"/>
      <c r="AI8" s="72">
        <v>290</v>
      </c>
      <c r="AJ8" s="72">
        <f t="shared" si="1"/>
        <v>133.4</v>
      </c>
      <c r="AK8" s="72">
        <f t="shared" si="2"/>
        <v>95.285714285714306</v>
      </c>
      <c r="AL8" s="72">
        <f t="shared" si="3"/>
        <v>213.44</v>
      </c>
      <c r="AM8" s="72">
        <f t="shared" si="4"/>
        <v>133.4</v>
      </c>
      <c r="AN8" s="72"/>
      <c r="AO8" s="72"/>
      <c r="AP8" s="72">
        <v>7.5</v>
      </c>
      <c r="AQ8" s="72" t="s">
        <v>416</v>
      </c>
    </row>
    <row r="9" spans="2:43" x14ac:dyDescent="0.25">
      <c r="B9" s="83" t="s">
        <v>82</v>
      </c>
      <c r="C9" s="83">
        <f>3.5*7.25</f>
        <v>25.375</v>
      </c>
      <c r="D9" s="83"/>
      <c r="E9" s="83"/>
      <c r="F9" s="83"/>
      <c r="G9" s="83"/>
      <c r="H9" s="83"/>
      <c r="I9" s="83"/>
      <c r="J9" s="83"/>
      <c r="L9" s="77" t="s">
        <v>427</v>
      </c>
      <c r="M9" s="77" t="s">
        <v>70</v>
      </c>
      <c r="N9" s="74">
        <v>8425</v>
      </c>
      <c r="O9" s="74">
        <v>7305</v>
      </c>
      <c r="P9" s="74" t="s">
        <v>89</v>
      </c>
      <c r="Q9" s="74" t="s">
        <v>86</v>
      </c>
      <c r="R9" s="74">
        <v>3.5</v>
      </c>
      <c r="S9" s="76">
        <v>0.159</v>
      </c>
      <c r="T9" s="74">
        <v>0.875</v>
      </c>
      <c r="U9" s="74">
        <f>1+7/16</f>
        <v>1.4375</v>
      </c>
      <c r="V9" s="74">
        <f t="shared" si="0"/>
        <v>4.9375</v>
      </c>
      <c r="X9" s="78" t="s">
        <v>635</v>
      </c>
      <c r="Y9" s="79"/>
      <c r="Z9" s="79">
        <v>20</v>
      </c>
      <c r="AA9" s="79">
        <v>12425</v>
      </c>
      <c r="AB9" s="79">
        <v>9955</v>
      </c>
      <c r="AC9" s="79">
        <v>9955</v>
      </c>
      <c r="AD9" s="79">
        <v>0.75</v>
      </c>
      <c r="AE9" s="79" t="s">
        <v>440</v>
      </c>
      <c r="AF9" s="79" t="s">
        <v>443</v>
      </c>
      <c r="AG9" s="79">
        <v>2500</v>
      </c>
      <c r="AH9"/>
      <c r="AI9" s="72">
        <v>350</v>
      </c>
      <c r="AJ9" s="72">
        <f t="shared" si="1"/>
        <v>161</v>
      </c>
      <c r="AK9" s="72">
        <f t="shared" si="2"/>
        <v>115.00000000000001</v>
      </c>
      <c r="AL9" s="72">
        <f t="shared" si="3"/>
        <v>257.60000000000002</v>
      </c>
      <c r="AM9" s="72">
        <f t="shared" si="4"/>
        <v>161</v>
      </c>
      <c r="AN9" s="72"/>
      <c r="AO9" s="72"/>
      <c r="AP9" s="72">
        <v>8.5</v>
      </c>
      <c r="AQ9" s="72" t="s">
        <v>417</v>
      </c>
    </row>
    <row r="10" spans="2:43" x14ac:dyDescent="0.25">
      <c r="B10" s="83" t="s">
        <v>577</v>
      </c>
      <c r="C10" s="83">
        <f>3.5*9.25</f>
        <v>32.375</v>
      </c>
      <c r="D10" s="83"/>
      <c r="E10" s="83"/>
      <c r="F10" s="83"/>
      <c r="G10" s="83"/>
      <c r="H10" s="83"/>
      <c r="I10" s="83"/>
      <c r="J10" s="83"/>
      <c r="L10" s="77" t="s">
        <v>427</v>
      </c>
      <c r="M10" s="77" t="s">
        <v>70</v>
      </c>
      <c r="N10" s="74">
        <v>9390</v>
      </c>
      <c r="O10" s="74">
        <v>7995</v>
      </c>
      <c r="P10" s="74" t="s">
        <v>86</v>
      </c>
      <c r="Q10" s="74" t="s">
        <v>83</v>
      </c>
      <c r="R10" s="74">
        <v>5.5</v>
      </c>
      <c r="S10" s="76">
        <v>0.13400000000000001</v>
      </c>
      <c r="T10" s="74">
        <v>0.875</v>
      </c>
      <c r="U10" s="74">
        <f>1+7/16</f>
        <v>1.4375</v>
      </c>
      <c r="V10" s="74">
        <f t="shared" si="0"/>
        <v>6.9375</v>
      </c>
      <c r="X10" s="78" t="s">
        <v>636</v>
      </c>
      <c r="Y10" s="79"/>
      <c r="Z10" s="79">
        <v>20</v>
      </c>
      <c r="AA10" s="79">
        <v>10395</v>
      </c>
      <c r="AB10" s="79">
        <v>8630</v>
      </c>
      <c r="AC10" s="79">
        <v>8630</v>
      </c>
      <c r="AD10" s="79">
        <v>0.75</v>
      </c>
      <c r="AE10" s="79" t="s">
        <v>440</v>
      </c>
      <c r="AF10" s="79" t="s">
        <v>445</v>
      </c>
      <c r="AG10" s="79">
        <v>2500</v>
      </c>
      <c r="AH10"/>
      <c r="AI10" s="72">
        <v>180</v>
      </c>
      <c r="AJ10" s="72">
        <f t="shared" si="1"/>
        <v>82.8</v>
      </c>
      <c r="AK10" s="72">
        <f t="shared" si="2"/>
        <v>59.142857142857153</v>
      </c>
      <c r="AL10" s="72">
        <f t="shared" si="3"/>
        <v>132.48000000000002</v>
      </c>
      <c r="AM10" s="72">
        <f t="shared" si="4"/>
        <v>82.8</v>
      </c>
      <c r="AN10" s="72"/>
      <c r="AO10" s="72"/>
      <c r="AP10" s="72">
        <v>5</v>
      </c>
      <c r="AQ10" s="72" t="s">
        <v>418</v>
      </c>
    </row>
    <row r="11" spans="2:43" x14ac:dyDescent="0.25">
      <c r="B11" s="83" t="s">
        <v>90</v>
      </c>
      <c r="C11" s="83">
        <f>5.5*3.5</f>
        <v>19.25</v>
      </c>
      <c r="D11" s="83"/>
      <c r="E11" s="83"/>
      <c r="F11" s="83"/>
      <c r="G11" s="83"/>
      <c r="H11" s="83"/>
      <c r="I11" s="83"/>
      <c r="J11" s="83"/>
      <c r="L11" s="77" t="s">
        <v>606</v>
      </c>
      <c r="M11" s="77" t="s">
        <v>70</v>
      </c>
      <c r="N11" s="74">
        <v>11900</v>
      </c>
      <c r="O11" s="74">
        <v>10215</v>
      </c>
      <c r="P11" s="74" t="s">
        <v>86</v>
      </c>
      <c r="Q11" s="74" t="s">
        <v>83</v>
      </c>
      <c r="R11" s="74">
        <v>5.5</v>
      </c>
      <c r="S11" s="76">
        <v>0.16400000000000001</v>
      </c>
      <c r="T11" s="74">
        <v>1</v>
      </c>
      <c r="U11" s="74">
        <f>1+7/16</f>
        <v>1.4375</v>
      </c>
      <c r="V11" s="74">
        <f t="shared" si="0"/>
        <v>6.9375</v>
      </c>
      <c r="X11" s="78" t="s">
        <v>637</v>
      </c>
      <c r="Y11" s="79"/>
      <c r="Z11" s="79">
        <v>22</v>
      </c>
      <c r="AA11" s="79">
        <v>16670</v>
      </c>
      <c r="AB11" s="79">
        <v>10325</v>
      </c>
      <c r="AC11" s="79">
        <v>7175</v>
      </c>
      <c r="AD11" s="79">
        <v>0.875</v>
      </c>
      <c r="AE11" s="79" t="s">
        <v>441</v>
      </c>
      <c r="AF11" s="79" t="s">
        <v>443</v>
      </c>
      <c r="AG11" s="79">
        <v>2500</v>
      </c>
      <c r="AH11"/>
      <c r="AI11" s="72">
        <v>500</v>
      </c>
      <c r="AJ11" s="72">
        <f t="shared" si="1"/>
        <v>230</v>
      </c>
      <c r="AK11" s="72">
        <f t="shared" si="2"/>
        <v>164.28571428571431</v>
      </c>
      <c r="AL11" s="72">
        <f t="shared" si="3"/>
        <v>368</v>
      </c>
      <c r="AM11" s="72">
        <f t="shared" si="4"/>
        <v>230</v>
      </c>
      <c r="AN11" s="72"/>
      <c r="AO11" s="72"/>
      <c r="AP11" s="72">
        <v>11</v>
      </c>
      <c r="AQ11" s="72" t="s">
        <v>419</v>
      </c>
    </row>
    <row r="12" spans="2:43" x14ac:dyDescent="0.25">
      <c r="B12" s="83" t="s">
        <v>83</v>
      </c>
      <c r="C12" s="83">
        <f>5.5*5.5</f>
        <v>30.25</v>
      </c>
      <c r="D12" s="83"/>
      <c r="E12" s="83"/>
      <c r="F12" s="83"/>
      <c r="G12" s="83"/>
      <c r="H12" s="83"/>
      <c r="I12" s="83"/>
      <c r="J12" s="83"/>
      <c r="L12" s="77" t="s">
        <v>607</v>
      </c>
      <c r="M12" s="77" t="s">
        <v>70</v>
      </c>
      <c r="N12" s="74">
        <v>12950</v>
      </c>
      <c r="O12" s="74">
        <v>11030</v>
      </c>
      <c r="P12" s="74" t="s">
        <v>82</v>
      </c>
      <c r="Q12" s="74" t="s">
        <v>428</v>
      </c>
      <c r="R12" s="74">
        <v>7.25</v>
      </c>
      <c r="S12" s="76">
        <v>0.14499999999999999</v>
      </c>
      <c r="T12" s="74">
        <v>1</v>
      </c>
      <c r="U12" s="74">
        <f>1+7/16</f>
        <v>1.4375</v>
      </c>
      <c r="V12" s="74">
        <f t="shared" si="0"/>
        <v>8.6875</v>
      </c>
      <c r="X12" s="78" t="s">
        <v>638</v>
      </c>
      <c r="Y12" s="79"/>
      <c r="Z12" s="79">
        <v>22</v>
      </c>
      <c r="AA12" s="79">
        <v>14615</v>
      </c>
      <c r="AB12" s="79">
        <v>9055</v>
      </c>
      <c r="AC12" s="79">
        <v>6290</v>
      </c>
      <c r="AD12" s="79">
        <v>0.875</v>
      </c>
      <c r="AE12" s="79" t="s">
        <v>441</v>
      </c>
      <c r="AF12" s="79" t="s">
        <v>445</v>
      </c>
      <c r="AG12" s="79">
        <v>2500</v>
      </c>
      <c r="AH12"/>
      <c r="AI12" s="72">
        <v>350</v>
      </c>
      <c r="AJ12" s="72">
        <f t="shared" si="1"/>
        <v>161</v>
      </c>
      <c r="AK12" s="72">
        <f t="shared" si="2"/>
        <v>115.00000000000001</v>
      </c>
      <c r="AL12" s="72">
        <f t="shared" si="3"/>
        <v>257.60000000000002</v>
      </c>
      <c r="AM12" s="72">
        <f t="shared" si="4"/>
        <v>161</v>
      </c>
      <c r="AN12" s="72"/>
      <c r="AO12" s="72"/>
      <c r="AP12" s="72">
        <v>8.5</v>
      </c>
      <c r="AQ12" s="72" t="s">
        <v>420</v>
      </c>
    </row>
    <row r="13" spans="2:43" x14ac:dyDescent="0.25">
      <c r="B13" s="83" t="s">
        <v>428</v>
      </c>
      <c r="C13" s="83">
        <f>5.5*7.25</f>
        <v>39.875</v>
      </c>
      <c r="D13" s="83"/>
      <c r="E13" s="83"/>
      <c r="F13" s="83"/>
      <c r="G13" s="83"/>
      <c r="H13" s="83"/>
      <c r="I13" s="83"/>
      <c r="J13" s="83"/>
      <c r="L13" s="77" t="s">
        <v>608</v>
      </c>
      <c r="M13" s="77" t="s">
        <v>70</v>
      </c>
      <c r="N13" s="74">
        <v>13110</v>
      </c>
      <c r="O13" s="74">
        <v>10980</v>
      </c>
      <c r="P13" s="74" t="s">
        <v>429</v>
      </c>
      <c r="Q13" s="74" t="s">
        <v>83</v>
      </c>
      <c r="R13" s="74">
        <v>5.5</v>
      </c>
      <c r="S13" s="76">
        <v>0.13500000000000001</v>
      </c>
      <c r="T13" s="74">
        <v>1</v>
      </c>
      <c r="U13" s="74">
        <f>1+7/16</f>
        <v>1.4375</v>
      </c>
      <c r="V13" s="74">
        <f t="shared" si="0"/>
        <v>6.9375</v>
      </c>
      <c r="X13" s="78" t="s">
        <v>639</v>
      </c>
      <c r="Y13" s="79"/>
      <c r="Z13" s="79">
        <v>22</v>
      </c>
      <c r="AA13" s="79">
        <v>16670</v>
      </c>
      <c r="AB13" s="79">
        <v>11450</v>
      </c>
      <c r="AC13" s="79">
        <v>11450</v>
      </c>
      <c r="AD13" s="79">
        <v>0.875</v>
      </c>
      <c r="AE13" s="79" t="s">
        <v>440</v>
      </c>
      <c r="AF13" s="79" t="s">
        <v>443</v>
      </c>
      <c r="AG13" s="79">
        <v>2500</v>
      </c>
      <c r="AH13"/>
      <c r="AI13" s="72">
        <v>400</v>
      </c>
      <c r="AJ13" s="72">
        <f t="shared" si="1"/>
        <v>184</v>
      </c>
      <c r="AK13" s="72">
        <f t="shared" si="2"/>
        <v>131.42857142857144</v>
      </c>
      <c r="AL13" s="72">
        <f t="shared" si="3"/>
        <v>294.40000000000003</v>
      </c>
      <c r="AM13" s="72">
        <f t="shared" si="4"/>
        <v>184</v>
      </c>
      <c r="AN13" s="72"/>
      <c r="AO13" s="72"/>
      <c r="AP13" s="72">
        <v>9.5</v>
      </c>
      <c r="AQ13" s="72" t="s">
        <v>421</v>
      </c>
    </row>
    <row r="14" spans="2:43" x14ac:dyDescent="0.25">
      <c r="B14" s="83" t="s">
        <v>578</v>
      </c>
      <c r="C14" s="83">
        <f>5.5*9.25</f>
        <v>50.875</v>
      </c>
      <c r="D14" s="83"/>
      <c r="E14" s="83"/>
      <c r="F14" s="83"/>
      <c r="G14" s="83"/>
      <c r="H14" s="83"/>
      <c r="I14" s="83"/>
      <c r="J14" s="83"/>
      <c r="L14" s="77" t="s">
        <v>609</v>
      </c>
      <c r="M14" s="77" t="s">
        <v>70</v>
      </c>
      <c r="N14" s="74">
        <v>16040</v>
      </c>
      <c r="O14" s="74">
        <v>13545</v>
      </c>
      <c r="P14" s="74" t="s">
        <v>86</v>
      </c>
      <c r="Q14" s="74" t="s">
        <v>83</v>
      </c>
      <c r="R14" s="74">
        <v>5.5</v>
      </c>
      <c r="S14" s="76">
        <v>9.4E-2</v>
      </c>
      <c r="T14" s="74">
        <v>1</v>
      </c>
      <c r="U14" s="74">
        <f>1+15/16</f>
        <v>1.9375</v>
      </c>
      <c r="V14" s="74">
        <f t="shared" si="0"/>
        <v>7.4375</v>
      </c>
      <c r="X14" s="78" t="s">
        <v>640</v>
      </c>
      <c r="Y14" s="79"/>
      <c r="Z14" s="79">
        <v>22</v>
      </c>
      <c r="AA14" s="79">
        <v>14615</v>
      </c>
      <c r="AB14" s="79">
        <v>10035</v>
      </c>
      <c r="AC14" s="79">
        <v>10035</v>
      </c>
      <c r="AD14" s="79">
        <v>0.875</v>
      </c>
      <c r="AE14" s="79" t="s">
        <v>440</v>
      </c>
      <c r="AF14" s="79" t="s">
        <v>445</v>
      </c>
      <c r="AG14" s="79">
        <v>2500</v>
      </c>
      <c r="AH14"/>
      <c r="AI14" s="72">
        <v>560</v>
      </c>
      <c r="AJ14" s="72">
        <f t="shared" si="1"/>
        <v>257.60000000000002</v>
      </c>
      <c r="AK14" s="72">
        <f t="shared" si="2"/>
        <v>184</v>
      </c>
      <c r="AL14" s="72">
        <f t="shared" si="3"/>
        <v>412.16</v>
      </c>
      <c r="AM14" s="72">
        <f t="shared" si="4"/>
        <v>257.60000000000002</v>
      </c>
      <c r="AN14" s="72">
        <v>13</v>
      </c>
      <c r="AO14" s="72">
        <v>10</v>
      </c>
      <c r="AP14" s="72"/>
      <c r="AQ14" s="72" t="s">
        <v>371</v>
      </c>
    </row>
    <row r="15" spans="2:43" x14ac:dyDescent="0.25">
      <c r="L15" s="77" t="s">
        <v>610</v>
      </c>
      <c r="M15" s="77" t="s">
        <v>70</v>
      </c>
      <c r="N15" s="74">
        <v>17685</v>
      </c>
      <c r="O15" s="74">
        <v>14775</v>
      </c>
      <c r="P15" s="74" t="s">
        <v>429</v>
      </c>
      <c r="Q15" s="74" t="s">
        <v>83</v>
      </c>
      <c r="R15" s="74">
        <v>5.5</v>
      </c>
      <c r="S15" s="76">
        <v>0.111</v>
      </c>
      <c r="T15" s="74">
        <v>1</v>
      </c>
      <c r="U15" s="74">
        <f>1+15/16</f>
        <v>1.9375</v>
      </c>
      <c r="V15" s="74">
        <f t="shared" si="0"/>
        <v>7.4375</v>
      </c>
      <c r="X15" s="78" t="s">
        <v>641</v>
      </c>
      <c r="Y15" s="79"/>
      <c r="Z15" s="79">
        <v>24</v>
      </c>
      <c r="AA15" s="79">
        <v>16670</v>
      </c>
      <c r="AB15" s="79">
        <v>12360</v>
      </c>
      <c r="AC15" s="79">
        <v>8300</v>
      </c>
      <c r="AD15" s="79">
        <v>1</v>
      </c>
      <c r="AE15" s="79" t="s">
        <v>441</v>
      </c>
      <c r="AF15" s="79" t="s">
        <v>443</v>
      </c>
      <c r="AG15" s="79">
        <v>2500</v>
      </c>
      <c r="AH15"/>
      <c r="AI15" s="72">
        <v>840</v>
      </c>
      <c r="AJ15" s="72">
        <f t="shared" si="1"/>
        <v>386.40000000000003</v>
      </c>
      <c r="AK15" s="72">
        <f t="shared" si="2"/>
        <v>276</v>
      </c>
      <c r="AL15" s="72">
        <f t="shared" si="3"/>
        <v>618.24</v>
      </c>
      <c r="AM15" s="72">
        <f t="shared" si="4"/>
        <v>386.40000000000003</v>
      </c>
      <c r="AN15" s="72">
        <v>18</v>
      </c>
      <c r="AO15" s="72">
        <v>13</v>
      </c>
      <c r="AP15" s="72"/>
      <c r="AQ15" s="72" t="s">
        <v>372</v>
      </c>
    </row>
    <row r="16" spans="2:43" x14ac:dyDescent="0.25">
      <c r="L16" s="77" t="s">
        <v>84</v>
      </c>
      <c r="M16" s="77" t="s">
        <v>70</v>
      </c>
      <c r="N16" s="74">
        <v>7630</v>
      </c>
      <c r="O16" s="74">
        <v>6560</v>
      </c>
      <c r="P16" s="74" t="s">
        <v>89</v>
      </c>
      <c r="Q16" s="74" t="s">
        <v>83</v>
      </c>
      <c r="R16" s="74">
        <v>1.75</v>
      </c>
      <c r="S16" s="76">
        <v>9.5000000000000001E-2</v>
      </c>
      <c r="T16" s="74">
        <v>0.875</v>
      </c>
      <c r="U16" s="74">
        <f>1+1/4</f>
        <v>1.25</v>
      </c>
      <c r="V16" s="74">
        <f t="shared" si="0"/>
        <v>3</v>
      </c>
      <c r="X16" s="78" t="s">
        <v>642</v>
      </c>
      <c r="Y16" s="79"/>
      <c r="Z16" s="79">
        <v>24</v>
      </c>
      <c r="AA16" s="79">
        <v>14615</v>
      </c>
      <c r="AB16" s="79">
        <v>10840</v>
      </c>
      <c r="AC16" s="79">
        <v>7280</v>
      </c>
      <c r="AD16" s="79">
        <v>1</v>
      </c>
      <c r="AE16" s="79" t="s">
        <v>441</v>
      </c>
      <c r="AF16" s="79" t="s">
        <v>445</v>
      </c>
      <c r="AG16" s="79">
        <v>2500</v>
      </c>
      <c r="AH16"/>
      <c r="AI16" s="72">
        <v>1090</v>
      </c>
      <c r="AJ16" s="72">
        <f t="shared" si="1"/>
        <v>501.40000000000003</v>
      </c>
      <c r="AK16" s="72">
        <f t="shared" si="2"/>
        <v>358.14285714285722</v>
      </c>
      <c r="AL16" s="72">
        <f t="shared" si="3"/>
        <v>802.24</v>
      </c>
      <c r="AM16" s="72">
        <f t="shared" si="4"/>
        <v>501.40000000000003</v>
      </c>
      <c r="AN16" s="72">
        <v>23</v>
      </c>
      <c r="AO16" s="72">
        <v>16</v>
      </c>
      <c r="AP16" s="72"/>
      <c r="AQ16" s="72" t="s">
        <v>373</v>
      </c>
    </row>
    <row r="17" spans="2:43" x14ac:dyDescent="0.25">
      <c r="L17" s="77" t="s">
        <v>85</v>
      </c>
      <c r="M17" s="77" t="s">
        <v>70</v>
      </c>
      <c r="N17" s="74">
        <v>11810</v>
      </c>
      <c r="O17" s="74">
        <v>10530</v>
      </c>
      <c r="P17" s="74" t="s">
        <v>429</v>
      </c>
      <c r="Q17" s="74" t="s">
        <v>83</v>
      </c>
      <c r="R17" s="74">
        <v>5.5</v>
      </c>
      <c r="S17" s="76">
        <v>0.13100000000000001</v>
      </c>
      <c r="T17" s="74">
        <v>1</v>
      </c>
      <c r="U17" s="74">
        <f>1+1/2</f>
        <v>1.5</v>
      </c>
      <c r="V17" s="74">
        <f t="shared" si="0"/>
        <v>7</v>
      </c>
      <c r="X17" s="78" t="s">
        <v>643</v>
      </c>
      <c r="Y17" s="79"/>
      <c r="Z17" s="79">
        <v>24</v>
      </c>
      <c r="AA17" s="79">
        <v>19970</v>
      </c>
      <c r="AB17" s="79">
        <v>14160</v>
      </c>
      <c r="AC17" s="79">
        <v>14160</v>
      </c>
      <c r="AD17" s="79">
        <v>1</v>
      </c>
      <c r="AE17" s="79" t="s">
        <v>440</v>
      </c>
      <c r="AF17" s="79" t="s">
        <v>443</v>
      </c>
      <c r="AG17" s="79">
        <v>2500</v>
      </c>
      <c r="AH17"/>
      <c r="AI17" s="72">
        <v>1430</v>
      </c>
      <c r="AJ17" s="72">
        <f t="shared" si="1"/>
        <v>657.80000000000007</v>
      </c>
      <c r="AK17" s="72">
        <f t="shared" si="2"/>
        <v>469.85714285714289</v>
      </c>
      <c r="AL17" s="72">
        <f t="shared" si="3"/>
        <v>1052.48</v>
      </c>
      <c r="AM17" s="72">
        <f t="shared" si="4"/>
        <v>657.80000000000007</v>
      </c>
      <c r="AN17" s="72">
        <v>35</v>
      </c>
      <c r="AO17" s="72">
        <v>22</v>
      </c>
      <c r="AP17" s="72"/>
      <c r="AQ17" s="72" t="s">
        <v>374</v>
      </c>
    </row>
    <row r="18" spans="2:43" x14ac:dyDescent="0.25">
      <c r="L18" s="77" t="s">
        <v>87</v>
      </c>
      <c r="M18" s="77" t="s">
        <v>70</v>
      </c>
      <c r="N18" s="74">
        <v>13710</v>
      </c>
      <c r="O18" s="74">
        <v>10530</v>
      </c>
      <c r="P18" s="74" t="s">
        <v>429</v>
      </c>
      <c r="Q18" s="74" t="s">
        <v>83</v>
      </c>
      <c r="R18" s="74">
        <v>5.5</v>
      </c>
      <c r="S18" s="76">
        <v>0.107</v>
      </c>
      <c r="T18" s="74">
        <v>1</v>
      </c>
      <c r="U18" s="74">
        <f>1+1/2</f>
        <v>1.5</v>
      </c>
      <c r="V18" s="74">
        <f t="shared" si="0"/>
        <v>7</v>
      </c>
      <c r="X18" s="78" t="s">
        <v>644</v>
      </c>
      <c r="Y18" s="79"/>
      <c r="Z18" s="79">
        <v>24</v>
      </c>
      <c r="AA18" s="79">
        <v>16640</v>
      </c>
      <c r="AB18" s="79">
        <v>12415</v>
      </c>
      <c r="AC18" s="79">
        <v>12415</v>
      </c>
      <c r="AD18" s="79">
        <v>1</v>
      </c>
      <c r="AE18" s="79" t="s">
        <v>440</v>
      </c>
      <c r="AF18" s="79" t="s">
        <v>445</v>
      </c>
      <c r="AG18" s="79">
        <v>2500</v>
      </c>
      <c r="AH18"/>
      <c r="AI18" s="72">
        <v>785</v>
      </c>
      <c r="AJ18" s="72">
        <f t="shared" si="1"/>
        <v>361.1</v>
      </c>
      <c r="AK18" s="72">
        <f t="shared" si="2"/>
        <v>257.92857142857144</v>
      </c>
      <c r="AL18" s="72">
        <f t="shared" si="3"/>
        <v>577.76</v>
      </c>
      <c r="AM18" s="72">
        <f t="shared" si="4"/>
        <v>361.1</v>
      </c>
      <c r="AN18" s="72">
        <v>14</v>
      </c>
      <c r="AO18" s="72">
        <v>11</v>
      </c>
      <c r="AP18" s="72"/>
      <c r="AQ18" s="72" t="s">
        <v>395</v>
      </c>
    </row>
    <row r="19" spans="2:43" x14ac:dyDescent="0.25">
      <c r="L19" s="77" t="s">
        <v>88</v>
      </c>
      <c r="M19" s="77" t="s">
        <v>70</v>
      </c>
      <c r="N19" s="74">
        <v>3130</v>
      </c>
      <c r="O19" s="74">
        <v>2660</v>
      </c>
      <c r="P19" s="74" t="s">
        <v>89</v>
      </c>
      <c r="Q19" s="74" t="s">
        <v>86</v>
      </c>
      <c r="R19" s="74">
        <v>3.5</v>
      </c>
      <c r="S19" s="76">
        <v>0.12</v>
      </c>
      <c r="T19" s="74">
        <v>0.625</v>
      </c>
      <c r="U19" s="74">
        <f>1+5/16</f>
        <v>1.3125</v>
      </c>
      <c r="V19" s="74">
        <f t="shared" si="0"/>
        <v>4.8125</v>
      </c>
      <c r="X19" s="78" t="s">
        <v>645</v>
      </c>
      <c r="Y19" s="79"/>
      <c r="Z19" s="79">
        <v>26.5</v>
      </c>
      <c r="AA19" s="79">
        <v>18105</v>
      </c>
      <c r="AB19" s="79">
        <v>12360</v>
      </c>
      <c r="AC19" s="79">
        <v>8300</v>
      </c>
      <c r="AD19" s="79">
        <v>1.25</v>
      </c>
      <c r="AE19" s="79" t="s">
        <v>441</v>
      </c>
      <c r="AF19" s="79" t="s">
        <v>443</v>
      </c>
      <c r="AG19" s="79">
        <v>2500</v>
      </c>
      <c r="AH19"/>
      <c r="AI19" s="72">
        <v>1205</v>
      </c>
      <c r="AJ19" s="72">
        <f t="shared" si="1"/>
        <v>554.30000000000007</v>
      </c>
      <c r="AK19" s="72">
        <f t="shared" si="2"/>
        <v>395.9285714285715</v>
      </c>
      <c r="AL19" s="72">
        <f t="shared" si="3"/>
        <v>886.88</v>
      </c>
      <c r="AM19" s="72">
        <f t="shared" si="4"/>
        <v>554.30000000000007</v>
      </c>
      <c r="AN19" s="72">
        <v>18</v>
      </c>
      <c r="AO19" s="72">
        <v>14</v>
      </c>
      <c r="AP19" s="72"/>
      <c r="AQ19" s="72" t="s">
        <v>396</v>
      </c>
    </row>
    <row r="20" spans="2:43" x14ac:dyDescent="0.25">
      <c r="L20" s="77" t="s">
        <v>91</v>
      </c>
      <c r="M20" s="77" t="s">
        <v>70</v>
      </c>
      <c r="N20" s="74">
        <v>4935</v>
      </c>
      <c r="O20" s="74">
        <v>4435</v>
      </c>
      <c r="P20" s="74" t="s">
        <v>89</v>
      </c>
      <c r="Q20" s="74" t="s">
        <v>86</v>
      </c>
      <c r="R20" s="74">
        <v>3.5</v>
      </c>
      <c r="S20" s="76">
        <v>0.15</v>
      </c>
      <c r="T20" s="74">
        <v>0.625</v>
      </c>
      <c r="U20" s="74">
        <f>1+1/4</f>
        <v>1.25</v>
      </c>
      <c r="V20" s="74">
        <f t="shared" si="0"/>
        <v>4.75</v>
      </c>
      <c r="X20" s="78" t="s">
        <v>646</v>
      </c>
      <c r="Y20" s="79"/>
      <c r="Z20" s="79">
        <v>26.5</v>
      </c>
      <c r="AA20" s="79">
        <v>14615</v>
      </c>
      <c r="AB20" s="79">
        <v>10840</v>
      </c>
      <c r="AC20" s="79">
        <v>7280</v>
      </c>
      <c r="AD20" s="79">
        <v>1.25</v>
      </c>
      <c r="AE20" s="79" t="s">
        <v>441</v>
      </c>
      <c r="AF20" s="79" t="s">
        <v>445</v>
      </c>
      <c r="AG20" s="79">
        <v>2500</v>
      </c>
      <c r="AH20"/>
      <c r="AI20" s="72">
        <v>1540</v>
      </c>
      <c r="AJ20" s="72">
        <f t="shared" si="1"/>
        <v>708.4</v>
      </c>
      <c r="AK20" s="72">
        <f t="shared" si="2"/>
        <v>506</v>
      </c>
      <c r="AL20" s="72">
        <f t="shared" si="3"/>
        <v>1133.44</v>
      </c>
      <c r="AM20" s="72">
        <f t="shared" si="4"/>
        <v>708.4</v>
      </c>
      <c r="AN20" s="72">
        <v>24</v>
      </c>
      <c r="AO20" s="72">
        <v>17</v>
      </c>
      <c r="AP20" s="72"/>
      <c r="AQ20" s="72" t="s">
        <v>397</v>
      </c>
    </row>
    <row r="21" spans="2:43" x14ac:dyDescent="0.25">
      <c r="L21" s="77" t="s">
        <v>92</v>
      </c>
      <c r="M21" s="77" t="s">
        <v>70</v>
      </c>
      <c r="N21" s="74">
        <v>7345</v>
      </c>
      <c r="O21" s="74">
        <v>6785</v>
      </c>
      <c r="P21" s="74" t="s">
        <v>86</v>
      </c>
      <c r="Q21" s="74" t="s">
        <v>83</v>
      </c>
      <c r="R21" s="74">
        <v>5.5</v>
      </c>
      <c r="S21" s="76">
        <v>0.155</v>
      </c>
      <c r="T21" s="74">
        <v>0.875</v>
      </c>
      <c r="U21" s="74">
        <f>1+1/4</f>
        <v>1.25</v>
      </c>
      <c r="V21" s="74">
        <f t="shared" si="0"/>
        <v>6.75</v>
      </c>
      <c r="X21" s="78" t="s">
        <v>647</v>
      </c>
      <c r="Y21" s="79"/>
      <c r="Z21" s="79">
        <v>26.5</v>
      </c>
      <c r="AA21" s="79">
        <v>19970</v>
      </c>
      <c r="AB21" s="79">
        <v>14160</v>
      </c>
      <c r="AC21" s="79">
        <v>14160</v>
      </c>
      <c r="AD21" s="79">
        <v>1.25</v>
      </c>
      <c r="AE21" s="79" t="s">
        <v>440</v>
      </c>
      <c r="AF21" s="79" t="s">
        <v>443</v>
      </c>
      <c r="AG21" s="79">
        <v>2500</v>
      </c>
      <c r="AH21"/>
      <c r="AI21" s="72">
        <v>2045</v>
      </c>
      <c r="AJ21" s="72">
        <f t="shared" si="1"/>
        <v>940.7</v>
      </c>
      <c r="AK21" s="72">
        <f t="shared" si="2"/>
        <v>671.92857142857144</v>
      </c>
      <c r="AL21" s="72">
        <f t="shared" si="3"/>
        <v>1505.1200000000001</v>
      </c>
      <c r="AM21" s="72">
        <f t="shared" si="4"/>
        <v>940.7</v>
      </c>
      <c r="AN21" s="72">
        <v>37</v>
      </c>
      <c r="AO21" s="72">
        <v>23</v>
      </c>
      <c r="AP21" s="72"/>
      <c r="AQ21" s="72" t="s">
        <v>398</v>
      </c>
    </row>
    <row r="22" spans="2:43" x14ac:dyDescent="0.25">
      <c r="L22" s="77" t="s">
        <v>93</v>
      </c>
      <c r="M22" s="77" t="s">
        <v>70</v>
      </c>
      <c r="N22" s="74">
        <v>9920</v>
      </c>
      <c r="O22" s="74">
        <v>9110</v>
      </c>
      <c r="P22" s="74" t="s">
        <v>86</v>
      </c>
      <c r="Q22" s="74" t="s">
        <v>83</v>
      </c>
      <c r="R22" s="74">
        <v>5.5</v>
      </c>
      <c r="S22" s="76">
        <v>0.17799999999999999</v>
      </c>
      <c r="T22" s="74">
        <v>0.875</v>
      </c>
      <c r="U22" s="74">
        <f>1+1/4</f>
        <v>1.25</v>
      </c>
      <c r="V22" s="74">
        <f t="shared" si="0"/>
        <v>6.75</v>
      </c>
      <c r="X22" s="78" t="s">
        <v>648</v>
      </c>
      <c r="Y22" s="79"/>
      <c r="Z22" s="79">
        <v>26.5</v>
      </c>
      <c r="AA22" s="79">
        <v>16640</v>
      </c>
      <c r="AB22" s="79">
        <v>12415</v>
      </c>
      <c r="AC22" s="79">
        <v>12415</v>
      </c>
      <c r="AD22" s="79">
        <v>1.25</v>
      </c>
      <c r="AE22" s="79" t="s">
        <v>440</v>
      </c>
      <c r="AF22" s="79" t="s">
        <v>445</v>
      </c>
      <c r="AG22" s="79">
        <v>2500</v>
      </c>
      <c r="AH22"/>
      <c r="AI22" s="72">
        <v>950</v>
      </c>
      <c r="AJ22" s="72">
        <f t="shared" si="1"/>
        <v>437</v>
      </c>
      <c r="AK22" s="72">
        <f t="shared" si="2"/>
        <v>312.14285714285722</v>
      </c>
      <c r="AL22" s="72">
        <f t="shared" si="3"/>
        <v>699.2</v>
      </c>
      <c r="AM22" s="72">
        <f t="shared" si="4"/>
        <v>437</v>
      </c>
      <c r="AN22" s="72">
        <v>22</v>
      </c>
      <c r="AO22" s="72">
        <v>16</v>
      </c>
      <c r="AP22" s="72"/>
      <c r="AQ22" s="72" t="s">
        <v>399</v>
      </c>
    </row>
    <row r="23" spans="2:43" x14ac:dyDescent="0.25">
      <c r="L23" s="77" t="s">
        <v>611</v>
      </c>
      <c r="M23" s="77" t="s">
        <v>70</v>
      </c>
      <c r="N23" s="74">
        <v>12665</v>
      </c>
      <c r="O23" s="74">
        <v>11055</v>
      </c>
      <c r="P23" s="74" t="s">
        <v>86</v>
      </c>
      <c r="Q23" s="74" t="s">
        <v>83</v>
      </c>
      <c r="R23" s="74">
        <v>5.5</v>
      </c>
      <c r="S23" s="76">
        <v>0.16200000000000001</v>
      </c>
      <c r="T23" s="74">
        <v>1</v>
      </c>
      <c r="U23" s="74">
        <f>2+1/8</f>
        <v>2.125</v>
      </c>
      <c r="V23" s="74">
        <f t="shared" si="0"/>
        <v>7.625</v>
      </c>
      <c r="X23" s="78" t="s">
        <v>649</v>
      </c>
      <c r="Y23" s="79"/>
      <c r="Z23" s="79">
        <v>12.625</v>
      </c>
      <c r="AA23" s="79">
        <v>3465</v>
      </c>
      <c r="AB23" s="79">
        <v>3465</v>
      </c>
      <c r="AC23" s="79">
        <v>3465</v>
      </c>
      <c r="AD23" s="79">
        <v>0.625</v>
      </c>
      <c r="AE23" s="79" t="s">
        <v>433</v>
      </c>
      <c r="AF23" s="79" t="s">
        <v>443</v>
      </c>
      <c r="AG23" s="79">
        <v>2500</v>
      </c>
      <c r="AH23"/>
      <c r="AI23" s="72">
        <v>1430</v>
      </c>
      <c r="AJ23" s="72">
        <f t="shared" si="1"/>
        <v>657.80000000000007</v>
      </c>
      <c r="AK23" s="72">
        <f t="shared" si="2"/>
        <v>469.85714285714289</v>
      </c>
      <c r="AL23" s="72">
        <f t="shared" si="3"/>
        <v>1052.48</v>
      </c>
      <c r="AM23" s="72">
        <f t="shared" si="4"/>
        <v>657.80000000000007</v>
      </c>
      <c r="AN23" s="72">
        <v>29</v>
      </c>
      <c r="AO23" s="72">
        <v>20</v>
      </c>
      <c r="AP23" s="72"/>
      <c r="AQ23" s="72" t="s">
        <v>400</v>
      </c>
    </row>
    <row r="24" spans="2:43" x14ac:dyDescent="0.25">
      <c r="B24" s="84" t="s">
        <v>580</v>
      </c>
      <c r="C24" s="85" t="s">
        <v>596</v>
      </c>
      <c r="D24" s="85" t="s">
        <v>597</v>
      </c>
      <c r="E24" s="85" t="s">
        <v>598</v>
      </c>
      <c r="F24" s="85" t="s">
        <v>599</v>
      </c>
      <c r="G24" s="85" t="s">
        <v>600</v>
      </c>
      <c r="H24" s="85" t="s">
        <v>288</v>
      </c>
      <c r="I24" s="85" t="s">
        <v>601</v>
      </c>
      <c r="J24" s="85" t="s">
        <v>456</v>
      </c>
      <c r="L24" s="77" t="s">
        <v>612</v>
      </c>
      <c r="M24" s="77" t="s">
        <v>70</v>
      </c>
      <c r="N24" s="74">
        <v>15435</v>
      </c>
      <c r="O24" s="74">
        <v>13120</v>
      </c>
      <c r="P24" s="74" t="s">
        <v>82</v>
      </c>
      <c r="Q24" s="74" t="s">
        <v>428</v>
      </c>
      <c r="R24" s="74">
        <v>7.25</v>
      </c>
      <c r="S24" s="76">
        <v>0.19400000000000001</v>
      </c>
      <c r="T24" s="74">
        <v>1.125</v>
      </c>
      <c r="U24" s="74">
        <f>2+1/8</f>
        <v>2.125</v>
      </c>
      <c r="V24" s="74">
        <f t="shared" si="0"/>
        <v>9.375</v>
      </c>
      <c r="X24" s="78" t="s">
        <v>650</v>
      </c>
      <c r="Y24" s="79"/>
      <c r="Z24" s="79">
        <v>12.625</v>
      </c>
      <c r="AA24" s="79">
        <v>2550</v>
      </c>
      <c r="AB24" s="79">
        <v>2550</v>
      </c>
      <c r="AC24" s="79">
        <v>2550</v>
      </c>
      <c r="AD24" s="79">
        <v>0.625</v>
      </c>
      <c r="AE24" s="79" t="s">
        <v>433</v>
      </c>
      <c r="AF24" s="79" t="s">
        <v>445</v>
      </c>
      <c r="AG24" s="79">
        <v>2500</v>
      </c>
      <c r="AH24"/>
      <c r="AI24" s="72">
        <v>1860</v>
      </c>
      <c r="AJ24" s="72">
        <f t="shared" si="1"/>
        <v>855.6</v>
      </c>
      <c r="AK24" s="72">
        <f t="shared" si="2"/>
        <v>611.14285714285722</v>
      </c>
      <c r="AL24" s="72">
        <f t="shared" si="3"/>
        <v>1368.96</v>
      </c>
      <c r="AM24" s="72">
        <f t="shared" si="4"/>
        <v>855.6</v>
      </c>
      <c r="AN24" s="72">
        <v>36</v>
      </c>
      <c r="AO24" s="72">
        <v>22</v>
      </c>
      <c r="AP24" s="72"/>
      <c r="AQ24" s="72" t="s">
        <v>401</v>
      </c>
    </row>
    <row r="25" spans="2:43" x14ac:dyDescent="0.25">
      <c r="B25" s="85" t="s">
        <v>581</v>
      </c>
      <c r="C25" s="85">
        <v>1500</v>
      </c>
      <c r="D25" s="85">
        <v>1000</v>
      </c>
      <c r="E25" s="85">
        <v>180</v>
      </c>
      <c r="F25" s="85">
        <v>625</v>
      </c>
      <c r="G25" s="85">
        <v>1700</v>
      </c>
      <c r="H25" s="85">
        <v>1900000</v>
      </c>
      <c r="I25" s="85">
        <v>690000</v>
      </c>
      <c r="J25" s="85">
        <v>0.5</v>
      </c>
      <c r="L25" s="77" t="s">
        <v>613</v>
      </c>
      <c r="M25" s="77" t="s">
        <v>70</v>
      </c>
      <c r="N25" s="74">
        <v>16735</v>
      </c>
      <c r="O25" s="74">
        <v>15270</v>
      </c>
      <c r="P25" s="74" t="s">
        <v>82</v>
      </c>
      <c r="Q25" s="74" t="s">
        <v>428</v>
      </c>
      <c r="R25" s="74">
        <v>7.25</v>
      </c>
      <c r="S25" s="76">
        <v>0.191</v>
      </c>
      <c r="T25" s="74">
        <v>1.125</v>
      </c>
      <c r="U25" s="74">
        <f>2+1/8</f>
        <v>2.125</v>
      </c>
      <c r="V25" s="74">
        <f t="shared" si="0"/>
        <v>9.375</v>
      </c>
      <c r="X25" s="78" t="s">
        <v>651</v>
      </c>
      <c r="Y25" s="79"/>
      <c r="Z25" s="79">
        <v>16.625</v>
      </c>
      <c r="AA25" s="79">
        <v>4145</v>
      </c>
      <c r="AB25" s="79">
        <v>3880</v>
      </c>
      <c r="AC25" s="79">
        <v>3880</v>
      </c>
      <c r="AD25" s="79">
        <v>0.625</v>
      </c>
      <c r="AE25" s="79" t="s">
        <v>433</v>
      </c>
      <c r="AF25" s="79" t="s">
        <v>443</v>
      </c>
      <c r="AG25" s="79">
        <v>2500</v>
      </c>
      <c r="AH25"/>
      <c r="AI25" s="72">
        <v>2435</v>
      </c>
      <c r="AJ25" s="72">
        <f t="shared" si="1"/>
        <v>1120.1000000000001</v>
      </c>
      <c r="AK25" s="72">
        <f t="shared" si="2"/>
        <v>800.07142857142867</v>
      </c>
      <c r="AL25" s="72">
        <f t="shared" si="3"/>
        <v>1792.16</v>
      </c>
      <c r="AM25" s="72">
        <f t="shared" si="4"/>
        <v>1120.1000000000001</v>
      </c>
      <c r="AN25" s="72">
        <v>51</v>
      </c>
      <c r="AO25" s="72">
        <v>28</v>
      </c>
      <c r="AP25" s="72"/>
      <c r="AQ25" s="72" t="s">
        <v>402</v>
      </c>
    </row>
    <row r="26" spans="2:43" x14ac:dyDescent="0.25">
      <c r="B26" s="85" t="s">
        <v>582</v>
      </c>
      <c r="C26" s="85">
        <v>1000</v>
      </c>
      <c r="D26" s="85">
        <v>675</v>
      </c>
      <c r="E26" s="85">
        <v>180</v>
      </c>
      <c r="F26" s="85">
        <v>625</v>
      </c>
      <c r="G26" s="85">
        <v>1500</v>
      </c>
      <c r="H26" s="85">
        <v>1700000</v>
      </c>
      <c r="I26" s="85">
        <v>620000</v>
      </c>
      <c r="J26" s="85">
        <v>0.5</v>
      </c>
      <c r="L26" s="77" t="s">
        <v>614</v>
      </c>
      <c r="M26" s="77" t="s">
        <v>70</v>
      </c>
      <c r="N26" s="74">
        <v>19360</v>
      </c>
      <c r="O26" s="74">
        <v>15270</v>
      </c>
      <c r="P26" s="74" t="s">
        <v>82</v>
      </c>
      <c r="Q26" s="74" t="s">
        <v>428</v>
      </c>
      <c r="R26" s="74">
        <v>7.25</v>
      </c>
      <c r="S26" s="76">
        <v>0.18</v>
      </c>
      <c r="T26" s="74">
        <v>1.25</v>
      </c>
      <c r="U26" s="74">
        <f>2+1/8</f>
        <v>2.125</v>
      </c>
      <c r="V26" s="74">
        <f t="shared" si="0"/>
        <v>9.375</v>
      </c>
      <c r="X26" s="78" t="s">
        <v>652</v>
      </c>
      <c r="Y26" s="79"/>
      <c r="Z26" s="79">
        <v>16.625</v>
      </c>
      <c r="AA26" s="79">
        <v>3145</v>
      </c>
      <c r="AB26" s="79">
        <v>2960</v>
      </c>
      <c r="AC26" s="79">
        <v>2960</v>
      </c>
      <c r="AD26" s="79">
        <v>0.625</v>
      </c>
      <c r="AE26" s="79" t="s">
        <v>433</v>
      </c>
      <c r="AF26" s="79" t="s">
        <v>445</v>
      </c>
      <c r="AG26" s="79">
        <v>2500</v>
      </c>
      <c r="AH26"/>
      <c r="AI26" s="72">
        <v>505</v>
      </c>
      <c r="AJ26" s="72">
        <f t="shared" si="1"/>
        <v>232.3</v>
      </c>
      <c r="AK26" s="72">
        <f t="shared" si="2"/>
        <v>165.92857142857144</v>
      </c>
      <c r="AL26" s="72">
        <f t="shared" si="3"/>
        <v>371.68</v>
      </c>
      <c r="AM26" s="72">
        <f t="shared" si="4"/>
        <v>232.3</v>
      </c>
      <c r="AN26" s="72">
        <v>13</v>
      </c>
      <c r="AO26" s="72">
        <v>9.5</v>
      </c>
      <c r="AP26" s="72"/>
      <c r="AQ26" s="72" t="s">
        <v>375</v>
      </c>
    </row>
    <row r="27" spans="2:43" x14ac:dyDescent="0.25">
      <c r="B27" s="85" t="s">
        <v>255</v>
      </c>
      <c r="C27" s="85">
        <v>900</v>
      </c>
      <c r="D27" s="85">
        <v>575</v>
      </c>
      <c r="E27" s="85">
        <v>180</v>
      </c>
      <c r="F27" s="85">
        <v>625</v>
      </c>
      <c r="G27" s="85">
        <v>1350</v>
      </c>
      <c r="H27" s="85">
        <v>1600000</v>
      </c>
      <c r="I27" s="85">
        <v>580000</v>
      </c>
      <c r="J27" s="85">
        <v>0.5</v>
      </c>
      <c r="L27" s="77" t="s">
        <v>94</v>
      </c>
      <c r="M27" s="77" t="s">
        <v>70</v>
      </c>
      <c r="N27" s="74">
        <v>1350</v>
      </c>
      <c r="O27" s="74">
        <v>1160</v>
      </c>
      <c r="P27" s="74" t="s">
        <v>78</v>
      </c>
      <c r="Q27" s="74" t="s">
        <v>79</v>
      </c>
      <c r="R27" s="74">
        <v>3</v>
      </c>
      <c r="S27" s="76">
        <v>0.193</v>
      </c>
      <c r="T27" s="74">
        <v>0.625</v>
      </c>
      <c r="U27" s="74">
        <f>1+3/8</f>
        <v>1.375</v>
      </c>
      <c r="V27" s="74">
        <f t="shared" si="0"/>
        <v>4.375</v>
      </c>
      <c r="X27" s="78" t="s">
        <v>653</v>
      </c>
      <c r="Y27" s="79"/>
      <c r="Z27" s="79">
        <v>20.625</v>
      </c>
      <c r="AA27" s="79">
        <v>4825</v>
      </c>
      <c r="AB27" s="79">
        <v>4295</v>
      </c>
      <c r="AC27" s="79">
        <v>4295</v>
      </c>
      <c r="AD27" s="79">
        <v>0.625</v>
      </c>
      <c r="AE27" s="79" t="s">
        <v>433</v>
      </c>
      <c r="AF27" s="79" t="s">
        <v>443</v>
      </c>
      <c r="AG27" s="79">
        <v>2500</v>
      </c>
      <c r="AH27"/>
      <c r="AI27" s="72">
        <v>755</v>
      </c>
      <c r="AJ27" s="72">
        <f t="shared" si="1"/>
        <v>347.3</v>
      </c>
      <c r="AK27" s="72">
        <f t="shared" si="2"/>
        <v>248.07142857142861</v>
      </c>
      <c r="AL27" s="72">
        <f t="shared" si="3"/>
        <v>555.68000000000006</v>
      </c>
      <c r="AM27" s="72">
        <f t="shared" si="4"/>
        <v>347.3</v>
      </c>
      <c r="AN27" s="72">
        <v>18</v>
      </c>
      <c r="AO27" s="72">
        <v>12</v>
      </c>
      <c r="AP27" s="72"/>
      <c r="AQ27" s="72" t="s">
        <v>376</v>
      </c>
    </row>
    <row r="28" spans="2:43" x14ac:dyDescent="0.25">
      <c r="B28" s="85" t="s">
        <v>583</v>
      </c>
      <c r="C28" s="85">
        <v>525</v>
      </c>
      <c r="D28" s="85">
        <v>325</v>
      </c>
      <c r="E28" s="85">
        <v>180</v>
      </c>
      <c r="F28" s="85">
        <v>625</v>
      </c>
      <c r="G28" s="85">
        <v>775</v>
      </c>
      <c r="H28" s="85">
        <v>1400000</v>
      </c>
      <c r="I28" s="85">
        <v>510000</v>
      </c>
      <c r="J28" s="85">
        <v>0.5</v>
      </c>
      <c r="L28" s="77" t="s">
        <v>95</v>
      </c>
      <c r="M28" s="77" t="s">
        <v>70</v>
      </c>
      <c r="N28" s="74">
        <v>2275</v>
      </c>
      <c r="O28" s="74">
        <v>2230</v>
      </c>
      <c r="P28" s="74" t="s">
        <v>78</v>
      </c>
      <c r="Q28" s="74" t="s">
        <v>79</v>
      </c>
      <c r="R28" s="74">
        <v>3</v>
      </c>
      <c r="S28" s="76">
        <v>1.2999999999999999E-2</v>
      </c>
      <c r="T28" s="74">
        <v>0.625</v>
      </c>
      <c r="U28" s="74">
        <f>1+1/8</f>
        <v>1.125</v>
      </c>
      <c r="V28" s="74">
        <f t="shared" si="0"/>
        <v>4.125</v>
      </c>
      <c r="X28" s="78" t="s">
        <v>654</v>
      </c>
      <c r="Y28" s="79"/>
      <c r="Z28" s="79">
        <v>20.625</v>
      </c>
      <c r="AA28" s="79">
        <v>3740</v>
      </c>
      <c r="AB28" s="79">
        <v>3325</v>
      </c>
      <c r="AC28" s="79">
        <v>3325</v>
      </c>
      <c r="AD28" s="79">
        <v>0.625</v>
      </c>
      <c r="AE28" s="79" t="s">
        <v>433</v>
      </c>
      <c r="AF28" s="79" t="s">
        <v>445</v>
      </c>
      <c r="AG28" s="79">
        <v>2500</v>
      </c>
      <c r="AH28"/>
      <c r="AI28" s="72">
        <v>980</v>
      </c>
      <c r="AJ28" s="72">
        <f t="shared" si="1"/>
        <v>450.8</v>
      </c>
      <c r="AK28" s="72">
        <f t="shared" si="2"/>
        <v>322</v>
      </c>
      <c r="AL28" s="72">
        <f t="shared" si="3"/>
        <v>721.28000000000009</v>
      </c>
      <c r="AM28" s="72">
        <f t="shared" si="4"/>
        <v>450.8</v>
      </c>
      <c r="AN28" s="72">
        <v>24</v>
      </c>
      <c r="AO28" s="72">
        <v>14</v>
      </c>
      <c r="AP28" s="72"/>
      <c r="AQ28" s="72" t="s">
        <v>377</v>
      </c>
    </row>
    <row r="29" spans="2:43" x14ac:dyDescent="0.25">
      <c r="B29" s="85" t="s">
        <v>584</v>
      </c>
      <c r="C29" s="85">
        <v>1400</v>
      </c>
      <c r="D29" s="85">
        <v>925</v>
      </c>
      <c r="E29" s="85">
        <v>150</v>
      </c>
      <c r="F29" s="85">
        <v>405</v>
      </c>
      <c r="G29" s="85">
        <v>1500</v>
      </c>
      <c r="H29" s="85">
        <v>1600000</v>
      </c>
      <c r="I29" s="85">
        <v>580000</v>
      </c>
      <c r="J29" s="85">
        <v>0.43</v>
      </c>
      <c r="L29" s="77" t="s">
        <v>96</v>
      </c>
      <c r="M29" s="77" t="s">
        <v>70</v>
      </c>
      <c r="N29" s="74">
        <v>4455</v>
      </c>
      <c r="O29" s="74">
        <v>3830</v>
      </c>
      <c r="P29" s="74" t="s">
        <v>78</v>
      </c>
      <c r="Q29" s="74" t="s">
        <v>79</v>
      </c>
      <c r="R29" s="74">
        <v>3</v>
      </c>
      <c r="S29" s="76">
        <v>0.112</v>
      </c>
      <c r="T29" s="74">
        <v>0.625</v>
      </c>
      <c r="U29" s="74">
        <f>1+5/16</f>
        <v>1.3125</v>
      </c>
      <c r="V29" s="74">
        <f t="shared" si="0"/>
        <v>4.3125</v>
      </c>
      <c r="X29" s="78" t="s">
        <v>655</v>
      </c>
      <c r="Y29" s="79"/>
      <c r="Z29" s="79">
        <v>24.875</v>
      </c>
      <c r="AA29" s="79">
        <v>9505</v>
      </c>
      <c r="AB29" s="79">
        <v>8360</v>
      </c>
      <c r="AC29" s="79">
        <v>7310</v>
      </c>
      <c r="AD29" s="79">
        <v>0.875</v>
      </c>
      <c r="AE29" s="79" t="s">
        <v>441</v>
      </c>
      <c r="AF29" s="79" t="s">
        <v>443</v>
      </c>
      <c r="AG29" s="79">
        <v>2500</v>
      </c>
      <c r="AH29"/>
      <c r="AI29" s="72">
        <v>1260</v>
      </c>
      <c r="AJ29" s="72">
        <f t="shared" si="1"/>
        <v>579.6</v>
      </c>
      <c r="AK29" s="72">
        <f t="shared" si="2"/>
        <v>414.00000000000006</v>
      </c>
      <c r="AL29" s="72">
        <f t="shared" si="3"/>
        <v>927.36</v>
      </c>
      <c r="AM29" s="72">
        <f t="shared" si="4"/>
        <v>579.6</v>
      </c>
      <c r="AN29" s="72">
        <v>37</v>
      </c>
      <c r="AO29" s="72">
        <v>18</v>
      </c>
      <c r="AP29" s="72"/>
      <c r="AQ29" s="72" t="s">
        <v>378</v>
      </c>
    </row>
    <row r="30" spans="2:43" x14ac:dyDescent="0.25">
      <c r="B30" s="85" t="s">
        <v>585</v>
      </c>
      <c r="C30" s="85">
        <v>975</v>
      </c>
      <c r="D30" s="85">
        <v>625</v>
      </c>
      <c r="E30" s="85">
        <v>150</v>
      </c>
      <c r="F30" s="85">
        <v>405</v>
      </c>
      <c r="G30" s="85">
        <v>1350</v>
      </c>
      <c r="H30" s="85">
        <v>1500000</v>
      </c>
      <c r="I30" s="85">
        <v>550000</v>
      </c>
      <c r="J30" s="85">
        <v>0.43</v>
      </c>
      <c r="L30" s="77" t="s">
        <v>97</v>
      </c>
      <c r="M30" s="77" t="s">
        <v>70</v>
      </c>
      <c r="N30" s="74">
        <v>5090</v>
      </c>
      <c r="O30" s="74">
        <v>4375</v>
      </c>
      <c r="P30" s="74" t="s">
        <v>78</v>
      </c>
      <c r="Q30" s="74" t="s">
        <v>79</v>
      </c>
      <c r="R30" s="74">
        <v>3</v>
      </c>
      <c r="S30" s="76">
        <v>0.13500000000000001</v>
      </c>
      <c r="T30" s="74">
        <v>0.625</v>
      </c>
      <c r="U30" s="74">
        <f>1+3/8</f>
        <v>1.375</v>
      </c>
      <c r="V30" s="74">
        <f t="shared" si="0"/>
        <v>4.375</v>
      </c>
      <c r="X30" s="78" t="s">
        <v>656</v>
      </c>
      <c r="Y30" s="79"/>
      <c r="Z30" s="79">
        <v>24.875</v>
      </c>
      <c r="AA30" s="79">
        <v>8315</v>
      </c>
      <c r="AB30" s="79">
        <v>7315</v>
      </c>
      <c r="AC30" s="79">
        <v>6395</v>
      </c>
      <c r="AD30" s="79">
        <v>0.875</v>
      </c>
      <c r="AE30" s="79" t="s">
        <v>441</v>
      </c>
      <c r="AF30" s="79" t="s">
        <v>445</v>
      </c>
      <c r="AG30" s="79">
        <v>2500</v>
      </c>
      <c r="AH30"/>
      <c r="AI30" s="72">
        <v>560</v>
      </c>
      <c r="AJ30" s="72">
        <f t="shared" si="1"/>
        <v>257.60000000000002</v>
      </c>
      <c r="AK30" s="72">
        <f t="shared" si="2"/>
        <v>184</v>
      </c>
      <c r="AL30" s="72">
        <f t="shared" si="3"/>
        <v>412.16</v>
      </c>
      <c r="AM30" s="72">
        <f t="shared" si="4"/>
        <v>257.60000000000002</v>
      </c>
      <c r="AN30" s="72">
        <v>11</v>
      </c>
      <c r="AO30" s="72">
        <v>8.5</v>
      </c>
      <c r="AP30" s="72"/>
      <c r="AQ30" s="72" t="s">
        <v>379</v>
      </c>
    </row>
    <row r="31" spans="2:43" x14ac:dyDescent="0.25">
      <c r="B31" s="85" t="s">
        <v>586</v>
      </c>
      <c r="C31" s="85">
        <v>850</v>
      </c>
      <c r="D31" s="85">
        <v>525</v>
      </c>
      <c r="E31" s="85">
        <v>150</v>
      </c>
      <c r="F31" s="85">
        <v>405</v>
      </c>
      <c r="G31" s="85">
        <v>1300</v>
      </c>
      <c r="H31" s="85">
        <v>1300000</v>
      </c>
      <c r="I31" s="85">
        <v>470000</v>
      </c>
      <c r="J31" s="85">
        <v>0.43</v>
      </c>
      <c r="L31" s="77" t="s">
        <v>98</v>
      </c>
      <c r="M31" s="77" t="s">
        <v>70</v>
      </c>
      <c r="N31" s="74">
        <v>5445</v>
      </c>
      <c r="O31" s="74">
        <v>5360</v>
      </c>
      <c r="P31" s="74" t="s">
        <v>78</v>
      </c>
      <c r="Q31" s="74" t="s">
        <v>79</v>
      </c>
      <c r="R31" s="74">
        <v>3</v>
      </c>
      <c r="S31" s="76">
        <v>0.10299999999999999</v>
      </c>
      <c r="T31" s="74">
        <v>0.625</v>
      </c>
      <c r="U31" s="74">
        <f>1+3/8</f>
        <v>1.375</v>
      </c>
      <c r="V31" s="74">
        <f t="shared" si="0"/>
        <v>4.375</v>
      </c>
      <c r="X31" s="78" t="s">
        <v>657</v>
      </c>
      <c r="Y31" s="79"/>
      <c r="Z31" s="79">
        <v>28.875</v>
      </c>
      <c r="AA31" s="79">
        <v>9505</v>
      </c>
      <c r="AB31" s="79">
        <v>8360</v>
      </c>
      <c r="AC31" s="79">
        <v>7310</v>
      </c>
      <c r="AD31" s="79">
        <v>0.875</v>
      </c>
      <c r="AE31" s="79" t="s">
        <v>441</v>
      </c>
      <c r="AF31" s="79" t="s">
        <v>443</v>
      </c>
      <c r="AG31" s="79">
        <v>2500</v>
      </c>
      <c r="AH31"/>
      <c r="AI31" s="72">
        <v>840</v>
      </c>
      <c r="AJ31" s="72">
        <f t="shared" si="1"/>
        <v>386.40000000000003</v>
      </c>
      <c r="AK31" s="72">
        <f t="shared" si="2"/>
        <v>276</v>
      </c>
      <c r="AL31" s="72">
        <f t="shared" si="3"/>
        <v>618.24</v>
      </c>
      <c r="AM31" s="72">
        <f t="shared" si="4"/>
        <v>386.40000000000003</v>
      </c>
      <c r="AN31" s="72">
        <v>15</v>
      </c>
      <c r="AO31" s="72">
        <v>11</v>
      </c>
      <c r="AP31" s="72"/>
      <c r="AQ31" s="72" t="s">
        <v>380</v>
      </c>
    </row>
    <row r="32" spans="2:43" x14ac:dyDescent="0.25">
      <c r="B32" s="85" t="s">
        <v>587</v>
      </c>
      <c r="C32" s="85">
        <v>500</v>
      </c>
      <c r="D32" s="85">
        <v>300</v>
      </c>
      <c r="E32" s="85">
        <v>150</v>
      </c>
      <c r="F32" s="85">
        <v>405</v>
      </c>
      <c r="G32" s="85">
        <v>725</v>
      </c>
      <c r="H32" s="85">
        <v>1200000</v>
      </c>
      <c r="I32" s="85">
        <v>440000</v>
      </c>
      <c r="J32" s="85">
        <v>0.43</v>
      </c>
      <c r="L32" s="77" t="s">
        <v>99</v>
      </c>
      <c r="M32" s="77" t="s">
        <v>70</v>
      </c>
      <c r="N32" s="74">
        <v>5090</v>
      </c>
      <c r="O32" s="74">
        <v>4375</v>
      </c>
      <c r="P32" s="74" t="s">
        <v>78</v>
      </c>
      <c r="Q32" s="74" t="s">
        <v>79</v>
      </c>
      <c r="R32" s="74">
        <v>3</v>
      </c>
      <c r="S32" s="76">
        <v>0.121</v>
      </c>
      <c r="T32" s="74">
        <v>0.75</v>
      </c>
      <c r="U32" s="74">
        <f>1+3/8</f>
        <v>1.375</v>
      </c>
      <c r="V32" s="74">
        <f t="shared" si="0"/>
        <v>4.375</v>
      </c>
      <c r="X32" s="78" t="s">
        <v>658</v>
      </c>
      <c r="Y32" s="79"/>
      <c r="Z32" s="79">
        <v>28.875</v>
      </c>
      <c r="AA32" s="79">
        <v>8315</v>
      </c>
      <c r="AB32" s="79">
        <v>7315</v>
      </c>
      <c r="AC32" s="79">
        <v>6395</v>
      </c>
      <c r="AD32" s="79">
        <v>0.875</v>
      </c>
      <c r="AE32" s="79" t="s">
        <v>441</v>
      </c>
      <c r="AF32" s="79" t="s">
        <v>445</v>
      </c>
      <c r="AG32" s="79">
        <v>2500</v>
      </c>
      <c r="AH32"/>
      <c r="AI32" s="72">
        <v>1090</v>
      </c>
      <c r="AJ32" s="72">
        <f t="shared" si="1"/>
        <v>501.40000000000003</v>
      </c>
      <c r="AK32" s="72">
        <f t="shared" si="2"/>
        <v>358.14285714285722</v>
      </c>
      <c r="AL32" s="72">
        <f t="shared" si="3"/>
        <v>802.24</v>
      </c>
      <c r="AM32" s="72">
        <f t="shared" si="4"/>
        <v>501.40000000000003</v>
      </c>
      <c r="AN32" s="72">
        <v>20</v>
      </c>
      <c r="AO32" s="72">
        <v>13</v>
      </c>
      <c r="AP32" s="72"/>
      <c r="AQ32" s="72" t="s">
        <v>381</v>
      </c>
    </row>
    <row r="33" spans="2:43" x14ac:dyDescent="0.25">
      <c r="B33" s="85" t="s">
        <v>588</v>
      </c>
      <c r="C33" s="85">
        <v>2100</v>
      </c>
      <c r="D33" s="85">
        <v>1450</v>
      </c>
      <c r="E33" s="85">
        <v>175</v>
      </c>
      <c r="F33" s="85">
        <v>565</v>
      </c>
      <c r="G33" s="85">
        <v>1800</v>
      </c>
      <c r="H33" s="85">
        <v>1800000</v>
      </c>
      <c r="I33" s="85">
        <v>660000</v>
      </c>
      <c r="J33" s="85">
        <v>0.55000000000000004</v>
      </c>
      <c r="L33" s="77" t="s">
        <v>431</v>
      </c>
      <c r="M33" s="77" t="s">
        <v>70</v>
      </c>
      <c r="N33" s="74">
        <v>6505</v>
      </c>
      <c r="O33" s="74">
        <v>5675</v>
      </c>
      <c r="P33" s="74" t="s">
        <v>78</v>
      </c>
      <c r="Q33" s="74" t="s">
        <v>79</v>
      </c>
      <c r="R33" s="74">
        <v>3</v>
      </c>
      <c r="S33" s="76">
        <v>0.14000000000000001</v>
      </c>
      <c r="T33" s="74">
        <v>0.75</v>
      </c>
      <c r="U33" s="74">
        <f>1+5/16</f>
        <v>1.3125</v>
      </c>
      <c r="V33" s="74">
        <f t="shared" si="0"/>
        <v>4.3125</v>
      </c>
      <c r="X33" s="78" t="s">
        <v>659</v>
      </c>
      <c r="Y33" s="79">
        <v>8</v>
      </c>
      <c r="Z33" s="79">
        <v>4.5</v>
      </c>
      <c r="AA33" s="79">
        <v>4270</v>
      </c>
      <c r="AB33" s="79"/>
      <c r="AC33" s="79"/>
      <c r="AD33" s="79">
        <v>0.5</v>
      </c>
      <c r="AE33" s="79" t="s">
        <v>602</v>
      </c>
      <c r="AF33" s="79" t="s">
        <v>443</v>
      </c>
      <c r="AG33" s="79">
        <v>2500</v>
      </c>
      <c r="AH33"/>
      <c r="AI33" s="72">
        <v>1430</v>
      </c>
      <c r="AJ33" s="72">
        <f t="shared" si="1"/>
        <v>657.80000000000007</v>
      </c>
      <c r="AK33" s="72">
        <f t="shared" si="2"/>
        <v>469.85714285714289</v>
      </c>
      <c r="AL33" s="72">
        <f t="shared" si="3"/>
        <v>1052.48</v>
      </c>
      <c r="AM33" s="72">
        <f t="shared" si="4"/>
        <v>657.80000000000007</v>
      </c>
      <c r="AN33" s="72">
        <v>32</v>
      </c>
      <c r="AO33" s="72">
        <v>17</v>
      </c>
      <c r="AP33" s="72"/>
      <c r="AQ33" s="72" t="s">
        <v>382</v>
      </c>
    </row>
    <row r="34" spans="2:43" x14ac:dyDescent="0.25">
      <c r="B34" s="85" t="s">
        <v>589</v>
      </c>
      <c r="C34" s="85">
        <v>1350</v>
      </c>
      <c r="D34" s="85">
        <v>875</v>
      </c>
      <c r="E34" s="85">
        <v>175</v>
      </c>
      <c r="F34" s="85">
        <v>565</v>
      </c>
      <c r="G34" s="85">
        <v>1550</v>
      </c>
      <c r="H34" s="85">
        <v>1600000</v>
      </c>
      <c r="I34" s="85">
        <v>580000</v>
      </c>
      <c r="J34" s="85">
        <v>0.55000000000000004</v>
      </c>
      <c r="L34" s="77" t="s">
        <v>100</v>
      </c>
      <c r="M34" s="77" t="s">
        <v>550</v>
      </c>
      <c r="N34" s="74">
        <v>1395</v>
      </c>
      <c r="O34" s="74">
        <v>1395</v>
      </c>
      <c r="P34" s="74" t="s">
        <v>78</v>
      </c>
      <c r="Q34" s="74" t="s">
        <v>79</v>
      </c>
      <c r="R34" s="74">
        <v>1.5</v>
      </c>
      <c r="S34" s="76">
        <v>0.114</v>
      </c>
      <c r="T34" s="77">
        <v>0</v>
      </c>
      <c r="U34" s="74">
        <v>0</v>
      </c>
      <c r="V34" s="74">
        <f t="shared" si="0"/>
        <v>1.5</v>
      </c>
      <c r="X34" s="78" t="s">
        <v>660</v>
      </c>
      <c r="Y34" s="79">
        <v>6.5</v>
      </c>
      <c r="Z34" s="79">
        <v>3.5</v>
      </c>
      <c r="AA34" s="79">
        <v>4270</v>
      </c>
      <c r="AB34" s="79"/>
      <c r="AC34" s="79"/>
      <c r="AD34" s="79">
        <v>0.5</v>
      </c>
      <c r="AE34" s="79" t="s">
        <v>602</v>
      </c>
      <c r="AF34" s="79" t="s">
        <v>443</v>
      </c>
      <c r="AG34" s="79">
        <v>3000</v>
      </c>
      <c r="AH34"/>
      <c r="AI34" s="72">
        <v>730</v>
      </c>
      <c r="AJ34" s="72">
        <f t="shared" si="1"/>
        <v>335.8</v>
      </c>
      <c r="AK34" s="72">
        <f t="shared" si="2"/>
        <v>239.85714285714286</v>
      </c>
      <c r="AL34" s="72">
        <f t="shared" si="3"/>
        <v>537.28</v>
      </c>
      <c r="AM34" s="72">
        <f t="shared" si="4"/>
        <v>335.8</v>
      </c>
      <c r="AN34" s="72">
        <v>13</v>
      </c>
      <c r="AO34" s="72">
        <v>10</v>
      </c>
      <c r="AP34" s="72"/>
      <c r="AQ34" s="72" t="s">
        <v>383</v>
      </c>
    </row>
    <row r="35" spans="2:43" x14ac:dyDescent="0.25">
      <c r="B35" s="85" t="s">
        <v>590</v>
      </c>
      <c r="C35" s="85">
        <v>1000</v>
      </c>
      <c r="D35" s="85">
        <v>600</v>
      </c>
      <c r="E35" s="85">
        <v>175</v>
      </c>
      <c r="F35" s="85">
        <v>565</v>
      </c>
      <c r="G35" s="85">
        <v>1400</v>
      </c>
      <c r="H35" s="85">
        <v>1400000</v>
      </c>
      <c r="I35" s="85">
        <v>510000</v>
      </c>
      <c r="J35" s="85">
        <v>0.55000000000000004</v>
      </c>
      <c r="L35" s="77" t="s">
        <v>101</v>
      </c>
      <c r="M35" s="77" t="s">
        <v>550</v>
      </c>
      <c r="N35" s="74">
        <v>1635</v>
      </c>
      <c r="O35" s="74">
        <v>1635</v>
      </c>
      <c r="P35" s="74" t="s">
        <v>78</v>
      </c>
      <c r="Q35" s="74" t="s">
        <v>79</v>
      </c>
      <c r="R35" s="74">
        <v>1.5</v>
      </c>
      <c r="S35" s="76">
        <v>0.14599999999999999</v>
      </c>
      <c r="T35" s="77">
        <v>0</v>
      </c>
      <c r="U35" s="74">
        <v>0</v>
      </c>
      <c r="V35" s="74">
        <f t="shared" si="0"/>
        <v>1.5</v>
      </c>
      <c r="X35" s="78" t="s">
        <v>661</v>
      </c>
      <c r="Y35" s="79">
        <v>4</v>
      </c>
      <c r="Z35" s="79">
        <v>7</v>
      </c>
      <c r="AA35" s="79">
        <v>4270</v>
      </c>
      <c r="AB35" s="79"/>
      <c r="AC35" s="79"/>
      <c r="AD35" s="79">
        <v>0.5</v>
      </c>
      <c r="AE35" s="79" t="s">
        <v>602</v>
      </c>
      <c r="AF35" s="79" t="s">
        <v>445</v>
      </c>
      <c r="AG35" s="79">
        <v>2500</v>
      </c>
      <c r="AH35"/>
      <c r="AI35" s="72">
        <v>1065</v>
      </c>
      <c r="AJ35" s="72">
        <f t="shared" si="1"/>
        <v>489.90000000000003</v>
      </c>
      <c r="AK35" s="72">
        <f t="shared" si="2"/>
        <v>349.9285714285715</v>
      </c>
      <c r="AL35" s="72">
        <f t="shared" si="3"/>
        <v>783.84</v>
      </c>
      <c r="AM35" s="72">
        <f t="shared" si="4"/>
        <v>489.90000000000003</v>
      </c>
      <c r="AN35" s="72">
        <v>19</v>
      </c>
      <c r="AO35" s="72">
        <v>13</v>
      </c>
      <c r="AP35" s="72"/>
      <c r="AQ35" s="72" t="s">
        <v>384</v>
      </c>
    </row>
    <row r="36" spans="2:43" x14ac:dyDescent="0.25">
      <c r="B36" s="85" t="s">
        <v>591</v>
      </c>
      <c r="C36" s="85">
        <v>575</v>
      </c>
      <c r="D36" s="85">
        <v>350</v>
      </c>
      <c r="E36" s="85">
        <v>175</v>
      </c>
      <c r="F36" s="85">
        <v>565</v>
      </c>
      <c r="G36" s="85">
        <v>800</v>
      </c>
      <c r="H36" s="85">
        <v>1300000</v>
      </c>
      <c r="I36" s="85">
        <v>470000</v>
      </c>
      <c r="J36" s="85">
        <v>0.55000000000000004</v>
      </c>
      <c r="L36" s="77" t="s">
        <v>102</v>
      </c>
      <c r="M36" s="77" t="s">
        <v>550</v>
      </c>
      <c r="N36" s="74">
        <v>3065</v>
      </c>
      <c r="O36" s="74">
        <v>3065</v>
      </c>
      <c r="P36" s="74" t="s">
        <v>78</v>
      </c>
      <c r="Q36" s="74" t="s">
        <v>79</v>
      </c>
      <c r="R36" s="74">
        <v>1.5</v>
      </c>
      <c r="S36" s="76">
        <v>0.16400000000000001</v>
      </c>
      <c r="T36" s="77">
        <v>0</v>
      </c>
      <c r="U36" s="74">
        <v>0</v>
      </c>
      <c r="V36" s="74">
        <f t="shared" si="0"/>
        <v>1.5</v>
      </c>
      <c r="X36" s="78" t="s">
        <v>662</v>
      </c>
      <c r="Y36" s="79">
        <v>4</v>
      </c>
      <c r="Z36" s="79">
        <v>7</v>
      </c>
      <c r="AA36" s="79">
        <v>4270</v>
      </c>
      <c r="AB36" s="79"/>
      <c r="AC36" s="79"/>
      <c r="AD36" s="79">
        <v>0.5</v>
      </c>
      <c r="AE36" s="79" t="s">
        <v>602</v>
      </c>
      <c r="AF36" s="79" t="s">
        <v>445</v>
      </c>
      <c r="AG36" s="79">
        <v>3000</v>
      </c>
      <c r="AH36"/>
      <c r="AI36" s="72">
        <v>1370</v>
      </c>
      <c r="AJ36" s="72">
        <f t="shared" si="1"/>
        <v>630.20000000000005</v>
      </c>
      <c r="AK36" s="72">
        <f t="shared" si="2"/>
        <v>450.14285714285722</v>
      </c>
      <c r="AL36" s="72">
        <f t="shared" si="3"/>
        <v>1008.32</v>
      </c>
      <c r="AM36" s="72">
        <f t="shared" si="4"/>
        <v>630.20000000000005</v>
      </c>
      <c r="AN36" s="72">
        <v>25</v>
      </c>
      <c r="AO36" s="72">
        <v>15</v>
      </c>
      <c r="AP36" s="72"/>
      <c r="AQ36" s="72" t="s">
        <v>385</v>
      </c>
    </row>
    <row r="37" spans="2:43" x14ac:dyDescent="0.25">
      <c r="B37" s="85" t="s">
        <v>592</v>
      </c>
      <c r="C37" s="85">
        <v>1250</v>
      </c>
      <c r="D37" s="85">
        <v>700</v>
      </c>
      <c r="E37" s="85">
        <v>135</v>
      </c>
      <c r="F37" s="85">
        <v>425</v>
      </c>
      <c r="G37" s="85">
        <v>1400</v>
      </c>
      <c r="H37" s="85">
        <v>1500000</v>
      </c>
      <c r="I37" s="85">
        <v>550000</v>
      </c>
      <c r="J37" s="85">
        <v>0.42</v>
      </c>
      <c r="L37" s="77" t="s">
        <v>615</v>
      </c>
      <c r="M37" s="77" t="s">
        <v>550</v>
      </c>
      <c r="N37" s="74">
        <v>9215</v>
      </c>
      <c r="O37" s="74"/>
      <c r="P37" s="74" t="s">
        <v>86</v>
      </c>
      <c r="Q37" s="74" t="s">
        <v>83</v>
      </c>
      <c r="R37" s="74">
        <v>2.75</v>
      </c>
      <c r="S37" s="76"/>
      <c r="T37" s="74" t="s">
        <v>446</v>
      </c>
      <c r="U37" s="74"/>
      <c r="V37" s="74">
        <f t="shared" si="0"/>
        <v>2.75</v>
      </c>
      <c r="X37" s="78" t="s">
        <v>663</v>
      </c>
      <c r="Y37" s="79">
        <v>4</v>
      </c>
      <c r="Z37" s="79">
        <v>7.5</v>
      </c>
      <c r="AA37" s="79">
        <v>5535</v>
      </c>
      <c r="AB37" s="79"/>
      <c r="AC37" s="79"/>
      <c r="AD37" s="79">
        <v>0.625</v>
      </c>
      <c r="AE37" s="79" t="s">
        <v>602</v>
      </c>
      <c r="AF37" s="79" t="s">
        <v>443</v>
      </c>
      <c r="AG37" s="79">
        <v>2500</v>
      </c>
      <c r="AH37"/>
      <c r="AI37" s="72">
        <v>1790</v>
      </c>
      <c r="AJ37" s="72">
        <f t="shared" ref="AJ37:AJ53" si="5">AI37/2*0.92</f>
        <v>823.40000000000009</v>
      </c>
      <c r="AK37" s="72">
        <f t="shared" ref="AK37:AK53" si="6">AI37/2.8*0.92</f>
        <v>588.14285714285722</v>
      </c>
      <c r="AL37" s="72">
        <f t="shared" ref="AL37:AL53" si="7">0.8*AI37*0.92</f>
        <v>1317.44</v>
      </c>
      <c r="AM37" s="72">
        <f t="shared" ref="AM37:AM53" si="8">0.5*AI37*0.92</f>
        <v>823.40000000000009</v>
      </c>
      <c r="AN37" s="72">
        <v>39</v>
      </c>
      <c r="AO37" s="72">
        <v>20</v>
      </c>
      <c r="AP37" s="72"/>
      <c r="AQ37" s="72" t="s">
        <v>386</v>
      </c>
    </row>
    <row r="38" spans="2:43" x14ac:dyDescent="0.25">
      <c r="B38" s="85" t="s">
        <v>593</v>
      </c>
      <c r="C38" s="85">
        <v>875</v>
      </c>
      <c r="D38" s="85">
        <v>450</v>
      </c>
      <c r="E38" s="85">
        <v>135</v>
      </c>
      <c r="F38" s="85">
        <v>425</v>
      </c>
      <c r="G38" s="85">
        <v>1150</v>
      </c>
      <c r="H38" s="85">
        <v>1400000</v>
      </c>
      <c r="I38" s="85">
        <v>510000</v>
      </c>
      <c r="J38" s="85">
        <v>0.42</v>
      </c>
      <c r="L38" s="77" t="s">
        <v>616</v>
      </c>
      <c r="M38" s="77" t="s">
        <v>550</v>
      </c>
      <c r="N38" s="74"/>
      <c r="O38" s="74">
        <v>9215</v>
      </c>
      <c r="P38" s="74" t="s">
        <v>86</v>
      </c>
      <c r="Q38" s="74" t="s">
        <v>83</v>
      </c>
      <c r="R38" s="74">
        <v>2.75</v>
      </c>
      <c r="S38" s="76"/>
      <c r="T38" s="74" t="s">
        <v>447</v>
      </c>
      <c r="U38" s="74"/>
      <c r="V38" s="74">
        <f t="shared" si="0"/>
        <v>2.75</v>
      </c>
      <c r="X38" s="78" t="s">
        <v>664</v>
      </c>
      <c r="Y38" s="79">
        <v>5</v>
      </c>
      <c r="Z38" s="79">
        <v>9</v>
      </c>
      <c r="AA38" s="79">
        <v>6675</v>
      </c>
      <c r="AB38" s="79"/>
      <c r="AC38" s="79"/>
      <c r="AD38" s="79">
        <v>0.625</v>
      </c>
      <c r="AE38" s="79" t="s">
        <v>602</v>
      </c>
      <c r="AF38" s="79" t="s">
        <v>443</v>
      </c>
      <c r="AG38" s="79">
        <v>2500</v>
      </c>
      <c r="AH38"/>
      <c r="AI38" s="72">
        <v>870</v>
      </c>
      <c r="AJ38" s="72">
        <f t="shared" si="5"/>
        <v>400.20000000000005</v>
      </c>
      <c r="AK38" s="72">
        <f t="shared" si="6"/>
        <v>285.85714285714289</v>
      </c>
      <c r="AL38" s="72">
        <f t="shared" si="7"/>
        <v>640.32000000000005</v>
      </c>
      <c r="AM38" s="72">
        <f t="shared" si="8"/>
        <v>400.20000000000005</v>
      </c>
      <c r="AN38" s="72">
        <v>22</v>
      </c>
      <c r="AO38" s="72">
        <v>14</v>
      </c>
      <c r="AP38" s="72"/>
      <c r="AQ38" s="72" t="s">
        <v>387</v>
      </c>
    </row>
    <row r="39" spans="2:43" x14ac:dyDescent="0.25">
      <c r="B39" s="85" t="s">
        <v>594</v>
      </c>
      <c r="C39" s="85">
        <v>875</v>
      </c>
      <c r="D39" s="85">
        <v>450</v>
      </c>
      <c r="E39" s="85">
        <v>135</v>
      </c>
      <c r="F39" s="85">
        <v>425</v>
      </c>
      <c r="G39" s="85">
        <v>1150</v>
      </c>
      <c r="H39" s="85">
        <v>1400000</v>
      </c>
      <c r="I39" s="85">
        <v>510000</v>
      </c>
      <c r="J39" s="85">
        <v>0.42</v>
      </c>
      <c r="L39" s="77" t="s">
        <v>617</v>
      </c>
      <c r="M39" s="77" t="s">
        <v>550</v>
      </c>
      <c r="N39" s="74">
        <v>6475</v>
      </c>
      <c r="O39" s="74"/>
      <c r="P39" s="74" t="s">
        <v>86</v>
      </c>
      <c r="Q39" s="74" t="s">
        <v>83</v>
      </c>
      <c r="R39" s="74">
        <v>2.75</v>
      </c>
      <c r="S39" s="76"/>
      <c r="T39" s="74" t="s">
        <v>553</v>
      </c>
      <c r="U39" s="74"/>
      <c r="V39" s="74">
        <f t="shared" si="0"/>
        <v>2.75</v>
      </c>
      <c r="X39" s="78" t="s">
        <v>665</v>
      </c>
      <c r="Y39" s="79">
        <v>3.5</v>
      </c>
      <c r="Z39" s="79">
        <v>6.5</v>
      </c>
      <c r="AA39" s="79">
        <v>5175</v>
      </c>
      <c r="AB39" s="79"/>
      <c r="AC39" s="79"/>
      <c r="AD39" s="79">
        <v>0.625</v>
      </c>
      <c r="AE39" s="79" t="s">
        <v>602</v>
      </c>
      <c r="AF39" s="79" t="s">
        <v>443</v>
      </c>
      <c r="AG39" s="79">
        <v>3000</v>
      </c>
      <c r="AH39"/>
      <c r="AI39" s="72">
        <v>1290</v>
      </c>
      <c r="AJ39" s="72">
        <f t="shared" si="5"/>
        <v>593.4</v>
      </c>
      <c r="AK39" s="72">
        <f t="shared" si="6"/>
        <v>423.85714285714289</v>
      </c>
      <c r="AL39" s="72">
        <f t="shared" si="7"/>
        <v>949.44</v>
      </c>
      <c r="AM39" s="72">
        <f t="shared" si="8"/>
        <v>593.4</v>
      </c>
      <c r="AN39" s="72">
        <v>30</v>
      </c>
      <c r="AO39" s="72">
        <v>17</v>
      </c>
      <c r="AP39" s="72"/>
      <c r="AQ39" s="72" t="s">
        <v>388</v>
      </c>
    </row>
    <row r="40" spans="2:43" x14ac:dyDescent="0.25">
      <c r="B40" s="85" t="s">
        <v>595</v>
      </c>
      <c r="C40" s="85">
        <v>500</v>
      </c>
      <c r="D40" s="85">
        <v>250</v>
      </c>
      <c r="E40" s="85">
        <v>135</v>
      </c>
      <c r="F40" s="85">
        <v>425</v>
      </c>
      <c r="G40" s="85">
        <v>650</v>
      </c>
      <c r="H40" s="85">
        <v>1200000</v>
      </c>
      <c r="I40" s="85">
        <v>440000</v>
      </c>
      <c r="J40" s="85">
        <v>0.42</v>
      </c>
      <c r="L40" s="77" t="s">
        <v>618</v>
      </c>
      <c r="M40" s="77" t="s">
        <v>550</v>
      </c>
      <c r="N40" s="74"/>
      <c r="O40" s="74">
        <v>6475</v>
      </c>
      <c r="P40" s="74" t="s">
        <v>86</v>
      </c>
      <c r="Q40" s="74" t="s">
        <v>83</v>
      </c>
      <c r="R40" s="74">
        <v>2.75</v>
      </c>
      <c r="S40" s="76"/>
      <c r="T40" s="74" t="s">
        <v>554</v>
      </c>
      <c r="U40" s="74"/>
      <c r="V40" s="74">
        <f t="shared" si="0"/>
        <v>2.75</v>
      </c>
      <c r="X40" s="78" t="s">
        <v>666</v>
      </c>
      <c r="Y40" s="79">
        <v>4.5</v>
      </c>
      <c r="Z40" s="79">
        <v>8</v>
      </c>
      <c r="AA40" s="79">
        <v>6675</v>
      </c>
      <c r="AB40" s="79"/>
      <c r="AC40" s="79"/>
      <c r="AD40" s="79">
        <v>0.625</v>
      </c>
      <c r="AE40" s="79" t="s">
        <v>602</v>
      </c>
      <c r="AF40" s="79" t="s">
        <v>443</v>
      </c>
      <c r="AG40" s="79">
        <v>3000</v>
      </c>
      <c r="AH40"/>
      <c r="AI40" s="72">
        <v>1680</v>
      </c>
      <c r="AJ40" s="72">
        <f t="shared" si="5"/>
        <v>772.80000000000007</v>
      </c>
      <c r="AK40" s="72">
        <f t="shared" si="6"/>
        <v>552</v>
      </c>
      <c r="AL40" s="72">
        <f t="shared" si="7"/>
        <v>1236.48</v>
      </c>
      <c r="AM40" s="72">
        <f t="shared" si="8"/>
        <v>772.80000000000007</v>
      </c>
      <c r="AN40" s="72">
        <v>37</v>
      </c>
      <c r="AO40" s="72">
        <v>19</v>
      </c>
      <c r="AP40" s="72"/>
      <c r="AQ40" s="72" t="s">
        <v>389</v>
      </c>
    </row>
    <row r="41" spans="2:43" x14ac:dyDescent="0.25">
      <c r="L41" s="77" t="s">
        <v>619</v>
      </c>
      <c r="M41" s="77" t="s">
        <v>550</v>
      </c>
      <c r="N41" s="74">
        <v>4690</v>
      </c>
      <c r="O41" s="74"/>
      <c r="P41" s="74" t="s">
        <v>89</v>
      </c>
      <c r="Q41" s="74" t="s">
        <v>86</v>
      </c>
      <c r="R41" s="74">
        <v>1.75</v>
      </c>
      <c r="S41" s="76"/>
      <c r="T41" s="74" t="s">
        <v>555</v>
      </c>
      <c r="U41" s="74"/>
      <c r="V41" s="74">
        <f t="shared" si="0"/>
        <v>1.75</v>
      </c>
      <c r="X41" s="78" t="s">
        <v>667</v>
      </c>
      <c r="Y41" s="79">
        <v>5.5</v>
      </c>
      <c r="Z41" s="79">
        <v>9.5</v>
      </c>
      <c r="AA41" s="79">
        <v>6675</v>
      </c>
      <c r="AB41" s="79"/>
      <c r="AC41" s="79"/>
      <c r="AD41" s="79">
        <v>0.625</v>
      </c>
      <c r="AE41" s="79" t="s">
        <v>602</v>
      </c>
      <c r="AF41" s="79" t="s">
        <v>445</v>
      </c>
      <c r="AG41" s="79">
        <v>2500</v>
      </c>
      <c r="AH41"/>
      <c r="AI41" s="72">
        <v>2155</v>
      </c>
      <c r="AJ41" s="72">
        <f t="shared" si="5"/>
        <v>991.30000000000007</v>
      </c>
      <c r="AK41" s="72">
        <f t="shared" si="6"/>
        <v>708.07142857142867</v>
      </c>
      <c r="AL41" s="72">
        <f t="shared" si="7"/>
        <v>1586.0800000000002</v>
      </c>
      <c r="AM41" s="72">
        <f t="shared" si="8"/>
        <v>991.30000000000007</v>
      </c>
      <c r="AN41" s="72">
        <v>52</v>
      </c>
      <c r="AO41" s="72">
        <v>23</v>
      </c>
      <c r="AP41" s="72"/>
      <c r="AQ41" s="72" t="s">
        <v>390</v>
      </c>
    </row>
    <row r="42" spans="2:43" x14ac:dyDescent="0.25">
      <c r="L42" s="77" t="s">
        <v>620</v>
      </c>
      <c r="M42" s="77" t="s">
        <v>550</v>
      </c>
      <c r="N42" s="74"/>
      <c r="O42" s="74">
        <v>4690</v>
      </c>
      <c r="P42" s="74" t="s">
        <v>89</v>
      </c>
      <c r="Q42" s="74" t="s">
        <v>86</v>
      </c>
      <c r="R42" s="74">
        <v>1.75</v>
      </c>
      <c r="S42" s="76"/>
      <c r="T42" s="74" t="s">
        <v>556</v>
      </c>
      <c r="U42" s="74"/>
      <c r="V42" s="74">
        <f t="shared" si="0"/>
        <v>1.75</v>
      </c>
      <c r="X42" s="78" t="s">
        <v>668</v>
      </c>
      <c r="Y42" s="79">
        <v>5</v>
      </c>
      <c r="Z42" s="79">
        <v>9</v>
      </c>
      <c r="AA42" s="79">
        <v>6675</v>
      </c>
      <c r="AB42" s="79"/>
      <c r="AC42" s="79"/>
      <c r="AD42" s="79">
        <v>0.625</v>
      </c>
      <c r="AE42" s="79" t="s">
        <v>602</v>
      </c>
      <c r="AF42" s="79" t="s">
        <v>445</v>
      </c>
      <c r="AG42" s="79">
        <v>3000</v>
      </c>
      <c r="AH42"/>
      <c r="AI42" s="72">
        <v>950</v>
      </c>
      <c r="AJ42" s="72">
        <f t="shared" si="5"/>
        <v>437</v>
      </c>
      <c r="AK42" s="72">
        <f t="shared" si="6"/>
        <v>312.14285714285722</v>
      </c>
      <c r="AL42" s="72">
        <f t="shared" si="7"/>
        <v>699.2</v>
      </c>
      <c r="AM42" s="72">
        <f t="shared" si="8"/>
        <v>437</v>
      </c>
      <c r="AN42" s="72">
        <v>19</v>
      </c>
      <c r="AO42" s="72">
        <v>13</v>
      </c>
      <c r="AP42" s="72"/>
      <c r="AQ42" s="72" t="s">
        <v>391</v>
      </c>
    </row>
    <row r="43" spans="2:43" x14ac:dyDescent="0.25">
      <c r="L43" s="77" t="s">
        <v>621</v>
      </c>
      <c r="M43" s="77" t="s">
        <v>550</v>
      </c>
      <c r="N43" s="74">
        <v>2490</v>
      </c>
      <c r="O43" s="74"/>
      <c r="P43" s="74" t="s">
        <v>78</v>
      </c>
      <c r="Q43" s="74" t="s">
        <v>79</v>
      </c>
      <c r="R43" s="74">
        <v>1.5</v>
      </c>
      <c r="S43" s="76"/>
      <c r="T43" s="74" t="s">
        <v>557</v>
      </c>
      <c r="U43" s="74"/>
      <c r="V43" s="74">
        <f t="shared" si="0"/>
        <v>1.5</v>
      </c>
      <c r="X43" s="78" t="s">
        <v>669</v>
      </c>
      <c r="Y43" s="79">
        <v>7.5</v>
      </c>
      <c r="Z43" s="79">
        <v>12.5</v>
      </c>
      <c r="AA43" s="79">
        <v>12335</v>
      </c>
      <c r="AB43" s="79"/>
      <c r="AC43" s="79"/>
      <c r="AD43" s="79">
        <v>0.625</v>
      </c>
      <c r="AE43" s="79" t="s">
        <v>602</v>
      </c>
      <c r="AF43" s="79" t="s">
        <v>443</v>
      </c>
      <c r="AG43" s="79">
        <v>2500</v>
      </c>
      <c r="AH43"/>
      <c r="AI43" s="72">
        <v>1430</v>
      </c>
      <c r="AJ43" s="72">
        <f t="shared" si="5"/>
        <v>657.80000000000007</v>
      </c>
      <c r="AK43" s="72">
        <f t="shared" si="6"/>
        <v>469.85714285714289</v>
      </c>
      <c r="AL43" s="72">
        <f t="shared" si="7"/>
        <v>1052.48</v>
      </c>
      <c r="AM43" s="72">
        <f t="shared" si="8"/>
        <v>657.80000000000007</v>
      </c>
      <c r="AN43" s="72">
        <v>26</v>
      </c>
      <c r="AO43" s="72">
        <v>16</v>
      </c>
      <c r="AP43" s="72"/>
      <c r="AQ43" s="72" t="s">
        <v>392</v>
      </c>
    </row>
    <row r="44" spans="2:43" x14ac:dyDescent="0.25">
      <c r="L44" s="77" t="s">
        <v>622</v>
      </c>
      <c r="M44" s="77" t="s">
        <v>550</v>
      </c>
      <c r="N44" s="74"/>
      <c r="O44" s="74">
        <v>2490</v>
      </c>
      <c r="P44" s="74" t="s">
        <v>78</v>
      </c>
      <c r="Q44" s="74" t="s">
        <v>79</v>
      </c>
      <c r="R44" s="74">
        <v>1.5</v>
      </c>
      <c r="S44" s="76"/>
      <c r="T44" s="74" t="s">
        <v>558</v>
      </c>
      <c r="U44" s="74"/>
      <c r="V44" s="74">
        <f t="shared" si="0"/>
        <v>1.5</v>
      </c>
      <c r="X44" s="78" t="s">
        <v>670</v>
      </c>
      <c r="Y44" s="79">
        <v>8.5</v>
      </c>
      <c r="Z44" s="79">
        <v>14</v>
      </c>
      <c r="AA44" s="79">
        <v>13805</v>
      </c>
      <c r="AB44" s="79"/>
      <c r="AC44" s="79"/>
      <c r="AD44" s="79">
        <v>0.625</v>
      </c>
      <c r="AE44" s="79" t="s">
        <v>602</v>
      </c>
      <c r="AF44" s="79" t="s">
        <v>443</v>
      </c>
      <c r="AG44" s="79">
        <v>2500</v>
      </c>
      <c r="AH44"/>
      <c r="AI44" s="72">
        <v>1860</v>
      </c>
      <c r="AJ44" s="72">
        <f t="shared" si="5"/>
        <v>855.6</v>
      </c>
      <c r="AK44" s="72">
        <f t="shared" si="6"/>
        <v>611.14285714285722</v>
      </c>
      <c r="AL44" s="72">
        <f t="shared" si="7"/>
        <v>1368.96</v>
      </c>
      <c r="AM44" s="72">
        <f t="shared" si="8"/>
        <v>855.6</v>
      </c>
      <c r="AN44" s="72">
        <v>33</v>
      </c>
      <c r="AO44" s="72">
        <v>18</v>
      </c>
      <c r="AP44" s="72"/>
      <c r="AQ44" s="72" t="s">
        <v>393</v>
      </c>
    </row>
    <row r="45" spans="2:43" x14ac:dyDescent="0.25">
      <c r="L45" s="77" t="s">
        <v>623</v>
      </c>
      <c r="M45" s="77" t="s">
        <v>550</v>
      </c>
      <c r="N45" s="74">
        <v>1705</v>
      </c>
      <c r="O45" s="74"/>
      <c r="P45" s="74" t="s">
        <v>21</v>
      </c>
      <c r="Q45" s="74" t="s">
        <v>25</v>
      </c>
      <c r="R45" s="74">
        <v>0.75</v>
      </c>
      <c r="S45" s="76"/>
      <c r="T45" s="74" t="s">
        <v>559</v>
      </c>
      <c r="U45" s="74"/>
      <c r="V45" s="74">
        <f t="shared" si="0"/>
        <v>0.75</v>
      </c>
      <c r="X45" s="78" t="s">
        <v>671</v>
      </c>
      <c r="Y45" s="79">
        <v>7</v>
      </c>
      <c r="Z45" s="79">
        <v>12</v>
      </c>
      <c r="AA45" s="79">
        <v>12330</v>
      </c>
      <c r="AB45" s="79"/>
      <c r="AC45" s="79"/>
      <c r="AD45" s="79">
        <v>0.625</v>
      </c>
      <c r="AE45" s="79" t="s">
        <v>602</v>
      </c>
      <c r="AF45" s="79" t="s">
        <v>443</v>
      </c>
      <c r="AG45" s="79">
        <v>3000</v>
      </c>
      <c r="AH45"/>
      <c r="AI45" s="72">
        <v>2435</v>
      </c>
      <c r="AJ45" s="72">
        <f t="shared" si="5"/>
        <v>1120.1000000000001</v>
      </c>
      <c r="AK45" s="72">
        <f t="shared" si="6"/>
        <v>800.07142857142867</v>
      </c>
      <c r="AL45" s="72">
        <f t="shared" si="7"/>
        <v>1792.16</v>
      </c>
      <c r="AM45" s="72">
        <f t="shared" si="8"/>
        <v>1120.1000000000001</v>
      </c>
      <c r="AN45" s="72">
        <v>48</v>
      </c>
      <c r="AO45" s="72">
        <v>22</v>
      </c>
      <c r="AP45" s="72"/>
      <c r="AQ45" s="72" t="s">
        <v>394</v>
      </c>
    </row>
    <row r="46" spans="2:43" x14ac:dyDescent="0.25">
      <c r="L46" s="77" t="s">
        <v>624</v>
      </c>
      <c r="M46" s="77" t="s">
        <v>550</v>
      </c>
      <c r="N46" s="74"/>
      <c r="O46" s="74">
        <v>1705</v>
      </c>
      <c r="P46" s="74" t="s">
        <v>21</v>
      </c>
      <c r="Q46" s="74" t="s">
        <v>25</v>
      </c>
      <c r="R46" s="74">
        <v>0.75</v>
      </c>
      <c r="S46" s="76"/>
      <c r="T46" s="74" t="s">
        <v>560</v>
      </c>
      <c r="U46" s="74"/>
      <c r="V46" s="74">
        <f t="shared" si="0"/>
        <v>0.75</v>
      </c>
      <c r="X46" s="78" t="s">
        <v>672</v>
      </c>
      <c r="Y46" s="79">
        <v>8</v>
      </c>
      <c r="Z46" s="79">
        <v>13.5</v>
      </c>
      <c r="AA46" s="79">
        <v>13805</v>
      </c>
      <c r="AB46" s="79"/>
      <c r="AC46" s="79"/>
      <c r="AD46" s="79">
        <v>0.625</v>
      </c>
      <c r="AE46" s="79" t="s">
        <v>602</v>
      </c>
      <c r="AF46" s="79" t="s">
        <v>443</v>
      </c>
      <c r="AG46" s="79">
        <v>3000</v>
      </c>
      <c r="AH46"/>
      <c r="AI46" s="72">
        <v>390</v>
      </c>
      <c r="AJ46" s="72">
        <f t="shared" si="5"/>
        <v>179.4</v>
      </c>
      <c r="AK46" s="72">
        <f t="shared" si="6"/>
        <v>128.14285714285717</v>
      </c>
      <c r="AL46" s="72">
        <f t="shared" si="7"/>
        <v>287.04000000000002</v>
      </c>
      <c r="AM46" s="72">
        <f t="shared" si="8"/>
        <v>179.4</v>
      </c>
      <c r="AN46" s="72"/>
      <c r="AO46" s="72">
        <v>13</v>
      </c>
      <c r="AP46" s="72"/>
      <c r="AQ46" s="72" t="s">
        <v>403</v>
      </c>
    </row>
    <row r="47" spans="2:43" x14ac:dyDescent="0.25">
      <c r="L47" s="77" t="s">
        <v>625</v>
      </c>
      <c r="M47" s="77" t="s">
        <v>550</v>
      </c>
      <c r="N47" s="74">
        <v>1370</v>
      </c>
      <c r="O47" s="74"/>
      <c r="P47" s="74" t="s">
        <v>21</v>
      </c>
      <c r="Q47" s="74" t="s">
        <v>25</v>
      </c>
      <c r="R47" s="74">
        <v>0.75</v>
      </c>
      <c r="S47" s="76"/>
      <c r="T47" s="74" t="s">
        <v>561</v>
      </c>
      <c r="U47" s="74"/>
      <c r="V47" s="74">
        <f t="shared" si="0"/>
        <v>0.75</v>
      </c>
      <c r="X47" s="78" t="s">
        <v>673</v>
      </c>
      <c r="Y47" s="79">
        <v>8.5</v>
      </c>
      <c r="Z47" s="79">
        <v>14</v>
      </c>
      <c r="AA47" s="79">
        <v>12770</v>
      </c>
      <c r="AB47" s="79"/>
      <c r="AC47" s="79"/>
      <c r="AD47" s="79">
        <v>0.625</v>
      </c>
      <c r="AE47" s="79" t="s">
        <v>602</v>
      </c>
      <c r="AF47" s="79" t="s">
        <v>445</v>
      </c>
      <c r="AG47" s="79">
        <v>2500</v>
      </c>
      <c r="AH47"/>
      <c r="AI47" s="72">
        <v>590</v>
      </c>
      <c r="AJ47" s="72">
        <f t="shared" si="5"/>
        <v>271.40000000000003</v>
      </c>
      <c r="AK47" s="72">
        <f t="shared" si="6"/>
        <v>193.85714285714286</v>
      </c>
      <c r="AL47" s="72">
        <f t="shared" si="7"/>
        <v>434.24</v>
      </c>
      <c r="AM47" s="72">
        <f t="shared" si="8"/>
        <v>271.40000000000003</v>
      </c>
      <c r="AN47" s="72"/>
      <c r="AO47" s="72">
        <v>16</v>
      </c>
      <c r="AP47" s="72"/>
      <c r="AQ47" s="72" t="s">
        <v>404</v>
      </c>
    </row>
    <row r="48" spans="2:43" x14ac:dyDescent="0.25">
      <c r="L48" s="77" t="s">
        <v>626</v>
      </c>
      <c r="M48" s="77" t="s">
        <v>550</v>
      </c>
      <c r="N48" s="74"/>
      <c r="O48" s="74">
        <v>1370</v>
      </c>
      <c r="P48" s="74" t="s">
        <v>21</v>
      </c>
      <c r="Q48" s="74" t="s">
        <v>25</v>
      </c>
      <c r="R48" s="74">
        <v>0.75</v>
      </c>
      <c r="S48" s="76"/>
      <c r="T48" s="74" t="s">
        <v>562</v>
      </c>
      <c r="U48" s="74"/>
      <c r="V48" s="74">
        <f t="shared" si="0"/>
        <v>0.75</v>
      </c>
      <c r="X48" s="78" t="s">
        <v>674</v>
      </c>
      <c r="Y48" s="79">
        <v>9.5</v>
      </c>
      <c r="Z48" s="79">
        <v>15.5</v>
      </c>
      <c r="AA48" s="79">
        <v>13805</v>
      </c>
      <c r="AB48" s="79"/>
      <c r="AC48" s="79"/>
      <c r="AD48" s="79">
        <v>0.625</v>
      </c>
      <c r="AE48" s="79" t="s">
        <v>602</v>
      </c>
      <c r="AF48" s="79" t="s">
        <v>445</v>
      </c>
      <c r="AG48" s="79">
        <v>2500</v>
      </c>
      <c r="AH48"/>
      <c r="AI48" s="72">
        <v>770</v>
      </c>
      <c r="AJ48" s="72">
        <f t="shared" si="5"/>
        <v>354.2</v>
      </c>
      <c r="AK48" s="72">
        <f t="shared" si="6"/>
        <v>253</v>
      </c>
      <c r="AL48" s="72">
        <f t="shared" si="7"/>
        <v>566.72</v>
      </c>
      <c r="AM48" s="72">
        <f t="shared" si="8"/>
        <v>354.2</v>
      </c>
      <c r="AN48" s="72"/>
      <c r="AO48" s="72">
        <v>17</v>
      </c>
      <c r="AP48" s="72"/>
      <c r="AQ48" s="72" t="s">
        <v>405</v>
      </c>
    </row>
    <row r="49" spans="12:43" x14ac:dyDescent="0.25">
      <c r="L49" s="77" t="s">
        <v>627</v>
      </c>
      <c r="M49" s="77" t="s">
        <v>550</v>
      </c>
      <c r="N49" s="74">
        <v>1030</v>
      </c>
      <c r="O49" s="74"/>
      <c r="P49" s="74" t="s">
        <v>21</v>
      </c>
      <c r="Q49" s="74" t="s">
        <v>25</v>
      </c>
      <c r="R49" s="74">
        <v>0.75</v>
      </c>
      <c r="S49" s="76"/>
      <c r="T49" s="74" t="s">
        <v>563</v>
      </c>
      <c r="U49" s="74"/>
      <c r="V49" s="74">
        <f t="shared" si="0"/>
        <v>0.75</v>
      </c>
      <c r="X49" s="78" t="s">
        <v>675</v>
      </c>
      <c r="Y49" s="79">
        <v>8</v>
      </c>
      <c r="Z49" s="79">
        <v>13.5</v>
      </c>
      <c r="AA49" s="79">
        <v>12890</v>
      </c>
      <c r="AB49" s="79"/>
      <c r="AC49" s="79"/>
      <c r="AD49" s="79">
        <v>0.625</v>
      </c>
      <c r="AE49" s="79" t="s">
        <v>602</v>
      </c>
      <c r="AF49" s="79" t="s">
        <v>445</v>
      </c>
      <c r="AG49" s="79">
        <v>3000</v>
      </c>
      <c r="AH49"/>
      <c r="AI49" s="72">
        <v>1010</v>
      </c>
      <c r="AJ49" s="72">
        <f t="shared" si="5"/>
        <v>464.6</v>
      </c>
      <c r="AK49" s="72">
        <f t="shared" si="6"/>
        <v>331.85714285714289</v>
      </c>
      <c r="AL49" s="72">
        <f t="shared" si="7"/>
        <v>743.36</v>
      </c>
      <c r="AM49" s="72">
        <f t="shared" si="8"/>
        <v>464.6</v>
      </c>
      <c r="AN49" s="72"/>
      <c r="AO49" s="72">
        <v>21</v>
      </c>
      <c r="AP49" s="72"/>
      <c r="AQ49" s="72" t="s">
        <v>406</v>
      </c>
    </row>
    <row r="50" spans="12:43" x14ac:dyDescent="0.25">
      <c r="L50" s="77" t="s">
        <v>628</v>
      </c>
      <c r="M50" s="77" t="s">
        <v>550</v>
      </c>
      <c r="N50" s="74"/>
      <c r="O50" s="74">
        <v>1030</v>
      </c>
      <c r="P50" s="74" t="s">
        <v>21</v>
      </c>
      <c r="Q50" s="74" t="s">
        <v>25</v>
      </c>
      <c r="R50" s="74">
        <v>0.75</v>
      </c>
      <c r="S50" s="76"/>
      <c r="T50" s="74" t="s">
        <v>564</v>
      </c>
      <c r="U50" s="74"/>
      <c r="V50" s="74">
        <f t="shared" si="0"/>
        <v>0.75</v>
      </c>
      <c r="X50" s="78" t="s">
        <v>676</v>
      </c>
      <c r="Y50" s="79">
        <v>8.5</v>
      </c>
      <c r="Z50" s="79">
        <v>14</v>
      </c>
      <c r="AA50" s="79">
        <v>13805</v>
      </c>
      <c r="AB50" s="79"/>
      <c r="AC50" s="79"/>
      <c r="AD50" s="79">
        <v>0.625</v>
      </c>
      <c r="AE50" s="79" t="s">
        <v>602</v>
      </c>
      <c r="AF50" s="79" t="s">
        <v>445</v>
      </c>
      <c r="AG50" s="79">
        <v>3000</v>
      </c>
      <c r="AH50"/>
      <c r="AI50" s="72">
        <v>450</v>
      </c>
      <c r="AJ50" s="72">
        <f t="shared" si="5"/>
        <v>207</v>
      </c>
      <c r="AK50" s="72">
        <f t="shared" si="6"/>
        <v>147.85714285714286</v>
      </c>
      <c r="AL50" s="72">
        <f t="shared" si="7"/>
        <v>331.2</v>
      </c>
      <c r="AM50" s="72">
        <f t="shared" si="8"/>
        <v>207</v>
      </c>
      <c r="AN50" s="72"/>
      <c r="AO50" s="72">
        <v>16</v>
      </c>
      <c r="AP50" s="72"/>
      <c r="AQ50" s="72" t="s">
        <v>407</v>
      </c>
    </row>
    <row r="51" spans="12:43" x14ac:dyDescent="0.25">
      <c r="L51" s="77" t="s">
        <v>629</v>
      </c>
      <c r="M51" s="77" t="s">
        <v>550</v>
      </c>
      <c r="N51" s="74">
        <v>845</v>
      </c>
      <c r="O51" s="74"/>
      <c r="P51" s="74" t="s">
        <v>21</v>
      </c>
      <c r="Q51" s="74" t="s">
        <v>25</v>
      </c>
      <c r="R51" s="74">
        <v>0.75</v>
      </c>
      <c r="S51" s="76"/>
      <c r="T51" s="74" t="s">
        <v>565</v>
      </c>
      <c r="U51" s="74"/>
      <c r="V51" s="74">
        <f t="shared" si="0"/>
        <v>0.75</v>
      </c>
      <c r="X51" s="78" t="s">
        <v>677</v>
      </c>
      <c r="Y51" s="79">
        <v>5.5</v>
      </c>
      <c r="Z51" s="79">
        <v>9.5</v>
      </c>
      <c r="AA51" s="79">
        <v>8395</v>
      </c>
      <c r="AB51" s="79"/>
      <c r="AC51" s="79"/>
      <c r="AD51" s="79">
        <v>0.75</v>
      </c>
      <c r="AE51" s="79" t="s">
        <v>602</v>
      </c>
      <c r="AF51" s="79" t="s">
        <v>443</v>
      </c>
      <c r="AG51" s="79">
        <v>2500</v>
      </c>
      <c r="AH51"/>
      <c r="AI51" s="72">
        <v>670</v>
      </c>
      <c r="AJ51" s="72">
        <f t="shared" si="5"/>
        <v>308.2</v>
      </c>
      <c r="AK51" s="72">
        <f t="shared" si="6"/>
        <v>220.14285714285717</v>
      </c>
      <c r="AL51" s="72">
        <f t="shared" si="7"/>
        <v>493.12</v>
      </c>
      <c r="AM51" s="72">
        <f t="shared" si="8"/>
        <v>308.2</v>
      </c>
      <c r="AN51" s="72"/>
      <c r="AO51" s="72">
        <v>18</v>
      </c>
      <c r="AP51" s="72"/>
      <c r="AQ51" s="72" t="s">
        <v>408</v>
      </c>
    </row>
    <row r="52" spans="12:43" x14ac:dyDescent="0.25">
      <c r="L52" s="77" t="s">
        <v>630</v>
      </c>
      <c r="M52" s="77" t="s">
        <v>550</v>
      </c>
      <c r="N52" s="74"/>
      <c r="O52" s="74">
        <v>845</v>
      </c>
      <c r="P52" s="74" t="s">
        <v>21</v>
      </c>
      <c r="Q52" s="74" t="s">
        <v>25</v>
      </c>
      <c r="R52" s="74">
        <v>0.75</v>
      </c>
      <c r="S52" s="76"/>
      <c r="T52" s="74" t="s">
        <v>566</v>
      </c>
      <c r="U52" s="74"/>
      <c r="V52" s="74">
        <f t="shared" si="0"/>
        <v>0.75</v>
      </c>
      <c r="X52" s="78" t="s">
        <v>678</v>
      </c>
      <c r="Y52" s="79">
        <v>6.5</v>
      </c>
      <c r="Z52" s="79">
        <v>11</v>
      </c>
      <c r="AA52" s="79">
        <v>9700</v>
      </c>
      <c r="AB52" s="79"/>
      <c r="AC52" s="79"/>
      <c r="AD52" s="79">
        <v>0.75</v>
      </c>
      <c r="AE52" s="79" t="s">
        <v>602</v>
      </c>
      <c r="AF52" s="79" t="s">
        <v>443</v>
      </c>
      <c r="AG52" s="79">
        <v>2500</v>
      </c>
      <c r="AH52"/>
      <c r="AI52" s="72">
        <v>870</v>
      </c>
      <c r="AJ52" s="72">
        <f t="shared" si="5"/>
        <v>400.20000000000005</v>
      </c>
      <c r="AK52" s="72">
        <f t="shared" si="6"/>
        <v>285.85714285714289</v>
      </c>
      <c r="AL52" s="72">
        <f t="shared" si="7"/>
        <v>640.32000000000005</v>
      </c>
      <c r="AM52" s="72">
        <f t="shared" si="8"/>
        <v>400.20000000000005</v>
      </c>
      <c r="AN52" s="72"/>
      <c r="AO52" s="72">
        <v>20</v>
      </c>
      <c r="AP52" s="72"/>
      <c r="AQ52" s="72" t="s">
        <v>409</v>
      </c>
    </row>
    <row r="53" spans="12:43" x14ac:dyDescent="0.25">
      <c r="L53" s="77"/>
      <c r="M53" s="77"/>
      <c r="N53" s="74"/>
      <c r="O53" s="74"/>
      <c r="P53" s="74"/>
      <c r="Q53" s="74"/>
      <c r="R53" s="74"/>
      <c r="S53" s="76"/>
      <c r="T53" s="74"/>
      <c r="U53" s="74"/>
      <c r="V53" s="74">
        <f t="shared" si="0"/>
        <v>0</v>
      </c>
      <c r="X53" s="78" t="s">
        <v>679</v>
      </c>
      <c r="Y53" s="79">
        <v>5</v>
      </c>
      <c r="Z53" s="79">
        <v>9</v>
      </c>
      <c r="AA53" s="79">
        <v>8165</v>
      </c>
      <c r="AB53" s="79"/>
      <c r="AC53" s="79"/>
      <c r="AD53" s="79">
        <v>0.75</v>
      </c>
      <c r="AE53" s="79" t="s">
        <v>602</v>
      </c>
      <c r="AF53" s="79" t="s">
        <v>443</v>
      </c>
      <c r="AG53" s="79">
        <v>3000</v>
      </c>
      <c r="AH53"/>
      <c r="AI53" s="72">
        <v>1150</v>
      </c>
      <c r="AJ53" s="72">
        <f t="shared" si="5"/>
        <v>529</v>
      </c>
      <c r="AK53" s="72">
        <f t="shared" si="6"/>
        <v>377.85714285714289</v>
      </c>
      <c r="AL53" s="72">
        <f t="shared" si="7"/>
        <v>846.40000000000009</v>
      </c>
      <c r="AM53" s="72">
        <f t="shared" si="8"/>
        <v>529</v>
      </c>
      <c r="AN53" s="72"/>
      <c r="AO53" s="72">
        <v>22</v>
      </c>
      <c r="AP53" s="72"/>
      <c r="AQ53" s="72" t="s">
        <v>410</v>
      </c>
    </row>
    <row r="54" spans="12:43" x14ac:dyDescent="0.25">
      <c r="L54" s="77"/>
      <c r="M54" s="77"/>
      <c r="N54" s="74"/>
      <c r="O54" s="74"/>
      <c r="P54" s="74"/>
      <c r="Q54" s="74"/>
      <c r="R54" s="74"/>
      <c r="S54" s="76"/>
      <c r="T54" s="74"/>
      <c r="U54" s="74"/>
      <c r="V54" s="74">
        <f t="shared" si="0"/>
        <v>0</v>
      </c>
      <c r="X54" s="78" t="s">
        <v>680</v>
      </c>
      <c r="Y54" s="79">
        <v>6</v>
      </c>
      <c r="Z54" s="79">
        <v>10.5</v>
      </c>
      <c r="AA54" s="79">
        <v>9700</v>
      </c>
      <c r="AB54" s="79"/>
      <c r="AC54" s="79"/>
      <c r="AD54" s="79">
        <v>0.75</v>
      </c>
      <c r="AE54" s="79" t="s">
        <v>602</v>
      </c>
      <c r="AF54" s="79" t="s">
        <v>443</v>
      </c>
      <c r="AG54" s="79">
        <v>3000</v>
      </c>
      <c r="AH54"/>
    </row>
    <row r="55" spans="12:43" x14ac:dyDescent="0.25">
      <c r="L55" s="77"/>
      <c r="M55" s="77"/>
      <c r="N55" s="74"/>
      <c r="O55" s="74"/>
      <c r="P55" s="74"/>
      <c r="Q55" s="74"/>
      <c r="R55" s="74"/>
      <c r="S55" s="76"/>
      <c r="T55" s="74"/>
      <c r="U55" s="74"/>
      <c r="V55" s="74">
        <f t="shared" si="0"/>
        <v>0</v>
      </c>
      <c r="X55" s="78" t="s">
        <v>681</v>
      </c>
      <c r="Y55" s="79">
        <v>6.5</v>
      </c>
      <c r="Z55" s="79">
        <v>11</v>
      </c>
      <c r="AA55" s="79">
        <v>9090</v>
      </c>
      <c r="AB55" s="79"/>
      <c r="AC55" s="79"/>
      <c r="AD55" s="79">
        <v>0.75</v>
      </c>
      <c r="AE55" s="79" t="s">
        <v>602</v>
      </c>
      <c r="AF55" s="79" t="s">
        <v>445</v>
      </c>
      <c r="AG55" s="79">
        <v>2500</v>
      </c>
      <c r="AH55"/>
    </row>
    <row r="56" spans="12:43" x14ac:dyDescent="0.25">
      <c r="L56" s="77"/>
      <c r="M56" s="77"/>
      <c r="N56" s="74"/>
      <c r="O56" s="74"/>
      <c r="P56" s="74"/>
      <c r="Q56" s="74"/>
      <c r="R56" s="74"/>
      <c r="S56" s="76"/>
      <c r="T56" s="74"/>
      <c r="U56" s="74"/>
      <c r="V56" s="74">
        <f t="shared" si="0"/>
        <v>0</v>
      </c>
      <c r="X56" s="78" t="s">
        <v>682</v>
      </c>
      <c r="Y56" s="79">
        <v>7</v>
      </c>
      <c r="Z56" s="79">
        <v>12</v>
      </c>
      <c r="AA56" s="79">
        <v>9700</v>
      </c>
      <c r="AB56" s="79"/>
      <c r="AC56" s="79"/>
      <c r="AD56" s="79">
        <v>0.75</v>
      </c>
      <c r="AE56" s="79" t="s">
        <v>602</v>
      </c>
      <c r="AF56" s="79" t="s">
        <v>445</v>
      </c>
      <c r="AG56" s="79">
        <v>2500</v>
      </c>
      <c r="AH56"/>
    </row>
    <row r="57" spans="12:43" x14ac:dyDescent="0.25">
      <c r="L57" s="77"/>
      <c r="M57" s="77"/>
      <c r="N57" s="74"/>
      <c r="O57" s="74"/>
      <c r="P57" s="74"/>
      <c r="Q57" s="74"/>
      <c r="R57" s="74"/>
      <c r="S57" s="76"/>
      <c r="T57" s="74"/>
      <c r="U57" s="74"/>
      <c r="V57" s="74">
        <f t="shared" si="0"/>
        <v>0</v>
      </c>
      <c r="X57" s="78" t="s">
        <v>683</v>
      </c>
      <c r="Y57" s="79">
        <v>5.5</v>
      </c>
      <c r="Z57" s="79">
        <v>9.5</v>
      </c>
      <c r="AA57" s="79">
        <v>8045</v>
      </c>
      <c r="AB57" s="79"/>
      <c r="AC57" s="79"/>
      <c r="AD57" s="79">
        <v>0.75</v>
      </c>
      <c r="AE57" s="79" t="s">
        <v>602</v>
      </c>
      <c r="AF57" s="79" t="s">
        <v>445</v>
      </c>
      <c r="AG57" s="79">
        <v>3000</v>
      </c>
      <c r="AH57"/>
    </row>
    <row r="58" spans="12:43" x14ac:dyDescent="0.25">
      <c r="L58" s="77"/>
      <c r="M58" s="77"/>
      <c r="N58" s="74"/>
      <c r="O58" s="74"/>
      <c r="P58" s="74"/>
      <c r="Q58" s="74"/>
      <c r="R58" s="74"/>
      <c r="S58" s="76"/>
      <c r="T58" s="74"/>
      <c r="U58" s="74"/>
      <c r="V58" s="74">
        <f t="shared" si="0"/>
        <v>0</v>
      </c>
      <c r="X58" s="78" t="s">
        <v>684</v>
      </c>
      <c r="Y58" s="79">
        <v>6.5</v>
      </c>
      <c r="Z58" s="79">
        <v>11</v>
      </c>
      <c r="AA58" s="79">
        <v>9700</v>
      </c>
      <c r="AB58" s="79"/>
      <c r="AC58" s="79"/>
      <c r="AD58" s="79">
        <v>0.75</v>
      </c>
      <c r="AE58" s="79" t="s">
        <v>602</v>
      </c>
      <c r="AF58" s="79" t="s">
        <v>445</v>
      </c>
      <c r="AG58" s="79">
        <v>3000</v>
      </c>
      <c r="AH58"/>
    </row>
    <row r="59" spans="12:43" x14ac:dyDescent="0.25">
      <c r="L59" s="77"/>
      <c r="M59" s="77"/>
      <c r="N59" s="74"/>
      <c r="O59" s="74"/>
      <c r="P59" s="74"/>
      <c r="Q59" s="74"/>
      <c r="R59" s="74"/>
      <c r="S59" s="76"/>
      <c r="T59" s="74"/>
      <c r="U59" s="74"/>
      <c r="V59" s="74">
        <f t="shared" si="0"/>
        <v>0</v>
      </c>
      <c r="X59" s="78" t="s">
        <v>685</v>
      </c>
      <c r="Y59" s="79">
        <v>6</v>
      </c>
      <c r="Z59" s="79">
        <v>10.5</v>
      </c>
      <c r="AA59" s="79">
        <v>9550</v>
      </c>
      <c r="AB59" s="79"/>
      <c r="AC59" s="79"/>
      <c r="AD59" s="79">
        <v>0.875</v>
      </c>
      <c r="AE59" s="79" t="s">
        <v>602</v>
      </c>
      <c r="AF59" s="79" t="s">
        <v>443</v>
      </c>
      <c r="AG59" s="79">
        <v>2500</v>
      </c>
      <c r="AH59"/>
    </row>
    <row r="60" spans="12:43" x14ac:dyDescent="0.25">
      <c r="L60" s="77"/>
      <c r="M60" s="77"/>
      <c r="N60" s="74"/>
      <c r="O60" s="74"/>
      <c r="P60" s="74"/>
      <c r="Q60" s="74"/>
      <c r="R60" s="74"/>
      <c r="S60" s="76"/>
      <c r="T60" s="74"/>
      <c r="U60" s="74"/>
      <c r="V60" s="74">
        <f t="shared" si="0"/>
        <v>0</v>
      </c>
      <c r="X60" s="78" t="s">
        <v>686</v>
      </c>
      <c r="Y60" s="79">
        <v>9</v>
      </c>
      <c r="Z60" s="79">
        <v>15</v>
      </c>
      <c r="AA60" s="79">
        <v>13390</v>
      </c>
      <c r="AB60" s="79"/>
      <c r="AC60" s="79"/>
      <c r="AD60" s="79">
        <v>0.875</v>
      </c>
      <c r="AE60" s="79" t="s">
        <v>602</v>
      </c>
      <c r="AF60" s="79" t="s">
        <v>443</v>
      </c>
      <c r="AG60" s="79">
        <v>2500</v>
      </c>
      <c r="AH60"/>
    </row>
    <row r="61" spans="12:43" x14ac:dyDescent="0.25">
      <c r="L61" s="77"/>
      <c r="M61" s="77"/>
      <c r="N61" s="74"/>
      <c r="O61" s="74"/>
      <c r="P61" s="74"/>
      <c r="Q61" s="74"/>
      <c r="R61" s="74"/>
      <c r="S61" s="76"/>
      <c r="T61" s="74"/>
      <c r="U61" s="74"/>
      <c r="V61" s="74">
        <f t="shared" si="0"/>
        <v>0</v>
      </c>
      <c r="X61" s="78" t="s">
        <v>687</v>
      </c>
      <c r="Y61" s="79">
        <v>5.5</v>
      </c>
      <c r="Z61" s="79">
        <v>9.5</v>
      </c>
      <c r="AA61" s="79">
        <v>9380</v>
      </c>
      <c r="AB61" s="79"/>
      <c r="AC61" s="79"/>
      <c r="AD61" s="79">
        <v>0.875</v>
      </c>
      <c r="AE61" s="79" t="s">
        <v>602</v>
      </c>
      <c r="AF61" s="79" t="s">
        <v>443</v>
      </c>
      <c r="AG61" s="79">
        <v>3000</v>
      </c>
      <c r="AH61"/>
    </row>
    <row r="62" spans="12:43" x14ac:dyDescent="0.25">
      <c r="L62" s="77"/>
      <c r="M62" s="77"/>
      <c r="N62" s="74"/>
      <c r="O62" s="74"/>
      <c r="P62" s="74"/>
      <c r="Q62" s="74"/>
      <c r="R62" s="74"/>
      <c r="S62" s="76"/>
      <c r="T62" s="74"/>
      <c r="U62" s="74"/>
      <c r="V62" s="74">
        <f t="shared" si="0"/>
        <v>0</v>
      </c>
      <c r="X62" s="78" t="s">
        <v>688</v>
      </c>
      <c r="Y62" s="79">
        <v>7.5</v>
      </c>
      <c r="Z62" s="79">
        <v>12.5</v>
      </c>
      <c r="AA62" s="79">
        <v>13390</v>
      </c>
      <c r="AB62" s="79"/>
      <c r="AC62" s="79"/>
      <c r="AD62" s="79">
        <v>0.875</v>
      </c>
      <c r="AE62" s="79" t="s">
        <v>602</v>
      </c>
      <c r="AF62" s="79" t="s">
        <v>443</v>
      </c>
      <c r="AG62" s="79">
        <v>3000</v>
      </c>
      <c r="AH62"/>
    </row>
    <row r="63" spans="12:43" x14ac:dyDescent="0.25">
      <c r="L63" s="77"/>
      <c r="M63" s="77"/>
      <c r="N63" s="74"/>
      <c r="O63" s="74"/>
      <c r="P63" s="74"/>
      <c r="Q63" s="74"/>
      <c r="R63" s="74"/>
      <c r="S63" s="76"/>
      <c r="T63" s="74"/>
      <c r="U63" s="74"/>
      <c r="V63" s="74">
        <f t="shared" si="0"/>
        <v>0</v>
      </c>
      <c r="X63" s="78" t="s">
        <v>689</v>
      </c>
      <c r="Y63" s="79">
        <v>8</v>
      </c>
      <c r="Z63" s="79">
        <v>13.5</v>
      </c>
      <c r="AA63" s="79">
        <v>12110</v>
      </c>
      <c r="AB63" s="79"/>
      <c r="AC63" s="79"/>
      <c r="AD63" s="79">
        <v>0.875</v>
      </c>
      <c r="AE63" s="79" t="s">
        <v>602</v>
      </c>
      <c r="AF63" s="79" t="s">
        <v>445</v>
      </c>
      <c r="AG63" s="79">
        <v>2500</v>
      </c>
      <c r="AH63"/>
    </row>
    <row r="64" spans="12:43" x14ac:dyDescent="0.25">
      <c r="L64" s="77"/>
      <c r="M64" s="77"/>
      <c r="N64" s="74"/>
      <c r="O64" s="74"/>
      <c r="P64" s="74"/>
      <c r="Q64" s="74"/>
      <c r="R64" s="74"/>
      <c r="S64" s="76"/>
      <c r="T64" s="74"/>
      <c r="U64" s="74"/>
      <c r="V64" s="74">
        <f t="shared" si="0"/>
        <v>0</v>
      </c>
      <c r="X64" s="78" t="s">
        <v>690</v>
      </c>
      <c r="Y64" s="79">
        <v>9</v>
      </c>
      <c r="Z64" s="79">
        <v>15</v>
      </c>
      <c r="AA64" s="79">
        <v>13390</v>
      </c>
      <c r="AB64" s="79"/>
      <c r="AC64" s="79"/>
      <c r="AD64" s="79">
        <v>0.875</v>
      </c>
      <c r="AE64" s="79" t="s">
        <v>602</v>
      </c>
      <c r="AF64" s="79" t="s">
        <v>445</v>
      </c>
      <c r="AG64" s="79">
        <v>2500</v>
      </c>
      <c r="AH64"/>
    </row>
    <row r="65" spans="12:34" x14ac:dyDescent="0.25">
      <c r="L65" s="77"/>
      <c r="M65" s="77"/>
      <c r="N65" s="74"/>
      <c r="O65" s="74"/>
      <c r="P65" s="74"/>
      <c r="Q65" s="74"/>
      <c r="R65" s="74"/>
      <c r="S65" s="76"/>
      <c r="T65" s="74"/>
      <c r="U65" s="74"/>
      <c r="V65" s="74">
        <f t="shared" si="0"/>
        <v>0</v>
      </c>
      <c r="X65" s="78" t="s">
        <v>691</v>
      </c>
      <c r="Y65" s="79">
        <v>7.5</v>
      </c>
      <c r="Z65" s="79">
        <v>12.5</v>
      </c>
      <c r="AA65" s="79">
        <v>12190</v>
      </c>
      <c r="AB65" s="79"/>
      <c r="AC65" s="79"/>
      <c r="AD65" s="79">
        <v>0.875</v>
      </c>
      <c r="AE65" s="79" t="s">
        <v>602</v>
      </c>
      <c r="AF65" s="79" t="s">
        <v>445</v>
      </c>
      <c r="AG65" s="79">
        <v>3000</v>
      </c>
      <c r="AH65"/>
    </row>
    <row r="66" spans="12:34" x14ac:dyDescent="0.25">
      <c r="L66" s="77"/>
      <c r="M66" s="77"/>
      <c r="N66" s="74"/>
      <c r="O66" s="74"/>
      <c r="P66" s="74"/>
      <c r="Q66" s="74"/>
      <c r="R66" s="74"/>
      <c r="S66" s="76"/>
      <c r="T66" s="74"/>
      <c r="U66" s="74"/>
      <c r="V66" s="74">
        <f t="shared" si="0"/>
        <v>0</v>
      </c>
      <c r="X66" s="78" t="s">
        <v>692</v>
      </c>
      <c r="Y66" s="79">
        <v>8.5</v>
      </c>
      <c r="Z66" s="79">
        <v>14</v>
      </c>
      <c r="AA66" s="79">
        <v>13390</v>
      </c>
      <c r="AB66" s="79"/>
      <c r="AC66" s="79"/>
      <c r="AD66" s="79">
        <v>0.875</v>
      </c>
      <c r="AE66" s="79" t="s">
        <v>602</v>
      </c>
      <c r="AF66" s="79" t="s">
        <v>445</v>
      </c>
      <c r="AG66" s="79">
        <v>3000</v>
      </c>
      <c r="AH66"/>
    </row>
    <row r="67" spans="12:34" x14ac:dyDescent="0.25">
      <c r="L67" s="77"/>
      <c r="M67" s="77"/>
      <c r="N67" s="74"/>
      <c r="O67" s="74"/>
      <c r="P67" s="74"/>
      <c r="Q67" s="74"/>
      <c r="R67" s="74"/>
      <c r="S67" s="76"/>
      <c r="T67" s="74"/>
      <c r="U67" s="74"/>
      <c r="V67" s="74">
        <f t="shared" si="0"/>
        <v>0</v>
      </c>
      <c r="X67" s="78" t="s">
        <v>693</v>
      </c>
      <c r="Y67" s="79">
        <v>9</v>
      </c>
      <c r="Z67" s="79">
        <v>15</v>
      </c>
      <c r="AA67" s="79">
        <v>16175</v>
      </c>
      <c r="AB67" s="79"/>
      <c r="AC67" s="79"/>
      <c r="AD67" s="79">
        <v>0.875</v>
      </c>
      <c r="AE67" s="79" t="s">
        <v>602</v>
      </c>
      <c r="AF67" s="79" t="s">
        <v>443</v>
      </c>
      <c r="AG67" s="79">
        <v>2500</v>
      </c>
      <c r="AH67"/>
    </row>
    <row r="68" spans="12:34" x14ac:dyDescent="0.25">
      <c r="L68" s="77" t="s">
        <v>102</v>
      </c>
      <c r="M68" s="77"/>
      <c r="N68" s="74">
        <v>3065</v>
      </c>
      <c r="O68" s="74">
        <v>3065</v>
      </c>
      <c r="P68" s="74" t="s">
        <v>78</v>
      </c>
      <c r="Q68" s="74" t="s">
        <v>79</v>
      </c>
      <c r="R68" s="74"/>
      <c r="S68" s="76">
        <v>0.16400000000000001</v>
      </c>
      <c r="T68" s="74" t="s">
        <v>429</v>
      </c>
      <c r="U68" s="74"/>
      <c r="V68" s="74">
        <f t="shared" ref="V68" si="9">R68+U68</f>
        <v>0</v>
      </c>
      <c r="X68" s="78" t="s">
        <v>694</v>
      </c>
      <c r="Y68" s="79">
        <v>13.5</v>
      </c>
      <c r="Z68" s="79">
        <v>21.5</v>
      </c>
      <c r="AA68" s="79">
        <v>27705</v>
      </c>
      <c r="AB68" s="79"/>
      <c r="AC68" s="79"/>
      <c r="AD68" s="79">
        <v>0.875</v>
      </c>
      <c r="AE68" s="79" t="s">
        <v>602</v>
      </c>
      <c r="AF68" s="79" t="s">
        <v>443</v>
      </c>
      <c r="AG68" s="79">
        <v>2500</v>
      </c>
      <c r="AH68"/>
    </row>
    <row r="69" spans="12:34" x14ac:dyDescent="0.25">
      <c r="X69" s="78" t="s">
        <v>695</v>
      </c>
      <c r="Y69" s="79">
        <v>8.5</v>
      </c>
      <c r="Z69" s="79">
        <v>14</v>
      </c>
      <c r="AA69" s="79">
        <v>16425</v>
      </c>
      <c r="AB69" s="79"/>
      <c r="AC69" s="79"/>
      <c r="AD69" s="79">
        <v>0.875</v>
      </c>
      <c r="AE69" s="79" t="s">
        <v>602</v>
      </c>
      <c r="AF69" s="79" t="s">
        <v>443</v>
      </c>
      <c r="AG69" s="79">
        <v>3000</v>
      </c>
      <c r="AH69"/>
    </row>
    <row r="70" spans="12:34" x14ac:dyDescent="0.25">
      <c r="L70" s="1"/>
      <c r="M70" s="1"/>
      <c r="X70" s="78" t="s">
        <v>696</v>
      </c>
      <c r="Y70" s="79">
        <v>12.5</v>
      </c>
      <c r="Z70" s="79">
        <v>20</v>
      </c>
      <c r="AA70" s="79">
        <v>27705</v>
      </c>
      <c r="AB70" s="79"/>
      <c r="AC70" s="79"/>
      <c r="AD70" s="79">
        <v>0.875</v>
      </c>
      <c r="AE70" s="79" t="s">
        <v>602</v>
      </c>
      <c r="AF70" s="79" t="s">
        <v>443</v>
      </c>
      <c r="AG70" s="79">
        <v>3000</v>
      </c>
      <c r="AH70"/>
    </row>
    <row r="71" spans="12:34" x14ac:dyDescent="0.25">
      <c r="X71" s="78" t="s">
        <v>697</v>
      </c>
      <c r="Y71" s="79">
        <v>13.5</v>
      </c>
      <c r="Z71" s="79">
        <v>21.5</v>
      </c>
      <c r="AA71" s="79">
        <v>25295</v>
      </c>
      <c r="AB71" s="79"/>
      <c r="AC71" s="79"/>
      <c r="AD71" s="79">
        <v>0.875</v>
      </c>
      <c r="AE71" s="79" t="s">
        <v>602</v>
      </c>
      <c r="AF71" s="79" t="s">
        <v>445</v>
      </c>
      <c r="AG71" s="79">
        <v>2500</v>
      </c>
      <c r="AH71"/>
    </row>
    <row r="72" spans="12:34" x14ac:dyDescent="0.25">
      <c r="X72" s="78" t="s">
        <v>698</v>
      </c>
      <c r="Y72" s="79">
        <v>14.5</v>
      </c>
      <c r="Z72" s="79">
        <v>23</v>
      </c>
      <c r="AA72" s="79">
        <v>27705</v>
      </c>
      <c r="AB72" s="79"/>
      <c r="AC72" s="79"/>
      <c r="AD72" s="79">
        <v>0.875</v>
      </c>
      <c r="AE72" s="79" t="s">
        <v>602</v>
      </c>
      <c r="AF72" s="79" t="s">
        <v>445</v>
      </c>
      <c r="AG72" s="79">
        <v>2500</v>
      </c>
      <c r="AH72"/>
    </row>
    <row r="73" spans="12:34" x14ac:dyDescent="0.25">
      <c r="X73" s="78" t="s">
        <v>699</v>
      </c>
      <c r="Y73" s="79">
        <v>12.5</v>
      </c>
      <c r="Z73" s="79">
        <v>20</v>
      </c>
      <c r="AA73" s="79">
        <v>24595</v>
      </c>
      <c r="AB73" s="79"/>
      <c r="AC73" s="79"/>
      <c r="AD73" s="79">
        <v>0.875</v>
      </c>
      <c r="AE73" s="79" t="s">
        <v>602</v>
      </c>
      <c r="AF73" s="79" t="s">
        <v>445</v>
      </c>
      <c r="AG73" s="79">
        <v>3000</v>
      </c>
      <c r="AH73"/>
    </row>
    <row r="74" spans="12:34" x14ac:dyDescent="0.25">
      <c r="X74" s="78" t="s">
        <v>700</v>
      </c>
      <c r="Y74" s="79">
        <v>13.5</v>
      </c>
      <c r="Z74" s="79">
        <v>21.5</v>
      </c>
      <c r="AA74" s="79">
        <v>27705</v>
      </c>
      <c r="AB74" s="79"/>
      <c r="AC74" s="79"/>
      <c r="AD74" s="79">
        <v>0.875</v>
      </c>
      <c r="AE74" s="79" t="s">
        <v>602</v>
      </c>
      <c r="AF74" s="79" t="s">
        <v>445</v>
      </c>
      <c r="AG74" s="79">
        <v>3000</v>
      </c>
      <c r="AH74"/>
    </row>
    <row r="75" spans="12:34" x14ac:dyDescent="0.25">
      <c r="X75" s="78" t="s">
        <v>701</v>
      </c>
      <c r="Y75" s="79">
        <v>8</v>
      </c>
      <c r="Z75" s="79">
        <v>13.5</v>
      </c>
      <c r="AA75" s="79">
        <v>14300</v>
      </c>
      <c r="AB75" s="79"/>
      <c r="AC75" s="79"/>
      <c r="AD75" s="79">
        <v>1</v>
      </c>
      <c r="AE75" s="79" t="s">
        <v>602</v>
      </c>
      <c r="AF75" s="79" t="s">
        <v>443</v>
      </c>
      <c r="AG75" s="79">
        <v>2500</v>
      </c>
      <c r="AH75"/>
    </row>
    <row r="76" spans="12:34" x14ac:dyDescent="0.25">
      <c r="X76" s="78" t="s">
        <v>702</v>
      </c>
      <c r="Y76" s="79">
        <v>9.5</v>
      </c>
      <c r="Z76" s="79">
        <v>16</v>
      </c>
      <c r="AA76" s="79">
        <v>17565</v>
      </c>
      <c r="AB76" s="79"/>
      <c r="AC76" s="79"/>
      <c r="AD76" s="79">
        <v>1</v>
      </c>
      <c r="AE76" s="79" t="s">
        <v>602</v>
      </c>
      <c r="AF76" s="79" t="s">
        <v>443</v>
      </c>
      <c r="AG76" s="79">
        <v>2500</v>
      </c>
      <c r="AH76"/>
    </row>
    <row r="77" spans="12:34" x14ac:dyDescent="0.25">
      <c r="X77" s="78" t="s">
        <v>703</v>
      </c>
      <c r="Y77" s="79">
        <v>7.5</v>
      </c>
      <c r="Z77" s="79">
        <v>13</v>
      </c>
      <c r="AA77" s="79">
        <v>14425</v>
      </c>
      <c r="AB77" s="79"/>
      <c r="AC77" s="79"/>
      <c r="AD77" s="79">
        <v>1</v>
      </c>
      <c r="AE77" s="79" t="s">
        <v>602</v>
      </c>
      <c r="AF77" s="79" t="s">
        <v>443</v>
      </c>
      <c r="AG77" s="79">
        <v>3000</v>
      </c>
      <c r="AH77"/>
    </row>
    <row r="78" spans="12:34" x14ac:dyDescent="0.25">
      <c r="X78" s="78" t="s">
        <v>704</v>
      </c>
      <c r="Y78" s="79">
        <v>9</v>
      </c>
      <c r="Z78" s="79">
        <v>15</v>
      </c>
      <c r="AA78" s="79">
        <v>17565</v>
      </c>
      <c r="AB78" s="79"/>
      <c r="AC78" s="79"/>
      <c r="AD78" s="79">
        <v>1</v>
      </c>
      <c r="AE78" s="79" t="s">
        <v>602</v>
      </c>
      <c r="AF78" s="79" t="s">
        <v>443</v>
      </c>
      <c r="AG78" s="79">
        <v>3000</v>
      </c>
      <c r="AH78"/>
    </row>
    <row r="79" spans="12:34" x14ac:dyDescent="0.25">
      <c r="X79" s="78" t="s">
        <v>705</v>
      </c>
      <c r="Y79" s="79">
        <v>9.5</v>
      </c>
      <c r="Z79" s="79">
        <v>16</v>
      </c>
      <c r="AA79" s="79">
        <v>15650</v>
      </c>
      <c r="AB79" s="79"/>
      <c r="AC79" s="79"/>
      <c r="AD79" s="79">
        <v>1</v>
      </c>
      <c r="AE79" s="79" t="s">
        <v>602</v>
      </c>
      <c r="AF79" s="79" t="s">
        <v>445</v>
      </c>
      <c r="AG79" s="79">
        <v>2500</v>
      </c>
      <c r="AH79"/>
    </row>
    <row r="80" spans="12:34" x14ac:dyDescent="0.25">
      <c r="X80" s="78" t="s">
        <v>706</v>
      </c>
      <c r="Y80" s="79">
        <v>10.5</v>
      </c>
      <c r="Z80" s="79">
        <v>17.5</v>
      </c>
      <c r="AA80" s="79">
        <v>17565</v>
      </c>
      <c r="AB80" s="79"/>
      <c r="AC80" s="79"/>
      <c r="AD80" s="79">
        <v>1</v>
      </c>
      <c r="AE80" s="79" t="s">
        <v>602</v>
      </c>
      <c r="AF80" s="79" t="s">
        <v>445</v>
      </c>
      <c r="AG80" s="79">
        <v>2500</v>
      </c>
      <c r="AH80"/>
    </row>
    <row r="81" spans="24:34" x14ac:dyDescent="0.25">
      <c r="X81" s="78" t="s">
        <v>707</v>
      </c>
      <c r="Y81" s="79">
        <v>9</v>
      </c>
      <c r="Z81" s="79">
        <v>15</v>
      </c>
      <c r="AA81" s="79">
        <v>15970</v>
      </c>
      <c r="AB81" s="79"/>
      <c r="AC81" s="79"/>
      <c r="AD81" s="79">
        <v>1</v>
      </c>
      <c r="AE81" s="79" t="s">
        <v>602</v>
      </c>
      <c r="AF81" s="79" t="s">
        <v>445</v>
      </c>
      <c r="AG81" s="79">
        <v>3000</v>
      </c>
      <c r="AH81"/>
    </row>
    <row r="82" spans="24:34" x14ac:dyDescent="0.25">
      <c r="X82" s="78" t="s">
        <v>708</v>
      </c>
      <c r="Y82" s="79">
        <v>10</v>
      </c>
      <c r="Z82" s="79">
        <v>16.5</v>
      </c>
      <c r="AA82" s="79">
        <v>17565</v>
      </c>
      <c r="AB82" s="79"/>
      <c r="AC82" s="79"/>
      <c r="AD82" s="79">
        <v>1</v>
      </c>
      <c r="AE82" s="79" t="s">
        <v>602</v>
      </c>
      <c r="AF82" s="79" t="s">
        <v>445</v>
      </c>
      <c r="AG82" s="79">
        <v>3000</v>
      </c>
      <c r="AH82"/>
    </row>
    <row r="83" spans="24:34" x14ac:dyDescent="0.25">
      <c r="X83" s="78" t="s">
        <v>709</v>
      </c>
      <c r="Y83" s="79">
        <v>10.5</v>
      </c>
      <c r="Z83" s="79">
        <v>17.5</v>
      </c>
      <c r="AA83" s="79">
        <v>20420</v>
      </c>
      <c r="AB83" s="79"/>
      <c r="AC83" s="79"/>
      <c r="AD83" s="79">
        <v>1</v>
      </c>
      <c r="AE83" s="79" t="s">
        <v>602</v>
      </c>
      <c r="AF83" s="79" t="s">
        <v>443</v>
      </c>
      <c r="AG83" s="79">
        <v>2500</v>
      </c>
      <c r="AH83"/>
    </row>
    <row r="84" spans="24:34" x14ac:dyDescent="0.25">
      <c r="X84" s="78" t="s">
        <v>710</v>
      </c>
      <c r="Y84" s="79">
        <v>15.5</v>
      </c>
      <c r="Z84" s="79">
        <v>25</v>
      </c>
      <c r="AA84" s="79">
        <v>36345</v>
      </c>
      <c r="AB84" s="79"/>
      <c r="AC84" s="79"/>
      <c r="AD84" s="79">
        <v>1</v>
      </c>
      <c r="AE84" s="79" t="s">
        <v>602</v>
      </c>
      <c r="AF84" s="79" t="s">
        <v>443</v>
      </c>
      <c r="AG84" s="79">
        <v>2500</v>
      </c>
      <c r="AH84"/>
    </row>
    <row r="85" spans="24:34" x14ac:dyDescent="0.25">
      <c r="X85" s="78" t="s">
        <v>711</v>
      </c>
      <c r="Y85" s="79">
        <v>10</v>
      </c>
      <c r="Z85" s="79">
        <v>16.5</v>
      </c>
      <c r="AA85" s="79">
        <v>20965</v>
      </c>
      <c r="AB85" s="79"/>
      <c r="AC85" s="79"/>
      <c r="AD85" s="79">
        <v>1</v>
      </c>
      <c r="AE85" s="79" t="s">
        <v>602</v>
      </c>
      <c r="AF85" s="79" t="s">
        <v>443</v>
      </c>
      <c r="AG85" s="79">
        <v>3000</v>
      </c>
      <c r="AH85"/>
    </row>
    <row r="86" spans="24:34" x14ac:dyDescent="0.25">
      <c r="X86" s="78" t="s">
        <v>712</v>
      </c>
      <c r="Y86" s="79">
        <v>15</v>
      </c>
      <c r="Z86" s="79">
        <v>24</v>
      </c>
      <c r="AA86" s="79">
        <v>36345</v>
      </c>
      <c r="AB86" s="79"/>
      <c r="AC86" s="79"/>
      <c r="AD86" s="79">
        <v>1</v>
      </c>
      <c r="AE86" s="79" t="s">
        <v>602</v>
      </c>
      <c r="AF86" s="79" t="s">
        <v>443</v>
      </c>
      <c r="AG86" s="79">
        <v>3000</v>
      </c>
      <c r="AH86"/>
    </row>
    <row r="87" spans="24:34" x14ac:dyDescent="0.25">
      <c r="X87" s="78" t="s">
        <v>713</v>
      </c>
      <c r="Y87" s="79">
        <v>16</v>
      </c>
      <c r="Z87" s="79">
        <v>25.5</v>
      </c>
      <c r="AA87" s="79">
        <v>33555</v>
      </c>
      <c r="AB87" s="79"/>
      <c r="AC87" s="79"/>
      <c r="AD87" s="79">
        <v>1</v>
      </c>
      <c r="AE87" s="79" t="s">
        <v>602</v>
      </c>
      <c r="AF87" s="79" t="s">
        <v>445</v>
      </c>
      <c r="AG87" s="79">
        <v>2500</v>
      </c>
      <c r="AH87"/>
    </row>
    <row r="88" spans="24:34" x14ac:dyDescent="0.25">
      <c r="X88" s="78" t="s">
        <v>714</v>
      </c>
      <c r="Y88" s="79">
        <v>17</v>
      </c>
      <c r="Z88" s="79">
        <v>27</v>
      </c>
      <c r="AA88" s="79">
        <v>36345</v>
      </c>
      <c r="AB88" s="79"/>
      <c r="AC88" s="79"/>
      <c r="AD88" s="79">
        <v>1</v>
      </c>
      <c r="AE88" s="79" t="s">
        <v>602</v>
      </c>
      <c r="AF88" s="79" t="s">
        <v>445</v>
      </c>
      <c r="AG88" s="79">
        <v>2500</v>
      </c>
      <c r="AH88"/>
    </row>
    <row r="89" spans="24:34" x14ac:dyDescent="0.25">
      <c r="X89" s="78" t="s">
        <v>715</v>
      </c>
      <c r="Y89" s="79">
        <v>15</v>
      </c>
      <c r="Z89" s="79">
        <v>24</v>
      </c>
      <c r="AA89" s="79">
        <v>33255</v>
      </c>
      <c r="AB89" s="79"/>
      <c r="AC89" s="79"/>
      <c r="AD89" s="79">
        <v>1</v>
      </c>
      <c r="AE89" s="79" t="s">
        <v>602</v>
      </c>
      <c r="AF89" s="79" t="s">
        <v>445</v>
      </c>
      <c r="AG89" s="79">
        <v>3000</v>
      </c>
      <c r="AH89"/>
    </row>
    <row r="90" spans="24:34" x14ac:dyDescent="0.25">
      <c r="X90" s="78" t="s">
        <v>716</v>
      </c>
      <c r="Y90" s="79">
        <v>16</v>
      </c>
      <c r="Z90" s="79">
        <v>25.5</v>
      </c>
      <c r="AA90" s="79">
        <v>36345</v>
      </c>
      <c r="AB90" s="79"/>
      <c r="AC90" s="79"/>
      <c r="AD90" s="79">
        <v>1</v>
      </c>
      <c r="AE90" s="79" t="s">
        <v>602</v>
      </c>
      <c r="AF90" s="79" t="s">
        <v>445</v>
      </c>
      <c r="AG90" s="79">
        <v>3000</v>
      </c>
      <c r="AH90"/>
    </row>
    <row r="91" spans="24:34" x14ac:dyDescent="0.25">
      <c r="X91" s="78" t="s">
        <v>717</v>
      </c>
      <c r="Y91" s="79">
        <v>9</v>
      </c>
      <c r="Z91" s="79">
        <v>15.5</v>
      </c>
      <c r="AA91" s="79">
        <v>16870</v>
      </c>
      <c r="AB91" s="79"/>
      <c r="AC91" s="79"/>
      <c r="AD91" s="79">
        <v>1.125</v>
      </c>
      <c r="AE91" s="79" t="s">
        <v>602</v>
      </c>
      <c r="AF91" s="79" t="s">
        <v>443</v>
      </c>
      <c r="AG91" s="79">
        <v>2500</v>
      </c>
      <c r="AH91"/>
    </row>
    <row r="92" spans="24:34" x14ac:dyDescent="0.25">
      <c r="X92" s="78" t="s">
        <v>718</v>
      </c>
      <c r="Y92" s="79">
        <v>11.5</v>
      </c>
      <c r="Z92" s="79">
        <v>19</v>
      </c>
      <c r="AA92" s="79">
        <v>22135</v>
      </c>
      <c r="AB92" s="79"/>
      <c r="AC92" s="79"/>
      <c r="AD92" s="79">
        <v>1.125</v>
      </c>
      <c r="AE92" s="79" t="s">
        <v>602</v>
      </c>
      <c r="AF92" s="79" t="s">
        <v>443</v>
      </c>
      <c r="AG92" s="79">
        <v>2500</v>
      </c>
      <c r="AH92"/>
    </row>
    <row r="93" spans="24:34" x14ac:dyDescent="0.25">
      <c r="X93" s="78" t="s">
        <v>719</v>
      </c>
      <c r="Y93" s="79">
        <v>8</v>
      </c>
      <c r="Z93" s="79">
        <v>14</v>
      </c>
      <c r="AA93" s="79">
        <v>15885</v>
      </c>
      <c r="AB93" s="79"/>
      <c r="AC93" s="79"/>
      <c r="AD93" s="79">
        <v>1.125</v>
      </c>
      <c r="AE93" s="79" t="s">
        <v>602</v>
      </c>
      <c r="AF93" s="79" t="s">
        <v>443</v>
      </c>
      <c r="AG93" s="79">
        <v>3000</v>
      </c>
      <c r="AH93"/>
    </row>
    <row r="94" spans="24:34" x14ac:dyDescent="0.25">
      <c r="X94" s="78" t="s">
        <v>720</v>
      </c>
      <c r="Y94" s="79">
        <v>10.5</v>
      </c>
      <c r="Z94" s="79">
        <v>17.5</v>
      </c>
      <c r="AA94" s="79">
        <v>22135</v>
      </c>
      <c r="AB94" s="79"/>
      <c r="AC94" s="79"/>
      <c r="AD94" s="79">
        <v>1.125</v>
      </c>
      <c r="AE94" s="79" t="s">
        <v>602</v>
      </c>
      <c r="AF94" s="79" t="s">
        <v>443</v>
      </c>
      <c r="AG94" s="79">
        <v>3000</v>
      </c>
      <c r="AH94"/>
    </row>
    <row r="95" spans="24:34" x14ac:dyDescent="0.25">
      <c r="X95" s="78" t="s">
        <v>721</v>
      </c>
      <c r="Y95" s="79">
        <v>11.5</v>
      </c>
      <c r="Z95" s="79">
        <v>19</v>
      </c>
      <c r="AA95" s="79">
        <v>20420</v>
      </c>
      <c r="AB95" s="79"/>
      <c r="AC95" s="79"/>
      <c r="AD95" s="79">
        <v>1.125</v>
      </c>
      <c r="AE95" s="79" t="s">
        <v>602</v>
      </c>
      <c r="AF95" s="79" t="s">
        <v>445</v>
      </c>
      <c r="AG95" s="79">
        <v>2500</v>
      </c>
      <c r="AH95"/>
    </row>
    <row r="96" spans="24:34" x14ac:dyDescent="0.25">
      <c r="X96" s="78" t="s">
        <v>722</v>
      </c>
      <c r="Y96" s="79">
        <v>12.5</v>
      </c>
      <c r="Z96" s="79">
        <v>20.5</v>
      </c>
      <c r="AA96" s="79">
        <v>22135</v>
      </c>
      <c r="AB96" s="79"/>
      <c r="AC96" s="79"/>
      <c r="AD96" s="79">
        <v>1.125</v>
      </c>
      <c r="AE96" s="79" t="s">
        <v>602</v>
      </c>
      <c r="AF96" s="79" t="s">
        <v>445</v>
      </c>
      <c r="AG96" s="79">
        <v>2500</v>
      </c>
      <c r="AH96"/>
    </row>
    <row r="97" spans="24:34" x14ac:dyDescent="0.25">
      <c r="X97" s="78" t="s">
        <v>723</v>
      </c>
      <c r="Y97" s="79">
        <v>10.5</v>
      </c>
      <c r="Z97" s="79">
        <v>17.5</v>
      </c>
      <c r="AA97" s="79">
        <v>19785</v>
      </c>
      <c r="AB97" s="79"/>
      <c r="AC97" s="79"/>
      <c r="AD97" s="79">
        <v>1.125</v>
      </c>
      <c r="AE97" s="79" t="s">
        <v>602</v>
      </c>
      <c r="AF97" s="79" t="s">
        <v>445</v>
      </c>
      <c r="AG97" s="79">
        <v>3000</v>
      </c>
      <c r="AH97"/>
    </row>
    <row r="98" spans="24:34" x14ac:dyDescent="0.25">
      <c r="X98" s="78" t="s">
        <v>724</v>
      </c>
      <c r="Y98" s="79">
        <v>11.5</v>
      </c>
      <c r="Z98" s="79">
        <v>19</v>
      </c>
      <c r="AA98" s="79">
        <v>22135</v>
      </c>
      <c r="AB98" s="79"/>
      <c r="AC98" s="79"/>
      <c r="AD98" s="79">
        <v>1.125</v>
      </c>
      <c r="AE98" s="79" t="s">
        <v>602</v>
      </c>
      <c r="AF98" s="79" t="s">
        <v>445</v>
      </c>
      <c r="AG98" s="79">
        <v>3000</v>
      </c>
      <c r="AH98"/>
    </row>
    <row r="99" spans="24:34" x14ac:dyDescent="0.25">
      <c r="X99" s="78" t="s">
        <v>725</v>
      </c>
      <c r="Y99" s="79">
        <v>13</v>
      </c>
      <c r="Z99" s="79">
        <v>21.5</v>
      </c>
      <c r="AA99" s="79">
        <v>28105</v>
      </c>
      <c r="AB99" s="79"/>
      <c r="AC99" s="79"/>
      <c r="AD99" s="79">
        <v>1.25</v>
      </c>
      <c r="AE99" s="79" t="s">
        <v>602</v>
      </c>
      <c r="AF99" s="79" t="s">
        <v>443</v>
      </c>
      <c r="AG99" s="79">
        <v>2500</v>
      </c>
      <c r="AH99"/>
    </row>
    <row r="100" spans="24:34" x14ac:dyDescent="0.25">
      <c r="X100" s="78" t="s">
        <v>726</v>
      </c>
      <c r="Y100" s="79">
        <v>12.5</v>
      </c>
      <c r="Z100" s="79">
        <v>20.5</v>
      </c>
      <c r="AA100" s="79">
        <v>28105</v>
      </c>
      <c r="AB100" s="79"/>
      <c r="AC100" s="79"/>
      <c r="AD100" s="79">
        <v>1.25</v>
      </c>
      <c r="AE100" s="79" t="s">
        <v>602</v>
      </c>
      <c r="AF100" s="79" t="s">
        <v>443</v>
      </c>
      <c r="AG100" s="79">
        <v>3000</v>
      </c>
      <c r="AH100"/>
    </row>
    <row r="101" spans="24:34" x14ac:dyDescent="0.25">
      <c r="X101" s="78" t="s">
        <v>729</v>
      </c>
      <c r="Y101" s="79">
        <v>13</v>
      </c>
      <c r="Z101" s="79">
        <v>21.5</v>
      </c>
      <c r="AA101" s="79">
        <v>25095</v>
      </c>
      <c r="AB101" s="79"/>
      <c r="AC101" s="79"/>
      <c r="AD101" s="79">
        <v>1.25</v>
      </c>
      <c r="AE101" s="79" t="s">
        <v>602</v>
      </c>
      <c r="AF101" s="79" t="s">
        <v>445</v>
      </c>
      <c r="AG101" s="79">
        <v>2500</v>
      </c>
      <c r="AH101"/>
    </row>
    <row r="102" spans="24:34" x14ac:dyDescent="0.25">
      <c r="X102" s="78" t="s">
        <v>727</v>
      </c>
      <c r="Y102" s="79">
        <v>14.5</v>
      </c>
      <c r="Z102" s="79">
        <v>23.5</v>
      </c>
      <c r="AA102" s="79">
        <v>28105</v>
      </c>
      <c r="AB102" s="79"/>
      <c r="AC102" s="79"/>
      <c r="AD102" s="79">
        <v>1.25</v>
      </c>
      <c r="AE102" s="79" t="s">
        <v>602</v>
      </c>
      <c r="AF102" s="79" t="s">
        <v>445</v>
      </c>
      <c r="AG102" s="79">
        <v>2500</v>
      </c>
      <c r="AH102"/>
    </row>
    <row r="103" spans="24:34" x14ac:dyDescent="0.25">
      <c r="X103" s="78" t="s">
        <v>728</v>
      </c>
      <c r="Y103" s="79">
        <v>12.5</v>
      </c>
      <c r="Z103" s="79">
        <v>20.5</v>
      </c>
      <c r="AA103" s="79">
        <v>25920</v>
      </c>
      <c r="AB103" s="79"/>
      <c r="AC103" s="79"/>
      <c r="AD103" s="79">
        <v>1.25</v>
      </c>
      <c r="AE103" s="79" t="s">
        <v>602</v>
      </c>
      <c r="AF103" s="79" t="s">
        <v>445</v>
      </c>
      <c r="AG103" s="79">
        <v>3000</v>
      </c>
      <c r="AH103"/>
    </row>
    <row r="104" spans="24:34" x14ac:dyDescent="0.25">
      <c r="X104" s="78" t="s">
        <v>730</v>
      </c>
      <c r="Y104" s="79">
        <v>13.5</v>
      </c>
      <c r="Z104" s="79">
        <v>22</v>
      </c>
      <c r="AA104" s="79">
        <v>28105</v>
      </c>
      <c r="AB104" s="79"/>
      <c r="AC104" s="79"/>
      <c r="AD104" s="79">
        <v>1.25</v>
      </c>
      <c r="AE104" s="79" t="s">
        <v>602</v>
      </c>
      <c r="AF104" s="79" t="s">
        <v>445</v>
      </c>
      <c r="AG104" s="79">
        <v>3000</v>
      </c>
      <c r="AH104"/>
    </row>
    <row r="174" spans="12:13" x14ac:dyDescent="0.25">
      <c r="L174" s="1"/>
      <c r="M174" s="1"/>
    </row>
    <row r="175" spans="12:13" x14ac:dyDescent="0.25">
      <c r="L175" s="1"/>
      <c r="M175" s="1"/>
    </row>
    <row r="176" spans="12:13" x14ac:dyDescent="0.25">
      <c r="L176" s="1"/>
      <c r="M176" s="1"/>
    </row>
    <row r="177" spans="12:13" x14ac:dyDescent="0.25">
      <c r="L177" s="1"/>
      <c r="M177" s="1"/>
    </row>
    <row r="178" spans="12:13" x14ac:dyDescent="0.25">
      <c r="L178" s="1"/>
      <c r="M178" s="1"/>
    </row>
  </sheetData>
  <mergeCells count="1">
    <mergeCell ref="AJ1:AM1"/>
  </mergeCells>
  <phoneticPr fontId="1" type="noConversion"/>
  <dataValidations count="1">
    <dataValidation type="list" allowBlank="1" showInputMessage="1" showErrorMessage="1" sqref="M3:M52" xr:uid="{A496B0E9-3253-4542-90B5-692C1A53A24D}">
      <formula1>"YES,NO"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DB6A-1647-4DA1-8C51-7F0B20906AEA}">
  <dimension ref="A2:J38"/>
  <sheetViews>
    <sheetView view="pageLayout" topLeftCell="A14" zoomScaleNormal="100" workbookViewId="0">
      <selection activeCell="B7" sqref="B7"/>
    </sheetView>
  </sheetViews>
  <sheetFormatPr defaultRowHeight="15" x14ac:dyDescent="0.25"/>
  <sheetData>
    <row r="2" spans="1:10" x14ac:dyDescent="0.25">
      <c r="A2" s="5" t="s">
        <v>104</v>
      </c>
      <c r="J2" s="5" t="s">
        <v>105</v>
      </c>
    </row>
    <row r="4" spans="1:10" x14ac:dyDescent="0.25">
      <c r="A4" s="6" t="s">
        <v>106</v>
      </c>
      <c r="B4" s="7" t="s">
        <v>107</v>
      </c>
      <c r="J4" s="8" t="s">
        <v>108</v>
      </c>
    </row>
    <row r="5" spans="1:10" x14ac:dyDescent="0.25">
      <c r="A5" s="6" t="s">
        <v>109</v>
      </c>
      <c r="B5" s="7" t="s">
        <v>110</v>
      </c>
    </row>
    <row r="6" spans="1:10" x14ac:dyDescent="0.25">
      <c r="A6" s="6" t="s">
        <v>111</v>
      </c>
      <c r="B6" s="7" t="s">
        <v>112</v>
      </c>
    </row>
    <row r="7" spans="1:10" x14ac:dyDescent="0.25">
      <c r="A7" s="6" t="s">
        <v>113</v>
      </c>
      <c r="B7" s="7" t="s">
        <v>114</v>
      </c>
    </row>
    <row r="8" spans="1:10" x14ac:dyDescent="0.25">
      <c r="A8" s="6" t="s">
        <v>115</v>
      </c>
      <c r="B8" s="7" t="s">
        <v>116</v>
      </c>
    </row>
    <row r="9" spans="1:10" x14ac:dyDescent="0.25">
      <c r="A9" s="6" t="s">
        <v>117</v>
      </c>
      <c r="B9" s="7" t="s">
        <v>118</v>
      </c>
      <c r="J9" s="8" t="s">
        <v>119</v>
      </c>
    </row>
    <row r="10" spans="1:10" x14ac:dyDescent="0.25">
      <c r="A10" s="6" t="s">
        <v>120</v>
      </c>
      <c r="B10" s="7" t="s">
        <v>121</v>
      </c>
    </row>
    <row r="11" spans="1:10" x14ac:dyDescent="0.25">
      <c r="A11" s="6" t="s">
        <v>122</v>
      </c>
      <c r="B11" s="7" t="s">
        <v>123</v>
      </c>
    </row>
    <row r="12" spans="1:10" x14ac:dyDescent="0.25">
      <c r="A12" s="6"/>
      <c r="B12" s="9" t="s">
        <v>124</v>
      </c>
    </row>
    <row r="13" spans="1:10" x14ac:dyDescent="0.25">
      <c r="A13" s="6" t="s">
        <v>125</v>
      </c>
      <c r="B13" s="7" t="s">
        <v>126</v>
      </c>
    </row>
    <row r="14" spans="1:10" x14ac:dyDescent="0.25">
      <c r="A14" s="6" t="s">
        <v>127</v>
      </c>
      <c r="B14" s="7" t="s">
        <v>128</v>
      </c>
    </row>
    <row r="15" spans="1:10" x14ac:dyDescent="0.25">
      <c r="A15" s="6" t="s">
        <v>129</v>
      </c>
      <c r="B15" s="7" t="s">
        <v>130</v>
      </c>
    </row>
    <row r="16" spans="1:10" x14ac:dyDescent="0.25">
      <c r="A16" s="6" t="s">
        <v>131</v>
      </c>
      <c r="B16" s="7" t="s">
        <v>132</v>
      </c>
      <c r="J16" s="8" t="s">
        <v>133</v>
      </c>
    </row>
    <row r="17" spans="1:10" x14ac:dyDescent="0.25">
      <c r="A17" s="6" t="s">
        <v>134</v>
      </c>
      <c r="B17" s="7" t="s">
        <v>135</v>
      </c>
    </row>
    <row r="18" spans="1:10" x14ac:dyDescent="0.25">
      <c r="A18" s="6" t="s">
        <v>136</v>
      </c>
      <c r="B18" s="7" t="s">
        <v>137</v>
      </c>
    </row>
    <row r="19" spans="1:10" x14ac:dyDescent="0.25">
      <c r="A19" s="6" t="s">
        <v>138</v>
      </c>
      <c r="B19" s="7" t="s">
        <v>139</v>
      </c>
    </row>
    <row r="20" spans="1:10" x14ac:dyDescent="0.25">
      <c r="A20" s="6" t="s">
        <v>140</v>
      </c>
      <c r="B20" s="7" t="s">
        <v>141</v>
      </c>
    </row>
    <row r="21" spans="1:10" x14ac:dyDescent="0.25">
      <c r="A21" s="6" t="s">
        <v>142</v>
      </c>
      <c r="B21" s="7" t="s">
        <v>143</v>
      </c>
    </row>
    <row r="22" spans="1:10" x14ac:dyDescent="0.25">
      <c r="A22" s="6" t="s">
        <v>144</v>
      </c>
      <c r="B22" s="7" t="s">
        <v>145</v>
      </c>
    </row>
    <row r="23" spans="1:10" x14ac:dyDescent="0.25">
      <c r="A23" s="10" t="s">
        <v>146</v>
      </c>
      <c r="B23" s="7" t="s">
        <v>147</v>
      </c>
      <c r="J23" s="8" t="s">
        <v>148</v>
      </c>
    </row>
    <row r="24" spans="1:10" x14ac:dyDescent="0.25">
      <c r="A24" s="10" t="s">
        <v>149</v>
      </c>
      <c r="B24" s="7" t="s">
        <v>150</v>
      </c>
    </row>
    <row r="25" spans="1:10" x14ac:dyDescent="0.25">
      <c r="A25" s="11" t="s">
        <v>151</v>
      </c>
      <c r="B25" s="7" t="s">
        <v>152</v>
      </c>
    </row>
    <row r="26" spans="1:10" x14ac:dyDescent="0.25">
      <c r="A26" s="6" t="s">
        <v>153</v>
      </c>
      <c r="B26" s="7" t="s">
        <v>154</v>
      </c>
    </row>
    <row r="27" spans="1:10" x14ac:dyDescent="0.25">
      <c r="A27" s="6" t="s">
        <v>155</v>
      </c>
      <c r="B27" s="7" t="s">
        <v>156</v>
      </c>
    </row>
    <row r="28" spans="1:10" x14ac:dyDescent="0.25">
      <c r="A28" s="6" t="s">
        <v>157</v>
      </c>
      <c r="B28" s="7" t="s">
        <v>158</v>
      </c>
    </row>
    <row r="29" spans="1:10" x14ac:dyDescent="0.25">
      <c r="A29" s="6" t="s">
        <v>159</v>
      </c>
      <c r="B29" s="7" t="s">
        <v>160</v>
      </c>
    </row>
    <row r="30" spans="1:10" ht="15.75" x14ac:dyDescent="0.3">
      <c r="A30" s="6" t="s">
        <v>161</v>
      </c>
      <c r="B30" s="7" t="s">
        <v>162</v>
      </c>
    </row>
    <row r="31" spans="1:10" ht="15.75" x14ac:dyDescent="0.3">
      <c r="A31" s="6" t="s">
        <v>163</v>
      </c>
      <c r="B31" s="7" t="s">
        <v>164</v>
      </c>
    </row>
    <row r="32" spans="1:10" ht="15.75" x14ac:dyDescent="0.3">
      <c r="A32" s="6" t="s">
        <v>165</v>
      </c>
      <c r="B32" s="7" t="s">
        <v>166</v>
      </c>
    </row>
    <row r="33" spans="1:2" ht="15.75" x14ac:dyDescent="0.3">
      <c r="A33" s="6" t="s">
        <v>167</v>
      </c>
      <c r="B33" s="7" t="s">
        <v>168</v>
      </c>
    </row>
    <row r="34" spans="1:2" ht="15.75" x14ac:dyDescent="0.3">
      <c r="A34" s="6" t="s">
        <v>169</v>
      </c>
      <c r="B34" s="7" t="s">
        <v>170</v>
      </c>
    </row>
    <row r="35" spans="1:2" ht="15.75" x14ac:dyDescent="0.3">
      <c r="A35" s="6" t="s">
        <v>171</v>
      </c>
      <c r="B35" s="7" t="s">
        <v>172</v>
      </c>
    </row>
    <row r="36" spans="1:2" x14ac:dyDescent="0.25">
      <c r="A36" s="6" t="s">
        <v>173</v>
      </c>
      <c r="B36" s="7" t="s">
        <v>174</v>
      </c>
    </row>
    <row r="37" spans="1:2" x14ac:dyDescent="0.25">
      <c r="A37" s="6" t="s">
        <v>175</v>
      </c>
      <c r="B37" s="7" t="s">
        <v>176</v>
      </c>
    </row>
    <row r="38" spans="1:2" x14ac:dyDescent="0.25">
      <c r="B38" s="12"/>
    </row>
  </sheetData>
  <pageMargins left="0.7" right="0.7" top="0.75" bottom="0.75" header="0.3" footer="0.3"/>
  <pageSetup orientation="portrait" horizontalDpi="4294967294" verticalDpi="0" r:id="rId1"/>
  <headerFooter>
    <oddHeader>&amp;LJOB NAME
JOB NUMBER&amp;RDATE
ENGINEER INITIALS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45</vt:i4>
      </vt:variant>
    </vt:vector>
  </HeadingPairs>
  <TitlesOfParts>
    <vt:vector size="52" baseType="lpstr">
      <vt:lpstr>Sheet1</vt:lpstr>
      <vt:lpstr>Sheet2</vt:lpstr>
      <vt:lpstr>Sheet3</vt:lpstr>
      <vt:lpstr>Lateral</vt:lpstr>
      <vt:lpstr>Diaphragm</vt:lpstr>
      <vt:lpstr>Lists</vt:lpstr>
      <vt:lpstr>Terminology and Equations</vt:lpstr>
      <vt:lpstr>ab_condition</vt:lpstr>
      <vt:lpstr>ab_dia_act</vt:lpstr>
      <vt:lpstr>ab_dia_req</vt:lpstr>
      <vt:lpstr>ab_F</vt:lpstr>
      <vt:lpstr>ab_fc</vt:lpstr>
      <vt:lpstr>ab_lede</vt:lpstr>
      <vt:lpstr>ab_sdc</vt:lpstr>
      <vt:lpstr>abt_corner</vt:lpstr>
      <vt:lpstr>abt_end</vt:lpstr>
      <vt:lpstr>abt_mid</vt:lpstr>
      <vt:lpstr>anchor</vt:lpstr>
      <vt:lpstr>ga_gyp</vt:lpstr>
      <vt:lpstr>ga_osb</vt:lpstr>
      <vt:lpstr>ga_ply</vt:lpstr>
      <vt:lpstr>hd_ab</vt:lpstr>
      <vt:lpstr>hd_cap</vt:lpstr>
      <vt:lpstr>hd_holdown</vt:lpstr>
      <vt:lpstr>hd_mark</vt:lpstr>
      <vt:lpstr>hd_off</vt:lpstr>
      <vt:lpstr>hdoffset</vt:lpstr>
      <vt:lpstr>hdslip</vt:lpstr>
      <vt:lpstr>hdt_dfsp</vt:lpstr>
      <vt:lpstr>hdt_spfhf</vt:lpstr>
      <vt:lpstr>holdown</vt:lpstr>
      <vt:lpstr>num_gyp</vt:lpstr>
      <vt:lpstr>num_osb</vt:lpstr>
      <vt:lpstr>num_ply</vt:lpstr>
      <vt:lpstr>post24</vt:lpstr>
      <vt:lpstr>post26</vt:lpstr>
      <vt:lpstr>Diaphragm!Print_Area</vt:lpstr>
      <vt:lpstr>sheath_assembly</vt:lpstr>
      <vt:lpstr>sheath_ecap_asd</vt:lpstr>
      <vt:lpstr>sheath_ecap_lrfd</vt:lpstr>
      <vt:lpstr>sheath_ga</vt:lpstr>
      <vt:lpstr>sheath_mark</vt:lpstr>
      <vt:lpstr>sheath_wcap_asd</vt:lpstr>
      <vt:lpstr>sheath_wcap_lrfd</vt:lpstr>
      <vt:lpstr>sheathing</vt:lpstr>
      <vt:lpstr>sw0.5</vt:lpstr>
      <vt:lpstr>sw0.8</vt:lpstr>
      <vt:lpstr>sw0.92</vt:lpstr>
      <vt:lpstr>sw1.0</vt:lpstr>
      <vt:lpstr>sw2.0</vt:lpstr>
      <vt:lpstr>sw2.8</vt:lpstr>
      <vt:lpstr>w_global_wind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Brusnahan</dc:creator>
  <cp:lastModifiedBy>Jonathan Brusnahan</cp:lastModifiedBy>
  <dcterms:created xsi:type="dcterms:W3CDTF">2024-06-22T15:14:06Z</dcterms:created>
  <dcterms:modified xsi:type="dcterms:W3CDTF">2026-05-09T01:14:37Z</dcterms:modified>
</cp:coreProperties>
</file>